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4.xml" ContentType="application/vnd.openxmlformats-officedocument.drawing+xml"/>
  <Override PartName="/xl/charts/chart24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2020년 프로젝트\08_음성군 하수도정비 기본계획 부분변경\받은자료\200420_기본계획 관련자료\음성군 하수도정비기본계획\2 하수도정비기본계획(부록)\부록\1. 계획인구\"/>
    </mc:Choice>
  </mc:AlternateContent>
  <bookViews>
    <workbookView xWindow="28665" yWindow="-15" windowWidth="28710" windowHeight="11520" tabRatio="883" firstSheet="21" activeTab="27"/>
  </bookViews>
  <sheets>
    <sheet name="1.1.1 과거인구현황" sheetId="12" r:id="rId1"/>
    <sheet name="1.1.2 인구분석" sheetId="13" r:id="rId2"/>
    <sheet name="1.2 수학적방법" sheetId="14" r:id="rId3"/>
    <sheet name="가.수학적방법(음성군10년)" sheetId="15" r:id="rId4"/>
    <sheet name="나.수학적방법(음성군5년)" sheetId="31" r:id="rId5"/>
    <sheet name="다.수학적방법(음성읍)" sheetId="17" r:id="rId6"/>
    <sheet name="라.수학적방법(금왕읍)" sheetId="18" r:id="rId7"/>
    <sheet name="마.수학적방법(소이면)" sheetId="19" r:id="rId8"/>
    <sheet name="바.수학적방법(원남면)" sheetId="20" r:id="rId9"/>
    <sheet name="사.수학적방법(맹동면)" sheetId="21" r:id="rId10"/>
    <sheet name="아.수학적방법(대소면)" sheetId="22" r:id="rId11"/>
    <sheet name="자.수학적방법(삼성면)" sheetId="32" r:id="rId12"/>
    <sheet name="차.수학적방법(생극면)" sheetId="33" r:id="rId13"/>
    <sheet name="카.수학적방법(감곡면)" sheetId="23" r:id="rId14"/>
    <sheet name="1.3 출생·사망 및 전입·전출에 의한 인구추정" sheetId="35" r:id="rId15"/>
    <sheet name="1.3 자연적 인구증가 분석 결과" sheetId="36" r:id="rId16"/>
    <sheet name="1.4.조성법총괄(내부이동률 적용)" sheetId="9" r:id="rId17"/>
    <sheet name="조성법총괄(내부이동률 적용 전)출력x" sheetId="6" state="hidden" r:id="rId18"/>
    <sheet name="1.4.1읍면별 계획인구" sheetId="24" r:id="rId19"/>
    <sheet name="1.4.2내부이동근거" sheetId="11" r:id="rId20"/>
    <sheet name="1.4.2내부이동근거 (2)" sheetId="48" state="hidden" r:id="rId21"/>
    <sheet name="1.4.3개발계획현황" sheetId="3" r:id="rId22"/>
    <sheet name="1.4.3개발계획현황 (2)" sheetId="49" state="hidden" r:id="rId23"/>
    <sheet name="사회적유입" sheetId="5" r:id="rId24"/>
    <sheet name="사회적 유입 중복인구 제외근거" sheetId="34" r:id="rId25"/>
    <sheet name="사회적유입인구의 처리구역별 배분(적용)" sheetId="4" r:id="rId26"/>
    <sheet name="사회적유입인구의 처리구역별 배분 (원본출력x)" sheetId="37" state="hidden" r:id="rId27"/>
    <sheet name="계획처리구역 인구결정" sheetId="10" r:id="rId28"/>
    <sheet name="출력금지&gt;&gt;" sheetId="47" r:id="rId29"/>
    <sheet name="계획처리구역 인구배분(출력x)" sheetId="8" r:id="rId30"/>
    <sheet name="2014처리구역인구 정리" sheetId="2" r:id="rId31"/>
    <sheet name="처리구역면적" sheetId="1" r:id="rId32"/>
    <sheet name="음성읍" sheetId="41" r:id="rId33"/>
    <sheet name="금왕읍" sheetId="39" r:id="rId34"/>
    <sheet name="소이면" sheetId="45" r:id="rId35"/>
    <sheet name="원남면" sheetId="46" r:id="rId36"/>
    <sheet name="맹동면" sheetId="40" r:id="rId37"/>
    <sheet name="대소면" sheetId="38" r:id="rId38"/>
    <sheet name="삼성면" sheetId="43" r:id="rId39"/>
    <sheet name="생극면" sheetId="44" r:id="rId40"/>
    <sheet name="감곡면" sheetId="42" r:id="rId41"/>
  </sheets>
  <externalReferences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_DemandLoad">TRUE</definedName>
    <definedName name="__tt1">"tt1"</definedName>
    <definedName name="_xlnm._FilterDatabase" localSheetId="20" hidden="1">[1]수량명세서!#REF!</definedName>
    <definedName name="_xlnm._FilterDatabase" localSheetId="22" hidden="1">[1]수량명세서!#REF!</definedName>
    <definedName name="_xlnm._FilterDatabase" localSheetId="23" hidden="1">사회적유입!$D$120:$D$121</definedName>
    <definedName name="_xlnm._FilterDatabase" localSheetId="26" hidden="1">'사회적유입인구의 처리구역별 배분 (원본출력x)'!#REF!</definedName>
    <definedName name="_xlnm._FilterDatabase" localSheetId="25" hidden="1">'사회적유입인구의 처리구역별 배분(적용)'!#REF!</definedName>
    <definedName name="_xlnm._FilterDatabase" hidden="1">[1]수량명세서!#REF!</definedName>
    <definedName name="_Key1" localSheetId="20" hidden="1">#REF!</definedName>
    <definedName name="_Key1" localSheetId="22" hidden="1">#REF!</definedName>
    <definedName name="_Key1" localSheetId="26" hidden="1">#REF!</definedName>
    <definedName name="_Key1" hidden="1">#REF!</definedName>
    <definedName name="_Order1" hidden="1">1</definedName>
    <definedName name="_Order2" hidden="1">255</definedName>
    <definedName name="_Sort" localSheetId="20" hidden="1">'[2]8.PILE  (돌출)'!#REF!</definedName>
    <definedName name="_Sort" localSheetId="22" hidden="1">'[2]8.PILE  (돌출)'!#REF!</definedName>
    <definedName name="_Sort" localSheetId="26" hidden="1">'[2]8.PILE  (돌출)'!#REF!</definedName>
    <definedName name="_Sort" hidden="1">'[2]8.PILE  (돌출)'!#REF!</definedName>
    <definedName name="_SORT1" localSheetId="20" hidden="1">#REF!</definedName>
    <definedName name="_SORT1" localSheetId="22" hidden="1">#REF!</definedName>
    <definedName name="_SORT1" localSheetId="26" hidden="1">#REF!</definedName>
    <definedName name="_SORT1" hidden="1">#REF!</definedName>
    <definedName name="_tt1">"tt1"</definedName>
    <definedName name="DD" localSheetId="20" hidden="1">#REF!</definedName>
    <definedName name="DD" localSheetId="22" hidden="1">#REF!</definedName>
    <definedName name="DD" localSheetId="26" hidden="1">#REF!</definedName>
    <definedName name="DD" hidden="1">#REF!</definedName>
    <definedName name="HTML_CodePage" hidden="1">949</definedName>
    <definedName name="HTML_Control" localSheetId="1" hidden="1">{"'유입수질'!$Q$19"}</definedName>
    <definedName name="HTML_Control" localSheetId="2" hidden="1">{"'유입수질'!$Q$19"}</definedName>
    <definedName name="HTML_Control" localSheetId="21" hidden="1">{"'유입수질'!$Q$19"}</definedName>
    <definedName name="HTML_Control" localSheetId="22" hidden="1">{"'유입수질'!$Q$19"}</definedName>
    <definedName name="HTML_Control" localSheetId="16" hidden="1">{"'인구추정(면계)'!$I$44:$N$48"}</definedName>
    <definedName name="HTML_Control" localSheetId="23" hidden="1">{"'유입수질'!$Q$19"}</definedName>
    <definedName name="HTML_Control" localSheetId="26" hidden="1">{"'유입수질'!$Q$19"}</definedName>
    <definedName name="HTML_Control" localSheetId="25" hidden="1">{"'유입수질'!$Q$19"}</definedName>
    <definedName name="HTML_Control" localSheetId="17" hidden="1">{"'인구추정(면계)'!$I$44:$N$48"}</definedName>
    <definedName name="HTML_Control" hidden="1">{"'인구추정(면계)'!$I$44:$N$48"}</definedName>
    <definedName name="HTML_Description" hidden="1">""</definedName>
    <definedName name="HTML_Email" hidden="1">""</definedName>
    <definedName name="HTML_Header" localSheetId="1" hidden="1">"유입수질"</definedName>
    <definedName name="HTML_Header" localSheetId="21" hidden="1">"유입수질"</definedName>
    <definedName name="HTML_Header" localSheetId="22" hidden="1">"유입수질"</definedName>
    <definedName name="HTML_Header" localSheetId="23" hidden="1">"유입수질"</definedName>
    <definedName name="HTML_Header" localSheetId="26" hidden="1">"유입수질"</definedName>
    <definedName name="HTML_Header" localSheetId="25" hidden="1">"유입수질"</definedName>
    <definedName name="HTML_Header" hidden="1">"과거인구 (면별)"</definedName>
    <definedName name="HTML_LastUpdate" localSheetId="1" hidden="1">"00-04-07"</definedName>
    <definedName name="HTML_LastUpdate" localSheetId="21" hidden="1">"00-04-07"</definedName>
    <definedName name="HTML_LastUpdate" localSheetId="22" hidden="1">"00-04-07"</definedName>
    <definedName name="HTML_LastUpdate" localSheetId="23" hidden="1">"00-04-07"</definedName>
    <definedName name="HTML_LastUpdate" localSheetId="26" hidden="1">"00-04-07"</definedName>
    <definedName name="HTML_LastUpdate" localSheetId="25" hidden="1">"00-04-07"</definedName>
    <definedName name="HTML_LastUpdate" hidden="1">"2002-12-18"</definedName>
    <definedName name="HTML_LineAfter" hidden="1">FALSE</definedName>
    <definedName name="HTML_LineBefore" hidden="1">FALSE</definedName>
    <definedName name="HTML_Name" localSheetId="1" hidden="1">"이용권"</definedName>
    <definedName name="HTML_Name" localSheetId="21" hidden="1">"이용권"</definedName>
    <definedName name="HTML_Name" localSheetId="22" hidden="1">"이용권"</definedName>
    <definedName name="HTML_Name" localSheetId="23" hidden="1">"이용권"</definedName>
    <definedName name="HTML_Name" localSheetId="26" hidden="1">"이용권"</definedName>
    <definedName name="HTML_Name" localSheetId="25" hidden="1">"이용권"</definedName>
    <definedName name="HTML_Name" hidden="1">"jjkim1"</definedName>
    <definedName name="HTML_OBDlg2" hidden="1">TRUE</definedName>
    <definedName name="HTML_OBDlg4" hidden="1">TRUE</definedName>
    <definedName name="HTML_OS" hidden="1">0</definedName>
    <definedName name="HTML_PathFile" localSheetId="1" hidden="1">"C:\user\lee\지평\xls\MyHTML.htm"</definedName>
    <definedName name="HTML_PathFile" localSheetId="21" hidden="1">"C:\user\lee\지평\xls\MyHTML.htm"</definedName>
    <definedName name="HTML_PathFile" localSheetId="22" hidden="1">"C:\user\lee\지평\xls\MyHTML.htm"</definedName>
    <definedName name="HTML_PathFile" localSheetId="23" hidden="1">"C:\user\lee\지평\xls\MyHTML.htm"</definedName>
    <definedName name="HTML_PathFile" localSheetId="26" hidden="1">"C:\user\lee\지평\xls\MyHTML.htm"</definedName>
    <definedName name="HTML_PathFile" localSheetId="25" hidden="1">"C:\user\lee\지평\xls\MyHTML.htm"</definedName>
    <definedName name="HTML_PathFile" hidden="1">"D:\진행과업\10.진안소규모STP\01.기본설계보고서\excel\면인구추정.htm"</definedName>
    <definedName name="HTML_Title" localSheetId="1" hidden="1">"보고서0407"</definedName>
    <definedName name="HTML_Title" localSheetId="21" hidden="1">"보고서0407"</definedName>
    <definedName name="HTML_Title" localSheetId="22" hidden="1">"보고서0407"</definedName>
    <definedName name="HTML_Title" localSheetId="23" hidden="1">"보고서0407"</definedName>
    <definedName name="HTML_Title" localSheetId="26" hidden="1">"보고서0407"</definedName>
    <definedName name="HTML_Title" localSheetId="25" hidden="1">"보고서0407"</definedName>
    <definedName name="HTML_Title" hidden="1">"인구계획"</definedName>
    <definedName name="k" localSheetId="20" hidden="1">#REF!</definedName>
    <definedName name="k" localSheetId="22" hidden="1">#REF!</definedName>
    <definedName name="k" localSheetId="26" hidden="1">#REF!</definedName>
    <definedName name="k" hidden="1">#REF!</definedName>
    <definedName name="Macro1" localSheetId="20">[3]!Macro1</definedName>
    <definedName name="Macro1" localSheetId="22">[3]!Macro1</definedName>
    <definedName name="Macro1" localSheetId="26">[3]!Macro1</definedName>
    <definedName name="Macro1">[3]!Macro1</definedName>
    <definedName name="_xlnm.Print_Area" localSheetId="0">'1.1.1 과거인구현황'!$A$1:$O$26</definedName>
    <definedName name="_xlnm.Print_Area" localSheetId="1">'1.1.2 인구분석'!$A$1:$L$179</definedName>
    <definedName name="_xlnm.Print_Area" localSheetId="2">'1.2 수학적방법'!$A$1:$H$58</definedName>
    <definedName name="_xlnm.Print_Area" localSheetId="15">'1.3 자연적 인구증가 분석 결과'!$A$1:$Y$28</definedName>
    <definedName name="_xlnm.Print_Area" localSheetId="14">'1.3 출생·사망 및 전입·전출에 의한 인구추정'!$A$1:$K$18</definedName>
    <definedName name="_xlnm.Print_Area" localSheetId="18">'1.4.1읍면별 계획인구'!$A$1:$W$13</definedName>
    <definedName name="_xlnm.Print_Area" localSheetId="19">'1.4.2내부이동근거'!$A$1:$K$119</definedName>
    <definedName name="_xlnm.Print_Area" localSheetId="20">'1.4.2내부이동근거 (2)'!$A$1:$K$118</definedName>
    <definedName name="_xlnm.Print_Area" localSheetId="21">'1.4.3개발계획현황'!$A$1:$AB$77</definedName>
    <definedName name="_xlnm.Print_Area" localSheetId="22">'1.4.3개발계획현황 (2)'!$A$1:$M$78</definedName>
    <definedName name="_xlnm.Print_Area" localSheetId="16">'1.4.조성법총괄(내부이동률 적용)'!$A$1:$X$82</definedName>
    <definedName name="_xlnm.Print_Area" localSheetId="30">'2014처리구역인구 정리'!$A$1:$O$215</definedName>
    <definedName name="_xlnm.Print_Area" localSheetId="3">'가.수학적방법(음성군10년)'!$A$2:$F$49</definedName>
    <definedName name="_xlnm.Print_Area" localSheetId="27">'계획처리구역 인구결정'!$A$1:$K$244</definedName>
    <definedName name="_xlnm.Print_Area" localSheetId="29">'계획처리구역 인구배분(출력x)'!$A$1:$AD$235</definedName>
    <definedName name="_xlnm.Print_Area" localSheetId="33">금왕읍!$A$2:$N$56</definedName>
    <definedName name="_xlnm.Print_Area" localSheetId="4">'나.수학적방법(음성군5년)'!$A$2:$F$49</definedName>
    <definedName name="_xlnm.Print_Area" localSheetId="5">'다.수학적방법(음성읍)'!$A$2:$F$49</definedName>
    <definedName name="_xlnm.Print_Area" localSheetId="6">'라.수학적방법(금왕읍)'!$A$2:$F$49</definedName>
    <definedName name="_xlnm.Print_Area" localSheetId="7">'마.수학적방법(소이면)'!$A$2:$F$49</definedName>
    <definedName name="_xlnm.Print_Area" localSheetId="8">'바.수학적방법(원남면)'!$A$2:$F$49</definedName>
    <definedName name="_xlnm.Print_Area" localSheetId="9">'사.수학적방법(맹동면)'!$A$2:$F$49</definedName>
    <definedName name="_xlnm.Print_Area" localSheetId="24">'사회적 유입 중복인구 제외근거'!$A$1:$H$53</definedName>
    <definedName name="_xlnm.Print_Area" localSheetId="23">사회적유입!$A$1:$AX$167</definedName>
    <definedName name="_xlnm.Print_Area" localSheetId="26">'사회적유입인구의 처리구역별 배분 (원본출력x)'!$A$1:$Z$104</definedName>
    <definedName name="_xlnm.Print_Area" localSheetId="25">'사회적유입인구의 처리구역별 배분(적용)'!$A$1:$Z$103</definedName>
    <definedName name="_xlnm.Print_Area" localSheetId="10">'아.수학적방법(대소면)'!$A$2:$F$49</definedName>
    <definedName name="_xlnm.Print_Area" localSheetId="11">'자.수학적방법(삼성면)'!$A$2:$F$49</definedName>
    <definedName name="_xlnm.Print_Area" localSheetId="17">'조성법총괄(내부이동률 적용 전)출력x'!$A$1:$W$36</definedName>
    <definedName name="_xlnm.Print_Area" localSheetId="12">'차.수학적방법(생극면)'!$A$2:$F$49</definedName>
    <definedName name="_xlnm.Print_Area" localSheetId="31">처리구역면적!$A$1:$I$61</definedName>
    <definedName name="_xlnm.Print_Area" localSheetId="13">'카.수학적방법(감곡면)'!$A$2:$F$49</definedName>
    <definedName name="_xlnm.Print_Titles" localSheetId="2">'1.2 수학적방법'!$3:$3</definedName>
    <definedName name="_xlnm.Print_Titles" localSheetId="16">'1.4.조성법총괄(내부이동률 적용)'!$3:$3</definedName>
    <definedName name="_xlnm.Print_Titles" localSheetId="37">대소면!$2:$2</definedName>
    <definedName name="_xlnm.Print_Titles" localSheetId="24">'사회적 유입 중복인구 제외근거'!$2:$3</definedName>
    <definedName name="_xlnm.Print_Titles" localSheetId="26">'사회적유입인구의 처리구역별 배분 (원본출력x)'!$3:$3</definedName>
    <definedName name="_xlnm.Print_Titles" localSheetId="25">'사회적유입인구의 처리구역별 배분(적용)'!$3:$3</definedName>
    <definedName name="UJI">[4]DATE!$I$24:$I$85</definedName>
    <definedName name="고급">OFFSET([5]용역단가!$B$5,[5]용역단가!$C$3,3)</definedName>
    <definedName name="곱곱">[6]DATE!$I$24:$I$85</definedName>
    <definedName name="권권">[7]DATE!$I$24:$I$85</definedName>
    <definedName name="기술사">OFFSET([5]용역단가!$B$5,[5]용역단가!$C$3,1)</definedName>
    <definedName name="년도" localSheetId="2">[8]과거인구!$A$4:$Q$18</definedName>
    <definedName name="년도">[8]과거인구!$A$4:$Q$18</definedName>
    <definedName name="단가">OFFSET([5]용역단가!$B$5,[5]용역단가!$C$3,1,1,6)</definedName>
    <definedName name="리">[9]Variables!$E$1</definedName>
    <definedName name="리명" localSheetId="2">[10]리별과거인구!$B$4:$L$10</definedName>
    <definedName name="리명">[10]리별과거인구!$B$4:$L$10</definedName>
    <definedName name="ㅁㄴㅇㄹ" localSheetId="1" hidden="1">{"'인구추정(면계)'!$I$44:$N$48"}</definedName>
    <definedName name="ㅁㄴㅇㄹ" localSheetId="16" hidden="1">{"'인구추정(면계)'!$I$44:$N$48"}</definedName>
    <definedName name="ㅁㄴㅇㄹ" localSheetId="17" hidden="1">{"'인구추정(면계)'!$I$44:$N$48"}</definedName>
    <definedName name="ㅁㄴㅇㄹ" hidden="1">{"'인구추정(면계)'!$I$44:$N$48"}</definedName>
    <definedName name="ㅁㅁㅁ" localSheetId="20" hidden="1">#REF!</definedName>
    <definedName name="ㅁㅁㅁ" localSheetId="22" hidden="1">#REF!</definedName>
    <definedName name="ㅁㅁㅁ" localSheetId="26" hidden="1">#REF!</definedName>
    <definedName name="ㅁㅁㅁ" hidden="1">#REF!</definedName>
    <definedName name="매크로11" localSheetId="20">[11]!매크로11</definedName>
    <definedName name="매크로11" localSheetId="22">[11]!매크로11</definedName>
    <definedName name="매크로11" localSheetId="16">[11]!매크로11</definedName>
    <definedName name="매크로11" localSheetId="27">[11]!매크로11</definedName>
    <definedName name="매크로11" localSheetId="29">[11]!매크로11</definedName>
    <definedName name="매크로11" localSheetId="4">[11]!매크로11</definedName>
    <definedName name="매크로11" localSheetId="5">[11]!매크로11</definedName>
    <definedName name="매크로11" localSheetId="6">[11]!매크로11</definedName>
    <definedName name="매크로11" localSheetId="7">[11]!매크로11</definedName>
    <definedName name="매크로11" localSheetId="8">[11]!매크로11</definedName>
    <definedName name="매크로11" localSheetId="9">[11]!매크로11</definedName>
    <definedName name="매크로11" localSheetId="26">[11]!매크로11</definedName>
    <definedName name="매크로11" localSheetId="25">[11]!매크로11</definedName>
    <definedName name="매크로11" localSheetId="10">[11]!매크로11</definedName>
    <definedName name="매크로11" localSheetId="11">[11]!매크로11</definedName>
    <definedName name="매크로11" localSheetId="12">[11]!매크로11</definedName>
    <definedName name="매크로11" localSheetId="13">[11]!매크로11</definedName>
    <definedName name="매크로11">[11]!매크로11</definedName>
    <definedName name="매크로4" localSheetId="20">[11]C.배수관공!매크로4</definedName>
    <definedName name="매크로4" localSheetId="22">[11]C.배수관공!매크로4</definedName>
    <definedName name="매크로4" localSheetId="16">[11]C.배수관공!매크로4</definedName>
    <definedName name="매크로4" localSheetId="27">[11]C.배수관공!매크로4</definedName>
    <definedName name="매크로4" localSheetId="29">[11]C.배수관공!매크로4</definedName>
    <definedName name="매크로4" localSheetId="4">[11]C.배수관공!매크로4</definedName>
    <definedName name="매크로4" localSheetId="5">[11]C.배수관공!매크로4</definedName>
    <definedName name="매크로4" localSheetId="6">[11]C.배수관공!매크로4</definedName>
    <definedName name="매크로4" localSheetId="7">[11]C.배수관공!매크로4</definedName>
    <definedName name="매크로4" localSheetId="8">[11]C.배수관공!매크로4</definedName>
    <definedName name="매크로4" localSheetId="9">[11]C.배수관공!매크로4</definedName>
    <definedName name="매크로4" localSheetId="26">[11]C.배수관공!매크로4</definedName>
    <definedName name="매크로4" localSheetId="25">[11]C.배수관공!매크로4</definedName>
    <definedName name="매크로4" localSheetId="10">[11]C.배수관공!매크로4</definedName>
    <definedName name="매크로4" localSheetId="11">[11]C.배수관공!매크로4</definedName>
    <definedName name="매크로4" localSheetId="12">[11]C.배수관공!매크로4</definedName>
    <definedName name="매크로4" localSheetId="13">[11]C.배수관공!매크로4</definedName>
    <definedName name="매크로4">[11]C.배수관공!매크로4</definedName>
    <definedName name="반포면" localSheetId="1" hidden="1">{"'인구추정(면계)'!$I$44:$N$48"}</definedName>
    <definedName name="반포면" localSheetId="16" hidden="1">{"'인구추정(면계)'!$I$44:$N$48"}</definedName>
    <definedName name="반포면" localSheetId="17" hidden="1">{"'인구추정(면계)'!$I$44:$N$48"}</definedName>
    <definedName name="반포면" hidden="1">{"'인구추정(면계)'!$I$44:$N$48"}</definedName>
    <definedName name="보조원">OFFSET([5]용역단가!$B$5,[5]용역단가!$C$3,6)</definedName>
    <definedName name="시도명">[9]DongCode!$B$1:$B$1</definedName>
    <definedName name="ㅇㅇㅇ" localSheetId="16" hidden="1">{"'인구추정(면계)'!$I$44:$N$48"}</definedName>
    <definedName name="ㅇㅇㅇ" localSheetId="17" hidden="1">{"'인구추정(면계)'!$I$44:$N$48"}</definedName>
    <definedName name="ㅇㅇㅇ" hidden="1">{"'인구추정(면계)'!$I$44:$N$48"}</definedName>
    <definedName name="읍면명">[8]과거인구!$B$2:$Q$18</definedName>
    <definedName name="인구지정내역">[9]DongCode!$CQ$10002:$CQ$10005</definedName>
    <definedName name="조건1">IF([12]산근!$C$48=10,67020,IF([12]산근!$C$48=20,88500,IF([12]산근!$C$48=30,108990,IF([12]산근!$C$48=40,128630,IF([12]산근!$C$48=50,142030,IF([12]산근!$C$48=60,151930))))))</definedName>
    <definedName name="조건2">IF([12]산근!$C$48=80,172580,IF([12]산근!$C$48=90,182150,IF([12]산근!$C$48=100,189650,IF([12]산근!$C$48=120,195480,IF([12]산근!$C$48=140,211630,IF([12]산근!$C$48=160,222630))))))</definedName>
    <definedName name="조건3">IF([12]산근!$C$48=200,249790,IF([12]산근!$C$48=230,253200,IF([12]산근!$C$48=260,265760,IF([12]산근!$C$48=290,283590,IF([12]산근!$C$48=320,291520,IF([12]산근!$C$48=350,307080))))))</definedName>
    <definedName name="조건4">IF([12]산근!$C$48=410,342320,IF([12]산근!$C$48=460,368920,IF([12]산근!$C$48=510,391640)))</definedName>
    <definedName name="중급">OFFSET([5]용역단가!$B$5,[5]용역단가!$C$3,4)</definedName>
    <definedName name="진천인구">30272</definedName>
    <definedName name="초급">OFFSET([5]용역단가!$B$5,[5]용역단가!$C$3,5)</definedName>
    <definedName name="추풍령면" localSheetId="1" hidden="1">{"'인구추정(면계)'!$I$44:$N$48"}</definedName>
    <definedName name="추풍령면" localSheetId="16" hidden="1">{"'인구추정(면계)'!$I$44:$N$48"}</definedName>
    <definedName name="추풍령면" localSheetId="17" hidden="1">{"'인구추정(면계)'!$I$44:$N$48"}</definedName>
    <definedName name="추풍령면" hidden="1">{"'인구추정(면계)'!$I$44:$N$48"}</definedName>
    <definedName name="충청북도">[9]DongCode!$B$101:$B$101</definedName>
    <definedName name="충청북도청주시상당구">[13]DongCode!$B$102:$B$140</definedName>
    <definedName name="충청북도청주시흥덕구">[9]DongCode!$B$102:$B$144</definedName>
    <definedName name="특급">OFFSET([5]용역단가!$B$5,[5]용역단가!$C$3,2)</definedName>
    <definedName name="하수량" localSheetId="16" hidden="1">{"'인구추정(면계)'!$I$44:$N$48"}</definedName>
    <definedName name="하수량" localSheetId="17" hidden="1">{"'인구추정(면계)'!$I$44:$N$48"}</definedName>
    <definedName name="하수량" hidden="1">{"'인구추정(면계)'!$I$44:$N$48"}</definedName>
    <definedName name="황간면" localSheetId="1" hidden="1">{"'인구추정(면계)'!$I$44:$N$48"}</definedName>
    <definedName name="황간면" localSheetId="16" hidden="1">{"'인구추정(면계)'!$I$44:$N$48"}</definedName>
    <definedName name="황간면" localSheetId="17" hidden="1">{"'인구추정(면계)'!$I$44:$N$48"}</definedName>
    <definedName name="황간면" hidden="1">{"'인구추정(면계)'!$I$44:$N$48"}</definedName>
    <definedName name="ㅘㅗ허ㅎ" localSheetId="20" hidden="1">#REF!</definedName>
    <definedName name="ㅘㅗ허ㅎ" localSheetId="22" hidden="1">#REF!</definedName>
    <definedName name="ㅘㅗ허ㅎ" localSheetId="26" hidden="1">#REF!</definedName>
    <definedName name="ㅘㅗ허ㅎ" hidden="1">#REF!</definedName>
    <definedName name="ㅠ632">[14]기계경비!$J$61</definedName>
  </definedNames>
  <calcPr calcId="162913"/>
</workbook>
</file>

<file path=xl/calcChain.xml><?xml version="1.0" encoding="utf-8"?>
<calcChain xmlns="http://schemas.openxmlformats.org/spreadsheetml/2006/main">
  <c r="D39" i="1" l="1"/>
  <c r="D28" i="9" l="1"/>
  <c r="F2" i="8" l="1"/>
  <c r="BD95" i="8" l="1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O95" i="8"/>
  <c r="AM95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BD39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BD38" i="8"/>
  <c r="BC38" i="8"/>
  <c r="BB38" i="8"/>
  <c r="BA38" i="8"/>
  <c r="AZ38" i="8"/>
  <c r="AY38" i="8"/>
  <c r="AX38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I38" i="8"/>
  <c r="BD37" i="8"/>
  <c r="BC37" i="8"/>
  <c r="BB37" i="8"/>
  <c r="BA37" i="8"/>
  <c r="AZ37" i="8"/>
  <c r="AY37" i="8"/>
  <c r="AX37" i="8"/>
  <c r="AW37" i="8"/>
  <c r="AV37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I37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BD34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BD4" i="8"/>
  <c r="BC4" i="8"/>
  <c r="BB4" i="8"/>
  <c r="BA4" i="8"/>
  <c r="AZ4" i="8"/>
  <c r="AY4" i="8"/>
  <c r="AX4" i="8"/>
  <c r="AW4" i="8"/>
  <c r="AV4" i="8"/>
  <c r="AU4" i="8"/>
  <c r="AT4" i="8"/>
  <c r="AS4" i="8"/>
  <c r="AR4" i="8"/>
  <c r="AQ4" i="8"/>
  <c r="AP4" i="8"/>
  <c r="AO4" i="8"/>
  <c r="AN4" i="8"/>
  <c r="AM4" i="8"/>
  <c r="AL4" i="8"/>
  <c r="AK4" i="8"/>
  <c r="AJ4" i="8"/>
  <c r="AI4" i="8"/>
  <c r="AE171" i="8" l="1"/>
  <c r="BE52" i="8" l="1"/>
  <c r="BE59" i="8"/>
  <c r="BE60" i="8"/>
  <c r="BE63" i="8"/>
  <c r="BE70" i="8"/>
  <c r="BE94" i="8"/>
  <c r="BE97" i="8"/>
  <c r="BE98" i="8"/>
  <c r="BE103" i="8"/>
  <c r="BE109" i="8"/>
  <c r="BE110" i="8"/>
  <c r="BE112" i="8"/>
  <c r="K6" i="11" l="1"/>
  <c r="J6" i="11"/>
  <c r="I6" i="11"/>
  <c r="H6" i="11"/>
  <c r="G6" i="11"/>
  <c r="F6" i="11"/>
  <c r="E6" i="11"/>
  <c r="D6" i="11"/>
  <c r="C6" i="11"/>
  <c r="K12" i="35" l="1"/>
  <c r="H12" i="35"/>
  <c r="K11" i="35"/>
  <c r="H11" i="35"/>
  <c r="K10" i="35"/>
  <c r="H10" i="35"/>
  <c r="K9" i="35"/>
  <c r="H9" i="35"/>
  <c r="K8" i="35"/>
  <c r="H8" i="35"/>
  <c r="K7" i="35"/>
  <c r="H7" i="35"/>
  <c r="K6" i="35"/>
  <c r="H6" i="35"/>
  <c r="K14" i="35"/>
  <c r="H14" i="35"/>
  <c r="E14" i="35"/>
  <c r="D14" i="35"/>
  <c r="K13" i="35"/>
  <c r="H13" i="35"/>
  <c r="E13" i="35"/>
  <c r="D13" i="35"/>
  <c r="E12" i="35"/>
  <c r="D12" i="35"/>
  <c r="E11" i="35"/>
  <c r="D11" i="35"/>
  <c r="E10" i="35"/>
  <c r="D10" i="35"/>
  <c r="E9" i="35"/>
  <c r="D9" i="35"/>
  <c r="E8" i="35"/>
  <c r="D8" i="35"/>
  <c r="E7" i="35"/>
  <c r="D7" i="35"/>
  <c r="E6" i="35"/>
  <c r="D6" i="35"/>
  <c r="E5" i="35"/>
  <c r="F14" i="36" l="1"/>
  <c r="F28" i="36" s="1"/>
  <c r="F13" i="36"/>
  <c r="F27" i="36" s="1"/>
  <c r="F12" i="36"/>
  <c r="F26" i="36" s="1"/>
  <c r="F11" i="36"/>
  <c r="F25" i="36" s="1"/>
  <c r="F10" i="36"/>
  <c r="F24" i="36" s="1"/>
  <c r="F9" i="36"/>
  <c r="F23" i="36" s="1"/>
  <c r="F8" i="36"/>
  <c r="F22" i="36" s="1"/>
  <c r="F7" i="36"/>
  <c r="F21" i="36" s="1"/>
  <c r="F6" i="36"/>
  <c r="F20" i="36" s="1"/>
  <c r="E14" i="36"/>
  <c r="E28" i="36" s="1"/>
  <c r="E13" i="36"/>
  <c r="E27" i="36" s="1"/>
  <c r="E12" i="36"/>
  <c r="E26" i="36" s="1"/>
  <c r="E11" i="36"/>
  <c r="E25" i="36" s="1"/>
  <c r="E10" i="36"/>
  <c r="E24" i="36" s="1"/>
  <c r="E9" i="36"/>
  <c r="E23" i="36" s="1"/>
  <c r="E8" i="36"/>
  <c r="E22" i="36" s="1"/>
  <c r="E7" i="36"/>
  <c r="E21" i="36" s="1"/>
  <c r="E6" i="36"/>
  <c r="E20" i="36" s="1"/>
  <c r="D14" i="36"/>
  <c r="D13" i="36"/>
  <c r="D12" i="36"/>
  <c r="D11" i="36"/>
  <c r="D10" i="36"/>
  <c r="D9" i="36"/>
  <c r="D8" i="36"/>
  <c r="D7" i="36"/>
  <c r="D6" i="36"/>
  <c r="D5" i="36" l="1"/>
  <c r="J225" i="2" l="1"/>
  <c r="H246" i="8" s="1"/>
  <c r="N20" i="10"/>
  <c r="M20" i="10"/>
  <c r="I235" i="2"/>
  <c r="L235" i="2"/>
  <c r="K235" i="2"/>
  <c r="J236" i="2"/>
  <c r="L231" i="2"/>
  <c r="K231" i="2"/>
  <c r="J242" i="2"/>
  <c r="H262" i="8" s="1"/>
  <c r="J241" i="2"/>
  <c r="H261" i="8" s="1"/>
  <c r="J239" i="2"/>
  <c r="J237" i="2"/>
  <c r="J234" i="2"/>
  <c r="J233" i="2"/>
  <c r="H253" i="8" s="1"/>
  <c r="J232" i="2"/>
  <c r="J230" i="2"/>
  <c r="J228" i="2"/>
  <c r="J226" i="2"/>
  <c r="J223" i="2"/>
  <c r="J222" i="2"/>
  <c r="J221" i="2" s="1"/>
  <c r="J220" i="2"/>
  <c r="L221" i="2"/>
  <c r="K221" i="2"/>
  <c r="I221" i="2"/>
  <c r="G182" i="2"/>
  <c r="H182" i="2"/>
  <c r="I182" i="2"/>
  <c r="K182" i="2"/>
  <c r="L182" i="2"/>
  <c r="J183" i="2"/>
  <c r="H218" i="8" s="1"/>
  <c r="F218" i="10" s="1"/>
  <c r="J184" i="2"/>
  <c r="H219" i="8" s="1"/>
  <c r="L179" i="2"/>
  <c r="K179" i="2"/>
  <c r="I179" i="2"/>
  <c r="H179" i="2"/>
  <c r="G179" i="2"/>
  <c r="J180" i="2"/>
  <c r="H215" i="8" s="1"/>
  <c r="J118" i="2"/>
  <c r="H133" i="8" s="1"/>
  <c r="F133" i="10" s="1"/>
  <c r="J15" i="2"/>
  <c r="H19" i="8" s="1"/>
  <c r="F19" i="10" s="1"/>
  <c r="L240" i="2"/>
  <c r="K240" i="2"/>
  <c r="H240" i="2"/>
  <c r="G240" i="2"/>
  <c r="F240" i="2"/>
  <c r="I240" i="2"/>
  <c r="F246" i="10" l="1"/>
  <c r="J235" i="2"/>
  <c r="F261" i="10"/>
  <c r="J231" i="2"/>
  <c r="H243" i="8"/>
  <c r="H256" i="8"/>
  <c r="F256" i="10" s="1"/>
  <c r="F215" i="10"/>
  <c r="F253" i="10"/>
  <c r="H260" i="8"/>
  <c r="F219" i="10"/>
  <c r="J240" i="2"/>
  <c r="F243" i="10" l="1"/>
  <c r="P61" i="3" l="1"/>
  <c r="P60" i="3"/>
  <c r="P59" i="3"/>
  <c r="T12" i="3"/>
  <c r="T11" i="3"/>
  <c r="T10" i="3"/>
  <c r="T9" i="3"/>
  <c r="R12" i="3"/>
  <c r="S12" i="3" s="1"/>
  <c r="R11" i="3"/>
  <c r="S11" i="3" s="1"/>
  <c r="R10" i="3"/>
  <c r="S10" i="3" s="1"/>
  <c r="R9" i="3"/>
  <c r="S9" i="3" s="1"/>
  <c r="T8" i="3"/>
  <c r="R7" i="3"/>
  <c r="S7" i="3" s="1"/>
  <c r="T7" i="3" s="1"/>
  <c r="S78" i="49"/>
  <c r="R78" i="49"/>
  <c r="T78" i="49" s="1"/>
  <c r="U78" i="49" s="1"/>
  <c r="P78" i="49"/>
  <c r="J78" i="49"/>
  <c r="I78" i="49"/>
  <c r="H78" i="49"/>
  <c r="G78" i="49"/>
  <c r="C78" i="49"/>
  <c r="S77" i="49"/>
  <c r="R77" i="49"/>
  <c r="T77" i="49" s="1"/>
  <c r="U77" i="49" s="1"/>
  <c r="P77" i="49"/>
  <c r="L77" i="49"/>
  <c r="K77" i="49"/>
  <c r="R76" i="49"/>
  <c r="T76" i="49" s="1"/>
  <c r="U76" i="49" s="1"/>
  <c r="Q76" i="49"/>
  <c r="S76" i="49" s="1"/>
  <c r="P76" i="49"/>
  <c r="L76" i="49"/>
  <c r="K76" i="49"/>
  <c r="K78" i="49" s="1"/>
  <c r="L75" i="49"/>
  <c r="J70" i="49"/>
  <c r="I70" i="49"/>
  <c r="G70" i="49"/>
  <c r="C70" i="49"/>
  <c r="L69" i="49"/>
  <c r="K69" i="49"/>
  <c r="L68" i="49"/>
  <c r="K68" i="49"/>
  <c r="L67" i="49"/>
  <c r="K67" i="49"/>
  <c r="L66" i="49"/>
  <c r="K66" i="49"/>
  <c r="L65" i="49"/>
  <c r="K65" i="49"/>
  <c r="L64" i="49"/>
  <c r="K64" i="49"/>
  <c r="L63" i="49"/>
  <c r="K63" i="49"/>
  <c r="L62" i="49"/>
  <c r="K62" i="49"/>
  <c r="L61" i="49"/>
  <c r="K61" i="49"/>
  <c r="L60" i="49"/>
  <c r="K60" i="49"/>
  <c r="L59" i="49"/>
  <c r="K59" i="49"/>
  <c r="L58" i="49"/>
  <c r="K58" i="49"/>
  <c r="L57" i="49"/>
  <c r="K57" i="49"/>
  <c r="L56" i="49"/>
  <c r="K56" i="49"/>
  <c r="T55" i="49"/>
  <c r="S55" i="49"/>
  <c r="U55" i="49" s="1"/>
  <c r="W55" i="49" s="1"/>
  <c r="K55" i="49"/>
  <c r="T54" i="49"/>
  <c r="S54" i="49"/>
  <c r="U54" i="49" s="1"/>
  <c r="V54" i="49" s="1"/>
  <c r="W54" i="49" s="1"/>
  <c r="H55" i="49" s="1"/>
  <c r="Q54" i="49"/>
  <c r="L54" i="49"/>
  <c r="K54" i="49"/>
  <c r="T53" i="49"/>
  <c r="S53" i="49"/>
  <c r="U53" i="49" s="1"/>
  <c r="Q53" i="49"/>
  <c r="L53" i="49"/>
  <c r="K53" i="49"/>
  <c r="T52" i="49"/>
  <c r="S52" i="49"/>
  <c r="U52" i="49" s="1"/>
  <c r="V52" i="49" s="1"/>
  <c r="W52" i="49" s="1"/>
  <c r="Q52" i="49"/>
  <c r="L52" i="49"/>
  <c r="K52" i="49"/>
  <c r="T51" i="49"/>
  <c r="S51" i="49"/>
  <c r="U51" i="49" s="1"/>
  <c r="Q51" i="49"/>
  <c r="L51" i="49"/>
  <c r="K51" i="49"/>
  <c r="T50" i="49"/>
  <c r="S50" i="49"/>
  <c r="U50" i="49" s="1"/>
  <c r="V50" i="49" s="1"/>
  <c r="W50" i="49" s="1"/>
  <c r="Q50" i="49"/>
  <c r="L50" i="49"/>
  <c r="K50" i="49"/>
  <c r="T49" i="49"/>
  <c r="S49" i="49"/>
  <c r="U49" i="49" s="1"/>
  <c r="Q49" i="49"/>
  <c r="L49" i="49"/>
  <c r="K49" i="49"/>
  <c r="T48" i="49"/>
  <c r="S48" i="49"/>
  <c r="U48" i="49" s="1"/>
  <c r="V48" i="49" s="1"/>
  <c r="W48" i="49" s="1"/>
  <c r="Q48" i="49"/>
  <c r="L48" i="49"/>
  <c r="K48" i="49"/>
  <c r="T47" i="49"/>
  <c r="S47" i="49"/>
  <c r="U47" i="49" s="1"/>
  <c r="Q47" i="49"/>
  <c r="L47" i="49"/>
  <c r="K47" i="49"/>
  <c r="T46" i="49"/>
  <c r="S46" i="49"/>
  <c r="U46" i="49" s="1"/>
  <c r="V46" i="49" s="1"/>
  <c r="W46" i="49" s="1"/>
  <c r="Q46" i="49"/>
  <c r="L46" i="49"/>
  <c r="K46" i="49"/>
  <c r="T45" i="49"/>
  <c r="S45" i="49"/>
  <c r="U45" i="49" s="1"/>
  <c r="Q45" i="49"/>
  <c r="L45" i="49"/>
  <c r="K45" i="49"/>
  <c r="T44" i="49"/>
  <c r="S44" i="49"/>
  <c r="U44" i="49" s="1"/>
  <c r="V44" i="49" s="1"/>
  <c r="W44" i="49" s="1"/>
  <c r="Q44" i="49"/>
  <c r="I40" i="49"/>
  <c r="G40" i="49"/>
  <c r="C40" i="49"/>
  <c r="K39" i="49"/>
  <c r="J39" i="49"/>
  <c r="H39" i="49"/>
  <c r="L39" i="49" s="1"/>
  <c r="K38" i="49"/>
  <c r="J38" i="49"/>
  <c r="H38" i="49"/>
  <c r="L38" i="49" s="1"/>
  <c r="K37" i="49"/>
  <c r="J37" i="49"/>
  <c r="H37" i="49"/>
  <c r="L37" i="49" s="1"/>
  <c r="K36" i="49"/>
  <c r="H36" i="49"/>
  <c r="L36" i="49" s="1"/>
  <c r="K35" i="49"/>
  <c r="H35" i="49"/>
  <c r="L35" i="49" s="1"/>
  <c r="K34" i="49"/>
  <c r="H34" i="49"/>
  <c r="L34" i="49" s="1"/>
  <c r="K33" i="49"/>
  <c r="H33" i="49"/>
  <c r="L33" i="49" s="1"/>
  <c r="K32" i="49"/>
  <c r="H32" i="49"/>
  <c r="L32" i="49" s="1"/>
  <c r="K31" i="49"/>
  <c r="H31" i="49"/>
  <c r="L31" i="49" s="1"/>
  <c r="K30" i="49"/>
  <c r="H30" i="49"/>
  <c r="L30" i="49" s="1"/>
  <c r="K29" i="49"/>
  <c r="J29" i="49"/>
  <c r="H29" i="49"/>
  <c r="K28" i="49"/>
  <c r="J28" i="49"/>
  <c r="H28" i="49"/>
  <c r="S27" i="49"/>
  <c r="K27" i="49"/>
  <c r="J27" i="49"/>
  <c r="H27" i="49"/>
  <c r="L27" i="49" s="1"/>
  <c r="K26" i="49"/>
  <c r="J26" i="49"/>
  <c r="H26" i="49"/>
  <c r="K25" i="49"/>
  <c r="J25" i="49"/>
  <c r="H25" i="49"/>
  <c r="K24" i="49"/>
  <c r="H24" i="49"/>
  <c r="L24" i="49" s="1"/>
  <c r="S23" i="49"/>
  <c r="T22" i="49" s="1"/>
  <c r="V22" i="49" s="1"/>
  <c r="K23" i="49"/>
  <c r="J23" i="49"/>
  <c r="H23" i="49"/>
  <c r="L23" i="49" s="1"/>
  <c r="K22" i="49"/>
  <c r="J22" i="49"/>
  <c r="H22" i="49"/>
  <c r="L22" i="49" s="1"/>
  <c r="T21" i="49"/>
  <c r="V21" i="49" s="1"/>
  <c r="K21" i="49"/>
  <c r="J21" i="49"/>
  <c r="H21" i="49"/>
  <c r="L21" i="49" s="1"/>
  <c r="K20" i="49"/>
  <c r="J20" i="49"/>
  <c r="H20" i="49"/>
  <c r="K19" i="49"/>
  <c r="J19" i="49"/>
  <c r="H19" i="49"/>
  <c r="L19" i="49" s="1"/>
  <c r="R18" i="49"/>
  <c r="K18" i="49"/>
  <c r="J18" i="49"/>
  <c r="H18" i="49"/>
  <c r="J13" i="49"/>
  <c r="I13" i="49"/>
  <c r="H13" i="49"/>
  <c r="G13" i="49"/>
  <c r="C13" i="49"/>
  <c r="L12" i="49"/>
  <c r="K12" i="49"/>
  <c r="L11" i="49"/>
  <c r="K11" i="49"/>
  <c r="L10" i="49"/>
  <c r="K10" i="49"/>
  <c r="L9" i="49"/>
  <c r="K9" i="49"/>
  <c r="L8" i="49"/>
  <c r="K8" i="49"/>
  <c r="L7" i="49"/>
  <c r="K7" i="49"/>
  <c r="L6" i="49"/>
  <c r="K6" i="49"/>
  <c r="K13" i="49" s="1"/>
  <c r="L20" i="49" l="1"/>
  <c r="L26" i="49"/>
  <c r="L13" i="49"/>
  <c r="V45" i="49"/>
  <c r="W45" i="49" s="1"/>
  <c r="V49" i="49"/>
  <c r="W49" i="49" s="1"/>
  <c r="V53" i="49"/>
  <c r="W53" i="49" s="1"/>
  <c r="H40" i="49"/>
  <c r="L29" i="49"/>
  <c r="L28" i="49"/>
  <c r="J40" i="49"/>
  <c r="K70" i="49"/>
  <c r="K40" i="49"/>
  <c r="L25" i="49"/>
  <c r="V47" i="49"/>
  <c r="W47" i="49" s="1"/>
  <c r="V51" i="49"/>
  <c r="W51" i="49" s="1"/>
  <c r="L78" i="49"/>
  <c r="H70" i="49"/>
  <c r="L55" i="49"/>
  <c r="L70" i="49" s="1"/>
  <c r="T20" i="49"/>
  <c r="V20" i="49" s="1"/>
  <c r="L18" i="49"/>
  <c r="L40" i="49" s="1"/>
  <c r="C38" i="5" l="1"/>
  <c r="B99" i="5"/>
  <c r="Y146" i="48" l="1"/>
  <c r="Y142" i="48"/>
  <c r="D137" i="48"/>
  <c r="Z59" i="48"/>
  <c r="Y59" i="48"/>
  <c r="X59" i="48"/>
  <c r="W59" i="48"/>
  <c r="V59" i="48"/>
  <c r="U59" i="48"/>
  <c r="T59" i="48"/>
  <c r="S59" i="48"/>
  <c r="R59" i="48"/>
  <c r="Q59" i="48"/>
  <c r="Z52" i="48"/>
  <c r="Y52" i="48"/>
  <c r="X52" i="48"/>
  <c r="W52" i="48"/>
  <c r="V52" i="48"/>
  <c r="U52" i="48"/>
  <c r="T52" i="48"/>
  <c r="S52" i="48"/>
  <c r="R52" i="48"/>
  <c r="Q52" i="48"/>
  <c r="Z45" i="48"/>
  <c r="Y45" i="48"/>
  <c r="X45" i="48"/>
  <c r="W45" i="48"/>
  <c r="V45" i="48"/>
  <c r="U45" i="48"/>
  <c r="T45" i="48"/>
  <c r="S45" i="48"/>
  <c r="R45" i="48"/>
  <c r="Q45" i="48"/>
  <c r="Z38" i="48"/>
  <c r="Y38" i="48"/>
  <c r="X38" i="48"/>
  <c r="W38" i="48"/>
  <c r="V38" i="48"/>
  <c r="U38" i="48"/>
  <c r="T38" i="48"/>
  <c r="S38" i="48"/>
  <c r="R38" i="48"/>
  <c r="Q38" i="48"/>
  <c r="Z31" i="48"/>
  <c r="Y31" i="48"/>
  <c r="X31" i="48"/>
  <c r="W31" i="48"/>
  <c r="V31" i="48"/>
  <c r="U31" i="48"/>
  <c r="T31" i="48"/>
  <c r="S31" i="48"/>
  <c r="R31" i="48"/>
  <c r="Q31" i="48"/>
  <c r="Z24" i="48"/>
  <c r="Y24" i="48"/>
  <c r="X24" i="48"/>
  <c r="W24" i="48"/>
  <c r="V24" i="48"/>
  <c r="U24" i="48"/>
  <c r="T24" i="48"/>
  <c r="S24" i="48"/>
  <c r="R24" i="48"/>
  <c r="Q24" i="48"/>
  <c r="N14" i="48"/>
  <c r="N13" i="48"/>
  <c r="N12" i="48"/>
  <c r="N11" i="48"/>
  <c r="N10" i="48"/>
  <c r="N9" i="48"/>
  <c r="T8" i="48"/>
  <c r="Q5" i="48" s="1"/>
  <c r="N8" i="48"/>
  <c r="N7" i="48"/>
  <c r="N6" i="48"/>
  <c r="K6" i="48"/>
  <c r="J6" i="48"/>
  <c r="I6" i="48"/>
  <c r="H6" i="48"/>
  <c r="G6" i="48"/>
  <c r="F6" i="48"/>
  <c r="E6" i="48"/>
  <c r="D6" i="48"/>
  <c r="C6" i="48"/>
  <c r="T5" i="48"/>
  <c r="P5" i="48"/>
  <c r="Q7" i="48" l="1"/>
  <c r="Q6" i="48"/>
  <c r="Q10" i="48"/>
  <c r="R60" i="48"/>
  <c r="Q60" i="48"/>
  <c r="U60" i="48"/>
  <c r="Y60" i="48"/>
  <c r="S60" i="48"/>
  <c r="W60" i="48"/>
  <c r="Z60" i="48"/>
  <c r="T60" i="48"/>
  <c r="X60" i="48"/>
  <c r="V60" i="48"/>
  <c r="B6" i="48"/>
  <c r="F7" i="48" s="1"/>
  <c r="Q8" i="48"/>
  <c r="Q9" i="48"/>
  <c r="Q11" i="48"/>
  <c r="Q12" i="48"/>
  <c r="Q13" i="48"/>
  <c r="Q14" i="48"/>
  <c r="D75" i="48" l="1"/>
  <c r="E75" i="48" s="1"/>
  <c r="D99" i="48"/>
  <c r="E99" i="48" s="1"/>
  <c r="D87" i="48"/>
  <c r="E87" i="48" s="1"/>
  <c r="D111" i="48"/>
  <c r="E111" i="48" s="1"/>
  <c r="D26" i="48"/>
  <c r="E26" i="48" s="1"/>
  <c r="D14" i="48"/>
  <c r="E14" i="48" s="1"/>
  <c r="O9" i="48"/>
  <c r="D125" i="48"/>
  <c r="E125" i="48" s="1"/>
  <c r="D63" i="48"/>
  <c r="E63" i="48" s="1"/>
  <c r="D38" i="48"/>
  <c r="E38" i="48" s="1"/>
  <c r="J7" i="48"/>
  <c r="K7" i="48"/>
  <c r="G7" i="48"/>
  <c r="C7" i="48"/>
  <c r="I7" i="48"/>
  <c r="H7" i="48"/>
  <c r="L7" i="48"/>
  <c r="D7" i="48"/>
  <c r="E7" i="48"/>
  <c r="K50" i="34"/>
  <c r="J50" i="34"/>
  <c r="K47" i="34"/>
  <c r="J47" i="34"/>
  <c r="K42" i="34"/>
  <c r="J42" i="34"/>
  <c r="K32" i="34"/>
  <c r="J32" i="34"/>
  <c r="I32" i="34"/>
  <c r="G32" i="34"/>
  <c r="K25" i="34"/>
  <c r="J25" i="34"/>
  <c r="K13" i="34"/>
  <c r="J13" i="34"/>
  <c r="K5" i="34"/>
  <c r="J5" i="34"/>
  <c r="D104" i="48" l="1"/>
  <c r="E104" i="48" s="1"/>
  <c r="D116" i="48"/>
  <c r="E116" i="48" s="1"/>
  <c r="D68" i="48"/>
  <c r="E68" i="48" s="1"/>
  <c r="D56" i="48"/>
  <c r="E56" i="48" s="1"/>
  <c r="D32" i="48"/>
  <c r="E32" i="48" s="1"/>
  <c r="D92" i="48"/>
  <c r="E92" i="48" s="1"/>
  <c r="D80" i="48"/>
  <c r="E80" i="48" s="1"/>
  <c r="D44" i="48"/>
  <c r="E44" i="48" s="1"/>
  <c r="D20" i="48"/>
  <c r="E20" i="48" s="1"/>
  <c r="D129" i="48"/>
  <c r="E129" i="48" s="1"/>
  <c r="D90" i="48"/>
  <c r="E90" i="48" s="1"/>
  <c r="D78" i="48"/>
  <c r="E78" i="48" s="1"/>
  <c r="D115" i="48"/>
  <c r="E115" i="48" s="1"/>
  <c r="D30" i="48"/>
  <c r="E30" i="48" s="1"/>
  <c r="O13" i="48"/>
  <c r="D42" i="48"/>
  <c r="E42" i="48" s="1"/>
  <c r="D18" i="48"/>
  <c r="E18" i="48" s="1"/>
  <c r="D54" i="48"/>
  <c r="E54" i="48" s="1"/>
  <c r="D66" i="48"/>
  <c r="E66" i="48" s="1"/>
  <c r="D113" i="48"/>
  <c r="E113" i="48" s="1"/>
  <c r="D127" i="48"/>
  <c r="E127" i="48" s="1"/>
  <c r="D89" i="48"/>
  <c r="E89" i="48" s="1"/>
  <c r="D64" i="48"/>
  <c r="E64" i="48" s="1"/>
  <c r="D101" i="48"/>
  <c r="E101" i="48" s="1"/>
  <c r="D52" i="48"/>
  <c r="E52" i="48" s="1"/>
  <c r="D28" i="48"/>
  <c r="E28" i="48" s="1"/>
  <c r="D40" i="48"/>
  <c r="E40" i="48" s="1"/>
  <c r="D16" i="48"/>
  <c r="E16" i="48" s="1"/>
  <c r="O11" i="48"/>
  <c r="D124" i="48"/>
  <c r="E124" i="48" s="1"/>
  <c r="D74" i="48"/>
  <c r="E74" i="48" s="1"/>
  <c r="D98" i="48"/>
  <c r="E98" i="48" s="1"/>
  <c r="D86" i="48"/>
  <c r="E86" i="48" s="1"/>
  <c r="D110" i="48"/>
  <c r="E110" i="48" s="1"/>
  <c r="D50" i="48"/>
  <c r="E50" i="48" s="1"/>
  <c r="O8" i="48"/>
  <c r="D62" i="48"/>
  <c r="E62" i="48" s="1"/>
  <c r="D25" i="48"/>
  <c r="E25" i="48" s="1"/>
  <c r="D13" i="48"/>
  <c r="E13" i="48" s="1"/>
  <c r="D128" i="48"/>
  <c r="E128" i="48" s="1"/>
  <c r="D65" i="48"/>
  <c r="E65" i="48" s="1"/>
  <c r="D102" i="48"/>
  <c r="E102" i="48" s="1"/>
  <c r="D77" i="48"/>
  <c r="E77" i="48" s="1"/>
  <c r="D29" i="48"/>
  <c r="E29" i="48" s="1"/>
  <c r="D41" i="48"/>
  <c r="E41" i="48" s="1"/>
  <c r="D17" i="48"/>
  <c r="E17" i="48" s="1"/>
  <c r="D114" i="48"/>
  <c r="E114" i="48" s="1"/>
  <c r="D53" i="48"/>
  <c r="E53" i="48" s="1"/>
  <c r="O12" i="48"/>
  <c r="D96" i="48"/>
  <c r="D84" i="48"/>
  <c r="D108" i="48"/>
  <c r="D122" i="48"/>
  <c r="D72" i="48"/>
  <c r="D24" i="48"/>
  <c r="D36" i="48"/>
  <c r="D48" i="48"/>
  <c r="D60" i="48"/>
  <c r="B7" i="48"/>
  <c r="O6" i="48"/>
  <c r="D100" i="48"/>
  <c r="E100" i="48" s="1"/>
  <c r="D112" i="48"/>
  <c r="E112" i="48" s="1"/>
  <c r="D126" i="48"/>
  <c r="E126" i="48" s="1"/>
  <c r="D76" i="48"/>
  <c r="E76" i="48" s="1"/>
  <c r="D39" i="48"/>
  <c r="E39" i="48" s="1"/>
  <c r="D15" i="48"/>
  <c r="E15" i="48" s="1"/>
  <c r="D88" i="48"/>
  <c r="E88" i="48" s="1"/>
  <c r="D51" i="48"/>
  <c r="E51" i="48" s="1"/>
  <c r="D27" i="48"/>
  <c r="E27" i="48" s="1"/>
  <c r="O10" i="48"/>
  <c r="D109" i="48"/>
  <c r="E109" i="48" s="1"/>
  <c r="D123" i="48"/>
  <c r="E123" i="48" s="1"/>
  <c r="D61" i="48"/>
  <c r="E61" i="48" s="1"/>
  <c r="D73" i="48"/>
  <c r="E73" i="48" s="1"/>
  <c r="D37" i="48"/>
  <c r="E37" i="48" s="1"/>
  <c r="D12" i="48"/>
  <c r="D49" i="48"/>
  <c r="E49" i="48" s="1"/>
  <c r="D97" i="48"/>
  <c r="E97" i="48" s="1"/>
  <c r="D85" i="48"/>
  <c r="E85" i="48" s="1"/>
  <c r="O7" i="48"/>
  <c r="D130" i="48"/>
  <c r="E130" i="48" s="1"/>
  <c r="D91" i="48"/>
  <c r="E91" i="48" s="1"/>
  <c r="D79" i="48"/>
  <c r="E79" i="48" s="1"/>
  <c r="D103" i="48"/>
  <c r="E103" i="48" s="1"/>
  <c r="D67" i="48"/>
  <c r="E67" i="48" s="1"/>
  <c r="D43" i="48"/>
  <c r="E43" i="48" s="1"/>
  <c r="D19" i="48"/>
  <c r="E19" i="48" s="1"/>
  <c r="O14" i="48"/>
  <c r="D55" i="48"/>
  <c r="E55" i="48" s="1"/>
  <c r="D31" i="48"/>
  <c r="E31" i="48" s="1"/>
  <c r="J4" i="34"/>
  <c r="K4" i="34"/>
  <c r="O56" i="39"/>
  <c r="K56" i="39"/>
  <c r="F56" i="39"/>
  <c r="G56" i="39" s="1"/>
  <c r="O55" i="39"/>
  <c r="K55" i="39"/>
  <c r="F55" i="39"/>
  <c r="G55" i="39" s="1"/>
  <c r="O54" i="39"/>
  <c r="K54" i="39"/>
  <c r="F54" i="39"/>
  <c r="G54" i="39" s="1"/>
  <c r="O53" i="39"/>
  <c r="K53" i="39"/>
  <c r="F53" i="39"/>
  <c r="G53" i="39" s="1"/>
  <c r="O52" i="39"/>
  <c r="K52" i="39"/>
  <c r="F52" i="39"/>
  <c r="G52" i="39" s="1"/>
  <c r="O51" i="39"/>
  <c r="K51" i="39"/>
  <c r="F51" i="39"/>
  <c r="G51" i="39" s="1"/>
  <c r="O50" i="39"/>
  <c r="K50" i="39"/>
  <c r="F50" i="39"/>
  <c r="G50" i="39" s="1"/>
  <c r="O49" i="39"/>
  <c r="K49" i="39"/>
  <c r="F49" i="39"/>
  <c r="G49" i="39" s="1"/>
  <c r="O48" i="39"/>
  <c r="K48" i="39"/>
  <c r="F48" i="39"/>
  <c r="G48" i="39" s="1"/>
  <c r="O47" i="39"/>
  <c r="K47" i="39"/>
  <c r="F47" i="39"/>
  <c r="G47" i="39" s="1"/>
  <c r="O46" i="39"/>
  <c r="K46" i="39"/>
  <c r="F46" i="39"/>
  <c r="G46" i="39" s="1"/>
  <c r="O45" i="39"/>
  <c r="K45" i="39"/>
  <c r="F45" i="39"/>
  <c r="G45" i="39" s="1"/>
  <c r="O44" i="39"/>
  <c r="K44" i="39"/>
  <c r="F44" i="39"/>
  <c r="G44" i="39" s="1"/>
  <c r="O43" i="39"/>
  <c r="K43" i="39"/>
  <c r="F43" i="39"/>
  <c r="G43" i="39" s="1"/>
  <c r="O42" i="39"/>
  <c r="K42" i="39"/>
  <c r="F42" i="39"/>
  <c r="G42" i="39" s="1"/>
  <c r="O41" i="39"/>
  <c r="K41" i="39"/>
  <c r="F41" i="39"/>
  <c r="G41" i="39" s="1"/>
  <c r="O40" i="39"/>
  <c r="K40" i="39"/>
  <c r="F40" i="39"/>
  <c r="G40" i="39" s="1"/>
  <c r="O39" i="39"/>
  <c r="K39" i="39"/>
  <c r="F39" i="39"/>
  <c r="G39" i="39" s="1"/>
  <c r="O38" i="39"/>
  <c r="K38" i="39"/>
  <c r="F38" i="39"/>
  <c r="G38" i="39" s="1"/>
  <c r="O37" i="39"/>
  <c r="K37" i="39"/>
  <c r="F37" i="39"/>
  <c r="G37" i="39" s="1"/>
  <c r="O36" i="39"/>
  <c r="K36" i="39"/>
  <c r="F36" i="39"/>
  <c r="G36" i="39" s="1"/>
  <c r="O35" i="39"/>
  <c r="K35" i="39"/>
  <c r="F35" i="39"/>
  <c r="G35" i="39" s="1"/>
  <c r="O34" i="39"/>
  <c r="K34" i="39"/>
  <c r="F34" i="39"/>
  <c r="G34" i="39" s="1"/>
  <c r="O33" i="39"/>
  <c r="K33" i="39"/>
  <c r="F33" i="39"/>
  <c r="G33" i="39" s="1"/>
  <c r="O32" i="39"/>
  <c r="K32" i="39"/>
  <c r="F32" i="39"/>
  <c r="G32" i="39" s="1"/>
  <c r="O31" i="39"/>
  <c r="K31" i="39"/>
  <c r="F31" i="39"/>
  <c r="G31" i="39" s="1"/>
  <c r="O30" i="39"/>
  <c r="K30" i="39"/>
  <c r="F30" i="39"/>
  <c r="G30" i="39" s="1"/>
  <c r="O29" i="39"/>
  <c r="K29" i="39"/>
  <c r="F29" i="39"/>
  <c r="G29" i="39" s="1"/>
  <c r="O28" i="39"/>
  <c r="K28" i="39"/>
  <c r="F28" i="39"/>
  <c r="G28" i="39" s="1"/>
  <c r="O27" i="39"/>
  <c r="K27" i="39"/>
  <c r="F27" i="39"/>
  <c r="G27" i="39" s="1"/>
  <c r="O26" i="39"/>
  <c r="K26" i="39"/>
  <c r="F26" i="39"/>
  <c r="G26" i="39" s="1"/>
  <c r="O25" i="39"/>
  <c r="K25" i="39"/>
  <c r="F25" i="39"/>
  <c r="G25" i="39" s="1"/>
  <c r="O24" i="39"/>
  <c r="K24" i="39"/>
  <c r="F24" i="39"/>
  <c r="G24" i="39" s="1"/>
  <c r="O23" i="39"/>
  <c r="K23" i="39"/>
  <c r="F23" i="39"/>
  <c r="G23" i="39" s="1"/>
  <c r="O22" i="39"/>
  <c r="K22" i="39"/>
  <c r="F22" i="39"/>
  <c r="G22" i="39" s="1"/>
  <c r="O21" i="39"/>
  <c r="K21" i="39"/>
  <c r="F21" i="39"/>
  <c r="G21" i="39" s="1"/>
  <c r="O20" i="39"/>
  <c r="K20" i="39"/>
  <c r="F20" i="39"/>
  <c r="G20" i="39" s="1"/>
  <c r="O19" i="39"/>
  <c r="K19" i="39"/>
  <c r="F19" i="39"/>
  <c r="G19" i="39" s="1"/>
  <c r="O18" i="39"/>
  <c r="K18" i="39"/>
  <c r="F18" i="39"/>
  <c r="G18" i="39" s="1"/>
  <c r="O17" i="39"/>
  <c r="K17" i="39"/>
  <c r="F17" i="39"/>
  <c r="G17" i="39" s="1"/>
  <c r="O16" i="39"/>
  <c r="K16" i="39"/>
  <c r="F16" i="39"/>
  <c r="G16" i="39" s="1"/>
  <c r="O15" i="39"/>
  <c r="K15" i="39"/>
  <c r="F15" i="39"/>
  <c r="G15" i="39" s="1"/>
  <c r="O14" i="39"/>
  <c r="K14" i="39"/>
  <c r="F14" i="39"/>
  <c r="G14" i="39" s="1"/>
  <c r="O13" i="39"/>
  <c r="K13" i="39"/>
  <c r="F13" i="39"/>
  <c r="G13" i="39" s="1"/>
  <c r="O12" i="39"/>
  <c r="K12" i="39"/>
  <c r="F12" i="39"/>
  <c r="G12" i="39" s="1"/>
  <c r="O11" i="39"/>
  <c r="K11" i="39"/>
  <c r="F11" i="39"/>
  <c r="G11" i="39" s="1"/>
  <c r="O10" i="39"/>
  <c r="K10" i="39"/>
  <c r="F10" i="39"/>
  <c r="G10" i="39" s="1"/>
  <c r="O9" i="39"/>
  <c r="K9" i="39"/>
  <c r="F9" i="39"/>
  <c r="G9" i="39" s="1"/>
  <c r="O8" i="39"/>
  <c r="K8" i="39"/>
  <c r="F8" i="39"/>
  <c r="G8" i="39" s="1"/>
  <c r="O7" i="39"/>
  <c r="K7" i="39"/>
  <c r="F7" i="39"/>
  <c r="G7" i="39" s="1"/>
  <c r="O6" i="39"/>
  <c r="K6" i="39"/>
  <c r="F6" i="39"/>
  <c r="G6" i="39" s="1"/>
  <c r="O5" i="39"/>
  <c r="K5" i="39"/>
  <c r="F5" i="39"/>
  <c r="G5" i="39" s="1"/>
  <c r="N4" i="39"/>
  <c r="M4" i="39"/>
  <c r="L4" i="39"/>
  <c r="J4" i="39"/>
  <c r="I4" i="39"/>
  <c r="K4" i="39" s="1"/>
  <c r="H4" i="39"/>
  <c r="E4" i="39"/>
  <c r="D4" i="39"/>
  <c r="C4" i="39"/>
  <c r="T33" i="39" l="1"/>
  <c r="T20" i="39"/>
  <c r="T7" i="39"/>
  <c r="F4" i="39"/>
  <c r="T6" i="39"/>
  <c r="T10" i="39"/>
  <c r="T22" i="39"/>
  <c r="T38" i="39"/>
  <c r="T54" i="39"/>
  <c r="T5" i="39"/>
  <c r="T49" i="39"/>
  <c r="T32" i="39"/>
  <c r="T48" i="39"/>
  <c r="T21" i="39"/>
  <c r="T25" i="39"/>
  <c r="T19" i="39"/>
  <c r="T35" i="39"/>
  <c r="T51" i="39"/>
  <c r="G4" i="39"/>
  <c r="O4" i="39"/>
  <c r="R12" i="39" s="1"/>
  <c r="E12" i="48"/>
  <c r="F20" i="48" s="1"/>
  <c r="D11" i="48"/>
  <c r="E11" i="48" s="1"/>
  <c r="F14" i="48" s="1"/>
  <c r="E60" i="48"/>
  <c r="F68" i="48" s="1"/>
  <c r="D59" i="48"/>
  <c r="E59" i="48" s="1"/>
  <c r="F63" i="48" s="1"/>
  <c r="D71" i="48"/>
  <c r="E71" i="48" s="1"/>
  <c r="F75" i="48" s="1"/>
  <c r="E72" i="48"/>
  <c r="D95" i="48"/>
  <c r="E95" i="48" s="1"/>
  <c r="F99" i="48" s="1"/>
  <c r="E96" i="48"/>
  <c r="D47" i="48"/>
  <c r="E47" i="48" s="1"/>
  <c r="F54" i="48" s="1"/>
  <c r="E48" i="48"/>
  <c r="D121" i="48"/>
  <c r="E121" i="48" s="1"/>
  <c r="F125" i="48" s="1"/>
  <c r="E122" i="48"/>
  <c r="O5" i="48"/>
  <c r="E36" i="48"/>
  <c r="D35" i="48"/>
  <c r="E35" i="48" s="1"/>
  <c r="F38" i="48" s="1"/>
  <c r="E108" i="48"/>
  <c r="D107" i="48"/>
  <c r="E107" i="48" s="1"/>
  <c r="F111" i="48" s="1"/>
  <c r="D23" i="48"/>
  <c r="E23" i="48" s="1"/>
  <c r="F26" i="48" s="1"/>
  <c r="E24" i="48"/>
  <c r="D83" i="48"/>
  <c r="E83" i="48" s="1"/>
  <c r="F87" i="48" s="1"/>
  <c r="E84" i="48"/>
  <c r="Q56" i="39"/>
  <c r="T56" i="39" s="1"/>
  <c r="Q54" i="39"/>
  <c r="Q52" i="39"/>
  <c r="T52" i="39" s="1"/>
  <c r="Q50" i="39"/>
  <c r="T50" i="39" s="1"/>
  <c r="Q48" i="39"/>
  <c r="Q46" i="39"/>
  <c r="T46" i="39" s="1"/>
  <c r="Q44" i="39"/>
  <c r="T44" i="39" s="1"/>
  <c r="Q42" i="39"/>
  <c r="T42" i="39" s="1"/>
  <c r="Q40" i="39"/>
  <c r="T40" i="39" s="1"/>
  <c r="Q38" i="39"/>
  <c r="Q36" i="39"/>
  <c r="T36" i="39" s="1"/>
  <c r="Q34" i="39"/>
  <c r="T34" i="39" s="1"/>
  <c r="Q32" i="39"/>
  <c r="Q30" i="39"/>
  <c r="T30" i="39" s="1"/>
  <c r="Q28" i="39"/>
  <c r="T28" i="39" s="1"/>
  <c r="Q26" i="39"/>
  <c r="T26" i="39" s="1"/>
  <c r="Q22" i="39"/>
  <c r="Q20" i="39"/>
  <c r="Q18" i="39"/>
  <c r="T18" i="39" s="1"/>
  <c r="Q16" i="39"/>
  <c r="T16" i="39" s="1"/>
  <c r="Q14" i="39"/>
  <c r="T14" i="39" s="1"/>
  <c r="Q12" i="39"/>
  <c r="T12" i="39" s="1"/>
  <c r="Q10" i="39"/>
  <c r="Q8" i="39"/>
  <c r="T8" i="39" s="1"/>
  <c r="Q6" i="39"/>
  <c r="R8" i="39"/>
  <c r="R10" i="39"/>
  <c r="R16" i="39"/>
  <c r="R18" i="39"/>
  <c r="R24" i="39"/>
  <c r="R26" i="39"/>
  <c r="R32" i="39"/>
  <c r="R34" i="39"/>
  <c r="R40" i="39"/>
  <c r="R42" i="39"/>
  <c r="R48" i="39"/>
  <c r="R50" i="39"/>
  <c r="R55" i="39"/>
  <c r="R56" i="39"/>
  <c r="R21" i="39"/>
  <c r="R15" i="39"/>
  <c r="R51" i="39"/>
  <c r="R49" i="39"/>
  <c r="R43" i="39"/>
  <c r="R35" i="39"/>
  <c r="R17" i="39"/>
  <c r="R13" i="39"/>
  <c r="R39" i="39"/>
  <c r="R33" i="39"/>
  <c r="R19" i="39"/>
  <c r="R11" i="39"/>
  <c r="Q5" i="39"/>
  <c r="Q7" i="39"/>
  <c r="Q9" i="39"/>
  <c r="T9" i="39" s="1"/>
  <c r="Q11" i="39"/>
  <c r="T11" i="39" s="1"/>
  <c r="Q13" i="39"/>
  <c r="T13" i="39" s="1"/>
  <c r="Q15" i="39"/>
  <c r="T15" i="39" s="1"/>
  <c r="Q17" i="39"/>
  <c r="T17" i="39" s="1"/>
  <c r="Q19" i="39"/>
  <c r="Q21" i="39"/>
  <c r="Q23" i="39"/>
  <c r="T23" i="39" s="1"/>
  <c r="Q24" i="39"/>
  <c r="T24" i="39" s="1"/>
  <c r="Q25" i="39"/>
  <c r="Q27" i="39"/>
  <c r="T27" i="39" s="1"/>
  <c r="Q29" i="39"/>
  <c r="T29" i="39" s="1"/>
  <c r="Q31" i="39"/>
  <c r="T31" i="39" s="1"/>
  <c r="Q33" i="39"/>
  <c r="Q35" i="39"/>
  <c r="Q37" i="39"/>
  <c r="T37" i="39" s="1"/>
  <c r="Q39" i="39"/>
  <c r="T39" i="39" s="1"/>
  <c r="Q41" i="39"/>
  <c r="T41" i="39" s="1"/>
  <c r="Q43" i="39"/>
  <c r="T43" i="39" s="1"/>
  <c r="Q45" i="39"/>
  <c r="T45" i="39" s="1"/>
  <c r="Q47" i="39"/>
  <c r="T47" i="39" s="1"/>
  <c r="Q49" i="39"/>
  <c r="Q51" i="39"/>
  <c r="Q53" i="39"/>
  <c r="T53" i="39" s="1"/>
  <c r="Q55" i="39"/>
  <c r="T55" i="39" s="1"/>
  <c r="R25" i="39" l="1"/>
  <c r="R41" i="39"/>
  <c r="R23" i="39"/>
  <c r="R45" i="39"/>
  <c r="R53" i="39"/>
  <c r="R27" i="39"/>
  <c r="R54" i="39"/>
  <c r="R46" i="39"/>
  <c r="R38" i="39"/>
  <c r="R30" i="39"/>
  <c r="R22" i="39"/>
  <c r="R14" i="39"/>
  <c r="R6" i="39"/>
  <c r="R5" i="39"/>
  <c r="R31" i="39"/>
  <c r="R7" i="39"/>
  <c r="R29" i="39"/>
  <c r="R47" i="39"/>
  <c r="R9" i="39"/>
  <c r="R37" i="39"/>
  <c r="R52" i="39"/>
  <c r="R44" i="39"/>
  <c r="R36" i="39"/>
  <c r="R28" i="39"/>
  <c r="R20" i="39"/>
  <c r="F97" i="48"/>
  <c r="F98" i="48"/>
  <c r="F96" i="48"/>
  <c r="F77" i="48"/>
  <c r="F78" i="48"/>
  <c r="F76" i="48"/>
  <c r="F90" i="48"/>
  <c r="F101" i="48"/>
  <c r="F24" i="48"/>
  <c r="F49" i="48"/>
  <c r="F115" i="48"/>
  <c r="F52" i="48"/>
  <c r="F108" i="48"/>
  <c r="F30" i="48"/>
  <c r="F114" i="48"/>
  <c r="F17" i="48"/>
  <c r="F127" i="48"/>
  <c r="F126" i="48"/>
  <c r="F128" i="48"/>
  <c r="F91" i="48"/>
  <c r="F65" i="48"/>
  <c r="F102" i="48"/>
  <c r="F67" i="48"/>
  <c r="F104" i="48"/>
  <c r="F61" i="48"/>
  <c r="F42" i="48"/>
  <c r="F85" i="48"/>
  <c r="F122" i="48"/>
  <c r="F100" i="48"/>
  <c r="F51" i="48"/>
  <c r="F66" i="48"/>
  <c r="F50" i="48"/>
  <c r="F84" i="48"/>
  <c r="F55" i="48"/>
  <c r="F89" i="48"/>
  <c r="F53" i="48"/>
  <c r="F36" i="48"/>
  <c r="F73" i="48"/>
  <c r="F79" i="48"/>
  <c r="F64" i="48"/>
  <c r="F19" i="48"/>
  <c r="F16" i="48"/>
  <c r="F74" i="48"/>
  <c r="F13" i="48"/>
  <c r="F116" i="48"/>
  <c r="F86" i="48"/>
  <c r="F48" i="48"/>
  <c r="F129" i="48"/>
  <c r="F72" i="48"/>
  <c r="F112" i="48"/>
  <c r="F18" i="48"/>
  <c r="F12" i="48"/>
  <c r="F32" i="48"/>
  <c r="F88" i="48"/>
  <c r="F27" i="48"/>
  <c r="F80" i="48"/>
  <c r="F40" i="48"/>
  <c r="F41" i="48"/>
  <c r="F37" i="48"/>
  <c r="F25" i="48"/>
  <c r="F60" i="48"/>
  <c r="F92" i="48"/>
  <c r="F28" i="48"/>
  <c r="F29" i="48"/>
  <c r="F43" i="48"/>
  <c r="F62" i="48"/>
  <c r="F39" i="48"/>
  <c r="F56" i="48"/>
  <c r="F124" i="48"/>
  <c r="F15" i="48"/>
  <c r="F103" i="48"/>
  <c r="F31" i="48"/>
  <c r="F109" i="48"/>
  <c r="F44" i="48"/>
  <c r="F113" i="48"/>
  <c r="F110" i="48"/>
  <c r="F123" i="48"/>
  <c r="F130" i="48"/>
  <c r="O33" i="46"/>
  <c r="K33" i="46"/>
  <c r="F33" i="46"/>
  <c r="G33" i="46" s="1"/>
  <c r="O32" i="46"/>
  <c r="K32" i="46"/>
  <c r="F32" i="46"/>
  <c r="G32" i="46" s="1"/>
  <c r="O31" i="46"/>
  <c r="K31" i="46"/>
  <c r="F31" i="46"/>
  <c r="G31" i="46" s="1"/>
  <c r="O30" i="46"/>
  <c r="K30" i="46"/>
  <c r="F30" i="46"/>
  <c r="G30" i="46" s="1"/>
  <c r="O29" i="46"/>
  <c r="K29" i="46"/>
  <c r="F29" i="46"/>
  <c r="G29" i="46" s="1"/>
  <c r="O28" i="46"/>
  <c r="K28" i="46"/>
  <c r="G28" i="46"/>
  <c r="F28" i="46"/>
  <c r="O27" i="46"/>
  <c r="K27" i="46"/>
  <c r="F27" i="46"/>
  <c r="G27" i="46" s="1"/>
  <c r="O26" i="46"/>
  <c r="K26" i="46"/>
  <c r="F26" i="46"/>
  <c r="G26" i="46" s="1"/>
  <c r="O25" i="46"/>
  <c r="K25" i="46"/>
  <c r="F25" i="46"/>
  <c r="G25" i="46" s="1"/>
  <c r="O24" i="46"/>
  <c r="K24" i="46"/>
  <c r="F24" i="46"/>
  <c r="G24" i="46" s="1"/>
  <c r="O23" i="46"/>
  <c r="K23" i="46"/>
  <c r="F23" i="46"/>
  <c r="G23" i="46" s="1"/>
  <c r="O22" i="46"/>
  <c r="K22" i="46"/>
  <c r="G22" i="46"/>
  <c r="F22" i="46"/>
  <c r="O21" i="46"/>
  <c r="K21" i="46"/>
  <c r="F21" i="46"/>
  <c r="G21" i="46" s="1"/>
  <c r="O20" i="46"/>
  <c r="K20" i="46"/>
  <c r="F20" i="46"/>
  <c r="G20" i="46" s="1"/>
  <c r="O19" i="46"/>
  <c r="K19" i="46"/>
  <c r="F19" i="46"/>
  <c r="G19" i="46" s="1"/>
  <c r="O18" i="46"/>
  <c r="K18" i="46"/>
  <c r="G18" i="46"/>
  <c r="F18" i="46"/>
  <c r="O17" i="46"/>
  <c r="K17" i="46"/>
  <c r="F17" i="46"/>
  <c r="G17" i="46" s="1"/>
  <c r="O16" i="46"/>
  <c r="K16" i="46"/>
  <c r="F16" i="46"/>
  <c r="G16" i="46" s="1"/>
  <c r="O15" i="46"/>
  <c r="K15" i="46"/>
  <c r="F15" i="46"/>
  <c r="G15" i="46" s="1"/>
  <c r="O14" i="46"/>
  <c r="K14" i="46"/>
  <c r="F14" i="46"/>
  <c r="G14" i="46" s="1"/>
  <c r="O13" i="46"/>
  <c r="K13" i="46"/>
  <c r="F13" i="46"/>
  <c r="G13" i="46" s="1"/>
  <c r="O12" i="46"/>
  <c r="K12" i="46"/>
  <c r="G12" i="46"/>
  <c r="F12" i="46"/>
  <c r="O11" i="46"/>
  <c r="K11" i="46"/>
  <c r="F11" i="46"/>
  <c r="G11" i="46" s="1"/>
  <c r="O10" i="46"/>
  <c r="K10" i="46"/>
  <c r="F10" i="46"/>
  <c r="G10" i="46" s="1"/>
  <c r="O9" i="46"/>
  <c r="K9" i="46"/>
  <c r="F9" i="46"/>
  <c r="G9" i="46" s="1"/>
  <c r="O8" i="46"/>
  <c r="K8" i="46"/>
  <c r="F8" i="46"/>
  <c r="G8" i="46" s="1"/>
  <c r="O7" i="46"/>
  <c r="K7" i="46"/>
  <c r="F7" i="46"/>
  <c r="G7" i="46" s="1"/>
  <c r="O6" i="46"/>
  <c r="K6" i="46"/>
  <c r="G6" i="46"/>
  <c r="F6" i="46"/>
  <c r="O5" i="46"/>
  <c r="K5" i="46"/>
  <c r="F5" i="46"/>
  <c r="G5" i="46" s="1"/>
  <c r="O4" i="46"/>
  <c r="K4" i="46"/>
  <c r="F4" i="46"/>
  <c r="G4" i="46" s="1"/>
  <c r="N3" i="46"/>
  <c r="M3" i="46"/>
  <c r="O3" i="46" s="1"/>
  <c r="L3" i="46"/>
  <c r="J3" i="46"/>
  <c r="K3" i="46" s="1"/>
  <c r="I3" i="46"/>
  <c r="H3" i="46"/>
  <c r="E3" i="46"/>
  <c r="D3" i="46"/>
  <c r="F3" i="46" s="1"/>
  <c r="C3" i="46"/>
  <c r="G3" i="46" l="1"/>
  <c r="F71" i="48"/>
  <c r="F95" i="48"/>
  <c r="F47" i="48"/>
  <c r="F121" i="48"/>
  <c r="F83" i="48"/>
  <c r="F35" i="48"/>
  <c r="F107" i="48"/>
  <c r="F59" i="48"/>
  <c r="F23" i="48"/>
  <c r="F11" i="48"/>
  <c r="Q8" i="46"/>
  <c r="R8" i="46" s="1"/>
  <c r="S10" i="46"/>
  <c r="Q16" i="46"/>
  <c r="R16" i="46" s="1"/>
  <c r="S18" i="46"/>
  <c r="Q24" i="46"/>
  <c r="R24" i="46" s="1"/>
  <c r="S26" i="46"/>
  <c r="Q32" i="46"/>
  <c r="R32" i="46" s="1"/>
  <c r="S8" i="46"/>
  <c r="S16" i="46"/>
  <c r="S24" i="46"/>
  <c r="S32" i="46"/>
  <c r="R3" i="46"/>
  <c r="Q30" i="46"/>
  <c r="R30" i="46" s="1"/>
  <c r="Q26" i="46"/>
  <c r="R26" i="46" s="1"/>
  <c r="Q22" i="46"/>
  <c r="R22" i="46" s="1"/>
  <c r="Q18" i="46"/>
  <c r="R18" i="46" s="1"/>
  <c r="Q14" i="46"/>
  <c r="R14" i="46" s="1"/>
  <c r="Q10" i="46"/>
  <c r="R10" i="46" s="1"/>
  <c r="Q6" i="46"/>
  <c r="R6" i="46" s="1"/>
  <c r="Q31" i="46"/>
  <c r="R31" i="46" s="1"/>
  <c r="Q27" i="46"/>
  <c r="R27" i="46" s="1"/>
  <c r="Q23" i="46"/>
  <c r="R23" i="46" s="1"/>
  <c r="Q19" i="46"/>
  <c r="R19" i="46" s="1"/>
  <c r="Q15" i="46"/>
  <c r="R15" i="46" s="1"/>
  <c r="Q11" i="46"/>
  <c r="R11" i="46" s="1"/>
  <c r="Q7" i="46"/>
  <c r="R7" i="46" s="1"/>
  <c r="S31" i="46"/>
  <c r="S27" i="46"/>
  <c r="S23" i="46"/>
  <c r="S19" i="46"/>
  <c r="S15" i="46"/>
  <c r="S11" i="46"/>
  <c r="S7" i="46"/>
  <c r="S33" i="46"/>
  <c r="S29" i="46"/>
  <c r="S25" i="46"/>
  <c r="S21" i="46"/>
  <c r="S17" i="46"/>
  <c r="S13" i="46"/>
  <c r="S9" i="46"/>
  <c r="S5" i="46"/>
  <c r="Q4" i="46"/>
  <c r="R4" i="46" s="1"/>
  <c r="S6" i="46"/>
  <c r="Q12" i="46"/>
  <c r="R12" i="46" s="1"/>
  <c r="S14" i="46"/>
  <c r="Q20" i="46"/>
  <c r="R20" i="46" s="1"/>
  <c r="S22" i="46"/>
  <c r="Q28" i="46"/>
  <c r="R28" i="46" s="1"/>
  <c r="S30" i="46"/>
  <c r="S4" i="46"/>
  <c r="S12" i="46"/>
  <c r="S20" i="46"/>
  <c r="S28" i="46"/>
  <c r="Q5" i="46"/>
  <c r="R5" i="46" s="1"/>
  <c r="Q9" i="46"/>
  <c r="R9" i="46" s="1"/>
  <c r="Q13" i="46"/>
  <c r="R13" i="46" s="1"/>
  <c r="Q17" i="46"/>
  <c r="R17" i="46" s="1"/>
  <c r="Q21" i="46"/>
  <c r="R21" i="46" s="1"/>
  <c r="Q25" i="46"/>
  <c r="R25" i="46" s="1"/>
  <c r="Q29" i="46"/>
  <c r="R29" i="46" s="1"/>
  <c r="Q33" i="46"/>
  <c r="R33" i="46" s="1"/>
  <c r="O29" i="45" l="1"/>
  <c r="K29" i="45"/>
  <c r="F29" i="45"/>
  <c r="G29" i="45" s="1"/>
  <c r="O28" i="45"/>
  <c r="K28" i="45"/>
  <c r="F28" i="45"/>
  <c r="G28" i="45" s="1"/>
  <c r="O27" i="45"/>
  <c r="K27" i="45"/>
  <c r="F27" i="45"/>
  <c r="G27" i="45" s="1"/>
  <c r="O26" i="45"/>
  <c r="K26" i="45"/>
  <c r="F26" i="45"/>
  <c r="G26" i="45" s="1"/>
  <c r="O25" i="45"/>
  <c r="K25" i="45"/>
  <c r="F25" i="45"/>
  <c r="G25" i="45" s="1"/>
  <c r="O24" i="45"/>
  <c r="K24" i="45"/>
  <c r="F24" i="45"/>
  <c r="G24" i="45" s="1"/>
  <c r="O23" i="45"/>
  <c r="K23" i="45"/>
  <c r="F23" i="45"/>
  <c r="G23" i="45" s="1"/>
  <c r="O22" i="45"/>
  <c r="K22" i="45"/>
  <c r="F22" i="45"/>
  <c r="G22" i="45" s="1"/>
  <c r="O21" i="45"/>
  <c r="K21" i="45"/>
  <c r="F21" i="45"/>
  <c r="G21" i="45" s="1"/>
  <c r="O20" i="45"/>
  <c r="K20" i="45"/>
  <c r="F20" i="45"/>
  <c r="G20" i="45" s="1"/>
  <c r="O19" i="45"/>
  <c r="K19" i="45"/>
  <c r="F19" i="45"/>
  <c r="G19" i="45" s="1"/>
  <c r="O18" i="45"/>
  <c r="K18" i="45"/>
  <c r="F18" i="45"/>
  <c r="G18" i="45" s="1"/>
  <c r="O17" i="45"/>
  <c r="K17" i="45"/>
  <c r="F17" i="45"/>
  <c r="G17" i="45" s="1"/>
  <c r="O16" i="45"/>
  <c r="K16" i="45"/>
  <c r="F16" i="45"/>
  <c r="G16" i="45" s="1"/>
  <c r="O15" i="45"/>
  <c r="K15" i="45"/>
  <c r="F15" i="45"/>
  <c r="G15" i="45" s="1"/>
  <c r="O14" i="45"/>
  <c r="K14" i="45"/>
  <c r="F14" i="45"/>
  <c r="G14" i="45" s="1"/>
  <c r="O13" i="45"/>
  <c r="K13" i="45"/>
  <c r="F13" i="45"/>
  <c r="G13" i="45" s="1"/>
  <c r="O12" i="45"/>
  <c r="K12" i="45"/>
  <c r="F12" i="45"/>
  <c r="G12" i="45" s="1"/>
  <c r="O11" i="45"/>
  <c r="K11" i="45"/>
  <c r="F11" i="45"/>
  <c r="G11" i="45" s="1"/>
  <c r="O10" i="45"/>
  <c r="K10" i="45"/>
  <c r="F10" i="45"/>
  <c r="G10" i="45" s="1"/>
  <c r="O9" i="45"/>
  <c r="K9" i="45"/>
  <c r="F9" i="45"/>
  <c r="G9" i="45" s="1"/>
  <c r="O8" i="45"/>
  <c r="K8" i="45"/>
  <c r="F8" i="45"/>
  <c r="G8" i="45" s="1"/>
  <c r="O7" i="45"/>
  <c r="K7" i="45"/>
  <c r="F7" i="45"/>
  <c r="G7" i="45" s="1"/>
  <c r="O6" i="45"/>
  <c r="K6" i="45"/>
  <c r="F6" i="45"/>
  <c r="G6" i="45" s="1"/>
  <c r="O5" i="45"/>
  <c r="K5" i="45"/>
  <c r="F5" i="45"/>
  <c r="G5" i="45" s="1"/>
  <c r="O4" i="45"/>
  <c r="K4" i="45"/>
  <c r="F4" i="45"/>
  <c r="G4" i="45" s="1"/>
  <c r="N3" i="45"/>
  <c r="M3" i="45"/>
  <c r="L3" i="45"/>
  <c r="J3" i="45"/>
  <c r="I3" i="45"/>
  <c r="H3" i="45"/>
  <c r="E3" i="45"/>
  <c r="D3" i="45"/>
  <c r="F3" i="45" s="1"/>
  <c r="C3" i="45"/>
  <c r="K3" i="45" l="1"/>
  <c r="Q5" i="45" s="1"/>
  <c r="R5" i="45" s="1"/>
  <c r="G3" i="45"/>
  <c r="O3" i="45"/>
  <c r="S12" i="45" s="1"/>
  <c r="Q21" i="45"/>
  <c r="Q29" i="45"/>
  <c r="R29" i="45" s="1"/>
  <c r="Q25" i="45"/>
  <c r="R25" i="45" s="1"/>
  <c r="Q13" i="45"/>
  <c r="Q22" i="45"/>
  <c r="R22" i="45" s="1"/>
  <c r="Q18" i="45"/>
  <c r="R18" i="45" s="1"/>
  <c r="Q14" i="45"/>
  <c r="R14" i="45" s="1"/>
  <c r="Q6" i="45"/>
  <c r="R6" i="45" s="1"/>
  <c r="Q17" i="45"/>
  <c r="R17" i="45" s="1"/>
  <c r="Q9" i="45"/>
  <c r="Q7" i="45"/>
  <c r="R7" i="45" s="1"/>
  <c r="R9" i="45"/>
  <c r="Q8" i="45"/>
  <c r="R8" i="45" s="1"/>
  <c r="Q15" i="45"/>
  <c r="R15" i="45" s="1"/>
  <c r="Q16" i="45"/>
  <c r="R16" i="45" s="1"/>
  <c r="S8" i="45"/>
  <c r="R13" i="45"/>
  <c r="R21" i="45"/>
  <c r="S24" i="45"/>
  <c r="Q23" i="45"/>
  <c r="R23" i="45" s="1"/>
  <c r="Q24" i="45"/>
  <c r="R24" i="45" s="1"/>
  <c r="S21" i="45"/>
  <c r="S27" i="45"/>
  <c r="S7" i="45"/>
  <c r="Q4" i="45"/>
  <c r="R4" i="45" s="1"/>
  <c r="S6" i="45"/>
  <c r="Q12" i="45"/>
  <c r="R12" i="45" s="1"/>
  <c r="Q19" i="45"/>
  <c r="R19" i="45" s="1"/>
  <c r="Q20" i="45"/>
  <c r="R20" i="45" s="1"/>
  <c r="Q27" i="45"/>
  <c r="S29" i="45"/>
  <c r="Q11" i="45"/>
  <c r="R11" i="45" s="1"/>
  <c r="R27" i="45"/>
  <c r="Q28" i="45"/>
  <c r="R28" i="45" s="1"/>
  <c r="S15" i="45" l="1"/>
  <c r="S5" i="45"/>
  <c r="S25" i="45"/>
  <c r="S28" i="45"/>
  <c r="S10" i="45"/>
  <c r="S18" i="45"/>
  <c r="S22" i="45"/>
  <c r="S11" i="45"/>
  <c r="S19" i="45"/>
  <c r="S13" i="45"/>
  <c r="S16" i="45"/>
  <c r="R3" i="45"/>
  <c r="Q10" i="45"/>
  <c r="R10" i="45" s="1"/>
  <c r="Q26" i="45"/>
  <c r="R26" i="45" s="1"/>
  <c r="S26" i="45"/>
  <c r="S4" i="45"/>
  <c r="S14" i="45"/>
  <c r="S9" i="45"/>
  <c r="S23" i="45"/>
  <c r="S17" i="45"/>
  <c r="S20" i="45"/>
  <c r="O32" i="44"/>
  <c r="K32" i="44"/>
  <c r="F32" i="44"/>
  <c r="G32" i="44" s="1"/>
  <c r="O31" i="44"/>
  <c r="K31" i="44"/>
  <c r="F31" i="44"/>
  <c r="G31" i="44" s="1"/>
  <c r="O30" i="44"/>
  <c r="K30" i="44"/>
  <c r="F30" i="44"/>
  <c r="G30" i="44" s="1"/>
  <c r="O29" i="44"/>
  <c r="K29" i="44"/>
  <c r="F29" i="44"/>
  <c r="G29" i="44" s="1"/>
  <c r="O28" i="44"/>
  <c r="K28" i="44"/>
  <c r="F28" i="44"/>
  <c r="G28" i="44" s="1"/>
  <c r="O27" i="44"/>
  <c r="K27" i="44"/>
  <c r="F27" i="44"/>
  <c r="G27" i="44" s="1"/>
  <c r="O26" i="44"/>
  <c r="K26" i="44"/>
  <c r="F26" i="44"/>
  <c r="G26" i="44" s="1"/>
  <c r="O25" i="44"/>
  <c r="K25" i="44"/>
  <c r="F25" i="44"/>
  <c r="G25" i="44" s="1"/>
  <c r="O24" i="44"/>
  <c r="K24" i="44"/>
  <c r="F24" i="44"/>
  <c r="G24" i="44" s="1"/>
  <c r="O23" i="44"/>
  <c r="K23" i="44"/>
  <c r="F23" i="44"/>
  <c r="G23" i="44" s="1"/>
  <c r="O22" i="44"/>
  <c r="K22" i="44"/>
  <c r="F22" i="44"/>
  <c r="G22" i="44" s="1"/>
  <c r="O21" i="44"/>
  <c r="K21" i="44"/>
  <c r="F21" i="44"/>
  <c r="G21" i="44" s="1"/>
  <c r="O20" i="44"/>
  <c r="K20" i="44"/>
  <c r="F20" i="44"/>
  <c r="G20" i="44" s="1"/>
  <c r="O19" i="44"/>
  <c r="K19" i="44"/>
  <c r="F19" i="44"/>
  <c r="G19" i="44" s="1"/>
  <c r="O18" i="44"/>
  <c r="K18" i="44"/>
  <c r="F18" i="44"/>
  <c r="G18" i="44" s="1"/>
  <c r="O17" i="44"/>
  <c r="K17" i="44"/>
  <c r="F17" i="44"/>
  <c r="G17" i="44" s="1"/>
  <c r="O16" i="44"/>
  <c r="K16" i="44"/>
  <c r="F16" i="44"/>
  <c r="G16" i="44" s="1"/>
  <c r="O15" i="44"/>
  <c r="K15" i="44"/>
  <c r="F15" i="44"/>
  <c r="G15" i="44" s="1"/>
  <c r="O14" i="44"/>
  <c r="K14" i="44"/>
  <c r="F14" i="44"/>
  <c r="G14" i="44" s="1"/>
  <c r="O13" i="44"/>
  <c r="K13" i="44"/>
  <c r="F13" i="44"/>
  <c r="G13" i="44" s="1"/>
  <c r="O12" i="44"/>
  <c r="K12" i="44"/>
  <c r="F12" i="44"/>
  <c r="G12" i="44" s="1"/>
  <c r="O11" i="44"/>
  <c r="K11" i="44"/>
  <c r="F11" i="44"/>
  <c r="G11" i="44" s="1"/>
  <c r="O10" i="44"/>
  <c r="K10" i="44"/>
  <c r="F10" i="44"/>
  <c r="G10" i="44" s="1"/>
  <c r="O9" i="44"/>
  <c r="K9" i="44"/>
  <c r="F9" i="44"/>
  <c r="G9" i="44" s="1"/>
  <c r="O8" i="44"/>
  <c r="K8" i="44"/>
  <c r="F8" i="44"/>
  <c r="G8" i="44" s="1"/>
  <c r="O7" i="44"/>
  <c r="K7" i="44"/>
  <c r="F7" i="44"/>
  <c r="G7" i="44" s="1"/>
  <c r="O6" i="44"/>
  <c r="S6" i="44" s="1"/>
  <c r="K6" i="44"/>
  <c r="F6" i="44"/>
  <c r="G6" i="44" s="1"/>
  <c r="O5" i="44"/>
  <c r="K5" i="44"/>
  <c r="Q5" i="44" s="1"/>
  <c r="R5" i="44" s="1"/>
  <c r="F5" i="44"/>
  <c r="G5" i="44" s="1"/>
  <c r="O4" i="44"/>
  <c r="K4" i="44"/>
  <c r="F4" i="44"/>
  <c r="G4" i="44" s="1"/>
  <c r="O3" i="44"/>
  <c r="S28" i="44" s="1"/>
  <c r="K3" i="44"/>
  <c r="Q29" i="44" s="1"/>
  <c r="R29" i="44" s="1"/>
  <c r="F3" i="44"/>
  <c r="G3" i="44" s="1"/>
  <c r="R3" i="44" l="1"/>
  <c r="Q4" i="44"/>
  <c r="R4" i="44" s="1"/>
  <c r="S5" i="44"/>
  <c r="Q10" i="44"/>
  <c r="Q14" i="44"/>
  <c r="Q18" i="44"/>
  <c r="Q22" i="44"/>
  <c r="Q26" i="44"/>
  <c r="Q30" i="44"/>
  <c r="S32" i="44"/>
  <c r="Q7" i="44"/>
  <c r="R7" i="44" s="1"/>
  <c r="Q11" i="44"/>
  <c r="R11" i="44" s="1"/>
  <c r="Q15" i="44"/>
  <c r="R15" i="44" s="1"/>
  <c r="Q19" i="44"/>
  <c r="R19" i="44" s="1"/>
  <c r="Q23" i="44"/>
  <c r="R23" i="44" s="1"/>
  <c r="Q27" i="44"/>
  <c r="R27" i="44" s="1"/>
  <c r="S31" i="44"/>
  <c r="Q32" i="44"/>
  <c r="R32" i="44" s="1"/>
  <c r="S7" i="44"/>
  <c r="Q8" i="44"/>
  <c r="R8" i="44" s="1"/>
  <c r="S9" i="44"/>
  <c r="S10" i="44"/>
  <c r="S11" i="44"/>
  <c r="Q12" i="44"/>
  <c r="R12" i="44" s="1"/>
  <c r="S13" i="44"/>
  <c r="S14" i="44"/>
  <c r="S15" i="44"/>
  <c r="Q16" i="44"/>
  <c r="R16" i="44" s="1"/>
  <c r="S17" i="44"/>
  <c r="S18" i="44"/>
  <c r="S19" i="44"/>
  <c r="Q20" i="44"/>
  <c r="R20" i="44" s="1"/>
  <c r="S21" i="44"/>
  <c r="S22" i="44"/>
  <c r="S23" i="44"/>
  <c r="Q24" i="44"/>
  <c r="R24" i="44" s="1"/>
  <c r="S25" i="44"/>
  <c r="S26" i="44"/>
  <c r="S27" i="44"/>
  <c r="Q28" i="44"/>
  <c r="R28" i="44" s="1"/>
  <c r="S29" i="44"/>
  <c r="S4" i="44"/>
  <c r="Q6" i="44"/>
  <c r="R6" i="44" s="1"/>
  <c r="S12" i="44"/>
  <c r="Q9" i="44"/>
  <c r="R9" i="44" s="1"/>
  <c r="R10" i="44"/>
  <c r="Q13" i="44"/>
  <c r="R13" i="44" s="1"/>
  <c r="R14" i="44"/>
  <c r="Q17" i="44"/>
  <c r="R17" i="44" s="1"/>
  <c r="R18" i="44"/>
  <c r="Q21" i="44"/>
  <c r="R21" i="44" s="1"/>
  <c r="R22" i="44"/>
  <c r="Q25" i="44"/>
  <c r="R25" i="44" s="1"/>
  <c r="R26" i="44"/>
  <c r="R30" i="44"/>
  <c r="S30" i="44"/>
  <c r="Q31" i="44"/>
  <c r="R31" i="44" s="1"/>
  <c r="S8" i="44"/>
  <c r="S16" i="44"/>
  <c r="S20" i="44"/>
  <c r="S24" i="44"/>
  <c r="O40" i="43" l="1"/>
  <c r="K40" i="43"/>
  <c r="F40" i="43"/>
  <c r="G40" i="43" s="1"/>
  <c r="O39" i="43"/>
  <c r="K39" i="43"/>
  <c r="F39" i="43"/>
  <c r="G39" i="43" s="1"/>
  <c r="O38" i="43"/>
  <c r="K38" i="43"/>
  <c r="F38" i="43"/>
  <c r="G38" i="43" s="1"/>
  <c r="O37" i="43"/>
  <c r="K37" i="43"/>
  <c r="F37" i="43"/>
  <c r="G37" i="43" s="1"/>
  <c r="O36" i="43"/>
  <c r="K36" i="43"/>
  <c r="F36" i="43"/>
  <c r="G36" i="43" s="1"/>
  <c r="O35" i="43"/>
  <c r="K35" i="43"/>
  <c r="F35" i="43"/>
  <c r="G35" i="43" s="1"/>
  <c r="O34" i="43"/>
  <c r="K34" i="43"/>
  <c r="F34" i="43"/>
  <c r="G34" i="43" s="1"/>
  <c r="O33" i="43"/>
  <c r="K33" i="43"/>
  <c r="F33" i="43"/>
  <c r="G33" i="43" s="1"/>
  <c r="O32" i="43"/>
  <c r="K32" i="43"/>
  <c r="F32" i="43"/>
  <c r="G32" i="43" s="1"/>
  <c r="O31" i="43"/>
  <c r="K31" i="43"/>
  <c r="F31" i="43"/>
  <c r="G31" i="43" s="1"/>
  <c r="O30" i="43"/>
  <c r="K30" i="43"/>
  <c r="F30" i="43"/>
  <c r="G30" i="43" s="1"/>
  <c r="O29" i="43"/>
  <c r="K29" i="43"/>
  <c r="F29" i="43"/>
  <c r="G29" i="43" s="1"/>
  <c r="O28" i="43"/>
  <c r="K28" i="43"/>
  <c r="F28" i="43"/>
  <c r="G28" i="43" s="1"/>
  <c r="O27" i="43"/>
  <c r="K27" i="43"/>
  <c r="G27" i="43"/>
  <c r="F27" i="43"/>
  <c r="O26" i="43"/>
  <c r="K26" i="43"/>
  <c r="F26" i="43"/>
  <c r="G26" i="43" s="1"/>
  <c r="O25" i="43"/>
  <c r="K25" i="43"/>
  <c r="F25" i="43"/>
  <c r="G25" i="43" s="1"/>
  <c r="O24" i="43"/>
  <c r="K24" i="43"/>
  <c r="F24" i="43"/>
  <c r="G24" i="43" s="1"/>
  <c r="O23" i="43"/>
  <c r="K23" i="43"/>
  <c r="F23" i="43"/>
  <c r="G23" i="43" s="1"/>
  <c r="O22" i="43"/>
  <c r="K22" i="43"/>
  <c r="F22" i="43"/>
  <c r="G22" i="43" s="1"/>
  <c r="O21" i="43"/>
  <c r="K21" i="43"/>
  <c r="F21" i="43"/>
  <c r="G21" i="43" s="1"/>
  <c r="O20" i="43"/>
  <c r="K20" i="43"/>
  <c r="F20" i="43"/>
  <c r="G20" i="43" s="1"/>
  <c r="O19" i="43"/>
  <c r="K19" i="43"/>
  <c r="F19" i="43"/>
  <c r="G19" i="43" s="1"/>
  <c r="O18" i="43"/>
  <c r="K18" i="43"/>
  <c r="F18" i="43"/>
  <c r="G18" i="43" s="1"/>
  <c r="O17" i="43"/>
  <c r="K17" i="43"/>
  <c r="F17" i="43"/>
  <c r="G17" i="43" s="1"/>
  <c r="O16" i="43"/>
  <c r="K16" i="43"/>
  <c r="F16" i="43"/>
  <c r="G16" i="43" s="1"/>
  <c r="O15" i="43"/>
  <c r="K15" i="43"/>
  <c r="F15" i="43"/>
  <c r="G15" i="43" s="1"/>
  <c r="O14" i="43"/>
  <c r="K14" i="43"/>
  <c r="F14" i="43"/>
  <c r="G14" i="43" s="1"/>
  <c r="O13" i="43"/>
  <c r="K13" i="43"/>
  <c r="G13" i="43"/>
  <c r="F13" i="43"/>
  <c r="O12" i="43"/>
  <c r="K12" i="43"/>
  <c r="F12" i="43"/>
  <c r="G12" i="43" s="1"/>
  <c r="O11" i="43"/>
  <c r="K11" i="43"/>
  <c r="G11" i="43"/>
  <c r="F11" i="43"/>
  <c r="O10" i="43"/>
  <c r="K10" i="43"/>
  <c r="F10" i="43"/>
  <c r="G10" i="43" s="1"/>
  <c r="O9" i="43"/>
  <c r="K9" i="43"/>
  <c r="F9" i="43"/>
  <c r="G9" i="43" s="1"/>
  <c r="O8" i="43"/>
  <c r="K8" i="43"/>
  <c r="F8" i="43"/>
  <c r="G8" i="43" s="1"/>
  <c r="O7" i="43"/>
  <c r="K7" i="43"/>
  <c r="F7" i="43"/>
  <c r="G7" i="43" s="1"/>
  <c r="O6" i="43"/>
  <c r="K6" i="43"/>
  <c r="F6" i="43"/>
  <c r="G6" i="43" s="1"/>
  <c r="O5" i="43"/>
  <c r="K5" i="43"/>
  <c r="F5" i="43"/>
  <c r="G5" i="43" s="1"/>
  <c r="O4" i="43"/>
  <c r="K4" i="43"/>
  <c r="F4" i="43"/>
  <c r="G4" i="43" s="1"/>
  <c r="N3" i="43"/>
  <c r="M3" i="43"/>
  <c r="L3" i="43"/>
  <c r="J3" i="43"/>
  <c r="I3" i="43"/>
  <c r="H3" i="43"/>
  <c r="E3" i="43"/>
  <c r="D3" i="43"/>
  <c r="C3" i="43"/>
  <c r="O3" i="43" l="1"/>
  <c r="K3" i="43"/>
  <c r="Q5" i="43" s="1"/>
  <c r="R5" i="43" s="1"/>
  <c r="Q34" i="43"/>
  <c r="R34" i="43" s="1"/>
  <c r="F3" i="43"/>
  <c r="G3" i="43" s="1"/>
  <c r="S7" i="43"/>
  <c r="S23" i="43"/>
  <c r="S31" i="43"/>
  <c r="S39" i="43"/>
  <c r="S36" i="43"/>
  <c r="S32" i="43"/>
  <c r="S28" i="43"/>
  <c r="S24" i="43"/>
  <c r="S20" i="43"/>
  <c r="S16" i="43"/>
  <c r="S12" i="43"/>
  <c r="S8" i="43"/>
  <c r="S4" i="43"/>
  <c r="S10" i="43"/>
  <c r="S6" i="43"/>
  <c r="S38" i="43"/>
  <c r="S34" i="43"/>
  <c r="S30" i="43"/>
  <c r="S26" i="43"/>
  <c r="S22" i="43"/>
  <c r="S18" i="43"/>
  <c r="S14" i="43"/>
  <c r="S13" i="43"/>
  <c r="S29" i="43"/>
  <c r="S11" i="43"/>
  <c r="S19" i="43"/>
  <c r="S27" i="43"/>
  <c r="S35" i="43"/>
  <c r="S15" i="43"/>
  <c r="S5" i="43"/>
  <c r="S21" i="43"/>
  <c r="S37" i="43"/>
  <c r="Q32" i="43"/>
  <c r="R32" i="43" s="1"/>
  <c r="Q8" i="43"/>
  <c r="R8" i="43" s="1"/>
  <c r="Q36" i="43"/>
  <c r="R36" i="43" s="1"/>
  <c r="Q20" i="43"/>
  <c r="R20" i="43" s="1"/>
  <c r="Q37" i="43"/>
  <c r="R37" i="43" s="1"/>
  <c r="Q33" i="43"/>
  <c r="R33" i="43" s="1"/>
  <c r="Q21" i="43"/>
  <c r="R21" i="43" s="1"/>
  <c r="Q17" i="43"/>
  <c r="R17" i="43" s="1"/>
  <c r="R3" i="43"/>
  <c r="Q28" i="43"/>
  <c r="R28" i="43" s="1"/>
  <c r="Q7" i="43"/>
  <c r="R7" i="43" s="1"/>
  <c r="S9" i="43"/>
  <c r="S17" i="43"/>
  <c r="Q22" i="43"/>
  <c r="R22" i="43" s="1"/>
  <c r="S25" i="43"/>
  <c r="Q30" i="43"/>
  <c r="R30" i="43" s="1"/>
  <c r="Q31" i="43"/>
  <c r="R31" i="43" s="1"/>
  <c r="S33" i="43"/>
  <c r="S40" i="43"/>
  <c r="Q10" i="43"/>
  <c r="R10" i="43" s="1"/>
  <c r="Q39" i="43"/>
  <c r="R39" i="43" s="1"/>
  <c r="Q38" i="43" l="1"/>
  <c r="R38" i="43" s="1"/>
  <c r="Q15" i="43"/>
  <c r="R15" i="43" s="1"/>
  <c r="Q6" i="43"/>
  <c r="R6" i="43" s="1"/>
  <c r="Q9" i="43"/>
  <c r="R9" i="43" s="1"/>
  <c r="Q25" i="43"/>
  <c r="R25" i="43" s="1"/>
  <c r="Q12" i="43"/>
  <c r="R12" i="43" s="1"/>
  <c r="Q40" i="43"/>
  <c r="R40" i="43" s="1"/>
  <c r="Q27" i="43"/>
  <c r="R27" i="43" s="1"/>
  <c r="Q23" i="43"/>
  <c r="R23" i="43" s="1"/>
  <c r="Q14" i="43"/>
  <c r="R14" i="43" s="1"/>
  <c r="Q24" i="43"/>
  <c r="R24" i="43" s="1"/>
  <c r="Q13" i="43"/>
  <c r="R13" i="43" s="1"/>
  <c r="Q29" i="43"/>
  <c r="R29" i="43" s="1"/>
  <c r="Q16" i="43"/>
  <c r="R16" i="43" s="1"/>
  <c r="Q4" i="43"/>
  <c r="R4" i="43" s="1"/>
  <c r="Q35" i="43"/>
  <c r="R35" i="43" s="1"/>
  <c r="Q26" i="43"/>
  <c r="R26" i="43" s="1"/>
  <c r="Q18" i="43"/>
  <c r="R18" i="43" s="1"/>
  <c r="Q19" i="43"/>
  <c r="R19" i="43" s="1"/>
  <c r="Q11" i="43"/>
  <c r="R11" i="43" s="1"/>
  <c r="K42" i="42"/>
  <c r="F42" i="42"/>
  <c r="G42" i="42" s="1"/>
  <c r="O41" i="42"/>
  <c r="K41" i="42"/>
  <c r="F41" i="42"/>
  <c r="G41" i="42" s="1"/>
  <c r="O40" i="42"/>
  <c r="K40" i="42"/>
  <c r="F40" i="42"/>
  <c r="G40" i="42" s="1"/>
  <c r="O39" i="42"/>
  <c r="K39" i="42"/>
  <c r="F39" i="42"/>
  <c r="G39" i="42" s="1"/>
  <c r="O38" i="42"/>
  <c r="K38" i="42"/>
  <c r="F38" i="42"/>
  <c r="G38" i="42" s="1"/>
  <c r="O37" i="42"/>
  <c r="K37" i="42"/>
  <c r="F37" i="42"/>
  <c r="G37" i="42" s="1"/>
  <c r="O36" i="42"/>
  <c r="K36" i="42"/>
  <c r="F36" i="42"/>
  <c r="G36" i="42" s="1"/>
  <c r="O35" i="42"/>
  <c r="K35" i="42"/>
  <c r="F35" i="42"/>
  <c r="G35" i="42" s="1"/>
  <c r="O34" i="42"/>
  <c r="K34" i="42"/>
  <c r="F34" i="42"/>
  <c r="G34" i="42" s="1"/>
  <c r="O33" i="42"/>
  <c r="K33" i="42"/>
  <c r="F33" i="42"/>
  <c r="G33" i="42" s="1"/>
  <c r="O32" i="42"/>
  <c r="K32" i="42"/>
  <c r="F32" i="42"/>
  <c r="G32" i="42" s="1"/>
  <c r="O31" i="42"/>
  <c r="K31" i="42"/>
  <c r="G31" i="42"/>
  <c r="F31" i="42"/>
  <c r="O30" i="42"/>
  <c r="K30" i="42"/>
  <c r="F30" i="42"/>
  <c r="G30" i="42" s="1"/>
  <c r="O29" i="42"/>
  <c r="K29" i="42"/>
  <c r="F29" i="42"/>
  <c r="G29" i="42" s="1"/>
  <c r="O28" i="42"/>
  <c r="K28" i="42"/>
  <c r="F28" i="42"/>
  <c r="G28" i="42" s="1"/>
  <c r="O27" i="42"/>
  <c r="K27" i="42"/>
  <c r="F27" i="42"/>
  <c r="G27" i="42" s="1"/>
  <c r="O26" i="42"/>
  <c r="K26" i="42"/>
  <c r="F26" i="42"/>
  <c r="G26" i="42" s="1"/>
  <c r="O25" i="42"/>
  <c r="K25" i="42"/>
  <c r="F25" i="42"/>
  <c r="G25" i="42" s="1"/>
  <c r="O24" i="42"/>
  <c r="K24" i="42"/>
  <c r="F24" i="42"/>
  <c r="G24" i="42" s="1"/>
  <c r="O23" i="42"/>
  <c r="K23" i="42"/>
  <c r="F23" i="42"/>
  <c r="G23" i="42" s="1"/>
  <c r="O22" i="42"/>
  <c r="K22" i="42"/>
  <c r="F22" i="42"/>
  <c r="G22" i="42" s="1"/>
  <c r="O21" i="42"/>
  <c r="K21" i="42"/>
  <c r="G21" i="42"/>
  <c r="F21" i="42"/>
  <c r="O20" i="42"/>
  <c r="K20" i="42"/>
  <c r="F20" i="42"/>
  <c r="G20" i="42" s="1"/>
  <c r="O19" i="42"/>
  <c r="K19" i="42"/>
  <c r="F19" i="42"/>
  <c r="G19" i="42" s="1"/>
  <c r="O18" i="42"/>
  <c r="K18" i="42"/>
  <c r="F18" i="42"/>
  <c r="G18" i="42" s="1"/>
  <c r="O17" i="42"/>
  <c r="K17" i="42"/>
  <c r="F17" i="42"/>
  <c r="G17" i="42" s="1"/>
  <c r="O16" i="42"/>
  <c r="K16" i="42"/>
  <c r="F16" i="42"/>
  <c r="G16" i="42" s="1"/>
  <c r="O15" i="42"/>
  <c r="K15" i="42"/>
  <c r="F15" i="42"/>
  <c r="G15" i="42" s="1"/>
  <c r="O14" i="42"/>
  <c r="K14" i="42"/>
  <c r="F14" i="42"/>
  <c r="G14" i="42" s="1"/>
  <c r="O13" i="42"/>
  <c r="K13" i="42"/>
  <c r="F13" i="42"/>
  <c r="G13" i="42" s="1"/>
  <c r="O12" i="42"/>
  <c r="K12" i="42"/>
  <c r="F12" i="42"/>
  <c r="G12" i="42" s="1"/>
  <c r="O11" i="42"/>
  <c r="K11" i="42"/>
  <c r="F11" i="42"/>
  <c r="G11" i="42" s="1"/>
  <c r="O10" i="42"/>
  <c r="K10" i="42"/>
  <c r="F10" i="42"/>
  <c r="G10" i="42" s="1"/>
  <c r="O9" i="42"/>
  <c r="K9" i="42"/>
  <c r="F9" i="42"/>
  <c r="G9" i="42" s="1"/>
  <c r="O8" i="42"/>
  <c r="K8" i="42"/>
  <c r="F8" i="42"/>
  <c r="G8" i="42" s="1"/>
  <c r="O7" i="42"/>
  <c r="K7" i="42"/>
  <c r="F7" i="42"/>
  <c r="G7" i="42" s="1"/>
  <c r="O6" i="42"/>
  <c r="K6" i="42"/>
  <c r="F6" i="42"/>
  <c r="G6" i="42" s="1"/>
  <c r="O5" i="42"/>
  <c r="K5" i="42"/>
  <c r="F5" i="42"/>
  <c r="G5" i="42" s="1"/>
  <c r="O4" i="42"/>
  <c r="K4" i="42"/>
  <c r="F4" i="42"/>
  <c r="G4" i="42" s="1"/>
  <c r="O3" i="42"/>
  <c r="S42" i="42" s="1"/>
  <c r="K3" i="42"/>
  <c r="R3" i="42" s="1"/>
  <c r="F3" i="42"/>
  <c r="G3" i="42" s="1"/>
  <c r="S23" i="42" l="1"/>
  <c r="Q24" i="42"/>
  <c r="S33" i="42"/>
  <c r="Q41" i="42"/>
  <c r="R41" i="42" s="1"/>
  <c r="Q20" i="42"/>
  <c r="Q21" i="42"/>
  <c r="R21" i="42" s="1"/>
  <c r="S27" i="42"/>
  <c r="S41" i="42"/>
  <c r="Q25" i="42"/>
  <c r="R25" i="42" s="1"/>
  <c r="S35" i="42"/>
  <c r="Q39" i="42"/>
  <c r="R39" i="42" s="1"/>
  <c r="S10" i="42"/>
  <c r="S14" i="42"/>
  <c r="S25" i="42"/>
  <c r="Q33" i="42"/>
  <c r="R33" i="42" s="1"/>
  <c r="Q5" i="42"/>
  <c r="R5" i="42" s="1"/>
  <c r="Q9" i="42"/>
  <c r="R9" i="42" s="1"/>
  <c r="Q13" i="42"/>
  <c r="R13" i="42" s="1"/>
  <c r="Q17" i="42"/>
  <c r="R17" i="42" s="1"/>
  <c r="S19" i="42"/>
  <c r="S21" i="42"/>
  <c r="Q29" i="42"/>
  <c r="R29" i="42" s="1"/>
  <c r="S31" i="42"/>
  <c r="Q37" i="42"/>
  <c r="R37" i="42" s="1"/>
  <c r="S39" i="42"/>
  <c r="R20" i="42"/>
  <c r="Q4" i="42"/>
  <c r="R4" i="42" s="1"/>
  <c r="S5" i="42"/>
  <c r="S6" i="42"/>
  <c r="S7" i="42"/>
  <c r="Q8" i="42"/>
  <c r="R8" i="42" s="1"/>
  <c r="S9" i="42"/>
  <c r="S11" i="42"/>
  <c r="Q12" i="42"/>
  <c r="R12" i="42" s="1"/>
  <c r="S13" i="42"/>
  <c r="S15" i="42"/>
  <c r="Q16" i="42"/>
  <c r="R16" i="42" s="1"/>
  <c r="S17" i="42"/>
  <c r="R24" i="42"/>
  <c r="Q27" i="42"/>
  <c r="R27" i="42" s="1"/>
  <c r="S29" i="42"/>
  <c r="S37" i="42"/>
  <c r="R26" i="42"/>
  <c r="S18" i="42"/>
  <c r="S22" i="42"/>
  <c r="S26" i="42"/>
  <c r="Q28" i="42"/>
  <c r="R28" i="42" s="1"/>
  <c r="S30" i="42"/>
  <c r="Q32" i="42"/>
  <c r="R32" i="42" s="1"/>
  <c r="S34" i="42"/>
  <c r="Q36" i="42"/>
  <c r="R36" i="42" s="1"/>
  <c r="S38" i="42"/>
  <c r="Q40" i="42"/>
  <c r="R40" i="42" s="1"/>
  <c r="Q7" i="42"/>
  <c r="R7" i="42" s="1"/>
  <c r="Q11" i="42"/>
  <c r="R11" i="42" s="1"/>
  <c r="Q15" i="42"/>
  <c r="R15" i="42" s="1"/>
  <c r="Q19" i="42"/>
  <c r="R19" i="42" s="1"/>
  <c r="Q23" i="42"/>
  <c r="R23" i="42" s="1"/>
  <c r="Q31" i="42"/>
  <c r="R31" i="42" s="1"/>
  <c r="Q35" i="42"/>
  <c r="R35" i="42" s="1"/>
  <c r="Q42" i="42"/>
  <c r="R42" i="42" s="1"/>
  <c r="Q6" i="42"/>
  <c r="R6" i="42" s="1"/>
  <c r="S8" i="42"/>
  <c r="Q10" i="42"/>
  <c r="R10" i="42" s="1"/>
  <c r="S16" i="42"/>
  <c r="S24" i="42"/>
  <c r="Q26" i="42"/>
  <c r="S28" i="42"/>
  <c r="Q30" i="42"/>
  <c r="R30" i="42" s="1"/>
  <c r="S32" i="42"/>
  <c r="Q34" i="42"/>
  <c r="R34" i="42" s="1"/>
  <c r="S36" i="42"/>
  <c r="Q38" i="42"/>
  <c r="R38" i="42" s="1"/>
  <c r="S40" i="42"/>
  <c r="S4" i="42"/>
  <c r="S12" i="42"/>
  <c r="Q14" i="42"/>
  <c r="R14" i="42" s="1"/>
  <c r="Q18" i="42"/>
  <c r="R18" i="42" s="1"/>
  <c r="S20" i="42"/>
  <c r="Q22" i="42"/>
  <c r="R22" i="42" s="1"/>
  <c r="O50" i="41" l="1"/>
  <c r="K50" i="41"/>
  <c r="F50" i="41"/>
  <c r="G50" i="41" s="1"/>
  <c r="O49" i="41"/>
  <c r="K49" i="41"/>
  <c r="F49" i="41"/>
  <c r="G49" i="41" s="1"/>
  <c r="O48" i="41"/>
  <c r="K48" i="41"/>
  <c r="F48" i="41"/>
  <c r="G48" i="41" s="1"/>
  <c r="O47" i="41"/>
  <c r="K47" i="41"/>
  <c r="F47" i="41"/>
  <c r="G47" i="41" s="1"/>
  <c r="O46" i="41"/>
  <c r="K46" i="41"/>
  <c r="F46" i="41"/>
  <c r="G46" i="41" s="1"/>
  <c r="O45" i="41"/>
  <c r="K45" i="41"/>
  <c r="F45" i="41"/>
  <c r="G45" i="41" s="1"/>
  <c r="O44" i="41"/>
  <c r="K44" i="41"/>
  <c r="F44" i="41"/>
  <c r="G44" i="41" s="1"/>
  <c r="O43" i="41"/>
  <c r="K43" i="41"/>
  <c r="F43" i="41"/>
  <c r="G43" i="41" s="1"/>
  <c r="O42" i="41"/>
  <c r="K42" i="41"/>
  <c r="F42" i="41"/>
  <c r="G42" i="41" s="1"/>
  <c r="O41" i="41"/>
  <c r="K41" i="41"/>
  <c r="F41" i="41"/>
  <c r="G41" i="41" s="1"/>
  <c r="O40" i="41"/>
  <c r="K40" i="41"/>
  <c r="F40" i="41"/>
  <c r="G40" i="41" s="1"/>
  <c r="O39" i="41"/>
  <c r="K39" i="41"/>
  <c r="F39" i="41"/>
  <c r="G39" i="41" s="1"/>
  <c r="O38" i="41"/>
  <c r="K38" i="41"/>
  <c r="F38" i="41"/>
  <c r="G38" i="41" s="1"/>
  <c r="O37" i="41"/>
  <c r="K37" i="41"/>
  <c r="G37" i="41"/>
  <c r="F37" i="41"/>
  <c r="O36" i="41"/>
  <c r="K36" i="41"/>
  <c r="F36" i="41"/>
  <c r="G36" i="41" s="1"/>
  <c r="O35" i="41"/>
  <c r="K35" i="41"/>
  <c r="F35" i="41"/>
  <c r="G35" i="41" s="1"/>
  <c r="O34" i="41"/>
  <c r="K34" i="41"/>
  <c r="F34" i="41"/>
  <c r="G34" i="41" s="1"/>
  <c r="O33" i="41"/>
  <c r="K33" i="41"/>
  <c r="F33" i="41"/>
  <c r="G33" i="41" s="1"/>
  <c r="O32" i="41"/>
  <c r="K32" i="41"/>
  <c r="F32" i="41"/>
  <c r="G32" i="41" s="1"/>
  <c r="O31" i="41"/>
  <c r="K31" i="41"/>
  <c r="F31" i="41"/>
  <c r="G31" i="41" s="1"/>
  <c r="O30" i="41"/>
  <c r="K30" i="41"/>
  <c r="F30" i="41"/>
  <c r="G30" i="41" s="1"/>
  <c r="O29" i="41"/>
  <c r="K29" i="41"/>
  <c r="F29" i="41"/>
  <c r="G29" i="41" s="1"/>
  <c r="O28" i="41"/>
  <c r="K28" i="41"/>
  <c r="F28" i="41"/>
  <c r="G28" i="41" s="1"/>
  <c r="O27" i="41"/>
  <c r="K27" i="41"/>
  <c r="F27" i="41"/>
  <c r="G27" i="41" s="1"/>
  <c r="O26" i="41"/>
  <c r="K26" i="41"/>
  <c r="F26" i="41"/>
  <c r="G26" i="41" s="1"/>
  <c r="O25" i="41"/>
  <c r="K25" i="41"/>
  <c r="F25" i="41"/>
  <c r="G25" i="41" s="1"/>
  <c r="O24" i="41"/>
  <c r="K24" i="41"/>
  <c r="F24" i="41"/>
  <c r="G24" i="41" s="1"/>
  <c r="O23" i="41"/>
  <c r="K23" i="41"/>
  <c r="F23" i="41"/>
  <c r="G23" i="41" s="1"/>
  <c r="O22" i="41"/>
  <c r="K22" i="41"/>
  <c r="F22" i="41"/>
  <c r="G22" i="41" s="1"/>
  <c r="O21" i="41"/>
  <c r="K21" i="41"/>
  <c r="F21" i="41"/>
  <c r="G21" i="41" s="1"/>
  <c r="O20" i="41"/>
  <c r="K20" i="41"/>
  <c r="F20" i="41"/>
  <c r="G20" i="41" s="1"/>
  <c r="O19" i="41"/>
  <c r="K19" i="41"/>
  <c r="F19" i="41"/>
  <c r="G19" i="41" s="1"/>
  <c r="O18" i="41"/>
  <c r="K18" i="41"/>
  <c r="F18" i="41"/>
  <c r="G18" i="41" s="1"/>
  <c r="O17" i="41"/>
  <c r="K17" i="41"/>
  <c r="F17" i="41"/>
  <c r="G17" i="41" s="1"/>
  <c r="O16" i="41"/>
  <c r="K16" i="41"/>
  <c r="F16" i="41"/>
  <c r="G16" i="41" s="1"/>
  <c r="O15" i="41"/>
  <c r="K15" i="41"/>
  <c r="F15" i="41"/>
  <c r="G15" i="41" s="1"/>
  <c r="O14" i="41"/>
  <c r="K14" i="41"/>
  <c r="F14" i="41"/>
  <c r="G14" i="41" s="1"/>
  <c r="O13" i="41"/>
  <c r="K13" i="41"/>
  <c r="F13" i="41"/>
  <c r="G13" i="41" s="1"/>
  <c r="O12" i="41"/>
  <c r="K12" i="41"/>
  <c r="F12" i="41"/>
  <c r="G12" i="41" s="1"/>
  <c r="O11" i="41"/>
  <c r="K11" i="41"/>
  <c r="F11" i="41"/>
  <c r="G11" i="41" s="1"/>
  <c r="O10" i="41"/>
  <c r="K10" i="41"/>
  <c r="F10" i="41"/>
  <c r="G10" i="41" s="1"/>
  <c r="O9" i="41"/>
  <c r="K9" i="41"/>
  <c r="F9" i="41"/>
  <c r="G9" i="41" s="1"/>
  <c r="O8" i="41"/>
  <c r="K8" i="41"/>
  <c r="F8" i="41"/>
  <c r="G8" i="41" s="1"/>
  <c r="O7" i="41"/>
  <c r="K7" i="41"/>
  <c r="F7" i="41"/>
  <c r="G7" i="41" s="1"/>
  <c r="O6" i="41"/>
  <c r="K6" i="41"/>
  <c r="F6" i="41"/>
  <c r="G6" i="41" s="1"/>
  <c r="O5" i="41"/>
  <c r="K5" i="41"/>
  <c r="F5" i="41"/>
  <c r="G5" i="41" s="1"/>
  <c r="N4" i="41"/>
  <c r="M4" i="41"/>
  <c r="L4" i="41"/>
  <c r="J4" i="41"/>
  <c r="I4" i="41"/>
  <c r="H4" i="41"/>
  <c r="E4" i="41"/>
  <c r="D4" i="41"/>
  <c r="F4" i="41" s="1"/>
  <c r="G4" i="41" s="1"/>
  <c r="C4" i="41"/>
  <c r="S7" i="41" l="1"/>
  <c r="S39" i="41"/>
  <c r="S15" i="41"/>
  <c r="O4" i="41"/>
  <c r="S31" i="41" s="1"/>
  <c r="S23" i="41"/>
  <c r="S47" i="41"/>
  <c r="Q10" i="41"/>
  <c r="R10" i="41" s="1"/>
  <c r="Q34" i="41"/>
  <c r="Q14" i="41"/>
  <c r="Q37" i="41"/>
  <c r="R37" i="41" s="1"/>
  <c r="K4" i="41"/>
  <c r="Q7" i="41" s="1"/>
  <c r="R7" i="41" s="1"/>
  <c r="Q9" i="41"/>
  <c r="Q16" i="41"/>
  <c r="R16" i="41" s="1"/>
  <c r="Q17" i="41"/>
  <c r="Q25" i="41"/>
  <c r="Q32" i="41"/>
  <c r="R32" i="41" s="1"/>
  <c r="Q33" i="41"/>
  <c r="Q41" i="41"/>
  <c r="Q48" i="41"/>
  <c r="R48" i="41" s="1"/>
  <c r="Q49" i="41"/>
  <c r="S9" i="41"/>
  <c r="S17" i="41"/>
  <c r="S25" i="41"/>
  <c r="S33" i="41"/>
  <c r="S41" i="41"/>
  <c r="S49" i="41"/>
  <c r="S46" i="41"/>
  <c r="S42" i="41"/>
  <c r="S38" i="41"/>
  <c r="S34" i="41"/>
  <c r="S30" i="41"/>
  <c r="S26" i="41"/>
  <c r="S22" i="41"/>
  <c r="S18" i="41"/>
  <c r="S14" i="41"/>
  <c r="S10" i="41"/>
  <c r="S6" i="41"/>
  <c r="S16" i="41"/>
  <c r="S12" i="41"/>
  <c r="S8" i="41"/>
  <c r="S48" i="41"/>
  <c r="S44" i="41"/>
  <c r="S40" i="41"/>
  <c r="S32" i="41"/>
  <c r="S28" i="41"/>
  <c r="S36" i="41"/>
  <c r="S24" i="41"/>
  <c r="S20" i="41"/>
  <c r="S5" i="41"/>
  <c r="S13" i="41"/>
  <c r="S21" i="41"/>
  <c r="S29" i="41"/>
  <c r="S37" i="41"/>
  <c r="S45" i="41"/>
  <c r="R34" i="41"/>
  <c r="R4" i="41"/>
  <c r="R14" i="41"/>
  <c r="R9" i="41"/>
  <c r="S11" i="41"/>
  <c r="R17" i="41"/>
  <c r="S19" i="41"/>
  <c r="R25" i="41"/>
  <c r="S27" i="41"/>
  <c r="R33" i="41"/>
  <c r="S35" i="41"/>
  <c r="R41" i="41"/>
  <c r="S43" i="41"/>
  <c r="R49" i="41"/>
  <c r="S50" i="41"/>
  <c r="Q47" i="41" l="1"/>
  <c r="R47" i="41" s="1"/>
  <c r="Q42" i="41"/>
  <c r="R42" i="41" s="1"/>
  <c r="Q19" i="41"/>
  <c r="R19" i="41" s="1"/>
  <c r="Q22" i="41"/>
  <c r="R22" i="41" s="1"/>
  <c r="Q44" i="41"/>
  <c r="R44" i="41" s="1"/>
  <c r="Q23" i="41"/>
  <c r="R23" i="41" s="1"/>
  <c r="Q35" i="41"/>
  <c r="R35" i="41" s="1"/>
  <c r="Q18" i="41"/>
  <c r="R18" i="41" s="1"/>
  <c r="Q29" i="41"/>
  <c r="R29" i="41" s="1"/>
  <c r="Q13" i="41"/>
  <c r="R13" i="41" s="1"/>
  <c r="Q15" i="41"/>
  <c r="R15" i="41" s="1"/>
  <c r="Q31" i="41"/>
  <c r="R31" i="41" s="1"/>
  <c r="Q40" i="41"/>
  <c r="R40" i="41" s="1"/>
  <c r="Q24" i="41"/>
  <c r="R24" i="41" s="1"/>
  <c r="Q8" i="41"/>
  <c r="R8" i="41" s="1"/>
  <c r="Q12" i="41"/>
  <c r="R12" i="41" s="1"/>
  <c r="Q50" i="41"/>
  <c r="R50" i="41" s="1"/>
  <c r="Q26" i="41"/>
  <c r="R26" i="41" s="1"/>
  <c r="Q45" i="41"/>
  <c r="R45" i="41" s="1"/>
  <c r="Q21" i="41"/>
  <c r="R21" i="41" s="1"/>
  <c r="Q30" i="41"/>
  <c r="R30" i="41" s="1"/>
  <c r="Q5" i="41"/>
  <c r="R5" i="41" s="1"/>
  <c r="Q38" i="41"/>
  <c r="R38" i="41" s="1"/>
  <c r="Q43" i="41"/>
  <c r="R43" i="41" s="1"/>
  <c r="Q27" i="41"/>
  <c r="R27" i="41" s="1"/>
  <c r="Q11" i="41"/>
  <c r="R11" i="41" s="1"/>
  <c r="Q36" i="41"/>
  <c r="R36" i="41" s="1"/>
  <c r="Q28" i="41"/>
  <c r="R28" i="41" s="1"/>
  <c r="Q20" i="41"/>
  <c r="R20" i="41" s="1"/>
  <c r="Q39" i="41"/>
  <c r="R39" i="41" s="1"/>
  <c r="Q6" i="41"/>
  <c r="R6" i="41" s="1"/>
  <c r="Q46" i="41"/>
  <c r="R46" i="41" s="1"/>
  <c r="O27" i="40"/>
  <c r="K27" i="40"/>
  <c r="F27" i="40"/>
  <c r="G27" i="40" s="1"/>
  <c r="O26" i="40"/>
  <c r="K26" i="40"/>
  <c r="F26" i="40"/>
  <c r="G26" i="40" s="1"/>
  <c r="O25" i="40"/>
  <c r="K25" i="40"/>
  <c r="F25" i="40"/>
  <c r="G25" i="40" s="1"/>
  <c r="O24" i="40"/>
  <c r="K24" i="40"/>
  <c r="F24" i="40"/>
  <c r="G24" i="40" s="1"/>
  <c r="O23" i="40"/>
  <c r="K23" i="40"/>
  <c r="F23" i="40"/>
  <c r="G23" i="40" s="1"/>
  <c r="O22" i="40"/>
  <c r="K22" i="40"/>
  <c r="F22" i="40"/>
  <c r="G22" i="40" s="1"/>
  <c r="O21" i="40"/>
  <c r="K21" i="40"/>
  <c r="F21" i="40"/>
  <c r="G21" i="40" s="1"/>
  <c r="O20" i="40"/>
  <c r="K20" i="40"/>
  <c r="F20" i="40"/>
  <c r="G20" i="40" s="1"/>
  <c r="O19" i="40"/>
  <c r="K19" i="40"/>
  <c r="F19" i="40"/>
  <c r="G19" i="40" s="1"/>
  <c r="O18" i="40"/>
  <c r="K18" i="40"/>
  <c r="F18" i="40"/>
  <c r="G18" i="40" s="1"/>
  <c r="O17" i="40"/>
  <c r="K17" i="40"/>
  <c r="F17" i="40"/>
  <c r="G17" i="40" s="1"/>
  <c r="O16" i="40"/>
  <c r="K16" i="40"/>
  <c r="F16" i="40"/>
  <c r="G16" i="40" s="1"/>
  <c r="O15" i="40"/>
  <c r="K15" i="40"/>
  <c r="F15" i="40"/>
  <c r="G15" i="40" s="1"/>
  <c r="O14" i="40"/>
  <c r="K14" i="40"/>
  <c r="F14" i="40"/>
  <c r="G14" i="40" s="1"/>
  <c r="O13" i="40"/>
  <c r="K13" i="40"/>
  <c r="F13" i="40"/>
  <c r="G13" i="40" s="1"/>
  <c r="O12" i="40"/>
  <c r="K12" i="40"/>
  <c r="F12" i="40"/>
  <c r="G12" i="40" s="1"/>
  <c r="O11" i="40"/>
  <c r="K11" i="40"/>
  <c r="F11" i="40"/>
  <c r="G11" i="40" s="1"/>
  <c r="O10" i="40"/>
  <c r="K10" i="40"/>
  <c r="F10" i="40"/>
  <c r="G10" i="40" s="1"/>
  <c r="O9" i="40"/>
  <c r="K9" i="40"/>
  <c r="F9" i="40"/>
  <c r="G9" i="40" s="1"/>
  <c r="O8" i="40"/>
  <c r="K8" i="40"/>
  <c r="F8" i="40"/>
  <c r="G8" i="40" s="1"/>
  <c r="O7" i="40"/>
  <c r="K7" i="40"/>
  <c r="F7" i="40"/>
  <c r="G7" i="40" s="1"/>
  <c r="O6" i="40"/>
  <c r="K6" i="40"/>
  <c r="F6" i="40"/>
  <c r="G6" i="40" s="1"/>
  <c r="O5" i="40"/>
  <c r="K5" i="40"/>
  <c r="F5" i="40"/>
  <c r="G5" i="40" s="1"/>
  <c r="O4" i="40"/>
  <c r="K4" i="40"/>
  <c r="F4" i="40"/>
  <c r="G4" i="40" s="1"/>
  <c r="O3" i="40"/>
  <c r="S23" i="40" s="1"/>
  <c r="K3" i="40"/>
  <c r="F3" i="40"/>
  <c r="G3" i="40" s="1"/>
  <c r="Q25" i="40" l="1"/>
  <c r="R25" i="40" s="1"/>
  <c r="S5" i="40"/>
  <c r="S6" i="40"/>
  <c r="R3" i="40"/>
  <c r="Q5" i="40"/>
  <c r="R5" i="40" s="1"/>
  <c r="Q9" i="40"/>
  <c r="R9" i="40" s="1"/>
  <c r="S11" i="40"/>
  <c r="S15" i="40"/>
  <c r="S7" i="40"/>
  <c r="Q15" i="40"/>
  <c r="R15" i="40" s="1"/>
  <c r="Q18" i="40"/>
  <c r="R18" i="40" s="1"/>
  <c r="S20" i="40"/>
  <c r="S26" i="40"/>
  <c r="Q11" i="40"/>
  <c r="R11" i="40" s="1"/>
  <c r="Q14" i="40"/>
  <c r="R14" i="40" s="1"/>
  <c r="S16" i="40"/>
  <c r="Q17" i="40"/>
  <c r="R17" i="40" s="1"/>
  <c r="S18" i="40"/>
  <c r="S19" i="40"/>
  <c r="Q23" i="40"/>
  <c r="R23" i="40" s="1"/>
  <c r="S24" i="40"/>
  <c r="Q7" i="40"/>
  <c r="R7" i="40" s="1"/>
  <c r="Q10" i="40"/>
  <c r="R10" i="40" s="1"/>
  <c r="S12" i="40"/>
  <c r="Q13" i="40"/>
  <c r="R13" i="40" s="1"/>
  <c r="S14" i="40"/>
  <c r="Q22" i="40"/>
  <c r="R22" i="40" s="1"/>
  <c r="Q27" i="40"/>
  <c r="R27" i="40" s="1"/>
  <c r="S4" i="40"/>
  <c r="Q6" i="40"/>
  <c r="R6" i="40" s="1"/>
  <c r="S8" i="40"/>
  <c r="S10" i="40"/>
  <c r="Q19" i="40"/>
  <c r="R19" i="40" s="1"/>
  <c r="Q26" i="40"/>
  <c r="R26" i="40" s="1"/>
  <c r="S27" i="40"/>
  <c r="Q4" i="40"/>
  <c r="R4" i="40" s="1"/>
  <c r="Q8" i="40"/>
  <c r="R8" i="40" s="1"/>
  <c r="Q12" i="40"/>
  <c r="R12" i="40" s="1"/>
  <c r="Q16" i="40"/>
  <c r="R16" i="40" s="1"/>
  <c r="Q20" i="40"/>
  <c r="R20" i="40" s="1"/>
  <c r="S22" i="40"/>
  <c r="Q24" i="40"/>
  <c r="R24" i="40" s="1"/>
  <c r="S9" i="40"/>
  <c r="S13" i="40"/>
  <c r="S17" i="40"/>
  <c r="S21" i="40"/>
  <c r="S25" i="40"/>
  <c r="Q21" i="40"/>
  <c r="R21" i="40" s="1"/>
  <c r="O54" i="38" l="1"/>
  <c r="K54" i="38"/>
  <c r="F54" i="38"/>
  <c r="G54" i="38" s="1"/>
  <c r="O53" i="38"/>
  <c r="K53" i="38"/>
  <c r="F53" i="38"/>
  <c r="G53" i="38" s="1"/>
  <c r="O52" i="38"/>
  <c r="K52" i="38"/>
  <c r="F52" i="38"/>
  <c r="G52" i="38" s="1"/>
  <c r="O51" i="38"/>
  <c r="K51" i="38"/>
  <c r="F51" i="38"/>
  <c r="G51" i="38" s="1"/>
  <c r="O50" i="38"/>
  <c r="K50" i="38"/>
  <c r="F50" i="38"/>
  <c r="G50" i="38" s="1"/>
  <c r="O49" i="38"/>
  <c r="K49" i="38"/>
  <c r="F49" i="38"/>
  <c r="G49" i="38" s="1"/>
  <c r="O48" i="38"/>
  <c r="K48" i="38"/>
  <c r="F48" i="38"/>
  <c r="G48" i="38" s="1"/>
  <c r="O47" i="38"/>
  <c r="K47" i="38"/>
  <c r="F47" i="38"/>
  <c r="G47" i="38" s="1"/>
  <c r="O46" i="38"/>
  <c r="K46" i="38"/>
  <c r="G46" i="38"/>
  <c r="F46" i="38"/>
  <c r="O45" i="38"/>
  <c r="K45" i="38"/>
  <c r="G45" i="38"/>
  <c r="F45" i="38"/>
  <c r="O44" i="38"/>
  <c r="K44" i="38"/>
  <c r="G44" i="38"/>
  <c r="F44" i="38"/>
  <c r="O43" i="38"/>
  <c r="K43" i="38"/>
  <c r="F43" i="38"/>
  <c r="G43" i="38" s="1"/>
  <c r="O42" i="38"/>
  <c r="K42" i="38"/>
  <c r="F42" i="38"/>
  <c r="G42" i="38" s="1"/>
  <c r="O41" i="38"/>
  <c r="K41" i="38"/>
  <c r="F41" i="38"/>
  <c r="G41" i="38" s="1"/>
  <c r="O40" i="38"/>
  <c r="K40" i="38"/>
  <c r="F40" i="38"/>
  <c r="G40" i="38" s="1"/>
  <c r="O39" i="38"/>
  <c r="K39" i="38"/>
  <c r="F39" i="38"/>
  <c r="G39" i="38" s="1"/>
  <c r="O38" i="38"/>
  <c r="K38" i="38"/>
  <c r="F38" i="38"/>
  <c r="G38" i="38" s="1"/>
  <c r="O37" i="38"/>
  <c r="K37" i="38"/>
  <c r="F37" i="38"/>
  <c r="G37" i="38" s="1"/>
  <c r="O36" i="38"/>
  <c r="K36" i="38"/>
  <c r="F36" i="38"/>
  <c r="G36" i="38" s="1"/>
  <c r="O35" i="38"/>
  <c r="K35" i="38"/>
  <c r="F35" i="38"/>
  <c r="G35" i="38" s="1"/>
  <c r="O34" i="38"/>
  <c r="K34" i="38"/>
  <c r="F34" i="38"/>
  <c r="G34" i="38" s="1"/>
  <c r="O33" i="38"/>
  <c r="K33" i="38"/>
  <c r="F33" i="38"/>
  <c r="G33" i="38" s="1"/>
  <c r="O32" i="38"/>
  <c r="K32" i="38"/>
  <c r="F32" i="38"/>
  <c r="G32" i="38" s="1"/>
  <c r="O31" i="38"/>
  <c r="K31" i="38"/>
  <c r="F31" i="38"/>
  <c r="G31" i="38" s="1"/>
  <c r="O30" i="38"/>
  <c r="K30" i="38"/>
  <c r="F30" i="38"/>
  <c r="G30" i="38" s="1"/>
  <c r="O29" i="38"/>
  <c r="K29" i="38"/>
  <c r="F29" i="38"/>
  <c r="G29" i="38" s="1"/>
  <c r="O28" i="38"/>
  <c r="K28" i="38"/>
  <c r="F28" i="38"/>
  <c r="G28" i="38" s="1"/>
  <c r="O27" i="38"/>
  <c r="K27" i="38"/>
  <c r="F27" i="38"/>
  <c r="G27" i="38" s="1"/>
  <c r="O26" i="38"/>
  <c r="K26" i="38"/>
  <c r="F26" i="38"/>
  <c r="G26" i="38" s="1"/>
  <c r="O25" i="38"/>
  <c r="K25" i="38"/>
  <c r="F25" i="38"/>
  <c r="G25" i="38" s="1"/>
  <c r="O24" i="38"/>
  <c r="K24" i="38"/>
  <c r="F24" i="38"/>
  <c r="G24" i="38" s="1"/>
  <c r="O23" i="38"/>
  <c r="K23" i="38"/>
  <c r="F23" i="38"/>
  <c r="G23" i="38" s="1"/>
  <c r="O22" i="38"/>
  <c r="K22" i="38"/>
  <c r="G22" i="38"/>
  <c r="F22" i="38"/>
  <c r="O21" i="38"/>
  <c r="K21" i="38"/>
  <c r="G21" i="38"/>
  <c r="F21" i="38"/>
  <c r="O20" i="38"/>
  <c r="K20" i="38"/>
  <c r="G20" i="38"/>
  <c r="F20" i="38"/>
  <c r="O19" i="38"/>
  <c r="K19" i="38"/>
  <c r="F19" i="38"/>
  <c r="G19" i="38" s="1"/>
  <c r="O18" i="38"/>
  <c r="K18" i="38"/>
  <c r="F18" i="38"/>
  <c r="G18" i="38" s="1"/>
  <c r="O17" i="38"/>
  <c r="K17" i="38"/>
  <c r="F17" i="38"/>
  <c r="G17" i="38" s="1"/>
  <c r="O16" i="38"/>
  <c r="K16" i="38"/>
  <c r="F16" i="38"/>
  <c r="G16" i="38" s="1"/>
  <c r="O15" i="38"/>
  <c r="K15" i="38"/>
  <c r="F15" i="38"/>
  <c r="G15" i="38" s="1"/>
  <c r="O14" i="38"/>
  <c r="K14" i="38"/>
  <c r="F14" i="38"/>
  <c r="G14" i="38" s="1"/>
  <c r="O13" i="38"/>
  <c r="S13" i="38" s="1"/>
  <c r="K13" i="38"/>
  <c r="F13" i="38"/>
  <c r="G13" i="38" s="1"/>
  <c r="O12" i="38"/>
  <c r="K12" i="38"/>
  <c r="F12" i="38"/>
  <c r="G12" i="38" s="1"/>
  <c r="O11" i="38"/>
  <c r="K11" i="38"/>
  <c r="F11" i="38"/>
  <c r="G11" i="38" s="1"/>
  <c r="O10" i="38"/>
  <c r="K10" i="38"/>
  <c r="F10" i="38"/>
  <c r="G10" i="38" s="1"/>
  <c r="O9" i="38"/>
  <c r="K9" i="38"/>
  <c r="F9" i="38"/>
  <c r="G9" i="38" s="1"/>
  <c r="O8" i="38"/>
  <c r="K8" i="38"/>
  <c r="F8" i="38"/>
  <c r="G8" i="38" s="1"/>
  <c r="O7" i="38"/>
  <c r="K7" i="38"/>
  <c r="F7" i="38"/>
  <c r="G7" i="38" s="1"/>
  <c r="O6" i="38"/>
  <c r="K6" i="38"/>
  <c r="F6" i="38"/>
  <c r="G6" i="38" s="1"/>
  <c r="O5" i="38"/>
  <c r="K5" i="38"/>
  <c r="F5" i="38"/>
  <c r="G5" i="38" s="1"/>
  <c r="O4" i="38"/>
  <c r="K4" i="38"/>
  <c r="F4" i="38"/>
  <c r="G4" i="38" s="1"/>
  <c r="O3" i="38"/>
  <c r="S5" i="38" s="1"/>
  <c r="K3" i="38"/>
  <c r="Q52" i="38" s="1"/>
  <c r="R52" i="38" s="1"/>
  <c r="F3" i="38"/>
  <c r="G3" i="38" s="1"/>
  <c r="S9" i="38" l="1"/>
  <c r="S17" i="38"/>
  <c r="S29" i="38"/>
  <c r="S25" i="38"/>
  <c r="S21" i="38"/>
  <c r="S4" i="38"/>
  <c r="S6" i="38"/>
  <c r="S51" i="38"/>
  <c r="S52" i="38"/>
  <c r="S15" i="38"/>
  <c r="S19" i="38"/>
  <c r="S24" i="38"/>
  <c r="S27" i="38"/>
  <c r="S28" i="38"/>
  <c r="S31" i="38"/>
  <c r="S32" i="38"/>
  <c r="S34" i="38"/>
  <c r="S47" i="38"/>
  <c r="S48" i="38"/>
  <c r="S50" i="38"/>
  <c r="S53" i="38"/>
  <c r="S35" i="38"/>
  <c r="S36" i="38"/>
  <c r="S38" i="38"/>
  <c r="S14" i="38"/>
  <c r="S18" i="38"/>
  <c r="S22" i="38"/>
  <c r="S26" i="38"/>
  <c r="S30" i="38"/>
  <c r="S43" i="38"/>
  <c r="S44" i="38"/>
  <c r="S46" i="38"/>
  <c r="S16" i="38"/>
  <c r="S20" i="38"/>
  <c r="S23" i="38"/>
  <c r="S11" i="38"/>
  <c r="S12" i="38"/>
  <c r="S7" i="38"/>
  <c r="S8" i="38"/>
  <c r="S10" i="38"/>
  <c r="S39" i="38"/>
  <c r="S40" i="38"/>
  <c r="S42" i="38"/>
  <c r="S54" i="38"/>
  <c r="Q7" i="38"/>
  <c r="R7" i="38" s="1"/>
  <c r="Q15" i="38"/>
  <c r="R15" i="38" s="1"/>
  <c r="Q19" i="38"/>
  <c r="R19" i="38" s="1"/>
  <c r="Q23" i="38"/>
  <c r="R23" i="38" s="1"/>
  <c r="Q27" i="38"/>
  <c r="R27" i="38" s="1"/>
  <c r="Q31" i="38"/>
  <c r="R31" i="38" s="1"/>
  <c r="S33" i="38"/>
  <c r="Q35" i="38"/>
  <c r="R35" i="38" s="1"/>
  <c r="S37" i="38"/>
  <c r="Q39" i="38"/>
  <c r="R39" i="38" s="1"/>
  <c r="S41" i="38"/>
  <c r="Q43" i="38"/>
  <c r="R43" i="38" s="1"/>
  <c r="S45" i="38"/>
  <c r="Q47" i="38"/>
  <c r="R47" i="38" s="1"/>
  <c r="S49" i="38"/>
  <c r="Q51" i="38"/>
  <c r="R51" i="38" s="1"/>
  <c r="Q11" i="38"/>
  <c r="R11" i="38" s="1"/>
  <c r="Q6" i="38"/>
  <c r="R6" i="38" s="1"/>
  <c r="Q10" i="38"/>
  <c r="R10" i="38" s="1"/>
  <c r="Q14" i="38"/>
  <c r="R14" i="38" s="1"/>
  <c r="Q18" i="38"/>
  <c r="R18" i="38" s="1"/>
  <c r="Q22" i="38"/>
  <c r="R22" i="38" s="1"/>
  <c r="Q26" i="38"/>
  <c r="R26" i="38" s="1"/>
  <c r="Q30" i="38"/>
  <c r="R30" i="38" s="1"/>
  <c r="Q34" i="38"/>
  <c r="R34" i="38" s="1"/>
  <c r="Q38" i="38"/>
  <c r="R38" i="38" s="1"/>
  <c r="Q42" i="38"/>
  <c r="R42" i="38" s="1"/>
  <c r="Q46" i="38"/>
  <c r="R46" i="38" s="1"/>
  <c r="Q50" i="38"/>
  <c r="R50" i="38" s="1"/>
  <c r="Q54" i="38"/>
  <c r="R54" i="38" s="1"/>
  <c r="R3" i="38"/>
  <c r="Q5" i="38"/>
  <c r="R5" i="38" s="1"/>
  <c r="Q9" i="38"/>
  <c r="R9" i="38" s="1"/>
  <c r="Q13" i="38"/>
  <c r="R13" i="38" s="1"/>
  <c r="Q17" i="38"/>
  <c r="R17" i="38" s="1"/>
  <c r="Q21" i="38"/>
  <c r="R21" i="38" s="1"/>
  <c r="Q25" i="38"/>
  <c r="R25" i="38" s="1"/>
  <c r="Q29" i="38"/>
  <c r="R29" i="38" s="1"/>
  <c r="Q33" i="38"/>
  <c r="R33" i="38" s="1"/>
  <c r="Q37" i="38"/>
  <c r="R37" i="38" s="1"/>
  <c r="Q41" i="38"/>
  <c r="R41" i="38" s="1"/>
  <c r="Q45" i="38"/>
  <c r="R45" i="38" s="1"/>
  <c r="Q49" i="38"/>
  <c r="R49" i="38" s="1"/>
  <c r="Q53" i="38"/>
  <c r="R53" i="38" s="1"/>
  <c r="Q4" i="38"/>
  <c r="R4" i="38" s="1"/>
  <c r="Q8" i="38"/>
  <c r="R8" i="38" s="1"/>
  <c r="Q12" i="38"/>
  <c r="R12" i="38" s="1"/>
  <c r="Q16" i="38"/>
  <c r="R16" i="38" s="1"/>
  <c r="Q20" i="38"/>
  <c r="R20" i="38" s="1"/>
  <c r="Q24" i="38"/>
  <c r="R24" i="38" s="1"/>
  <c r="Q28" i="38"/>
  <c r="R28" i="38" s="1"/>
  <c r="Q32" i="38"/>
  <c r="R32" i="38" s="1"/>
  <c r="Q36" i="38"/>
  <c r="R36" i="38" s="1"/>
  <c r="Q40" i="38"/>
  <c r="R40" i="38" s="1"/>
  <c r="Q44" i="38"/>
  <c r="R44" i="38" s="1"/>
  <c r="Q48" i="38"/>
  <c r="R48" i="38" s="1"/>
  <c r="L207" i="2" l="1"/>
  <c r="L210" i="2"/>
  <c r="L212" i="2"/>
  <c r="J215" i="2" l="1"/>
  <c r="J213" i="2"/>
  <c r="J211" i="2"/>
  <c r="J209" i="2"/>
  <c r="J208" i="2"/>
  <c r="J206" i="2"/>
  <c r="J205" i="2"/>
  <c r="J204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5" i="2"/>
  <c r="J181" i="2"/>
  <c r="J179" i="2" s="1"/>
  <c r="J178" i="2"/>
  <c r="J177" i="2"/>
  <c r="J176" i="2"/>
  <c r="J175" i="2"/>
  <c r="J173" i="2"/>
  <c r="J172" i="2"/>
  <c r="J171" i="2"/>
  <c r="J169" i="2"/>
  <c r="J168" i="2"/>
  <c r="J166" i="2"/>
  <c r="J165" i="2"/>
  <c r="J160" i="2"/>
  <c r="J159" i="2"/>
  <c r="J158" i="2"/>
  <c r="J157" i="2"/>
  <c r="J151" i="2"/>
  <c r="J150" i="2"/>
  <c r="J149" i="2"/>
  <c r="J148" i="2"/>
  <c r="J147" i="2"/>
  <c r="J146" i="2"/>
  <c r="J145" i="2"/>
  <c r="J144" i="2"/>
  <c r="J143" i="2"/>
  <c r="J141" i="2"/>
  <c r="J140" i="2"/>
  <c r="J139" i="2"/>
  <c r="J138" i="2"/>
  <c r="J137" i="2"/>
  <c r="J136" i="2"/>
  <c r="J135" i="2"/>
  <c r="J134" i="2"/>
  <c r="J133" i="2"/>
  <c r="J127" i="2"/>
  <c r="J126" i="2"/>
  <c r="J125" i="2"/>
  <c r="J124" i="2"/>
  <c r="J123" i="2"/>
  <c r="J122" i="2"/>
  <c r="J121" i="2"/>
  <c r="J120" i="2"/>
  <c r="J119" i="2"/>
  <c r="J117" i="2"/>
  <c r="J116" i="2"/>
  <c r="J115" i="2"/>
  <c r="J114" i="2"/>
  <c r="J113" i="2"/>
  <c r="J112" i="2"/>
  <c r="J111" i="2"/>
  <c r="J110" i="2"/>
  <c r="J109" i="2"/>
  <c r="J108" i="2"/>
  <c r="J106" i="2"/>
  <c r="J105" i="2"/>
  <c r="J104" i="2"/>
  <c r="J103" i="2"/>
  <c r="J102" i="2"/>
  <c r="J101" i="2"/>
  <c r="J100" i="2"/>
  <c r="J99" i="2"/>
  <c r="J98" i="2"/>
  <c r="J97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48" i="2"/>
  <c r="J47" i="2"/>
  <c r="J46" i="2"/>
  <c r="J45" i="2"/>
  <c r="J44" i="2"/>
  <c r="J43" i="2"/>
  <c r="J42" i="2"/>
  <c r="J41" i="2"/>
  <c r="J40" i="2"/>
  <c r="J39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19" i="2"/>
  <c r="J18" i="2"/>
  <c r="J17" i="2"/>
  <c r="J16" i="2"/>
  <c r="J14" i="2"/>
  <c r="J13" i="2"/>
  <c r="J12" i="2"/>
  <c r="J11" i="2"/>
  <c r="J10" i="2"/>
  <c r="J9" i="2"/>
  <c r="J8" i="2"/>
  <c r="J7" i="2"/>
  <c r="J6" i="2"/>
  <c r="L219" i="2"/>
  <c r="L227" i="2"/>
  <c r="L229" i="2"/>
  <c r="J182" i="2" l="1"/>
  <c r="H220" i="8"/>
  <c r="L238" i="2"/>
  <c r="F220" i="10" l="1"/>
  <c r="H217" i="8"/>
  <c r="L214" i="2"/>
  <c r="L142" i="2"/>
  <c r="L132" i="2"/>
  <c r="L131" i="2" l="1"/>
  <c r="L224" i="2" l="1"/>
  <c r="L107" i="2"/>
  <c r="L189" i="2" l="1"/>
  <c r="L203" i="2"/>
  <c r="L72" i="2"/>
  <c r="L174" i="2"/>
  <c r="L170" i="2"/>
  <c r="L167" i="2"/>
  <c r="K167" i="2"/>
  <c r="L164" i="2"/>
  <c r="L50" i="2" l="1"/>
  <c r="L38" i="2"/>
  <c r="L20" i="2" l="1"/>
  <c r="J20" i="2"/>
  <c r="I20" i="2"/>
  <c r="H20" i="2"/>
  <c r="G20" i="2"/>
  <c r="F20" i="2"/>
  <c r="K20" i="2"/>
  <c r="L5" i="2"/>
  <c r="K5" i="2"/>
  <c r="J5" i="2"/>
  <c r="I5" i="2"/>
  <c r="H5" i="2"/>
  <c r="G5" i="2"/>
  <c r="L4" i="2" l="1"/>
  <c r="J49" i="2"/>
  <c r="AH27" i="3" l="1"/>
  <c r="AH23" i="3"/>
  <c r="AI22" i="3" s="1"/>
  <c r="AK22" i="3" s="1"/>
  <c r="AI20" i="3" l="1"/>
  <c r="AK20" i="3" s="1"/>
  <c r="AI21" i="3"/>
  <c r="AK21" i="3" s="1"/>
  <c r="AK2" i="8"/>
  <c r="F47" i="34" l="1"/>
  <c r="F32" i="34"/>
  <c r="C102" i="37"/>
  <c r="Z102" i="37" s="1"/>
  <c r="C99" i="37"/>
  <c r="C98" i="37"/>
  <c r="C97" i="37"/>
  <c r="Z95" i="37"/>
  <c r="C95" i="37"/>
  <c r="C94" i="37"/>
  <c r="Z94" i="37" s="1"/>
  <c r="C93" i="37"/>
  <c r="Z93" i="37" s="1"/>
  <c r="C92" i="37"/>
  <c r="Z92" i="37" s="1"/>
  <c r="Z89" i="37"/>
  <c r="C89" i="37"/>
  <c r="C88" i="37"/>
  <c r="C86" i="37"/>
  <c r="Z86" i="37" s="1"/>
  <c r="Z84" i="37"/>
  <c r="C84" i="37"/>
  <c r="C81" i="37"/>
  <c r="Z81" i="37" s="1"/>
  <c r="C80" i="37"/>
  <c r="Z80" i="37" s="1"/>
  <c r="C79" i="37"/>
  <c r="AN77" i="37"/>
  <c r="AJ77" i="37"/>
  <c r="AF77" i="37"/>
  <c r="AB77" i="37"/>
  <c r="Z77" i="37"/>
  <c r="C77" i="37"/>
  <c r="AN76" i="37"/>
  <c r="AJ76" i="37"/>
  <c r="AI76" i="37"/>
  <c r="AD76" i="37" s="1"/>
  <c r="AF76" i="37"/>
  <c r="AB76" i="37"/>
  <c r="AJ75" i="37"/>
  <c r="AF75" i="37"/>
  <c r="AB75" i="37"/>
  <c r="C75" i="37"/>
  <c r="AL74" i="37"/>
  <c r="AF74" i="37"/>
  <c r="AB74" i="37"/>
  <c r="AN73" i="37"/>
  <c r="AJ73" i="37"/>
  <c r="AF73" i="37"/>
  <c r="AB73" i="37"/>
  <c r="AN72" i="37"/>
  <c r="AJ72" i="37"/>
  <c r="AI72" i="37"/>
  <c r="AF72" i="37"/>
  <c r="AB72" i="37"/>
  <c r="C72" i="37"/>
  <c r="AH71" i="37"/>
  <c r="AG71" i="37"/>
  <c r="AE71" i="37"/>
  <c r="AB71" i="37"/>
  <c r="C71" i="37"/>
  <c r="AM70" i="37"/>
  <c r="AL70" i="37"/>
  <c r="AB70" i="37"/>
  <c r="Z70" i="37"/>
  <c r="C70" i="37"/>
  <c r="AN69" i="37"/>
  <c r="AJ69" i="37"/>
  <c r="AI69" i="37"/>
  <c r="AF69" i="37"/>
  <c r="AE69" i="37"/>
  <c r="AB69" i="37"/>
  <c r="Z69" i="37"/>
  <c r="C69" i="37"/>
  <c r="C68" i="37"/>
  <c r="Z68" i="37" s="1"/>
  <c r="C67" i="37"/>
  <c r="Z67" i="37" s="1"/>
  <c r="C66" i="37"/>
  <c r="AI65" i="37"/>
  <c r="AI77" i="37" s="1"/>
  <c r="AD77" i="37" s="1"/>
  <c r="AD65" i="37"/>
  <c r="AH66" i="37" s="1"/>
  <c r="C65" i="37"/>
  <c r="C63" i="37"/>
  <c r="AN62" i="37"/>
  <c r="AM62" i="37"/>
  <c r="AL62" i="37"/>
  <c r="AK62" i="37"/>
  <c r="AI62" i="37"/>
  <c r="AH62" i="37"/>
  <c r="AG62" i="37"/>
  <c r="AF62" i="37"/>
  <c r="AE62" i="37"/>
  <c r="C62" i="37"/>
  <c r="AJ61" i="37"/>
  <c r="AJ62" i="37" s="1"/>
  <c r="C61" i="37"/>
  <c r="C60" i="37"/>
  <c r="Z60" i="37" s="1"/>
  <c r="C59" i="37"/>
  <c r="Z59" i="37" s="1"/>
  <c r="C58" i="37"/>
  <c r="Z58" i="37" s="1"/>
  <c r="C56" i="37"/>
  <c r="C55" i="37"/>
  <c r="C52" i="37"/>
  <c r="C51" i="37"/>
  <c r="C50" i="37"/>
  <c r="C49" i="37"/>
  <c r="C48" i="37"/>
  <c r="C47" i="37"/>
  <c r="Z47" i="37" s="1"/>
  <c r="Z45" i="37"/>
  <c r="C45" i="37"/>
  <c r="C42" i="37"/>
  <c r="Z42" i="37" s="1"/>
  <c r="C39" i="37"/>
  <c r="C36" i="37"/>
  <c r="C35" i="37"/>
  <c r="C34" i="37"/>
  <c r="C33" i="37"/>
  <c r="C32" i="37"/>
  <c r="C31" i="37"/>
  <c r="C30" i="37"/>
  <c r="C29" i="37"/>
  <c r="C28" i="37"/>
  <c r="C27" i="37"/>
  <c r="C26" i="37"/>
  <c r="C24" i="37"/>
  <c r="C23" i="37"/>
  <c r="Z23" i="37" s="1"/>
  <c r="C22" i="37"/>
  <c r="C20" i="37"/>
  <c r="C17" i="37"/>
  <c r="C16" i="37"/>
  <c r="C15" i="37"/>
  <c r="C14" i="37"/>
  <c r="C13" i="37"/>
  <c r="C12" i="37"/>
  <c r="C11" i="37"/>
  <c r="C9" i="37"/>
  <c r="C8" i="37"/>
  <c r="Z8" i="37" s="1"/>
  <c r="C7" i="37"/>
  <c r="C6" i="37"/>
  <c r="C5" i="37"/>
  <c r="C4" i="37"/>
  <c r="Z4" i="37" s="1"/>
  <c r="V2" i="37"/>
  <c r="U2" i="37"/>
  <c r="T2" i="37"/>
  <c r="S2" i="37"/>
  <c r="R2" i="37"/>
  <c r="Q2" i="37"/>
  <c r="P2" i="37"/>
  <c r="O2" i="37"/>
  <c r="N2" i="37"/>
  <c r="M2" i="37"/>
  <c r="L2" i="37"/>
  <c r="K2" i="37"/>
  <c r="J2" i="37"/>
  <c r="I2" i="37"/>
  <c r="H2" i="37"/>
  <c r="G2" i="37"/>
  <c r="F2" i="37"/>
  <c r="E2" i="37"/>
  <c r="L23" i="34"/>
  <c r="M24" i="34" s="1"/>
  <c r="F24" i="34" s="1"/>
  <c r="F5" i="34"/>
  <c r="AL66" i="37" l="1"/>
  <c r="AD71" i="37"/>
  <c r="AE66" i="37"/>
  <c r="AJ66" i="37"/>
  <c r="AD62" i="37"/>
  <c r="AF66" i="37"/>
  <c r="AM66" i="37"/>
  <c r="AI73" i="37"/>
  <c r="AI75" i="37"/>
  <c r="Z15" i="37"/>
  <c r="Z34" i="37"/>
  <c r="Z51" i="37"/>
  <c r="Z6" i="37"/>
  <c r="Z32" i="37"/>
  <c r="Z11" i="37"/>
  <c r="Z30" i="37"/>
  <c r="Z26" i="37"/>
  <c r="Z13" i="37"/>
  <c r="Z17" i="37"/>
  <c r="Z28" i="37"/>
  <c r="Z36" i="37"/>
  <c r="Z12" i="37"/>
  <c r="Z14" i="37"/>
  <c r="Z16" i="37"/>
  <c r="Z27" i="37"/>
  <c r="Z29" i="37"/>
  <c r="Z31" i="37"/>
  <c r="Z56" i="37"/>
  <c r="Z65" i="37"/>
  <c r="AL88" i="37"/>
  <c r="AH88" i="37"/>
  <c r="AK88" i="37"/>
  <c r="AG88" i="37"/>
  <c r="AM88" i="37"/>
  <c r="AJ88" i="37"/>
  <c r="AE88" i="37"/>
  <c r="Z63" i="37"/>
  <c r="Z33" i="37"/>
  <c r="Z35" i="37"/>
  <c r="Z5" i="37"/>
  <c r="Z7" i="37"/>
  <c r="Z9" i="37"/>
  <c r="Z20" i="37"/>
  <c r="Z22" i="37"/>
  <c r="Z24" i="37"/>
  <c r="Z39" i="37"/>
  <c r="Z48" i="37"/>
  <c r="Z66" i="37"/>
  <c r="Z71" i="37"/>
  <c r="Z75" i="37"/>
  <c r="AM87" i="37"/>
  <c r="AE87" i="37"/>
  <c r="AK87" i="37"/>
  <c r="AF87" i="37"/>
  <c r="AL87" i="37"/>
  <c r="AH87" i="37"/>
  <c r="AG87" i="37"/>
  <c r="AN87" i="37"/>
  <c r="Z49" i="37"/>
  <c r="Z55" i="37"/>
  <c r="AD72" i="37"/>
  <c r="AD75" i="37"/>
  <c r="AJ86" i="37" s="1"/>
  <c r="Z72" i="37"/>
  <c r="Z79" i="37"/>
  <c r="AN88" i="37"/>
  <c r="Z50" i="37"/>
  <c r="Z52" i="37"/>
  <c r="AK66" i="37"/>
  <c r="AG66" i="37"/>
  <c r="AI66" i="37"/>
  <c r="AN66" i="37"/>
  <c r="AD70" i="37"/>
  <c r="AD73" i="37"/>
  <c r="AI87" i="37"/>
  <c r="AF88" i="37"/>
  <c r="AI88" i="37"/>
  <c r="AE83" i="37"/>
  <c r="AD69" i="37"/>
  <c r="AF83" i="37" s="1"/>
  <c r="AJ87" i="37"/>
  <c r="AD74" i="37"/>
  <c r="Z88" i="37"/>
  <c r="Z99" i="37"/>
  <c r="Z97" i="37"/>
  <c r="Z98" i="37"/>
  <c r="M23" i="34"/>
  <c r="F23" i="34" s="1"/>
  <c r="F13" i="34" s="1"/>
  <c r="AF86" i="37" l="1"/>
  <c r="AI86" i="37"/>
  <c r="AD66" i="37"/>
  <c r="AK84" i="37"/>
  <c r="AG84" i="37"/>
  <c r="AN84" i="37"/>
  <c r="AI84" i="37"/>
  <c r="AH84" i="37"/>
  <c r="AL84" i="37"/>
  <c r="AJ84" i="37"/>
  <c r="AF84" i="37"/>
  <c r="AE84" i="37"/>
  <c r="AM84" i="37"/>
  <c r="AI83" i="37"/>
  <c r="AM86" i="37"/>
  <c r="AE86" i="37"/>
  <c r="AK86" i="37"/>
  <c r="AG86" i="37"/>
  <c r="AN86" i="37"/>
  <c r="AL86" i="37"/>
  <c r="AH86" i="37"/>
  <c r="AK85" i="37"/>
  <c r="AG85" i="37"/>
  <c r="AN85" i="37"/>
  <c r="AI85" i="37"/>
  <c r="AM85" i="37"/>
  <c r="AH85" i="37"/>
  <c r="AJ85" i="37"/>
  <c r="AF85" i="37"/>
  <c r="AE85" i="37"/>
  <c r="AM83" i="37"/>
  <c r="AJ83" i="37"/>
  <c r="AH83" i="37"/>
  <c r="AG83" i="37"/>
  <c r="AN83" i="37"/>
  <c r="AL83" i="37"/>
  <c r="AK83" i="37"/>
  <c r="AL85" i="37"/>
  <c r="D136" i="11" l="1"/>
  <c r="H185" i="8" l="1"/>
  <c r="F185" i="10" s="1"/>
  <c r="G185" i="8"/>
  <c r="E17" i="36" l="1"/>
  <c r="F17" i="36" s="1"/>
  <c r="G17" i="36" s="1"/>
  <c r="H17" i="36" s="1"/>
  <c r="I17" i="36" s="1"/>
  <c r="J17" i="36" s="1"/>
  <c r="K17" i="36" s="1"/>
  <c r="L17" i="36" s="1"/>
  <c r="M17" i="36" s="1"/>
  <c r="N17" i="36" s="1"/>
  <c r="O17" i="36" s="1"/>
  <c r="P17" i="36" s="1"/>
  <c r="Q17" i="36" s="1"/>
  <c r="R17" i="36" s="1"/>
  <c r="S17" i="36" s="1"/>
  <c r="T17" i="36" s="1"/>
  <c r="U17" i="36" s="1"/>
  <c r="V17" i="36" s="1"/>
  <c r="W17" i="36" s="1"/>
  <c r="X17" i="36" s="1"/>
  <c r="Y17" i="36" s="1"/>
  <c r="Z17" i="36" s="1"/>
  <c r="D28" i="36"/>
  <c r="D27" i="36"/>
  <c r="D26" i="36"/>
  <c r="D25" i="36"/>
  <c r="D24" i="36"/>
  <c r="D23" i="36"/>
  <c r="D22" i="36"/>
  <c r="D21" i="36"/>
  <c r="D20" i="36"/>
  <c r="F3" i="36"/>
  <c r="G3" i="36" s="1"/>
  <c r="H3" i="36" s="1"/>
  <c r="I3" i="36" s="1"/>
  <c r="J3" i="36" s="1"/>
  <c r="K3" i="36" s="1"/>
  <c r="L3" i="36" s="1"/>
  <c r="M3" i="36" s="1"/>
  <c r="N3" i="36" s="1"/>
  <c r="O3" i="36" s="1"/>
  <c r="P3" i="36" s="1"/>
  <c r="Q3" i="36" s="1"/>
  <c r="R3" i="36" s="1"/>
  <c r="S3" i="36" s="1"/>
  <c r="T3" i="36" s="1"/>
  <c r="U3" i="36" s="1"/>
  <c r="V3" i="36" s="1"/>
  <c r="W3" i="36" s="1"/>
  <c r="X3" i="36" s="1"/>
  <c r="Y3" i="36" s="1"/>
  <c r="Z3" i="36" s="1"/>
  <c r="E3" i="36"/>
  <c r="M15" i="35"/>
  <c r="K15" i="35"/>
  <c r="H15" i="35"/>
  <c r="E15" i="35"/>
  <c r="D15" i="35"/>
  <c r="M14" i="35"/>
  <c r="M13" i="35"/>
  <c r="M12" i="35"/>
  <c r="M11" i="35"/>
  <c r="D16" i="35"/>
  <c r="M10" i="35"/>
  <c r="M9" i="35"/>
  <c r="M8" i="35"/>
  <c r="M7" i="35"/>
  <c r="D17" i="35"/>
  <c r="M6" i="35"/>
  <c r="A6" i="35"/>
  <c r="A7" i="35" s="1"/>
  <c r="A8" i="35" s="1"/>
  <c r="A9" i="35" s="1"/>
  <c r="A10" i="35" s="1"/>
  <c r="A11" i="35" s="1"/>
  <c r="A12" i="35" s="1"/>
  <c r="A13" i="35" s="1"/>
  <c r="A14" i="35" s="1"/>
  <c r="A15" i="35" s="1"/>
  <c r="K17" i="35" l="1"/>
  <c r="K16" i="35"/>
  <c r="H17" i="35"/>
  <c r="H16" i="35"/>
  <c r="D4" i="36"/>
  <c r="G27" i="36"/>
  <c r="H27" i="36" s="1"/>
  <c r="I27" i="36" s="1"/>
  <c r="J27" i="36" s="1"/>
  <c r="K27" i="36" s="1"/>
  <c r="L27" i="36" s="1"/>
  <c r="M27" i="36" s="1"/>
  <c r="N27" i="36" s="1"/>
  <c r="O27" i="36" s="1"/>
  <c r="P27" i="36" s="1"/>
  <c r="Q27" i="36" s="1"/>
  <c r="R27" i="36" s="1"/>
  <c r="S27" i="36" s="1"/>
  <c r="T27" i="36" s="1"/>
  <c r="U27" i="36" s="1"/>
  <c r="V27" i="36" s="1"/>
  <c r="W27" i="36" s="1"/>
  <c r="X27" i="36" s="1"/>
  <c r="Y27" i="36" s="1"/>
  <c r="D19" i="36"/>
  <c r="D18" i="36" s="1"/>
  <c r="E5" i="36" l="1"/>
  <c r="AB21" i="36"/>
  <c r="G21" i="36"/>
  <c r="H21" i="36" s="1"/>
  <c r="I21" i="36" s="1"/>
  <c r="J21" i="36" s="1"/>
  <c r="AB26" i="36"/>
  <c r="G26" i="36"/>
  <c r="H26" i="36" s="1"/>
  <c r="I26" i="36" s="1"/>
  <c r="J26" i="36" s="1"/>
  <c r="AB22" i="36"/>
  <c r="G22" i="36"/>
  <c r="H22" i="36" s="1"/>
  <c r="I22" i="36" s="1"/>
  <c r="J22" i="36" s="1"/>
  <c r="G10" i="36"/>
  <c r="H10" i="36" s="1"/>
  <c r="I10" i="36" s="1"/>
  <c r="J10" i="36" s="1"/>
  <c r="AB10" i="36"/>
  <c r="G11" i="36"/>
  <c r="H11" i="36" s="1"/>
  <c r="I11" i="36" s="1"/>
  <c r="J11" i="36" s="1"/>
  <c r="AB11" i="36"/>
  <c r="AB25" i="36"/>
  <c r="G25" i="36"/>
  <c r="H25" i="36" s="1"/>
  <c r="I25" i="36" s="1"/>
  <c r="J25" i="36" s="1"/>
  <c r="G9" i="36"/>
  <c r="H9" i="36" s="1"/>
  <c r="I9" i="36" s="1"/>
  <c r="J9" i="36" s="1"/>
  <c r="AB9" i="36"/>
  <c r="G12" i="36"/>
  <c r="H12" i="36" s="1"/>
  <c r="I12" i="36" s="1"/>
  <c r="J12" i="36" s="1"/>
  <c r="AB12" i="36"/>
  <c r="AB28" i="36"/>
  <c r="G28" i="36"/>
  <c r="H28" i="36" s="1"/>
  <c r="I28" i="36" s="1"/>
  <c r="J28" i="36" s="1"/>
  <c r="AB24" i="36"/>
  <c r="G24" i="36"/>
  <c r="H24" i="36" s="1"/>
  <c r="I24" i="36" s="1"/>
  <c r="J24" i="36" s="1"/>
  <c r="E19" i="36"/>
  <c r="E18" i="36" s="1"/>
  <c r="AB18" i="36" s="1"/>
  <c r="AB20" i="36"/>
  <c r="E4" i="36"/>
  <c r="AB4" i="36" s="1"/>
  <c r="AB6" i="36"/>
  <c r="AB5" i="36" s="1"/>
  <c r="G13" i="36"/>
  <c r="H13" i="36" s="1"/>
  <c r="I13" i="36" s="1"/>
  <c r="J13" i="36" s="1"/>
  <c r="AB13" i="36"/>
  <c r="AB23" i="36"/>
  <c r="G23" i="36"/>
  <c r="H23" i="36" s="1"/>
  <c r="I23" i="36" s="1"/>
  <c r="J23" i="36" s="1"/>
  <c r="G7" i="36"/>
  <c r="H7" i="36" s="1"/>
  <c r="I7" i="36" s="1"/>
  <c r="J7" i="36" s="1"/>
  <c r="AB7" i="36"/>
  <c r="G8" i="36"/>
  <c r="H8" i="36" s="1"/>
  <c r="I8" i="36" s="1"/>
  <c r="J8" i="36" s="1"/>
  <c r="AB8" i="36"/>
  <c r="AB14" i="36"/>
  <c r="G14" i="36"/>
  <c r="H14" i="36" s="1"/>
  <c r="I14" i="36" s="1"/>
  <c r="J14" i="36" s="1"/>
  <c r="F5" i="36" l="1"/>
  <c r="F4" i="36" s="1"/>
  <c r="AC7" i="36"/>
  <c r="K7" i="36"/>
  <c r="L7" i="36" s="1"/>
  <c r="M7" i="36" s="1"/>
  <c r="N7" i="36" s="1"/>
  <c r="O7" i="36" s="1"/>
  <c r="P7" i="36" s="1"/>
  <c r="Q7" i="36" s="1"/>
  <c r="AC10" i="36"/>
  <c r="K10" i="36"/>
  <c r="L10" i="36" s="1"/>
  <c r="M10" i="36" s="1"/>
  <c r="N10" i="36" s="1"/>
  <c r="O10" i="36" s="1"/>
  <c r="P10" i="36" s="1"/>
  <c r="Q10" i="36" s="1"/>
  <c r="AC8" i="36"/>
  <c r="K8" i="36"/>
  <c r="L8" i="36" s="1"/>
  <c r="M8" i="36" s="1"/>
  <c r="N8" i="36" s="1"/>
  <c r="O8" i="36" s="1"/>
  <c r="P8" i="36" s="1"/>
  <c r="Q8" i="36" s="1"/>
  <c r="AC14" i="36"/>
  <c r="K14" i="36"/>
  <c r="L14" i="36" s="1"/>
  <c r="M14" i="36" s="1"/>
  <c r="N14" i="36" s="1"/>
  <c r="O14" i="36" s="1"/>
  <c r="P14" i="36" s="1"/>
  <c r="Q14" i="36" s="1"/>
  <c r="G6" i="36"/>
  <c r="G5" i="36" s="1"/>
  <c r="AC24" i="36"/>
  <c r="K24" i="36"/>
  <c r="L24" i="36" s="1"/>
  <c r="M24" i="36" s="1"/>
  <c r="N24" i="36" s="1"/>
  <c r="O24" i="36" s="1"/>
  <c r="P24" i="36" s="1"/>
  <c r="Q24" i="36" s="1"/>
  <c r="AC25" i="36"/>
  <c r="K25" i="36"/>
  <c r="L25" i="36" s="1"/>
  <c r="M25" i="36" s="1"/>
  <c r="N25" i="36" s="1"/>
  <c r="O25" i="36" s="1"/>
  <c r="P25" i="36" s="1"/>
  <c r="Q25" i="36" s="1"/>
  <c r="AC26" i="36"/>
  <c r="K26" i="36"/>
  <c r="L26" i="36" s="1"/>
  <c r="M26" i="36" s="1"/>
  <c r="N26" i="36" s="1"/>
  <c r="O26" i="36" s="1"/>
  <c r="P26" i="36" s="1"/>
  <c r="Q26" i="36" s="1"/>
  <c r="AC12" i="36"/>
  <c r="K12" i="36"/>
  <c r="L12" i="36" s="1"/>
  <c r="M12" i="36" s="1"/>
  <c r="N12" i="36" s="1"/>
  <c r="O12" i="36" s="1"/>
  <c r="P12" i="36" s="1"/>
  <c r="Q12" i="36" s="1"/>
  <c r="AC23" i="36"/>
  <c r="K23" i="36"/>
  <c r="L23" i="36" s="1"/>
  <c r="M23" i="36" s="1"/>
  <c r="N23" i="36" s="1"/>
  <c r="O23" i="36" s="1"/>
  <c r="P23" i="36" s="1"/>
  <c r="Q23" i="36" s="1"/>
  <c r="AB19" i="36"/>
  <c r="K28" i="36"/>
  <c r="L28" i="36" s="1"/>
  <c r="M28" i="36" s="1"/>
  <c r="N28" i="36" s="1"/>
  <c r="O28" i="36" s="1"/>
  <c r="P28" i="36" s="1"/>
  <c r="Q28" i="36" s="1"/>
  <c r="AC28" i="36"/>
  <c r="AC22" i="36"/>
  <c r="K22" i="36"/>
  <c r="L22" i="36" s="1"/>
  <c r="M22" i="36" s="1"/>
  <c r="N22" i="36" s="1"/>
  <c r="O22" i="36" s="1"/>
  <c r="P22" i="36" s="1"/>
  <c r="Q22" i="36" s="1"/>
  <c r="AC21" i="36"/>
  <c r="K21" i="36"/>
  <c r="L21" i="36" s="1"/>
  <c r="M21" i="36" s="1"/>
  <c r="N21" i="36" s="1"/>
  <c r="O21" i="36" s="1"/>
  <c r="P21" i="36" s="1"/>
  <c r="Q21" i="36" s="1"/>
  <c r="AC13" i="36"/>
  <c r="K13" i="36"/>
  <c r="L13" i="36" s="1"/>
  <c r="M13" i="36" s="1"/>
  <c r="N13" i="36" s="1"/>
  <c r="O13" i="36" s="1"/>
  <c r="P13" i="36" s="1"/>
  <c r="Q13" i="36" s="1"/>
  <c r="G20" i="36"/>
  <c r="F19" i="36"/>
  <c r="F18" i="36" s="1"/>
  <c r="AC9" i="36"/>
  <c r="K9" i="36"/>
  <c r="L9" i="36" s="1"/>
  <c r="M9" i="36" s="1"/>
  <c r="N9" i="36" s="1"/>
  <c r="O9" i="36" s="1"/>
  <c r="P9" i="36" s="1"/>
  <c r="Q9" i="36" s="1"/>
  <c r="AC11" i="36"/>
  <c r="K11" i="36"/>
  <c r="L11" i="36" s="1"/>
  <c r="M11" i="36" s="1"/>
  <c r="N11" i="36" s="1"/>
  <c r="O11" i="36" s="1"/>
  <c r="P11" i="36" s="1"/>
  <c r="Q11" i="36" s="1"/>
  <c r="R9" i="36" l="1"/>
  <c r="S9" i="36" s="1"/>
  <c r="T9" i="36" s="1"/>
  <c r="AD9" i="36"/>
  <c r="AD13" i="36"/>
  <c r="R13" i="36"/>
  <c r="S13" i="36" s="1"/>
  <c r="T13" i="36" s="1"/>
  <c r="AD22" i="36"/>
  <c r="R22" i="36"/>
  <c r="S22" i="36" s="1"/>
  <c r="T22" i="36" s="1"/>
  <c r="AD23" i="36"/>
  <c r="R23" i="36"/>
  <c r="S23" i="36" s="1"/>
  <c r="T23" i="36" s="1"/>
  <c r="AD26" i="36"/>
  <c r="R26" i="36"/>
  <c r="S26" i="36" s="1"/>
  <c r="T26" i="36" s="1"/>
  <c r="AD24" i="36"/>
  <c r="R24" i="36"/>
  <c r="S24" i="36" s="1"/>
  <c r="T24" i="36" s="1"/>
  <c r="AD14" i="36"/>
  <c r="R14" i="36"/>
  <c r="S14" i="36" s="1"/>
  <c r="T14" i="36" s="1"/>
  <c r="AD10" i="36"/>
  <c r="R10" i="36"/>
  <c r="S10" i="36" s="1"/>
  <c r="T10" i="36" s="1"/>
  <c r="AD11" i="36"/>
  <c r="R11" i="36"/>
  <c r="S11" i="36" s="1"/>
  <c r="T11" i="36" s="1"/>
  <c r="AD21" i="36"/>
  <c r="R21" i="36"/>
  <c r="S21" i="36" s="1"/>
  <c r="T21" i="36" s="1"/>
  <c r="H20" i="36"/>
  <c r="G19" i="36"/>
  <c r="G18" i="36" s="1"/>
  <c r="R28" i="36"/>
  <c r="S28" i="36" s="1"/>
  <c r="T28" i="36" s="1"/>
  <c r="AD28" i="36"/>
  <c r="AD12" i="36"/>
  <c r="R12" i="36"/>
  <c r="S12" i="36" s="1"/>
  <c r="T12" i="36" s="1"/>
  <c r="AD25" i="36"/>
  <c r="R25" i="36"/>
  <c r="S25" i="36" s="1"/>
  <c r="T25" i="36" s="1"/>
  <c r="H6" i="36"/>
  <c r="H5" i="36" s="1"/>
  <c r="G4" i="36"/>
  <c r="R8" i="36"/>
  <c r="S8" i="36" s="1"/>
  <c r="T8" i="36" s="1"/>
  <c r="AD8" i="36"/>
  <c r="R7" i="36"/>
  <c r="S7" i="36" s="1"/>
  <c r="T7" i="36" s="1"/>
  <c r="AD7" i="36"/>
  <c r="U25" i="36" l="1"/>
  <c r="V25" i="36" s="1"/>
  <c r="W25" i="36" s="1"/>
  <c r="X25" i="36" s="1"/>
  <c r="Y25" i="36" s="1"/>
  <c r="AE25" i="36"/>
  <c r="U21" i="36"/>
  <c r="V21" i="36" s="1"/>
  <c r="W21" i="36" s="1"/>
  <c r="X21" i="36" s="1"/>
  <c r="Y21" i="36" s="1"/>
  <c r="AE21" i="36"/>
  <c r="U10" i="36"/>
  <c r="V10" i="36" s="1"/>
  <c r="W10" i="36" s="1"/>
  <c r="X10" i="36" s="1"/>
  <c r="Y10" i="36" s="1"/>
  <c r="AE10" i="36"/>
  <c r="U24" i="36"/>
  <c r="V24" i="36" s="1"/>
  <c r="W24" i="36" s="1"/>
  <c r="X24" i="36" s="1"/>
  <c r="Y24" i="36" s="1"/>
  <c r="AE24" i="36"/>
  <c r="U23" i="36"/>
  <c r="V23" i="36" s="1"/>
  <c r="W23" i="36" s="1"/>
  <c r="X23" i="36" s="1"/>
  <c r="Y23" i="36" s="1"/>
  <c r="AE23" i="36"/>
  <c r="U13" i="36"/>
  <c r="V13" i="36" s="1"/>
  <c r="W13" i="36" s="1"/>
  <c r="X13" i="36" s="1"/>
  <c r="Y13" i="36" s="1"/>
  <c r="AE13" i="36"/>
  <c r="AE28" i="36"/>
  <c r="U28" i="36"/>
  <c r="V28" i="36" s="1"/>
  <c r="W28" i="36" s="1"/>
  <c r="X28" i="36" s="1"/>
  <c r="Y28" i="36" s="1"/>
  <c r="U12" i="36"/>
  <c r="V12" i="36" s="1"/>
  <c r="W12" i="36" s="1"/>
  <c r="X12" i="36" s="1"/>
  <c r="Y12" i="36" s="1"/>
  <c r="AE12" i="36"/>
  <c r="U11" i="36"/>
  <c r="V11" i="36" s="1"/>
  <c r="W11" i="36" s="1"/>
  <c r="X11" i="36" s="1"/>
  <c r="Y11" i="36" s="1"/>
  <c r="AE11" i="36"/>
  <c r="U14" i="36"/>
  <c r="V14" i="36" s="1"/>
  <c r="W14" i="36" s="1"/>
  <c r="X14" i="36" s="1"/>
  <c r="Y14" i="36" s="1"/>
  <c r="AE14" i="36"/>
  <c r="U26" i="36"/>
  <c r="V26" i="36" s="1"/>
  <c r="W26" i="36" s="1"/>
  <c r="X26" i="36" s="1"/>
  <c r="Y26" i="36" s="1"/>
  <c r="AE26" i="36"/>
  <c r="U22" i="36"/>
  <c r="V22" i="36" s="1"/>
  <c r="W22" i="36" s="1"/>
  <c r="X22" i="36" s="1"/>
  <c r="Y22" i="36" s="1"/>
  <c r="AE22" i="36"/>
  <c r="AE8" i="36"/>
  <c r="U8" i="36"/>
  <c r="V8" i="36" s="1"/>
  <c r="W8" i="36" s="1"/>
  <c r="X8" i="36" s="1"/>
  <c r="Y8" i="36" s="1"/>
  <c r="AE7" i="36"/>
  <c r="U7" i="36"/>
  <c r="V7" i="36" s="1"/>
  <c r="W7" i="36" s="1"/>
  <c r="X7" i="36" s="1"/>
  <c r="Y7" i="36" s="1"/>
  <c r="H4" i="36"/>
  <c r="I6" i="36"/>
  <c r="I5" i="36" s="1"/>
  <c r="I20" i="36"/>
  <c r="H19" i="36"/>
  <c r="H18" i="36" s="1"/>
  <c r="AE9" i="36"/>
  <c r="U9" i="36"/>
  <c r="V9" i="36" s="1"/>
  <c r="W9" i="36" s="1"/>
  <c r="X9" i="36" s="1"/>
  <c r="Y9" i="36" s="1"/>
  <c r="AF22" i="36" l="1"/>
  <c r="Z22" i="36"/>
  <c r="AF24" i="36"/>
  <c r="Z24" i="36"/>
  <c r="Z7" i="36"/>
  <c r="AF7" i="36"/>
  <c r="I19" i="36"/>
  <c r="I18" i="36" s="1"/>
  <c r="J20" i="36"/>
  <c r="Z12" i="36"/>
  <c r="AF12" i="36"/>
  <c r="AF21" i="36"/>
  <c r="Z21" i="36"/>
  <c r="Z9" i="36"/>
  <c r="AF9" i="36"/>
  <c r="J6" i="36"/>
  <c r="J5" i="36" s="1"/>
  <c r="I4" i="36"/>
  <c r="Z8" i="36"/>
  <c r="AF8" i="36"/>
  <c r="AF28" i="36"/>
  <c r="Z28" i="36"/>
  <c r="AF14" i="36"/>
  <c r="Z14" i="36"/>
  <c r="Z13" i="36"/>
  <c r="AF13" i="36"/>
  <c r="AF26" i="36"/>
  <c r="Z26" i="36"/>
  <c r="Z11" i="36"/>
  <c r="AF11" i="36"/>
  <c r="AF23" i="36"/>
  <c r="Z23" i="36"/>
  <c r="Z10" i="36"/>
  <c r="AF10" i="36"/>
  <c r="AF25" i="36"/>
  <c r="Z25" i="36"/>
  <c r="AC20" i="36" l="1"/>
  <c r="AC19" i="36" s="1"/>
  <c r="K20" i="36"/>
  <c r="J19" i="36"/>
  <c r="J18" i="36" s="1"/>
  <c r="AC18" i="36" s="1"/>
  <c r="AC6" i="36"/>
  <c r="AC5" i="36" s="1"/>
  <c r="J4" i="36"/>
  <c r="AC4" i="36" s="1"/>
  <c r="K6" i="36"/>
  <c r="K5" i="36" s="1"/>
  <c r="L6" i="36" l="1"/>
  <c r="L5" i="36" s="1"/>
  <c r="K4" i="36"/>
  <c r="L20" i="36"/>
  <c r="K19" i="36"/>
  <c r="K18" i="36" s="1"/>
  <c r="M20" i="36" l="1"/>
  <c r="L19" i="36"/>
  <c r="L18" i="36" s="1"/>
  <c r="L4" i="36"/>
  <c r="M6" i="36"/>
  <c r="M5" i="36" s="1"/>
  <c r="N6" i="36" l="1"/>
  <c r="N5" i="36" s="1"/>
  <c r="M4" i="36"/>
  <c r="M19" i="36"/>
  <c r="M18" i="36" s="1"/>
  <c r="N20" i="36"/>
  <c r="O20" i="36" l="1"/>
  <c r="N19" i="36"/>
  <c r="N18" i="36" s="1"/>
  <c r="N4" i="36"/>
  <c r="O6" i="36"/>
  <c r="O5" i="36" s="1"/>
  <c r="P6" i="36" l="1"/>
  <c r="P5" i="36" s="1"/>
  <c r="O4" i="36"/>
  <c r="P20" i="36"/>
  <c r="O19" i="36"/>
  <c r="O18" i="36" s="1"/>
  <c r="Q20" i="36" l="1"/>
  <c r="P19" i="36"/>
  <c r="P18" i="36" s="1"/>
  <c r="P4" i="36"/>
  <c r="Q6" i="36"/>
  <c r="Q5" i="36" s="1"/>
  <c r="R6" i="36" l="1"/>
  <c r="R5" i="36" s="1"/>
  <c r="AD6" i="36"/>
  <c r="AD5" i="36" s="1"/>
  <c r="Q4" i="36"/>
  <c r="AD4" i="36" s="1"/>
  <c r="AD20" i="36"/>
  <c r="AD19" i="36" s="1"/>
  <c r="Q19" i="36"/>
  <c r="Q18" i="36" s="1"/>
  <c r="AD18" i="36" s="1"/>
  <c r="R20" i="36"/>
  <c r="S20" i="36" l="1"/>
  <c r="R19" i="36"/>
  <c r="R18" i="36" s="1"/>
  <c r="R4" i="36"/>
  <c r="S6" i="36"/>
  <c r="S5" i="36" s="1"/>
  <c r="T6" i="36" l="1"/>
  <c r="T5" i="36" s="1"/>
  <c r="S4" i="36"/>
  <c r="T20" i="36"/>
  <c r="S19" i="36"/>
  <c r="S18" i="36" s="1"/>
  <c r="U20" i="36" l="1"/>
  <c r="T19" i="36"/>
  <c r="T18" i="36" s="1"/>
  <c r="AE18" i="36" s="1"/>
  <c r="AE20" i="36"/>
  <c r="AE19" i="36" s="1"/>
  <c r="T4" i="36"/>
  <c r="AE4" i="36" s="1"/>
  <c r="AE6" i="36"/>
  <c r="AE5" i="36" s="1"/>
  <c r="U6" i="36"/>
  <c r="U5" i="36" s="1"/>
  <c r="V6" i="36" l="1"/>
  <c r="V5" i="36" s="1"/>
  <c r="U4" i="36"/>
  <c r="U19" i="36"/>
  <c r="U18" i="36" s="1"/>
  <c r="V20" i="36"/>
  <c r="W20" i="36" l="1"/>
  <c r="V19" i="36"/>
  <c r="V18" i="36" s="1"/>
  <c r="V4" i="36"/>
  <c r="W6" i="36"/>
  <c r="W5" i="36" s="1"/>
  <c r="X6" i="36" l="1"/>
  <c r="X5" i="36" s="1"/>
  <c r="W4" i="36"/>
  <c r="X20" i="36"/>
  <c r="W19" i="36"/>
  <c r="W18" i="36" s="1"/>
  <c r="Y20" i="36" l="1"/>
  <c r="X19" i="36"/>
  <c r="X18" i="36" s="1"/>
  <c r="X4" i="36"/>
  <c r="Y6" i="36"/>
  <c r="Y5" i="36" s="1"/>
  <c r="Z6" i="36" l="1"/>
  <c r="Z5" i="36" s="1"/>
  <c r="Z4" i="36" s="1"/>
  <c r="AF6" i="36"/>
  <c r="AF5" i="36" s="1"/>
  <c r="Y4" i="36"/>
  <c r="AF4" i="36" s="1"/>
  <c r="Y19" i="36"/>
  <c r="Y18" i="36" s="1"/>
  <c r="AF18" i="36" s="1"/>
  <c r="AF20" i="36"/>
  <c r="AF19" i="36" s="1"/>
  <c r="Z20" i="36"/>
  <c r="Z19" i="36" s="1"/>
  <c r="Z18" i="36" s="1"/>
  <c r="K187" i="10" l="1"/>
  <c r="K143" i="10"/>
  <c r="K107" i="10"/>
  <c r="K66" i="10"/>
  <c r="C33" i="5" l="1"/>
  <c r="D32" i="5"/>
  <c r="D29" i="5"/>
  <c r="B30" i="5"/>
  <c r="AA32" i="5" s="1"/>
  <c r="B27" i="5"/>
  <c r="AA29" i="5" s="1"/>
  <c r="C17" i="4"/>
  <c r="C16" i="4"/>
  <c r="AH19" i="8" s="1"/>
  <c r="AC27" i="5" l="1"/>
  <c r="E29" i="5"/>
  <c r="E32" i="5"/>
  <c r="AD31" i="5" s="1"/>
  <c r="Z17" i="4"/>
  <c r="BE20" i="8" s="1"/>
  <c r="AH20" i="8"/>
  <c r="F29" i="5"/>
  <c r="G29" i="5" s="1"/>
  <c r="H29" i="5" s="1"/>
  <c r="I27" i="5" s="1"/>
  <c r="J29" i="5" s="1"/>
  <c r="K29" i="5" s="1"/>
  <c r="L29" i="5" s="1"/>
  <c r="M29" i="5" s="1"/>
  <c r="N27" i="5" s="1"/>
  <c r="O29" i="5" s="1"/>
  <c r="P29" i="5" s="1"/>
  <c r="Q29" i="5" s="1"/>
  <c r="R29" i="5" s="1"/>
  <c r="AC30" i="5"/>
  <c r="AC28" i="5"/>
  <c r="AC29" i="5" s="1"/>
  <c r="Z16" i="4"/>
  <c r="BE19" i="8" s="1"/>
  <c r="AC31" i="5"/>
  <c r="AA30" i="5"/>
  <c r="AA27" i="5"/>
  <c r="AA31" i="5"/>
  <c r="AA28" i="5"/>
  <c r="AD30" i="5" l="1"/>
  <c r="F32" i="5"/>
  <c r="G32" i="5" s="1"/>
  <c r="H32" i="5" s="1"/>
  <c r="I30" i="5" s="1"/>
  <c r="J32" i="5" s="1"/>
  <c r="K32" i="5" s="1"/>
  <c r="L32" i="5" s="1"/>
  <c r="M32" i="5" s="1"/>
  <c r="N30" i="5" s="1"/>
  <c r="O32" i="5" s="1"/>
  <c r="P32" i="5" s="1"/>
  <c r="Q32" i="5" s="1"/>
  <c r="R32" i="5" s="1"/>
  <c r="S30" i="5" s="1"/>
  <c r="AE28" i="5"/>
  <c r="AF28" i="5"/>
  <c r="AH27" i="5"/>
  <c r="AC32" i="5"/>
  <c r="AD27" i="5"/>
  <c r="AG28" i="5"/>
  <c r="AG29" i="5" s="1"/>
  <c r="AG27" i="5"/>
  <c r="AQ28" i="5"/>
  <c r="S27" i="5"/>
  <c r="AR27" i="5" s="1"/>
  <c r="AK28" i="5"/>
  <c r="AF27" i="5"/>
  <c r="AD28" i="5"/>
  <c r="AK27" i="5"/>
  <c r="AH28" i="5"/>
  <c r="AJ28" i="5"/>
  <c r="AE27" i="5"/>
  <c r="AE29" i="5" s="1"/>
  <c r="AD32" i="5"/>
  <c r="AE31" i="5"/>
  <c r="AE30" i="5"/>
  <c r="AN27" i="5"/>
  <c r="AQ27" i="5"/>
  <c r="AP27" i="5"/>
  <c r="AP28" i="5"/>
  <c r="AL28" i="5"/>
  <c r="AM27" i="5"/>
  <c r="AO28" i="5"/>
  <c r="AL27" i="5"/>
  <c r="AM28" i="5"/>
  <c r="AJ27" i="5"/>
  <c r="AI27" i="5"/>
  <c r="AN28" i="5"/>
  <c r="AO27" i="5"/>
  <c r="AI28" i="5"/>
  <c r="AF29" i="5"/>
  <c r="AR30" i="5" l="1"/>
  <c r="T32" i="5"/>
  <c r="AR31" i="5"/>
  <c r="AR32" i="5" s="1"/>
  <c r="AD29" i="5"/>
  <c r="AH29" i="5"/>
  <c r="AK29" i="5"/>
  <c r="T29" i="5"/>
  <c r="AS27" i="5" s="1"/>
  <c r="AR28" i="5"/>
  <c r="AJ29" i="5"/>
  <c r="AQ29" i="5"/>
  <c r="AN29" i="5"/>
  <c r="AP29" i="5"/>
  <c r="AE32" i="5"/>
  <c r="AF31" i="5"/>
  <c r="AF30" i="5"/>
  <c r="AM29" i="5"/>
  <c r="AO29" i="5"/>
  <c r="AL29" i="5"/>
  <c r="AI29" i="5"/>
  <c r="AS31" i="5" l="1"/>
  <c r="AS30" i="5"/>
  <c r="AS32" i="5" s="1"/>
  <c r="U32" i="5"/>
  <c r="U29" i="5"/>
  <c r="AS28" i="5"/>
  <c r="AS29" i="5" s="1"/>
  <c r="AR29" i="5"/>
  <c r="AG31" i="5"/>
  <c r="AG30" i="5"/>
  <c r="AF32" i="5"/>
  <c r="V32" i="5" l="1"/>
  <c r="AT31" i="5"/>
  <c r="AT30" i="5"/>
  <c r="AT32" i="5" s="1"/>
  <c r="V29" i="5"/>
  <c r="AT28" i="5"/>
  <c r="AT27" i="5"/>
  <c r="AG32" i="5"/>
  <c r="AH30" i="5"/>
  <c r="AH31" i="5"/>
  <c r="AU31" i="5" l="1"/>
  <c r="AU30" i="5"/>
  <c r="AU32" i="5" s="1"/>
  <c r="W32" i="5"/>
  <c r="AT29" i="5"/>
  <c r="W29" i="5"/>
  <c r="AU27" i="5"/>
  <c r="AU28" i="5"/>
  <c r="AH32" i="5"/>
  <c r="AI31" i="5"/>
  <c r="AI30" i="5"/>
  <c r="AV30" i="5" l="1"/>
  <c r="AV31" i="5"/>
  <c r="AU29" i="5"/>
  <c r="AV27" i="5"/>
  <c r="AV28" i="5"/>
  <c r="AJ31" i="5"/>
  <c r="AJ30" i="5"/>
  <c r="AI32" i="5"/>
  <c r="AV29" i="5" l="1"/>
  <c r="AV32" i="5"/>
  <c r="AJ32" i="5"/>
  <c r="AK31" i="5"/>
  <c r="AK30" i="5"/>
  <c r="AK32" i="5" l="1"/>
  <c r="AL30" i="5"/>
  <c r="AL31" i="5"/>
  <c r="AL32" i="5" l="1"/>
  <c r="AM31" i="5"/>
  <c r="AM30" i="5"/>
  <c r="AN31" i="5" l="1"/>
  <c r="AN30" i="5"/>
  <c r="AM32" i="5"/>
  <c r="AN32" i="5" l="1"/>
  <c r="AO31" i="5"/>
  <c r="AO30" i="5"/>
  <c r="AO32" i="5" l="1"/>
  <c r="AP30" i="5"/>
  <c r="AP31" i="5"/>
  <c r="AQ31" i="5" l="1"/>
  <c r="AQ30" i="5"/>
  <c r="AP32" i="5"/>
  <c r="AQ32" i="5" l="1"/>
  <c r="G81" i="9" l="1"/>
  <c r="F81" i="9"/>
  <c r="E81" i="9"/>
  <c r="D81" i="9"/>
  <c r="G55" i="8" l="1"/>
  <c r="G54" i="8"/>
  <c r="H55" i="8"/>
  <c r="F55" i="10" s="1"/>
  <c r="H54" i="8"/>
  <c r="H41" i="1" l="1"/>
  <c r="G41" i="1"/>
  <c r="F41" i="1"/>
  <c r="E41" i="1"/>
  <c r="D41" i="1"/>
  <c r="H38" i="1"/>
  <c r="G38" i="1"/>
  <c r="F38" i="1"/>
  <c r="E38" i="1"/>
  <c r="D38" i="1"/>
  <c r="H28" i="1"/>
  <c r="G28" i="1"/>
  <c r="F28" i="1"/>
  <c r="E28" i="1"/>
  <c r="D28" i="1"/>
  <c r="H25" i="1"/>
  <c r="G25" i="1"/>
  <c r="F25" i="1"/>
  <c r="E25" i="1"/>
  <c r="D25" i="1"/>
  <c r="H22" i="1"/>
  <c r="G22" i="1"/>
  <c r="F22" i="1"/>
  <c r="E22" i="1"/>
  <c r="D22" i="1"/>
  <c r="T8" i="11" l="1"/>
  <c r="H38" i="9" s="1"/>
  <c r="I38" i="9" s="1"/>
  <c r="D76" i="9"/>
  <c r="J38" i="9" l="1"/>
  <c r="I81" i="9"/>
  <c r="M38" i="9"/>
  <c r="H81" i="9"/>
  <c r="Y143" i="11"/>
  <c r="Y140" i="11"/>
  <c r="R38" i="9" l="1"/>
  <c r="S38" i="9" s="1"/>
  <c r="N38" i="9"/>
  <c r="M81" i="9"/>
  <c r="K38" i="9"/>
  <c r="J81" i="9"/>
  <c r="W38" i="9"/>
  <c r="W81" i="9" s="1"/>
  <c r="R81" i="9"/>
  <c r="AY150" i="5"/>
  <c r="AY96" i="5"/>
  <c r="AY83" i="5"/>
  <c r="AY67" i="5"/>
  <c r="AH59" i="8"/>
  <c r="AH52" i="8"/>
  <c r="AH49" i="8"/>
  <c r="AH46" i="8"/>
  <c r="C52" i="4"/>
  <c r="AH58" i="8" s="1"/>
  <c r="C51" i="4"/>
  <c r="AH57" i="8" s="1"/>
  <c r="C50" i="4"/>
  <c r="AH56" i="8" s="1"/>
  <c r="C49" i="4"/>
  <c r="Z49" i="4" s="1"/>
  <c r="BE55" i="8" s="1"/>
  <c r="C48" i="4"/>
  <c r="AH54" i="8" s="1"/>
  <c r="C47" i="4"/>
  <c r="Z47" i="4" s="1"/>
  <c r="BE53" i="8" s="1"/>
  <c r="C45" i="4"/>
  <c r="Z45" i="4" s="1"/>
  <c r="BE51" i="8" s="1"/>
  <c r="Z51" i="4"/>
  <c r="BE57" i="8" s="1"/>
  <c r="C42" i="4"/>
  <c r="Z42" i="4" s="1"/>
  <c r="BE48" i="8" s="1"/>
  <c r="C39" i="4"/>
  <c r="Z39" i="4" s="1"/>
  <c r="BE45" i="8" s="1"/>
  <c r="AH92" i="8"/>
  <c r="AH89" i="8"/>
  <c r="AH83" i="8"/>
  <c r="AH26" i="8"/>
  <c r="C96" i="4"/>
  <c r="AH106" i="8" s="1"/>
  <c r="C97" i="4"/>
  <c r="Z97" i="4" s="1"/>
  <c r="BE107" i="8" s="1"/>
  <c r="C98" i="4"/>
  <c r="AH108" i="8" s="1"/>
  <c r="C84" i="4"/>
  <c r="Z84" i="4" s="1"/>
  <c r="BE91" i="8" s="1"/>
  <c r="C81" i="4"/>
  <c r="Z81" i="4" s="1"/>
  <c r="BE88" i="8" s="1"/>
  <c r="C80" i="4"/>
  <c r="AH87" i="8" s="1"/>
  <c r="C79" i="4"/>
  <c r="AH86" i="8" s="1"/>
  <c r="C75" i="4"/>
  <c r="Z75" i="4" s="1"/>
  <c r="BE82" i="8" s="1"/>
  <c r="C72" i="4"/>
  <c r="Z72" i="4" s="1"/>
  <c r="BE79" i="8" s="1"/>
  <c r="C56" i="4"/>
  <c r="Z56" i="4" s="1"/>
  <c r="BE62" i="8" s="1"/>
  <c r="C36" i="4"/>
  <c r="Z36" i="4" s="1"/>
  <c r="BE42" i="8" s="1"/>
  <c r="C35" i="4"/>
  <c r="Z35" i="4" s="1"/>
  <c r="BE41" i="8" s="1"/>
  <c r="C20" i="4"/>
  <c r="Z20" i="4" s="1"/>
  <c r="BE25" i="8" s="1"/>
  <c r="C15" i="4"/>
  <c r="AH18" i="8" s="1"/>
  <c r="C14" i="4"/>
  <c r="AH17" i="8" s="1"/>
  <c r="C13" i="4"/>
  <c r="AH16" i="8" s="1"/>
  <c r="C12" i="4"/>
  <c r="AH15" i="8" s="1"/>
  <c r="D26" i="5"/>
  <c r="D23" i="5"/>
  <c r="B24" i="5"/>
  <c r="AA26" i="5" s="1"/>
  <c r="B21" i="5"/>
  <c r="AA23" i="5" s="1"/>
  <c r="D20" i="5"/>
  <c r="B18" i="5"/>
  <c r="AA20" i="5" s="1"/>
  <c r="D17" i="5"/>
  <c r="E17" i="5" s="1"/>
  <c r="B15" i="5"/>
  <c r="AA17" i="5" s="1"/>
  <c r="C133" i="5"/>
  <c r="D135" i="5" s="1"/>
  <c r="E135" i="5" s="1"/>
  <c r="F135" i="5" s="1"/>
  <c r="G135" i="5" s="1"/>
  <c r="H135" i="5" s="1"/>
  <c r="I133" i="5" s="1"/>
  <c r="J135" i="5" s="1"/>
  <c r="K135" i="5" s="1"/>
  <c r="L135" i="5" s="1"/>
  <c r="M135" i="5" s="1"/>
  <c r="N133" i="5" s="1"/>
  <c r="O135" i="5" s="1"/>
  <c r="P135" i="5" s="1"/>
  <c r="Q135" i="5" s="1"/>
  <c r="R135" i="5" s="1"/>
  <c r="S133" i="5" s="1"/>
  <c r="AR133" i="5" s="1"/>
  <c r="B133" i="5"/>
  <c r="AA135" i="5" s="1"/>
  <c r="AA133" i="5" s="1"/>
  <c r="C130" i="5"/>
  <c r="D132" i="5" s="1"/>
  <c r="B130" i="5"/>
  <c r="AA132" i="5" s="1"/>
  <c r="C127" i="5"/>
  <c r="AB127" i="5" s="1"/>
  <c r="B127" i="5"/>
  <c r="AA129" i="5" s="1"/>
  <c r="C115" i="5"/>
  <c r="D117" i="5" s="1"/>
  <c r="AC116" i="5" s="1"/>
  <c r="B115" i="5"/>
  <c r="AA117" i="5" s="1"/>
  <c r="C62" i="5"/>
  <c r="AB62" i="5" s="1"/>
  <c r="C59" i="5"/>
  <c r="AB60" i="5" s="1"/>
  <c r="B62" i="5"/>
  <c r="AA64" i="5" s="1"/>
  <c r="AA63" i="5" s="1"/>
  <c r="B59" i="5"/>
  <c r="AA61" i="5" s="1"/>
  <c r="AA60" i="5" s="1"/>
  <c r="C78" i="5"/>
  <c r="AB79" i="5" s="1"/>
  <c r="B78" i="5"/>
  <c r="AA80" i="5" s="1"/>
  <c r="C70" i="5"/>
  <c r="AB71" i="5" s="1"/>
  <c r="B70" i="5"/>
  <c r="AA72" i="5" s="1"/>
  <c r="Z78" i="5"/>
  <c r="Z70" i="5"/>
  <c r="C163" i="5"/>
  <c r="D165" i="5" s="1"/>
  <c r="E165" i="5" s="1"/>
  <c r="F165" i="5" s="1"/>
  <c r="G165" i="5" s="1"/>
  <c r="H165" i="5" s="1"/>
  <c r="I163" i="5" s="1"/>
  <c r="J165" i="5" s="1"/>
  <c r="K165" i="5" s="1"/>
  <c r="L165" i="5" s="1"/>
  <c r="M165" i="5" s="1"/>
  <c r="N163" i="5" s="1"/>
  <c r="O165" i="5" s="1"/>
  <c r="P165" i="5" s="1"/>
  <c r="Q165" i="5" s="1"/>
  <c r="R165" i="5" s="1"/>
  <c r="S163" i="5" s="1"/>
  <c r="AR163" i="5" s="1"/>
  <c r="C160" i="5"/>
  <c r="B163" i="5"/>
  <c r="AA165" i="5" s="1"/>
  <c r="B160" i="5"/>
  <c r="AA162" i="5" s="1"/>
  <c r="AA160" i="5" s="1"/>
  <c r="C141" i="5"/>
  <c r="D141" i="5" s="1"/>
  <c r="D142" i="5" s="1"/>
  <c r="B141" i="5"/>
  <c r="AA141" i="5" s="1"/>
  <c r="Z141" i="5"/>
  <c r="C123" i="5"/>
  <c r="D123" i="5" s="1"/>
  <c r="E123" i="5" s="1"/>
  <c r="F123" i="5" s="1"/>
  <c r="G123" i="5" s="1"/>
  <c r="H123" i="5" s="1"/>
  <c r="I123" i="5" s="1"/>
  <c r="J123" i="5" s="1"/>
  <c r="K123" i="5" s="1"/>
  <c r="L123" i="5" s="1"/>
  <c r="M123" i="5" s="1"/>
  <c r="N123" i="5" s="1"/>
  <c r="O123" i="5" s="1"/>
  <c r="P123" i="5" s="1"/>
  <c r="Q123" i="5" s="1"/>
  <c r="R123" i="5" s="1"/>
  <c r="B123" i="5"/>
  <c r="AA123" i="5" s="1"/>
  <c r="Z123" i="5"/>
  <c r="C100" i="5"/>
  <c r="AB100" i="5" s="1"/>
  <c r="B100" i="5"/>
  <c r="AA100" i="5" s="1"/>
  <c r="C87" i="5"/>
  <c r="D87" i="5" s="1"/>
  <c r="B87" i="5"/>
  <c r="AA87" i="5" s="1"/>
  <c r="AB38" i="5"/>
  <c r="B38" i="5"/>
  <c r="AA38" i="5" s="1"/>
  <c r="Z38" i="5"/>
  <c r="C69" i="3"/>
  <c r="AA66" i="3"/>
  <c r="Z66" i="3"/>
  <c r="AA68" i="3"/>
  <c r="Z68" i="3"/>
  <c r="AA67" i="3"/>
  <c r="Z67" i="3"/>
  <c r="AA65" i="3"/>
  <c r="Z65" i="3"/>
  <c r="AA64" i="3"/>
  <c r="X30" i="5" s="1"/>
  <c r="Z64" i="3"/>
  <c r="AA63" i="3"/>
  <c r="X27" i="5" s="1"/>
  <c r="Z63" i="3"/>
  <c r="AA62" i="3"/>
  <c r="Z62" i="3"/>
  <c r="AA61" i="3"/>
  <c r="Z61" i="3"/>
  <c r="AA60" i="3"/>
  <c r="Z60" i="3"/>
  <c r="AA59" i="3"/>
  <c r="Z59" i="3"/>
  <c r="AA58" i="3"/>
  <c r="Z58" i="3"/>
  <c r="AA57" i="3"/>
  <c r="Z57" i="3"/>
  <c r="AA56" i="3"/>
  <c r="Z56" i="3"/>
  <c r="AA55" i="3"/>
  <c r="Z55" i="3"/>
  <c r="M13" i="3"/>
  <c r="C13" i="3"/>
  <c r="AA12" i="3"/>
  <c r="Z12" i="3"/>
  <c r="AA11" i="3"/>
  <c r="Z11" i="3"/>
  <c r="AA10" i="3"/>
  <c r="Z10" i="3"/>
  <c r="AA9" i="3"/>
  <c r="Z9" i="3"/>
  <c r="AA8" i="3"/>
  <c r="Z8" i="3"/>
  <c r="E23" i="5" l="1"/>
  <c r="F23" i="5" s="1"/>
  <c r="G23" i="5" s="1"/>
  <c r="H23" i="5" s="1"/>
  <c r="I21" i="5" s="1"/>
  <c r="J23" i="5" s="1"/>
  <c r="K23" i="5" s="1"/>
  <c r="L23" i="5" s="1"/>
  <c r="M23" i="5" s="1"/>
  <c r="N21" i="5" s="1"/>
  <c r="O23" i="5" s="1"/>
  <c r="P23" i="5" s="1"/>
  <c r="Q23" i="5" s="1"/>
  <c r="R23" i="5" s="1"/>
  <c r="S21" i="5" s="1"/>
  <c r="AC18" i="5"/>
  <c r="E20" i="5"/>
  <c r="E26" i="5"/>
  <c r="F26" i="5" s="1"/>
  <c r="G26" i="5" s="1"/>
  <c r="S123" i="5"/>
  <c r="T123" i="5" s="1"/>
  <c r="U123" i="5" s="1"/>
  <c r="V123" i="5" s="1"/>
  <c r="W123" i="5" s="1"/>
  <c r="X123" i="5" s="1"/>
  <c r="AW30" i="5"/>
  <c r="AW31" i="5"/>
  <c r="Z50" i="4"/>
  <c r="BE56" i="8" s="1"/>
  <c r="L38" i="9"/>
  <c r="L81" i="9" s="1"/>
  <c r="K81" i="9"/>
  <c r="AW28" i="5"/>
  <c r="AW29" i="5" s="1"/>
  <c r="AW27" i="5"/>
  <c r="O38" i="9"/>
  <c r="N81" i="9"/>
  <c r="T38" i="9"/>
  <c r="S81" i="9"/>
  <c r="T135" i="5"/>
  <c r="AS133" i="5" s="1"/>
  <c r="AR134" i="5"/>
  <c r="T165" i="5"/>
  <c r="AS163" i="5" s="1"/>
  <c r="AC15" i="5"/>
  <c r="AC16" i="5"/>
  <c r="AB39" i="5"/>
  <c r="F20" i="5"/>
  <c r="G20" i="5" s="1"/>
  <c r="H20" i="5" s="1"/>
  <c r="I18" i="5" s="1"/>
  <c r="J20" i="5" s="1"/>
  <c r="K20" i="5" s="1"/>
  <c r="L20" i="5" s="1"/>
  <c r="M20" i="5" s="1"/>
  <c r="N18" i="5" s="1"/>
  <c r="O20" i="5" s="1"/>
  <c r="P20" i="5" s="1"/>
  <c r="Q20" i="5" s="1"/>
  <c r="R20" i="5" s="1"/>
  <c r="S18" i="5" s="1"/>
  <c r="AR18" i="5" s="1"/>
  <c r="AH55" i="8"/>
  <c r="AH48" i="8"/>
  <c r="Z52" i="4"/>
  <c r="BE58" i="8" s="1"/>
  <c r="AH53" i="8"/>
  <c r="AH45" i="8"/>
  <c r="AH51" i="8"/>
  <c r="AD196" i="8" s="1"/>
  <c r="K196" i="10" s="1"/>
  <c r="Z48" i="4"/>
  <c r="BE54" i="8" s="1"/>
  <c r="AH62" i="8"/>
  <c r="Z96" i="4"/>
  <c r="BE106" i="8" s="1"/>
  <c r="AH25" i="8"/>
  <c r="AH82" i="8"/>
  <c r="AH88" i="8"/>
  <c r="AH42" i="8"/>
  <c r="AH91" i="8"/>
  <c r="AH107" i="8"/>
  <c r="AH41" i="8"/>
  <c r="Z80" i="4"/>
  <c r="BE87" i="8" s="1"/>
  <c r="Z79" i="4"/>
  <c r="BE86" i="8" s="1"/>
  <c r="Z12" i="4"/>
  <c r="BE15" i="8" s="1"/>
  <c r="Z15" i="4"/>
  <c r="BE18" i="8" s="1"/>
  <c r="Z13" i="4"/>
  <c r="BE16" i="8" s="1"/>
  <c r="Z14" i="4"/>
  <c r="BE17" i="8" s="1"/>
  <c r="AC22" i="5"/>
  <c r="AA22" i="5"/>
  <c r="AA21" i="5"/>
  <c r="AD21" i="5"/>
  <c r="AD22" i="5"/>
  <c r="AC21" i="5"/>
  <c r="AC19" i="5"/>
  <c r="AC20" i="5" s="1"/>
  <c r="AC24" i="5"/>
  <c r="F17" i="5"/>
  <c r="G17" i="5" s="1"/>
  <c r="AC25" i="5"/>
  <c r="AA25" i="5"/>
  <c r="AA24" i="5"/>
  <c r="AD24" i="5"/>
  <c r="AD25" i="5"/>
  <c r="AA19" i="5"/>
  <c r="AA18" i="5"/>
  <c r="AA16" i="5"/>
  <c r="AA15" i="5"/>
  <c r="E132" i="5"/>
  <c r="AD131" i="5" s="1"/>
  <c r="AC130" i="5"/>
  <c r="AC131" i="5"/>
  <c r="AB130" i="5"/>
  <c r="AA134" i="5"/>
  <c r="AA130" i="5"/>
  <c r="AA131" i="5"/>
  <c r="D129" i="5"/>
  <c r="E129" i="5" s="1"/>
  <c r="F129" i="5" s="1"/>
  <c r="G129" i="5" s="1"/>
  <c r="H129" i="5" s="1"/>
  <c r="I127" i="5" s="1"/>
  <c r="J129" i="5" s="1"/>
  <c r="K129" i="5" s="1"/>
  <c r="L129" i="5" s="1"/>
  <c r="M129" i="5" s="1"/>
  <c r="N127" i="5" s="1"/>
  <c r="O129" i="5" s="1"/>
  <c r="P129" i="5" s="1"/>
  <c r="Q129" i="5" s="1"/>
  <c r="R129" i="5" s="1"/>
  <c r="S127" i="5" s="1"/>
  <c r="AA127" i="5"/>
  <c r="AB131" i="5"/>
  <c r="AA128" i="5"/>
  <c r="C136" i="5"/>
  <c r="AB128" i="5"/>
  <c r="AB129" i="5" s="1"/>
  <c r="AB134" i="5"/>
  <c r="AB133" i="5"/>
  <c r="AB116" i="5"/>
  <c r="E117" i="5"/>
  <c r="AC115" i="5"/>
  <c r="AB115" i="5"/>
  <c r="AA116" i="5"/>
  <c r="AA115" i="5"/>
  <c r="D64" i="5"/>
  <c r="E64" i="5" s="1"/>
  <c r="F64" i="5" s="1"/>
  <c r="G64" i="5" s="1"/>
  <c r="H64" i="5" s="1"/>
  <c r="I62" i="5" s="1"/>
  <c r="J64" i="5" s="1"/>
  <c r="K64" i="5" s="1"/>
  <c r="L64" i="5" s="1"/>
  <c r="M64" i="5" s="1"/>
  <c r="N62" i="5" s="1"/>
  <c r="O64" i="5" s="1"/>
  <c r="P64" i="5" s="1"/>
  <c r="Q64" i="5" s="1"/>
  <c r="R64" i="5" s="1"/>
  <c r="S62" i="5" s="1"/>
  <c r="D61" i="5"/>
  <c r="E61" i="5" s="1"/>
  <c r="F61" i="5" s="1"/>
  <c r="G61" i="5" s="1"/>
  <c r="H61" i="5" s="1"/>
  <c r="I59" i="5" s="1"/>
  <c r="J61" i="5" s="1"/>
  <c r="K61" i="5" s="1"/>
  <c r="L61" i="5" s="1"/>
  <c r="M61" i="5" s="1"/>
  <c r="AB63" i="5"/>
  <c r="AB64" i="5" s="1"/>
  <c r="AB59" i="5"/>
  <c r="AB61" i="5" s="1"/>
  <c r="AA62" i="5"/>
  <c r="AA59" i="5"/>
  <c r="D80" i="5"/>
  <c r="E80" i="5" s="1"/>
  <c r="F80" i="5" s="1"/>
  <c r="G80" i="5" s="1"/>
  <c r="AF79" i="5" s="1"/>
  <c r="AB78" i="5"/>
  <c r="AB80" i="5" s="1"/>
  <c r="AB81" i="5" s="1"/>
  <c r="AB82" i="5" s="1"/>
  <c r="D72" i="5"/>
  <c r="E72" i="5" s="1"/>
  <c r="F72" i="5" s="1"/>
  <c r="G72" i="5" s="1"/>
  <c r="H72" i="5" s="1"/>
  <c r="I70" i="5" s="1"/>
  <c r="I73" i="5" s="1"/>
  <c r="I74" i="5" s="1"/>
  <c r="AA78" i="5"/>
  <c r="AA79" i="5"/>
  <c r="AB163" i="5"/>
  <c r="D162" i="5"/>
  <c r="E162" i="5" s="1"/>
  <c r="F162" i="5" s="1"/>
  <c r="G162" i="5" s="1"/>
  <c r="H162" i="5" s="1"/>
  <c r="I160" i="5" s="1"/>
  <c r="J162" i="5" s="1"/>
  <c r="K162" i="5" s="1"/>
  <c r="L162" i="5" s="1"/>
  <c r="M162" i="5" s="1"/>
  <c r="N160" i="5" s="1"/>
  <c r="O162" i="5" s="1"/>
  <c r="P162" i="5" s="1"/>
  <c r="Q162" i="5" s="1"/>
  <c r="R162" i="5" s="1"/>
  <c r="S160" i="5" s="1"/>
  <c r="C81" i="5"/>
  <c r="C82" i="5" s="1"/>
  <c r="C124" i="5"/>
  <c r="E141" i="5"/>
  <c r="F141" i="5" s="1"/>
  <c r="G141" i="5" s="1"/>
  <c r="H141" i="5" s="1"/>
  <c r="I141" i="5" s="1"/>
  <c r="J141" i="5" s="1"/>
  <c r="K141" i="5" s="1"/>
  <c r="L141" i="5" s="1"/>
  <c r="M141" i="5" s="1"/>
  <c r="N141" i="5" s="1"/>
  <c r="O141" i="5" s="1"/>
  <c r="P141" i="5" s="1"/>
  <c r="Q141" i="5" s="1"/>
  <c r="R141" i="5" s="1"/>
  <c r="S141" i="5" s="1"/>
  <c r="T141" i="5" s="1"/>
  <c r="U141" i="5" s="1"/>
  <c r="V141" i="5" s="1"/>
  <c r="W141" i="5" s="1"/>
  <c r="X141" i="5" s="1"/>
  <c r="AB70" i="5"/>
  <c r="AB72" i="5" s="1"/>
  <c r="AB73" i="5" s="1"/>
  <c r="AB74" i="5" s="1"/>
  <c r="AA70" i="5"/>
  <c r="AA71" i="5"/>
  <c r="S124" i="5"/>
  <c r="C73" i="5"/>
  <c r="C74" i="5" s="1"/>
  <c r="AI163" i="5"/>
  <c r="AG163" i="5"/>
  <c r="AG164" i="5"/>
  <c r="AA163" i="5"/>
  <c r="AA164" i="5"/>
  <c r="AA161" i="5"/>
  <c r="AB164" i="5"/>
  <c r="AB160" i="5"/>
  <c r="AB161" i="5"/>
  <c r="AB141" i="5"/>
  <c r="AB142" i="5" s="1"/>
  <c r="AC141" i="5"/>
  <c r="AC142" i="5" s="1"/>
  <c r="C142" i="5"/>
  <c r="D100" i="5"/>
  <c r="AC100" i="5" s="1"/>
  <c r="AB123" i="5"/>
  <c r="AB124" i="5" s="1"/>
  <c r="AR123" i="5"/>
  <c r="AR124" i="5" s="1"/>
  <c r="AC87" i="5"/>
  <c r="E87" i="5"/>
  <c r="AB87" i="5"/>
  <c r="D38" i="5"/>
  <c r="C39" i="5"/>
  <c r="K260" i="10"/>
  <c r="K258" i="10"/>
  <c r="K255" i="10"/>
  <c r="K252" i="10"/>
  <c r="K250" i="10"/>
  <c r="K248" i="10"/>
  <c r="K245" i="10"/>
  <c r="K242" i="10"/>
  <c r="K240" i="10"/>
  <c r="G260" i="8"/>
  <c r="G259" i="8"/>
  <c r="G258" i="8" s="1"/>
  <c r="H257" i="8"/>
  <c r="H255" i="8" s="1"/>
  <c r="G257" i="8"/>
  <c r="G255" i="8" s="1"/>
  <c r="G254" i="8"/>
  <c r="G252" i="8" s="1"/>
  <c r="G251" i="8"/>
  <c r="G250" i="8" s="1"/>
  <c r="G249" i="8"/>
  <c r="G248" i="8" s="1"/>
  <c r="G247" i="8"/>
  <c r="G245" i="8" s="1"/>
  <c r="G244" i="8"/>
  <c r="G242" i="8" s="1"/>
  <c r="G241" i="8"/>
  <c r="G240" i="8" s="1"/>
  <c r="H259" i="8"/>
  <c r="H254" i="8"/>
  <c r="H252" i="8" s="1"/>
  <c r="J229" i="2"/>
  <c r="J227" i="2"/>
  <c r="J224" i="2"/>
  <c r="H241" i="8"/>
  <c r="H240" i="8" s="1"/>
  <c r="K238" i="2"/>
  <c r="I238" i="2"/>
  <c r="H238" i="2"/>
  <c r="G238" i="2"/>
  <c r="F238" i="2"/>
  <c r="H235" i="2"/>
  <c r="G235" i="2"/>
  <c r="F235" i="2"/>
  <c r="I231" i="2"/>
  <c r="H231" i="2"/>
  <c r="G231" i="2"/>
  <c r="F231" i="2"/>
  <c r="K229" i="2"/>
  <c r="I229" i="2"/>
  <c r="H229" i="2"/>
  <c r="G229" i="2"/>
  <c r="F229" i="2"/>
  <c r="K227" i="2"/>
  <c r="I227" i="2"/>
  <c r="H227" i="2"/>
  <c r="G227" i="2"/>
  <c r="F227" i="2"/>
  <c r="K224" i="2"/>
  <c r="I224" i="2"/>
  <c r="H224" i="2"/>
  <c r="G224" i="2"/>
  <c r="F224" i="2"/>
  <c r="H221" i="2"/>
  <c r="G221" i="2"/>
  <c r="F221" i="2"/>
  <c r="K219" i="2"/>
  <c r="I219" i="2"/>
  <c r="H219" i="2"/>
  <c r="G219" i="2"/>
  <c r="F219" i="2"/>
  <c r="G186" i="8"/>
  <c r="H186" i="8"/>
  <c r="F186" i="10" s="1"/>
  <c r="F54" i="10"/>
  <c r="H21" i="8"/>
  <c r="F21" i="10" s="1"/>
  <c r="G21" i="8"/>
  <c r="K38" i="2"/>
  <c r="G38" i="2"/>
  <c r="I38" i="2"/>
  <c r="K170" i="2"/>
  <c r="I170" i="2"/>
  <c r="H170" i="2"/>
  <c r="G170" i="2"/>
  <c r="K189" i="2"/>
  <c r="H189" i="2"/>
  <c r="G189" i="2"/>
  <c r="I189" i="2"/>
  <c r="H26" i="5" l="1"/>
  <c r="AF24" i="5"/>
  <c r="AF25" i="5"/>
  <c r="AR63" i="5"/>
  <c r="AR62" i="5"/>
  <c r="T64" i="5"/>
  <c r="AR21" i="5"/>
  <c r="T23" i="5"/>
  <c r="AS22" i="5" s="1"/>
  <c r="AR22" i="5"/>
  <c r="AR160" i="5"/>
  <c r="AR161" i="5"/>
  <c r="U38" i="9"/>
  <c r="T81" i="9"/>
  <c r="AR128" i="5"/>
  <c r="AR129" i="5" s="1"/>
  <c r="AR127" i="5"/>
  <c r="AW32" i="5"/>
  <c r="P38" i="9"/>
  <c r="O81" i="9"/>
  <c r="T20" i="5"/>
  <c r="AS18" i="5" s="1"/>
  <c r="T129" i="5"/>
  <c r="AS128" i="5" s="1"/>
  <c r="AC17" i="5"/>
  <c r="AD18" i="5"/>
  <c r="AF19" i="5"/>
  <c r="AB162" i="5"/>
  <c r="U23" i="5"/>
  <c r="U135" i="5"/>
  <c r="V135" i="5" s="1"/>
  <c r="W135" i="5" s="1"/>
  <c r="X133" i="5" s="1"/>
  <c r="AS134" i="5"/>
  <c r="H17" i="5"/>
  <c r="I15" i="5" s="1"/>
  <c r="J17" i="5" s="1"/>
  <c r="K17" i="5" s="1"/>
  <c r="L17" i="5" s="1"/>
  <c r="M17" i="5" s="1"/>
  <c r="N15" i="5" s="1"/>
  <c r="U165" i="5"/>
  <c r="V165" i="5" s="1"/>
  <c r="W165" i="5" s="1"/>
  <c r="U64" i="5"/>
  <c r="V64" i="5" s="1"/>
  <c r="W64" i="5" s="1"/>
  <c r="X62" i="5" s="1"/>
  <c r="AS63" i="5"/>
  <c r="AS62" i="5"/>
  <c r="AC23" i="5"/>
  <c r="F259" i="10"/>
  <c r="F258" i="10" s="1"/>
  <c r="AG165" i="5"/>
  <c r="AF15" i="5"/>
  <c r="AB165" i="5"/>
  <c r="AD16" i="5"/>
  <c r="H249" i="8"/>
  <c r="H248" i="8" s="1"/>
  <c r="H244" i="8"/>
  <c r="H242" i="8" s="1"/>
  <c r="J219" i="2"/>
  <c r="H251" i="8"/>
  <c r="H250" i="8" s="1"/>
  <c r="J238" i="2"/>
  <c r="H247" i="8"/>
  <c r="H258" i="8"/>
  <c r="F254" i="10"/>
  <c r="F252" i="10" s="1"/>
  <c r="F257" i="10"/>
  <c r="F255" i="10" s="1"/>
  <c r="F241" i="10"/>
  <c r="F240" i="10" s="1"/>
  <c r="AR23" i="5"/>
  <c r="S67" i="3" s="1"/>
  <c r="AD23" i="5"/>
  <c r="AE22" i="5"/>
  <c r="AE21" i="5"/>
  <c r="AF16" i="5"/>
  <c r="AF26" i="5"/>
  <c r="AG24" i="5"/>
  <c r="AD15" i="5"/>
  <c r="AC26" i="5"/>
  <c r="AD26" i="5"/>
  <c r="AF18" i="5"/>
  <c r="AD19" i="5"/>
  <c r="AE25" i="5"/>
  <c r="AE24" i="5"/>
  <c r="AG18" i="5"/>
  <c r="AG19" i="5"/>
  <c r="AE19" i="5"/>
  <c r="AE18" i="5"/>
  <c r="AE16" i="5"/>
  <c r="AE15" i="5"/>
  <c r="AB132" i="5"/>
  <c r="F132" i="5"/>
  <c r="G132" i="5" s="1"/>
  <c r="H132" i="5" s="1"/>
  <c r="I130" i="5" s="1"/>
  <c r="J132" i="5" s="1"/>
  <c r="K132" i="5" s="1"/>
  <c r="L132" i="5" s="1"/>
  <c r="M132" i="5" s="1"/>
  <c r="N130" i="5" s="1"/>
  <c r="O132" i="5" s="1"/>
  <c r="P132" i="5" s="1"/>
  <c r="Q132" i="5" s="1"/>
  <c r="R132" i="5" s="1"/>
  <c r="S130" i="5" s="1"/>
  <c r="AR130" i="5" s="1"/>
  <c r="AD130" i="5"/>
  <c r="AB135" i="5"/>
  <c r="AC132" i="5"/>
  <c r="AC134" i="5"/>
  <c r="AC133" i="5"/>
  <c r="D136" i="5"/>
  <c r="AC127" i="5"/>
  <c r="AC128" i="5"/>
  <c r="AB117" i="5"/>
  <c r="AC117" i="5"/>
  <c r="AD116" i="5"/>
  <c r="F117" i="5"/>
  <c r="AD115" i="5"/>
  <c r="AH60" i="5"/>
  <c r="AC62" i="5"/>
  <c r="AC63" i="5"/>
  <c r="AH71" i="5"/>
  <c r="AH59" i="5"/>
  <c r="AG59" i="5"/>
  <c r="AG60" i="5"/>
  <c r="N59" i="5"/>
  <c r="O61" i="5" s="1"/>
  <c r="P61" i="5" s="1"/>
  <c r="Q61" i="5" s="1"/>
  <c r="R61" i="5" s="1"/>
  <c r="S59" i="5" s="1"/>
  <c r="AR59" i="5" s="1"/>
  <c r="AD63" i="5"/>
  <c r="AD62" i="5"/>
  <c r="AC59" i="5"/>
  <c r="AC60" i="5"/>
  <c r="AI60" i="5"/>
  <c r="AI59" i="5"/>
  <c r="F142" i="5"/>
  <c r="AH70" i="5"/>
  <c r="AF141" i="5"/>
  <c r="AF142" i="5" s="1"/>
  <c r="AE141" i="5"/>
  <c r="AE142" i="5" s="1"/>
  <c r="G142" i="5"/>
  <c r="AG160" i="5"/>
  <c r="AH161" i="5"/>
  <c r="H80" i="5"/>
  <c r="I78" i="5" s="1"/>
  <c r="J80" i="5" s="1"/>
  <c r="AG161" i="5"/>
  <c r="G73" i="5"/>
  <c r="G74" i="5" s="1"/>
  <c r="J72" i="5"/>
  <c r="K72" i="5" s="1"/>
  <c r="L72" i="5" s="1"/>
  <c r="M72" i="5" s="1"/>
  <c r="N70" i="5" s="1"/>
  <c r="AF78" i="5"/>
  <c r="AF80" i="5" s="1"/>
  <c r="AF81" i="5" s="1"/>
  <c r="AF82" i="5" s="1"/>
  <c r="G81" i="5"/>
  <c r="G82" i="5" s="1"/>
  <c r="AF70" i="5"/>
  <c r="AF71" i="5"/>
  <c r="D81" i="5"/>
  <c r="D82" i="5" s="1"/>
  <c r="AC78" i="5"/>
  <c r="AC79" i="5"/>
  <c r="H73" i="5"/>
  <c r="H74" i="5" s="1"/>
  <c r="AG70" i="5"/>
  <c r="AG71" i="5"/>
  <c r="D73" i="5"/>
  <c r="D74" i="5" s="1"/>
  <c r="AC70" i="5"/>
  <c r="AC71" i="5"/>
  <c r="AH164" i="5"/>
  <c r="AH163" i="5"/>
  <c r="AI164" i="5"/>
  <c r="AI165" i="5" s="1"/>
  <c r="AI160" i="5"/>
  <c r="AH160" i="5"/>
  <c r="AC164" i="5"/>
  <c r="AC163" i="5"/>
  <c r="AJ163" i="5"/>
  <c r="AJ164" i="5"/>
  <c r="AC160" i="5"/>
  <c r="AC161" i="5"/>
  <c r="E100" i="5"/>
  <c r="AD100" i="5" s="1"/>
  <c r="H142" i="5"/>
  <c r="AG141" i="5"/>
  <c r="AG142" i="5" s="1"/>
  <c r="E142" i="5"/>
  <c r="AD141" i="5"/>
  <c r="AD142" i="5" s="1"/>
  <c r="AS123" i="5"/>
  <c r="AS124" i="5" s="1"/>
  <c r="T124" i="5"/>
  <c r="AC123" i="5"/>
  <c r="AC124" i="5" s="1"/>
  <c r="D124" i="5"/>
  <c r="AD87" i="5"/>
  <c r="F87" i="5"/>
  <c r="D39" i="5"/>
  <c r="AC38" i="5"/>
  <c r="E38" i="5"/>
  <c r="AS21" i="5" l="1"/>
  <c r="AS23" i="5"/>
  <c r="I24" i="5"/>
  <c r="AG25" i="5"/>
  <c r="U20" i="5"/>
  <c r="V20" i="5" s="1"/>
  <c r="W20" i="5" s="1"/>
  <c r="X18" i="5" s="1"/>
  <c r="Q38" i="9"/>
  <c r="Q81" i="9" s="1"/>
  <c r="P81" i="9"/>
  <c r="U129" i="5"/>
  <c r="AS127" i="5"/>
  <c r="AS129" i="5" s="1"/>
  <c r="V38" i="9"/>
  <c r="V81" i="9" s="1"/>
  <c r="U81" i="9"/>
  <c r="F247" i="10"/>
  <c r="F245" i="10" s="1"/>
  <c r="H245" i="8"/>
  <c r="T132" i="5"/>
  <c r="AS130" i="5" s="1"/>
  <c r="AR131" i="5"/>
  <c r="AR60" i="5"/>
  <c r="T61" i="5"/>
  <c r="AS59" i="5" s="1"/>
  <c r="AH15" i="5"/>
  <c r="AG15" i="5"/>
  <c r="AD20" i="5"/>
  <c r="AH16" i="5"/>
  <c r="AG16" i="5"/>
  <c r="V23" i="5"/>
  <c r="AT21" i="5"/>
  <c r="AT22" i="5"/>
  <c r="AC39" i="5"/>
  <c r="AF20" i="5"/>
  <c r="AD132" i="5"/>
  <c r="AG26" i="5"/>
  <c r="AJ165" i="5"/>
  <c r="AH162" i="5"/>
  <c r="Q55" i="3" s="1"/>
  <c r="F249" i="10"/>
  <c r="F248" i="10" s="1"/>
  <c r="F244" i="10"/>
  <c r="F242" i="10" s="1"/>
  <c r="F251" i="10"/>
  <c r="F250" i="10" s="1"/>
  <c r="F262" i="10"/>
  <c r="F260" i="10" s="1"/>
  <c r="AC165" i="5"/>
  <c r="AG162" i="5"/>
  <c r="AF17" i="5"/>
  <c r="AD17" i="5"/>
  <c r="AC162" i="5"/>
  <c r="AH165" i="5"/>
  <c r="Q56" i="3" s="1"/>
  <c r="AB136" i="5"/>
  <c r="AE23" i="5"/>
  <c r="AF22" i="5"/>
  <c r="AF21" i="5"/>
  <c r="AE26" i="5"/>
  <c r="AE20" i="5"/>
  <c r="AH18" i="5"/>
  <c r="AH19" i="5"/>
  <c r="AG20" i="5"/>
  <c r="AI16" i="5"/>
  <c r="AI15" i="5"/>
  <c r="AE17" i="5"/>
  <c r="AE130" i="5"/>
  <c r="AE131" i="5"/>
  <c r="AC135" i="5"/>
  <c r="AH61" i="5"/>
  <c r="Q57" i="3" s="1"/>
  <c r="AF130" i="5"/>
  <c r="AF131" i="5"/>
  <c r="E136" i="5"/>
  <c r="AD128" i="5"/>
  <c r="AD127" i="5"/>
  <c r="AD134" i="5"/>
  <c r="AD133" i="5"/>
  <c r="AC129" i="5"/>
  <c r="AH72" i="5"/>
  <c r="AG79" i="5"/>
  <c r="AG61" i="5"/>
  <c r="J73" i="5"/>
  <c r="J74" i="5" s="1"/>
  <c r="AE116" i="5"/>
  <c r="G117" i="5"/>
  <c r="AE115" i="5"/>
  <c r="AD117" i="5"/>
  <c r="AC64" i="5"/>
  <c r="AG78" i="5"/>
  <c r="AD64" i="5"/>
  <c r="AE63" i="5"/>
  <c r="AG62" i="5"/>
  <c r="AG63" i="5"/>
  <c r="AE62" i="5"/>
  <c r="AF62" i="5"/>
  <c r="AF63" i="5"/>
  <c r="AD59" i="5"/>
  <c r="AD60" i="5"/>
  <c r="AJ60" i="5"/>
  <c r="AJ59" i="5"/>
  <c r="AI61" i="5"/>
  <c r="AC61" i="5"/>
  <c r="H81" i="5"/>
  <c r="H82" i="5" s="1"/>
  <c r="K80" i="5"/>
  <c r="L80" i="5" s="1"/>
  <c r="M80" i="5" s="1"/>
  <c r="N78" i="5" s="1"/>
  <c r="O80" i="5" s="1"/>
  <c r="AI78" i="5"/>
  <c r="AI79" i="5"/>
  <c r="J81" i="5"/>
  <c r="J82" i="5" s="1"/>
  <c r="AI70" i="5"/>
  <c r="I81" i="5"/>
  <c r="I82" i="5" s="1"/>
  <c r="AH79" i="5"/>
  <c r="AH78" i="5"/>
  <c r="AM70" i="5"/>
  <c r="N73" i="5"/>
  <c r="N74" i="5" s="1"/>
  <c r="AM71" i="5"/>
  <c r="O72" i="5"/>
  <c r="AI71" i="5"/>
  <c r="AI72" i="5" s="1"/>
  <c r="AI73" i="5" s="1"/>
  <c r="AI74" i="5" s="1"/>
  <c r="AF72" i="5"/>
  <c r="AF73" i="5" s="1"/>
  <c r="AF74" i="5" s="1"/>
  <c r="AC80" i="5"/>
  <c r="AC81" i="5" s="1"/>
  <c r="AC82" i="5" s="1"/>
  <c r="E81" i="5"/>
  <c r="E82" i="5" s="1"/>
  <c r="AD78" i="5"/>
  <c r="AD79" i="5"/>
  <c r="F100" i="5"/>
  <c r="AE100" i="5" s="1"/>
  <c r="AC72" i="5"/>
  <c r="AC73" i="5" s="1"/>
  <c r="AC74" i="5" s="1"/>
  <c r="AG72" i="5"/>
  <c r="AG73" i="5" s="1"/>
  <c r="AG74" i="5" s="1"/>
  <c r="E73" i="5"/>
  <c r="E74" i="5" s="1"/>
  <c r="AD70" i="5"/>
  <c r="AD71" i="5"/>
  <c r="AJ71" i="5"/>
  <c r="K73" i="5"/>
  <c r="K74" i="5" s="1"/>
  <c r="AJ70" i="5"/>
  <c r="AI161" i="5"/>
  <c r="AI162" i="5" s="1"/>
  <c r="AK163" i="5"/>
  <c r="AK164" i="5"/>
  <c r="AJ160" i="5"/>
  <c r="AJ161" i="5"/>
  <c r="AD163" i="5"/>
  <c r="AD164" i="5"/>
  <c r="AD161" i="5"/>
  <c r="AD160" i="5"/>
  <c r="I142" i="5"/>
  <c r="AH141" i="5"/>
  <c r="AH142" i="5" s="1"/>
  <c r="AD123" i="5"/>
  <c r="AD124" i="5" s="1"/>
  <c r="E124" i="5"/>
  <c r="AT123" i="5"/>
  <c r="AT124" i="5" s="1"/>
  <c r="U124" i="5"/>
  <c r="G87" i="5"/>
  <c r="AE87" i="5"/>
  <c r="E39" i="5"/>
  <c r="F38" i="5"/>
  <c r="AD38" i="5"/>
  <c r="X38" i="5"/>
  <c r="J26" i="5" l="1"/>
  <c r="AH24" i="5"/>
  <c r="AH25" i="5"/>
  <c r="V129" i="5"/>
  <c r="AT127" i="5"/>
  <c r="AT128" i="5"/>
  <c r="U132" i="5"/>
  <c r="V132" i="5" s="1"/>
  <c r="W132" i="5" s="1"/>
  <c r="X130" i="5" s="1"/>
  <c r="AS131" i="5"/>
  <c r="AH73" i="5"/>
  <c r="AH74" i="5" s="1"/>
  <c r="Q63" i="3"/>
  <c r="U61" i="5"/>
  <c r="V61" i="5" s="1"/>
  <c r="W61" i="5" s="1"/>
  <c r="X59" i="5" s="1"/>
  <c r="AS60" i="5"/>
  <c r="AH17" i="5"/>
  <c r="Q65" i="3" s="1"/>
  <c r="AG17" i="5"/>
  <c r="AT23" i="5"/>
  <c r="W23" i="5"/>
  <c r="AU22" i="5"/>
  <c r="AU21" i="5"/>
  <c r="AD39" i="5"/>
  <c r="G100" i="5"/>
  <c r="H100" i="5" s="1"/>
  <c r="AJ162" i="5"/>
  <c r="AD165" i="5"/>
  <c r="AK165" i="5"/>
  <c r="AD162" i="5"/>
  <c r="AF23" i="5"/>
  <c r="AG21" i="5"/>
  <c r="AG22" i="5"/>
  <c r="AI19" i="5"/>
  <c r="AI18" i="5"/>
  <c r="AH20" i="5"/>
  <c r="Q66" i="3" s="1"/>
  <c r="AJ16" i="5"/>
  <c r="AJ15" i="5"/>
  <c r="AI17" i="5"/>
  <c r="AC136" i="5"/>
  <c r="AE132" i="5"/>
  <c r="AE134" i="5"/>
  <c r="AE133" i="5"/>
  <c r="AG130" i="5"/>
  <c r="AG131" i="5"/>
  <c r="F136" i="5"/>
  <c r="AE127" i="5"/>
  <c r="AE128" i="5"/>
  <c r="AD135" i="5"/>
  <c r="AD129" i="5"/>
  <c r="AF132" i="5"/>
  <c r="AE117" i="5"/>
  <c r="AG80" i="5"/>
  <c r="AG81" i="5" s="1"/>
  <c r="AG82" i="5" s="1"/>
  <c r="H117" i="5"/>
  <c r="AF115" i="5"/>
  <c r="AF116" i="5"/>
  <c r="X115" i="5"/>
  <c r="AG64" i="5"/>
  <c r="AE64" i="5"/>
  <c r="AF64" i="5"/>
  <c r="AH63" i="5"/>
  <c r="AH62" i="5"/>
  <c r="AJ61" i="5"/>
  <c r="AD61" i="5"/>
  <c r="AK59" i="5"/>
  <c r="AK60" i="5"/>
  <c r="AE60" i="5"/>
  <c r="AE59" i="5"/>
  <c r="AJ78" i="5"/>
  <c r="AI80" i="5"/>
  <c r="AI81" i="5" s="1"/>
  <c r="AI82" i="5" s="1"/>
  <c r="N81" i="5"/>
  <c r="N82" i="5" s="1"/>
  <c r="K81" i="5"/>
  <c r="K82" i="5" s="1"/>
  <c r="AM79" i="5"/>
  <c r="AH80" i="5"/>
  <c r="AJ79" i="5"/>
  <c r="AM78" i="5"/>
  <c r="P72" i="5"/>
  <c r="AN71" i="5"/>
  <c r="O73" i="5"/>
  <c r="O74" i="5" s="1"/>
  <c r="AN70" i="5"/>
  <c r="AM72" i="5"/>
  <c r="AN79" i="5"/>
  <c r="P80" i="5"/>
  <c r="AN78" i="5"/>
  <c r="O81" i="5"/>
  <c r="O82" i="5" s="1"/>
  <c r="AJ72" i="5"/>
  <c r="AJ73" i="5" s="1"/>
  <c r="AJ74" i="5" s="1"/>
  <c r="F81" i="5"/>
  <c r="F82" i="5" s="1"/>
  <c r="AE78" i="5"/>
  <c r="AE79" i="5"/>
  <c r="AD80" i="5"/>
  <c r="AD81" i="5" s="1"/>
  <c r="AD82" i="5" s="1"/>
  <c r="L81" i="5"/>
  <c r="L82" i="5" s="1"/>
  <c r="AK78" i="5"/>
  <c r="AK79" i="5"/>
  <c r="L73" i="5"/>
  <c r="L74" i="5" s="1"/>
  <c r="AK70" i="5"/>
  <c r="AK71" i="5"/>
  <c r="AD72" i="5"/>
  <c r="AD73" i="5" s="1"/>
  <c r="AD74" i="5" s="1"/>
  <c r="F73" i="5"/>
  <c r="F74" i="5" s="1"/>
  <c r="AE70" i="5"/>
  <c r="AE71" i="5"/>
  <c r="AK160" i="5"/>
  <c r="AK161" i="5"/>
  <c r="AE163" i="5"/>
  <c r="AE164" i="5"/>
  <c r="AL163" i="5"/>
  <c r="AL164" i="5"/>
  <c r="AE160" i="5"/>
  <c r="AE161" i="5"/>
  <c r="AI141" i="5"/>
  <c r="AI142" i="5" s="1"/>
  <c r="J142" i="5"/>
  <c r="F124" i="5"/>
  <c r="AE123" i="5"/>
  <c r="AE124" i="5" s="1"/>
  <c r="V124" i="5"/>
  <c r="AU123" i="5"/>
  <c r="AU124" i="5" s="1"/>
  <c r="X87" i="5"/>
  <c r="AF87" i="5"/>
  <c r="H87" i="5"/>
  <c r="G38" i="5"/>
  <c r="F39" i="5"/>
  <c r="AE38" i="5"/>
  <c r="X39" i="5"/>
  <c r="AW38" i="5"/>
  <c r="C23" i="4"/>
  <c r="C41" i="5"/>
  <c r="AB41" i="5" s="1"/>
  <c r="B41" i="5"/>
  <c r="AA41" i="5" s="1"/>
  <c r="Y20" i="3"/>
  <c r="Z20" i="3"/>
  <c r="M20" i="3"/>
  <c r="Q5" i="11"/>
  <c r="AH26" i="5" l="1"/>
  <c r="Q68" i="3" s="1"/>
  <c r="K26" i="5"/>
  <c r="AI24" i="5"/>
  <c r="AI26" i="5" s="1"/>
  <c r="AI25" i="5"/>
  <c r="AT129" i="5"/>
  <c r="W129" i="5"/>
  <c r="AU127" i="5"/>
  <c r="AU128" i="5"/>
  <c r="AH81" i="5"/>
  <c r="AH82" i="5" s="1"/>
  <c r="Q64" i="3"/>
  <c r="AM73" i="5"/>
  <c r="AM74" i="5" s="1"/>
  <c r="R63" i="3"/>
  <c r="AF100" i="5"/>
  <c r="X21" i="5"/>
  <c r="AV22" i="5"/>
  <c r="AV21" i="5"/>
  <c r="AU23" i="5"/>
  <c r="AW39" i="5"/>
  <c r="AE39" i="5"/>
  <c r="AL165" i="5"/>
  <c r="AK162" i="5"/>
  <c r="AE162" i="5"/>
  <c r="AE165" i="5"/>
  <c r="AH28" i="8"/>
  <c r="Z23" i="4"/>
  <c r="BE28" i="8" s="1"/>
  <c r="AG23" i="5"/>
  <c r="AH21" i="5"/>
  <c r="AH22" i="5"/>
  <c r="AJ19" i="5"/>
  <c r="AJ18" i="5"/>
  <c r="AI20" i="5"/>
  <c r="AK15" i="5"/>
  <c r="O17" i="5"/>
  <c r="P17" i="5" s="1"/>
  <c r="Q17" i="5" s="1"/>
  <c r="R17" i="5" s="1"/>
  <c r="S15" i="5" s="1"/>
  <c r="AR15" i="5" s="1"/>
  <c r="AK16" i="5"/>
  <c r="AJ17" i="5"/>
  <c r="AG132" i="5"/>
  <c r="AE135" i="5"/>
  <c r="AE129" i="5"/>
  <c r="AD136" i="5"/>
  <c r="G136" i="5"/>
  <c r="AF128" i="5"/>
  <c r="AF127" i="5"/>
  <c r="AF133" i="5"/>
  <c r="AF134" i="5"/>
  <c r="AH131" i="5"/>
  <c r="AH130" i="5"/>
  <c r="AM80" i="5"/>
  <c r="AE61" i="5"/>
  <c r="AG115" i="5"/>
  <c r="I115" i="5"/>
  <c r="AG116" i="5"/>
  <c r="AW115" i="5"/>
  <c r="AW116" i="5"/>
  <c r="AF117" i="5"/>
  <c r="AH64" i="5"/>
  <c r="Q58" i="3" s="1"/>
  <c r="AI63" i="5"/>
  <c r="AI62" i="5"/>
  <c r="AK61" i="5"/>
  <c r="AF60" i="5"/>
  <c r="AF59" i="5"/>
  <c r="AL59" i="5"/>
  <c r="AL60" i="5"/>
  <c r="AJ80" i="5"/>
  <c r="AJ81" i="5" s="1"/>
  <c r="AJ82" i="5" s="1"/>
  <c r="AN80" i="5"/>
  <c r="AN81" i="5" s="1"/>
  <c r="AN82" i="5" s="1"/>
  <c r="AN72" i="5"/>
  <c r="AN73" i="5" s="1"/>
  <c r="AN74" i="5" s="1"/>
  <c r="Q80" i="5"/>
  <c r="AO78" i="5"/>
  <c r="P81" i="5"/>
  <c r="P82" i="5" s="1"/>
  <c r="AO79" i="5"/>
  <c r="Q72" i="5"/>
  <c r="P73" i="5"/>
  <c r="P74" i="5" s="1"/>
  <c r="AO70" i="5"/>
  <c r="AO71" i="5"/>
  <c r="AK80" i="5"/>
  <c r="AK81" i="5" s="1"/>
  <c r="AK82" i="5" s="1"/>
  <c r="M81" i="5"/>
  <c r="M82" i="5" s="1"/>
  <c r="AL78" i="5"/>
  <c r="AL79" i="5"/>
  <c r="AE80" i="5"/>
  <c r="AE81" i="5" s="1"/>
  <c r="AE82" i="5" s="1"/>
  <c r="AK72" i="5"/>
  <c r="AK73" i="5" s="1"/>
  <c r="AK74" i="5" s="1"/>
  <c r="M73" i="5"/>
  <c r="M74" i="5" s="1"/>
  <c r="AL70" i="5"/>
  <c r="AL71" i="5"/>
  <c r="AE72" i="5"/>
  <c r="AE73" i="5" s="1"/>
  <c r="AE74" i="5" s="1"/>
  <c r="AF163" i="5"/>
  <c r="AF164" i="5"/>
  <c r="AM163" i="5"/>
  <c r="AM164" i="5"/>
  <c r="AL161" i="5"/>
  <c r="AL160" i="5"/>
  <c r="AF161" i="5"/>
  <c r="AF160" i="5"/>
  <c r="AJ141" i="5"/>
  <c r="AJ142" i="5" s="1"/>
  <c r="K142" i="5"/>
  <c r="W124" i="5"/>
  <c r="AV123" i="5"/>
  <c r="AV124" i="5" s="1"/>
  <c r="G124" i="5"/>
  <c r="AF123" i="5"/>
  <c r="AF124" i="5" s="1"/>
  <c r="I100" i="5"/>
  <c r="AG100" i="5"/>
  <c r="I87" i="5"/>
  <c r="AG87" i="5"/>
  <c r="AW87" i="5"/>
  <c r="H38" i="5"/>
  <c r="AF38" i="5"/>
  <c r="G39" i="5"/>
  <c r="AA20" i="3"/>
  <c r="N41" i="5" s="1"/>
  <c r="O41" i="5" s="1"/>
  <c r="AN41" i="5" s="1"/>
  <c r="D41" i="5"/>
  <c r="L26" i="5" l="1"/>
  <c r="AJ24" i="5"/>
  <c r="AJ25" i="5"/>
  <c r="AU129" i="5"/>
  <c r="X127" i="5"/>
  <c r="AV128" i="5"/>
  <c r="AV127" i="5"/>
  <c r="AM81" i="5"/>
  <c r="AM82" i="5" s="1"/>
  <c r="R64" i="3"/>
  <c r="AV23" i="5"/>
  <c r="AW22" i="5"/>
  <c r="AW21" i="5"/>
  <c r="AF39" i="5"/>
  <c r="AL162" i="5"/>
  <c r="AF162" i="5"/>
  <c r="AF165" i="5"/>
  <c r="AM165" i="5"/>
  <c r="R56" i="3" s="1"/>
  <c r="AH23" i="5"/>
  <c r="Q67" i="3" s="1"/>
  <c r="AI22" i="5"/>
  <c r="AI21" i="5"/>
  <c r="AJ20" i="5"/>
  <c r="AK19" i="5"/>
  <c r="AK18" i="5"/>
  <c r="AK17" i="5"/>
  <c r="AL15" i="5"/>
  <c r="AL16" i="5"/>
  <c r="AF129" i="5"/>
  <c r="AE136" i="5"/>
  <c r="AH132" i="5"/>
  <c r="AG133" i="5"/>
  <c r="AG134" i="5"/>
  <c r="AI131" i="5"/>
  <c r="AI130" i="5"/>
  <c r="AF135" i="5"/>
  <c r="H136" i="5"/>
  <c r="AG127" i="5"/>
  <c r="AG128" i="5"/>
  <c r="J117" i="5"/>
  <c r="AH116" i="5"/>
  <c r="AH115" i="5"/>
  <c r="AW117" i="5"/>
  <c r="AG117" i="5"/>
  <c r="AI64" i="5"/>
  <c r="AJ62" i="5"/>
  <c r="AJ63" i="5"/>
  <c r="AL61" i="5"/>
  <c r="AF61" i="5"/>
  <c r="AM60" i="5"/>
  <c r="AM59" i="5"/>
  <c r="AO72" i="5"/>
  <c r="AO73" i="5" s="1"/>
  <c r="AO74" i="5" s="1"/>
  <c r="R80" i="5"/>
  <c r="S78" i="5" s="1"/>
  <c r="AR78" i="5" s="1"/>
  <c r="AP79" i="5"/>
  <c r="Q81" i="5"/>
  <c r="Q82" i="5" s="1"/>
  <c r="AP78" i="5"/>
  <c r="R72" i="5"/>
  <c r="S70" i="5" s="1"/>
  <c r="AR70" i="5" s="1"/>
  <c r="AP71" i="5"/>
  <c r="AP70" i="5"/>
  <c r="Q73" i="5"/>
  <c r="Q74" i="5" s="1"/>
  <c r="AO80" i="5"/>
  <c r="AO81" i="5" s="1"/>
  <c r="AO82" i="5" s="1"/>
  <c r="AL80" i="5"/>
  <c r="AL81" i="5" s="1"/>
  <c r="AL82" i="5" s="1"/>
  <c r="AL72" i="5"/>
  <c r="AL73" i="5" s="1"/>
  <c r="AL74" i="5" s="1"/>
  <c r="AM160" i="5"/>
  <c r="AM161" i="5"/>
  <c r="AN163" i="5"/>
  <c r="AN164" i="5"/>
  <c r="L142" i="5"/>
  <c r="AK141" i="5"/>
  <c r="AK142" i="5" s="1"/>
  <c r="AG123" i="5"/>
  <c r="AG124" i="5" s="1"/>
  <c r="H124" i="5"/>
  <c r="AW123" i="5"/>
  <c r="AW124" i="5" s="1"/>
  <c r="X124" i="5"/>
  <c r="J100" i="5"/>
  <c r="AH100" i="5"/>
  <c r="J87" i="5"/>
  <c r="AH87" i="5"/>
  <c r="I38" i="5"/>
  <c r="H39" i="5"/>
  <c r="AG38" i="5"/>
  <c r="AM41" i="5"/>
  <c r="P41" i="5"/>
  <c r="AO41" i="5" s="1"/>
  <c r="AC41" i="5"/>
  <c r="E41" i="5"/>
  <c r="G194" i="8"/>
  <c r="H194" i="8"/>
  <c r="AJ26" i="5" l="1"/>
  <c r="M26" i="5"/>
  <c r="AK24" i="5"/>
  <c r="AK25" i="5"/>
  <c r="R20" i="3"/>
  <c r="S20" i="3" s="1"/>
  <c r="T20" i="3" s="1"/>
  <c r="P20" i="3"/>
  <c r="AV129" i="5"/>
  <c r="AW127" i="5"/>
  <c r="AW128" i="5"/>
  <c r="T80" i="5"/>
  <c r="AS78" i="5" s="1"/>
  <c r="S81" i="5"/>
  <c r="S82" i="5" s="1"/>
  <c r="AR79" i="5"/>
  <c r="AR80" i="5" s="1"/>
  <c r="S73" i="5"/>
  <c r="S74" i="5" s="1"/>
  <c r="T72" i="5"/>
  <c r="AS70" i="5" s="1"/>
  <c r="AR71" i="5"/>
  <c r="AR72" i="5" s="1"/>
  <c r="AW23" i="5"/>
  <c r="AG39" i="5"/>
  <c r="AM162" i="5"/>
  <c r="R55" i="3" s="1"/>
  <c r="AN165" i="5"/>
  <c r="AI23" i="5"/>
  <c r="AJ22" i="5"/>
  <c r="AJ21" i="5"/>
  <c r="AL18" i="5"/>
  <c r="AL19" i="5"/>
  <c r="AK20" i="5"/>
  <c r="AM16" i="5"/>
  <c r="AM15" i="5"/>
  <c r="AL17" i="5"/>
  <c r="AF136" i="5"/>
  <c r="AI132" i="5"/>
  <c r="I136" i="5"/>
  <c r="AH128" i="5"/>
  <c r="AH127" i="5"/>
  <c r="AH134" i="5"/>
  <c r="AH133" i="5"/>
  <c r="AG129" i="5"/>
  <c r="AJ131" i="5"/>
  <c r="AJ130" i="5"/>
  <c r="AG135" i="5"/>
  <c r="AH117" i="5"/>
  <c r="AI116" i="5"/>
  <c r="AI115" i="5"/>
  <c r="K117" i="5"/>
  <c r="AJ64" i="5"/>
  <c r="AK63" i="5"/>
  <c r="AK62" i="5"/>
  <c r="AN60" i="5"/>
  <c r="AN59" i="5"/>
  <c r="AM61" i="5"/>
  <c r="R57" i="3" s="1"/>
  <c r="AP72" i="5"/>
  <c r="AP73" i="5" s="1"/>
  <c r="AP74" i="5" s="1"/>
  <c r="AP80" i="5"/>
  <c r="AP81" i="5" s="1"/>
  <c r="AP82" i="5" s="1"/>
  <c r="AQ71" i="5"/>
  <c r="R73" i="5"/>
  <c r="R74" i="5" s="1"/>
  <c r="AQ70" i="5"/>
  <c r="AQ78" i="5"/>
  <c r="AQ79" i="5"/>
  <c r="R81" i="5"/>
  <c r="R82" i="5" s="1"/>
  <c r="AO164" i="5"/>
  <c r="AO163" i="5"/>
  <c r="AN161" i="5"/>
  <c r="AN160" i="5"/>
  <c r="M142" i="5"/>
  <c r="AL141" i="5"/>
  <c r="AL142" i="5" s="1"/>
  <c r="AH123" i="5"/>
  <c r="AH124" i="5" s="1"/>
  <c r="I124" i="5"/>
  <c r="K100" i="5"/>
  <c r="AI100" i="5"/>
  <c r="K87" i="5"/>
  <c r="AI87" i="5"/>
  <c r="I39" i="5"/>
  <c r="J38" i="5"/>
  <c r="AH38" i="5"/>
  <c r="Q8" i="3" s="1"/>
  <c r="R8" i="3" s="1"/>
  <c r="S8" i="3" s="1"/>
  <c r="Q41" i="5"/>
  <c r="R41" i="5" s="1"/>
  <c r="F41" i="5"/>
  <c r="AD41" i="5"/>
  <c r="F194" i="10"/>
  <c r="G141" i="8"/>
  <c r="H141" i="8"/>
  <c r="G140" i="8"/>
  <c r="H140" i="8"/>
  <c r="AK26" i="5" l="1"/>
  <c r="N24" i="5"/>
  <c r="AL24" i="5"/>
  <c r="AL26" i="5" s="1"/>
  <c r="AL25" i="5"/>
  <c r="AW129" i="5"/>
  <c r="S63" i="3"/>
  <c r="AR73" i="5"/>
  <c r="AR74" i="5" s="1"/>
  <c r="AR81" i="5"/>
  <c r="AR82" i="5" s="1"/>
  <c r="S64" i="3"/>
  <c r="AS71" i="5"/>
  <c r="AS72" i="5" s="1"/>
  <c r="AS73" i="5" s="1"/>
  <c r="AS74" i="5" s="1"/>
  <c r="U72" i="5"/>
  <c r="T73" i="5"/>
  <c r="T74" i="5" s="1"/>
  <c r="P67" i="3"/>
  <c r="T67" i="3"/>
  <c r="AS79" i="5"/>
  <c r="T81" i="5"/>
  <c r="T82" i="5" s="1"/>
  <c r="U80" i="5"/>
  <c r="AH39" i="5"/>
  <c r="AO165" i="5"/>
  <c r="AN162" i="5"/>
  <c r="AK22" i="5"/>
  <c r="AK21" i="5"/>
  <c r="AJ23" i="5"/>
  <c r="AL20" i="5"/>
  <c r="AM19" i="5"/>
  <c r="AM18" i="5"/>
  <c r="AM17" i="5"/>
  <c r="R65" i="3" s="1"/>
  <c r="AN16" i="5"/>
  <c r="AN15" i="5"/>
  <c r="AJ132" i="5"/>
  <c r="AH129" i="5"/>
  <c r="AH135" i="5"/>
  <c r="AG136" i="5"/>
  <c r="J136" i="5"/>
  <c r="AI127" i="5"/>
  <c r="AI128" i="5"/>
  <c r="AI134" i="5"/>
  <c r="AI133" i="5"/>
  <c r="AK130" i="5"/>
  <c r="AK131" i="5"/>
  <c r="AJ115" i="5"/>
  <c r="L117" i="5"/>
  <c r="AJ116" i="5"/>
  <c r="AI117" i="5"/>
  <c r="AK64" i="5"/>
  <c r="AL62" i="5"/>
  <c r="AL63" i="5"/>
  <c r="AN61" i="5"/>
  <c r="AO60" i="5"/>
  <c r="AO59" i="5"/>
  <c r="AQ72" i="5"/>
  <c r="AQ73" i="5" s="1"/>
  <c r="AQ74" i="5" s="1"/>
  <c r="AQ80" i="5"/>
  <c r="AQ81" i="5" s="1"/>
  <c r="AQ82" i="5" s="1"/>
  <c r="AO160" i="5"/>
  <c r="AO161" i="5"/>
  <c r="AP163" i="5"/>
  <c r="AP164" i="5"/>
  <c r="AM141" i="5"/>
  <c r="AM142" i="5" s="1"/>
  <c r="N142" i="5"/>
  <c r="J124" i="5"/>
  <c r="AI123" i="5"/>
  <c r="AI124" i="5" s="1"/>
  <c r="L100" i="5"/>
  <c r="AJ100" i="5"/>
  <c r="L87" i="5"/>
  <c r="AJ87" i="5"/>
  <c r="K38" i="5"/>
  <c r="J39" i="5"/>
  <c r="AI38" i="5"/>
  <c r="AP41" i="5"/>
  <c r="G41" i="5"/>
  <c r="AE41" i="5"/>
  <c r="S41" i="5"/>
  <c r="AQ41" i="5"/>
  <c r="F141" i="10"/>
  <c r="F140" i="10"/>
  <c r="O26" i="5" l="1"/>
  <c r="AM25" i="5"/>
  <c r="AM24" i="5"/>
  <c r="AM26" i="5" s="1"/>
  <c r="R68" i="3" s="1"/>
  <c r="AS80" i="5"/>
  <c r="AS81" i="5" s="1"/>
  <c r="AS82" i="5" s="1"/>
  <c r="V80" i="5"/>
  <c r="AT79" i="5"/>
  <c r="AT78" i="5"/>
  <c r="U81" i="5"/>
  <c r="U82" i="5" s="1"/>
  <c r="V72" i="5"/>
  <c r="AT70" i="5"/>
  <c r="U73" i="5"/>
  <c r="U74" i="5" s="1"/>
  <c r="AT71" i="5"/>
  <c r="AI39" i="5"/>
  <c r="AP165" i="5"/>
  <c r="AO162" i="5"/>
  <c r="AK23" i="5"/>
  <c r="AL21" i="5"/>
  <c r="AL22" i="5"/>
  <c r="AM20" i="5"/>
  <c r="R66" i="3" s="1"/>
  <c r="AN19" i="5"/>
  <c r="AN18" i="5"/>
  <c r="AN17" i="5"/>
  <c r="AO15" i="5"/>
  <c r="AO16" i="5"/>
  <c r="AH136" i="5"/>
  <c r="AI129" i="5"/>
  <c r="AK132" i="5"/>
  <c r="AJ134" i="5"/>
  <c r="AJ133" i="5"/>
  <c r="AL131" i="5"/>
  <c r="AL130" i="5"/>
  <c r="K136" i="5"/>
  <c r="AJ127" i="5"/>
  <c r="AJ128" i="5"/>
  <c r="AI135" i="5"/>
  <c r="AJ117" i="5"/>
  <c r="AK115" i="5"/>
  <c r="M117" i="5"/>
  <c r="AK116" i="5"/>
  <c r="AL64" i="5"/>
  <c r="AM63" i="5"/>
  <c r="AM62" i="5"/>
  <c r="AP59" i="5"/>
  <c r="AP60" i="5"/>
  <c r="AO61" i="5"/>
  <c r="AQ163" i="5"/>
  <c r="AQ164" i="5"/>
  <c r="AP161" i="5"/>
  <c r="AP160" i="5"/>
  <c r="AN141" i="5"/>
  <c r="AN142" i="5" s="1"/>
  <c r="O142" i="5"/>
  <c r="K124" i="5"/>
  <c r="AJ123" i="5"/>
  <c r="AJ124" i="5" s="1"/>
  <c r="M100" i="5"/>
  <c r="AK100" i="5"/>
  <c r="M87" i="5"/>
  <c r="AK87" i="5"/>
  <c r="K39" i="5"/>
  <c r="AJ38" i="5"/>
  <c r="L38" i="5"/>
  <c r="AR41" i="5"/>
  <c r="T41" i="5"/>
  <c r="AF41" i="5"/>
  <c r="H41" i="5"/>
  <c r="G137" i="8"/>
  <c r="H137" i="8"/>
  <c r="P26" i="5" l="1"/>
  <c r="AN25" i="5"/>
  <c r="AN24" i="5"/>
  <c r="AN26" i="5" s="1"/>
  <c r="AT72" i="5"/>
  <c r="AT73" i="5" s="1"/>
  <c r="AT74" i="5" s="1"/>
  <c r="AT80" i="5"/>
  <c r="AT81" i="5" s="1"/>
  <c r="AT82" i="5" s="1"/>
  <c r="W72" i="5"/>
  <c r="AU70" i="5"/>
  <c r="AU71" i="5"/>
  <c r="V73" i="5"/>
  <c r="V74" i="5" s="1"/>
  <c r="W80" i="5"/>
  <c r="AU78" i="5"/>
  <c r="AU79" i="5"/>
  <c r="V81" i="5"/>
  <c r="V82" i="5" s="1"/>
  <c r="AJ39" i="5"/>
  <c r="AP162" i="5"/>
  <c r="AQ165" i="5"/>
  <c r="AM22" i="5"/>
  <c r="AM21" i="5"/>
  <c r="AL23" i="5"/>
  <c r="AN20" i="5"/>
  <c r="AO18" i="5"/>
  <c r="AO19" i="5"/>
  <c r="AP15" i="5"/>
  <c r="AP16" i="5"/>
  <c r="AO17" i="5"/>
  <c r="AL132" i="5"/>
  <c r="AI136" i="5"/>
  <c r="AM130" i="5"/>
  <c r="AM131" i="5"/>
  <c r="AK134" i="5"/>
  <c r="AK133" i="5"/>
  <c r="L136" i="5"/>
  <c r="AK127" i="5"/>
  <c r="AK128" i="5"/>
  <c r="AJ129" i="5"/>
  <c r="AJ135" i="5"/>
  <c r="AK117" i="5"/>
  <c r="N115" i="5"/>
  <c r="AL116" i="5"/>
  <c r="AL115" i="5"/>
  <c r="AM64" i="5"/>
  <c r="R58" i="3" s="1"/>
  <c r="AN62" i="5"/>
  <c r="AN63" i="5"/>
  <c r="AQ60" i="5"/>
  <c r="AQ59" i="5"/>
  <c r="AP61" i="5"/>
  <c r="AR164" i="5"/>
  <c r="AQ161" i="5"/>
  <c r="T162" i="5"/>
  <c r="AS161" i="5" s="1"/>
  <c r="AQ160" i="5"/>
  <c r="P142" i="5"/>
  <c r="AO141" i="5"/>
  <c r="AO142" i="5" s="1"/>
  <c r="AK123" i="5"/>
  <c r="AK124" i="5" s="1"/>
  <c r="L124" i="5"/>
  <c r="N100" i="5"/>
  <c r="AL100" i="5"/>
  <c r="N87" i="5"/>
  <c r="AL87" i="5"/>
  <c r="L39" i="5"/>
  <c r="AK38" i="5"/>
  <c r="M38" i="5"/>
  <c r="AG41" i="5"/>
  <c r="I41" i="5"/>
  <c r="AS41" i="5"/>
  <c r="U41" i="5"/>
  <c r="F137" i="10"/>
  <c r="G131" i="8"/>
  <c r="H131" i="8"/>
  <c r="G129" i="8"/>
  <c r="H129" i="8"/>
  <c r="Q26" i="5" l="1"/>
  <c r="AO25" i="5"/>
  <c r="AO24" i="5"/>
  <c r="AO26" i="5" s="1"/>
  <c r="AU80" i="5"/>
  <c r="AU81" i="5" s="1"/>
  <c r="AU82" i="5" s="1"/>
  <c r="AU72" i="5"/>
  <c r="AU73" i="5" s="1"/>
  <c r="AU74" i="5" s="1"/>
  <c r="X78" i="5"/>
  <c r="AV78" i="5"/>
  <c r="AV79" i="5"/>
  <c r="W81" i="5"/>
  <c r="W82" i="5" s="1"/>
  <c r="X70" i="5"/>
  <c r="W73" i="5"/>
  <c r="W74" i="5" s="1"/>
  <c r="AV71" i="5"/>
  <c r="AV70" i="5"/>
  <c r="U162" i="5"/>
  <c r="V162" i="5" s="1"/>
  <c r="W162" i="5" s="1"/>
  <c r="X160" i="5" s="1"/>
  <c r="AS160" i="5"/>
  <c r="AK39" i="5"/>
  <c r="AQ162" i="5"/>
  <c r="AR165" i="5"/>
  <c r="S56" i="3" s="1"/>
  <c r="AM23" i="5"/>
  <c r="R67" i="3" s="1"/>
  <c r="AN22" i="5"/>
  <c r="AN21" i="5"/>
  <c r="AP18" i="5"/>
  <c r="AP19" i="5"/>
  <c r="AO20" i="5"/>
  <c r="T17" i="5"/>
  <c r="AS15" i="5" s="1"/>
  <c r="AQ16" i="5"/>
  <c r="AQ15" i="5"/>
  <c r="AP17" i="5"/>
  <c r="AJ136" i="5"/>
  <c r="M136" i="5"/>
  <c r="AL128" i="5"/>
  <c r="AL127" i="5"/>
  <c r="AK135" i="5"/>
  <c r="AM132" i="5"/>
  <c r="AK129" i="5"/>
  <c r="AL134" i="5"/>
  <c r="AL133" i="5"/>
  <c r="AN131" i="5"/>
  <c r="AN130" i="5"/>
  <c r="AL117" i="5"/>
  <c r="O117" i="5"/>
  <c r="AM116" i="5"/>
  <c r="AM115" i="5"/>
  <c r="AN64" i="5"/>
  <c r="AO62" i="5"/>
  <c r="AO63" i="5"/>
  <c r="AR64" i="5"/>
  <c r="S58" i="3" s="1"/>
  <c r="AQ61" i="5"/>
  <c r="AS164" i="5"/>
  <c r="Q142" i="5"/>
  <c r="AP141" i="5"/>
  <c r="AP142" i="5" s="1"/>
  <c r="AL123" i="5"/>
  <c r="AL124" i="5" s="1"/>
  <c r="M124" i="5"/>
  <c r="O100" i="5"/>
  <c r="AM100" i="5"/>
  <c r="O87" i="5"/>
  <c r="AM87" i="5"/>
  <c r="M39" i="5"/>
  <c r="AL38" i="5"/>
  <c r="N38" i="5"/>
  <c r="V41" i="5"/>
  <c r="AT41" i="5"/>
  <c r="J41" i="5"/>
  <c r="AH41" i="5"/>
  <c r="Q20" i="3" s="1"/>
  <c r="F131" i="10"/>
  <c r="F129" i="10"/>
  <c r="AE77" i="3"/>
  <c r="AE76" i="3"/>
  <c r="AE75" i="3"/>
  <c r="AF75" i="3"/>
  <c r="AV80" i="5" l="1"/>
  <c r="AV81" i="5" s="1"/>
  <c r="AV82" i="5" s="1"/>
  <c r="AV72" i="5"/>
  <c r="AV73" i="5" s="1"/>
  <c r="AV74" i="5" s="1"/>
  <c r="R26" i="5"/>
  <c r="AP24" i="5"/>
  <c r="AP26" i="5" s="1"/>
  <c r="AP25" i="5"/>
  <c r="X73" i="5"/>
  <c r="AW70" i="5"/>
  <c r="AW71" i="5"/>
  <c r="AW72" i="5" s="1"/>
  <c r="AW78" i="5"/>
  <c r="X81" i="5"/>
  <c r="AW79" i="5"/>
  <c r="AW80" i="5" s="1"/>
  <c r="U17" i="5"/>
  <c r="V17" i="5" s="1"/>
  <c r="W17" i="5" s="1"/>
  <c r="X15" i="5" s="1"/>
  <c r="AL39" i="5"/>
  <c r="AS165" i="5"/>
  <c r="AR162" i="5"/>
  <c r="S55" i="3" s="1"/>
  <c r="AN23" i="5"/>
  <c r="AO21" i="5"/>
  <c r="AO22" i="5"/>
  <c r="AQ19" i="5"/>
  <c r="AQ18" i="5"/>
  <c r="AP20" i="5"/>
  <c r="AQ17" i="5"/>
  <c r="AR16" i="5"/>
  <c r="AK136" i="5"/>
  <c r="AL129" i="5"/>
  <c r="AO130" i="5"/>
  <c r="AO131" i="5"/>
  <c r="N136" i="5"/>
  <c r="AM128" i="5"/>
  <c r="AM127" i="5"/>
  <c r="AL135" i="5"/>
  <c r="AN132" i="5"/>
  <c r="AM133" i="5"/>
  <c r="AM134" i="5"/>
  <c r="AM117" i="5"/>
  <c r="AN115" i="5"/>
  <c r="P117" i="5"/>
  <c r="AN116" i="5"/>
  <c r="AO64" i="5"/>
  <c r="AP62" i="5"/>
  <c r="AP63" i="5"/>
  <c r="AT63" i="5"/>
  <c r="AT62" i="5"/>
  <c r="AS64" i="5"/>
  <c r="AR61" i="5"/>
  <c r="S57" i="3" s="1"/>
  <c r="AT163" i="5"/>
  <c r="AT164" i="5"/>
  <c r="AQ141" i="5"/>
  <c r="AQ142" i="5" s="1"/>
  <c r="R142" i="5"/>
  <c r="N124" i="5"/>
  <c r="AM123" i="5"/>
  <c r="AM124" i="5" s="1"/>
  <c r="P100" i="5"/>
  <c r="AN100" i="5"/>
  <c r="P87" i="5"/>
  <c r="AN87" i="5"/>
  <c r="AM38" i="5"/>
  <c r="N39" i="5"/>
  <c r="O38" i="5"/>
  <c r="K41" i="5"/>
  <c r="AI41" i="5"/>
  <c r="W41" i="5"/>
  <c r="AU41" i="5"/>
  <c r="F5" i="2"/>
  <c r="F38" i="2"/>
  <c r="G50" i="2"/>
  <c r="F50" i="2"/>
  <c r="G72" i="2"/>
  <c r="F72" i="2"/>
  <c r="G96" i="2"/>
  <c r="F96" i="2"/>
  <c r="G107" i="2"/>
  <c r="F107" i="2"/>
  <c r="G132" i="2"/>
  <c r="F132" i="2"/>
  <c r="G142" i="2"/>
  <c r="F142" i="2"/>
  <c r="F182" i="2"/>
  <c r="F179" i="2"/>
  <c r="G164" i="2"/>
  <c r="F164" i="2"/>
  <c r="G167" i="2"/>
  <c r="F167" i="2"/>
  <c r="F170" i="2"/>
  <c r="G174" i="2"/>
  <c r="F174" i="2"/>
  <c r="F189" i="2"/>
  <c r="G214" i="2"/>
  <c r="F214" i="2"/>
  <c r="G212" i="2"/>
  <c r="F212" i="2"/>
  <c r="G210" i="2"/>
  <c r="F210" i="2"/>
  <c r="G207" i="2"/>
  <c r="F207" i="2"/>
  <c r="G203" i="2"/>
  <c r="F203" i="2"/>
  <c r="S24" i="5" l="1"/>
  <c r="AQ25" i="5"/>
  <c r="AQ24" i="5"/>
  <c r="AQ26" i="5" s="1"/>
  <c r="AW73" i="5"/>
  <c r="AW74" i="5" s="1"/>
  <c r="T63" i="3"/>
  <c r="P63" i="3"/>
  <c r="AW81" i="5"/>
  <c r="AW82" i="5" s="1"/>
  <c r="T64" i="3"/>
  <c r="P64" i="3"/>
  <c r="F3" i="48"/>
  <c r="F5" i="48" s="1"/>
  <c r="B47" i="48" s="1"/>
  <c r="F3" i="11"/>
  <c r="F5" i="11" s="1"/>
  <c r="X82" i="5"/>
  <c r="E3" i="48"/>
  <c r="E5" i="48" s="1"/>
  <c r="B35" i="48" s="1"/>
  <c r="E3" i="11"/>
  <c r="E5" i="11" s="1"/>
  <c r="X74" i="5"/>
  <c r="AM39" i="5"/>
  <c r="AT165" i="5"/>
  <c r="AS162" i="5"/>
  <c r="AO23" i="5"/>
  <c r="AP21" i="5"/>
  <c r="AP22" i="5"/>
  <c r="AM129" i="5"/>
  <c r="AQ20" i="5"/>
  <c r="AR19" i="5"/>
  <c r="AR17" i="5"/>
  <c r="S65" i="3" s="1"/>
  <c r="AS16" i="5"/>
  <c r="AL136" i="5"/>
  <c r="AM135" i="5"/>
  <c r="AN133" i="5"/>
  <c r="AN134" i="5"/>
  <c r="O136" i="5"/>
  <c r="AN127" i="5"/>
  <c r="AN128" i="5"/>
  <c r="AP131" i="5"/>
  <c r="AP130" i="5"/>
  <c r="AO132" i="5"/>
  <c r="AO115" i="5"/>
  <c r="Q117" i="5"/>
  <c r="AO116" i="5"/>
  <c r="AN117" i="5"/>
  <c r="AP64" i="5"/>
  <c r="AQ63" i="5"/>
  <c r="AQ62" i="5"/>
  <c r="AT64" i="5"/>
  <c r="AU63" i="5"/>
  <c r="AU62" i="5"/>
  <c r="AS61" i="5"/>
  <c r="AT59" i="5"/>
  <c r="AT60" i="5"/>
  <c r="AT161" i="5"/>
  <c r="AT160" i="5"/>
  <c r="AU163" i="5"/>
  <c r="AU164" i="5"/>
  <c r="X163" i="5"/>
  <c r="AR141" i="5"/>
  <c r="AR142" i="5" s="1"/>
  <c r="S142" i="5"/>
  <c r="O124" i="5"/>
  <c r="AN123" i="5"/>
  <c r="AN124" i="5" s="1"/>
  <c r="Q100" i="5"/>
  <c r="AO100" i="5"/>
  <c r="Q87" i="5"/>
  <c r="AO87" i="5"/>
  <c r="P38" i="5"/>
  <c r="O39" i="5"/>
  <c r="AN38" i="5"/>
  <c r="AV41" i="5"/>
  <c r="X41" i="5"/>
  <c r="AW41" i="5" s="1"/>
  <c r="AJ41" i="5"/>
  <c r="L41" i="5"/>
  <c r="J189" i="2"/>
  <c r="J170" i="2"/>
  <c r="J38" i="2"/>
  <c r="I214" i="2"/>
  <c r="H214" i="2"/>
  <c r="I212" i="2"/>
  <c r="H212" i="2"/>
  <c r="I210" i="2"/>
  <c r="H210" i="2"/>
  <c r="I207" i="2"/>
  <c r="H207" i="2"/>
  <c r="I203" i="2"/>
  <c r="H203" i="2"/>
  <c r="I174" i="2"/>
  <c r="H174" i="2"/>
  <c r="I167" i="2"/>
  <c r="H167" i="2"/>
  <c r="I164" i="2"/>
  <c r="H164" i="2"/>
  <c r="I156" i="2"/>
  <c r="I155" i="2" s="1"/>
  <c r="H156" i="2"/>
  <c r="H155" i="2" s="1"/>
  <c r="I142" i="2"/>
  <c r="H142" i="2"/>
  <c r="I132" i="2"/>
  <c r="H132" i="2"/>
  <c r="I107" i="2"/>
  <c r="H107" i="2"/>
  <c r="I96" i="2"/>
  <c r="H96" i="2"/>
  <c r="I72" i="2"/>
  <c r="H72" i="2"/>
  <c r="I50" i="2"/>
  <c r="I37" i="2" s="1"/>
  <c r="H50" i="2"/>
  <c r="H45" i="2"/>
  <c r="I4" i="2"/>
  <c r="H4" i="2"/>
  <c r="I131" i="2" l="1"/>
  <c r="AR24" i="5"/>
  <c r="T26" i="5"/>
  <c r="AR25" i="5"/>
  <c r="B48" i="48"/>
  <c r="B49" i="48"/>
  <c r="C26" i="48" s="1"/>
  <c r="B53" i="48"/>
  <c r="C87" i="48" s="1"/>
  <c r="B54" i="48"/>
  <c r="C99" i="48" s="1"/>
  <c r="B55" i="48"/>
  <c r="C111" i="48" s="1"/>
  <c r="B50" i="48"/>
  <c r="C38" i="48" s="1"/>
  <c r="B51" i="48"/>
  <c r="C63" i="48" s="1"/>
  <c r="B52" i="48"/>
  <c r="C75" i="48" s="1"/>
  <c r="B41" i="48"/>
  <c r="C86" i="48" s="1"/>
  <c r="B37" i="48"/>
  <c r="C25" i="48" s="1"/>
  <c r="B38" i="48"/>
  <c r="C50" i="48" s="1"/>
  <c r="B43" i="48"/>
  <c r="C110" i="48" s="1"/>
  <c r="B42" i="48"/>
  <c r="C98" i="48" s="1"/>
  <c r="B40" i="48"/>
  <c r="C74" i="48" s="1"/>
  <c r="B36" i="48"/>
  <c r="B39" i="48"/>
  <c r="C62" i="48" s="1"/>
  <c r="AN39" i="5"/>
  <c r="AU165" i="5"/>
  <c r="AM136" i="5"/>
  <c r="AT162" i="5"/>
  <c r="AQ22" i="5"/>
  <c r="AQ21" i="5"/>
  <c r="AP23" i="5"/>
  <c r="AR20" i="5"/>
  <c r="S66" i="3" s="1"/>
  <c r="AS19" i="5"/>
  <c r="AS17" i="5"/>
  <c r="AT15" i="5"/>
  <c r="AT16" i="5"/>
  <c r="AP132" i="5"/>
  <c r="AN129" i="5"/>
  <c r="AO133" i="5"/>
  <c r="AO134" i="5"/>
  <c r="P136" i="5"/>
  <c r="AO127" i="5"/>
  <c r="AO128" i="5"/>
  <c r="AN135" i="5"/>
  <c r="AQ131" i="5"/>
  <c r="AQ130" i="5"/>
  <c r="R117" i="5"/>
  <c r="S115" i="5" s="1"/>
  <c r="AR115" i="5" s="1"/>
  <c r="AP116" i="5"/>
  <c r="AP115" i="5"/>
  <c r="AO117" i="5"/>
  <c r="AQ64" i="5"/>
  <c r="AU64" i="5"/>
  <c r="AV63" i="5"/>
  <c r="AV62" i="5"/>
  <c r="AU60" i="5"/>
  <c r="AU59" i="5"/>
  <c r="AT61" i="5"/>
  <c r="AV163" i="5"/>
  <c r="AV164" i="5"/>
  <c r="AU160" i="5"/>
  <c r="AU161" i="5"/>
  <c r="T142" i="5"/>
  <c r="AS141" i="5"/>
  <c r="AS142" i="5" s="1"/>
  <c r="AO123" i="5"/>
  <c r="AO124" i="5" s="1"/>
  <c r="P124" i="5"/>
  <c r="R100" i="5"/>
  <c r="AP100" i="5"/>
  <c r="R87" i="5"/>
  <c r="S87" i="5" s="1"/>
  <c r="AP87" i="5"/>
  <c r="P39" i="5"/>
  <c r="AO38" i="5"/>
  <c r="Q38" i="5"/>
  <c r="AK41" i="5"/>
  <c r="M41" i="5"/>
  <c r="AL41" i="5" s="1"/>
  <c r="H38" i="2"/>
  <c r="H37" i="2" s="1"/>
  <c r="H131" i="2"/>
  <c r="I71" i="2"/>
  <c r="H71" i="2"/>
  <c r="C89" i="4"/>
  <c r="C71" i="4"/>
  <c r="Z71" i="4" s="1"/>
  <c r="BE78" i="8" s="1"/>
  <c r="C34" i="4"/>
  <c r="AH79" i="8" s="1"/>
  <c r="C33" i="4"/>
  <c r="C56" i="5"/>
  <c r="B56" i="5"/>
  <c r="AA58" i="5" s="1"/>
  <c r="C112" i="5"/>
  <c r="D114" i="5" s="1"/>
  <c r="B112" i="5"/>
  <c r="L69" i="3"/>
  <c r="Y69" i="3"/>
  <c r="X69" i="3"/>
  <c r="AA53" i="3"/>
  <c r="Z54" i="3"/>
  <c r="Z53" i="3"/>
  <c r="AH53" i="3"/>
  <c r="AJ53" i="3" s="1"/>
  <c r="AI53" i="3"/>
  <c r="AH52" i="3"/>
  <c r="AJ52" i="3" s="1"/>
  <c r="AI52" i="3"/>
  <c r="AF53" i="3"/>
  <c r="AF52" i="3"/>
  <c r="AS24" i="5" l="1"/>
  <c r="U26" i="5"/>
  <c r="AS25" i="5"/>
  <c r="AR26" i="5"/>
  <c r="S68" i="3" s="1"/>
  <c r="T87" i="5"/>
  <c r="AR87" i="5"/>
  <c r="AQ100" i="5"/>
  <c r="S100" i="5"/>
  <c r="C13" i="48"/>
  <c r="B44" i="48"/>
  <c r="C124" i="48" s="1"/>
  <c r="B56" i="48"/>
  <c r="C125" i="48" s="1"/>
  <c r="C14" i="48"/>
  <c r="T117" i="5"/>
  <c r="AS115" i="5" s="1"/>
  <c r="AR116" i="5"/>
  <c r="AR117" i="5" s="1"/>
  <c r="E114" i="5"/>
  <c r="F114" i="5" s="1"/>
  <c r="AC113" i="5"/>
  <c r="AO39" i="5"/>
  <c r="AU162" i="5"/>
  <c r="AV165" i="5"/>
  <c r="Z34" i="4"/>
  <c r="BE40" i="8" s="1"/>
  <c r="AH40" i="8"/>
  <c r="Z89" i="4"/>
  <c r="BE96" i="8" s="1"/>
  <c r="AH96" i="8"/>
  <c r="Z33" i="4"/>
  <c r="BE39" i="8" s="1"/>
  <c r="AH39" i="8"/>
  <c r="AH78" i="8"/>
  <c r="AQ23" i="5"/>
  <c r="AT18" i="5"/>
  <c r="AT19" i="5"/>
  <c r="AS20" i="5"/>
  <c r="AU16" i="5"/>
  <c r="AU15" i="5"/>
  <c r="AT17" i="5"/>
  <c r="AP117" i="5"/>
  <c r="AN136" i="5"/>
  <c r="AQ132" i="5"/>
  <c r="Q136" i="5"/>
  <c r="AP128" i="5"/>
  <c r="AP127" i="5"/>
  <c r="AP134" i="5"/>
  <c r="AP133" i="5"/>
  <c r="AO129" i="5"/>
  <c r="AO135" i="5"/>
  <c r="AQ116" i="5"/>
  <c r="AQ115" i="5"/>
  <c r="AB56" i="5"/>
  <c r="D58" i="5"/>
  <c r="E58" i="5" s="1"/>
  <c r="F58" i="5" s="1"/>
  <c r="G58" i="5" s="1"/>
  <c r="H58" i="5" s="1"/>
  <c r="AW62" i="5"/>
  <c r="AW63" i="5"/>
  <c r="AV64" i="5"/>
  <c r="AU61" i="5"/>
  <c r="AV60" i="5"/>
  <c r="AV59" i="5"/>
  <c r="AW163" i="5"/>
  <c r="AW164" i="5"/>
  <c r="AV161" i="5"/>
  <c r="AV160" i="5"/>
  <c r="U142" i="5"/>
  <c r="AT141" i="5"/>
  <c r="AT142" i="5" s="1"/>
  <c r="AP123" i="5"/>
  <c r="AP124" i="5" s="1"/>
  <c r="Q124" i="5"/>
  <c r="AQ87" i="5"/>
  <c r="R38" i="5"/>
  <c r="S38" i="5" s="1"/>
  <c r="AP38" i="5"/>
  <c r="Q39" i="5"/>
  <c r="G114" i="5"/>
  <c r="AK52" i="3"/>
  <c r="AL52" i="3" s="1"/>
  <c r="AB57" i="5"/>
  <c r="AA56" i="5"/>
  <c r="AA57" i="5"/>
  <c r="AK53" i="3"/>
  <c r="AL53" i="3" s="1"/>
  <c r="M54" i="3" s="1"/>
  <c r="M69" i="3" s="1"/>
  <c r="AH94" i="8"/>
  <c r="V26" i="5" l="1"/>
  <c r="AT25" i="5"/>
  <c r="AT24" i="5"/>
  <c r="AS26" i="5"/>
  <c r="U87" i="5"/>
  <c r="AS87" i="5"/>
  <c r="T38" i="5"/>
  <c r="AR38" i="5"/>
  <c r="AR39" i="5" s="1"/>
  <c r="S39" i="5"/>
  <c r="AR100" i="5"/>
  <c r="T100" i="5"/>
  <c r="U117" i="5"/>
  <c r="AS116" i="5"/>
  <c r="H114" i="5"/>
  <c r="AF112" i="5"/>
  <c r="G118" i="5"/>
  <c r="AP39" i="5"/>
  <c r="AW165" i="5"/>
  <c r="AV162" i="5"/>
  <c r="AU19" i="5"/>
  <c r="AU18" i="5"/>
  <c r="AT20" i="5"/>
  <c r="AU17" i="5"/>
  <c r="AV16" i="5"/>
  <c r="AV15" i="5"/>
  <c r="AP129" i="5"/>
  <c r="AP135" i="5"/>
  <c r="AO136" i="5"/>
  <c r="AR132" i="5"/>
  <c r="R136" i="5"/>
  <c r="AQ128" i="5"/>
  <c r="AQ127" i="5"/>
  <c r="AQ134" i="5"/>
  <c r="AQ133" i="5"/>
  <c r="AQ117" i="5"/>
  <c r="AB58" i="5"/>
  <c r="AW64" i="5"/>
  <c r="AV61" i="5"/>
  <c r="AW60" i="5"/>
  <c r="AW59" i="5"/>
  <c r="AW160" i="5"/>
  <c r="AW161" i="5"/>
  <c r="AU141" i="5"/>
  <c r="AU142" i="5" s="1"/>
  <c r="V142" i="5"/>
  <c r="R124" i="5"/>
  <c r="AQ123" i="5"/>
  <c r="AQ124" i="5" s="1"/>
  <c r="R39" i="5"/>
  <c r="AQ38" i="5"/>
  <c r="AA54" i="3"/>
  <c r="I56" i="5" s="1"/>
  <c r="AC56" i="5"/>
  <c r="AC57" i="5"/>
  <c r="H67" i="8"/>
  <c r="G67" i="8"/>
  <c r="H46" i="8"/>
  <c r="G46" i="8"/>
  <c r="AT26" i="5" l="1"/>
  <c r="W26" i="5"/>
  <c r="AU24" i="5"/>
  <c r="AU25" i="5"/>
  <c r="AT87" i="5"/>
  <c r="V87" i="5"/>
  <c r="AS38" i="5"/>
  <c r="AS39" i="5" s="1"/>
  <c r="U38" i="5"/>
  <c r="T39" i="5"/>
  <c r="AH57" i="5"/>
  <c r="J58" i="5"/>
  <c r="AH56" i="5"/>
  <c r="U100" i="5"/>
  <c r="AS100" i="5"/>
  <c r="T58" i="3"/>
  <c r="P58" i="3"/>
  <c r="AS117" i="5"/>
  <c r="AT116" i="5"/>
  <c r="AT115" i="5"/>
  <c r="V117" i="5"/>
  <c r="T56" i="3"/>
  <c r="P56" i="3"/>
  <c r="I112" i="5"/>
  <c r="AG112" i="5"/>
  <c r="H118" i="5"/>
  <c r="AQ39" i="5"/>
  <c r="AW162" i="5"/>
  <c r="AV19" i="5"/>
  <c r="AV18" i="5"/>
  <c r="AU20" i="5"/>
  <c r="AW15" i="5"/>
  <c r="AW16" i="5"/>
  <c r="AV17" i="5"/>
  <c r="AP136" i="5"/>
  <c r="AQ135" i="5"/>
  <c r="AQ129" i="5"/>
  <c r="AT131" i="5"/>
  <c r="AT130" i="5"/>
  <c r="S136" i="5"/>
  <c r="AS132" i="5"/>
  <c r="AW61" i="5"/>
  <c r="AV141" i="5"/>
  <c r="AV142" i="5" s="1"/>
  <c r="W142" i="5"/>
  <c r="F46" i="10"/>
  <c r="F67" i="10"/>
  <c r="AC58" i="5"/>
  <c r="AD56" i="5"/>
  <c r="AD57" i="5"/>
  <c r="T5" i="11"/>
  <c r="AU26" i="5" l="1"/>
  <c r="X24" i="5"/>
  <c r="AV24" i="5"/>
  <c r="AV26" i="5" s="1"/>
  <c r="AV25" i="5"/>
  <c r="W87" i="5"/>
  <c r="AV87" i="5" s="1"/>
  <c r="AU87" i="5"/>
  <c r="V38" i="5"/>
  <c r="U39" i="5"/>
  <c r="AT38" i="5"/>
  <c r="AT39" i="5" s="1"/>
  <c r="AI57" i="5"/>
  <c r="K58" i="5"/>
  <c r="L58" i="5" s="1"/>
  <c r="M58" i="5" s="1"/>
  <c r="N56" i="5" s="1"/>
  <c r="AI56" i="5"/>
  <c r="T55" i="3"/>
  <c r="P55" i="3"/>
  <c r="V100" i="5"/>
  <c r="AT100" i="5"/>
  <c r="AT117" i="5"/>
  <c r="AU116" i="5"/>
  <c r="W117" i="5"/>
  <c r="AU115" i="5"/>
  <c r="T57" i="3"/>
  <c r="P57" i="3"/>
  <c r="J114" i="5"/>
  <c r="I118" i="5"/>
  <c r="AH58" i="5"/>
  <c r="Q54" i="3" s="1"/>
  <c r="AV20" i="5"/>
  <c r="AW18" i="5"/>
  <c r="AW19" i="5"/>
  <c r="AW17" i="5"/>
  <c r="AQ136" i="5"/>
  <c r="AR135" i="5"/>
  <c r="AR136" i="5" s="1"/>
  <c r="AT132" i="5"/>
  <c r="T136" i="5"/>
  <c r="AU131" i="5"/>
  <c r="AU130" i="5"/>
  <c r="X142" i="5"/>
  <c r="AW141" i="5"/>
  <c r="AW142" i="5" s="1"/>
  <c r="AD58" i="5"/>
  <c r="AE56" i="5"/>
  <c r="AE57" i="5"/>
  <c r="H156" i="8"/>
  <c r="H155" i="8"/>
  <c r="H154" i="8"/>
  <c r="H153" i="8"/>
  <c r="G156" i="8"/>
  <c r="G155" i="8"/>
  <c r="G154" i="8"/>
  <c r="G153" i="8"/>
  <c r="AW25" i="5" l="1"/>
  <c r="AW24" i="5"/>
  <c r="V39" i="5"/>
  <c r="W38" i="5"/>
  <c r="AU38" i="5"/>
  <c r="AU39" i="5" s="1"/>
  <c r="AU117" i="5"/>
  <c r="W100" i="5"/>
  <c r="AU100" i="5"/>
  <c r="P65" i="3"/>
  <c r="T65" i="3"/>
  <c r="AV116" i="5"/>
  <c r="AV115" i="5"/>
  <c r="K114" i="5"/>
  <c r="J118" i="5"/>
  <c r="AW20" i="5"/>
  <c r="AS135" i="5"/>
  <c r="AS136" i="5" s="1"/>
  <c r="AU132" i="5"/>
  <c r="AT134" i="5"/>
  <c r="AT133" i="5"/>
  <c r="U136" i="5"/>
  <c r="AV130" i="5"/>
  <c r="AV131" i="5"/>
  <c r="F156" i="10"/>
  <c r="F154" i="10"/>
  <c r="F153" i="10"/>
  <c r="F155" i="10"/>
  <c r="AI58" i="5"/>
  <c r="AJ56" i="5"/>
  <c r="AJ57" i="5"/>
  <c r="AE58" i="5"/>
  <c r="AF57" i="5"/>
  <c r="AF56" i="5"/>
  <c r="K235" i="10"/>
  <c r="K233" i="10"/>
  <c r="K231" i="10"/>
  <c r="K228" i="10"/>
  <c r="K224" i="10"/>
  <c r="K217" i="10"/>
  <c r="K214" i="10"/>
  <c r="K210" i="10"/>
  <c r="K207" i="10"/>
  <c r="K204" i="10"/>
  <c r="AW26" i="5" l="1"/>
  <c r="W39" i="5"/>
  <c r="AV38" i="5"/>
  <c r="AV39" i="5" s="1"/>
  <c r="AV117" i="5"/>
  <c r="X100" i="5"/>
  <c r="AW100" i="5" s="1"/>
  <c r="AV100" i="5"/>
  <c r="P66" i="3"/>
  <c r="T66" i="3"/>
  <c r="L114" i="5"/>
  <c r="K118" i="5"/>
  <c r="K191" i="10"/>
  <c r="AT135" i="5"/>
  <c r="AT136" i="5" s="1"/>
  <c r="AW130" i="5"/>
  <c r="AW131" i="5"/>
  <c r="AV132" i="5"/>
  <c r="AU133" i="5"/>
  <c r="AU134" i="5"/>
  <c r="V136" i="5"/>
  <c r="AJ58" i="5"/>
  <c r="AK56" i="5"/>
  <c r="AK57" i="5"/>
  <c r="AF58" i="5"/>
  <c r="E28" i="6"/>
  <c r="F28" i="6" s="1"/>
  <c r="G28" i="6" s="1"/>
  <c r="E25" i="6"/>
  <c r="F25" i="6" s="1"/>
  <c r="G25" i="6" s="1"/>
  <c r="E22" i="6"/>
  <c r="F22" i="6" s="1"/>
  <c r="G22" i="6" s="1"/>
  <c r="E19" i="6"/>
  <c r="F19" i="6" s="1"/>
  <c r="G19" i="6" s="1"/>
  <c r="E16" i="6"/>
  <c r="F16" i="6" s="1"/>
  <c r="G16" i="6" s="1"/>
  <c r="E13" i="6"/>
  <c r="F13" i="6" s="1"/>
  <c r="G13" i="6" s="1"/>
  <c r="E7" i="6"/>
  <c r="F7" i="6" s="1"/>
  <c r="G7" i="6" s="1"/>
  <c r="E4" i="6"/>
  <c r="F4" i="6" s="1"/>
  <c r="G4" i="6" s="1"/>
  <c r="K156" i="2"/>
  <c r="K155" i="2" s="1"/>
  <c r="J156" i="2"/>
  <c r="J155" i="2" s="1"/>
  <c r="H200" i="8" s="1"/>
  <c r="G156" i="2"/>
  <c r="G155" i="2" s="1"/>
  <c r="F156" i="2"/>
  <c r="F155" i="2" s="1"/>
  <c r="T68" i="3" l="1"/>
  <c r="P68" i="3"/>
  <c r="M114" i="5"/>
  <c r="L118" i="5"/>
  <c r="AV134" i="5"/>
  <c r="AV133" i="5"/>
  <c r="W136" i="5"/>
  <c r="AU135" i="5"/>
  <c r="AU136" i="5" s="1"/>
  <c r="AW132" i="5"/>
  <c r="O58" i="5"/>
  <c r="P58" i="5" s="1"/>
  <c r="Q58" i="5" s="1"/>
  <c r="R58" i="5" s="1"/>
  <c r="S56" i="5" s="1"/>
  <c r="AL57" i="5"/>
  <c r="AL56" i="5"/>
  <c r="AK58" i="5"/>
  <c r="AH97" i="8"/>
  <c r="C88" i="4"/>
  <c r="C86" i="4"/>
  <c r="Z86" i="4" s="1"/>
  <c r="BE93" i="8" s="1"/>
  <c r="AE223" i="8"/>
  <c r="H236" i="8"/>
  <c r="H234" i="8"/>
  <c r="H232" i="8"/>
  <c r="H230" i="8"/>
  <c r="H229" i="8"/>
  <c r="H227" i="8"/>
  <c r="H226" i="8"/>
  <c r="H225" i="8"/>
  <c r="H184" i="8"/>
  <c r="H183" i="8"/>
  <c r="H182" i="8"/>
  <c r="H181" i="8"/>
  <c r="H180" i="8"/>
  <c r="H179" i="8"/>
  <c r="H178" i="8"/>
  <c r="H176" i="8"/>
  <c r="H175" i="8"/>
  <c r="H174" i="8"/>
  <c r="H173" i="8"/>
  <c r="H216" i="8"/>
  <c r="H214" i="8" s="1"/>
  <c r="H195" i="8"/>
  <c r="H193" i="8"/>
  <c r="H192" i="8"/>
  <c r="H213" i="8"/>
  <c r="H212" i="8"/>
  <c r="H211" i="8"/>
  <c r="H209" i="8"/>
  <c r="H208" i="8"/>
  <c r="H206" i="8"/>
  <c r="H205" i="8"/>
  <c r="F205" i="10" s="1"/>
  <c r="H168" i="8"/>
  <c r="H167" i="8"/>
  <c r="H166" i="8"/>
  <c r="H165" i="8"/>
  <c r="H164" i="8"/>
  <c r="H163" i="8"/>
  <c r="H162" i="8"/>
  <c r="H160" i="8"/>
  <c r="H152" i="8"/>
  <c r="H151" i="8"/>
  <c r="H150" i="8"/>
  <c r="H149" i="8"/>
  <c r="N112" i="5" l="1"/>
  <c r="M118" i="5"/>
  <c r="Z88" i="4"/>
  <c r="BE95" i="8" s="1"/>
  <c r="AV135" i="5"/>
  <c r="AV136" i="5" s="1"/>
  <c r="AW134" i="5"/>
  <c r="AW133" i="5"/>
  <c r="X136" i="5"/>
  <c r="H210" i="8"/>
  <c r="AL58" i="5"/>
  <c r="AM56" i="5"/>
  <c r="AM57" i="5"/>
  <c r="AH95" i="8"/>
  <c r="AH93" i="8"/>
  <c r="AD177" i="8" s="1"/>
  <c r="H228" i="8"/>
  <c r="H224" i="8"/>
  <c r="H231" i="8"/>
  <c r="H233" i="8"/>
  <c r="H204" i="8"/>
  <c r="H207" i="8"/>
  <c r="H235" i="8"/>
  <c r="AH85" i="8"/>
  <c r="C77" i="4"/>
  <c r="Z77" i="4" s="1"/>
  <c r="BE84" i="8" s="1"/>
  <c r="H106" i="8"/>
  <c r="G106" i="8"/>
  <c r="J72" i="2"/>
  <c r="K72" i="2"/>
  <c r="H101" i="8"/>
  <c r="G101" i="8"/>
  <c r="O114" i="5" l="1"/>
  <c r="N118" i="5"/>
  <c r="AW135" i="5"/>
  <c r="AW136" i="5" s="1"/>
  <c r="K177" i="10"/>
  <c r="K172" i="10" s="1"/>
  <c r="AN57" i="5"/>
  <c r="AN56" i="5"/>
  <c r="AM58" i="5"/>
  <c r="AH84" i="8"/>
  <c r="AD132" i="8" s="1"/>
  <c r="F101" i="10"/>
  <c r="F106" i="10"/>
  <c r="F175" i="10"/>
  <c r="AG57" i="10"/>
  <c r="AG41" i="10"/>
  <c r="AG40" i="10"/>
  <c r="AG17" i="10"/>
  <c r="AG13" i="10"/>
  <c r="H142" i="8"/>
  <c r="H139" i="8"/>
  <c r="H138" i="8"/>
  <c r="H136" i="8"/>
  <c r="H135" i="8"/>
  <c r="H134" i="8"/>
  <c r="H130" i="8"/>
  <c r="H128" i="8"/>
  <c r="H127" i="8"/>
  <c r="H126" i="8"/>
  <c r="H125" i="8"/>
  <c r="H124" i="8"/>
  <c r="H123" i="8"/>
  <c r="H122" i="8"/>
  <c r="H120" i="8"/>
  <c r="H119" i="8"/>
  <c r="H118" i="8"/>
  <c r="H117" i="8"/>
  <c r="H114" i="8"/>
  <c r="H113" i="8"/>
  <c r="H112" i="8"/>
  <c r="H111" i="8"/>
  <c r="H110" i="8"/>
  <c r="H109" i="8"/>
  <c r="H104" i="8"/>
  <c r="H103" i="8"/>
  <c r="H102" i="8"/>
  <c r="H100" i="8"/>
  <c r="H99" i="8"/>
  <c r="H98" i="8"/>
  <c r="H94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3" i="8"/>
  <c r="H72" i="8"/>
  <c r="H71" i="8"/>
  <c r="H70" i="8"/>
  <c r="H69" i="8"/>
  <c r="H68" i="8"/>
  <c r="H64" i="8"/>
  <c r="H63" i="8"/>
  <c r="H62" i="8"/>
  <c r="H61" i="8"/>
  <c r="H60" i="8"/>
  <c r="H59" i="8"/>
  <c r="H58" i="8"/>
  <c r="H57" i="8"/>
  <c r="H53" i="8"/>
  <c r="H52" i="8"/>
  <c r="H51" i="8"/>
  <c r="H50" i="8"/>
  <c r="H49" i="8"/>
  <c r="H45" i="8"/>
  <c r="H44" i="8"/>
  <c r="H43" i="8"/>
  <c r="H37" i="8"/>
  <c r="H36" i="8"/>
  <c r="H35" i="8"/>
  <c r="H34" i="8"/>
  <c r="H33" i="8"/>
  <c r="H32" i="8"/>
  <c r="H31" i="8"/>
  <c r="H30" i="8"/>
  <c r="H27" i="8"/>
  <c r="H26" i="8"/>
  <c r="H25" i="8"/>
  <c r="H24" i="8"/>
  <c r="H23" i="8"/>
  <c r="H20" i="8"/>
  <c r="F20" i="10" s="1"/>
  <c r="H17" i="8"/>
  <c r="H16" i="8"/>
  <c r="H15" i="8"/>
  <c r="H14" i="8"/>
  <c r="H13" i="8"/>
  <c r="H9" i="8"/>
  <c r="H8" i="8"/>
  <c r="H7" i="8"/>
  <c r="H6" i="8"/>
  <c r="P54" i="3" l="1"/>
  <c r="R54" i="3"/>
  <c r="S54" i="3" s="1"/>
  <c r="T54" i="3" s="1"/>
  <c r="P114" i="5"/>
  <c r="O118" i="5"/>
  <c r="K132" i="10"/>
  <c r="F7" i="10"/>
  <c r="F14" i="10"/>
  <c r="F8" i="10"/>
  <c r="F9" i="10"/>
  <c r="F16" i="10"/>
  <c r="F15" i="10"/>
  <c r="F6" i="10"/>
  <c r="F13" i="10"/>
  <c r="F17" i="10"/>
  <c r="AN58" i="5"/>
  <c r="AO57" i="5"/>
  <c r="AO56" i="5"/>
  <c r="F32" i="10"/>
  <c r="F59" i="10"/>
  <c r="F70" i="10"/>
  <c r="F85" i="10"/>
  <c r="F110" i="10"/>
  <c r="F130" i="10"/>
  <c r="F27" i="10"/>
  <c r="F37" i="10"/>
  <c r="F60" i="10"/>
  <c r="F86" i="10"/>
  <c r="F111" i="10"/>
  <c r="F139" i="10"/>
  <c r="F24" i="10"/>
  <c r="F30" i="10"/>
  <c r="F34" i="10"/>
  <c r="F43" i="10"/>
  <c r="F50" i="10"/>
  <c r="F57" i="10"/>
  <c r="F61" i="10"/>
  <c r="F68" i="10"/>
  <c r="F72" i="10"/>
  <c r="F83" i="10"/>
  <c r="F87" i="10"/>
  <c r="F91" i="10"/>
  <c r="F99" i="10"/>
  <c r="F104" i="10"/>
  <c r="F112" i="10"/>
  <c r="F123" i="10"/>
  <c r="F127" i="10"/>
  <c r="F135" i="10"/>
  <c r="F142" i="10"/>
  <c r="F25" i="10"/>
  <c r="F31" i="10"/>
  <c r="F35" i="10"/>
  <c r="F44" i="10"/>
  <c r="F51" i="10"/>
  <c r="F58" i="10"/>
  <c r="F62" i="10"/>
  <c r="F69" i="10"/>
  <c r="F73" i="10"/>
  <c r="F80" i="10"/>
  <c r="F84" i="10"/>
  <c r="F88" i="10"/>
  <c r="F92" i="10"/>
  <c r="F100" i="10"/>
  <c r="F109" i="10"/>
  <c r="F113" i="10"/>
  <c r="F119" i="10"/>
  <c r="F124" i="10"/>
  <c r="F128" i="10"/>
  <c r="F136" i="10"/>
  <c r="F45" i="10"/>
  <c r="F81" i="10"/>
  <c r="F125" i="10"/>
  <c r="F36" i="10"/>
  <c r="F94" i="10"/>
  <c r="F114" i="10"/>
  <c r="F23" i="10"/>
  <c r="F49" i="10"/>
  <c r="F71" i="10"/>
  <c r="F98" i="10"/>
  <c r="F126" i="10"/>
  <c r="F26" i="10"/>
  <c r="F52" i="10"/>
  <c r="F63" i="10"/>
  <c r="F89" i="10"/>
  <c r="F102" i="10"/>
  <c r="F120" i="10"/>
  <c r="F138" i="10"/>
  <c r="F33" i="10"/>
  <c r="F53" i="10"/>
  <c r="F64" i="10"/>
  <c r="F82" i="10"/>
  <c r="F90" i="10"/>
  <c r="F103" i="10"/>
  <c r="F117" i="10"/>
  <c r="F134" i="10"/>
  <c r="F118" i="10"/>
  <c r="F122" i="10"/>
  <c r="F79" i="10"/>
  <c r="Q114" i="5" l="1"/>
  <c r="P118" i="5"/>
  <c r="AP56" i="5"/>
  <c r="AP57" i="5"/>
  <c r="AO58" i="5"/>
  <c r="R114" i="5" l="1"/>
  <c r="Q118" i="5"/>
  <c r="T58" i="5"/>
  <c r="U58" i="5" s="1"/>
  <c r="V58" i="5" s="1"/>
  <c r="W58" i="5" s="1"/>
  <c r="X56" i="5" s="1"/>
  <c r="AY75" i="5" s="1"/>
  <c r="AQ57" i="5"/>
  <c r="AQ56" i="5"/>
  <c r="AP58" i="5"/>
  <c r="H52" i="34"/>
  <c r="H51" i="34"/>
  <c r="H50" i="34" s="1"/>
  <c r="I50" i="34"/>
  <c r="G50" i="34"/>
  <c r="F50" i="34"/>
  <c r="H48" i="34"/>
  <c r="H47" i="34" s="1"/>
  <c r="I47" i="34"/>
  <c r="G47" i="34"/>
  <c r="H45" i="34"/>
  <c r="H44" i="34"/>
  <c r="H42" i="34" s="1"/>
  <c r="H43" i="34"/>
  <c r="I42" i="34"/>
  <c r="G42" i="34"/>
  <c r="F42" i="34"/>
  <c r="H38" i="34"/>
  <c r="H34" i="34"/>
  <c r="H33" i="34"/>
  <c r="H32" i="34" s="1"/>
  <c r="H31" i="34"/>
  <c r="H30" i="34"/>
  <c r="H27" i="34"/>
  <c r="H26" i="34"/>
  <c r="I25" i="34"/>
  <c r="G25" i="34"/>
  <c r="F25" i="34"/>
  <c r="H20" i="34"/>
  <c r="H19" i="34"/>
  <c r="H15" i="34"/>
  <c r="H14" i="34"/>
  <c r="I13" i="34"/>
  <c r="G13" i="34"/>
  <c r="H11" i="34"/>
  <c r="H10" i="34"/>
  <c r="H9" i="34"/>
  <c r="H8" i="34"/>
  <c r="H7" i="34"/>
  <c r="H6" i="34"/>
  <c r="I5" i="34"/>
  <c r="G5" i="34"/>
  <c r="I4" i="34" l="1"/>
  <c r="S112" i="5"/>
  <c r="R118" i="5"/>
  <c r="G4" i="34"/>
  <c r="H25" i="34"/>
  <c r="H5" i="34"/>
  <c r="H13" i="34"/>
  <c r="AQ58" i="5"/>
  <c r="AR56" i="5"/>
  <c r="AR57" i="5"/>
  <c r="F4" i="34"/>
  <c r="AI51" i="3"/>
  <c r="AH51" i="3"/>
  <c r="AJ51" i="3" s="1"/>
  <c r="AI50" i="3"/>
  <c r="AH50" i="3"/>
  <c r="AJ50" i="3" s="1"/>
  <c r="AI48" i="3"/>
  <c r="AH48" i="3"/>
  <c r="AJ48" i="3" s="1"/>
  <c r="AI47" i="3"/>
  <c r="AH47" i="3"/>
  <c r="AJ47" i="3" s="1"/>
  <c r="AI46" i="3"/>
  <c r="AH46" i="3"/>
  <c r="AJ46" i="3" s="1"/>
  <c r="AI45" i="3"/>
  <c r="AH45" i="3"/>
  <c r="AJ45" i="3" s="1"/>
  <c r="AI44" i="3"/>
  <c r="AH44" i="3"/>
  <c r="AJ44" i="3" s="1"/>
  <c r="AI43" i="3"/>
  <c r="AH43" i="3"/>
  <c r="AJ43" i="3" s="1"/>
  <c r="T114" i="5" l="1"/>
  <c r="S118" i="5"/>
  <c r="H4" i="34"/>
  <c r="AK50" i="3"/>
  <c r="AL50" i="3" s="1"/>
  <c r="AR58" i="5"/>
  <c r="AS56" i="5"/>
  <c r="AS57" i="5"/>
  <c r="AK44" i="3"/>
  <c r="AL44" i="3" s="1"/>
  <c r="AK48" i="3"/>
  <c r="AL48" i="3" s="1"/>
  <c r="AK51" i="3"/>
  <c r="AL51" i="3" s="1"/>
  <c r="AK47" i="3"/>
  <c r="AL47" i="3" s="1"/>
  <c r="AK46" i="3"/>
  <c r="AL46" i="3" s="1"/>
  <c r="AK45" i="3"/>
  <c r="AL45" i="3" s="1"/>
  <c r="AK43" i="3"/>
  <c r="AL43" i="3" s="1"/>
  <c r="U114" i="5" l="1"/>
  <c r="T118" i="5"/>
  <c r="AT57" i="5"/>
  <c r="AT56" i="5"/>
  <c r="AS58" i="5"/>
  <c r="G51" i="8"/>
  <c r="G50" i="8"/>
  <c r="Q24" i="11"/>
  <c r="V114" i="5" l="1"/>
  <c r="U118" i="5"/>
  <c r="AT58" i="5"/>
  <c r="AU56" i="5"/>
  <c r="AU57" i="5"/>
  <c r="R24" i="11"/>
  <c r="S24" i="11"/>
  <c r="T24" i="11"/>
  <c r="U24" i="11"/>
  <c r="V24" i="11"/>
  <c r="W24" i="11"/>
  <c r="X24" i="11"/>
  <c r="Y24" i="11"/>
  <c r="Z24" i="11"/>
  <c r="W114" i="5" l="1"/>
  <c r="V118" i="5"/>
  <c r="AU58" i="5"/>
  <c r="AV56" i="5"/>
  <c r="AV57" i="5"/>
  <c r="AI54" i="3"/>
  <c r="AH54" i="3"/>
  <c r="AJ54" i="3" s="1"/>
  <c r="AL54" i="3" s="1"/>
  <c r="BP43" i="5"/>
  <c r="BL43" i="5" s="1"/>
  <c r="BJ43" i="5" s="1"/>
  <c r="BP42" i="5"/>
  <c r="BL42" i="5" s="1"/>
  <c r="BJ42" i="5" s="1"/>
  <c r="BP41" i="5"/>
  <c r="BL41" i="5" s="1"/>
  <c r="BJ41" i="5" s="1"/>
  <c r="BP40" i="5"/>
  <c r="BL40" i="5" s="1"/>
  <c r="BJ40" i="5" s="1"/>
  <c r="Q59" i="11"/>
  <c r="Q52" i="11"/>
  <c r="Q45" i="11"/>
  <c r="Q38" i="11"/>
  <c r="Q31" i="11"/>
  <c r="Z59" i="11"/>
  <c r="Y59" i="11"/>
  <c r="X59" i="11"/>
  <c r="W59" i="11"/>
  <c r="V59" i="11"/>
  <c r="U59" i="11"/>
  <c r="T59" i="11"/>
  <c r="S59" i="11"/>
  <c r="R59" i="11"/>
  <c r="Z52" i="11"/>
  <c r="Y52" i="11"/>
  <c r="X52" i="11"/>
  <c r="W52" i="11"/>
  <c r="V52" i="11"/>
  <c r="U52" i="11"/>
  <c r="T52" i="11"/>
  <c r="S52" i="11"/>
  <c r="R52" i="11"/>
  <c r="Z45" i="11"/>
  <c r="Y45" i="11"/>
  <c r="X45" i="11"/>
  <c r="W45" i="11"/>
  <c r="V45" i="11"/>
  <c r="U45" i="11"/>
  <c r="T45" i="11"/>
  <c r="S45" i="11"/>
  <c r="R45" i="11"/>
  <c r="Z38" i="11"/>
  <c r="Y38" i="11"/>
  <c r="X38" i="11"/>
  <c r="W38" i="11"/>
  <c r="V38" i="11"/>
  <c r="U38" i="11"/>
  <c r="T38" i="11"/>
  <c r="S38" i="11"/>
  <c r="R38" i="11"/>
  <c r="Z31" i="11"/>
  <c r="Y31" i="11"/>
  <c r="X31" i="11"/>
  <c r="W31" i="11"/>
  <c r="V31" i="11"/>
  <c r="U31" i="11"/>
  <c r="T31" i="11"/>
  <c r="S31" i="11"/>
  <c r="R31" i="11"/>
  <c r="Q13" i="11"/>
  <c r="E56" i="9" s="1"/>
  <c r="F56" i="9" s="1"/>
  <c r="Q12" i="11"/>
  <c r="E49" i="9" s="1"/>
  <c r="F49" i="9" s="1"/>
  <c r="Z235" i="10"/>
  <c r="Y235" i="10"/>
  <c r="X235" i="10"/>
  <c r="W235" i="10"/>
  <c r="V235" i="10"/>
  <c r="U235" i="10"/>
  <c r="T235" i="10"/>
  <c r="S235" i="10"/>
  <c r="R235" i="10"/>
  <c r="Q235" i="10"/>
  <c r="P235" i="10"/>
  <c r="O235" i="10"/>
  <c r="N235" i="10"/>
  <c r="M235" i="10"/>
  <c r="L235" i="10"/>
  <c r="Z233" i="10"/>
  <c r="Y233" i="10"/>
  <c r="X233" i="10"/>
  <c r="W233" i="10"/>
  <c r="V233" i="10"/>
  <c r="T233" i="10"/>
  <c r="S233" i="10"/>
  <c r="R233" i="10"/>
  <c r="Q233" i="10"/>
  <c r="P233" i="10"/>
  <c r="O233" i="10"/>
  <c r="N233" i="10"/>
  <c r="M233" i="10"/>
  <c r="L233" i="10"/>
  <c r="Z231" i="10"/>
  <c r="Y231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Z228" i="10"/>
  <c r="Y228" i="10"/>
  <c r="X228" i="10"/>
  <c r="W228" i="10"/>
  <c r="V228" i="10"/>
  <c r="U228" i="10"/>
  <c r="T228" i="10"/>
  <c r="S228" i="10"/>
  <c r="R228" i="10"/>
  <c r="Q228" i="10"/>
  <c r="P228" i="10"/>
  <c r="O228" i="10"/>
  <c r="N228" i="10"/>
  <c r="M228" i="10"/>
  <c r="L228" i="10"/>
  <c r="Z224" i="10"/>
  <c r="Y224" i="10"/>
  <c r="X224" i="10"/>
  <c r="W224" i="10"/>
  <c r="V224" i="10"/>
  <c r="U224" i="10"/>
  <c r="T224" i="10"/>
  <c r="S224" i="10"/>
  <c r="R224" i="10"/>
  <c r="Q224" i="10"/>
  <c r="P224" i="10"/>
  <c r="O224" i="10"/>
  <c r="N224" i="10"/>
  <c r="M224" i="10"/>
  <c r="L224" i="10"/>
  <c r="Z172" i="10"/>
  <c r="Y172" i="10"/>
  <c r="X172" i="10"/>
  <c r="W172" i="10"/>
  <c r="V172" i="10"/>
  <c r="U172" i="10"/>
  <c r="T172" i="10"/>
  <c r="S172" i="10"/>
  <c r="R172" i="10"/>
  <c r="Q172" i="10"/>
  <c r="P172" i="10"/>
  <c r="O172" i="10"/>
  <c r="N172" i="10"/>
  <c r="M172" i="10"/>
  <c r="L172" i="10"/>
  <c r="R217" i="10"/>
  <c r="Q217" i="10"/>
  <c r="P217" i="10"/>
  <c r="O217" i="10"/>
  <c r="N217" i="10"/>
  <c r="M217" i="10"/>
  <c r="L217" i="10"/>
  <c r="R214" i="10"/>
  <c r="Q214" i="10"/>
  <c r="P214" i="10"/>
  <c r="O214" i="10"/>
  <c r="N214" i="10"/>
  <c r="M214" i="10"/>
  <c r="L214" i="10"/>
  <c r="R210" i="10"/>
  <c r="Q210" i="10"/>
  <c r="P210" i="10"/>
  <c r="O210" i="10"/>
  <c r="N210" i="10"/>
  <c r="L210" i="10"/>
  <c r="R207" i="10"/>
  <c r="Q207" i="10"/>
  <c r="P207" i="10"/>
  <c r="O207" i="10"/>
  <c r="N207" i="10"/>
  <c r="M207" i="10"/>
  <c r="L207" i="10"/>
  <c r="R204" i="10"/>
  <c r="Q204" i="10"/>
  <c r="P204" i="10"/>
  <c r="O204" i="10"/>
  <c r="M204" i="10"/>
  <c r="L204" i="10"/>
  <c r="AE3" i="8"/>
  <c r="AE40" i="8"/>
  <c r="AE76" i="8"/>
  <c r="AE146" i="8"/>
  <c r="AH112" i="8"/>
  <c r="AH109" i="8"/>
  <c r="AH80" i="8"/>
  <c r="AH70" i="8"/>
  <c r="AH63" i="8"/>
  <c r="AH43" i="8"/>
  <c r="AH103" i="8"/>
  <c r="AH31" i="8"/>
  <c r="AH21" i="8"/>
  <c r="W34" i="6"/>
  <c r="R34" i="6"/>
  <c r="M34" i="6"/>
  <c r="H34" i="6"/>
  <c r="C34" i="6"/>
  <c r="C9" i="5"/>
  <c r="AB9" i="5" s="1"/>
  <c r="B9" i="5"/>
  <c r="AA9" i="5" s="1"/>
  <c r="C6" i="4"/>
  <c r="Z6" i="4" s="1"/>
  <c r="BE9" i="8" s="1"/>
  <c r="X112" i="5" l="1"/>
  <c r="X118" i="5" s="1"/>
  <c r="W118" i="5"/>
  <c r="G56" i="9"/>
  <c r="G49" i="9"/>
  <c r="Q191" i="10"/>
  <c r="AV58" i="5"/>
  <c r="AW57" i="5"/>
  <c r="AW56" i="5"/>
  <c r="O191" i="10"/>
  <c r="AH9" i="8"/>
  <c r="AD11" i="8" s="1"/>
  <c r="D9" i="5"/>
  <c r="V60" i="11"/>
  <c r="S60" i="11"/>
  <c r="W60" i="11"/>
  <c r="R60" i="11"/>
  <c r="Q60" i="11"/>
  <c r="Z60" i="11"/>
  <c r="T60" i="11"/>
  <c r="X60" i="11"/>
  <c r="U60" i="11"/>
  <c r="Y60" i="11"/>
  <c r="R191" i="10"/>
  <c r="L191" i="10"/>
  <c r="P191" i="10"/>
  <c r="H49" i="9" l="1"/>
  <c r="H56" i="9"/>
  <c r="K11" i="10"/>
  <c r="AW58" i="5"/>
  <c r="E9" i="5"/>
  <c r="AC9" i="5"/>
  <c r="C157" i="5"/>
  <c r="C155" i="5"/>
  <c r="AB155" i="5" s="1"/>
  <c r="C154" i="5"/>
  <c r="D154" i="5" s="1"/>
  <c r="C153" i="5"/>
  <c r="D153" i="5" s="1"/>
  <c r="E153" i="5" s="1"/>
  <c r="B157" i="5"/>
  <c r="AA159" i="5" s="1"/>
  <c r="B155" i="5"/>
  <c r="AA155" i="5" s="1"/>
  <c r="B154" i="5"/>
  <c r="AA154" i="5" s="1"/>
  <c r="B153" i="5"/>
  <c r="AA153" i="5" s="1"/>
  <c r="C145" i="5"/>
  <c r="D147" i="5" s="1"/>
  <c r="B145" i="5"/>
  <c r="AA147" i="5" s="1"/>
  <c r="C143" i="5"/>
  <c r="AB143" i="5" s="1"/>
  <c r="B143" i="5"/>
  <c r="AA143" i="5" s="1"/>
  <c r="C125" i="5"/>
  <c r="D125" i="5" s="1"/>
  <c r="B125" i="5"/>
  <c r="Z157" i="5"/>
  <c r="Z153" i="5"/>
  <c r="Z145" i="5"/>
  <c r="Z143" i="5"/>
  <c r="C89" i="5"/>
  <c r="AB89" i="5" s="1"/>
  <c r="C86" i="5"/>
  <c r="B89" i="5"/>
  <c r="AA89" i="5" s="1"/>
  <c r="B86" i="5"/>
  <c r="AA86" i="5" s="1"/>
  <c r="Z89" i="5"/>
  <c r="Z86" i="5"/>
  <c r="I56" i="9" l="1"/>
  <c r="I49" i="9"/>
  <c r="D159" i="5"/>
  <c r="AC157" i="5" s="1"/>
  <c r="C166" i="5"/>
  <c r="AB86" i="5"/>
  <c r="AB88" i="5" s="1"/>
  <c r="C88" i="5"/>
  <c r="F9" i="5"/>
  <c r="AD9" i="5"/>
  <c r="AB154" i="5"/>
  <c r="E125" i="5"/>
  <c r="F125" i="5" s="1"/>
  <c r="G125" i="5" s="1"/>
  <c r="H125" i="5" s="1"/>
  <c r="I125" i="5" s="1"/>
  <c r="J125" i="5" s="1"/>
  <c r="K125" i="5" s="1"/>
  <c r="L125" i="5" s="1"/>
  <c r="M125" i="5" s="1"/>
  <c r="E147" i="5"/>
  <c r="E154" i="5"/>
  <c r="F154" i="5" s="1"/>
  <c r="AA158" i="5"/>
  <c r="AA145" i="5"/>
  <c r="AA146" i="5"/>
  <c r="AA157" i="5"/>
  <c r="F153" i="5"/>
  <c r="D155" i="5"/>
  <c r="AB145" i="5"/>
  <c r="D143" i="5"/>
  <c r="AB157" i="5"/>
  <c r="D89" i="5"/>
  <c r="E89" i="5" s="1"/>
  <c r="D86" i="5"/>
  <c r="D88" i="5" s="1"/>
  <c r="AC145" i="5"/>
  <c r="AC153" i="5"/>
  <c r="C156" i="5"/>
  <c r="C166" i="48" s="1"/>
  <c r="AB153" i="5"/>
  <c r="AB144" i="5"/>
  <c r="C144" i="5"/>
  <c r="C162" i="48" s="1"/>
  <c r="C148" i="5"/>
  <c r="D148" i="5"/>
  <c r="C90" i="5"/>
  <c r="AB90" i="5"/>
  <c r="AB112" i="5"/>
  <c r="C109" i="5"/>
  <c r="AA114" i="5"/>
  <c r="B109" i="5"/>
  <c r="AA111" i="5" s="1"/>
  <c r="C107" i="5"/>
  <c r="D107" i="5" s="1"/>
  <c r="C106" i="5"/>
  <c r="D106" i="5" s="1"/>
  <c r="C105" i="5"/>
  <c r="D105" i="5" s="1"/>
  <c r="C104" i="5"/>
  <c r="D104" i="5" s="1"/>
  <c r="C103" i="5"/>
  <c r="D103" i="5" s="1"/>
  <c r="C102" i="5"/>
  <c r="D102" i="5" s="1"/>
  <c r="C42" i="5"/>
  <c r="D42" i="5" s="1"/>
  <c r="C40" i="5"/>
  <c r="D40" i="5" s="1"/>
  <c r="E40" i="5" s="1"/>
  <c r="C10" i="5"/>
  <c r="D10" i="5" s="1"/>
  <c r="E10" i="5" s="1"/>
  <c r="F10" i="5" s="1"/>
  <c r="C8" i="5"/>
  <c r="D8" i="5" s="1"/>
  <c r="E8" i="5" s="1"/>
  <c r="C7" i="5"/>
  <c r="D7" i="5" s="1"/>
  <c r="E7" i="5" s="1"/>
  <c r="F7" i="5" s="1"/>
  <c r="C6" i="5"/>
  <c r="D6" i="5" s="1"/>
  <c r="E6" i="5" s="1"/>
  <c r="C5" i="5"/>
  <c r="D5" i="5" s="1"/>
  <c r="E5" i="5" s="1"/>
  <c r="C99" i="5"/>
  <c r="C101" i="5" s="1"/>
  <c r="B107" i="5"/>
  <c r="B106" i="5"/>
  <c r="AA106" i="5" s="1"/>
  <c r="B105" i="5"/>
  <c r="B104" i="5"/>
  <c r="B103" i="5"/>
  <c r="B102" i="5"/>
  <c r="BI45" i="5"/>
  <c r="BI44" i="5"/>
  <c r="BI43" i="5"/>
  <c r="BI42" i="5"/>
  <c r="BI41" i="5"/>
  <c r="BI40" i="5"/>
  <c r="C91" i="5"/>
  <c r="D93" i="5" s="1"/>
  <c r="B91" i="5"/>
  <c r="AA93" i="5" s="1"/>
  <c r="AA92" i="5" s="1"/>
  <c r="Z91" i="5"/>
  <c r="C53" i="5"/>
  <c r="C50" i="5"/>
  <c r="C47" i="5"/>
  <c r="D49" i="5" s="1"/>
  <c r="E49" i="5" s="1"/>
  <c r="C44" i="5"/>
  <c r="B53" i="5"/>
  <c r="B50" i="5"/>
  <c r="AA52" i="5" s="1"/>
  <c r="AA51" i="5" s="1"/>
  <c r="B47" i="5"/>
  <c r="AA49" i="5" s="1"/>
  <c r="B44" i="5"/>
  <c r="AA46" i="5" s="1"/>
  <c r="AA44" i="5" s="1"/>
  <c r="B42" i="5"/>
  <c r="B40" i="5"/>
  <c r="C70" i="4"/>
  <c r="Z70" i="4" s="1"/>
  <c r="BE77" i="8" s="1"/>
  <c r="C69" i="4"/>
  <c r="Z69" i="4" s="1"/>
  <c r="BE76" i="8" s="1"/>
  <c r="C68" i="4"/>
  <c r="Z68" i="4" s="1"/>
  <c r="BE75" i="8" s="1"/>
  <c r="C67" i="4"/>
  <c r="Z67" i="4" s="1"/>
  <c r="C66" i="4"/>
  <c r="Z66" i="4" s="1"/>
  <c r="C65" i="4"/>
  <c r="Z65" i="4" s="1"/>
  <c r="C32" i="4"/>
  <c r="Z32" i="4" s="1"/>
  <c r="BE38" i="8" s="1"/>
  <c r="C31" i="4"/>
  <c r="Z31" i="4" s="1"/>
  <c r="BE37" i="8" s="1"/>
  <c r="C30" i="4"/>
  <c r="Z30" i="4" s="1"/>
  <c r="BE36" i="8" s="1"/>
  <c r="C29" i="4"/>
  <c r="Z29" i="4" s="1"/>
  <c r="BE35" i="8" s="1"/>
  <c r="C28" i="4"/>
  <c r="Z28" i="4" s="1"/>
  <c r="C27" i="4"/>
  <c r="Z27" i="4" s="1"/>
  <c r="C26" i="4"/>
  <c r="Z26" i="4" s="1"/>
  <c r="AA125" i="5"/>
  <c r="Z125" i="5"/>
  <c r="D14" i="5"/>
  <c r="B12" i="5"/>
  <c r="AA14" i="5" s="1"/>
  <c r="B10" i="5"/>
  <c r="B8" i="5"/>
  <c r="AA8" i="5" s="1"/>
  <c r="B7" i="5"/>
  <c r="B6" i="5"/>
  <c r="B5" i="5"/>
  <c r="C101" i="4"/>
  <c r="Z101" i="4" s="1"/>
  <c r="BE111" i="8" s="1"/>
  <c r="Z98" i="4"/>
  <c r="BE108" i="8" s="1"/>
  <c r="C94" i="4"/>
  <c r="Z94" i="4" s="1"/>
  <c r="BE102" i="8" s="1"/>
  <c r="BE101" i="8"/>
  <c r="C93" i="4"/>
  <c r="Z93" i="4" s="1"/>
  <c r="BE100" i="8" s="1"/>
  <c r="C92" i="4"/>
  <c r="Z92" i="4" s="1"/>
  <c r="BE99" i="8" s="1"/>
  <c r="C63" i="4"/>
  <c r="Z63" i="4" s="1"/>
  <c r="BE69" i="8" s="1"/>
  <c r="C62" i="4"/>
  <c r="Z62" i="4" s="1"/>
  <c r="BE68" i="8" s="1"/>
  <c r="C61" i="4"/>
  <c r="Z61" i="4" s="1"/>
  <c r="BE67" i="8" s="1"/>
  <c r="C60" i="4"/>
  <c r="Z60" i="4" s="1"/>
  <c r="BE66" i="8" s="1"/>
  <c r="C59" i="4"/>
  <c r="Z59" i="4" s="1"/>
  <c r="BE65" i="8" s="1"/>
  <c r="C58" i="4"/>
  <c r="Z58" i="4" s="1"/>
  <c r="BE64" i="8" s="1"/>
  <c r="C55" i="4"/>
  <c r="Z55" i="4" s="1"/>
  <c r="BE61" i="8" s="1"/>
  <c r="C24" i="4"/>
  <c r="Z24" i="4" s="1"/>
  <c r="BE29" i="8" s="1"/>
  <c r="C22" i="4"/>
  <c r="Z22" i="4" s="1"/>
  <c r="BE27" i="8" s="1"/>
  <c r="C11" i="4"/>
  <c r="Z11" i="4" s="1"/>
  <c r="BE14" i="8" s="1"/>
  <c r="C9" i="4"/>
  <c r="Z9" i="4" s="1"/>
  <c r="BE12" i="8" s="1"/>
  <c r="C8" i="4"/>
  <c r="Z8" i="4" s="1"/>
  <c r="BE11" i="8" s="1"/>
  <c r="C7" i="4"/>
  <c r="Z7" i="4" s="1"/>
  <c r="BE10" i="8" s="1"/>
  <c r="C5" i="4"/>
  <c r="Z5" i="4" s="1"/>
  <c r="BE8" i="8" s="1"/>
  <c r="C4" i="4"/>
  <c r="Z4" i="4" s="1"/>
  <c r="BE7" i="8" s="1"/>
  <c r="AN75" i="4"/>
  <c r="AJ75" i="4"/>
  <c r="AJ74" i="4"/>
  <c r="AF74" i="4"/>
  <c r="AL73" i="4"/>
  <c r="AF73" i="4"/>
  <c r="AN72" i="4"/>
  <c r="AJ72" i="4"/>
  <c r="AF72" i="4"/>
  <c r="AN71" i="4"/>
  <c r="AJ71" i="4"/>
  <c r="AF71" i="4"/>
  <c r="AG70" i="4"/>
  <c r="AH70" i="4"/>
  <c r="AE70" i="4"/>
  <c r="AL69" i="4"/>
  <c r="AM69" i="4"/>
  <c r="AN68" i="4"/>
  <c r="AB76" i="4"/>
  <c r="AB75" i="4"/>
  <c r="AB74" i="4"/>
  <c r="AB73" i="4"/>
  <c r="AB72" i="4"/>
  <c r="AB71" i="4"/>
  <c r="AB70" i="4"/>
  <c r="AB69" i="4"/>
  <c r="AB68" i="4"/>
  <c r="AI64" i="4"/>
  <c r="AI75" i="4" s="1"/>
  <c r="BE32" i="8" l="1"/>
  <c r="BE72" i="8"/>
  <c r="BE33" i="8"/>
  <c r="BE73" i="8"/>
  <c r="BE74" i="8"/>
  <c r="BE34" i="8"/>
  <c r="AC13" i="5"/>
  <c r="D33" i="5"/>
  <c r="AF113" i="5"/>
  <c r="AG113" i="5"/>
  <c r="C146" i="11"/>
  <c r="C150" i="48"/>
  <c r="D146" i="11"/>
  <c r="D150" i="48"/>
  <c r="C155" i="11"/>
  <c r="C149" i="5"/>
  <c r="J49" i="9"/>
  <c r="J56" i="9"/>
  <c r="D111" i="5"/>
  <c r="C118" i="5"/>
  <c r="C65" i="5"/>
  <c r="E159" i="5"/>
  <c r="AD157" i="5" s="1"/>
  <c r="D166" i="5"/>
  <c r="D46" i="5"/>
  <c r="E46" i="5" s="1"/>
  <c r="AH11" i="8"/>
  <c r="AD18" i="8" s="1"/>
  <c r="AH12" i="8"/>
  <c r="AD12" i="8" s="1"/>
  <c r="AH68" i="8"/>
  <c r="AD96" i="8" s="1"/>
  <c r="AH10" i="8"/>
  <c r="AD29" i="8" s="1"/>
  <c r="D52" i="5"/>
  <c r="E52" i="5" s="1"/>
  <c r="F49" i="5"/>
  <c r="AD48" i="5"/>
  <c r="D55" i="5"/>
  <c r="E55" i="5" s="1"/>
  <c r="AA47" i="5"/>
  <c r="E148" i="5"/>
  <c r="AD146" i="5"/>
  <c r="E93" i="5"/>
  <c r="AD92" i="5" s="1"/>
  <c r="AC92" i="5"/>
  <c r="AH65" i="8"/>
  <c r="AD93" i="8" s="1"/>
  <c r="AH32" i="8"/>
  <c r="AH72" i="8"/>
  <c r="AH66" i="8"/>
  <c r="AD116" i="8" s="1"/>
  <c r="AH76" i="8"/>
  <c r="AH37" i="8"/>
  <c r="AH61" i="8"/>
  <c r="AD105" i="8" s="1"/>
  <c r="AH67" i="8"/>
  <c r="AD95" i="8" s="1"/>
  <c r="AH100" i="8"/>
  <c r="AD158" i="8" s="1"/>
  <c r="AH111" i="8"/>
  <c r="AH34" i="8"/>
  <c r="AH74" i="8"/>
  <c r="AH38" i="8"/>
  <c r="AH77" i="8"/>
  <c r="AH27" i="8"/>
  <c r="AD47" i="8" s="1"/>
  <c r="AH102" i="8"/>
  <c r="AD159" i="8" s="1"/>
  <c r="AH29" i="8"/>
  <c r="AD65" i="8" s="1"/>
  <c r="AH99" i="8"/>
  <c r="AD157" i="8" s="1"/>
  <c r="AH73" i="8"/>
  <c r="AH33" i="8"/>
  <c r="AH101" i="8"/>
  <c r="AH35" i="8"/>
  <c r="AH69" i="8"/>
  <c r="AD97" i="8" s="1"/>
  <c r="AH36" i="8"/>
  <c r="AH75" i="8"/>
  <c r="AH64" i="8"/>
  <c r="AD115" i="8" s="1"/>
  <c r="AB156" i="5"/>
  <c r="G9" i="5"/>
  <c r="AE9" i="5"/>
  <c r="AD145" i="5"/>
  <c r="E105" i="5"/>
  <c r="F105" i="5" s="1"/>
  <c r="G105" i="5" s="1"/>
  <c r="E102" i="5"/>
  <c r="F102" i="5" s="1"/>
  <c r="G102" i="5" s="1"/>
  <c r="E106" i="5"/>
  <c r="E143" i="5"/>
  <c r="F143" i="5" s="1"/>
  <c r="G143" i="5" s="1"/>
  <c r="E155" i="5"/>
  <c r="F155" i="5" s="1"/>
  <c r="G155" i="5" s="1"/>
  <c r="H155" i="5" s="1"/>
  <c r="I155" i="5" s="1"/>
  <c r="E14" i="5"/>
  <c r="E33" i="5" s="1"/>
  <c r="E42" i="5"/>
  <c r="F42" i="5" s="1"/>
  <c r="G42" i="5" s="1"/>
  <c r="H42" i="5" s="1"/>
  <c r="E103" i="5"/>
  <c r="F103" i="5" s="1"/>
  <c r="E107" i="5"/>
  <c r="F107" i="5" s="1"/>
  <c r="G107" i="5" s="1"/>
  <c r="H107" i="5" s="1"/>
  <c r="I107" i="5" s="1"/>
  <c r="J107" i="5" s="1"/>
  <c r="K107" i="5" s="1"/>
  <c r="L107" i="5" s="1"/>
  <c r="M107" i="5" s="1"/>
  <c r="E104" i="5"/>
  <c r="F104" i="5" s="1"/>
  <c r="G104" i="5" s="1"/>
  <c r="H104" i="5" s="1"/>
  <c r="C167" i="5"/>
  <c r="C158" i="11"/>
  <c r="D99" i="5"/>
  <c r="AC143" i="5"/>
  <c r="AC155" i="5"/>
  <c r="D156" i="5"/>
  <c r="D144" i="5"/>
  <c r="D162" i="48" s="1"/>
  <c r="D90" i="5"/>
  <c r="AC154" i="5"/>
  <c r="AC89" i="5"/>
  <c r="AC90" i="5" s="1"/>
  <c r="AC86" i="5"/>
  <c r="AA110" i="5"/>
  <c r="AA109" i="5"/>
  <c r="AA113" i="5"/>
  <c r="AA112" i="5"/>
  <c r="AB109" i="5"/>
  <c r="AB8" i="5"/>
  <c r="AC8" i="5"/>
  <c r="AC106" i="5"/>
  <c r="AA91" i="5"/>
  <c r="C94" i="5"/>
  <c r="C95" i="5" s="1"/>
  <c r="AB91" i="5"/>
  <c r="AC91" i="5"/>
  <c r="AA13" i="5"/>
  <c r="AA12" i="5"/>
  <c r="AB47" i="5"/>
  <c r="AB44" i="5"/>
  <c r="AB50" i="5"/>
  <c r="AA50" i="5"/>
  <c r="AA48" i="5"/>
  <c r="AA45" i="5"/>
  <c r="C126" i="5"/>
  <c r="C158" i="48" s="1"/>
  <c r="AB125" i="5"/>
  <c r="AC12" i="5"/>
  <c r="AI74" i="4"/>
  <c r="AI76" i="4"/>
  <c r="AI68" i="4"/>
  <c r="AI71" i="4"/>
  <c r="AD71" i="4" s="1"/>
  <c r="AI72" i="4"/>
  <c r="AD72" i="4" s="1"/>
  <c r="AD70" i="4"/>
  <c r="AH61" i="4"/>
  <c r="AJ60" i="4"/>
  <c r="AM61" i="4"/>
  <c r="AL61" i="4"/>
  <c r="AK61" i="4"/>
  <c r="AC93" i="5" l="1"/>
  <c r="AC94" i="5" s="1"/>
  <c r="AC44" i="5"/>
  <c r="D158" i="11"/>
  <c r="D166" i="48"/>
  <c r="AC109" i="5"/>
  <c r="AC110" i="5"/>
  <c r="AC144" i="5"/>
  <c r="D155" i="11"/>
  <c r="D149" i="5"/>
  <c r="C137" i="5"/>
  <c r="C152" i="11"/>
  <c r="AC88" i="5"/>
  <c r="C71" i="9"/>
  <c r="C69" i="9"/>
  <c r="K56" i="9"/>
  <c r="K49" i="9"/>
  <c r="E111" i="5"/>
  <c r="AD110" i="5" s="1"/>
  <c r="AC14" i="5"/>
  <c r="AC33" i="5" s="1"/>
  <c r="E65" i="5"/>
  <c r="D118" i="5"/>
  <c r="D65" i="5"/>
  <c r="E166" i="5"/>
  <c r="AD158" i="5"/>
  <c r="AD159" i="5" s="1"/>
  <c r="AD166" i="5" s="1"/>
  <c r="F159" i="5"/>
  <c r="E99" i="5"/>
  <c r="E101" i="5" s="1"/>
  <c r="D101" i="5"/>
  <c r="AC50" i="5"/>
  <c r="K157" i="10"/>
  <c r="K159" i="10"/>
  <c r="K95" i="10"/>
  <c r="K116" i="10"/>
  <c r="K96" i="10"/>
  <c r="K97" i="10"/>
  <c r="K105" i="10"/>
  <c r="K93" i="10"/>
  <c r="K18" i="10"/>
  <c r="K115" i="10"/>
  <c r="K29" i="10"/>
  <c r="K65" i="10"/>
  <c r="K47" i="10"/>
  <c r="K158" i="10"/>
  <c r="K12" i="10"/>
  <c r="F106" i="5"/>
  <c r="AD106" i="5"/>
  <c r="AD45" i="5"/>
  <c r="AC45" i="5"/>
  <c r="AD13" i="5"/>
  <c r="AD44" i="5"/>
  <c r="G49" i="5"/>
  <c r="AF48" i="5" s="1"/>
  <c r="AE48" i="5"/>
  <c r="AC54" i="5"/>
  <c r="AC51" i="5"/>
  <c r="F55" i="5"/>
  <c r="AD54" i="5"/>
  <c r="F52" i="5"/>
  <c r="AD51" i="5"/>
  <c r="F46" i="5"/>
  <c r="F14" i="5"/>
  <c r="F33" i="5" s="1"/>
  <c r="AC48" i="5"/>
  <c r="AD50" i="5"/>
  <c r="H9" i="5"/>
  <c r="AG9" i="5" s="1"/>
  <c r="AF9" i="5"/>
  <c r="J155" i="5"/>
  <c r="K155" i="5" s="1"/>
  <c r="L155" i="5" s="1"/>
  <c r="M155" i="5" s="1"/>
  <c r="AC112" i="5"/>
  <c r="AD113" i="5"/>
  <c r="D167" i="5"/>
  <c r="E156" i="5"/>
  <c r="AC156" i="5"/>
  <c r="AD153" i="5"/>
  <c r="AD155" i="5"/>
  <c r="AD89" i="5"/>
  <c r="AD90" i="5" s="1"/>
  <c r="E90" i="5"/>
  <c r="AD12" i="5"/>
  <c r="AB48" i="5"/>
  <c r="AB49" i="5" s="1"/>
  <c r="D94" i="5"/>
  <c r="D95" i="5" s="1"/>
  <c r="F93" i="5"/>
  <c r="AE92" i="5" s="1"/>
  <c r="AC47" i="5"/>
  <c r="AB126" i="5"/>
  <c r="AB137" i="5" s="1"/>
  <c r="D126" i="5"/>
  <c r="D158" i="48" s="1"/>
  <c r="AC125" i="5"/>
  <c r="AD8" i="5"/>
  <c r="AC46" i="5" l="1"/>
  <c r="E158" i="11"/>
  <c r="E166" i="48"/>
  <c r="AC126" i="5"/>
  <c r="AC137" i="5" s="1"/>
  <c r="D137" i="5"/>
  <c r="D152" i="11"/>
  <c r="AE12" i="5"/>
  <c r="L49" i="9"/>
  <c r="L56" i="9"/>
  <c r="E118" i="5"/>
  <c r="F111" i="5"/>
  <c r="F118" i="5" s="1"/>
  <c r="AD109" i="5"/>
  <c r="F65" i="5"/>
  <c r="F166" i="5"/>
  <c r="AE158" i="5"/>
  <c r="G159" i="5"/>
  <c r="AC52" i="5"/>
  <c r="AD14" i="5"/>
  <c r="AD33" i="5" s="1"/>
  <c r="AD46" i="5"/>
  <c r="G106" i="5"/>
  <c r="AF106" i="5" s="1"/>
  <c r="AE106" i="5"/>
  <c r="AE45" i="5"/>
  <c r="AE13" i="5"/>
  <c r="AE14" i="5" s="1"/>
  <c r="AE33" i="5" s="1"/>
  <c r="AC49" i="5"/>
  <c r="G55" i="5"/>
  <c r="AF54" i="5" s="1"/>
  <c r="AE54" i="5"/>
  <c r="G52" i="5"/>
  <c r="AE51" i="5"/>
  <c r="AD52" i="5"/>
  <c r="AE50" i="5"/>
  <c r="AE113" i="5"/>
  <c r="AE44" i="5"/>
  <c r="AB158" i="5"/>
  <c r="AB159" i="5" s="1"/>
  <c r="AB166" i="5" s="1"/>
  <c r="AB167" i="5" s="1"/>
  <c r="AC158" i="5"/>
  <c r="AC159" i="5" s="1"/>
  <c r="AC166" i="5" s="1"/>
  <c r="AC167" i="5" s="1"/>
  <c r="E167" i="5"/>
  <c r="F156" i="5"/>
  <c r="E144" i="5"/>
  <c r="E162" i="48" s="1"/>
  <c r="AD143" i="5"/>
  <c r="AD154" i="5"/>
  <c r="AD156" i="5" s="1"/>
  <c r="AD167" i="5" s="1"/>
  <c r="AE155" i="5"/>
  <c r="AE153" i="5"/>
  <c r="F144" i="5"/>
  <c r="F162" i="48" s="1"/>
  <c r="AE143" i="5"/>
  <c r="AD112" i="5"/>
  <c r="AE112" i="5"/>
  <c r="AC114" i="5"/>
  <c r="AC118" i="5" s="1"/>
  <c r="AB113" i="5"/>
  <c r="AB114" i="5" s="1"/>
  <c r="AB118" i="5" s="1"/>
  <c r="AD91" i="5"/>
  <c r="AD93" i="5" s="1"/>
  <c r="F158" i="11" l="1"/>
  <c r="F166" i="48"/>
  <c r="AD144" i="5"/>
  <c r="AD114" i="5"/>
  <c r="AD118" i="5" s="1"/>
  <c r="AD94" i="5"/>
  <c r="AE109" i="5"/>
  <c r="F155" i="11"/>
  <c r="E155" i="11"/>
  <c r="E149" i="5"/>
  <c r="M56" i="9"/>
  <c r="M49" i="9"/>
  <c r="G111" i="5"/>
  <c r="AF110" i="5" s="1"/>
  <c r="AE110" i="5"/>
  <c r="G166" i="5"/>
  <c r="AF158" i="5"/>
  <c r="H159" i="5"/>
  <c r="AF51" i="5"/>
  <c r="AE114" i="5"/>
  <c r="AE118" i="5" s="1"/>
  <c r="AE46" i="5"/>
  <c r="AE52" i="5"/>
  <c r="F99" i="5"/>
  <c r="F101" i="5" s="1"/>
  <c r="AE154" i="5"/>
  <c r="AE156" i="5" s="1"/>
  <c r="AF155" i="5"/>
  <c r="AE144" i="5"/>
  <c r="G144" i="5"/>
  <c r="G162" i="48" s="1"/>
  <c r="AF143" i="5"/>
  <c r="E94" i="5"/>
  <c r="AE91" i="5"/>
  <c r="AE93" i="5" s="1"/>
  <c r="AE94" i="5" s="1"/>
  <c r="AD47" i="5"/>
  <c r="AD125" i="5"/>
  <c r="E126" i="5"/>
  <c r="E158" i="48" s="1"/>
  <c r="AD126" i="5" l="1"/>
  <c r="AD137" i="5" s="1"/>
  <c r="AF109" i="5"/>
  <c r="G155" i="11"/>
  <c r="E137" i="5"/>
  <c r="E152" i="11"/>
  <c r="N49" i="9"/>
  <c r="N56" i="9"/>
  <c r="H166" i="5"/>
  <c r="AG158" i="5"/>
  <c r="AD49" i="5"/>
  <c r="F94" i="5"/>
  <c r="G99" i="5"/>
  <c r="G101" i="5" s="1"/>
  <c r="AF144" i="5"/>
  <c r="AG155" i="5"/>
  <c r="AE47" i="5"/>
  <c r="F126" i="5"/>
  <c r="F158" i="48" s="1"/>
  <c r="AE125" i="5"/>
  <c r="AE126" i="5" l="1"/>
  <c r="AE137" i="5" s="1"/>
  <c r="F137" i="5"/>
  <c r="F152" i="11"/>
  <c r="O56" i="9"/>
  <c r="O49" i="9"/>
  <c r="AF114" i="5"/>
  <c r="AF118" i="5" s="1"/>
  <c r="AE49" i="5"/>
  <c r="H99" i="5"/>
  <c r="H101" i="5" s="1"/>
  <c r="AH155" i="5"/>
  <c r="G126" i="5"/>
  <c r="G158" i="48" s="1"/>
  <c r="AF125" i="5"/>
  <c r="AF126" i="5" l="1"/>
  <c r="AF137" i="5" s="1"/>
  <c r="G137" i="5"/>
  <c r="G152" i="11"/>
  <c r="P49" i="9"/>
  <c r="P56" i="9"/>
  <c r="AI155" i="5"/>
  <c r="AG125" i="5"/>
  <c r="H126" i="5"/>
  <c r="H158" i="48" s="1"/>
  <c r="AG126" i="5" l="1"/>
  <c r="AG137" i="5" s="1"/>
  <c r="H137" i="5"/>
  <c r="H152" i="11"/>
  <c r="Q56" i="9"/>
  <c r="Q49" i="9"/>
  <c r="AJ155" i="5"/>
  <c r="I126" i="5"/>
  <c r="I158" i="48" s="1"/>
  <c r="AH125" i="5"/>
  <c r="AH126" i="5" l="1"/>
  <c r="AH137" i="5" s="1"/>
  <c r="I137" i="5"/>
  <c r="I152" i="11"/>
  <c r="R49" i="9"/>
  <c r="R56" i="9"/>
  <c r="AK155" i="5"/>
  <c r="J126" i="5"/>
  <c r="J158" i="48" s="1"/>
  <c r="AI125" i="5"/>
  <c r="AI126" i="5" l="1"/>
  <c r="AI137" i="5" s="1"/>
  <c r="J137" i="5"/>
  <c r="J152" i="11"/>
  <c r="S56" i="9"/>
  <c r="S49" i="9"/>
  <c r="AL155" i="5"/>
  <c r="K126" i="5"/>
  <c r="K158" i="48" s="1"/>
  <c r="AJ125" i="5"/>
  <c r="AJ126" i="5" l="1"/>
  <c r="AJ137" i="5" s="1"/>
  <c r="K137" i="5"/>
  <c r="K152" i="11"/>
  <c r="T49" i="9"/>
  <c r="T56" i="9"/>
  <c r="L126" i="5"/>
  <c r="L158" i="48" s="1"/>
  <c r="AK125" i="5"/>
  <c r="AK126" i="5" l="1"/>
  <c r="AK137" i="5" s="1"/>
  <c r="L137" i="5"/>
  <c r="L152" i="11"/>
  <c r="U56" i="9"/>
  <c r="U49" i="9"/>
  <c r="AL125" i="5"/>
  <c r="M126" i="5"/>
  <c r="M158" i="48" s="1"/>
  <c r="AL126" i="5" l="1"/>
  <c r="AL137" i="5" s="1"/>
  <c r="M137" i="5"/>
  <c r="M152" i="11"/>
  <c r="V49" i="9"/>
  <c r="V56" i="9"/>
  <c r="W56" i="9" l="1"/>
  <c r="W49" i="9"/>
  <c r="G236" i="8"/>
  <c r="G234" i="8"/>
  <c r="G232" i="8"/>
  <c r="G230" i="8"/>
  <c r="G229" i="8"/>
  <c r="G227" i="8"/>
  <c r="G226" i="8"/>
  <c r="G225" i="8"/>
  <c r="G184" i="8"/>
  <c r="G183" i="8"/>
  <c r="G182" i="8"/>
  <c r="G181" i="8"/>
  <c r="G180" i="8"/>
  <c r="G179" i="8"/>
  <c r="G178" i="8"/>
  <c r="G176" i="8"/>
  <c r="G175" i="8"/>
  <c r="G174" i="8"/>
  <c r="G218" i="8"/>
  <c r="G216" i="8"/>
  <c r="G214" i="8" s="1"/>
  <c r="G195" i="8"/>
  <c r="G193" i="8"/>
  <c r="G192" i="8"/>
  <c r="G213" i="8"/>
  <c r="G168" i="8"/>
  <c r="G167" i="8"/>
  <c r="G166" i="8"/>
  <c r="G165" i="8"/>
  <c r="G164" i="8"/>
  <c r="G163" i="8"/>
  <c r="G162" i="8"/>
  <c r="G160" i="8"/>
  <c r="G152" i="8"/>
  <c r="G151" i="8"/>
  <c r="G150" i="8"/>
  <c r="G142" i="8"/>
  <c r="G139" i="8"/>
  <c r="G138" i="8"/>
  <c r="G136" i="8"/>
  <c r="G135" i="8"/>
  <c r="G134" i="8"/>
  <c r="G130" i="8"/>
  <c r="G128" i="8"/>
  <c r="G127" i="8"/>
  <c r="G126" i="8"/>
  <c r="G125" i="8"/>
  <c r="G124" i="8"/>
  <c r="G123" i="8"/>
  <c r="G122" i="8"/>
  <c r="G120" i="8"/>
  <c r="G119" i="8"/>
  <c r="G118" i="8"/>
  <c r="G117" i="8"/>
  <c r="G114" i="8"/>
  <c r="G113" i="8"/>
  <c r="G112" i="8"/>
  <c r="G111" i="8"/>
  <c r="G110" i="8"/>
  <c r="G109" i="8"/>
  <c r="G104" i="8"/>
  <c r="G103" i="8"/>
  <c r="G102" i="8"/>
  <c r="G100" i="8"/>
  <c r="G99" i="8"/>
  <c r="G98" i="8"/>
  <c r="G94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3" i="8"/>
  <c r="G72" i="8"/>
  <c r="G71" i="8"/>
  <c r="G70" i="8"/>
  <c r="G69" i="8"/>
  <c r="G68" i="8"/>
  <c r="G64" i="8"/>
  <c r="G63" i="8"/>
  <c r="G62" i="8"/>
  <c r="G61" i="8"/>
  <c r="G60" i="8"/>
  <c r="G59" i="8"/>
  <c r="G58" i="8"/>
  <c r="G57" i="8"/>
  <c r="G53" i="8"/>
  <c r="G52" i="8"/>
  <c r="G49" i="8"/>
  <c r="G45" i="8"/>
  <c r="G44" i="8"/>
  <c r="G161" i="8" l="1"/>
  <c r="K174" i="2" l="1"/>
  <c r="J174" i="2"/>
  <c r="J167" i="2" l="1"/>
  <c r="K164" i="2" l="1"/>
  <c r="J164" i="2"/>
  <c r="K207" i="2" l="1"/>
  <c r="J207" i="2"/>
  <c r="K203" i="2"/>
  <c r="J203" i="2"/>
  <c r="K210" i="2" l="1"/>
  <c r="J210" i="2"/>
  <c r="K212" i="2"/>
  <c r="J212" i="2"/>
  <c r="K214" i="2"/>
  <c r="J214" i="2"/>
  <c r="K142" i="2" l="1"/>
  <c r="J142" i="2"/>
  <c r="K132" i="2"/>
  <c r="J132" i="2"/>
  <c r="K50" i="2"/>
  <c r="J50" i="2"/>
  <c r="J37" i="2" l="1"/>
  <c r="K37" i="2"/>
  <c r="K131" i="2"/>
  <c r="J131" i="2"/>
  <c r="G37" i="8" l="1"/>
  <c r="G36" i="8"/>
  <c r="G35" i="8"/>
  <c r="G34" i="8"/>
  <c r="G33" i="8"/>
  <c r="G32" i="8"/>
  <c r="G31" i="8"/>
  <c r="G30" i="8"/>
  <c r="G27" i="8"/>
  <c r="G26" i="8"/>
  <c r="G25" i="8"/>
  <c r="G24" i="8"/>
  <c r="G20" i="8"/>
  <c r="G17" i="8"/>
  <c r="G16" i="8"/>
  <c r="G15" i="8"/>
  <c r="G14" i="8"/>
  <c r="G13" i="8"/>
  <c r="AF51" i="3"/>
  <c r="AF50" i="3"/>
  <c r="AF49" i="3"/>
  <c r="AF48" i="3"/>
  <c r="AF47" i="3"/>
  <c r="AF46" i="3"/>
  <c r="AF45" i="3"/>
  <c r="AF44" i="3"/>
  <c r="AF43" i="3"/>
  <c r="Z50" i="3" l="1"/>
  <c r="AH49" i="3"/>
  <c r="AJ49" i="3" s="1"/>
  <c r="AI49" i="3"/>
  <c r="AA44" i="3"/>
  <c r="Z52" i="3"/>
  <c r="Z51" i="3"/>
  <c r="Z49" i="3"/>
  <c r="Z48" i="3"/>
  <c r="Z47" i="3"/>
  <c r="Z46" i="3"/>
  <c r="Z45" i="3"/>
  <c r="Z44" i="3"/>
  <c r="Z69" i="3" s="1"/>
  <c r="AA47" i="3"/>
  <c r="AK49" i="3" l="1"/>
  <c r="AL49" i="3" s="1"/>
  <c r="G46" i="5"/>
  <c r="AA45" i="3"/>
  <c r="G93" i="5"/>
  <c r="AA51" i="3"/>
  <c r="H52" i="5" s="1"/>
  <c r="AA50" i="3"/>
  <c r="H111" i="5" s="1"/>
  <c r="AA49" i="3"/>
  <c r="F147" i="5" s="1"/>
  <c r="AE146" i="5" s="1"/>
  <c r="AA46" i="3"/>
  <c r="G14" i="5" s="1"/>
  <c r="AA48" i="3"/>
  <c r="H49" i="5" s="1"/>
  <c r="AA52" i="3"/>
  <c r="K107" i="2"/>
  <c r="K71" i="2" s="1"/>
  <c r="J107" i="2"/>
  <c r="K96" i="2"/>
  <c r="J96" i="2"/>
  <c r="AA69" i="3" l="1"/>
  <c r="H14" i="5"/>
  <c r="AF12" i="5"/>
  <c r="G33" i="5"/>
  <c r="AF13" i="5"/>
  <c r="G65" i="5"/>
  <c r="AF44" i="5"/>
  <c r="AF45" i="5"/>
  <c r="AF92" i="5"/>
  <c r="AF93" i="5" s="1"/>
  <c r="AF94" i="5" s="1"/>
  <c r="AF91" i="5"/>
  <c r="AG47" i="5"/>
  <c r="AG48" i="5"/>
  <c r="AG50" i="5"/>
  <c r="AG51" i="5"/>
  <c r="AG110" i="5"/>
  <c r="AG109" i="5"/>
  <c r="I157" i="5"/>
  <c r="H55" i="5"/>
  <c r="I50" i="5"/>
  <c r="I109" i="5"/>
  <c r="AH113" i="5"/>
  <c r="AE145" i="5"/>
  <c r="F148" i="5"/>
  <c r="F149" i="5" s="1"/>
  <c r="G147" i="5"/>
  <c r="AF47" i="5"/>
  <c r="H46" i="5"/>
  <c r="AF50" i="5"/>
  <c r="AE157" i="5"/>
  <c r="AE159" i="5" s="1"/>
  <c r="AE166" i="5" s="1"/>
  <c r="AE167" i="5" s="1"/>
  <c r="F167" i="5"/>
  <c r="H93" i="5"/>
  <c r="G94" i="5"/>
  <c r="J71" i="2"/>
  <c r="J4" i="2"/>
  <c r="K4" i="2"/>
  <c r="AH157" i="5" l="1"/>
  <c r="AH158" i="5"/>
  <c r="AG12" i="5"/>
  <c r="AG13" i="5"/>
  <c r="AH51" i="5"/>
  <c r="AH50" i="5"/>
  <c r="AF146" i="5"/>
  <c r="AF145" i="5"/>
  <c r="AG91" i="5"/>
  <c r="AG92" i="5"/>
  <c r="AG45" i="5"/>
  <c r="AG44" i="5"/>
  <c r="I53" i="5"/>
  <c r="J55" i="5" s="1"/>
  <c r="AG53" i="5"/>
  <c r="AF52" i="5"/>
  <c r="H65" i="5"/>
  <c r="AH110" i="5"/>
  <c r="I166" i="5"/>
  <c r="J159" i="5"/>
  <c r="AI158" i="5" s="1"/>
  <c r="AG56" i="5"/>
  <c r="AG57" i="5"/>
  <c r="AF46" i="5"/>
  <c r="J52" i="5"/>
  <c r="AF49" i="5"/>
  <c r="AG114" i="5"/>
  <c r="AG118" i="5" s="1"/>
  <c r="J111" i="5"/>
  <c r="AH109" i="5"/>
  <c r="AI113" i="5"/>
  <c r="AH112" i="5"/>
  <c r="H147" i="5"/>
  <c r="G148" i="5"/>
  <c r="G149" i="5" s="1"/>
  <c r="I44" i="5"/>
  <c r="I47" i="5"/>
  <c r="H33" i="5"/>
  <c r="AF157" i="5"/>
  <c r="AF159" i="5" s="1"/>
  <c r="AF166" i="5" s="1"/>
  <c r="I91" i="5"/>
  <c r="AH92" i="5" s="1"/>
  <c r="H94" i="5"/>
  <c r="H53" i="1"/>
  <c r="H44" i="1"/>
  <c r="H50" i="1" s="1"/>
  <c r="H32" i="1"/>
  <c r="H35" i="1" s="1"/>
  <c r="H11" i="1"/>
  <c r="H17" i="1" s="1"/>
  <c r="H6" i="1"/>
  <c r="H8" i="1" s="1"/>
  <c r="G53" i="1"/>
  <c r="G44" i="1"/>
  <c r="G50" i="1" s="1"/>
  <c r="G32" i="1"/>
  <c r="G35" i="1" s="1"/>
  <c r="G11" i="1"/>
  <c r="G17" i="1" s="1"/>
  <c r="G6" i="1"/>
  <c r="G8" i="1" s="1"/>
  <c r="F53" i="1"/>
  <c r="F44" i="1"/>
  <c r="F50" i="1" s="1"/>
  <c r="F32" i="1"/>
  <c r="F35" i="1" s="1"/>
  <c r="F11" i="1"/>
  <c r="F17" i="1" s="1"/>
  <c r="F6" i="1"/>
  <c r="F8" i="1" s="1"/>
  <c r="E53" i="1"/>
  <c r="E44" i="1"/>
  <c r="E50" i="1" s="1"/>
  <c r="E32" i="1"/>
  <c r="E35" i="1" s="1"/>
  <c r="E11" i="1"/>
  <c r="E17" i="1" s="1"/>
  <c r="E6" i="1"/>
  <c r="E8" i="1" s="1"/>
  <c r="D60" i="1"/>
  <c r="D44" i="1"/>
  <c r="D50" i="1" s="1"/>
  <c r="D32" i="1"/>
  <c r="D35" i="1" s="1"/>
  <c r="D11" i="1"/>
  <c r="D17" i="1" s="1"/>
  <c r="D6" i="1"/>
  <c r="D8" i="1" s="1"/>
  <c r="AG93" i="5" l="1"/>
  <c r="AG94" i="5" s="1"/>
  <c r="AG145" i="5"/>
  <c r="AG146" i="5"/>
  <c r="J166" i="5"/>
  <c r="AI157" i="5"/>
  <c r="AH48" i="5"/>
  <c r="AH47" i="5"/>
  <c r="AH53" i="5"/>
  <c r="AH114" i="5"/>
  <c r="AH118" i="5" s="1"/>
  <c r="D57" i="1"/>
  <c r="D55" i="1"/>
  <c r="D56" i="1"/>
  <c r="D58" i="1"/>
  <c r="H3" i="1"/>
  <c r="G3" i="1"/>
  <c r="F3" i="1"/>
  <c r="I65" i="5"/>
  <c r="AI110" i="5"/>
  <c r="AG58" i="5"/>
  <c r="K159" i="5"/>
  <c r="K166" i="5" s="1"/>
  <c r="AF14" i="5"/>
  <c r="AF33" i="5" s="1"/>
  <c r="AH45" i="5"/>
  <c r="AG46" i="5"/>
  <c r="J49" i="5"/>
  <c r="K52" i="5"/>
  <c r="AI51" i="5"/>
  <c r="K55" i="5"/>
  <c r="AH52" i="5"/>
  <c r="Q51" i="3" s="1"/>
  <c r="AG52" i="5"/>
  <c r="AG49" i="5"/>
  <c r="AI50" i="5"/>
  <c r="K111" i="5"/>
  <c r="AI109" i="5"/>
  <c r="AJ113" i="5"/>
  <c r="AI112" i="5"/>
  <c r="I145" i="5"/>
  <c r="AH146" i="5" s="1"/>
  <c r="H148" i="5"/>
  <c r="AH44" i="5"/>
  <c r="J46" i="5"/>
  <c r="I12" i="5"/>
  <c r="I33" i="5" s="1"/>
  <c r="AG157" i="5"/>
  <c r="AG159" i="5" s="1"/>
  <c r="AG166" i="5" s="1"/>
  <c r="J93" i="5"/>
  <c r="AI92" i="5" s="1"/>
  <c r="I94" i="5"/>
  <c r="AH91" i="5"/>
  <c r="AH93" i="5" s="1"/>
  <c r="E3" i="1"/>
  <c r="G7" i="8"/>
  <c r="Q44" i="3" l="1"/>
  <c r="R44" i="3" s="1"/>
  <c r="S44" i="3" s="1"/>
  <c r="T44" i="3" s="1"/>
  <c r="P44" i="3"/>
  <c r="AI114" i="5"/>
  <c r="AI118" i="5" s="1"/>
  <c r="AH94" i="5"/>
  <c r="J65" i="5"/>
  <c r="AJ110" i="5"/>
  <c r="L159" i="5"/>
  <c r="L166" i="5" s="1"/>
  <c r="AJ158" i="5"/>
  <c r="AH46" i="5"/>
  <c r="AI45" i="5"/>
  <c r="AG14" i="5"/>
  <c r="AG33" i="5" s="1"/>
  <c r="AH13" i="5"/>
  <c r="AI52" i="5"/>
  <c r="L52" i="5"/>
  <c r="AJ51" i="5"/>
  <c r="K49" i="5"/>
  <c r="AI48" i="5"/>
  <c r="L55" i="5"/>
  <c r="AH49" i="5"/>
  <c r="Q48" i="3" s="1"/>
  <c r="AJ50" i="5"/>
  <c r="L111" i="5"/>
  <c r="AJ109" i="5"/>
  <c r="AK113" i="5"/>
  <c r="AJ112" i="5"/>
  <c r="I148" i="5"/>
  <c r="J147" i="5"/>
  <c r="AI146" i="5" s="1"/>
  <c r="AH145" i="5"/>
  <c r="AI47" i="5"/>
  <c r="K46" i="5"/>
  <c r="AI44" i="5"/>
  <c r="J14" i="5"/>
  <c r="J33" i="5" s="1"/>
  <c r="AH12" i="5"/>
  <c r="AH159" i="5"/>
  <c r="K93" i="5"/>
  <c r="AJ92" i="5" s="1"/>
  <c r="AI91" i="5"/>
  <c r="AI93" i="5" s="1"/>
  <c r="AI94" i="5" s="1"/>
  <c r="M38" i="3"/>
  <c r="M37" i="3"/>
  <c r="M36" i="3"/>
  <c r="M33" i="3"/>
  <c r="M32" i="3"/>
  <c r="AA32" i="3" s="1"/>
  <c r="H106" i="5" s="1"/>
  <c r="M31" i="3"/>
  <c r="AA31" i="3" s="1"/>
  <c r="G153" i="5" s="1"/>
  <c r="M30" i="3"/>
  <c r="AA30" i="3" s="1"/>
  <c r="G10" i="5" s="1"/>
  <c r="H10" i="5" s="1"/>
  <c r="I10" i="5" s="1"/>
  <c r="J10" i="5" s="1"/>
  <c r="K10" i="5" s="1"/>
  <c r="L10" i="5" s="1"/>
  <c r="M10" i="5" s="1"/>
  <c r="N10" i="5" s="1"/>
  <c r="O10" i="5" s="1"/>
  <c r="P10" i="5" s="1"/>
  <c r="Q10" i="5" s="1"/>
  <c r="R10" i="5" s="1"/>
  <c r="S10" i="5" s="1"/>
  <c r="T10" i="5" s="1"/>
  <c r="U10" i="5" s="1"/>
  <c r="V10" i="5" s="1"/>
  <c r="W10" i="5" s="1"/>
  <c r="X10" i="5" s="1"/>
  <c r="AY10" i="5" s="1"/>
  <c r="M29" i="3"/>
  <c r="M28" i="3"/>
  <c r="M27" i="3"/>
  <c r="M26" i="3"/>
  <c r="M25" i="3"/>
  <c r="M24" i="3"/>
  <c r="M22" i="3"/>
  <c r="M21" i="3"/>
  <c r="M18" i="3"/>
  <c r="AG18" i="3"/>
  <c r="M34" i="3"/>
  <c r="AA34" i="3" s="1"/>
  <c r="H143" i="5" s="1"/>
  <c r="Z36" i="3"/>
  <c r="Z35" i="3"/>
  <c r="Z34" i="3"/>
  <c r="Z33" i="3"/>
  <c r="Z32" i="3"/>
  <c r="Z31" i="3"/>
  <c r="Z30" i="3"/>
  <c r="Y29" i="3"/>
  <c r="N14" i="11"/>
  <c r="N13" i="11"/>
  <c r="N12" i="11"/>
  <c r="AH166" i="5" l="1"/>
  <c r="Q45" i="3"/>
  <c r="P47" i="3"/>
  <c r="Q47" i="3"/>
  <c r="R47" i="3" s="1"/>
  <c r="S47" i="3" s="1"/>
  <c r="T47" i="3" s="1"/>
  <c r="AJ114" i="5"/>
  <c r="AJ118" i="5" s="1"/>
  <c r="K65" i="5"/>
  <c r="AK110" i="5"/>
  <c r="I106" i="5"/>
  <c r="J106" i="5" s="1"/>
  <c r="M159" i="5"/>
  <c r="M166" i="5" s="1"/>
  <c r="AK158" i="5"/>
  <c r="AJ45" i="5"/>
  <c r="AI46" i="5"/>
  <c r="AH14" i="5"/>
  <c r="AH33" i="5" s="1"/>
  <c r="AI13" i="5"/>
  <c r="AJ52" i="5"/>
  <c r="M55" i="5"/>
  <c r="L49" i="5"/>
  <c r="AJ48" i="5"/>
  <c r="M52" i="5"/>
  <c r="AL51" i="5" s="1"/>
  <c r="AK51" i="5"/>
  <c r="J94" i="5"/>
  <c r="AI49" i="5"/>
  <c r="AK50" i="5"/>
  <c r="I143" i="5"/>
  <c r="H144" i="5"/>
  <c r="H162" i="48" s="1"/>
  <c r="AG143" i="5"/>
  <c r="H153" i="5"/>
  <c r="AF153" i="5"/>
  <c r="M111" i="5"/>
  <c r="AK109" i="5"/>
  <c r="AL113" i="5"/>
  <c r="AK112" i="5"/>
  <c r="K147" i="5"/>
  <c r="AJ146" i="5" s="1"/>
  <c r="J148" i="5"/>
  <c r="AI145" i="5"/>
  <c r="AJ44" i="5"/>
  <c r="L46" i="5"/>
  <c r="L65" i="5" s="1"/>
  <c r="AJ47" i="5"/>
  <c r="AI12" i="5"/>
  <c r="K14" i="5"/>
  <c r="K33" i="5" s="1"/>
  <c r="AI159" i="5"/>
  <c r="AI166" i="5" s="1"/>
  <c r="L93" i="5"/>
  <c r="AK92" i="5" s="1"/>
  <c r="AJ91" i="5"/>
  <c r="AJ93" i="5" s="1"/>
  <c r="AJ94" i="5" s="1"/>
  <c r="AA33" i="3"/>
  <c r="G154" i="5" s="1"/>
  <c r="G156" i="5" s="1"/>
  <c r="M23" i="3"/>
  <c r="C54" i="9"/>
  <c r="C47" i="9"/>
  <c r="W54" i="9"/>
  <c r="R54" i="9"/>
  <c r="M54" i="9"/>
  <c r="H54" i="9"/>
  <c r="W47" i="9"/>
  <c r="R47" i="9"/>
  <c r="M47" i="9"/>
  <c r="H47" i="9"/>
  <c r="S25" i="6"/>
  <c r="S54" i="9" s="1"/>
  <c r="N25" i="6"/>
  <c r="O25" i="6" s="1"/>
  <c r="O54" i="9" s="1"/>
  <c r="I25" i="6"/>
  <c r="J25" i="6" s="1"/>
  <c r="J54" i="9" s="1"/>
  <c r="E54" i="9"/>
  <c r="S22" i="6"/>
  <c r="S47" i="9" s="1"/>
  <c r="N22" i="6"/>
  <c r="O22" i="6" s="1"/>
  <c r="O47" i="9" s="1"/>
  <c r="I22" i="6"/>
  <c r="J22" i="6" s="1"/>
  <c r="J47" i="9" s="1"/>
  <c r="E47" i="9"/>
  <c r="G158" i="11" l="1"/>
  <c r="G166" i="48"/>
  <c r="AG144" i="5"/>
  <c r="AK114" i="5"/>
  <c r="AK118" i="5" s="1"/>
  <c r="H155" i="11"/>
  <c r="H149" i="5"/>
  <c r="AL110" i="5"/>
  <c r="K106" i="5"/>
  <c r="N157" i="5"/>
  <c r="N166" i="5" s="1"/>
  <c r="AL158" i="5"/>
  <c r="AJ46" i="5"/>
  <c r="AK45" i="5"/>
  <c r="AI14" i="5"/>
  <c r="AI33" i="5" s="1"/>
  <c r="AJ13" i="5"/>
  <c r="AK52" i="5"/>
  <c r="K94" i="5"/>
  <c r="M49" i="5"/>
  <c r="AL48" i="5" s="1"/>
  <c r="AK48" i="5"/>
  <c r="N53" i="5"/>
  <c r="AJ49" i="5"/>
  <c r="N50" i="5"/>
  <c r="AM51" i="5" s="1"/>
  <c r="AL50" i="5"/>
  <c r="G167" i="5"/>
  <c r="J143" i="5"/>
  <c r="AH143" i="5"/>
  <c r="I144" i="5"/>
  <c r="I162" i="48" s="1"/>
  <c r="I153" i="5"/>
  <c r="AG153" i="5"/>
  <c r="H154" i="5"/>
  <c r="H156" i="5" s="1"/>
  <c r="AF154" i="5"/>
  <c r="AF156" i="5" s="1"/>
  <c r="AF167" i="5" s="1"/>
  <c r="N109" i="5"/>
  <c r="AL109" i="5"/>
  <c r="AM113" i="5"/>
  <c r="AL112" i="5"/>
  <c r="L147" i="5"/>
  <c r="AK146" i="5" s="1"/>
  <c r="K148" i="5"/>
  <c r="AJ145" i="5"/>
  <c r="AK47" i="5"/>
  <c r="AK44" i="5"/>
  <c r="M46" i="5"/>
  <c r="AJ12" i="5"/>
  <c r="L14" i="5"/>
  <c r="L33" i="5" s="1"/>
  <c r="AJ157" i="5"/>
  <c r="AJ159" i="5" s="1"/>
  <c r="AJ166" i="5" s="1"/>
  <c r="M93" i="5"/>
  <c r="AL92" i="5" s="1"/>
  <c r="L94" i="5"/>
  <c r="AK91" i="5"/>
  <c r="AK93" i="5" s="1"/>
  <c r="AK94" i="5" s="1"/>
  <c r="I47" i="9"/>
  <c r="I54" i="9"/>
  <c r="N47" i="9"/>
  <c r="N54" i="9"/>
  <c r="D47" i="9"/>
  <c r="D54" i="9"/>
  <c r="P25" i="6"/>
  <c r="P54" i="9" s="1"/>
  <c r="F54" i="9"/>
  <c r="K25" i="6"/>
  <c r="K54" i="9" s="1"/>
  <c r="T25" i="6"/>
  <c r="T54" i="9" s="1"/>
  <c r="F47" i="9"/>
  <c r="K22" i="6"/>
  <c r="K47" i="9" s="1"/>
  <c r="P22" i="6"/>
  <c r="P47" i="9" s="1"/>
  <c r="T22" i="6"/>
  <c r="T47" i="9" s="1"/>
  <c r="A37" i="20"/>
  <c r="H53" i="14"/>
  <c r="H48" i="14"/>
  <c r="T193" i="33"/>
  <c r="Z193" i="33" s="1"/>
  <c r="AF193" i="33" s="1"/>
  <c r="AL193" i="33" s="1"/>
  <c r="AR193" i="33" s="1"/>
  <c r="AX193" i="33" s="1"/>
  <c r="BD193" i="33" s="1"/>
  <c r="T192" i="33"/>
  <c r="Z192" i="33" s="1"/>
  <c r="AF192" i="33" s="1"/>
  <c r="AL192" i="33" s="1"/>
  <c r="AR192" i="33" s="1"/>
  <c r="AX192" i="33" s="1"/>
  <c r="BD192" i="33" s="1"/>
  <c r="S191" i="33"/>
  <c r="Y191" i="33" s="1"/>
  <c r="AE191" i="33" s="1"/>
  <c r="AK191" i="33" s="1"/>
  <c r="AQ191" i="33" s="1"/>
  <c r="AW191" i="33" s="1"/>
  <c r="BC191" i="33" s="1"/>
  <c r="M191" i="33"/>
  <c r="BE181" i="33"/>
  <c r="AY181" i="33"/>
  <c r="AS181" i="33"/>
  <c r="AM181" i="33"/>
  <c r="AG181" i="33"/>
  <c r="AA181" i="33"/>
  <c r="U181" i="33"/>
  <c r="O181" i="33"/>
  <c r="D174" i="33"/>
  <c r="D173" i="33"/>
  <c r="D172" i="33"/>
  <c r="AP157" i="33"/>
  <c r="AW157" i="33" s="1"/>
  <c r="BD157" i="33" s="1"/>
  <c r="BK157" i="33" s="1"/>
  <c r="BR157" i="33" s="1"/>
  <c r="BY157" i="33" s="1"/>
  <c r="CF157" i="33" s="1"/>
  <c r="CM157" i="33" s="1"/>
  <c r="CT157" i="33" s="1"/>
  <c r="U157" i="33"/>
  <c r="AB157" i="33" s="1"/>
  <c r="U156" i="33"/>
  <c r="AB156" i="33" s="1"/>
  <c r="AI156" i="33" s="1"/>
  <c r="AP156" i="33" s="1"/>
  <c r="AW156" i="33" s="1"/>
  <c r="BD156" i="33" s="1"/>
  <c r="BK156" i="33" s="1"/>
  <c r="BR156" i="33" s="1"/>
  <c r="BY156" i="33" s="1"/>
  <c r="CF156" i="33" s="1"/>
  <c r="CM156" i="33" s="1"/>
  <c r="CT156" i="33" s="1"/>
  <c r="CU144" i="33"/>
  <c r="CN144" i="33"/>
  <c r="CG144" i="33"/>
  <c r="BZ144" i="33"/>
  <c r="BS144" i="33"/>
  <c r="BL144" i="33"/>
  <c r="BE144" i="33"/>
  <c r="AX144" i="33"/>
  <c r="AQ144" i="33"/>
  <c r="AJ144" i="33"/>
  <c r="AC144" i="33"/>
  <c r="V144" i="33"/>
  <c r="O144" i="33"/>
  <c r="D142" i="33"/>
  <c r="D104" i="33"/>
  <c r="D105" i="33" s="1"/>
  <c r="D106" i="33" s="1"/>
  <c r="D107" i="33" s="1"/>
  <c r="D108" i="33" s="1"/>
  <c r="D109" i="33" s="1"/>
  <c r="D110" i="33" s="1"/>
  <c r="D111" i="33" s="1"/>
  <c r="D112" i="33" s="1"/>
  <c r="D113" i="33" s="1"/>
  <c r="D114" i="33" s="1"/>
  <c r="N79" i="33"/>
  <c r="C66" i="33"/>
  <c r="D143" i="33" s="1"/>
  <c r="A65" i="33"/>
  <c r="A104" i="33" s="1"/>
  <c r="A142" i="33" s="1"/>
  <c r="A178" i="33" s="1"/>
  <c r="A37" i="33"/>
  <c r="E1" i="33"/>
  <c r="T193" i="32"/>
  <c r="Z193" i="32" s="1"/>
  <c r="AF193" i="32" s="1"/>
  <c r="AL193" i="32" s="1"/>
  <c r="AR193" i="32" s="1"/>
  <c r="AX193" i="32" s="1"/>
  <c r="BD193" i="32" s="1"/>
  <c r="T192" i="32"/>
  <c r="Z192" i="32" s="1"/>
  <c r="AF192" i="32" s="1"/>
  <c r="AL192" i="32" s="1"/>
  <c r="AR192" i="32" s="1"/>
  <c r="AX192" i="32" s="1"/>
  <c r="BD192" i="32" s="1"/>
  <c r="M191" i="32"/>
  <c r="S191" i="32" s="1"/>
  <c r="Y191" i="32" s="1"/>
  <c r="AE191" i="32" s="1"/>
  <c r="AK191" i="32" s="1"/>
  <c r="AQ191" i="32" s="1"/>
  <c r="AW191" i="32" s="1"/>
  <c r="BC191" i="32" s="1"/>
  <c r="BE181" i="32"/>
  <c r="AY181" i="32"/>
  <c r="AS181" i="32"/>
  <c r="AM181" i="32"/>
  <c r="AG181" i="32"/>
  <c r="AA181" i="32"/>
  <c r="U181" i="32"/>
  <c r="O181" i="32"/>
  <c r="D174" i="32"/>
  <c r="D173" i="32"/>
  <c r="D172" i="32"/>
  <c r="AP157" i="32"/>
  <c r="AW157" i="32" s="1"/>
  <c r="BD157" i="32" s="1"/>
  <c r="BK157" i="32" s="1"/>
  <c r="BR157" i="32" s="1"/>
  <c r="BY157" i="32" s="1"/>
  <c r="CF157" i="32" s="1"/>
  <c r="CM157" i="32" s="1"/>
  <c r="CT157" i="32" s="1"/>
  <c r="U157" i="32"/>
  <c r="AB157" i="32" s="1"/>
  <c r="U156" i="32"/>
  <c r="AB156" i="32" s="1"/>
  <c r="AI156" i="32" s="1"/>
  <c r="AP156" i="32" s="1"/>
  <c r="AW156" i="32" s="1"/>
  <c r="BD156" i="32" s="1"/>
  <c r="BK156" i="32" s="1"/>
  <c r="BR156" i="32" s="1"/>
  <c r="BY156" i="32" s="1"/>
  <c r="CF156" i="32" s="1"/>
  <c r="CM156" i="32" s="1"/>
  <c r="CT156" i="32" s="1"/>
  <c r="CU144" i="32"/>
  <c r="CN144" i="32"/>
  <c r="CG144" i="32"/>
  <c r="BZ144" i="32"/>
  <c r="BS144" i="32"/>
  <c r="BL144" i="32"/>
  <c r="BE144" i="32"/>
  <c r="AX144" i="32"/>
  <c r="AQ144" i="32"/>
  <c r="AJ144" i="32"/>
  <c r="AC144" i="32"/>
  <c r="V144" i="32"/>
  <c r="O144" i="32"/>
  <c r="D142" i="32"/>
  <c r="D104" i="32"/>
  <c r="N79" i="32"/>
  <c r="C66" i="32"/>
  <c r="D143" i="32" s="1"/>
  <c r="D179" i="32" s="1"/>
  <c r="A65" i="32"/>
  <c r="A104" i="32" s="1"/>
  <c r="A142" i="32" s="1"/>
  <c r="A178" i="32" s="1"/>
  <c r="E1" i="32"/>
  <c r="P34" i="3" l="1"/>
  <c r="Q34" i="3"/>
  <c r="R34" i="3" s="1"/>
  <c r="S34" i="3" s="1"/>
  <c r="T34" i="3" s="1"/>
  <c r="P32" i="3"/>
  <c r="Q32" i="3"/>
  <c r="R32" i="3" s="1"/>
  <c r="S32" i="3" s="1"/>
  <c r="T32" i="3" s="1"/>
  <c r="H158" i="11"/>
  <c r="H166" i="48"/>
  <c r="AH144" i="5"/>
  <c r="AL114" i="5"/>
  <c r="AL118" i="5" s="1"/>
  <c r="AL52" i="5"/>
  <c r="I155" i="11"/>
  <c r="I149" i="5"/>
  <c r="AM110" i="5"/>
  <c r="M65" i="5"/>
  <c r="L106" i="5"/>
  <c r="AM158" i="5"/>
  <c r="O159" i="5"/>
  <c r="O166" i="5" s="1"/>
  <c r="AL45" i="5"/>
  <c r="AK46" i="5"/>
  <c r="AJ14" i="5"/>
  <c r="AJ33" i="5" s="1"/>
  <c r="AK13" i="5"/>
  <c r="O55" i="5"/>
  <c r="O52" i="5"/>
  <c r="A66" i="32"/>
  <c r="A105" i="32" s="1"/>
  <c r="A143" i="32" s="1"/>
  <c r="A179" i="32" s="1"/>
  <c r="AK49" i="5"/>
  <c r="AM50" i="5"/>
  <c r="H167" i="5"/>
  <c r="J153" i="5"/>
  <c r="AH153" i="5"/>
  <c r="I154" i="5"/>
  <c r="AG154" i="5"/>
  <c r="AG156" i="5" s="1"/>
  <c r="AG167" i="5" s="1"/>
  <c r="K143" i="5"/>
  <c r="J144" i="5"/>
  <c r="J162" i="48" s="1"/>
  <c r="AI143" i="5"/>
  <c r="O111" i="5"/>
  <c r="AM109" i="5"/>
  <c r="AN113" i="5"/>
  <c r="AM112" i="5"/>
  <c r="M147" i="5"/>
  <c r="AL146" i="5" s="1"/>
  <c r="AK145" i="5"/>
  <c r="L148" i="5"/>
  <c r="N44" i="5"/>
  <c r="AL44" i="5"/>
  <c r="AL47" i="5"/>
  <c r="N47" i="5"/>
  <c r="AK12" i="5"/>
  <c r="M14" i="5"/>
  <c r="M33" i="5" s="1"/>
  <c r="AK157" i="5"/>
  <c r="AK159" i="5" s="1"/>
  <c r="AK166" i="5" s="1"/>
  <c r="N91" i="5"/>
  <c r="AM92" i="5" s="1"/>
  <c r="M94" i="5"/>
  <c r="AL91" i="5"/>
  <c r="AL93" i="5" s="1"/>
  <c r="AL94" i="5" s="1"/>
  <c r="U25" i="6"/>
  <c r="U54" i="9" s="1"/>
  <c r="G54" i="9"/>
  <c r="Q25" i="6"/>
  <c r="Q54" i="9" s="1"/>
  <c r="L25" i="6"/>
  <c r="L54" i="9" s="1"/>
  <c r="L22" i="6"/>
  <c r="L47" i="9" s="1"/>
  <c r="Q22" i="6"/>
  <c r="Q47" i="9" s="1"/>
  <c r="G47" i="9"/>
  <c r="U22" i="6"/>
  <c r="U47" i="9" s="1"/>
  <c r="D179" i="33"/>
  <c r="E143" i="33"/>
  <c r="D115" i="33"/>
  <c r="D116" i="33" s="1"/>
  <c r="D117" i="33" s="1"/>
  <c r="D118" i="33" s="1"/>
  <c r="D119" i="33" s="1"/>
  <c r="D120" i="33" s="1"/>
  <c r="D121" i="33" s="1"/>
  <c r="D122" i="33" s="1"/>
  <c r="D123" i="33" s="1"/>
  <c r="D124" i="33" s="1"/>
  <c r="D125" i="33" s="1"/>
  <c r="D126" i="33" s="1"/>
  <c r="D127" i="33" s="1"/>
  <c r="D128" i="33" s="1"/>
  <c r="D129" i="33" s="1"/>
  <c r="D130" i="33" s="1"/>
  <c r="D131" i="33" s="1"/>
  <c r="D132" i="33" s="1"/>
  <c r="D133" i="33" s="1"/>
  <c r="D134" i="33" s="1"/>
  <c r="D135" i="33" s="1"/>
  <c r="D136" i="33" s="1"/>
  <c r="C67" i="33"/>
  <c r="D178" i="33"/>
  <c r="E142" i="33"/>
  <c r="A66" i="33"/>
  <c r="A37" i="32"/>
  <c r="A67" i="32"/>
  <c r="D105" i="32"/>
  <c r="C67" i="32"/>
  <c r="D178" i="32"/>
  <c r="E142" i="32"/>
  <c r="E143" i="32"/>
  <c r="Q31" i="3" l="1"/>
  <c r="R31" i="3" s="1"/>
  <c r="S31" i="3" s="1"/>
  <c r="T31" i="3" s="1"/>
  <c r="P31" i="3"/>
  <c r="AI144" i="5"/>
  <c r="AM114" i="5"/>
  <c r="AM118" i="5" s="1"/>
  <c r="AM52" i="5"/>
  <c r="J155" i="11"/>
  <c r="J149" i="5"/>
  <c r="AN110" i="5"/>
  <c r="N65" i="5"/>
  <c r="M106" i="5"/>
  <c r="P159" i="5"/>
  <c r="P166" i="5" s="1"/>
  <c r="AN158" i="5"/>
  <c r="AL46" i="5"/>
  <c r="AM45" i="5"/>
  <c r="AK14" i="5"/>
  <c r="AK33" i="5" s="1"/>
  <c r="AL13" i="5"/>
  <c r="P52" i="5"/>
  <c r="AN51" i="5"/>
  <c r="O49" i="5"/>
  <c r="AM48" i="5"/>
  <c r="P55" i="5"/>
  <c r="AL49" i="5"/>
  <c r="AN50" i="5"/>
  <c r="J154" i="5"/>
  <c r="AH154" i="5"/>
  <c r="L143" i="5"/>
  <c r="K144" i="5"/>
  <c r="K162" i="48" s="1"/>
  <c r="AJ143" i="5"/>
  <c r="K153" i="5"/>
  <c r="AI153" i="5"/>
  <c r="P111" i="5"/>
  <c r="AN109" i="5"/>
  <c r="AO113" i="5"/>
  <c r="AN112" i="5"/>
  <c r="AL145" i="5"/>
  <c r="N145" i="5"/>
  <c r="AM146" i="5" s="1"/>
  <c r="M148" i="5"/>
  <c r="AM47" i="5"/>
  <c r="AM44" i="5"/>
  <c r="O46" i="5"/>
  <c r="AL12" i="5"/>
  <c r="N12" i="5"/>
  <c r="N33" i="5" s="1"/>
  <c r="AL157" i="5"/>
  <c r="AL159" i="5" s="1"/>
  <c r="AL166" i="5" s="1"/>
  <c r="O93" i="5"/>
  <c r="AN92" i="5" s="1"/>
  <c r="N94" i="5"/>
  <c r="AM91" i="5"/>
  <c r="AM93" i="5" s="1"/>
  <c r="AM94" i="5" s="1"/>
  <c r="V25" i="6"/>
  <c r="V54" i="9" s="1"/>
  <c r="V22" i="6"/>
  <c r="V47" i="9" s="1"/>
  <c r="D144" i="33"/>
  <c r="C68" i="33"/>
  <c r="A67" i="33"/>
  <c r="A105" i="33"/>
  <c r="A143" i="33" s="1"/>
  <c r="A179" i="33" s="1"/>
  <c r="A68" i="32"/>
  <c r="A106" i="32"/>
  <c r="A144" i="32" s="1"/>
  <c r="A180" i="32" s="1"/>
  <c r="D144" i="32"/>
  <c r="C68" i="32"/>
  <c r="D106" i="32"/>
  <c r="D107" i="32" s="1"/>
  <c r="D108" i="32" s="1"/>
  <c r="D109" i="32" s="1"/>
  <c r="D110" i="32" s="1"/>
  <c r="D111" i="32" s="1"/>
  <c r="D112" i="32" s="1"/>
  <c r="D113" i="32" s="1"/>
  <c r="D114" i="32" s="1"/>
  <c r="E178" i="13"/>
  <c r="E177" i="13"/>
  <c r="E176" i="13"/>
  <c r="E175" i="13"/>
  <c r="E174" i="13"/>
  <c r="E173" i="13"/>
  <c r="E172" i="13"/>
  <c r="B9" i="23" s="1"/>
  <c r="E171" i="13"/>
  <c r="B8" i="23" s="1"/>
  <c r="E170" i="13"/>
  <c r="B7" i="23" s="1"/>
  <c r="E169" i="13"/>
  <c r="B6" i="23" s="1"/>
  <c r="E168" i="13"/>
  <c r="B5" i="23" s="1"/>
  <c r="E159" i="13"/>
  <c r="B15" i="33" s="1"/>
  <c r="E158" i="13"/>
  <c r="E157" i="13"/>
  <c r="B13" i="33" s="1"/>
  <c r="E156" i="13"/>
  <c r="B12" i="33" s="1"/>
  <c r="E155" i="13"/>
  <c r="B11" i="33" s="1"/>
  <c r="E154" i="13"/>
  <c r="E153" i="13"/>
  <c r="B9" i="33" s="1"/>
  <c r="E152" i="13"/>
  <c r="B8" i="33" s="1"/>
  <c r="E151" i="13"/>
  <c r="B7" i="33" s="1"/>
  <c r="E150" i="13"/>
  <c r="B6" i="33" s="1"/>
  <c r="E149" i="13"/>
  <c r="B5" i="33" s="1"/>
  <c r="F156" i="13"/>
  <c r="G156" i="13" s="1"/>
  <c r="E142" i="13"/>
  <c r="E141" i="13"/>
  <c r="B14" i="32" s="1"/>
  <c r="E140" i="13"/>
  <c r="B13" i="32" s="1"/>
  <c r="E139" i="13"/>
  <c r="F176" i="13" s="1"/>
  <c r="E138" i="13"/>
  <c r="E137" i="13"/>
  <c r="B10" i="32" s="1"/>
  <c r="E136" i="13"/>
  <c r="B9" i="32" s="1"/>
  <c r="E135" i="13"/>
  <c r="B8" i="32" s="1"/>
  <c r="E134" i="13"/>
  <c r="B7" i="32" s="1"/>
  <c r="E133" i="13"/>
  <c r="B6" i="32" s="1"/>
  <c r="E132" i="13"/>
  <c r="B5" i="32" s="1"/>
  <c r="F157" i="13"/>
  <c r="G157" i="13" s="1"/>
  <c r="O24" i="12"/>
  <c r="N24" i="12"/>
  <c r="M24" i="12"/>
  <c r="L24" i="12"/>
  <c r="K24" i="12"/>
  <c r="J24" i="12"/>
  <c r="I24" i="12"/>
  <c r="H24" i="12"/>
  <c r="G24" i="12"/>
  <c r="F24" i="12"/>
  <c r="E24" i="12"/>
  <c r="D24" i="12"/>
  <c r="U23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U21" i="12"/>
  <c r="B10" i="23" l="1"/>
  <c r="B173" i="13"/>
  <c r="B14" i="23"/>
  <c r="B177" i="13"/>
  <c r="B174" i="13"/>
  <c r="B11" i="23"/>
  <c r="G179" i="13"/>
  <c r="B178" i="13"/>
  <c r="D179" i="13" s="1"/>
  <c r="B15" i="23"/>
  <c r="B13" i="23"/>
  <c r="B176" i="13"/>
  <c r="F151" i="13"/>
  <c r="G151" i="13" s="1"/>
  <c r="B12" i="23"/>
  <c r="B175" i="13"/>
  <c r="F153" i="13"/>
  <c r="G153" i="13" s="1"/>
  <c r="P33" i="3"/>
  <c r="Q33" i="3"/>
  <c r="R33" i="3" s="1"/>
  <c r="S33" i="3" s="1"/>
  <c r="T33" i="3" s="1"/>
  <c r="R51" i="3"/>
  <c r="S51" i="3" s="1"/>
  <c r="T51" i="3" s="1"/>
  <c r="P51" i="3"/>
  <c r="AJ144" i="5"/>
  <c r="AN114" i="5"/>
  <c r="AN118" i="5" s="1"/>
  <c r="K155" i="11"/>
  <c r="K149" i="5"/>
  <c r="O65" i="5"/>
  <c r="AO110" i="5"/>
  <c r="N106" i="5"/>
  <c r="Q159" i="5"/>
  <c r="Q166" i="5" s="1"/>
  <c r="AO158" i="5"/>
  <c r="AN45" i="5"/>
  <c r="AM46" i="5"/>
  <c r="AL14" i="5"/>
  <c r="AL33" i="5" s="1"/>
  <c r="AM13" i="5"/>
  <c r="Q55" i="5"/>
  <c r="P49" i="5"/>
  <c r="AN48" i="5"/>
  <c r="Q52" i="5"/>
  <c r="AO51" i="5"/>
  <c r="AN52" i="5"/>
  <c r="H8" i="33"/>
  <c r="B68" i="33"/>
  <c r="B107" i="33" s="1"/>
  <c r="B145" i="33" s="1"/>
  <c r="B72" i="33"/>
  <c r="B111" i="33" s="1"/>
  <c r="B149" i="33" s="1"/>
  <c r="H12" i="33"/>
  <c r="B65" i="33"/>
  <c r="B104" i="33" s="1"/>
  <c r="H5" i="33"/>
  <c r="B69" i="33"/>
  <c r="B108" i="33" s="1"/>
  <c r="B146" i="33" s="1"/>
  <c r="H9" i="33"/>
  <c r="B73" i="33"/>
  <c r="B112" i="33" s="1"/>
  <c r="H13" i="33"/>
  <c r="B66" i="33"/>
  <c r="B105" i="33" s="1"/>
  <c r="H6" i="33"/>
  <c r="F154" i="13"/>
  <c r="G154" i="13" s="1"/>
  <c r="B10" i="33"/>
  <c r="J6" i="33" s="1"/>
  <c r="F158" i="13"/>
  <c r="G158" i="13" s="1"/>
  <c r="B14" i="33"/>
  <c r="H7" i="33"/>
  <c r="B67" i="33"/>
  <c r="B106" i="33" s="1"/>
  <c r="B71" i="33"/>
  <c r="B110" i="33" s="1"/>
  <c r="B148" i="33" s="1"/>
  <c r="H11" i="33"/>
  <c r="H8" i="32"/>
  <c r="B68" i="32"/>
  <c r="B107" i="32" s="1"/>
  <c r="B145" i="32" s="1"/>
  <c r="B12" i="32"/>
  <c r="H5" i="32"/>
  <c r="B65" i="32"/>
  <c r="B104" i="32" s="1"/>
  <c r="B69" i="32"/>
  <c r="B108" i="32" s="1"/>
  <c r="H9" i="32"/>
  <c r="B73" i="32"/>
  <c r="B112" i="32" s="1"/>
  <c r="H13" i="32"/>
  <c r="H6" i="32"/>
  <c r="B66" i="32"/>
  <c r="B105" i="32" s="1"/>
  <c r="B70" i="32"/>
  <c r="B109" i="32" s="1"/>
  <c r="H10" i="32"/>
  <c r="B74" i="32"/>
  <c r="B113" i="32" s="1"/>
  <c r="H14" i="32"/>
  <c r="B67" i="32"/>
  <c r="B106" i="32" s="1"/>
  <c r="H7" i="32"/>
  <c r="F174" i="13"/>
  <c r="B11" i="32"/>
  <c r="C53" i="14"/>
  <c r="H15" i="33"/>
  <c r="B75" i="33"/>
  <c r="B114" i="33" s="1"/>
  <c r="J7" i="33"/>
  <c r="B15" i="32"/>
  <c r="AM49" i="5"/>
  <c r="AO50" i="5"/>
  <c r="M143" i="5"/>
  <c r="AK143" i="5"/>
  <c r="L144" i="5"/>
  <c r="L162" i="48" s="1"/>
  <c r="L153" i="5"/>
  <c r="AJ153" i="5"/>
  <c r="K154" i="5"/>
  <c r="AI154" i="5"/>
  <c r="Q111" i="5"/>
  <c r="AO109" i="5"/>
  <c r="AP113" i="5"/>
  <c r="AO112" i="5"/>
  <c r="O147" i="5"/>
  <c r="AN146" i="5" s="1"/>
  <c r="AM145" i="5"/>
  <c r="N148" i="5"/>
  <c r="AN44" i="5"/>
  <c r="P46" i="5"/>
  <c r="AN47" i="5"/>
  <c r="AM12" i="5"/>
  <c r="O14" i="5"/>
  <c r="O33" i="5" s="1"/>
  <c r="AM157" i="5"/>
  <c r="AM159" i="5" s="1"/>
  <c r="P93" i="5"/>
  <c r="AO92" i="5" s="1"/>
  <c r="O94" i="5"/>
  <c r="AN91" i="5"/>
  <c r="AN93" i="5" s="1"/>
  <c r="AN94" i="5" s="1"/>
  <c r="D145" i="33"/>
  <c r="C69" i="33"/>
  <c r="C111" i="33"/>
  <c r="A68" i="33"/>
  <c r="A106" i="33"/>
  <c r="A144" i="33" s="1"/>
  <c r="A180" i="33" s="1"/>
  <c r="C108" i="33"/>
  <c r="D180" i="33"/>
  <c r="E144" i="33"/>
  <c r="B150" i="33"/>
  <c r="C112" i="33"/>
  <c r="B152" i="33"/>
  <c r="C114" i="33"/>
  <c r="D115" i="32"/>
  <c r="D116" i="32" s="1"/>
  <c r="D117" i="32" s="1"/>
  <c r="D118" i="32" s="1"/>
  <c r="D119" i="32" s="1"/>
  <c r="D120" i="32" s="1"/>
  <c r="D121" i="32" s="1"/>
  <c r="D122" i="32" s="1"/>
  <c r="D123" i="32" s="1"/>
  <c r="D124" i="32" s="1"/>
  <c r="D125" i="32" s="1"/>
  <c r="D126" i="32" s="1"/>
  <c r="D127" i="32" s="1"/>
  <c r="D128" i="32" s="1"/>
  <c r="D129" i="32" s="1"/>
  <c r="D130" i="32" s="1"/>
  <c r="D131" i="32" s="1"/>
  <c r="D132" i="32" s="1"/>
  <c r="D133" i="32" s="1"/>
  <c r="D134" i="32" s="1"/>
  <c r="D135" i="32" s="1"/>
  <c r="D136" i="32" s="1"/>
  <c r="D180" i="32"/>
  <c r="E144" i="32"/>
  <c r="D145" i="32"/>
  <c r="C69" i="32"/>
  <c r="A107" i="32"/>
  <c r="A145" i="32" s="1"/>
  <c r="A181" i="32" s="1"/>
  <c r="A69" i="32"/>
  <c r="G160" i="13"/>
  <c r="F150" i="13"/>
  <c r="G150" i="13" s="1"/>
  <c r="F155" i="13"/>
  <c r="G155" i="13" s="1"/>
  <c r="B154" i="13"/>
  <c r="F178" i="13"/>
  <c r="F177" i="13"/>
  <c r="F175" i="13"/>
  <c r="F172" i="13"/>
  <c r="F173" i="13"/>
  <c r="F171" i="13"/>
  <c r="F170" i="13"/>
  <c r="F169" i="13"/>
  <c r="F152" i="13"/>
  <c r="G152" i="13" s="1"/>
  <c r="B155" i="13"/>
  <c r="C155" i="13" s="1"/>
  <c r="B157" i="13"/>
  <c r="B159" i="13"/>
  <c r="F159" i="13"/>
  <c r="G159" i="13" s="1"/>
  <c r="B156" i="13"/>
  <c r="C156" i="13" s="1"/>
  <c r="D156" i="13" s="1"/>
  <c r="B158" i="13"/>
  <c r="C107" i="32" l="1"/>
  <c r="C107" i="33"/>
  <c r="C110" i="33"/>
  <c r="C158" i="13"/>
  <c r="D158" i="13" s="1"/>
  <c r="F179" i="13"/>
  <c r="AM166" i="5"/>
  <c r="P45" i="3"/>
  <c r="R45" i="3"/>
  <c r="S45" i="3" s="1"/>
  <c r="T45" i="3" s="1"/>
  <c r="P48" i="3"/>
  <c r="R48" i="3"/>
  <c r="S48" i="3" s="1"/>
  <c r="T48" i="3" s="1"/>
  <c r="AK144" i="5"/>
  <c r="AO114" i="5"/>
  <c r="AO118" i="5" s="1"/>
  <c r="L155" i="11"/>
  <c r="L149" i="5"/>
  <c r="P65" i="5"/>
  <c r="AP110" i="5"/>
  <c r="O106" i="5"/>
  <c r="R159" i="5"/>
  <c r="R166" i="5" s="1"/>
  <c r="AP158" i="5"/>
  <c r="AN46" i="5"/>
  <c r="AO45" i="5"/>
  <c r="AM14" i="5"/>
  <c r="AM33" i="5" s="1"/>
  <c r="AN13" i="5"/>
  <c r="AO52" i="5"/>
  <c r="R52" i="5"/>
  <c r="AQ51" i="5" s="1"/>
  <c r="AP51" i="5"/>
  <c r="R55" i="5"/>
  <c r="Q49" i="5"/>
  <c r="AO48" i="5"/>
  <c r="B74" i="33"/>
  <c r="B113" i="33" s="1"/>
  <c r="H14" i="33"/>
  <c r="B143" i="33"/>
  <c r="C105" i="33"/>
  <c r="C106" i="33"/>
  <c r="B144" i="33"/>
  <c r="B70" i="33"/>
  <c r="B109" i="33" s="1"/>
  <c r="H10" i="33"/>
  <c r="B142" i="33"/>
  <c r="C104" i="33"/>
  <c r="H11" i="32"/>
  <c r="B71" i="32"/>
  <c r="B110" i="32" s="1"/>
  <c r="B143" i="32"/>
  <c r="C105" i="32"/>
  <c r="B72" i="32"/>
  <c r="B111" i="32" s="1"/>
  <c r="H12" i="32"/>
  <c r="C113" i="32"/>
  <c r="B151" i="32"/>
  <c r="B146" i="32"/>
  <c r="C108" i="32"/>
  <c r="B142" i="32"/>
  <c r="C104" i="32"/>
  <c r="B144" i="32"/>
  <c r="C106" i="32"/>
  <c r="C109" i="32"/>
  <c r="B147" i="32"/>
  <c r="C112" i="32"/>
  <c r="B150" i="32"/>
  <c r="C50" i="14"/>
  <c r="C49" i="14"/>
  <c r="C52" i="14"/>
  <c r="C51" i="14"/>
  <c r="C48" i="14"/>
  <c r="H15" i="32"/>
  <c r="B75" i="32"/>
  <c r="B114" i="32" s="1"/>
  <c r="J6" i="32"/>
  <c r="J7" i="32"/>
  <c r="AN49" i="5"/>
  <c r="AP50" i="5"/>
  <c r="L154" i="5"/>
  <c r="AJ154" i="5"/>
  <c r="N143" i="5"/>
  <c r="M144" i="5"/>
  <c r="M162" i="48" s="1"/>
  <c r="AL143" i="5"/>
  <c r="M153" i="5"/>
  <c r="AK153" i="5"/>
  <c r="R111" i="5"/>
  <c r="AP109" i="5"/>
  <c r="AQ113" i="5"/>
  <c r="AP112" i="5"/>
  <c r="AN145" i="5"/>
  <c r="O148" i="5"/>
  <c r="P147" i="5"/>
  <c r="AO146" i="5" s="1"/>
  <c r="AO47" i="5"/>
  <c r="Q46" i="5"/>
  <c r="AO44" i="5"/>
  <c r="AN12" i="5"/>
  <c r="P14" i="5"/>
  <c r="P33" i="5" s="1"/>
  <c r="AN157" i="5"/>
  <c r="AN159" i="5" s="1"/>
  <c r="AN166" i="5" s="1"/>
  <c r="Q93" i="5"/>
  <c r="AP92" i="5" s="1"/>
  <c r="P94" i="5"/>
  <c r="AO91" i="5"/>
  <c r="AO93" i="5" s="1"/>
  <c r="AO94" i="5" s="1"/>
  <c r="D181" i="33"/>
  <c r="E145" i="33"/>
  <c r="B188" i="33"/>
  <c r="BX152" i="33"/>
  <c r="AV152" i="33"/>
  <c r="T152" i="33"/>
  <c r="BJ152" i="33"/>
  <c r="M152" i="33"/>
  <c r="CS152" i="33"/>
  <c r="CE152" i="33"/>
  <c r="AH152" i="33"/>
  <c r="BQ152" i="33"/>
  <c r="BC152" i="33"/>
  <c r="CL152" i="33"/>
  <c r="AO152" i="33"/>
  <c r="AA152" i="33"/>
  <c r="B181" i="33"/>
  <c r="BX145" i="33"/>
  <c r="AV145" i="33"/>
  <c r="T145" i="33"/>
  <c r="CS145" i="33"/>
  <c r="BQ145" i="33"/>
  <c r="AO145" i="33"/>
  <c r="M145" i="33"/>
  <c r="CL145" i="33"/>
  <c r="BJ145" i="33"/>
  <c r="AH145" i="33"/>
  <c r="AA145" i="33"/>
  <c r="CE145" i="33"/>
  <c r="BC145" i="33"/>
  <c r="B182" i="33"/>
  <c r="CE146" i="33"/>
  <c r="BC146" i="33"/>
  <c r="AA146" i="33"/>
  <c r="BX146" i="33"/>
  <c r="AV146" i="33"/>
  <c r="T146" i="33"/>
  <c r="CS146" i="33"/>
  <c r="BQ146" i="33"/>
  <c r="AO146" i="33"/>
  <c r="M146" i="33"/>
  <c r="CL146" i="33"/>
  <c r="BJ146" i="33"/>
  <c r="AH146" i="33"/>
  <c r="D146" i="33"/>
  <c r="C70" i="33"/>
  <c r="B186" i="33"/>
  <c r="CS150" i="33"/>
  <c r="BQ150" i="33"/>
  <c r="AO150" i="33"/>
  <c r="M150" i="33"/>
  <c r="BJ150" i="33"/>
  <c r="AV150" i="33"/>
  <c r="CE150" i="33"/>
  <c r="AH150" i="33"/>
  <c r="T150" i="33"/>
  <c r="BC150" i="33"/>
  <c r="BX150" i="33"/>
  <c r="AA150" i="33"/>
  <c r="CL150" i="33"/>
  <c r="A107" i="33"/>
  <c r="A145" i="33" s="1"/>
  <c r="A181" i="33" s="1"/>
  <c r="A69" i="33"/>
  <c r="B185" i="33"/>
  <c r="CS149" i="33"/>
  <c r="BQ149" i="33"/>
  <c r="AO149" i="33"/>
  <c r="M149" i="33"/>
  <c r="BJ149" i="33"/>
  <c r="AV149" i="33"/>
  <c r="CE149" i="33"/>
  <c r="AH149" i="33"/>
  <c r="T149" i="33"/>
  <c r="BC149" i="33"/>
  <c r="CL149" i="33"/>
  <c r="BX149" i="33"/>
  <c r="AA149" i="33"/>
  <c r="B184" i="33"/>
  <c r="CS148" i="33"/>
  <c r="BQ148" i="33"/>
  <c r="AO148" i="33"/>
  <c r="M148" i="33"/>
  <c r="BJ148" i="33"/>
  <c r="AV148" i="33"/>
  <c r="CE148" i="33"/>
  <c r="AH148" i="33"/>
  <c r="T148" i="33"/>
  <c r="BC148" i="33"/>
  <c r="CL148" i="33"/>
  <c r="BX148" i="33"/>
  <c r="AA148" i="33"/>
  <c r="B181" i="32"/>
  <c r="CS145" i="32"/>
  <c r="CL145" i="32"/>
  <c r="CE145" i="32"/>
  <c r="BX145" i="32"/>
  <c r="BQ145" i="32"/>
  <c r="BJ145" i="32"/>
  <c r="BC145" i="32"/>
  <c r="AV145" i="32"/>
  <c r="AO145" i="32"/>
  <c r="AH145" i="32"/>
  <c r="AA145" i="32"/>
  <c r="T145" i="32"/>
  <c r="M145" i="32"/>
  <c r="A108" i="32"/>
  <c r="A146" i="32" s="1"/>
  <c r="A182" i="32" s="1"/>
  <c r="A70" i="32"/>
  <c r="D146" i="32"/>
  <c r="C70" i="32"/>
  <c r="D181" i="32"/>
  <c r="E145" i="32"/>
  <c r="D155" i="13"/>
  <c r="C159" i="13"/>
  <c r="D159" i="13" s="1"/>
  <c r="D160" i="13"/>
  <c r="C157" i="13"/>
  <c r="D157" i="13" s="1"/>
  <c r="F160" i="13"/>
  <c r="AL144" i="5" l="1"/>
  <c r="AP114" i="5"/>
  <c r="AP118" i="5" s="1"/>
  <c r="M155" i="11"/>
  <c r="M149" i="5"/>
  <c r="Q65" i="5"/>
  <c r="AQ110" i="5"/>
  <c r="P106" i="5"/>
  <c r="S157" i="5"/>
  <c r="S166" i="5" s="1"/>
  <c r="AQ158" i="5"/>
  <c r="AO46" i="5"/>
  <c r="AP45" i="5"/>
  <c r="AN14" i="5"/>
  <c r="AN33" i="5" s="1"/>
  <c r="AO13" i="5"/>
  <c r="AP52" i="5"/>
  <c r="R49" i="5"/>
  <c r="AQ48" i="5" s="1"/>
  <c r="AP48" i="5"/>
  <c r="S53" i="5"/>
  <c r="B147" i="33"/>
  <c r="C109" i="33"/>
  <c r="B179" i="33"/>
  <c r="CL143" i="33"/>
  <c r="M143" i="33"/>
  <c r="T143" i="33"/>
  <c r="CE143" i="33"/>
  <c r="BJ143" i="33"/>
  <c r="AV143" i="33"/>
  <c r="BX143" i="33"/>
  <c r="BC143" i="33"/>
  <c r="AH143" i="33"/>
  <c r="CS143" i="33"/>
  <c r="AA143" i="33"/>
  <c r="BQ143" i="33"/>
  <c r="AO143" i="33"/>
  <c r="CE144" i="33"/>
  <c r="AA144" i="33"/>
  <c r="CL144" i="33"/>
  <c r="BQ144" i="33"/>
  <c r="M144" i="33"/>
  <c r="BX144" i="33"/>
  <c r="B180" i="33"/>
  <c r="BC144" i="33"/>
  <c r="AV144" i="33"/>
  <c r="T144" i="33"/>
  <c r="CS144" i="33"/>
  <c r="AO144" i="33"/>
  <c r="BJ144" i="33"/>
  <c r="AH144" i="33"/>
  <c r="CL142" i="33"/>
  <c r="BQ142" i="33"/>
  <c r="CE142" i="33"/>
  <c r="BC142" i="33"/>
  <c r="BJ142" i="33"/>
  <c r="AO142" i="33"/>
  <c r="AA142" i="33"/>
  <c r="AH142" i="33"/>
  <c r="M142" i="33"/>
  <c r="BX142" i="33"/>
  <c r="B178" i="33"/>
  <c r="CS142" i="33"/>
  <c r="AV142" i="33"/>
  <c r="T142" i="33"/>
  <c r="B151" i="33"/>
  <c r="C113" i="33"/>
  <c r="CS147" i="32"/>
  <c r="BQ147" i="32"/>
  <c r="AO147" i="32"/>
  <c r="M147" i="32"/>
  <c r="CL147" i="32"/>
  <c r="BJ147" i="32"/>
  <c r="AH147" i="32"/>
  <c r="CE147" i="32"/>
  <c r="BC147" i="32"/>
  <c r="AA147" i="32"/>
  <c r="B183" i="32"/>
  <c r="BX147" i="32"/>
  <c r="AV147" i="32"/>
  <c r="T147" i="32"/>
  <c r="CL151" i="32"/>
  <c r="BJ151" i="32"/>
  <c r="AH151" i="32"/>
  <c r="CE151" i="32"/>
  <c r="BC151" i="32"/>
  <c r="AA151" i="32"/>
  <c r="B187" i="32"/>
  <c r="BX151" i="32"/>
  <c r="AV151" i="32"/>
  <c r="T151" i="32"/>
  <c r="CS151" i="32"/>
  <c r="BQ151" i="32"/>
  <c r="AO151" i="32"/>
  <c r="M151" i="32"/>
  <c r="BC142" i="32"/>
  <c r="BQ142" i="32"/>
  <c r="AH142" i="32"/>
  <c r="BJ142" i="32"/>
  <c r="AA142" i="32"/>
  <c r="AO142" i="32"/>
  <c r="AV142" i="32"/>
  <c r="B178" i="32"/>
  <c r="M142" i="32"/>
  <c r="T142" i="32"/>
  <c r="CE142" i="32"/>
  <c r="CS142" i="32"/>
  <c r="CL142" i="32"/>
  <c r="BX142" i="32"/>
  <c r="BX143" i="32"/>
  <c r="BJ143" i="32"/>
  <c r="BQ143" i="32"/>
  <c r="AA143" i="32"/>
  <c r="AV143" i="32"/>
  <c r="AH143" i="32"/>
  <c r="M143" i="32"/>
  <c r="CE143" i="32"/>
  <c r="T143" i="32"/>
  <c r="BC143" i="32"/>
  <c r="CS143" i="32"/>
  <c r="B179" i="32"/>
  <c r="CL143" i="32"/>
  <c r="AO143" i="32"/>
  <c r="T150" i="32"/>
  <c r="AA150" i="32"/>
  <c r="B186" i="32"/>
  <c r="CL150" i="32"/>
  <c r="BC150" i="32"/>
  <c r="CE150" i="32"/>
  <c r="BX150" i="32"/>
  <c r="BJ150" i="32"/>
  <c r="BQ150" i="32"/>
  <c r="AO150" i="32"/>
  <c r="AV150" i="32"/>
  <c r="AH150" i="32"/>
  <c r="M150" i="32"/>
  <c r="CS150" i="32"/>
  <c r="B148" i="32"/>
  <c r="C110" i="32"/>
  <c r="B180" i="32"/>
  <c r="BX144" i="32"/>
  <c r="AV144" i="32"/>
  <c r="T144" i="32"/>
  <c r="CS144" i="32"/>
  <c r="BQ144" i="32"/>
  <c r="AO144" i="32"/>
  <c r="M144" i="32"/>
  <c r="CL144" i="32"/>
  <c r="BJ144" i="32"/>
  <c r="AH144" i="32"/>
  <c r="CE144" i="32"/>
  <c r="BC144" i="32"/>
  <c r="AA144" i="32"/>
  <c r="CE146" i="32"/>
  <c r="BC146" i="32"/>
  <c r="AA146" i="32"/>
  <c r="B182" i="32"/>
  <c r="BX146" i="32"/>
  <c r="AV146" i="32"/>
  <c r="T146" i="32"/>
  <c r="CS146" i="32"/>
  <c r="BQ146" i="32"/>
  <c r="AO146" i="32"/>
  <c r="M146" i="32"/>
  <c r="CL146" i="32"/>
  <c r="BJ146" i="32"/>
  <c r="AH146" i="32"/>
  <c r="B149" i="32"/>
  <c r="C111" i="32"/>
  <c r="B152" i="32"/>
  <c r="C114" i="32"/>
  <c r="C44" i="14"/>
  <c r="C47" i="14"/>
  <c r="C46" i="14"/>
  <c r="C45" i="14"/>
  <c r="AO49" i="5"/>
  <c r="S50" i="5"/>
  <c r="AR51" i="5" s="1"/>
  <c r="AQ50" i="5"/>
  <c r="O143" i="5"/>
  <c r="AM143" i="5"/>
  <c r="N144" i="5"/>
  <c r="N162" i="48" s="1"/>
  <c r="N153" i="5"/>
  <c r="AL153" i="5"/>
  <c r="M154" i="5"/>
  <c r="AK154" i="5"/>
  <c r="S109" i="5"/>
  <c r="AQ109" i="5"/>
  <c r="AR113" i="5"/>
  <c r="AQ112" i="5"/>
  <c r="AO145" i="5"/>
  <c r="P148" i="5"/>
  <c r="Q147" i="5"/>
  <c r="AP146" i="5" s="1"/>
  <c r="AP47" i="5"/>
  <c r="AP44" i="5"/>
  <c r="R46" i="5"/>
  <c r="R65" i="5" s="1"/>
  <c r="Q14" i="5"/>
  <c r="Q33" i="5" s="1"/>
  <c r="AO12" i="5"/>
  <c r="AO157" i="5"/>
  <c r="AO159" i="5" s="1"/>
  <c r="AO166" i="5" s="1"/>
  <c r="R93" i="5"/>
  <c r="AQ92" i="5" s="1"/>
  <c r="Q94" i="5"/>
  <c r="AP91" i="5"/>
  <c r="AP93" i="5" s="1"/>
  <c r="AP94" i="5" s="1"/>
  <c r="AW185" i="33"/>
  <c r="AQ185" i="33"/>
  <c r="BC185" i="33"/>
  <c r="S185" i="33"/>
  <c r="Y185" i="33"/>
  <c r="M185" i="33"/>
  <c r="AE185" i="33"/>
  <c r="AK185" i="33"/>
  <c r="A108" i="33"/>
  <c r="A146" i="33" s="1"/>
  <c r="A182" i="33" s="1"/>
  <c r="A70" i="33"/>
  <c r="BC186" i="33"/>
  <c r="Y186" i="33"/>
  <c r="AE186" i="33"/>
  <c r="M186" i="33"/>
  <c r="AW186" i="33"/>
  <c r="AK186" i="33"/>
  <c r="AQ186" i="33"/>
  <c r="S186" i="33"/>
  <c r="D147" i="33"/>
  <c r="C71" i="33"/>
  <c r="AQ184" i="33"/>
  <c r="AK184" i="33"/>
  <c r="BC184" i="33"/>
  <c r="AE184" i="33"/>
  <c r="Y184" i="33"/>
  <c r="AW184" i="33"/>
  <c r="M184" i="33"/>
  <c r="S184" i="33"/>
  <c r="AW182" i="33"/>
  <c r="AK182" i="33"/>
  <c r="BC182" i="33"/>
  <c r="AQ182" i="33"/>
  <c r="M182" i="33"/>
  <c r="Y182" i="33"/>
  <c r="AE182" i="33"/>
  <c r="S182" i="33"/>
  <c r="D182" i="33"/>
  <c r="E146" i="33"/>
  <c r="BC181" i="33"/>
  <c r="AW181" i="33"/>
  <c r="AQ181" i="33"/>
  <c r="AK181" i="33"/>
  <c r="M181" i="33"/>
  <c r="S181" i="33"/>
  <c r="Y181" i="33"/>
  <c r="AE181" i="33"/>
  <c r="BC188" i="33"/>
  <c r="AE188" i="33"/>
  <c r="AW188" i="33"/>
  <c r="S188" i="33"/>
  <c r="AK188" i="33"/>
  <c r="M188" i="33"/>
  <c r="Y188" i="33"/>
  <c r="AQ188" i="33"/>
  <c r="BC181" i="32"/>
  <c r="AQ181" i="32"/>
  <c r="AE181" i="32"/>
  <c r="S181" i="32"/>
  <c r="AW181" i="32"/>
  <c r="M181" i="32"/>
  <c r="Y181" i="32"/>
  <c r="AK181" i="32"/>
  <c r="C71" i="32"/>
  <c r="D147" i="32"/>
  <c r="A109" i="32"/>
  <c r="A147" i="32" s="1"/>
  <c r="A183" i="32" s="1"/>
  <c r="A71" i="32"/>
  <c r="D182" i="32"/>
  <c r="E146" i="32"/>
  <c r="C160" i="13"/>
  <c r="AM144" i="5" l="1"/>
  <c r="AQ114" i="5"/>
  <c r="AQ118" i="5" s="1"/>
  <c r="AQ52" i="5"/>
  <c r="N155" i="11"/>
  <c r="N149" i="5"/>
  <c r="AR110" i="5"/>
  <c r="Q106" i="5"/>
  <c r="T159" i="5"/>
  <c r="T166" i="5" s="1"/>
  <c r="AR158" i="5"/>
  <c r="AQ45" i="5"/>
  <c r="AP46" i="5"/>
  <c r="AO14" i="5"/>
  <c r="AO33" i="5" s="1"/>
  <c r="AP13" i="5"/>
  <c r="T55" i="5"/>
  <c r="T52" i="5"/>
  <c r="AK180" i="33"/>
  <c r="AW180" i="33"/>
  <c r="S180" i="33"/>
  <c r="M180" i="33"/>
  <c r="BC180" i="33"/>
  <c r="AQ180" i="33"/>
  <c r="AE180" i="33"/>
  <c r="Y180" i="33"/>
  <c r="AW179" i="33"/>
  <c r="Y179" i="33"/>
  <c r="AK179" i="33"/>
  <c r="AQ179" i="33"/>
  <c r="BC179" i="33"/>
  <c r="AE179" i="33"/>
  <c r="S179" i="33"/>
  <c r="M179" i="33"/>
  <c r="G109" i="33"/>
  <c r="F112" i="33" s="1"/>
  <c r="G108" i="33"/>
  <c r="F111" i="33" s="1"/>
  <c r="CS151" i="33"/>
  <c r="CL151" i="33"/>
  <c r="BC151" i="33"/>
  <c r="BJ151" i="33"/>
  <c r="BQ151" i="33"/>
  <c r="BX151" i="33"/>
  <c r="AA151" i="33"/>
  <c r="AO151" i="33"/>
  <c r="AV151" i="33"/>
  <c r="CE151" i="33"/>
  <c r="B187" i="33"/>
  <c r="M151" i="33"/>
  <c r="T151" i="33"/>
  <c r="AH151" i="33"/>
  <c r="BC178" i="33"/>
  <c r="S178" i="33"/>
  <c r="AK178" i="33"/>
  <c r="AW178" i="33"/>
  <c r="M178" i="33"/>
  <c r="AE178" i="33"/>
  <c r="Y178" i="33"/>
  <c r="AQ178" i="33"/>
  <c r="CL147" i="33"/>
  <c r="BQ147" i="33"/>
  <c r="AA147" i="33"/>
  <c r="CE147" i="33"/>
  <c r="N155" i="33"/>
  <c r="U155" i="33" s="1"/>
  <c r="AB155" i="33" s="1"/>
  <c r="AI155" i="33" s="1"/>
  <c r="AP155" i="33" s="1"/>
  <c r="AW155" i="33" s="1"/>
  <c r="BD155" i="33" s="1"/>
  <c r="BK155" i="33" s="1"/>
  <c r="BR155" i="33" s="1"/>
  <c r="BY155" i="33" s="1"/>
  <c r="CF155" i="33" s="1"/>
  <c r="CM155" i="33" s="1"/>
  <c r="CT155" i="33" s="1"/>
  <c r="BJ147" i="33"/>
  <c r="AO147" i="33"/>
  <c r="BC147" i="33"/>
  <c r="AH147" i="33"/>
  <c r="BX147" i="33"/>
  <c r="T147" i="33"/>
  <c r="B183" i="33"/>
  <c r="CS147" i="33"/>
  <c r="AV147" i="33"/>
  <c r="M147" i="33"/>
  <c r="T149" i="32"/>
  <c r="AA149" i="32"/>
  <c r="B185" i="32"/>
  <c r="CL149" i="32"/>
  <c r="BC149" i="32"/>
  <c r="CE149" i="32"/>
  <c r="BX149" i="32"/>
  <c r="BJ149" i="32"/>
  <c r="BQ149" i="32"/>
  <c r="AO149" i="32"/>
  <c r="AV149" i="32"/>
  <c r="AH149" i="32"/>
  <c r="M149" i="32"/>
  <c r="CS149" i="32"/>
  <c r="AQ182" i="32"/>
  <c r="S182" i="32"/>
  <c r="AK182" i="32"/>
  <c r="M182" i="32"/>
  <c r="BC182" i="32"/>
  <c r="AE182" i="32"/>
  <c r="AW182" i="32"/>
  <c r="Y182" i="32"/>
  <c r="BX148" i="32"/>
  <c r="BJ148" i="32"/>
  <c r="BQ148" i="32"/>
  <c r="AO148" i="32"/>
  <c r="AV148" i="32"/>
  <c r="AH148" i="32"/>
  <c r="M148" i="32"/>
  <c r="CS148" i="32"/>
  <c r="T148" i="32"/>
  <c r="AA148" i="32"/>
  <c r="B184" i="32"/>
  <c r="CL148" i="32"/>
  <c r="BC148" i="32"/>
  <c r="CE148" i="32"/>
  <c r="Y186" i="32"/>
  <c r="AQ186" i="32"/>
  <c r="AE186" i="32"/>
  <c r="S186" i="32"/>
  <c r="AK186" i="32"/>
  <c r="M186" i="32"/>
  <c r="BC186" i="32"/>
  <c r="AW186" i="32"/>
  <c r="AK183" i="32"/>
  <c r="S183" i="32"/>
  <c r="BC183" i="32"/>
  <c r="AQ183" i="32"/>
  <c r="AE183" i="32"/>
  <c r="Y183" i="32"/>
  <c r="M183" i="32"/>
  <c r="AW183" i="32"/>
  <c r="AQ187" i="32"/>
  <c r="AE187" i="32"/>
  <c r="Y187" i="32"/>
  <c r="S187" i="32"/>
  <c r="BC187" i="32"/>
  <c r="AK187" i="32"/>
  <c r="AW187" i="32"/>
  <c r="M187" i="32"/>
  <c r="AE180" i="32"/>
  <c r="S180" i="32"/>
  <c r="BC180" i="32"/>
  <c r="AK180" i="32"/>
  <c r="AW180" i="32"/>
  <c r="AQ180" i="32"/>
  <c r="M180" i="32"/>
  <c r="Y180" i="32"/>
  <c r="BC178" i="32"/>
  <c r="AQ178" i="32"/>
  <c r="AW178" i="32"/>
  <c r="AE178" i="32"/>
  <c r="S178" i="32"/>
  <c r="AK178" i="32"/>
  <c r="M178" i="32"/>
  <c r="Y178" i="32"/>
  <c r="AW179" i="32"/>
  <c r="AK179" i="32"/>
  <c r="S179" i="32"/>
  <c r="Y179" i="32"/>
  <c r="M179" i="32"/>
  <c r="AE179" i="32"/>
  <c r="BC179" i="32"/>
  <c r="AQ179" i="32"/>
  <c r="G109" i="32"/>
  <c r="F112" i="32" s="1"/>
  <c r="G108" i="32"/>
  <c r="F111" i="32" s="1"/>
  <c r="CS152" i="32"/>
  <c r="BJ152" i="32"/>
  <c r="AH152" i="32"/>
  <c r="CL152" i="32"/>
  <c r="BC152" i="32"/>
  <c r="AA152" i="32"/>
  <c r="BX152" i="32"/>
  <c r="CE152" i="32"/>
  <c r="AV152" i="32"/>
  <c r="T152" i="32"/>
  <c r="B188" i="32"/>
  <c r="BQ152" i="32"/>
  <c r="AO152" i="32"/>
  <c r="M152" i="32"/>
  <c r="N155" i="32"/>
  <c r="U155" i="32" s="1"/>
  <c r="AB155" i="32" s="1"/>
  <c r="AI155" i="32" s="1"/>
  <c r="AP155" i="32" s="1"/>
  <c r="AW155" i="32" s="1"/>
  <c r="BD155" i="32" s="1"/>
  <c r="BK155" i="32" s="1"/>
  <c r="BR155" i="32" s="1"/>
  <c r="BY155" i="32" s="1"/>
  <c r="CF155" i="32" s="1"/>
  <c r="CM155" i="32" s="1"/>
  <c r="CT155" i="32" s="1"/>
  <c r="AP49" i="5"/>
  <c r="AR50" i="5"/>
  <c r="O153" i="5"/>
  <c r="AM153" i="5"/>
  <c r="N154" i="5"/>
  <c r="AL154" i="5"/>
  <c r="P143" i="5"/>
  <c r="O144" i="5"/>
  <c r="O162" i="48" s="1"/>
  <c r="AN143" i="5"/>
  <c r="T111" i="5"/>
  <c r="AR109" i="5"/>
  <c r="AS113" i="5"/>
  <c r="AR112" i="5"/>
  <c r="AP145" i="5"/>
  <c r="R147" i="5"/>
  <c r="AQ146" i="5" s="1"/>
  <c r="Q148" i="5"/>
  <c r="AQ44" i="5"/>
  <c r="S44" i="5"/>
  <c r="S47" i="5"/>
  <c r="AQ47" i="5"/>
  <c r="R14" i="5"/>
  <c r="R33" i="5" s="1"/>
  <c r="AP12" i="5"/>
  <c r="AP157" i="5"/>
  <c r="AP159" i="5" s="1"/>
  <c r="AP166" i="5" s="1"/>
  <c r="S91" i="5"/>
  <c r="AR92" i="5" s="1"/>
  <c r="R94" i="5"/>
  <c r="AQ91" i="5"/>
  <c r="AQ93" i="5" s="1"/>
  <c r="AQ94" i="5" s="1"/>
  <c r="D148" i="33"/>
  <c r="C72" i="33"/>
  <c r="D183" i="33"/>
  <c r="E147" i="33"/>
  <c r="A109" i="33"/>
  <c r="A147" i="33" s="1"/>
  <c r="A183" i="33" s="1"/>
  <c r="A71" i="33"/>
  <c r="D183" i="32"/>
  <c r="E147" i="32"/>
  <c r="D148" i="32"/>
  <c r="C72" i="32"/>
  <c r="A110" i="32"/>
  <c r="A148" i="32" s="1"/>
  <c r="A184" i="32" s="1"/>
  <c r="A72" i="32"/>
  <c r="AN144" i="5" l="1"/>
  <c r="AR52" i="5"/>
  <c r="AR114" i="5"/>
  <c r="AR118" i="5" s="1"/>
  <c r="O155" i="11"/>
  <c r="O149" i="5"/>
  <c r="AS110" i="5"/>
  <c r="S65" i="5"/>
  <c r="R106" i="5"/>
  <c r="AS158" i="5"/>
  <c r="U159" i="5"/>
  <c r="U166" i="5" s="1"/>
  <c r="AR45" i="5"/>
  <c r="AQ46" i="5"/>
  <c r="AP14" i="5"/>
  <c r="AP33" i="5" s="1"/>
  <c r="AQ13" i="5"/>
  <c r="U52" i="5"/>
  <c r="AS51" i="5"/>
  <c r="T49" i="5"/>
  <c r="AR48" i="5"/>
  <c r="U55" i="5"/>
  <c r="AK183" i="33"/>
  <c r="Y183" i="33"/>
  <c r="AG182" i="33"/>
  <c r="U182" i="33"/>
  <c r="AQ183" i="33"/>
  <c r="M183" i="33"/>
  <c r="BE182" i="33"/>
  <c r="F183" i="33"/>
  <c r="N191" i="33" s="1"/>
  <c r="T191" i="33" s="1"/>
  <c r="Z191" i="33" s="1"/>
  <c r="AF191" i="33" s="1"/>
  <c r="AL191" i="33" s="1"/>
  <c r="AR191" i="33" s="1"/>
  <c r="AX191" i="33" s="1"/>
  <c r="BD191" i="33" s="1"/>
  <c r="BC183" i="33"/>
  <c r="S183" i="33"/>
  <c r="AM182" i="33"/>
  <c r="AA182" i="33"/>
  <c r="AY182" i="33"/>
  <c r="AW183" i="33"/>
  <c r="AE183" i="33"/>
  <c r="O182" i="33"/>
  <c r="AS182" i="33"/>
  <c r="B131" i="33"/>
  <c r="I136" i="33"/>
  <c r="I128" i="33"/>
  <c r="I120" i="33"/>
  <c r="I131" i="33"/>
  <c r="I117" i="33"/>
  <c r="B136" i="33"/>
  <c r="I123" i="33"/>
  <c r="I113" i="33"/>
  <c r="I135" i="33"/>
  <c r="B120" i="33"/>
  <c r="B123" i="33"/>
  <c r="I130" i="33"/>
  <c r="B124" i="33"/>
  <c r="I129" i="33"/>
  <c r="B134" i="33"/>
  <c r="B126" i="33"/>
  <c r="B118" i="33"/>
  <c r="B125" i="33"/>
  <c r="I116" i="33"/>
  <c r="I134" i="33"/>
  <c r="I122" i="33"/>
  <c r="I107" i="33"/>
  <c r="B129" i="33"/>
  <c r="B119" i="33"/>
  <c r="B115" i="33"/>
  <c r="I114" i="33"/>
  <c r="B135" i="33"/>
  <c r="B127" i="33"/>
  <c r="I132" i="33"/>
  <c r="I124" i="33"/>
  <c r="B116" i="33"/>
  <c r="I119" i="33"/>
  <c r="I108" i="33"/>
  <c r="B128" i="33"/>
  <c r="I121" i="33"/>
  <c r="I106" i="33"/>
  <c r="I127" i="33"/>
  <c r="B117" i="33"/>
  <c r="I112" i="33"/>
  <c r="B132" i="33"/>
  <c r="I133" i="33"/>
  <c r="I125" i="33"/>
  <c r="B130" i="33"/>
  <c r="B122" i="33"/>
  <c r="B133" i="33"/>
  <c r="I118" i="33"/>
  <c r="I104" i="33"/>
  <c r="I126" i="33"/>
  <c r="I115" i="33"/>
  <c r="I105" i="33"/>
  <c r="B121" i="33"/>
  <c r="I111" i="33"/>
  <c r="I110" i="33"/>
  <c r="I109" i="33"/>
  <c r="AM183" i="33"/>
  <c r="O183" i="33"/>
  <c r="M187" i="33"/>
  <c r="AW187" i="33"/>
  <c r="F184" i="33"/>
  <c r="AG183" i="33"/>
  <c r="AQ187" i="33"/>
  <c r="Y187" i="33"/>
  <c r="AY183" i="33"/>
  <c r="AA183" i="33"/>
  <c r="S187" i="33"/>
  <c r="AK187" i="33"/>
  <c r="AS183" i="33"/>
  <c r="U183" i="33"/>
  <c r="BE183" i="33"/>
  <c r="AE187" i="33"/>
  <c r="BC187" i="33"/>
  <c r="AW185" i="32"/>
  <c r="BC185" i="32"/>
  <c r="M185" i="32"/>
  <c r="AQ185" i="32"/>
  <c r="Y185" i="32"/>
  <c r="AE185" i="32"/>
  <c r="AK185" i="32"/>
  <c r="S185" i="32"/>
  <c r="AQ184" i="32"/>
  <c r="AW184" i="32"/>
  <c r="BC184" i="32"/>
  <c r="M184" i="32"/>
  <c r="S184" i="32"/>
  <c r="AK184" i="32"/>
  <c r="AE184" i="32"/>
  <c r="Y184" i="32"/>
  <c r="AW188" i="32"/>
  <c r="AQ188" i="32"/>
  <c r="M188" i="32"/>
  <c r="AE188" i="32"/>
  <c r="BC188" i="32"/>
  <c r="Y188" i="32"/>
  <c r="S188" i="32"/>
  <c r="AK188" i="32"/>
  <c r="F183" i="32"/>
  <c r="N191" i="32" s="1"/>
  <c r="T191" i="32" s="1"/>
  <c r="Z191" i="32" s="1"/>
  <c r="AF191" i="32" s="1"/>
  <c r="AL191" i="32" s="1"/>
  <c r="AR191" i="32" s="1"/>
  <c r="AX191" i="32" s="1"/>
  <c r="BD191" i="32" s="1"/>
  <c r="AA183" i="32"/>
  <c r="U183" i="32"/>
  <c r="U182" i="32"/>
  <c r="F184" i="32"/>
  <c r="O183" i="32"/>
  <c r="AA182" i="32"/>
  <c r="AS182" i="32"/>
  <c r="BE183" i="32"/>
  <c r="AY183" i="32"/>
  <c r="AG183" i="32"/>
  <c r="BE182" i="32"/>
  <c r="AM182" i="32"/>
  <c r="AM183" i="32"/>
  <c r="AS183" i="32"/>
  <c r="AY182" i="32"/>
  <c r="O182" i="32"/>
  <c r="AG182" i="32"/>
  <c r="B136" i="32"/>
  <c r="B128" i="32"/>
  <c r="B120" i="32"/>
  <c r="I108" i="32"/>
  <c r="B131" i="32"/>
  <c r="B123" i="32"/>
  <c r="I115" i="32"/>
  <c r="I135" i="32"/>
  <c r="I119" i="32"/>
  <c r="I131" i="32"/>
  <c r="B134" i="32"/>
  <c r="B118" i="32"/>
  <c r="I120" i="32"/>
  <c r="B122" i="32"/>
  <c r="I123" i="32"/>
  <c r="I107" i="32"/>
  <c r="I134" i="32"/>
  <c r="I126" i="32"/>
  <c r="I118" i="32"/>
  <c r="I104" i="32"/>
  <c r="I129" i="32"/>
  <c r="I121" i="32"/>
  <c r="I114" i="32"/>
  <c r="B129" i="32"/>
  <c r="I116" i="32"/>
  <c r="B125" i="32"/>
  <c r="I132" i="32"/>
  <c r="I111" i="32"/>
  <c r="I136" i="32"/>
  <c r="B116" i="32"/>
  <c r="I127" i="32"/>
  <c r="B126" i="32"/>
  <c r="I106" i="32"/>
  <c r="B132" i="32"/>
  <c r="B124" i="32"/>
  <c r="B117" i="32"/>
  <c r="B135" i="32"/>
  <c r="B127" i="32"/>
  <c r="B119" i="32"/>
  <c r="I113" i="32"/>
  <c r="I110" i="32"/>
  <c r="B130" i="32"/>
  <c r="I130" i="32"/>
  <c r="I122" i="32"/>
  <c r="B115" i="32"/>
  <c r="I133" i="32"/>
  <c r="I125" i="32"/>
  <c r="I117" i="32"/>
  <c r="I112" i="32"/>
  <c r="B121" i="32"/>
  <c r="B133" i="32"/>
  <c r="I109" i="32"/>
  <c r="I124" i="32"/>
  <c r="I105" i="32"/>
  <c r="I128" i="32"/>
  <c r="AQ49" i="5"/>
  <c r="AS50" i="5"/>
  <c r="Q143" i="5"/>
  <c r="P144" i="5"/>
  <c r="P162" i="48" s="1"/>
  <c r="AO143" i="5"/>
  <c r="O154" i="5"/>
  <c r="AM154" i="5"/>
  <c r="P153" i="5"/>
  <c r="AN153" i="5"/>
  <c r="U111" i="5"/>
  <c r="AS109" i="5"/>
  <c r="AT113" i="5"/>
  <c r="AS112" i="5"/>
  <c r="S145" i="5"/>
  <c r="AR146" i="5" s="1"/>
  <c r="R148" i="5"/>
  <c r="AQ145" i="5"/>
  <c r="T46" i="5"/>
  <c r="AR44" i="5"/>
  <c r="AR47" i="5"/>
  <c r="S12" i="5"/>
  <c r="S33" i="5" s="1"/>
  <c r="AQ12" i="5"/>
  <c r="AQ157" i="5"/>
  <c r="AQ159" i="5" s="1"/>
  <c r="AQ166" i="5" s="1"/>
  <c r="T93" i="5"/>
  <c r="AS92" i="5" s="1"/>
  <c r="AR91" i="5"/>
  <c r="AR93" i="5" s="1"/>
  <c r="AR94" i="5" s="1"/>
  <c r="A72" i="33"/>
  <c r="A110" i="33"/>
  <c r="A148" i="33" s="1"/>
  <c r="A184" i="33" s="1"/>
  <c r="D149" i="33"/>
  <c r="E149" i="33" s="1"/>
  <c r="C73" i="33"/>
  <c r="D184" i="33"/>
  <c r="E148" i="33"/>
  <c r="D184" i="32"/>
  <c r="E148" i="32"/>
  <c r="A111" i="32"/>
  <c r="A149" i="32" s="1"/>
  <c r="A185" i="32" s="1"/>
  <c r="A73" i="32"/>
  <c r="D149" i="32"/>
  <c r="E149" i="32" s="1"/>
  <c r="C73" i="32"/>
  <c r="AG65" i="9"/>
  <c r="AG66" i="9"/>
  <c r="AG67" i="9"/>
  <c r="AG68" i="9"/>
  <c r="AG69" i="9"/>
  <c r="AG70" i="9"/>
  <c r="AG71" i="9"/>
  <c r="AG64" i="9"/>
  <c r="AO144" i="5" l="1"/>
  <c r="AS114" i="5"/>
  <c r="AS118" i="5" s="1"/>
  <c r="P155" i="11"/>
  <c r="P149" i="5"/>
  <c r="T65" i="5"/>
  <c r="AT110" i="5"/>
  <c r="S106" i="5"/>
  <c r="AT158" i="5"/>
  <c r="V159" i="5"/>
  <c r="V166" i="5" s="1"/>
  <c r="AR46" i="5"/>
  <c r="AS45" i="5"/>
  <c r="AQ14" i="5"/>
  <c r="AQ33" i="5" s="1"/>
  <c r="AR13" i="5"/>
  <c r="S94" i="5"/>
  <c r="V55" i="5"/>
  <c r="V52" i="5"/>
  <c r="AT51" i="5"/>
  <c r="AS52" i="5"/>
  <c r="U49" i="5"/>
  <c r="AS48" i="5"/>
  <c r="D10" i="33"/>
  <c r="J109" i="33"/>
  <c r="K109" i="33"/>
  <c r="L109" i="33"/>
  <c r="D6" i="33"/>
  <c r="J105" i="33"/>
  <c r="L105" i="33"/>
  <c r="K105" i="33"/>
  <c r="L118" i="33"/>
  <c r="D19" i="33"/>
  <c r="B45" i="33" s="1"/>
  <c r="L125" i="33"/>
  <c r="D26" i="33"/>
  <c r="D25" i="33"/>
  <c r="L124" i="33"/>
  <c r="L114" i="33"/>
  <c r="J114" i="33"/>
  <c r="K114" i="33"/>
  <c r="D15" i="33"/>
  <c r="J107" i="33"/>
  <c r="K107" i="33"/>
  <c r="L107" i="33"/>
  <c r="D8" i="33"/>
  <c r="L129" i="33"/>
  <c r="D30" i="33"/>
  <c r="F50" i="14" s="1"/>
  <c r="L128" i="33"/>
  <c r="D29" i="33"/>
  <c r="D45" i="33" s="1"/>
  <c r="K110" i="33"/>
  <c r="D11" i="33"/>
  <c r="J110" i="33"/>
  <c r="L110" i="33"/>
  <c r="L115" i="33"/>
  <c r="D16" i="33"/>
  <c r="L133" i="33"/>
  <c r="D34" i="33"/>
  <c r="E45" i="33" s="1"/>
  <c r="L127" i="33"/>
  <c r="D28" i="33"/>
  <c r="L108" i="33"/>
  <c r="J108" i="33"/>
  <c r="D9" i="33"/>
  <c r="K108" i="33"/>
  <c r="L132" i="33"/>
  <c r="D33" i="33"/>
  <c r="L122" i="33"/>
  <c r="D23" i="33"/>
  <c r="L135" i="33"/>
  <c r="D36" i="33"/>
  <c r="D18" i="33"/>
  <c r="L117" i="33"/>
  <c r="D37" i="33"/>
  <c r="L136" i="33"/>
  <c r="K111" i="33"/>
  <c r="D12" i="33"/>
  <c r="J111" i="33"/>
  <c r="L111" i="33"/>
  <c r="D27" i="33"/>
  <c r="L126" i="33"/>
  <c r="J106" i="33"/>
  <c r="L106" i="33"/>
  <c r="D7" i="33"/>
  <c r="K106" i="33"/>
  <c r="L119" i="33"/>
  <c r="D20" i="33"/>
  <c r="D50" i="14" s="1"/>
  <c r="D35" i="33"/>
  <c r="G50" i="14" s="1"/>
  <c r="L134" i="33"/>
  <c r="D31" i="33"/>
  <c r="L130" i="33"/>
  <c r="J113" i="33"/>
  <c r="L113" i="33"/>
  <c r="D14" i="33"/>
  <c r="K113" i="33"/>
  <c r="L131" i="33"/>
  <c r="D32" i="33"/>
  <c r="K104" i="33"/>
  <c r="D5" i="33"/>
  <c r="J104" i="33"/>
  <c r="I103" i="33"/>
  <c r="G115" i="33" s="1"/>
  <c r="D39" i="33" s="1"/>
  <c r="K112" i="33"/>
  <c r="L112" i="33"/>
  <c r="D13" i="33"/>
  <c r="J112" i="33"/>
  <c r="D22" i="33"/>
  <c r="L121" i="33"/>
  <c r="L116" i="33"/>
  <c r="D17" i="33"/>
  <c r="L123" i="33"/>
  <c r="D24" i="33"/>
  <c r="C45" i="33" s="1"/>
  <c r="D21" i="33"/>
  <c r="L120" i="33"/>
  <c r="L124" i="32"/>
  <c r="D25" i="32"/>
  <c r="L112" i="32"/>
  <c r="K112" i="32"/>
  <c r="D13" i="32"/>
  <c r="J112" i="32"/>
  <c r="D11" i="32"/>
  <c r="J110" i="32"/>
  <c r="L110" i="32"/>
  <c r="K110" i="32"/>
  <c r="L106" i="32"/>
  <c r="J106" i="32"/>
  <c r="D7" i="32"/>
  <c r="K106" i="32"/>
  <c r="L136" i="32"/>
  <c r="D37" i="32"/>
  <c r="L116" i="32"/>
  <c r="D17" i="32"/>
  <c r="L129" i="32"/>
  <c r="D30" i="32"/>
  <c r="L134" i="32"/>
  <c r="D35" i="32"/>
  <c r="L120" i="32"/>
  <c r="D21" i="32"/>
  <c r="L119" i="32"/>
  <c r="D20" i="32"/>
  <c r="J109" i="32"/>
  <c r="K109" i="32"/>
  <c r="L109" i="32"/>
  <c r="D10" i="32"/>
  <c r="L117" i="32"/>
  <c r="D18" i="32"/>
  <c r="L122" i="32"/>
  <c r="D23" i="32"/>
  <c r="L113" i="32"/>
  <c r="J113" i="32"/>
  <c r="D14" i="32"/>
  <c r="K113" i="32"/>
  <c r="D12" i="32"/>
  <c r="K111" i="32"/>
  <c r="J111" i="32"/>
  <c r="L111" i="32"/>
  <c r="J104" i="32"/>
  <c r="I103" i="32"/>
  <c r="G115" i="32" s="1"/>
  <c r="D39" i="32" s="1"/>
  <c r="K104" i="32"/>
  <c r="D5" i="32"/>
  <c r="K107" i="32"/>
  <c r="L107" i="32"/>
  <c r="D8" i="32"/>
  <c r="J107" i="32"/>
  <c r="D36" i="32"/>
  <c r="L135" i="32"/>
  <c r="J108" i="32"/>
  <c r="L108" i="32"/>
  <c r="K108" i="32"/>
  <c r="D9" i="32"/>
  <c r="D29" i="32"/>
  <c r="D45" i="32" s="1"/>
  <c r="L128" i="32"/>
  <c r="D26" i="32"/>
  <c r="L125" i="32"/>
  <c r="L130" i="32"/>
  <c r="D31" i="32"/>
  <c r="D28" i="32"/>
  <c r="L127" i="32"/>
  <c r="D33" i="32"/>
  <c r="L132" i="32"/>
  <c r="L114" i="32"/>
  <c r="K114" i="32"/>
  <c r="J114" i="32"/>
  <c r="D15" i="32"/>
  <c r="L118" i="32"/>
  <c r="D19" i="32"/>
  <c r="B45" i="32" s="1"/>
  <c r="D24" i="32"/>
  <c r="C45" i="32" s="1"/>
  <c r="L123" i="32"/>
  <c r="L115" i="32"/>
  <c r="D16" i="32"/>
  <c r="L105" i="32"/>
  <c r="J105" i="32"/>
  <c r="K105" i="32"/>
  <c r="D6" i="32"/>
  <c r="L133" i="32"/>
  <c r="D34" i="32"/>
  <c r="E45" i="32" s="1"/>
  <c r="L121" i="32"/>
  <c r="D22" i="32"/>
  <c r="D27" i="32"/>
  <c r="L126" i="32"/>
  <c r="D32" i="32"/>
  <c r="L131" i="32"/>
  <c r="AR49" i="5"/>
  <c r="AT50" i="5"/>
  <c r="Q153" i="5"/>
  <c r="AO153" i="5"/>
  <c r="R143" i="5"/>
  <c r="Q144" i="5"/>
  <c r="Q162" i="48" s="1"/>
  <c r="AP143" i="5"/>
  <c r="P154" i="5"/>
  <c r="AN154" i="5"/>
  <c r="V111" i="5"/>
  <c r="AT109" i="5"/>
  <c r="AU113" i="5"/>
  <c r="AT112" i="5"/>
  <c r="S148" i="5"/>
  <c r="T147" i="5"/>
  <c r="AS146" i="5" s="1"/>
  <c r="AR145" i="5"/>
  <c r="AS47" i="5"/>
  <c r="AS44" i="5"/>
  <c r="U46" i="5"/>
  <c r="U65" i="5" s="1"/>
  <c r="AR12" i="5"/>
  <c r="T14" i="5"/>
  <c r="T33" i="5" s="1"/>
  <c r="AR157" i="5"/>
  <c r="AR159" i="5" s="1"/>
  <c r="AR166" i="5" s="1"/>
  <c r="U93" i="5"/>
  <c r="AT92" i="5" s="1"/>
  <c r="T94" i="5"/>
  <c r="AS91" i="5"/>
  <c r="AS93" i="5" s="1"/>
  <c r="AS94" i="5" s="1"/>
  <c r="D150" i="33"/>
  <c r="E150" i="33" s="1"/>
  <c r="C74" i="33"/>
  <c r="D185" i="33"/>
  <c r="D186" i="33" s="1"/>
  <c r="D187" i="33" s="1"/>
  <c r="D188" i="33" s="1"/>
  <c r="A73" i="33"/>
  <c r="A111" i="33"/>
  <c r="A149" i="33" s="1"/>
  <c r="A185" i="33" s="1"/>
  <c r="D185" i="32"/>
  <c r="D186" i="32" s="1"/>
  <c r="D187" i="32" s="1"/>
  <c r="D188" i="32" s="1"/>
  <c r="D189" i="32" s="1"/>
  <c r="D190" i="32" s="1"/>
  <c r="D191" i="32" s="1"/>
  <c r="D192" i="32" s="1"/>
  <c r="D193" i="32" s="1"/>
  <c r="D194" i="32" s="1"/>
  <c r="D195" i="32" s="1"/>
  <c r="D196" i="32" s="1"/>
  <c r="D197" i="32" s="1"/>
  <c r="D198" i="32" s="1"/>
  <c r="D199" i="32" s="1"/>
  <c r="AS185" i="32"/>
  <c r="AM184" i="32"/>
  <c r="AM186" i="32" s="1"/>
  <c r="AA184" i="32"/>
  <c r="AA186" i="32" s="1"/>
  <c r="A74" i="32"/>
  <c r="A112" i="32"/>
  <c r="A150" i="32" s="1"/>
  <c r="A186" i="32" s="1"/>
  <c r="D150" i="32"/>
  <c r="E150" i="32" s="1"/>
  <c r="C74" i="32"/>
  <c r="E45" i="14" l="1"/>
  <c r="G45" i="14"/>
  <c r="AM185" i="32"/>
  <c r="D45" i="14"/>
  <c r="U185" i="32"/>
  <c r="BE184" i="32"/>
  <c r="BE186" i="32" s="1"/>
  <c r="O185" i="32"/>
  <c r="F45" i="14"/>
  <c r="E50" i="14"/>
  <c r="AP144" i="5"/>
  <c r="AT114" i="5"/>
  <c r="AT118" i="5" s="1"/>
  <c r="Q155" i="11"/>
  <c r="Q149" i="5"/>
  <c r="AU110" i="5"/>
  <c r="T106" i="5"/>
  <c r="AR106" i="5"/>
  <c r="AU158" i="5"/>
  <c r="W159" i="5"/>
  <c r="W166" i="5" s="1"/>
  <c r="AT45" i="5"/>
  <c r="AS46" i="5"/>
  <c r="AR14" i="5"/>
  <c r="AR33" i="5" s="1"/>
  <c r="AS13" i="5"/>
  <c r="AT52" i="5"/>
  <c r="W52" i="5"/>
  <c r="AV51" i="5" s="1"/>
  <c r="AU51" i="5"/>
  <c r="V49" i="5"/>
  <c r="AT48" i="5"/>
  <c r="W55" i="5"/>
  <c r="AS49" i="5"/>
  <c r="G117" i="33"/>
  <c r="D41" i="33" s="1"/>
  <c r="G116" i="33"/>
  <c r="D40" i="33" s="1"/>
  <c r="G117" i="32"/>
  <c r="D41" i="32" s="1"/>
  <c r="G116" i="32"/>
  <c r="D40" i="32" s="1"/>
  <c r="AU50" i="5"/>
  <c r="Q154" i="5"/>
  <c r="AO154" i="5"/>
  <c r="S143" i="5"/>
  <c r="R144" i="5"/>
  <c r="R162" i="48" s="1"/>
  <c r="AQ143" i="5"/>
  <c r="R153" i="5"/>
  <c r="AP153" i="5"/>
  <c r="W111" i="5"/>
  <c r="AU109" i="5"/>
  <c r="AV113" i="5"/>
  <c r="AU112" i="5"/>
  <c r="AS145" i="5"/>
  <c r="U147" i="5"/>
  <c r="AT146" i="5" s="1"/>
  <c r="T148" i="5"/>
  <c r="V46" i="5"/>
  <c r="AT44" i="5"/>
  <c r="AT47" i="5"/>
  <c r="U14" i="5"/>
  <c r="U33" i="5" s="1"/>
  <c r="AS12" i="5"/>
  <c r="AS157" i="5"/>
  <c r="AS159" i="5" s="1"/>
  <c r="AS166" i="5" s="1"/>
  <c r="V93" i="5"/>
  <c r="AU92" i="5" s="1"/>
  <c r="U94" i="5"/>
  <c r="AT91" i="5"/>
  <c r="AT93" i="5" s="1"/>
  <c r="AT94" i="5" s="1"/>
  <c r="D189" i="33"/>
  <c r="D190" i="33" s="1"/>
  <c r="D191" i="33" s="1"/>
  <c r="D192" i="33" s="1"/>
  <c r="D193" i="33" s="1"/>
  <c r="D194" i="33" s="1"/>
  <c r="D195" i="33" s="1"/>
  <c r="D196" i="33" s="1"/>
  <c r="D197" i="33" s="1"/>
  <c r="D198" i="33" s="1"/>
  <c r="D199" i="33" s="1"/>
  <c r="AG185" i="33"/>
  <c r="O184" i="33"/>
  <c r="O186" i="33" s="1"/>
  <c r="BE184" i="33"/>
  <c r="BE186" i="33" s="1"/>
  <c r="O185" i="33"/>
  <c r="AA185" i="33"/>
  <c r="AS185" i="33"/>
  <c r="U185" i="33"/>
  <c r="AM185" i="33"/>
  <c r="AG184" i="33"/>
  <c r="AG186" i="33" s="1"/>
  <c r="AA184" i="33"/>
  <c r="AA186" i="33" s="1"/>
  <c r="AY185" i="33"/>
  <c r="AS184" i="33"/>
  <c r="AS186" i="33" s="1"/>
  <c r="A112" i="33"/>
  <c r="A150" i="33" s="1"/>
  <c r="A186" i="33" s="1"/>
  <c r="A74" i="33"/>
  <c r="U184" i="33"/>
  <c r="U186" i="33" s="1"/>
  <c r="AM184" i="33"/>
  <c r="AM186" i="33" s="1"/>
  <c r="D151" i="33"/>
  <c r="E151" i="33" s="1"/>
  <c r="C75" i="33"/>
  <c r="AY184" i="33"/>
  <c r="AY186" i="33" s="1"/>
  <c r="BE185" i="33"/>
  <c r="AG184" i="32"/>
  <c r="AG186" i="32" s="1"/>
  <c r="AG185" i="32"/>
  <c r="BE185" i="32"/>
  <c r="U184" i="32"/>
  <c r="U186" i="32" s="1"/>
  <c r="A75" i="32"/>
  <c r="A113" i="32"/>
  <c r="A151" i="32" s="1"/>
  <c r="A187" i="32" s="1"/>
  <c r="AN178" i="32"/>
  <c r="AN181" i="32"/>
  <c r="AO181" i="32" s="1"/>
  <c r="AN180" i="32"/>
  <c r="AO180" i="32" s="1"/>
  <c r="AN179" i="32"/>
  <c r="AO179" i="32" s="1"/>
  <c r="AN185" i="32"/>
  <c r="AO185" i="32" s="1"/>
  <c r="AN188" i="32"/>
  <c r="AO188" i="32" s="1"/>
  <c r="AN186" i="32"/>
  <c r="AO186" i="32" s="1"/>
  <c r="AN182" i="32"/>
  <c r="AO182" i="32" s="1"/>
  <c r="AN183" i="32"/>
  <c r="AO183" i="32" s="1"/>
  <c r="AN184" i="32"/>
  <c r="AO184" i="32" s="1"/>
  <c r="AN187" i="32"/>
  <c r="AO187" i="32" s="1"/>
  <c r="D200" i="32"/>
  <c r="D201" i="32" s="1"/>
  <c r="D202" i="32" s="1"/>
  <c r="D203" i="32" s="1"/>
  <c r="D204" i="32" s="1"/>
  <c r="D205" i="32" s="1"/>
  <c r="D206" i="32" s="1"/>
  <c r="D207" i="32" s="1"/>
  <c r="D208" i="32" s="1"/>
  <c r="D209" i="32" s="1"/>
  <c r="D210" i="32" s="1"/>
  <c r="AS184" i="32"/>
  <c r="AS186" i="32" s="1"/>
  <c r="D151" i="32"/>
  <c r="E151" i="32" s="1"/>
  <c r="C75" i="32"/>
  <c r="AA185" i="32"/>
  <c r="O184" i="32"/>
  <c r="O186" i="32" s="1"/>
  <c r="AY185" i="32"/>
  <c r="AY184" i="32"/>
  <c r="AY186" i="32" s="1"/>
  <c r="AQ144" i="5" l="1"/>
  <c r="AU114" i="5"/>
  <c r="AU118" i="5" s="1"/>
  <c r="R155" i="11"/>
  <c r="R149" i="5"/>
  <c r="V65" i="5"/>
  <c r="AV110" i="5"/>
  <c r="U106" i="5"/>
  <c r="AS106" i="5"/>
  <c r="AV158" i="5"/>
  <c r="X157" i="5"/>
  <c r="AT46" i="5"/>
  <c r="AU45" i="5"/>
  <c r="AS14" i="5"/>
  <c r="AS33" i="5" s="1"/>
  <c r="AT13" i="5"/>
  <c r="AU52" i="5"/>
  <c r="W49" i="5"/>
  <c r="AV48" i="5" s="1"/>
  <c r="AU48" i="5"/>
  <c r="X53" i="5"/>
  <c r="AT49" i="5"/>
  <c r="X50" i="5"/>
  <c r="AW51" i="5" s="1"/>
  <c r="AV50" i="5"/>
  <c r="T143" i="5"/>
  <c r="S144" i="5"/>
  <c r="S162" i="48" s="1"/>
  <c r="AR143" i="5"/>
  <c r="S153" i="5"/>
  <c r="AQ153" i="5"/>
  <c r="R154" i="5"/>
  <c r="AP154" i="5"/>
  <c r="X109" i="5"/>
  <c r="AV109" i="5"/>
  <c r="AW113" i="5"/>
  <c r="AV112" i="5"/>
  <c r="V147" i="5"/>
  <c r="AU146" i="5" s="1"/>
  <c r="AT145" i="5"/>
  <c r="U148" i="5"/>
  <c r="AU47" i="5"/>
  <c r="W46" i="5"/>
  <c r="AU44" i="5"/>
  <c r="AT12" i="5"/>
  <c r="V14" i="5"/>
  <c r="V33" i="5" s="1"/>
  <c r="AT157" i="5"/>
  <c r="AT159" i="5" s="1"/>
  <c r="AT166" i="5" s="1"/>
  <c r="W93" i="5"/>
  <c r="AV92" i="5" s="1"/>
  <c r="AU91" i="5"/>
  <c r="AU93" i="5" s="1"/>
  <c r="AU94" i="5" s="1"/>
  <c r="V183" i="32"/>
  <c r="W183" i="32" s="1"/>
  <c r="V184" i="32"/>
  <c r="W184" i="32" s="1"/>
  <c r="P187" i="32"/>
  <c r="Q187" i="32" s="1"/>
  <c r="P179" i="32"/>
  <c r="Q179" i="32" s="1"/>
  <c r="V186" i="32"/>
  <c r="W186" i="32" s="1"/>
  <c r="V179" i="32"/>
  <c r="W179" i="32" s="1"/>
  <c r="V187" i="32"/>
  <c r="W187" i="32" s="1"/>
  <c r="V178" i="32"/>
  <c r="W178" i="32" s="1"/>
  <c r="V185" i="32"/>
  <c r="W185" i="32" s="1"/>
  <c r="V180" i="32"/>
  <c r="W180" i="32" s="1"/>
  <c r="BF178" i="33"/>
  <c r="BF187" i="33"/>
  <c r="BG187" i="33" s="1"/>
  <c r="BF185" i="33"/>
  <c r="BG185" i="33" s="1"/>
  <c r="BF179" i="33"/>
  <c r="BG179" i="33" s="1"/>
  <c r="BF181" i="33"/>
  <c r="BG181" i="33" s="1"/>
  <c r="BF180" i="33"/>
  <c r="BG180" i="33" s="1"/>
  <c r="BF184" i="33"/>
  <c r="BG184" i="33" s="1"/>
  <c r="BF186" i="33"/>
  <c r="BG186" i="33" s="1"/>
  <c r="BF183" i="33"/>
  <c r="BG183" i="33" s="1"/>
  <c r="BF182" i="33"/>
  <c r="BG182" i="33" s="1"/>
  <c r="BF188" i="33"/>
  <c r="BG188" i="33" s="1"/>
  <c r="V180" i="33"/>
  <c r="W180" i="33" s="1"/>
  <c r="V178" i="33"/>
  <c r="V179" i="33"/>
  <c r="W179" i="33" s="1"/>
  <c r="V184" i="33"/>
  <c r="W184" i="33" s="1"/>
  <c r="V185" i="33"/>
  <c r="W185" i="33" s="1"/>
  <c r="V186" i="33"/>
  <c r="W186" i="33" s="1"/>
  <c r="V188" i="33"/>
  <c r="W188" i="33" s="1"/>
  <c r="V183" i="33"/>
  <c r="W183" i="33" s="1"/>
  <c r="V181" i="33"/>
  <c r="W181" i="33" s="1"/>
  <c r="V187" i="33"/>
  <c r="W187" i="33" s="1"/>
  <c r="V182" i="33"/>
  <c r="W182" i="33" s="1"/>
  <c r="D152" i="33"/>
  <c r="C76" i="33"/>
  <c r="E66" i="33"/>
  <c r="E67" i="33"/>
  <c r="AN178" i="33"/>
  <c r="AN185" i="33"/>
  <c r="AO185" i="33" s="1"/>
  <c r="AN179" i="33"/>
  <c r="AO179" i="33" s="1"/>
  <c r="AN181" i="33"/>
  <c r="AO181" i="33" s="1"/>
  <c r="AN180" i="33"/>
  <c r="AO180" i="33" s="1"/>
  <c r="AN186" i="33"/>
  <c r="AO186" i="33" s="1"/>
  <c r="AN184" i="33"/>
  <c r="AO184" i="33" s="1"/>
  <c r="AN188" i="33"/>
  <c r="AO188" i="33" s="1"/>
  <c r="AN182" i="33"/>
  <c r="AO182" i="33" s="1"/>
  <c r="AN187" i="33"/>
  <c r="AO187" i="33" s="1"/>
  <c r="AN183" i="33"/>
  <c r="AO183" i="33" s="1"/>
  <c r="AB179" i="33"/>
  <c r="AC179" i="33" s="1"/>
  <c r="AB178" i="33"/>
  <c r="AB188" i="33"/>
  <c r="AC188" i="33" s="1"/>
  <c r="AB183" i="33"/>
  <c r="AC183" i="33" s="1"/>
  <c r="AB182" i="33"/>
  <c r="AC182" i="33" s="1"/>
  <c r="AB185" i="33"/>
  <c r="AC185" i="33" s="1"/>
  <c r="AB181" i="33"/>
  <c r="AC181" i="33" s="1"/>
  <c r="AB180" i="33"/>
  <c r="AC180" i="33" s="1"/>
  <c r="AB184" i="33"/>
  <c r="AC184" i="33" s="1"/>
  <c r="AB186" i="33"/>
  <c r="AC186" i="33" s="1"/>
  <c r="AB187" i="33"/>
  <c r="AC187" i="33" s="1"/>
  <c r="A113" i="33"/>
  <c r="A151" i="33" s="1"/>
  <c r="A187" i="33" s="1"/>
  <c r="A75" i="33"/>
  <c r="P180" i="33"/>
  <c r="Q180" i="33" s="1"/>
  <c r="P187" i="33"/>
  <c r="Q187" i="33" s="1"/>
  <c r="P188" i="33"/>
  <c r="Q188" i="33" s="1"/>
  <c r="P181" i="33"/>
  <c r="Q181" i="33" s="1"/>
  <c r="P179" i="33"/>
  <c r="Q179" i="33" s="1"/>
  <c r="P185" i="33"/>
  <c r="Q185" i="33" s="1"/>
  <c r="P178" i="33"/>
  <c r="P184" i="33"/>
  <c r="Q184" i="33" s="1"/>
  <c r="P183" i="33"/>
  <c r="Q183" i="33" s="1"/>
  <c r="P186" i="33"/>
  <c r="Q186" i="33" s="1"/>
  <c r="P182" i="33"/>
  <c r="Q182" i="33" s="1"/>
  <c r="D200" i="33"/>
  <c r="D201" i="33" s="1"/>
  <c r="D202" i="33" s="1"/>
  <c r="D203" i="33" s="1"/>
  <c r="D204" i="33" s="1"/>
  <c r="D205" i="33" s="1"/>
  <c r="D206" i="33" s="1"/>
  <c r="D207" i="33" s="1"/>
  <c r="D208" i="33" s="1"/>
  <c r="D209" i="33" s="1"/>
  <c r="D210" i="33" s="1"/>
  <c r="AZ179" i="33"/>
  <c r="BA179" i="33" s="1"/>
  <c r="AZ181" i="33"/>
  <c r="BA181" i="33" s="1"/>
  <c r="AZ180" i="33"/>
  <c r="BA180" i="33" s="1"/>
  <c r="AZ178" i="33"/>
  <c r="AZ188" i="33"/>
  <c r="BA188" i="33" s="1"/>
  <c r="AZ187" i="33"/>
  <c r="BA187" i="33" s="1"/>
  <c r="AZ184" i="33"/>
  <c r="BA184" i="33" s="1"/>
  <c r="AZ186" i="33"/>
  <c r="BA186" i="33" s="1"/>
  <c r="AZ185" i="33"/>
  <c r="BA185" i="33" s="1"/>
  <c r="AZ183" i="33"/>
  <c r="BA183" i="33" s="1"/>
  <c r="AZ182" i="33"/>
  <c r="BA182" i="33" s="1"/>
  <c r="AH178" i="33"/>
  <c r="AH181" i="33"/>
  <c r="AI181" i="33" s="1"/>
  <c r="AH185" i="33"/>
  <c r="AI185" i="33" s="1"/>
  <c r="AH180" i="33"/>
  <c r="AI180" i="33" s="1"/>
  <c r="AH182" i="33"/>
  <c r="AI182" i="33" s="1"/>
  <c r="AH179" i="33"/>
  <c r="AI179" i="33" s="1"/>
  <c r="AH186" i="33"/>
  <c r="AI186" i="33" s="1"/>
  <c r="AH187" i="33"/>
  <c r="AI187" i="33" s="1"/>
  <c r="AH188" i="33"/>
  <c r="AI188" i="33" s="1"/>
  <c r="AH184" i="33"/>
  <c r="AI184" i="33" s="1"/>
  <c r="AH183" i="33"/>
  <c r="AI183" i="33" s="1"/>
  <c r="AT181" i="33"/>
  <c r="AU181" i="33" s="1"/>
  <c r="AT180" i="33"/>
  <c r="AU180" i="33" s="1"/>
  <c r="AT186" i="33"/>
  <c r="AU186" i="33" s="1"/>
  <c r="AT178" i="33"/>
  <c r="AT188" i="33"/>
  <c r="AU188" i="33" s="1"/>
  <c r="AT179" i="33"/>
  <c r="AU179" i="33" s="1"/>
  <c r="AT184" i="33"/>
  <c r="AU184" i="33" s="1"/>
  <c r="AT185" i="33"/>
  <c r="AU185" i="33" s="1"/>
  <c r="AT187" i="33"/>
  <c r="AU187" i="33" s="1"/>
  <c r="AT182" i="33"/>
  <c r="AU182" i="33" s="1"/>
  <c r="AT183" i="33"/>
  <c r="AU183" i="33" s="1"/>
  <c r="D152" i="32"/>
  <c r="C76" i="32"/>
  <c r="E66" i="32"/>
  <c r="E67" i="32"/>
  <c r="AT187" i="32"/>
  <c r="AU187" i="32" s="1"/>
  <c r="AT188" i="32"/>
  <c r="AU188" i="32" s="1"/>
  <c r="AT178" i="32"/>
  <c r="AZ179" i="32"/>
  <c r="BA179" i="32" s="1"/>
  <c r="AZ180" i="32"/>
  <c r="BA180" i="32" s="1"/>
  <c r="AZ181" i="32"/>
  <c r="BA181" i="32" s="1"/>
  <c r="AZ178" i="32"/>
  <c r="AZ186" i="32"/>
  <c r="BA186" i="32" s="1"/>
  <c r="AZ188" i="32"/>
  <c r="BA188" i="32" s="1"/>
  <c r="AZ184" i="32"/>
  <c r="BA184" i="32" s="1"/>
  <c r="AZ185" i="32"/>
  <c r="BA185" i="32" s="1"/>
  <c r="AZ187" i="32"/>
  <c r="BA187" i="32" s="1"/>
  <c r="AZ183" i="32"/>
  <c r="BA183" i="32" s="1"/>
  <c r="AZ182" i="32"/>
  <c r="BA182" i="32" s="1"/>
  <c r="P188" i="32"/>
  <c r="Q188" i="32" s="1"/>
  <c r="P183" i="32"/>
  <c r="Q183" i="32" s="1"/>
  <c r="P181" i="32"/>
  <c r="Q181" i="32" s="1"/>
  <c r="A114" i="32"/>
  <c r="A152" i="32" s="1"/>
  <c r="A188" i="32" s="1"/>
  <c r="A76" i="32"/>
  <c r="AT185" i="32"/>
  <c r="AU185" i="32" s="1"/>
  <c r="AT186" i="32"/>
  <c r="AU186" i="32" s="1"/>
  <c r="AT181" i="32"/>
  <c r="AU181" i="32" s="1"/>
  <c r="P184" i="32"/>
  <c r="Q184" i="32" s="1"/>
  <c r="P182" i="32"/>
  <c r="Q182" i="32" s="1"/>
  <c r="P178" i="32"/>
  <c r="BF181" i="32"/>
  <c r="BG181" i="32" s="1"/>
  <c r="BF179" i="32"/>
  <c r="BG179" i="32" s="1"/>
  <c r="BF180" i="32"/>
  <c r="BG180" i="32" s="1"/>
  <c r="BF178" i="32"/>
  <c r="BF183" i="32"/>
  <c r="BG183" i="32" s="1"/>
  <c r="BF182" i="32"/>
  <c r="BG182" i="32" s="1"/>
  <c r="BF186" i="32"/>
  <c r="BG186" i="32" s="1"/>
  <c r="BF188" i="32"/>
  <c r="BG188" i="32" s="1"/>
  <c r="BF185" i="32"/>
  <c r="BG185" i="32" s="1"/>
  <c r="BF184" i="32"/>
  <c r="BG184" i="32" s="1"/>
  <c r="BF187" i="32"/>
  <c r="BG187" i="32" s="1"/>
  <c r="AT183" i="32"/>
  <c r="AU183" i="32" s="1"/>
  <c r="AT184" i="32"/>
  <c r="AU184" i="32" s="1"/>
  <c r="AT180" i="32"/>
  <c r="AU180" i="32" s="1"/>
  <c r="AB185" i="32"/>
  <c r="AC185" i="32" s="1"/>
  <c r="AB181" i="32"/>
  <c r="AC181" i="32" s="1"/>
  <c r="AB180" i="32"/>
  <c r="AC180" i="32" s="1"/>
  <c r="AB178" i="32"/>
  <c r="AB179" i="32"/>
  <c r="AC179" i="32" s="1"/>
  <c r="AB187" i="32"/>
  <c r="AC187" i="32" s="1"/>
  <c r="AB184" i="32"/>
  <c r="AC184" i="32" s="1"/>
  <c r="AB188" i="32"/>
  <c r="AC188" i="32" s="1"/>
  <c r="AB182" i="32"/>
  <c r="AC182" i="32" s="1"/>
  <c r="AB183" i="32"/>
  <c r="AC183" i="32" s="1"/>
  <c r="AB186" i="32"/>
  <c r="AC186" i="32" s="1"/>
  <c r="P186" i="32"/>
  <c r="Q186" i="32" s="1"/>
  <c r="P180" i="32"/>
  <c r="Q180" i="32" s="1"/>
  <c r="P185" i="32"/>
  <c r="Q185" i="32" s="1"/>
  <c r="AN177" i="32"/>
  <c r="F204" i="32" s="1"/>
  <c r="AO178" i="32"/>
  <c r="AM188" i="32" s="1"/>
  <c r="G204" i="32" s="1"/>
  <c r="V182" i="32"/>
  <c r="W182" i="32" s="1"/>
  <c r="V188" i="32"/>
  <c r="W188" i="32" s="1"/>
  <c r="V181" i="32"/>
  <c r="W181" i="32" s="1"/>
  <c r="AH179" i="32"/>
  <c r="AI179" i="32" s="1"/>
  <c r="AH181" i="32"/>
  <c r="AI181" i="32" s="1"/>
  <c r="AH178" i="32"/>
  <c r="AH180" i="32"/>
  <c r="AI180" i="32" s="1"/>
  <c r="AH182" i="32"/>
  <c r="AI182" i="32" s="1"/>
  <c r="AH183" i="32"/>
  <c r="AI183" i="32" s="1"/>
  <c r="AH186" i="32"/>
  <c r="AI186" i="32" s="1"/>
  <c r="AH188" i="32"/>
  <c r="AI188" i="32" s="1"/>
  <c r="AH185" i="32"/>
  <c r="AI185" i="32" s="1"/>
  <c r="AH187" i="32"/>
  <c r="AI187" i="32" s="1"/>
  <c r="AH184" i="32"/>
  <c r="AI184" i="32" s="1"/>
  <c r="AT182" i="32"/>
  <c r="AU182" i="32" s="1"/>
  <c r="AT179" i="32"/>
  <c r="AU179" i="32" s="1"/>
  <c r="E60" i="1"/>
  <c r="F60" i="1"/>
  <c r="G60" i="1"/>
  <c r="H60" i="1"/>
  <c r="Y162" i="48" l="1"/>
  <c r="L3" i="11"/>
  <c r="L5" i="11" s="1"/>
  <c r="B121" i="11" s="1"/>
  <c r="L3" i="48"/>
  <c r="L5" i="48" s="1"/>
  <c r="B121" i="48" s="1"/>
  <c r="AR144" i="5"/>
  <c r="AV52" i="5"/>
  <c r="AV114" i="5"/>
  <c r="AV118" i="5" s="1"/>
  <c r="S155" i="11"/>
  <c r="S149" i="5"/>
  <c r="W65" i="5"/>
  <c r="AW110" i="5"/>
  <c r="AW158" i="5"/>
  <c r="X166" i="5"/>
  <c r="V106" i="5"/>
  <c r="AT106" i="5"/>
  <c r="AV45" i="5"/>
  <c r="AU46" i="5"/>
  <c r="AT14" i="5"/>
  <c r="AT33" i="5" s="1"/>
  <c r="AU13" i="5"/>
  <c r="V94" i="5"/>
  <c r="AW109" i="5"/>
  <c r="AW50" i="5"/>
  <c r="AU49" i="5"/>
  <c r="U143" i="5"/>
  <c r="AS143" i="5"/>
  <c r="T144" i="5"/>
  <c r="T162" i="48" s="1"/>
  <c r="T153" i="5"/>
  <c r="AR153" i="5"/>
  <c r="S154" i="5"/>
  <c r="AQ154" i="5"/>
  <c r="AW112" i="5"/>
  <c r="V148" i="5"/>
  <c r="W147" i="5"/>
  <c r="AV146" i="5" s="1"/>
  <c r="AU145" i="5"/>
  <c r="AV47" i="5"/>
  <c r="X47" i="5"/>
  <c r="AW48" i="5" s="1"/>
  <c r="X44" i="5"/>
  <c r="AV44" i="5"/>
  <c r="W14" i="5"/>
  <c r="W33" i="5" s="1"/>
  <c r="AU12" i="5"/>
  <c r="AU157" i="5"/>
  <c r="AU159" i="5" s="1"/>
  <c r="AU166" i="5" s="1"/>
  <c r="X91" i="5"/>
  <c r="AW92" i="5" s="1"/>
  <c r="W94" i="5"/>
  <c r="AV91" i="5"/>
  <c r="AV93" i="5" s="1"/>
  <c r="AV94" i="5" s="1"/>
  <c r="AI178" i="33"/>
  <c r="AG188" i="33" s="1"/>
  <c r="G203" i="33" s="1"/>
  <c r="AH177" i="33"/>
  <c r="F203" i="33" s="1"/>
  <c r="AU178" i="33"/>
  <c r="AS188" i="33" s="1"/>
  <c r="G205" i="33" s="1"/>
  <c r="AT177" i="33"/>
  <c r="F205" i="33" s="1"/>
  <c r="Q178" i="33"/>
  <c r="O188" i="33" s="1"/>
  <c r="G200" i="33" s="1"/>
  <c r="P177" i="33"/>
  <c r="O187" i="33" s="1"/>
  <c r="F200" i="33" s="1"/>
  <c r="AC178" i="33"/>
  <c r="AA188" i="33" s="1"/>
  <c r="G202" i="33" s="1"/>
  <c r="AB177" i="33"/>
  <c r="F202" i="33" s="1"/>
  <c r="AN177" i="33"/>
  <c r="F204" i="33" s="1"/>
  <c r="AO178" i="33"/>
  <c r="AM188" i="33" s="1"/>
  <c r="G204" i="33" s="1"/>
  <c r="D153" i="33"/>
  <c r="C77" i="33"/>
  <c r="I77" i="33" s="1"/>
  <c r="E152" i="33"/>
  <c r="AZ177" i="33"/>
  <c r="F206" i="33" s="1"/>
  <c r="BA178" i="33"/>
  <c r="AY188" i="33" s="1"/>
  <c r="G206" i="33" s="1"/>
  <c r="B97" i="33"/>
  <c r="B96" i="33"/>
  <c r="B95" i="33"/>
  <c r="B76" i="33"/>
  <c r="I74" i="33"/>
  <c r="I67" i="33"/>
  <c r="I66" i="33"/>
  <c r="I75" i="33"/>
  <c r="I68" i="33"/>
  <c r="I76" i="33"/>
  <c r="I72" i="33"/>
  <c r="I71" i="33"/>
  <c r="I70" i="33"/>
  <c r="I69" i="33"/>
  <c r="I97" i="33"/>
  <c r="I73" i="33"/>
  <c r="I65" i="33"/>
  <c r="I96" i="33"/>
  <c r="I95" i="33"/>
  <c r="A76" i="33"/>
  <c r="A114" i="33"/>
  <c r="A152" i="33" s="1"/>
  <c r="A188" i="33" s="1"/>
  <c r="V177" i="33"/>
  <c r="F201" i="33" s="1"/>
  <c r="W178" i="33"/>
  <c r="U188" i="33" s="1"/>
  <c r="G201" i="33" s="1"/>
  <c r="BG178" i="33"/>
  <c r="BE188" i="33" s="1"/>
  <c r="G207" i="33" s="1"/>
  <c r="BF177" i="33"/>
  <c r="F207" i="33" s="1"/>
  <c r="L207" i="33" s="1"/>
  <c r="AC178" i="32"/>
  <c r="AA188" i="32" s="1"/>
  <c r="G202" i="32" s="1"/>
  <c r="AB177" i="32"/>
  <c r="F202" i="32" s="1"/>
  <c r="P177" i="32"/>
  <c r="O187" i="32" s="1"/>
  <c r="F200" i="32" s="1"/>
  <c r="Q178" i="32"/>
  <c r="O188" i="32" s="1"/>
  <c r="G200" i="32" s="1"/>
  <c r="A77" i="32"/>
  <c r="A115" i="32"/>
  <c r="A153" i="32" s="1"/>
  <c r="A189" i="32" s="1"/>
  <c r="BA178" i="32"/>
  <c r="AY188" i="32" s="1"/>
  <c r="G206" i="32" s="1"/>
  <c r="AZ177" i="32"/>
  <c r="F206" i="32" s="1"/>
  <c r="AU178" i="32"/>
  <c r="AS188" i="32" s="1"/>
  <c r="G205" i="32" s="1"/>
  <c r="AT177" i="32"/>
  <c r="F205" i="32" s="1"/>
  <c r="B97" i="32"/>
  <c r="B96" i="32"/>
  <c r="B95" i="32"/>
  <c r="B76" i="32"/>
  <c r="I74" i="32"/>
  <c r="I67" i="32"/>
  <c r="I95" i="32"/>
  <c r="I97" i="32"/>
  <c r="I71" i="32"/>
  <c r="I69" i="32"/>
  <c r="I76" i="32"/>
  <c r="I73" i="32"/>
  <c r="I68" i="32"/>
  <c r="I65" i="32"/>
  <c r="I96" i="32"/>
  <c r="I70" i="32"/>
  <c r="I66" i="32"/>
  <c r="I75" i="32"/>
  <c r="I72" i="32"/>
  <c r="AM187" i="32"/>
  <c r="AI178" i="32"/>
  <c r="AG188" i="32" s="1"/>
  <c r="G203" i="32" s="1"/>
  <c r="AH177" i="32"/>
  <c r="F203" i="32" s="1"/>
  <c r="BG178" i="32"/>
  <c r="BE188" i="32" s="1"/>
  <c r="G207" i="32" s="1"/>
  <c r="BF177" i="32"/>
  <c r="F207" i="32" s="1"/>
  <c r="U188" i="32"/>
  <c r="G201" i="32" s="1"/>
  <c r="D153" i="32"/>
  <c r="C77" i="32"/>
  <c r="I77" i="32" s="1"/>
  <c r="V177" i="32"/>
  <c r="F201" i="32" s="1"/>
  <c r="E152" i="32"/>
  <c r="B77" i="33" l="1"/>
  <c r="C163" i="48"/>
  <c r="D163" i="48"/>
  <c r="D165" i="48" s="1"/>
  <c r="F163" i="48"/>
  <c r="E163" i="48"/>
  <c r="E165" i="48" s="1"/>
  <c r="G163" i="48"/>
  <c r="H163" i="48"/>
  <c r="I163" i="48"/>
  <c r="J163" i="48"/>
  <c r="K163" i="48"/>
  <c r="L163" i="48"/>
  <c r="M163" i="48"/>
  <c r="N163" i="48"/>
  <c r="O163" i="48"/>
  <c r="P163" i="48"/>
  <c r="Q163" i="48"/>
  <c r="R163" i="48"/>
  <c r="T163" i="48"/>
  <c r="S163" i="48"/>
  <c r="B125" i="48"/>
  <c r="C56" i="48" s="1"/>
  <c r="B128" i="48"/>
  <c r="C92" i="48" s="1"/>
  <c r="B127" i="48"/>
  <c r="C80" i="48" s="1"/>
  <c r="B124" i="48"/>
  <c r="C44" i="48" s="1"/>
  <c r="B129" i="48"/>
  <c r="C104" i="48" s="1"/>
  <c r="B126" i="48"/>
  <c r="C68" i="48" s="1"/>
  <c r="B122" i="48"/>
  <c r="B123" i="48"/>
  <c r="C32" i="48" s="1"/>
  <c r="AS144" i="5"/>
  <c r="AW114" i="5"/>
  <c r="AW118" i="5" s="1"/>
  <c r="T155" i="11"/>
  <c r="T149" i="5"/>
  <c r="Y155" i="11"/>
  <c r="X65" i="5"/>
  <c r="W106" i="5"/>
  <c r="AU106" i="5"/>
  <c r="AV46" i="5"/>
  <c r="AW45" i="5"/>
  <c r="AU14" i="5"/>
  <c r="AU33" i="5" s="1"/>
  <c r="AV13" i="5"/>
  <c r="AW52" i="5"/>
  <c r="L201" i="32"/>
  <c r="L206" i="33"/>
  <c r="L205" i="33"/>
  <c r="L202" i="33"/>
  <c r="L200" i="33"/>
  <c r="F182" i="33" s="1"/>
  <c r="L204" i="33"/>
  <c r="L203" i="33"/>
  <c r="L201" i="33"/>
  <c r="L206" i="32"/>
  <c r="L203" i="32"/>
  <c r="L205" i="32"/>
  <c r="L200" i="32"/>
  <c r="L207" i="32"/>
  <c r="L202" i="32"/>
  <c r="L204" i="32"/>
  <c r="AV49" i="5"/>
  <c r="U153" i="5"/>
  <c r="AS153" i="5"/>
  <c r="T154" i="5"/>
  <c r="AR154" i="5"/>
  <c r="V143" i="5"/>
  <c r="AT143" i="5"/>
  <c r="U144" i="5"/>
  <c r="U162" i="48" s="1"/>
  <c r="U163" i="48" s="1"/>
  <c r="AV145" i="5"/>
  <c r="X145" i="5"/>
  <c r="AW146" i="5" s="1"/>
  <c r="W148" i="5"/>
  <c r="AW47" i="5"/>
  <c r="AW44" i="5"/>
  <c r="AV12" i="5"/>
  <c r="X12" i="5"/>
  <c r="X33" i="5" s="1"/>
  <c r="AV157" i="5"/>
  <c r="AV159" i="5" s="1"/>
  <c r="AV166" i="5" s="1"/>
  <c r="X94" i="5"/>
  <c r="AW91" i="5"/>
  <c r="AW93" i="5" s="1"/>
  <c r="AW94" i="5" s="1"/>
  <c r="L73" i="33"/>
  <c r="C13" i="33"/>
  <c r="K73" i="33"/>
  <c r="J73" i="33"/>
  <c r="AY187" i="33"/>
  <c r="U187" i="33"/>
  <c r="C10" i="33"/>
  <c r="L70" i="33"/>
  <c r="J70" i="33"/>
  <c r="K70" i="33"/>
  <c r="L68" i="33"/>
  <c r="C8" i="33"/>
  <c r="K68" i="33"/>
  <c r="J68" i="33"/>
  <c r="L66" i="33"/>
  <c r="C6" i="33"/>
  <c r="J66" i="33"/>
  <c r="K66" i="33"/>
  <c r="CO146" i="33"/>
  <c r="CN147" i="33" s="1"/>
  <c r="CG145" i="33"/>
  <c r="BE145" i="33"/>
  <c r="AK146" i="33"/>
  <c r="AJ147" i="33" s="1"/>
  <c r="BT146" i="33"/>
  <c r="BS147" i="33" s="1"/>
  <c r="AD146" i="33"/>
  <c r="AC147" i="33" s="1"/>
  <c r="CU145" i="33"/>
  <c r="P146" i="33"/>
  <c r="O147" i="33" s="1"/>
  <c r="BM146" i="33"/>
  <c r="BL147" i="33" s="1"/>
  <c r="W146" i="33"/>
  <c r="V147" i="33" s="1"/>
  <c r="BZ145" i="33"/>
  <c r="AR146" i="33"/>
  <c r="AQ147" i="33" s="1"/>
  <c r="V145" i="33"/>
  <c r="BF146" i="33"/>
  <c r="BE147" i="33" s="1"/>
  <c r="AX145" i="33"/>
  <c r="O145" i="33"/>
  <c r="CH146" i="33"/>
  <c r="CG147" i="33" s="1"/>
  <c r="BL145" i="33"/>
  <c r="AC145" i="33"/>
  <c r="CV146" i="33"/>
  <c r="CU147" i="33" s="1"/>
  <c r="AJ145" i="33"/>
  <c r="CA146" i="33"/>
  <c r="BZ147" i="33" s="1"/>
  <c r="CN145" i="33"/>
  <c r="AY146" i="33"/>
  <c r="AX147" i="33" s="1"/>
  <c r="BS145" i="33"/>
  <c r="AQ145" i="33"/>
  <c r="AM187" i="33"/>
  <c r="AS187" i="33"/>
  <c r="L76" i="33"/>
  <c r="C16" i="33"/>
  <c r="BE187" i="33"/>
  <c r="A115" i="33"/>
  <c r="A153" i="33" s="1"/>
  <c r="A189" i="33" s="1"/>
  <c r="A77" i="33"/>
  <c r="C35" i="33"/>
  <c r="C36" i="33"/>
  <c r="L96" i="33"/>
  <c r="C11" i="33"/>
  <c r="L71" i="33"/>
  <c r="K71" i="33"/>
  <c r="J71" i="33"/>
  <c r="L75" i="33"/>
  <c r="C15" i="33"/>
  <c r="J75" i="33"/>
  <c r="K75" i="33"/>
  <c r="L67" i="33"/>
  <c r="C7" i="33"/>
  <c r="J67" i="33"/>
  <c r="K67" i="33"/>
  <c r="C78" i="33"/>
  <c r="D154" i="33"/>
  <c r="AA187" i="33"/>
  <c r="C9" i="33"/>
  <c r="L69" i="33"/>
  <c r="K69" i="33"/>
  <c r="J69" i="33"/>
  <c r="C5" i="33"/>
  <c r="I64" i="33"/>
  <c r="F70" i="33" s="1"/>
  <c r="C39" i="33" s="1"/>
  <c r="K65" i="33"/>
  <c r="J65" i="33"/>
  <c r="C37" i="33"/>
  <c r="L97" i="33"/>
  <c r="C12" i="33"/>
  <c r="L72" i="33"/>
  <c r="J72" i="33"/>
  <c r="K72" i="33"/>
  <c r="L77" i="33"/>
  <c r="C17" i="33"/>
  <c r="L74" i="33"/>
  <c r="C14" i="33"/>
  <c r="J74" i="33"/>
  <c r="K74" i="33"/>
  <c r="AG187" i="33"/>
  <c r="AG187" i="32"/>
  <c r="C6" i="32"/>
  <c r="L66" i="32"/>
  <c r="J66" i="32"/>
  <c r="K66" i="32"/>
  <c r="L77" i="32"/>
  <c r="C17" i="32"/>
  <c r="D154" i="32"/>
  <c r="C78" i="32"/>
  <c r="L72" i="32"/>
  <c r="C12" i="32"/>
  <c r="J72" i="32"/>
  <c r="K72" i="32"/>
  <c r="L70" i="32"/>
  <c r="C10" i="32"/>
  <c r="K70" i="32"/>
  <c r="J70" i="32"/>
  <c r="L68" i="32"/>
  <c r="C8" i="32"/>
  <c r="J68" i="32"/>
  <c r="K68" i="32"/>
  <c r="AS187" i="32"/>
  <c r="U187" i="32"/>
  <c r="I64" i="32"/>
  <c r="F70" i="32" s="1"/>
  <c r="C39" i="32" s="1"/>
  <c r="C5" i="32"/>
  <c r="J65" i="32"/>
  <c r="K65" i="32"/>
  <c r="L74" i="32"/>
  <c r="C14" i="32"/>
  <c r="K74" i="32"/>
  <c r="J74" i="32"/>
  <c r="W146" i="32"/>
  <c r="V147" i="32" s="1"/>
  <c r="BT146" i="32"/>
  <c r="BS147" i="32" s="1"/>
  <c r="BM146" i="32"/>
  <c r="BL147" i="32" s="1"/>
  <c r="V145" i="32"/>
  <c r="P146" i="32"/>
  <c r="O147" i="32" s="1"/>
  <c r="AK146" i="32"/>
  <c r="AJ147" i="32" s="1"/>
  <c r="CU145" i="32"/>
  <c r="CH146" i="32"/>
  <c r="CG147" i="32" s="1"/>
  <c r="CN145" i="32"/>
  <c r="BZ145" i="32"/>
  <c r="AJ145" i="32"/>
  <c r="CG145" i="32"/>
  <c r="BE145" i="32"/>
  <c r="AQ145" i="32"/>
  <c r="BL145" i="32"/>
  <c r="AY146" i="32"/>
  <c r="AX147" i="32" s="1"/>
  <c r="BS145" i="32"/>
  <c r="AR146" i="32"/>
  <c r="AQ147" i="32" s="1"/>
  <c r="BF146" i="32"/>
  <c r="BE147" i="32" s="1"/>
  <c r="AX145" i="32"/>
  <c r="O145" i="32"/>
  <c r="CA146" i="32"/>
  <c r="BZ147" i="32" s="1"/>
  <c r="AD146" i="32"/>
  <c r="AC147" i="32" s="1"/>
  <c r="AC145" i="32"/>
  <c r="CV146" i="32"/>
  <c r="CU147" i="32" s="1"/>
  <c r="CO146" i="32"/>
  <c r="CN147" i="32" s="1"/>
  <c r="BE187" i="32"/>
  <c r="B77" i="32"/>
  <c r="L75" i="32"/>
  <c r="C15" i="32"/>
  <c r="J75" i="32"/>
  <c r="K75" i="32"/>
  <c r="L73" i="32"/>
  <c r="C13" i="32"/>
  <c r="J73" i="32"/>
  <c r="K73" i="32"/>
  <c r="C9" i="32"/>
  <c r="L69" i="32"/>
  <c r="J69" i="32"/>
  <c r="K69" i="32"/>
  <c r="C37" i="32"/>
  <c r="L97" i="32"/>
  <c r="C35" i="32"/>
  <c r="A116" i="32"/>
  <c r="A154" i="32" s="1"/>
  <c r="A190" i="32" s="1"/>
  <c r="A78" i="32"/>
  <c r="AA187" i="32"/>
  <c r="L96" i="32"/>
  <c r="C36" i="32"/>
  <c r="L76" i="32"/>
  <c r="C16" i="32"/>
  <c r="L71" i="32"/>
  <c r="C11" i="32"/>
  <c r="K71" i="32"/>
  <c r="J71" i="32"/>
  <c r="L67" i="32"/>
  <c r="C7" i="32"/>
  <c r="K67" i="32"/>
  <c r="J67" i="32"/>
  <c r="AY187" i="32"/>
  <c r="F182" i="32" l="1"/>
  <c r="B130" i="48"/>
  <c r="C116" i="48" s="1"/>
  <c r="C20" i="48"/>
  <c r="AT144" i="5"/>
  <c r="K156" i="11"/>
  <c r="I156" i="11"/>
  <c r="M156" i="11"/>
  <c r="N156" i="11"/>
  <c r="O156" i="11"/>
  <c r="L156" i="11"/>
  <c r="C156" i="11"/>
  <c r="H156" i="11"/>
  <c r="J156" i="11"/>
  <c r="G156" i="11"/>
  <c r="D156" i="11"/>
  <c r="D157" i="11" s="1"/>
  <c r="F156" i="11"/>
  <c r="E156" i="11"/>
  <c r="E157" i="11" s="1"/>
  <c r="P156" i="11"/>
  <c r="Q156" i="11"/>
  <c r="R156" i="11"/>
  <c r="U155" i="11"/>
  <c r="U156" i="11" s="1"/>
  <c r="U149" i="5"/>
  <c r="S156" i="11"/>
  <c r="T156" i="11"/>
  <c r="X106" i="5"/>
  <c r="AW106" i="5" s="1"/>
  <c r="AV106" i="5"/>
  <c r="AW46" i="5"/>
  <c r="AV14" i="5"/>
  <c r="AV33" i="5" s="1"/>
  <c r="AW13" i="5"/>
  <c r="C178" i="33"/>
  <c r="C180" i="33"/>
  <c r="C179" i="33"/>
  <c r="C184" i="33"/>
  <c r="C187" i="33"/>
  <c r="C183" i="33"/>
  <c r="C186" i="33"/>
  <c r="C181" i="33"/>
  <c r="C185" i="33"/>
  <c r="C182" i="33"/>
  <c r="C188" i="33"/>
  <c r="C183" i="32"/>
  <c r="C187" i="32"/>
  <c r="C180" i="32"/>
  <c r="C182" i="32"/>
  <c r="C178" i="32"/>
  <c r="C179" i="32"/>
  <c r="C185" i="32"/>
  <c r="C186" i="32"/>
  <c r="C181" i="32"/>
  <c r="C184" i="32"/>
  <c r="C188" i="32"/>
  <c r="AW49" i="5"/>
  <c r="U154" i="5"/>
  <c r="AS154" i="5"/>
  <c r="W143" i="5"/>
  <c r="V144" i="5"/>
  <c r="V162" i="48" s="1"/>
  <c r="V163" i="48" s="1"/>
  <c r="AU143" i="5"/>
  <c r="V153" i="5"/>
  <c r="AT153" i="5"/>
  <c r="X148" i="5"/>
  <c r="AW145" i="5"/>
  <c r="AW12" i="5"/>
  <c r="AW157" i="5"/>
  <c r="AW159" i="5" s="1"/>
  <c r="AW166" i="5" s="1"/>
  <c r="F71" i="33"/>
  <c r="C40" i="33" s="1"/>
  <c r="BN152" i="33"/>
  <c r="BO152" i="33" s="1"/>
  <c r="BN143" i="33"/>
  <c r="BO143" i="33" s="1"/>
  <c r="BN146" i="33"/>
  <c r="BO146" i="33" s="1"/>
  <c r="BN145" i="33"/>
  <c r="BO145" i="33" s="1"/>
  <c r="BN144" i="33"/>
  <c r="BO144" i="33" s="1"/>
  <c r="BN151" i="33"/>
  <c r="BO151" i="33" s="1"/>
  <c r="BN150" i="33"/>
  <c r="BO150" i="33" s="1"/>
  <c r="BN147" i="33"/>
  <c r="BO147" i="33" s="1"/>
  <c r="BN142" i="33"/>
  <c r="BN149" i="33"/>
  <c r="BO149" i="33" s="1"/>
  <c r="BN148" i="33"/>
  <c r="BO148" i="33" s="1"/>
  <c r="F72" i="33"/>
  <c r="C41" i="33" s="1"/>
  <c r="A78" i="33"/>
  <c r="A116" i="33"/>
  <c r="A154" i="33" s="1"/>
  <c r="A190" i="33" s="1"/>
  <c r="CB152" i="33"/>
  <c r="CC152" i="33" s="1"/>
  <c r="CB151" i="33"/>
  <c r="CC151" i="33" s="1"/>
  <c r="CB150" i="33"/>
  <c r="CC150" i="33" s="1"/>
  <c r="CB149" i="33"/>
  <c r="CC149" i="33" s="1"/>
  <c r="CB148" i="33"/>
  <c r="CC148" i="33" s="1"/>
  <c r="CB147" i="33"/>
  <c r="CC147" i="33" s="1"/>
  <c r="CB146" i="33"/>
  <c r="CC146" i="33" s="1"/>
  <c r="CB145" i="33"/>
  <c r="CC145" i="33" s="1"/>
  <c r="CB144" i="33"/>
  <c r="CC144" i="33" s="1"/>
  <c r="CB142" i="33"/>
  <c r="CB143" i="33"/>
  <c r="CC143" i="33" s="1"/>
  <c r="BG152" i="33"/>
  <c r="BH152" i="33" s="1"/>
  <c r="BG151" i="33"/>
  <c r="BH151" i="33" s="1"/>
  <c r="BG150" i="33"/>
  <c r="BH150" i="33" s="1"/>
  <c r="BG149" i="33"/>
  <c r="BH149" i="33" s="1"/>
  <c r="BG148" i="33"/>
  <c r="BH148" i="33" s="1"/>
  <c r="BG146" i="33"/>
  <c r="BH146" i="33" s="1"/>
  <c r="BG145" i="33"/>
  <c r="BH145" i="33" s="1"/>
  <c r="BG144" i="33"/>
  <c r="BH144" i="33" s="1"/>
  <c r="BG147" i="33"/>
  <c r="BH147" i="33" s="1"/>
  <c r="BG142" i="33"/>
  <c r="BG143" i="33"/>
  <c r="BH143" i="33" s="1"/>
  <c r="X152" i="33"/>
  <c r="Y152" i="33" s="1"/>
  <c r="X150" i="33"/>
  <c r="Y150" i="33" s="1"/>
  <c r="X149" i="33"/>
  <c r="Y149" i="33" s="1"/>
  <c r="X148" i="33"/>
  <c r="Y148" i="33" s="1"/>
  <c r="X151" i="33"/>
  <c r="Y151" i="33" s="1"/>
  <c r="X147" i="33"/>
  <c r="Y147" i="33" s="1"/>
  <c r="X146" i="33"/>
  <c r="Y146" i="33" s="1"/>
  <c r="X145" i="33"/>
  <c r="Y145" i="33" s="1"/>
  <c r="X144" i="33"/>
  <c r="Y144" i="33" s="1"/>
  <c r="X142" i="33"/>
  <c r="X143" i="33"/>
  <c r="Y143" i="33" s="1"/>
  <c r="AE152" i="33"/>
  <c r="AF152" i="33" s="1"/>
  <c r="AE151" i="33"/>
  <c r="AF151" i="33" s="1"/>
  <c r="AE146" i="33"/>
  <c r="AF146" i="33" s="1"/>
  <c r="AE145" i="33"/>
  <c r="AF145" i="33" s="1"/>
  <c r="AE144" i="33"/>
  <c r="AF144" i="33" s="1"/>
  <c r="AE150" i="33"/>
  <c r="AF150" i="33" s="1"/>
  <c r="AE149" i="33"/>
  <c r="AF149" i="33" s="1"/>
  <c r="AE148" i="33"/>
  <c r="AF148" i="33" s="1"/>
  <c r="AE147" i="33"/>
  <c r="AF147" i="33" s="1"/>
  <c r="AE142" i="33"/>
  <c r="AE143" i="33"/>
  <c r="AF143" i="33" s="1"/>
  <c r="AZ152" i="33"/>
  <c r="BA152" i="33" s="1"/>
  <c r="AZ150" i="33"/>
  <c r="BA150" i="33" s="1"/>
  <c r="AZ149" i="33"/>
  <c r="BA149" i="33" s="1"/>
  <c r="AZ148" i="33"/>
  <c r="BA148" i="33" s="1"/>
  <c r="AZ151" i="33"/>
  <c r="BA151" i="33" s="1"/>
  <c r="AZ147" i="33"/>
  <c r="BA147" i="33" s="1"/>
  <c r="AZ146" i="33"/>
  <c r="BA146" i="33" s="1"/>
  <c r="AZ145" i="33"/>
  <c r="BA145" i="33" s="1"/>
  <c r="AZ144" i="33"/>
  <c r="BA144" i="33" s="1"/>
  <c r="AZ142" i="33"/>
  <c r="AZ143" i="33"/>
  <c r="BA143" i="33" s="1"/>
  <c r="CW152" i="33"/>
  <c r="CX152" i="33" s="1"/>
  <c r="CW151" i="33"/>
  <c r="CX151" i="33" s="1"/>
  <c r="CW150" i="33"/>
  <c r="CX150" i="33" s="1"/>
  <c r="CW149" i="33"/>
  <c r="CX149" i="33" s="1"/>
  <c r="CW148" i="33"/>
  <c r="CX148" i="33" s="1"/>
  <c r="CW147" i="33"/>
  <c r="CX147" i="33" s="1"/>
  <c r="CW142" i="33"/>
  <c r="CW146" i="33"/>
  <c r="CX146" i="33" s="1"/>
  <c r="CW145" i="33"/>
  <c r="CX145" i="33" s="1"/>
  <c r="CW144" i="33"/>
  <c r="CX144" i="33" s="1"/>
  <c r="CW143" i="33"/>
  <c r="CX143" i="33" s="1"/>
  <c r="AS152" i="33"/>
  <c r="AT152" i="33" s="1"/>
  <c r="AS147" i="33"/>
  <c r="AT147" i="33" s="1"/>
  <c r="AS142" i="33"/>
  <c r="AS146" i="33"/>
  <c r="AT146" i="33" s="1"/>
  <c r="AS145" i="33"/>
  <c r="AT145" i="33" s="1"/>
  <c r="AS144" i="33"/>
  <c r="AT144" i="33" s="1"/>
  <c r="AS143" i="33"/>
  <c r="AT143" i="33" s="1"/>
  <c r="AS150" i="33"/>
  <c r="AT150" i="33" s="1"/>
  <c r="AS149" i="33"/>
  <c r="AT149" i="33" s="1"/>
  <c r="AS148" i="33"/>
  <c r="AT148" i="33" s="1"/>
  <c r="AS151" i="33"/>
  <c r="AT151" i="33" s="1"/>
  <c r="Q152" i="33"/>
  <c r="R152" i="33" s="1"/>
  <c r="Q142" i="33"/>
  <c r="Q147" i="33"/>
  <c r="R147" i="33" s="1"/>
  <c r="Q146" i="33"/>
  <c r="R146" i="33" s="1"/>
  <c r="Q145" i="33"/>
  <c r="R145" i="33" s="1"/>
  <c r="Q144" i="33"/>
  <c r="R144" i="33" s="1"/>
  <c r="Q143" i="33"/>
  <c r="R143" i="33" s="1"/>
  <c r="Q151" i="33"/>
  <c r="R151" i="33" s="1"/>
  <c r="Q150" i="33"/>
  <c r="R150" i="33" s="1"/>
  <c r="Q149" i="33"/>
  <c r="R149" i="33" s="1"/>
  <c r="Q148" i="33"/>
  <c r="R148" i="33" s="1"/>
  <c r="AL152" i="33"/>
  <c r="AM152" i="33" s="1"/>
  <c r="AL150" i="33"/>
  <c r="AM150" i="33" s="1"/>
  <c r="AL149" i="33"/>
  <c r="AM149" i="33" s="1"/>
  <c r="AL148" i="33"/>
  <c r="AM148" i="33" s="1"/>
  <c r="AL143" i="33"/>
  <c r="AM143" i="33" s="1"/>
  <c r="AL146" i="33"/>
  <c r="AM146" i="33" s="1"/>
  <c r="AL145" i="33"/>
  <c r="AM145" i="33" s="1"/>
  <c r="AL144" i="33"/>
  <c r="AM144" i="33" s="1"/>
  <c r="AL151" i="33"/>
  <c r="AM151" i="33" s="1"/>
  <c r="AL147" i="33"/>
  <c r="AM147" i="33" s="1"/>
  <c r="AL142" i="33"/>
  <c r="CI152" i="33"/>
  <c r="CJ152" i="33" s="1"/>
  <c r="CI151" i="33"/>
  <c r="CJ151" i="33" s="1"/>
  <c r="CI150" i="33"/>
  <c r="CJ150" i="33" s="1"/>
  <c r="CI149" i="33"/>
  <c r="CJ149" i="33" s="1"/>
  <c r="CI148" i="33"/>
  <c r="CJ148" i="33" s="1"/>
  <c r="CI146" i="33"/>
  <c r="CJ146" i="33" s="1"/>
  <c r="CI145" i="33"/>
  <c r="CJ145" i="33" s="1"/>
  <c r="CI144" i="33"/>
  <c r="CJ144" i="33" s="1"/>
  <c r="CI147" i="33"/>
  <c r="CJ147" i="33" s="1"/>
  <c r="CI142" i="33"/>
  <c r="CI143" i="33"/>
  <c r="CJ143" i="33" s="1"/>
  <c r="BU152" i="33"/>
  <c r="BV152" i="33" s="1"/>
  <c r="BU147" i="33"/>
  <c r="BV147" i="33" s="1"/>
  <c r="BU142" i="33"/>
  <c r="BU150" i="33"/>
  <c r="BV150" i="33" s="1"/>
  <c r="BU149" i="33"/>
  <c r="BV149" i="33" s="1"/>
  <c r="BU148" i="33"/>
  <c r="BV148" i="33" s="1"/>
  <c r="BU146" i="33"/>
  <c r="BV146" i="33" s="1"/>
  <c r="BU145" i="33"/>
  <c r="BV145" i="33" s="1"/>
  <c r="BU144" i="33"/>
  <c r="BV144" i="33" s="1"/>
  <c r="BU143" i="33"/>
  <c r="BV143" i="33" s="1"/>
  <c r="BU151" i="33"/>
  <c r="BV151" i="33" s="1"/>
  <c r="D155" i="33"/>
  <c r="C79" i="33"/>
  <c r="I78" i="33"/>
  <c r="B78" i="33"/>
  <c r="CP152" i="33"/>
  <c r="CQ152" i="33" s="1"/>
  <c r="CP151" i="33"/>
  <c r="CQ151" i="33" s="1"/>
  <c r="CP143" i="33"/>
  <c r="CQ143" i="33" s="1"/>
  <c r="CP146" i="33"/>
  <c r="CQ146" i="33" s="1"/>
  <c r="CP145" i="33"/>
  <c r="CQ145" i="33" s="1"/>
  <c r="CP144" i="33"/>
  <c r="CQ144" i="33" s="1"/>
  <c r="CP150" i="33"/>
  <c r="CQ150" i="33" s="1"/>
  <c r="CP149" i="33"/>
  <c r="CQ149" i="33" s="1"/>
  <c r="CP148" i="33"/>
  <c r="CQ148" i="33" s="1"/>
  <c r="CP147" i="33"/>
  <c r="CQ147" i="33" s="1"/>
  <c r="CP142" i="33"/>
  <c r="AL142" i="32"/>
  <c r="AL152" i="32"/>
  <c r="AM152" i="32" s="1"/>
  <c r="AL151" i="32"/>
  <c r="AM151" i="32" s="1"/>
  <c r="AL147" i="32"/>
  <c r="AM147" i="32" s="1"/>
  <c r="AL146" i="32"/>
  <c r="AM146" i="32" s="1"/>
  <c r="AL145" i="32"/>
  <c r="AM145" i="32" s="1"/>
  <c r="AL144" i="32"/>
  <c r="AM144" i="32" s="1"/>
  <c r="AL150" i="32"/>
  <c r="AM150" i="32" s="1"/>
  <c r="AL149" i="32"/>
  <c r="AM149" i="32" s="1"/>
  <c r="AL148" i="32"/>
  <c r="AM148" i="32" s="1"/>
  <c r="AL143" i="32"/>
  <c r="AM143" i="32" s="1"/>
  <c r="AE150" i="32"/>
  <c r="AF150" i="32" s="1"/>
  <c r="AE149" i="32"/>
  <c r="AF149" i="32" s="1"/>
  <c r="AE148" i="32"/>
  <c r="AF148" i="32" s="1"/>
  <c r="AE143" i="32"/>
  <c r="AF143" i="32" s="1"/>
  <c r="AE152" i="32"/>
  <c r="AF152" i="32" s="1"/>
  <c r="AE151" i="32"/>
  <c r="AF151" i="32" s="1"/>
  <c r="AE147" i="32"/>
  <c r="AF147" i="32" s="1"/>
  <c r="AE146" i="32"/>
  <c r="AF146" i="32" s="1"/>
  <c r="AE145" i="32"/>
  <c r="AF145" i="32" s="1"/>
  <c r="AE144" i="32"/>
  <c r="AF144" i="32" s="1"/>
  <c r="AE142" i="32"/>
  <c r="BG150" i="32"/>
  <c r="BH150" i="32" s="1"/>
  <c r="BG149" i="32"/>
  <c r="BH149" i="32" s="1"/>
  <c r="BG148" i="32"/>
  <c r="BH148" i="32" s="1"/>
  <c r="BG143" i="32"/>
  <c r="BH143" i="32" s="1"/>
  <c r="BG152" i="32"/>
  <c r="BH152" i="32" s="1"/>
  <c r="BG151" i="32"/>
  <c r="BH151" i="32" s="1"/>
  <c r="BG147" i="32"/>
  <c r="BH147" i="32" s="1"/>
  <c r="BG146" i="32"/>
  <c r="BH146" i="32" s="1"/>
  <c r="BG145" i="32"/>
  <c r="BH145" i="32" s="1"/>
  <c r="BG144" i="32"/>
  <c r="BH144" i="32" s="1"/>
  <c r="BG142" i="32"/>
  <c r="AZ152" i="32"/>
  <c r="BA152" i="32" s="1"/>
  <c r="AZ151" i="32"/>
  <c r="BA151" i="32" s="1"/>
  <c r="AZ147" i="32"/>
  <c r="BA147" i="32" s="1"/>
  <c r="AZ146" i="32"/>
  <c r="BA146" i="32" s="1"/>
  <c r="AZ145" i="32"/>
  <c r="BA145" i="32" s="1"/>
  <c r="AZ144" i="32"/>
  <c r="BA144" i="32" s="1"/>
  <c r="AZ142" i="32"/>
  <c r="AZ150" i="32"/>
  <c r="BA150" i="32" s="1"/>
  <c r="AZ149" i="32"/>
  <c r="BA149" i="32" s="1"/>
  <c r="AZ148" i="32"/>
  <c r="BA148" i="32" s="1"/>
  <c r="AZ143" i="32"/>
  <c r="BA143" i="32" s="1"/>
  <c r="Q152" i="32"/>
  <c r="R152" i="32" s="1"/>
  <c r="Q151" i="32"/>
  <c r="R151" i="32" s="1"/>
  <c r="Q150" i="32"/>
  <c r="R150" i="32" s="1"/>
  <c r="Q149" i="32"/>
  <c r="R149" i="32" s="1"/>
  <c r="Q148" i="32"/>
  <c r="R148" i="32" s="1"/>
  <c r="Q147" i="32"/>
  <c r="R147" i="32" s="1"/>
  <c r="Q146" i="32"/>
  <c r="R146" i="32" s="1"/>
  <c r="Q145" i="32"/>
  <c r="R145" i="32" s="1"/>
  <c r="Q144" i="32"/>
  <c r="R144" i="32" s="1"/>
  <c r="Q143" i="32"/>
  <c r="R143" i="32" s="1"/>
  <c r="Q142" i="32"/>
  <c r="X152" i="32"/>
  <c r="Y152" i="32" s="1"/>
  <c r="X151" i="32"/>
  <c r="Y151" i="32" s="1"/>
  <c r="X147" i="32"/>
  <c r="Y147" i="32" s="1"/>
  <c r="X146" i="32"/>
  <c r="Y146" i="32" s="1"/>
  <c r="X145" i="32"/>
  <c r="Y145" i="32" s="1"/>
  <c r="X144" i="32"/>
  <c r="Y144" i="32" s="1"/>
  <c r="X142" i="32"/>
  <c r="X143" i="32"/>
  <c r="Y143" i="32" s="1"/>
  <c r="X150" i="32"/>
  <c r="Y150" i="32" s="1"/>
  <c r="X148" i="32"/>
  <c r="Y148" i="32" s="1"/>
  <c r="X149" i="32"/>
  <c r="Y149" i="32" s="1"/>
  <c r="A117" i="32"/>
  <c r="A155" i="32" s="1"/>
  <c r="A191" i="32" s="1"/>
  <c r="A79" i="32"/>
  <c r="BU152" i="32"/>
  <c r="BV152" i="32" s="1"/>
  <c r="BU151" i="32"/>
  <c r="BV151" i="32" s="1"/>
  <c r="BU150" i="32"/>
  <c r="BV150" i="32" s="1"/>
  <c r="BU149" i="32"/>
  <c r="BV149" i="32" s="1"/>
  <c r="BU148" i="32"/>
  <c r="BV148" i="32" s="1"/>
  <c r="BU147" i="32"/>
  <c r="BV147" i="32" s="1"/>
  <c r="BU146" i="32"/>
  <c r="BV146" i="32" s="1"/>
  <c r="BU145" i="32"/>
  <c r="BV145" i="32" s="1"/>
  <c r="BU144" i="32"/>
  <c r="BV144" i="32" s="1"/>
  <c r="BU143" i="32"/>
  <c r="BV143" i="32" s="1"/>
  <c r="BU142" i="32"/>
  <c r="CP152" i="32"/>
  <c r="CQ152" i="32" s="1"/>
  <c r="CP142" i="32"/>
  <c r="CP151" i="32"/>
  <c r="CQ151" i="32" s="1"/>
  <c r="CP147" i="32"/>
  <c r="CQ147" i="32" s="1"/>
  <c r="CP146" i="32"/>
  <c r="CQ146" i="32" s="1"/>
  <c r="CP145" i="32"/>
  <c r="CQ145" i="32" s="1"/>
  <c r="CP144" i="32"/>
  <c r="CQ144" i="32" s="1"/>
  <c r="CP150" i="32"/>
  <c r="CQ150" i="32" s="1"/>
  <c r="CP149" i="32"/>
  <c r="CQ149" i="32" s="1"/>
  <c r="CP148" i="32"/>
  <c r="CQ148" i="32" s="1"/>
  <c r="CP143" i="32"/>
  <c r="CQ143" i="32" s="1"/>
  <c r="CB152" i="32"/>
  <c r="CC152" i="32" s="1"/>
  <c r="CB151" i="32"/>
  <c r="CC151" i="32" s="1"/>
  <c r="CB147" i="32"/>
  <c r="CC147" i="32" s="1"/>
  <c r="CB146" i="32"/>
  <c r="CC146" i="32" s="1"/>
  <c r="CB145" i="32"/>
  <c r="CC145" i="32" s="1"/>
  <c r="CB144" i="32"/>
  <c r="CC144" i="32" s="1"/>
  <c r="CB142" i="32"/>
  <c r="CB143" i="32"/>
  <c r="CC143" i="32" s="1"/>
  <c r="CB150" i="32"/>
  <c r="CC150" i="32" s="1"/>
  <c r="CB149" i="32"/>
  <c r="CC149" i="32" s="1"/>
  <c r="CB148" i="32"/>
  <c r="CC148" i="32" s="1"/>
  <c r="CI152" i="32"/>
  <c r="CJ152" i="32" s="1"/>
  <c r="CI150" i="32"/>
  <c r="CJ150" i="32" s="1"/>
  <c r="CI149" i="32"/>
  <c r="CJ149" i="32" s="1"/>
  <c r="CI148" i="32"/>
  <c r="CJ148" i="32" s="1"/>
  <c r="CI143" i="32"/>
  <c r="CJ143" i="32" s="1"/>
  <c r="CI151" i="32"/>
  <c r="CJ151" i="32" s="1"/>
  <c r="CI147" i="32"/>
  <c r="CJ147" i="32" s="1"/>
  <c r="CI146" i="32"/>
  <c r="CJ146" i="32" s="1"/>
  <c r="CI145" i="32"/>
  <c r="CJ145" i="32" s="1"/>
  <c r="CI144" i="32"/>
  <c r="CJ144" i="32" s="1"/>
  <c r="CI142" i="32"/>
  <c r="F71" i="32"/>
  <c r="C40" i="32" s="1"/>
  <c r="D155" i="32"/>
  <c r="C79" i="32"/>
  <c r="B78" i="32"/>
  <c r="I78" i="32"/>
  <c r="CW152" i="32"/>
  <c r="CX152" i="32" s="1"/>
  <c r="CW151" i="32"/>
  <c r="CX151" i="32" s="1"/>
  <c r="CW150" i="32"/>
  <c r="CX150" i="32" s="1"/>
  <c r="CW149" i="32"/>
  <c r="CX149" i="32" s="1"/>
  <c r="CW148" i="32"/>
  <c r="CX148" i="32" s="1"/>
  <c r="CW147" i="32"/>
  <c r="CX147" i="32" s="1"/>
  <c r="CW146" i="32"/>
  <c r="CX146" i="32" s="1"/>
  <c r="CW145" i="32"/>
  <c r="CX145" i="32" s="1"/>
  <c r="CW144" i="32"/>
  <c r="CX144" i="32" s="1"/>
  <c r="CW143" i="32"/>
  <c r="CX143" i="32" s="1"/>
  <c r="CW142" i="32"/>
  <c r="AS152" i="32"/>
  <c r="AT152" i="32" s="1"/>
  <c r="AS151" i="32"/>
  <c r="AT151" i="32" s="1"/>
  <c r="AS150" i="32"/>
  <c r="AT150" i="32" s="1"/>
  <c r="AS149" i="32"/>
  <c r="AT149" i="32" s="1"/>
  <c r="AS148" i="32"/>
  <c r="AT148" i="32" s="1"/>
  <c r="AS147" i="32"/>
  <c r="AT147" i="32" s="1"/>
  <c r="AS146" i="32"/>
  <c r="AT146" i="32" s="1"/>
  <c r="AS145" i="32"/>
  <c r="AT145" i="32" s="1"/>
  <c r="AS144" i="32"/>
  <c r="AT144" i="32" s="1"/>
  <c r="AS143" i="32"/>
  <c r="AT143" i="32" s="1"/>
  <c r="AS142" i="32"/>
  <c r="BN142" i="32"/>
  <c r="BN152" i="32"/>
  <c r="BO152" i="32" s="1"/>
  <c r="BN151" i="32"/>
  <c r="BO151" i="32" s="1"/>
  <c r="BN147" i="32"/>
  <c r="BO147" i="32" s="1"/>
  <c r="BN146" i="32"/>
  <c r="BO146" i="32" s="1"/>
  <c r="BN145" i="32"/>
  <c r="BO145" i="32" s="1"/>
  <c r="BN144" i="32"/>
  <c r="BO144" i="32" s="1"/>
  <c r="BN150" i="32"/>
  <c r="BO150" i="32" s="1"/>
  <c r="BN149" i="32"/>
  <c r="BO149" i="32" s="1"/>
  <c r="BN148" i="32"/>
  <c r="BO148" i="32" s="1"/>
  <c r="BN143" i="32"/>
  <c r="BO143" i="32" s="1"/>
  <c r="F72" i="32"/>
  <c r="C41" i="32" s="1"/>
  <c r="AU144" i="5" l="1"/>
  <c r="V155" i="11"/>
  <c r="V156" i="11" s="1"/>
  <c r="V149" i="5"/>
  <c r="AW14" i="5"/>
  <c r="AW33" i="5" s="1"/>
  <c r="F187" i="33"/>
  <c r="F186" i="33"/>
  <c r="F188" i="33" s="1"/>
  <c r="F186" i="32"/>
  <c r="F188" i="32" s="1"/>
  <c r="F187" i="32"/>
  <c r="W153" i="5"/>
  <c r="AU153" i="5"/>
  <c r="X143" i="5"/>
  <c r="AV143" i="5"/>
  <c r="W144" i="5"/>
  <c r="W162" i="48" s="1"/>
  <c r="W163" i="48" s="1"/>
  <c r="V154" i="5"/>
  <c r="AT154" i="5"/>
  <c r="D156" i="33"/>
  <c r="C80" i="33"/>
  <c r="B79" i="33"/>
  <c r="I79" i="33"/>
  <c r="AM142" i="33"/>
  <c r="AJ152" i="33" s="1"/>
  <c r="H162" i="33" s="1"/>
  <c r="AK141" i="33"/>
  <c r="AJ151" i="33" s="1"/>
  <c r="G162" i="33" s="1"/>
  <c r="R142" i="33"/>
  <c r="O152" i="33" s="1"/>
  <c r="H159" i="33" s="1"/>
  <c r="P141" i="33"/>
  <c r="O151" i="33" s="1"/>
  <c r="G159" i="33" s="1"/>
  <c r="CC142" i="33"/>
  <c r="BZ152" i="33" s="1"/>
  <c r="H168" i="33" s="1"/>
  <c r="CA141" i="33"/>
  <c r="BZ151" i="33" s="1"/>
  <c r="G168" i="33" s="1"/>
  <c r="CV141" i="33"/>
  <c r="CU151" i="33" s="1"/>
  <c r="CX142" i="33"/>
  <c r="CU152" i="33" s="1"/>
  <c r="H171" i="33" s="1"/>
  <c r="AY141" i="33"/>
  <c r="AX151" i="33" s="1"/>
  <c r="G164" i="33" s="1"/>
  <c r="BA142" i="33"/>
  <c r="AX152" i="33" s="1"/>
  <c r="H164" i="33" s="1"/>
  <c r="BV142" i="33"/>
  <c r="BS152" i="33" s="1"/>
  <c r="H167" i="33" s="1"/>
  <c r="BT141" i="33"/>
  <c r="BS151" i="33" s="1"/>
  <c r="G167" i="33" s="1"/>
  <c r="CH141" i="33"/>
  <c r="CG151" i="33" s="1"/>
  <c r="G169" i="33" s="1"/>
  <c r="CJ142" i="33"/>
  <c r="CG152" i="33" s="1"/>
  <c r="H169" i="33" s="1"/>
  <c r="AT142" i="33"/>
  <c r="AQ152" i="33" s="1"/>
  <c r="H163" i="33" s="1"/>
  <c r="AR141" i="33"/>
  <c r="AQ151" i="33" s="1"/>
  <c r="G163" i="33" s="1"/>
  <c r="W141" i="33"/>
  <c r="V151" i="33" s="1"/>
  <c r="G160" i="33" s="1"/>
  <c r="Y142" i="33"/>
  <c r="V152" i="33" s="1"/>
  <c r="H160" i="33" s="1"/>
  <c r="BF141" i="33"/>
  <c r="BE151" i="33" s="1"/>
  <c r="G165" i="33" s="1"/>
  <c r="BH142" i="33"/>
  <c r="BE152" i="33" s="1"/>
  <c r="H165" i="33" s="1"/>
  <c r="CQ142" i="33"/>
  <c r="CN152" i="33" s="1"/>
  <c r="H170" i="33" s="1"/>
  <c r="CO141" i="33"/>
  <c r="CN151" i="33" s="1"/>
  <c r="G170" i="33" s="1"/>
  <c r="L78" i="33"/>
  <c r="C18" i="33"/>
  <c r="AD141" i="33"/>
  <c r="AC151" i="33" s="1"/>
  <c r="G161" i="33" s="1"/>
  <c r="AF142" i="33"/>
  <c r="AC152" i="33" s="1"/>
  <c r="H161" i="33" s="1"/>
  <c r="A79" i="33"/>
  <c r="A117" i="33"/>
  <c r="A155" i="33" s="1"/>
  <c r="A191" i="33" s="1"/>
  <c r="BO142" i="33"/>
  <c r="BL152" i="33" s="1"/>
  <c r="H166" i="33" s="1"/>
  <c r="BM141" i="33"/>
  <c r="BL151" i="33" s="1"/>
  <c r="G166" i="33" s="1"/>
  <c r="CX142" i="32"/>
  <c r="CU152" i="32" s="1"/>
  <c r="H171" i="32" s="1"/>
  <c r="CV141" i="32"/>
  <c r="CU151" i="32" s="1"/>
  <c r="G171" i="32" s="1"/>
  <c r="Y142" i="32"/>
  <c r="V152" i="32" s="1"/>
  <c r="H160" i="32" s="1"/>
  <c r="W141" i="32"/>
  <c r="V151" i="32" s="1"/>
  <c r="G160" i="32" s="1"/>
  <c r="L78" i="32"/>
  <c r="C18" i="32"/>
  <c r="CC142" i="32"/>
  <c r="BZ152" i="32" s="1"/>
  <c r="H168" i="32" s="1"/>
  <c r="CA141" i="32"/>
  <c r="BZ151" i="32" s="1"/>
  <c r="G168" i="32" s="1"/>
  <c r="CO141" i="32"/>
  <c r="CN151" i="32" s="1"/>
  <c r="G170" i="32" s="1"/>
  <c r="CQ142" i="32"/>
  <c r="CN152" i="32" s="1"/>
  <c r="H170" i="32" s="1"/>
  <c r="AY141" i="32"/>
  <c r="AX151" i="32" s="1"/>
  <c r="G164" i="32" s="1"/>
  <c r="BA142" i="32"/>
  <c r="AX152" i="32" s="1"/>
  <c r="H164" i="32" s="1"/>
  <c r="BM141" i="32"/>
  <c r="BL151" i="32" s="1"/>
  <c r="G166" i="32" s="1"/>
  <c r="BO142" i="32"/>
  <c r="BL152" i="32" s="1"/>
  <c r="H166" i="32" s="1"/>
  <c r="CH141" i="32"/>
  <c r="CG151" i="32" s="1"/>
  <c r="G169" i="32" s="1"/>
  <c r="CJ142" i="32"/>
  <c r="CG152" i="32" s="1"/>
  <c r="H169" i="32" s="1"/>
  <c r="AT142" i="32"/>
  <c r="AQ152" i="32" s="1"/>
  <c r="H163" i="32" s="1"/>
  <c r="AR141" i="32"/>
  <c r="AQ151" i="32" s="1"/>
  <c r="G163" i="32" s="1"/>
  <c r="D156" i="32"/>
  <c r="C80" i="32"/>
  <c r="I79" i="32"/>
  <c r="B79" i="32"/>
  <c r="BV142" i="32"/>
  <c r="BS152" i="32" s="1"/>
  <c r="H167" i="32" s="1"/>
  <c r="BT141" i="32"/>
  <c r="BS151" i="32" s="1"/>
  <c r="G167" i="32" s="1"/>
  <c r="P141" i="32"/>
  <c r="O151" i="32" s="1"/>
  <c r="G159" i="32" s="1"/>
  <c r="R142" i="32"/>
  <c r="O152" i="32" s="1"/>
  <c r="H159" i="32" s="1"/>
  <c r="AD141" i="32"/>
  <c r="AC151" i="32" s="1"/>
  <c r="G161" i="32" s="1"/>
  <c r="AF142" i="32"/>
  <c r="AC152" i="32" s="1"/>
  <c r="H161" i="32" s="1"/>
  <c r="A80" i="32"/>
  <c r="A118" i="32"/>
  <c r="A156" i="32" s="1"/>
  <c r="A192" i="32" s="1"/>
  <c r="BH142" i="32"/>
  <c r="BE152" i="32" s="1"/>
  <c r="H165" i="32" s="1"/>
  <c r="BF141" i="32"/>
  <c r="BE151" i="32" s="1"/>
  <c r="G165" i="32" s="1"/>
  <c r="AK141" i="32"/>
  <c r="AJ151" i="32" s="1"/>
  <c r="G162" i="32" s="1"/>
  <c r="AM142" i="32"/>
  <c r="AJ152" i="32" s="1"/>
  <c r="H162" i="32" s="1"/>
  <c r="AD27" i="12"/>
  <c r="AA27" i="12"/>
  <c r="AB52" i="12"/>
  <c r="AB49" i="12"/>
  <c r="AI27" i="12"/>
  <c r="AH27" i="12"/>
  <c r="AI28" i="12"/>
  <c r="AH28" i="12"/>
  <c r="AI29" i="12"/>
  <c r="AH29" i="12"/>
  <c r="AI26" i="12"/>
  <c r="AH26" i="12"/>
  <c r="AI25" i="12"/>
  <c r="AH25" i="12"/>
  <c r="AV144" i="5" l="1"/>
  <c r="W155" i="11"/>
  <c r="W156" i="11" s="1"/>
  <c r="W149" i="5"/>
  <c r="L163" i="32"/>
  <c r="G171" i="33"/>
  <c r="L171" i="33" s="1"/>
  <c r="B191" i="33"/>
  <c r="I190" i="33"/>
  <c r="F17" i="33" s="1"/>
  <c r="I208" i="33"/>
  <c r="F35" i="33" s="1"/>
  <c r="B197" i="33"/>
  <c r="I178" i="33"/>
  <c r="I187" i="33"/>
  <c r="I186" i="33"/>
  <c r="I189" i="33"/>
  <c r="F16" i="33" s="1"/>
  <c r="B198" i="33"/>
  <c r="I185" i="33"/>
  <c r="I204" i="33"/>
  <c r="F31" i="33" s="1"/>
  <c r="B206" i="33"/>
  <c r="I203" i="33"/>
  <c r="F30" i="33" s="1"/>
  <c r="I201" i="33"/>
  <c r="F28" i="33" s="1"/>
  <c r="I198" i="33"/>
  <c r="F25" i="33" s="1"/>
  <c r="I182" i="33"/>
  <c r="B193" i="33"/>
  <c r="B204" i="33"/>
  <c r="B202" i="33"/>
  <c r="I194" i="33"/>
  <c r="F21" i="33" s="1"/>
  <c r="I196" i="33"/>
  <c r="F23" i="33" s="1"/>
  <c r="B196" i="33"/>
  <c r="I191" i="33"/>
  <c r="F18" i="33" s="1"/>
  <c r="I210" i="33"/>
  <c r="F37" i="33" s="1"/>
  <c r="I207" i="33"/>
  <c r="F34" i="33" s="1"/>
  <c r="E47" i="33" s="1"/>
  <c r="I202" i="33"/>
  <c r="F29" i="33" s="1"/>
  <c r="D47" i="33" s="1"/>
  <c r="B200" i="33"/>
  <c r="I184" i="33"/>
  <c r="B195" i="33"/>
  <c r="B201" i="33"/>
  <c r="B194" i="33"/>
  <c r="B192" i="33"/>
  <c r="I199" i="33"/>
  <c r="F26" i="33" s="1"/>
  <c r="B199" i="33"/>
  <c r="B207" i="33"/>
  <c r="I183" i="33"/>
  <c r="B208" i="33"/>
  <c r="B209" i="33"/>
  <c r="B203" i="33"/>
  <c r="B205" i="33"/>
  <c r="I209" i="33"/>
  <c r="F36" i="33" s="1"/>
  <c r="I195" i="33"/>
  <c r="F22" i="33" s="1"/>
  <c r="I179" i="33"/>
  <c r="B190" i="33"/>
  <c r="I188" i="33"/>
  <c r="I197" i="33"/>
  <c r="F24" i="33" s="1"/>
  <c r="C47" i="33" s="1"/>
  <c r="I192" i="33"/>
  <c r="F19" i="33" s="1"/>
  <c r="B47" i="33" s="1"/>
  <c r="I180" i="33"/>
  <c r="I193" i="33"/>
  <c r="F20" i="33" s="1"/>
  <c r="D52" i="14" s="1"/>
  <c r="I181" i="33"/>
  <c r="I200" i="33"/>
  <c r="F27" i="33" s="1"/>
  <c r="I205" i="33"/>
  <c r="F32" i="33" s="1"/>
  <c r="I206" i="33"/>
  <c r="F33" i="33" s="1"/>
  <c r="B210" i="33"/>
  <c r="L162" i="32"/>
  <c r="L165" i="32"/>
  <c r="L167" i="32"/>
  <c r="L168" i="32"/>
  <c r="L160" i="32"/>
  <c r="L166" i="32"/>
  <c r="I203" i="32"/>
  <c r="F30" i="32" s="1"/>
  <c r="F47" i="14" s="1"/>
  <c r="I206" i="32"/>
  <c r="F33" i="32" s="1"/>
  <c r="B191" i="32"/>
  <c r="I210" i="32"/>
  <c r="F37" i="32" s="1"/>
  <c r="I194" i="32"/>
  <c r="F21" i="32" s="1"/>
  <c r="B198" i="32"/>
  <c r="I182" i="32"/>
  <c r="I201" i="32"/>
  <c r="F28" i="32" s="1"/>
  <c r="I204" i="32"/>
  <c r="F31" i="32" s="1"/>
  <c r="I187" i="32"/>
  <c r="I208" i="32"/>
  <c r="F35" i="32" s="1"/>
  <c r="B192" i="32"/>
  <c r="B196" i="32"/>
  <c r="I180" i="32"/>
  <c r="I199" i="32"/>
  <c r="F26" i="32" s="1"/>
  <c r="I202" i="32"/>
  <c r="F29" i="32" s="1"/>
  <c r="D47" i="32" s="1"/>
  <c r="I184" i="32"/>
  <c r="B207" i="32"/>
  <c r="B210" i="32"/>
  <c r="B194" i="32"/>
  <c r="I185" i="32"/>
  <c r="I197" i="32"/>
  <c r="F24" i="32" s="1"/>
  <c r="C47" i="32" s="1"/>
  <c r="I200" i="32"/>
  <c r="F27" i="32" s="1"/>
  <c r="I190" i="32"/>
  <c r="F17" i="32" s="1"/>
  <c r="B205" i="32"/>
  <c r="B208" i="32"/>
  <c r="I191" i="32"/>
  <c r="F18" i="32" s="1"/>
  <c r="I195" i="32"/>
  <c r="F22" i="32" s="1"/>
  <c r="B199" i="32"/>
  <c r="I186" i="32"/>
  <c r="B203" i="32"/>
  <c r="B206" i="32"/>
  <c r="B190" i="32"/>
  <c r="I209" i="32"/>
  <c r="F36" i="32" s="1"/>
  <c r="B193" i="32"/>
  <c r="B197" i="32"/>
  <c r="I178" i="32"/>
  <c r="B201" i="32"/>
  <c r="B204" i="32"/>
  <c r="I193" i="32"/>
  <c r="F20" i="32" s="1"/>
  <c r="I207" i="32"/>
  <c r="F34" i="32" s="1"/>
  <c r="E47" i="32" s="1"/>
  <c r="I189" i="32"/>
  <c r="F16" i="32" s="1"/>
  <c r="B195" i="32"/>
  <c r="I179" i="32"/>
  <c r="I198" i="32"/>
  <c r="F25" i="32" s="1"/>
  <c r="E47" i="14" s="1"/>
  <c r="B202" i="32"/>
  <c r="I181" i="32"/>
  <c r="I205" i="32"/>
  <c r="F32" i="32" s="1"/>
  <c r="B209" i="32"/>
  <c r="I192" i="32"/>
  <c r="F19" i="32" s="1"/>
  <c r="B47" i="32" s="1"/>
  <c r="I183" i="32"/>
  <c r="I196" i="32"/>
  <c r="F23" i="32" s="1"/>
  <c r="B200" i="32"/>
  <c r="I188" i="32"/>
  <c r="L171" i="32"/>
  <c r="L161" i="32"/>
  <c r="L169" i="32"/>
  <c r="L159" i="32"/>
  <c r="L164" i="32"/>
  <c r="L170" i="32"/>
  <c r="L170" i="33"/>
  <c r="L169" i="33"/>
  <c r="L167" i="33"/>
  <c r="L163" i="33"/>
  <c r="L159" i="33"/>
  <c r="L165" i="33"/>
  <c r="L168" i="33"/>
  <c r="L164" i="33"/>
  <c r="L160" i="33"/>
  <c r="L166" i="33"/>
  <c r="L162" i="33"/>
  <c r="L161" i="33"/>
  <c r="W154" i="5"/>
  <c r="AU154" i="5"/>
  <c r="X153" i="5"/>
  <c r="AV153" i="5"/>
  <c r="X144" i="5"/>
  <c r="AW143" i="5"/>
  <c r="C19" i="33"/>
  <c r="B44" i="33" s="1"/>
  <c r="L79" i="33"/>
  <c r="D157" i="33"/>
  <c r="C81" i="33"/>
  <c r="B80" i="33"/>
  <c r="I80" i="33"/>
  <c r="A80" i="33"/>
  <c r="A118" i="33"/>
  <c r="A156" i="33" s="1"/>
  <c r="A192" i="33" s="1"/>
  <c r="D157" i="32"/>
  <c r="C81" i="32"/>
  <c r="B80" i="32"/>
  <c r="I80" i="32"/>
  <c r="A81" i="32"/>
  <c r="A119" i="32"/>
  <c r="A157" i="32" s="1"/>
  <c r="A193" i="32" s="1"/>
  <c r="L79" i="32"/>
  <c r="C19" i="32"/>
  <c r="B44" i="32" s="1"/>
  <c r="M12" i="12"/>
  <c r="H10" i="31"/>
  <c r="AL193" i="31"/>
  <c r="AR193" i="31" s="1"/>
  <c r="AX193" i="31" s="1"/>
  <c r="BD193" i="31" s="1"/>
  <c r="T193" i="31"/>
  <c r="Z193" i="31" s="1"/>
  <c r="AF193" i="31" s="1"/>
  <c r="T192" i="31"/>
  <c r="Z192" i="31" s="1"/>
  <c r="AF192" i="31" s="1"/>
  <c r="AL192" i="31" s="1"/>
  <c r="AR192" i="31" s="1"/>
  <c r="AX192" i="31" s="1"/>
  <c r="BD192" i="31" s="1"/>
  <c r="M191" i="31"/>
  <c r="S191" i="31" s="1"/>
  <c r="Y191" i="31" s="1"/>
  <c r="AE191" i="31" s="1"/>
  <c r="AK191" i="31" s="1"/>
  <c r="AQ191" i="31" s="1"/>
  <c r="AW191" i="31" s="1"/>
  <c r="BC191" i="31" s="1"/>
  <c r="BE181" i="31"/>
  <c r="AY181" i="31"/>
  <c r="AS181" i="31"/>
  <c r="AM181" i="31"/>
  <c r="AG181" i="31"/>
  <c r="AA181" i="31"/>
  <c r="U181" i="31"/>
  <c r="O181" i="31"/>
  <c r="D174" i="31"/>
  <c r="D173" i="31"/>
  <c r="D172" i="31"/>
  <c r="AP157" i="31"/>
  <c r="AW157" i="31" s="1"/>
  <c r="BD157" i="31" s="1"/>
  <c r="BK157" i="31" s="1"/>
  <c r="BR157" i="31" s="1"/>
  <c r="BY157" i="31" s="1"/>
  <c r="CF157" i="31" s="1"/>
  <c r="CM157" i="31" s="1"/>
  <c r="CT157" i="31" s="1"/>
  <c r="U157" i="31"/>
  <c r="AB157" i="31" s="1"/>
  <c r="U156" i="31"/>
  <c r="AB156" i="31" s="1"/>
  <c r="AI156" i="31" s="1"/>
  <c r="AP156" i="31" s="1"/>
  <c r="AW156" i="31" s="1"/>
  <c r="BD156" i="31" s="1"/>
  <c r="BK156" i="31" s="1"/>
  <c r="BR156" i="31" s="1"/>
  <c r="BY156" i="31" s="1"/>
  <c r="CF156" i="31" s="1"/>
  <c r="CM156" i="31" s="1"/>
  <c r="CT156" i="31" s="1"/>
  <c r="CU144" i="31"/>
  <c r="CN144" i="31"/>
  <c r="CG144" i="31"/>
  <c r="BZ144" i="31"/>
  <c r="BS144" i="31"/>
  <c r="BL144" i="31"/>
  <c r="BE144" i="31"/>
  <c r="AX144" i="31"/>
  <c r="AQ144" i="31"/>
  <c r="AJ144" i="31"/>
  <c r="AC144" i="31"/>
  <c r="V144" i="31"/>
  <c r="O144" i="31"/>
  <c r="N79" i="31"/>
  <c r="H9" i="31"/>
  <c r="H8" i="31"/>
  <c r="A37" i="31"/>
  <c r="H7" i="31"/>
  <c r="G47" i="14" l="1"/>
  <c r="G52" i="14"/>
  <c r="E52" i="14"/>
  <c r="F52" i="14"/>
  <c r="D47" i="14"/>
  <c r="J3" i="48"/>
  <c r="J5" i="48" s="1"/>
  <c r="B95" i="48" s="1"/>
  <c r="X162" i="48"/>
  <c r="X163" i="48" s="1"/>
  <c r="AW144" i="5"/>
  <c r="X155" i="11"/>
  <c r="X156" i="11" s="1"/>
  <c r="J3" i="11"/>
  <c r="J5" i="11" s="1"/>
  <c r="B95" i="11" s="1"/>
  <c r="X149" i="5"/>
  <c r="G147" i="32"/>
  <c r="C150" i="32" s="1"/>
  <c r="F8" i="33"/>
  <c r="J181" i="33"/>
  <c r="K181" i="33"/>
  <c r="F12" i="33"/>
  <c r="K185" i="33"/>
  <c r="J185" i="33"/>
  <c r="F14" i="33"/>
  <c r="J187" i="33"/>
  <c r="K187" i="33"/>
  <c r="F15" i="33"/>
  <c r="J188" i="33"/>
  <c r="K188" i="33"/>
  <c r="J178" i="33"/>
  <c r="I177" i="33"/>
  <c r="G190" i="33" s="1"/>
  <c r="F39" i="33" s="1"/>
  <c r="F5" i="33"/>
  <c r="K178" i="33"/>
  <c r="J180" i="33"/>
  <c r="K180" i="33"/>
  <c r="F7" i="33"/>
  <c r="J183" i="33"/>
  <c r="K183" i="33"/>
  <c r="F10" i="33"/>
  <c r="F11" i="33"/>
  <c r="J184" i="33"/>
  <c r="K184" i="33"/>
  <c r="F9" i="33"/>
  <c r="J182" i="33"/>
  <c r="K182" i="33"/>
  <c r="K179" i="33"/>
  <c r="F6" i="33"/>
  <c r="J179" i="33"/>
  <c r="J186" i="33"/>
  <c r="F13" i="33"/>
  <c r="K186" i="33"/>
  <c r="K188" i="32"/>
  <c r="J188" i="32"/>
  <c r="F15" i="32"/>
  <c r="K186" i="32"/>
  <c r="J186" i="32"/>
  <c r="F13" i="32"/>
  <c r="F7" i="32"/>
  <c r="K180" i="32"/>
  <c r="J180" i="32"/>
  <c r="J187" i="32"/>
  <c r="F14" i="32"/>
  <c r="K187" i="32"/>
  <c r="K178" i="32"/>
  <c r="J178" i="32"/>
  <c r="I177" i="32"/>
  <c r="G190" i="32" s="1"/>
  <c r="F39" i="32" s="1"/>
  <c r="F5" i="32"/>
  <c r="F12" i="32"/>
  <c r="K185" i="32"/>
  <c r="J185" i="32"/>
  <c r="J184" i="32"/>
  <c r="F11" i="32"/>
  <c r="K184" i="32"/>
  <c r="F6" i="32"/>
  <c r="K179" i="32"/>
  <c r="J179" i="32"/>
  <c r="K183" i="32"/>
  <c r="J183" i="32"/>
  <c r="F10" i="32"/>
  <c r="J181" i="32"/>
  <c r="F8" i="32"/>
  <c r="K181" i="32"/>
  <c r="J182" i="32"/>
  <c r="F9" i="32"/>
  <c r="K182" i="32"/>
  <c r="G147" i="33"/>
  <c r="X154" i="5"/>
  <c r="AW154" i="5" s="1"/>
  <c r="AV154" i="5"/>
  <c r="AW153" i="5"/>
  <c r="L80" i="33"/>
  <c r="C20" i="33"/>
  <c r="A119" i="33"/>
  <c r="A157" i="33" s="1"/>
  <c r="A193" i="33" s="1"/>
  <c r="A81" i="33"/>
  <c r="D158" i="33"/>
  <c r="C82" i="33"/>
  <c r="I81" i="33"/>
  <c r="B81" i="33"/>
  <c r="L80" i="32"/>
  <c r="C20" i="32"/>
  <c r="D158" i="32"/>
  <c r="C82" i="32"/>
  <c r="I81" i="32"/>
  <c r="B81" i="32"/>
  <c r="A120" i="32"/>
  <c r="A158" i="32" s="1"/>
  <c r="A194" i="32" s="1"/>
  <c r="A82" i="32"/>
  <c r="H6" i="31"/>
  <c r="H5" i="31"/>
  <c r="D110" i="31"/>
  <c r="X164" i="48" l="1"/>
  <c r="T164" i="48"/>
  <c r="P164" i="48"/>
  <c r="L164" i="48"/>
  <c r="H164" i="48"/>
  <c r="D164" i="48"/>
  <c r="W164" i="48"/>
  <c r="S164" i="48"/>
  <c r="O164" i="48"/>
  <c r="K164" i="48"/>
  <c r="G164" i="48"/>
  <c r="C164" i="48"/>
  <c r="V164" i="48"/>
  <c r="R164" i="48"/>
  <c r="N164" i="48"/>
  <c r="J164" i="48"/>
  <c r="F164" i="48"/>
  <c r="U164" i="48"/>
  <c r="Q164" i="48"/>
  <c r="M164" i="48"/>
  <c r="I164" i="48"/>
  <c r="E164" i="48"/>
  <c r="B99" i="48"/>
  <c r="C54" i="48" s="1"/>
  <c r="B98" i="48"/>
  <c r="C42" i="48" s="1"/>
  <c r="B97" i="48"/>
  <c r="C30" i="48" s="1"/>
  <c r="B102" i="48"/>
  <c r="C90" i="48" s="1"/>
  <c r="B103" i="48"/>
  <c r="C115" i="48" s="1"/>
  <c r="B100" i="48"/>
  <c r="C66" i="48" s="1"/>
  <c r="B101" i="48"/>
  <c r="C78" i="48" s="1"/>
  <c r="B96" i="48"/>
  <c r="C143" i="32"/>
  <c r="C144" i="32"/>
  <c r="C149" i="32"/>
  <c r="C148" i="32"/>
  <c r="C142" i="32"/>
  <c r="C145" i="32"/>
  <c r="C147" i="32"/>
  <c r="C151" i="32"/>
  <c r="C152" i="32"/>
  <c r="G149" i="32" s="1"/>
  <c r="G150" i="32" s="1"/>
  <c r="C146" i="32"/>
  <c r="G191" i="33"/>
  <c r="F40" i="33" s="1"/>
  <c r="G192" i="33"/>
  <c r="F41" i="33" s="1"/>
  <c r="G192" i="32"/>
  <c r="F41" i="32" s="1"/>
  <c r="G191" i="32"/>
  <c r="F40" i="32" s="1"/>
  <c r="C142" i="33"/>
  <c r="C143" i="33"/>
  <c r="C144" i="33"/>
  <c r="C151" i="33"/>
  <c r="C145" i="33"/>
  <c r="C150" i="33"/>
  <c r="C152" i="33"/>
  <c r="C147" i="33"/>
  <c r="C149" i="33"/>
  <c r="C146" i="33"/>
  <c r="C148" i="33"/>
  <c r="A82" i="33"/>
  <c r="A120" i="33"/>
  <c r="A158" i="33" s="1"/>
  <c r="A194" i="33" s="1"/>
  <c r="C21" i="33"/>
  <c r="D49" i="14" s="1"/>
  <c r="L81" i="33"/>
  <c r="D159" i="33"/>
  <c r="C83" i="33"/>
  <c r="B82" i="33"/>
  <c r="I82" i="33"/>
  <c r="A121" i="32"/>
  <c r="A159" i="32" s="1"/>
  <c r="A195" i="32" s="1"/>
  <c r="A83" i="32"/>
  <c r="D159" i="32"/>
  <c r="C83" i="32"/>
  <c r="B82" i="32"/>
  <c r="I82" i="32"/>
  <c r="L81" i="32"/>
  <c r="C21" i="32"/>
  <c r="D44" i="14" s="1"/>
  <c r="D111" i="31"/>
  <c r="D112" i="31" s="1"/>
  <c r="D113" i="31" s="1"/>
  <c r="D114" i="31" s="1"/>
  <c r="D115" i="31" s="1"/>
  <c r="D116" i="31" s="1"/>
  <c r="D117" i="31" s="1"/>
  <c r="D118" i="31" s="1"/>
  <c r="D119" i="31" s="1"/>
  <c r="D120" i="31" s="1"/>
  <c r="D121" i="31" s="1"/>
  <c r="D122" i="31" s="1"/>
  <c r="D123" i="31" s="1"/>
  <c r="D124" i="31" s="1"/>
  <c r="D125" i="31" s="1"/>
  <c r="D126" i="31" s="1"/>
  <c r="D127" i="31" s="1"/>
  <c r="D128" i="31" s="1"/>
  <c r="D129" i="31" s="1"/>
  <c r="D130" i="31" s="1"/>
  <c r="D131" i="31" s="1"/>
  <c r="D132" i="31" s="1"/>
  <c r="D133" i="31" s="1"/>
  <c r="D134" i="31" s="1"/>
  <c r="D135" i="31" s="1"/>
  <c r="D136" i="31" s="1"/>
  <c r="Q7" i="11"/>
  <c r="E13" i="9" s="1"/>
  <c r="F13" i="9" s="1"/>
  <c r="Q8" i="11"/>
  <c r="E20" i="9" s="1"/>
  <c r="F20" i="9" s="1"/>
  <c r="Q9" i="11"/>
  <c r="E27" i="9" s="1"/>
  <c r="F27" i="9" s="1"/>
  <c r="Q10" i="11"/>
  <c r="E34" i="9" s="1"/>
  <c r="F34" i="9" s="1"/>
  <c r="Q11" i="11"/>
  <c r="E42" i="9" s="1"/>
  <c r="F42" i="9" s="1"/>
  <c r="Q14" i="11"/>
  <c r="E63" i="9" s="1"/>
  <c r="F63" i="9" s="1"/>
  <c r="Q6" i="11"/>
  <c r="E6" i="9" s="1"/>
  <c r="P5" i="11"/>
  <c r="B6" i="11"/>
  <c r="L7" i="11" s="1"/>
  <c r="N11" i="11"/>
  <c r="N10" i="11"/>
  <c r="N9" i="11"/>
  <c r="N8" i="11"/>
  <c r="N7" i="11"/>
  <c r="N6" i="11"/>
  <c r="S28" i="6"/>
  <c r="T28" i="6" s="1"/>
  <c r="U28" i="6" s="1"/>
  <c r="V28" i="6" s="1"/>
  <c r="S19" i="6"/>
  <c r="T19" i="6" s="1"/>
  <c r="U19" i="6" s="1"/>
  <c r="V19" i="6" s="1"/>
  <c r="S16" i="6"/>
  <c r="T16" i="6" s="1"/>
  <c r="U16" i="6" s="1"/>
  <c r="V16" i="6" s="1"/>
  <c r="S13" i="6"/>
  <c r="T13" i="6" s="1"/>
  <c r="U13" i="6" s="1"/>
  <c r="V13" i="6" s="1"/>
  <c r="S10" i="6"/>
  <c r="T10" i="6" s="1"/>
  <c r="U10" i="6" s="1"/>
  <c r="V10" i="6" s="1"/>
  <c r="S7" i="6"/>
  <c r="N28" i="6"/>
  <c r="O28" i="6" s="1"/>
  <c r="P28" i="6" s="1"/>
  <c r="Q28" i="6" s="1"/>
  <c r="N19" i="6"/>
  <c r="O19" i="6" s="1"/>
  <c r="P19" i="6" s="1"/>
  <c r="Q19" i="6" s="1"/>
  <c r="N16" i="6"/>
  <c r="O16" i="6" s="1"/>
  <c r="P16" i="6" s="1"/>
  <c r="Q16" i="6" s="1"/>
  <c r="N13" i="6"/>
  <c r="O13" i="6" s="1"/>
  <c r="P13" i="6" s="1"/>
  <c r="Q13" i="6" s="1"/>
  <c r="N10" i="6"/>
  <c r="O10" i="6" s="1"/>
  <c r="P10" i="6" s="1"/>
  <c r="Q10" i="6" s="1"/>
  <c r="N7" i="6"/>
  <c r="I28" i="6"/>
  <c r="J28" i="6" s="1"/>
  <c r="K28" i="6" s="1"/>
  <c r="L28" i="6" s="1"/>
  <c r="I19" i="6"/>
  <c r="J19" i="6" s="1"/>
  <c r="K19" i="6" s="1"/>
  <c r="L19" i="6" s="1"/>
  <c r="I16" i="6"/>
  <c r="J16" i="6" s="1"/>
  <c r="K16" i="6" s="1"/>
  <c r="L16" i="6" s="1"/>
  <c r="I13" i="6"/>
  <c r="J13" i="6" s="1"/>
  <c r="K13" i="6" s="1"/>
  <c r="L13" i="6" s="1"/>
  <c r="I10" i="6"/>
  <c r="J10" i="6" s="1"/>
  <c r="K10" i="6" s="1"/>
  <c r="L10" i="6" s="1"/>
  <c r="I7" i="6"/>
  <c r="E10" i="6"/>
  <c r="F10" i="6" s="1"/>
  <c r="G10" i="6" s="1"/>
  <c r="S4" i="6"/>
  <c r="T4" i="6" s="1"/>
  <c r="U4" i="6" s="1"/>
  <c r="V4" i="6" s="1"/>
  <c r="N4" i="6"/>
  <c r="O4" i="6" s="1"/>
  <c r="P4" i="6" s="1"/>
  <c r="Q4" i="6" s="1"/>
  <c r="I4" i="6"/>
  <c r="J4" i="6" s="1"/>
  <c r="K4" i="6" s="1"/>
  <c r="L4" i="6" s="1"/>
  <c r="G148" i="32" l="1"/>
  <c r="B104" i="48"/>
  <c r="C129" i="48" s="1"/>
  <c r="C18" i="48"/>
  <c r="D92" i="11"/>
  <c r="E92" i="11" s="1"/>
  <c r="D80" i="11"/>
  <c r="E80" i="11" s="1"/>
  <c r="D20" i="11"/>
  <c r="E20" i="11" s="1"/>
  <c r="D116" i="11"/>
  <c r="E116" i="11" s="1"/>
  <c r="D68" i="11"/>
  <c r="E68" i="11" s="1"/>
  <c r="D104" i="11"/>
  <c r="E104" i="11" s="1"/>
  <c r="D56" i="11"/>
  <c r="E56" i="11" s="1"/>
  <c r="D44" i="11"/>
  <c r="E44" i="11" s="1"/>
  <c r="D32" i="11"/>
  <c r="E32" i="11" s="1"/>
  <c r="G27" i="9"/>
  <c r="G34" i="9"/>
  <c r="G63" i="9"/>
  <c r="G20" i="9"/>
  <c r="G42" i="9"/>
  <c r="G13" i="9"/>
  <c r="F6" i="9"/>
  <c r="O7" i="6"/>
  <c r="N34" i="6"/>
  <c r="J7" i="6"/>
  <c r="I34" i="6"/>
  <c r="T7" i="6"/>
  <c r="S34" i="6"/>
  <c r="B158" i="32"/>
  <c r="I158" i="32"/>
  <c r="E21" i="32" s="1"/>
  <c r="B156" i="32"/>
  <c r="I156" i="32"/>
  <c r="E19" i="32" s="1"/>
  <c r="B46" i="32" s="1"/>
  <c r="I173" i="32"/>
  <c r="E36" i="32" s="1"/>
  <c r="B172" i="32"/>
  <c r="I144" i="32"/>
  <c r="I143" i="32"/>
  <c r="I152" i="32"/>
  <c r="I155" i="32"/>
  <c r="E18" i="32" s="1"/>
  <c r="B157" i="32"/>
  <c r="I151" i="32"/>
  <c r="I172" i="32"/>
  <c r="E35" i="32" s="1"/>
  <c r="B154" i="32"/>
  <c r="I146" i="32"/>
  <c r="I150" i="32"/>
  <c r="B155" i="32"/>
  <c r="I149" i="32"/>
  <c r="I154" i="32"/>
  <c r="E17" i="32" s="1"/>
  <c r="I153" i="32"/>
  <c r="E16" i="32" s="1"/>
  <c r="B174" i="32"/>
  <c r="I147" i="32"/>
  <c r="B173" i="32"/>
  <c r="I145" i="32"/>
  <c r="I148" i="32"/>
  <c r="B153" i="32"/>
  <c r="B189" i="32" s="1"/>
  <c r="I174" i="32"/>
  <c r="E37" i="32" s="1"/>
  <c r="I142" i="32"/>
  <c r="I157" i="32"/>
  <c r="E20" i="32" s="1"/>
  <c r="D46" i="14" s="1"/>
  <c r="G149" i="33"/>
  <c r="G150" i="33" s="1"/>
  <c r="G148" i="33"/>
  <c r="D34" i="6"/>
  <c r="G7" i="11"/>
  <c r="H7" i="11"/>
  <c r="E7" i="11"/>
  <c r="I7" i="11"/>
  <c r="D29" i="11" s="1"/>
  <c r="F7" i="11"/>
  <c r="D14" i="11" s="1"/>
  <c r="K7" i="11"/>
  <c r="D7" i="11"/>
  <c r="C7" i="11"/>
  <c r="J7" i="11"/>
  <c r="D18" i="11" s="1"/>
  <c r="C22" i="33"/>
  <c r="L82" i="33"/>
  <c r="D160" i="33"/>
  <c r="C84" i="33"/>
  <c r="B83" i="33"/>
  <c r="I83" i="33"/>
  <c r="A83" i="33"/>
  <c r="A121" i="33"/>
  <c r="A159" i="33" s="1"/>
  <c r="A195" i="33" s="1"/>
  <c r="D160" i="32"/>
  <c r="C84" i="32"/>
  <c r="B83" i="32"/>
  <c r="I83" i="32"/>
  <c r="I159" i="32"/>
  <c r="E22" i="32" s="1"/>
  <c r="B159" i="32"/>
  <c r="L82" i="32"/>
  <c r="C22" i="32"/>
  <c r="A84" i="32"/>
  <c r="A122" i="32"/>
  <c r="A160" i="32" s="1"/>
  <c r="A196" i="32" s="1"/>
  <c r="P204" i="2"/>
  <c r="T173" i="2"/>
  <c r="T172" i="2"/>
  <c r="T169" i="2"/>
  <c r="Q47" i="2"/>
  <c r="G8" i="8"/>
  <c r="D36" i="11" l="1"/>
  <c r="D84" i="11"/>
  <c r="D19" i="11"/>
  <c r="D79" i="11"/>
  <c r="D40" i="11"/>
  <c r="D101" i="11"/>
  <c r="D112" i="11"/>
  <c r="D126" i="11"/>
  <c r="E126" i="11" s="1"/>
  <c r="D51" i="11"/>
  <c r="D25" i="11"/>
  <c r="D62" i="11"/>
  <c r="D124" i="11"/>
  <c r="E124" i="11" s="1"/>
  <c r="D103" i="11"/>
  <c r="D55" i="11"/>
  <c r="D91" i="11"/>
  <c r="D43" i="11"/>
  <c r="D130" i="11"/>
  <c r="E130" i="11" s="1"/>
  <c r="D31" i="11"/>
  <c r="D67" i="11"/>
  <c r="D127" i="11"/>
  <c r="E127" i="11" s="1"/>
  <c r="D28" i="11"/>
  <c r="D113" i="11"/>
  <c r="D16" i="11"/>
  <c r="D64" i="11"/>
  <c r="D89" i="11"/>
  <c r="D52" i="11"/>
  <c r="D54" i="11"/>
  <c r="E54" i="11" s="1"/>
  <c r="D129" i="11"/>
  <c r="E129" i="11" s="1"/>
  <c r="D90" i="11"/>
  <c r="E90" i="11" s="1"/>
  <c r="D42" i="11"/>
  <c r="E42" i="11" s="1"/>
  <c r="D115" i="11"/>
  <c r="E115" i="11" s="1"/>
  <c r="D78" i="11"/>
  <c r="E78" i="11" s="1"/>
  <c r="D30" i="11"/>
  <c r="E30" i="11" s="1"/>
  <c r="D66" i="11"/>
  <c r="E66" i="11" s="1"/>
  <c r="D87" i="11"/>
  <c r="D125" i="11"/>
  <c r="D75" i="11"/>
  <c r="D38" i="11"/>
  <c r="D111" i="11"/>
  <c r="E111" i="11" s="1"/>
  <c r="D63" i="11"/>
  <c r="D26" i="11"/>
  <c r="D99" i="11"/>
  <c r="E99" i="11" s="1"/>
  <c r="D27" i="11"/>
  <c r="D76" i="11"/>
  <c r="D39" i="11"/>
  <c r="D100" i="11"/>
  <c r="D15" i="11"/>
  <c r="D88" i="11"/>
  <c r="D122" i="11"/>
  <c r="D72" i="11"/>
  <c r="D108" i="11"/>
  <c r="D60" i="11"/>
  <c r="D96" i="11"/>
  <c r="D48" i="11"/>
  <c r="D24" i="11"/>
  <c r="D114" i="11"/>
  <c r="D102" i="11"/>
  <c r="D65" i="11"/>
  <c r="D17" i="11"/>
  <c r="D53" i="11"/>
  <c r="D128" i="11"/>
  <c r="E128" i="11" s="1"/>
  <c r="D41" i="11"/>
  <c r="D77" i="11"/>
  <c r="D123" i="11"/>
  <c r="E123" i="11" s="1"/>
  <c r="D73" i="11"/>
  <c r="D12" i="11"/>
  <c r="D109" i="11"/>
  <c r="D61" i="11"/>
  <c r="D97" i="11"/>
  <c r="D49" i="11"/>
  <c r="D85" i="11"/>
  <c r="D37" i="11"/>
  <c r="D110" i="11"/>
  <c r="E110" i="11" s="1"/>
  <c r="D98" i="11"/>
  <c r="E98" i="11" s="1"/>
  <c r="D50" i="11"/>
  <c r="D86" i="11"/>
  <c r="D74" i="11"/>
  <c r="D13" i="11"/>
  <c r="E18" i="11"/>
  <c r="E125" i="11"/>
  <c r="E122" i="11"/>
  <c r="O13" i="11"/>
  <c r="O12" i="11"/>
  <c r="H13" i="9"/>
  <c r="H20" i="9"/>
  <c r="H34" i="9"/>
  <c r="H36" i="9" s="1"/>
  <c r="H42" i="9"/>
  <c r="H63" i="9"/>
  <c r="H27" i="9"/>
  <c r="G6" i="9"/>
  <c r="K7" i="6"/>
  <c r="J34" i="6"/>
  <c r="U7" i="6"/>
  <c r="T34" i="6"/>
  <c r="P7" i="6"/>
  <c r="O34" i="6"/>
  <c r="K142" i="32"/>
  <c r="J142" i="32"/>
  <c r="I141" i="32"/>
  <c r="H153" i="32" s="1"/>
  <c r="E39" i="32" s="1"/>
  <c r="E5" i="32"/>
  <c r="K148" i="32"/>
  <c r="E11" i="32"/>
  <c r="J148" i="32"/>
  <c r="E15" i="32"/>
  <c r="J152" i="32"/>
  <c r="K152" i="32"/>
  <c r="E14" i="32"/>
  <c r="J151" i="32"/>
  <c r="K151" i="32"/>
  <c r="J143" i="32"/>
  <c r="E6" i="32"/>
  <c r="K143" i="32"/>
  <c r="K146" i="32"/>
  <c r="E9" i="32"/>
  <c r="J146" i="32"/>
  <c r="J144" i="32"/>
  <c r="K144" i="32"/>
  <c r="E7" i="32"/>
  <c r="J145" i="32"/>
  <c r="E8" i="32"/>
  <c r="K145" i="32"/>
  <c r="J150" i="32"/>
  <c r="K150" i="32"/>
  <c r="E13" i="32"/>
  <c r="K147" i="32"/>
  <c r="E10" i="32"/>
  <c r="J147" i="32"/>
  <c r="E12" i="32"/>
  <c r="J149" i="32"/>
  <c r="K149" i="32"/>
  <c r="I159" i="33"/>
  <c r="E22" i="33" s="1"/>
  <c r="B159" i="33"/>
  <c r="I157" i="33"/>
  <c r="E20" i="33" s="1"/>
  <c r="B157" i="33"/>
  <c r="I173" i="33"/>
  <c r="E36" i="33" s="1"/>
  <c r="B154" i="33"/>
  <c r="I145" i="33"/>
  <c r="I143" i="33"/>
  <c r="I174" i="33"/>
  <c r="E37" i="33" s="1"/>
  <c r="B155" i="33"/>
  <c r="I142" i="33"/>
  <c r="I172" i="33"/>
  <c r="E35" i="33" s="1"/>
  <c r="B174" i="33"/>
  <c r="I148" i="33"/>
  <c r="I153" i="33"/>
  <c r="E16" i="33" s="1"/>
  <c r="I155" i="33"/>
  <c r="E18" i="33" s="1"/>
  <c r="B158" i="33"/>
  <c r="I158" i="33"/>
  <c r="E21" i="33" s="1"/>
  <c r="I150" i="33"/>
  <c r="I152" i="33"/>
  <c r="I154" i="33"/>
  <c r="E17" i="33" s="1"/>
  <c r="I144" i="33"/>
  <c r="B153" i="33"/>
  <c r="B189" i="33" s="1"/>
  <c r="I156" i="33"/>
  <c r="E19" i="33" s="1"/>
  <c r="B46" i="33" s="1"/>
  <c r="B172" i="33"/>
  <c r="I146" i="33"/>
  <c r="I149" i="33"/>
  <c r="I151" i="33"/>
  <c r="B173" i="33"/>
  <c r="I147" i="33"/>
  <c r="B156" i="33"/>
  <c r="E34" i="6"/>
  <c r="D161" i="33"/>
  <c r="C85" i="33"/>
  <c r="I84" i="33"/>
  <c r="B84" i="33"/>
  <c r="I160" i="33"/>
  <c r="E23" i="33" s="1"/>
  <c r="B160" i="33"/>
  <c r="L83" i="33"/>
  <c r="C23" i="33"/>
  <c r="A84" i="33"/>
  <c r="A122" i="33"/>
  <c r="A160" i="33" s="1"/>
  <c r="A196" i="33" s="1"/>
  <c r="L83" i="32"/>
  <c r="C23" i="32"/>
  <c r="D161" i="32"/>
  <c r="C85" i="32"/>
  <c r="I84" i="32"/>
  <c r="B84" i="32"/>
  <c r="A123" i="32"/>
  <c r="A161" i="32" s="1"/>
  <c r="A197" i="32" s="1"/>
  <c r="A85" i="32"/>
  <c r="B48" i="32"/>
  <c r="I160" i="32"/>
  <c r="E23" i="32" s="1"/>
  <c r="B160" i="32"/>
  <c r="D51" i="14" l="1"/>
  <c r="B48" i="33"/>
  <c r="D35" i="11"/>
  <c r="E35" i="11" s="1"/>
  <c r="D23" i="11"/>
  <c r="E23" i="11" s="1"/>
  <c r="D59" i="11"/>
  <c r="E59" i="11" s="1"/>
  <c r="D83" i="11"/>
  <c r="E83" i="11" s="1"/>
  <c r="D107" i="11"/>
  <c r="E107" i="11" s="1"/>
  <c r="D11" i="11"/>
  <c r="D47" i="11"/>
  <c r="E47" i="11" s="1"/>
  <c r="D71" i="11"/>
  <c r="E71" i="11" s="1"/>
  <c r="D95" i="11"/>
  <c r="E95" i="11" s="1"/>
  <c r="D121" i="11"/>
  <c r="E121" i="11" s="1"/>
  <c r="F122" i="11" s="1"/>
  <c r="F130" i="11"/>
  <c r="I27" i="9"/>
  <c r="I42" i="9"/>
  <c r="I20" i="9"/>
  <c r="I63" i="9"/>
  <c r="I34" i="9"/>
  <c r="I13" i="9"/>
  <c r="H6" i="9"/>
  <c r="H76" i="9" s="1"/>
  <c r="V7" i="6"/>
  <c r="V34" i="6" s="1"/>
  <c r="U34" i="6"/>
  <c r="Q7" i="6"/>
  <c r="Q34" i="6" s="1"/>
  <c r="P34" i="6"/>
  <c r="L7" i="6"/>
  <c r="L34" i="6" s="1"/>
  <c r="K34" i="6"/>
  <c r="C42" i="32"/>
  <c r="C38" i="32" s="1"/>
  <c r="E42" i="32"/>
  <c r="E38" i="32" s="1"/>
  <c r="F46" i="32" s="1"/>
  <c r="H46" i="14" s="1"/>
  <c r="D42" i="32"/>
  <c r="D38" i="32" s="1"/>
  <c r="F45" i="32" s="1"/>
  <c r="H45" i="14" s="1"/>
  <c r="F42" i="32"/>
  <c r="F38" i="32" s="1"/>
  <c r="F47" i="32" s="1"/>
  <c r="H47" i="14" s="1"/>
  <c r="H155" i="32"/>
  <c r="E41" i="32" s="1"/>
  <c r="H154" i="32"/>
  <c r="E40" i="32" s="1"/>
  <c r="E10" i="33"/>
  <c r="J147" i="33"/>
  <c r="K147" i="33"/>
  <c r="J146" i="33"/>
  <c r="E9" i="33"/>
  <c r="K146" i="33"/>
  <c r="K144" i="33"/>
  <c r="E7" i="33"/>
  <c r="J144" i="33"/>
  <c r="E11" i="33"/>
  <c r="J148" i="33"/>
  <c r="K148" i="33"/>
  <c r="K151" i="33"/>
  <c r="J151" i="33"/>
  <c r="E14" i="33"/>
  <c r="J152" i="33"/>
  <c r="K152" i="33"/>
  <c r="E15" i="33"/>
  <c r="E6" i="33"/>
  <c r="J143" i="33"/>
  <c r="K143" i="33"/>
  <c r="J149" i="33"/>
  <c r="K149" i="33"/>
  <c r="E12" i="33"/>
  <c r="E13" i="33"/>
  <c r="K150" i="33"/>
  <c r="J150" i="33"/>
  <c r="I141" i="33"/>
  <c r="H153" i="33" s="1"/>
  <c r="E39" i="33" s="1"/>
  <c r="J142" i="33"/>
  <c r="K142" i="33"/>
  <c r="E5" i="33"/>
  <c r="E8" i="33"/>
  <c r="K145" i="33"/>
  <c r="J145" i="33"/>
  <c r="G34" i="6"/>
  <c r="F34" i="6"/>
  <c r="B49" i="33"/>
  <c r="D53" i="14"/>
  <c r="B49" i="32"/>
  <c r="D48" i="14"/>
  <c r="L84" i="33"/>
  <c r="C24" i="33"/>
  <c r="C44" i="33" s="1"/>
  <c r="A123" i="33"/>
  <c r="A161" i="33" s="1"/>
  <c r="A197" i="33" s="1"/>
  <c r="A85" i="33"/>
  <c r="D162" i="33"/>
  <c r="C86" i="33"/>
  <c r="I85" i="33"/>
  <c r="B85" i="33"/>
  <c r="B161" i="33"/>
  <c r="I161" i="33"/>
  <c r="E24" i="33" s="1"/>
  <c r="C46" i="33" s="1"/>
  <c r="B161" i="32"/>
  <c r="I161" i="32"/>
  <c r="E24" i="32" s="1"/>
  <c r="A124" i="32"/>
  <c r="A162" i="32" s="1"/>
  <c r="A198" i="32" s="1"/>
  <c r="A86" i="32"/>
  <c r="D162" i="32"/>
  <c r="C86" i="32"/>
  <c r="I85" i="32"/>
  <c r="B85" i="32"/>
  <c r="L84" i="32"/>
  <c r="C24" i="32"/>
  <c r="C44" i="32" s="1"/>
  <c r="L109" i="31"/>
  <c r="L108" i="31"/>
  <c r="C72" i="31"/>
  <c r="D148" i="31"/>
  <c r="L106" i="31"/>
  <c r="L107" i="31"/>
  <c r="L105" i="31"/>
  <c r="G24" i="32" l="1"/>
  <c r="C46" i="32"/>
  <c r="H154" i="33"/>
  <c r="E40" i="33" s="1"/>
  <c r="F128" i="11"/>
  <c r="F123" i="11"/>
  <c r="F129" i="11"/>
  <c r="F124" i="11"/>
  <c r="F127" i="11"/>
  <c r="F125" i="11"/>
  <c r="F126" i="11"/>
  <c r="J34" i="9"/>
  <c r="J20" i="9"/>
  <c r="J13" i="9"/>
  <c r="J63" i="9"/>
  <c r="J42" i="9"/>
  <c r="J27" i="9"/>
  <c r="I6" i="9"/>
  <c r="G12" i="32"/>
  <c r="G7" i="32"/>
  <c r="G8" i="32"/>
  <c r="F44" i="32"/>
  <c r="H44" i="14" s="1"/>
  <c r="G6" i="32"/>
  <c r="G15" i="32"/>
  <c r="G5" i="32"/>
  <c r="G18" i="32"/>
  <c r="G14" i="32"/>
  <c r="G16" i="32"/>
  <c r="G9" i="32"/>
  <c r="G11" i="32"/>
  <c r="G17" i="32"/>
  <c r="G10" i="32"/>
  <c r="G13" i="32"/>
  <c r="G20" i="32"/>
  <c r="G21" i="32"/>
  <c r="G19" i="32"/>
  <c r="G22" i="32"/>
  <c r="G23" i="32"/>
  <c r="H155" i="33"/>
  <c r="E41" i="33" s="1"/>
  <c r="F42" i="33"/>
  <c r="F38" i="33" s="1"/>
  <c r="F47" i="33" s="1"/>
  <c r="H52" i="14" s="1"/>
  <c r="E42" i="33"/>
  <c r="E38" i="33" s="1"/>
  <c r="F46" i="33" s="1"/>
  <c r="H51" i="14" s="1"/>
  <c r="C42" i="33"/>
  <c r="C38" i="33" s="1"/>
  <c r="D42" i="33"/>
  <c r="D38" i="33" s="1"/>
  <c r="F45" i="33" s="1"/>
  <c r="H50" i="14" s="1"/>
  <c r="D163" i="33"/>
  <c r="C87" i="33"/>
  <c r="B86" i="33"/>
  <c r="I86" i="33"/>
  <c r="A124" i="33"/>
  <c r="A162" i="33" s="1"/>
  <c r="A198" i="33" s="1"/>
  <c r="A86" i="33"/>
  <c r="C25" i="33"/>
  <c r="L85" i="33"/>
  <c r="I162" i="33"/>
  <c r="E25" i="33" s="1"/>
  <c r="B162" i="33"/>
  <c r="A125" i="32"/>
  <c r="A163" i="32" s="1"/>
  <c r="A199" i="32" s="1"/>
  <c r="A87" i="32"/>
  <c r="L85" i="32"/>
  <c r="C25" i="32"/>
  <c r="D163" i="32"/>
  <c r="C87" i="32"/>
  <c r="I86" i="32"/>
  <c r="B86" i="32"/>
  <c r="B162" i="32"/>
  <c r="I162" i="32"/>
  <c r="E25" i="32" s="1"/>
  <c r="D184" i="31"/>
  <c r="E148" i="31"/>
  <c r="C73" i="31"/>
  <c r="D149" i="31"/>
  <c r="E149" i="31" s="1"/>
  <c r="F121" i="11" l="1"/>
  <c r="K27" i="9"/>
  <c r="K63" i="9"/>
  <c r="K20" i="9"/>
  <c r="K42" i="9"/>
  <c r="K13" i="9"/>
  <c r="K34" i="9"/>
  <c r="J6" i="9"/>
  <c r="G13" i="33"/>
  <c r="G5" i="33"/>
  <c r="G9" i="33"/>
  <c r="G14" i="33"/>
  <c r="G18" i="33"/>
  <c r="G16" i="33"/>
  <c r="G15" i="33"/>
  <c r="G11" i="33"/>
  <c r="G17" i="33"/>
  <c r="G7" i="33"/>
  <c r="G6" i="33"/>
  <c r="G8" i="33"/>
  <c r="G10" i="33"/>
  <c r="F44" i="33"/>
  <c r="H49" i="14" s="1"/>
  <c r="G12" i="33"/>
  <c r="G20" i="33"/>
  <c r="G21" i="33"/>
  <c r="G22" i="33"/>
  <c r="G23" i="33"/>
  <c r="G19" i="33"/>
  <c r="G24" i="33"/>
  <c r="G25" i="33"/>
  <c r="G25" i="32"/>
  <c r="C26" i="33"/>
  <c r="E49" i="14" s="1"/>
  <c r="L86" i="33"/>
  <c r="A125" i="33"/>
  <c r="A163" i="33" s="1"/>
  <c r="A199" i="33" s="1"/>
  <c r="A87" i="33"/>
  <c r="D164" i="33"/>
  <c r="C88" i="33"/>
  <c r="B87" i="33"/>
  <c r="I87" i="33"/>
  <c r="I163" i="33"/>
  <c r="E26" i="33" s="1"/>
  <c r="B163" i="33"/>
  <c r="L86" i="32"/>
  <c r="C26" i="32"/>
  <c r="E44" i="14" s="1"/>
  <c r="D164" i="32"/>
  <c r="C88" i="32"/>
  <c r="B87" i="32"/>
  <c r="I87" i="32"/>
  <c r="A88" i="32"/>
  <c r="A126" i="32"/>
  <c r="A164" i="32" s="1"/>
  <c r="A200" i="32" s="1"/>
  <c r="I163" i="32"/>
  <c r="E26" i="32" s="1"/>
  <c r="B163" i="32"/>
  <c r="A72" i="31"/>
  <c r="A110" i="31"/>
  <c r="A148" i="31" s="1"/>
  <c r="A184" i="31" s="1"/>
  <c r="D150" i="31"/>
  <c r="E150" i="31" s="1"/>
  <c r="C74" i="31"/>
  <c r="D185" i="31"/>
  <c r="L34" i="9" l="1"/>
  <c r="L42" i="9"/>
  <c r="L63" i="9"/>
  <c r="L13" i="9"/>
  <c r="L20" i="9"/>
  <c r="L27" i="9"/>
  <c r="K6" i="9"/>
  <c r="G26" i="33"/>
  <c r="E51" i="14"/>
  <c r="G26" i="32"/>
  <c r="E46" i="14"/>
  <c r="L87" i="33"/>
  <c r="C27" i="33"/>
  <c r="A88" i="33"/>
  <c r="A126" i="33"/>
  <c r="A164" i="33" s="1"/>
  <c r="A200" i="33" s="1"/>
  <c r="D165" i="33"/>
  <c r="C89" i="33"/>
  <c r="B88" i="33"/>
  <c r="I88" i="33"/>
  <c r="I164" i="33"/>
  <c r="E27" i="33" s="1"/>
  <c r="B164" i="33"/>
  <c r="D165" i="32"/>
  <c r="C89" i="32"/>
  <c r="I88" i="32"/>
  <c r="B88" i="32"/>
  <c r="A89" i="32"/>
  <c r="A127" i="32"/>
  <c r="A165" i="32" s="1"/>
  <c r="A201" i="32" s="1"/>
  <c r="I164" i="32"/>
  <c r="E27" i="32" s="1"/>
  <c r="B164" i="32"/>
  <c r="L87" i="32"/>
  <c r="C27" i="32"/>
  <c r="D186" i="31"/>
  <c r="A111" i="31"/>
  <c r="A149" i="31" s="1"/>
  <c r="A185" i="31" s="1"/>
  <c r="A73" i="31"/>
  <c r="D151" i="31"/>
  <c r="E151" i="31" s="1"/>
  <c r="C75" i="31"/>
  <c r="C39" i="3"/>
  <c r="M27" i="9" l="1"/>
  <c r="M13" i="9"/>
  <c r="M42" i="9"/>
  <c r="M20" i="9"/>
  <c r="M63" i="9"/>
  <c r="M34" i="9"/>
  <c r="L6" i="9"/>
  <c r="L88" i="33"/>
  <c r="C28" i="33"/>
  <c r="A127" i="33"/>
  <c r="A165" i="33" s="1"/>
  <c r="A201" i="33" s="1"/>
  <c r="A89" i="33"/>
  <c r="D166" i="33"/>
  <c r="C90" i="33"/>
  <c r="I89" i="33"/>
  <c r="B89" i="33"/>
  <c r="G27" i="33"/>
  <c r="C48" i="33"/>
  <c r="E53" i="14" s="1"/>
  <c r="B165" i="33"/>
  <c r="I165" i="33"/>
  <c r="E28" i="33" s="1"/>
  <c r="G28" i="33" s="1"/>
  <c r="C48" i="32"/>
  <c r="E48" i="14" s="1"/>
  <c r="G27" i="32"/>
  <c r="L88" i="32"/>
  <c r="C28" i="32"/>
  <c r="C90" i="32"/>
  <c r="D166" i="32"/>
  <c r="I89" i="32"/>
  <c r="B89" i="32"/>
  <c r="A128" i="32"/>
  <c r="A166" i="32" s="1"/>
  <c r="A202" i="32" s="1"/>
  <c r="A90" i="32"/>
  <c r="B165" i="32"/>
  <c r="I165" i="32"/>
  <c r="E28" i="32" s="1"/>
  <c r="G28" i="32" s="1"/>
  <c r="D187" i="31"/>
  <c r="D152" i="31"/>
  <c r="C76" i="31"/>
  <c r="A74" i="31"/>
  <c r="A112" i="31"/>
  <c r="A150" i="31" s="1"/>
  <c r="A186" i="31" s="1"/>
  <c r="N34" i="9" l="1"/>
  <c r="N20" i="9"/>
  <c r="N13" i="9"/>
  <c r="N63" i="9"/>
  <c r="N42" i="9"/>
  <c r="N27" i="9"/>
  <c r="M6" i="9"/>
  <c r="M76" i="9" s="1"/>
  <c r="A128" i="33"/>
  <c r="A166" i="33" s="1"/>
  <c r="A202" i="33" s="1"/>
  <c r="A90" i="33"/>
  <c r="C29" i="33"/>
  <c r="D44" i="33" s="1"/>
  <c r="L89" i="33"/>
  <c r="C50" i="33"/>
  <c r="C51" i="33"/>
  <c r="C49" i="33"/>
  <c r="D167" i="33"/>
  <c r="C91" i="33"/>
  <c r="B90" i="33"/>
  <c r="I90" i="33"/>
  <c r="I166" i="33"/>
  <c r="E29" i="33" s="1"/>
  <c r="B166" i="33"/>
  <c r="C29" i="32"/>
  <c r="D44" i="32" s="1"/>
  <c r="L89" i="32"/>
  <c r="A129" i="32"/>
  <c r="A167" i="32" s="1"/>
  <c r="A203" i="32" s="1"/>
  <c r="A91" i="32"/>
  <c r="B166" i="32"/>
  <c r="I166" i="32"/>
  <c r="E29" i="32" s="1"/>
  <c r="D167" i="32"/>
  <c r="C91" i="32"/>
  <c r="I90" i="32"/>
  <c r="B90" i="32"/>
  <c r="C49" i="32"/>
  <c r="C51" i="32"/>
  <c r="C50" i="32"/>
  <c r="D188" i="31"/>
  <c r="D153" i="31"/>
  <c r="C77" i="31"/>
  <c r="A75" i="31"/>
  <c r="A113" i="31"/>
  <c r="A151" i="31" s="1"/>
  <c r="A187" i="31" s="1"/>
  <c r="E152" i="31"/>
  <c r="G29" i="33" l="1"/>
  <c r="D46" i="33"/>
  <c r="G29" i="32"/>
  <c r="D46" i="32"/>
  <c r="O27" i="9"/>
  <c r="O63" i="9"/>
  <c r="O20" i="9"/>
  <c r="O42" i="9"/>
  <c r="O13" i="9"/>
  <c r="O34" i="9"/>
  <c r="N6" i="9"/>
  <c r="D168" i="33"/>
  <c r="C92" i="33"/>
  <c r="B91" i="33"/>
  <c r="I91" i="33"/>
  <c r="B167" i="33"/>
  <c r="I167" i="33"/>
  <c r="E30" i="33" s="1"/>
  <c r="C30" i="33"/>
  <c r="L90" i="33"/>
  <c r="A91" i="33"/>
  <c r="A129" i="33"/>
  <c r="A167" i="33" s="1"/>
  <c r="A203" i="33" s="1"/>
  <c r="D168" i="32"/>
  <c r="C92" i="32"/>
  <c r="B91" i="32"/>
  <c r="I91" i="32"/>
  <c r="A92" i="32"/>
  <c r="A130" i="32"/>
  <c r="A168" i="32" s="1"/>
  <c r="A204" i="32" s="1"/>
  <c r="I167" i="32"/>
  <c r="E30" i="32" s="1"/>
  <c r="B167" i="32"/>
  <c r="L90" i="32"/>
  <c r="C30" i="32"/>
  <c r="D189" i="31"/>
  <c r="D190" i="31" s="1"/>
  <c r="D191" i="31" s="1"/>
  <c r="D192" i="31" s="1"/>
  <c r="D193" i="31" s="1"/>
  <c r="D194" i="31" s="1"/>
  <c r="D195" i="31" s="1"/>
  <c r="D196" i="31" s="1"/>
  <c r="D197" i="31" s="1"/>
  <c r="D198" i="31" s="1"/>
  <c r="D199" i="31" s="1"/>
  <c r="D200" i="31" s="1"/>
  <c r="D201" i="31" s="1"/>
  <c r="D202" i="31" s="1"/>
  <c r="L70" i="31"/>
  <c r="L67" i="31"/>
  <c r="D154" i="31"/>
  <c r="C78" i="31"/>
  <c r="L68" i="31"/>
  <c r="L69" i="31"/>
  <c r="L66" i="31"/>
  <c r="A114" i="31"/>
  <c r="A152" i="31" s="1"/>
  <c r="A188" i="31" s="1"/>
  <c r="A76" i="31"/>
  <c r="P34" i="9" l="1"/>
  <c r="P42" i="9"/>
  <c r="P63" i="9"/>
  <c r="P13" i="9"/>
  <c r="P20" i="9"/>
  <c r="P27" i="9"/>
  <c r="O6" i="9"/>
  <c r="G30" i="33"/>
  <c r="G30" i="32"/>
  <c r="L91" i="33"/>
  <c r="C31" i="33"/>
  <c r="F49" i="14" s="1"/>
  <c r="D169" i="33"/>
  <c r="C93" i="33"/>
  <c r="I92" i="33"/>
  <c r="B92" i="33"/>
  <c r="A130" i="33"/>
  <c r="A168" i="33" s="1"/>
  <c r="A204" i="33" s="1"/>
  <c r="A92" i="33"/>
  <c r="I168" i="33"/>
  <c r="E31" i="33" s="1"/>
  <c r="B168" i="33"/>
  <c r="L91" i="32"/>
  <c r="C31" i="32"/>
  <c r="F44" i="14" s="1"/>
  <c r="D169" i="32"/>
  <c r="C93" i="32"/>
  <c r="B92" i="32"/>
  <c r="I92" i="32"/>
  <c r="A131" i="32"/>
  <c r="A169" i="32" s="1"/>
  <c r="A205" i="32" s="1"/>
  <c r="A93" i="32"/>
  <c r="B168" i="32"/>
  <c r="I168" i="32"/>
  <c r="E31" i="32" s="1"/>
  <c r="A77" i="31"/>
  <c r="A115" i="31"/>
  <c r="A153" i="31" s="1"/>
  <c r="A189" i="31" s="1"/>
  <c r="C79" i="31"/>
  <c r="D155" i="31"/>
  <c r="D203" i="31"/>
  <c r="Q27" i="9" l="1"/>
  <c r="Q13" i="9"/>
  <c r="Q42" i="9"/>
  <c r="Q20" i="9"/>
  <c r="Q63" i="9"/>
  <c r="Q34" i="9"/>
  <c r="P6" i="9"/>
  <c r="G31" i="33"/>
  <c r="F51" i="14"/>
  <c r="G31" i="32"/>
  <c r="F46" i="14"/>
  <c r="L92" i="33"/>
  <c r="C32" i="33"/>
  <c r="A131" i="33"/>
  <c r="A169" i="33" s="1"/>
  <c r="A205" i="33" s="1"/>
  <c r="A93" i="33"/>
  <c r="D170" i="33"/>
  <c r="C94" i="33"/>
  <c r="I93" i="33"/>
  <c r="B93" i="33"/>
  <c r="I169" i="33"/>
  <c r="E32" i="33" s="1"/>
  <c r="B169" i="33"/>
  <c r="A132" i="32"/>
  <c r="A170" i="32" s="1"/>
  <c r="A206" i="32" s="1"/>
  <c r="A94" i="32"/>
  <c r="D170" i="32"/>
  <c r="C94" i="32"/>
  <c r="I93" i="32"/>
  <c r="B93" i="32"/>
  <c r="B169" i="32"/>
  <c r="I169" i="32"/>
  <c r="E32" i="32" s="1"/>
  <c r="L92" i="32"/>
  <c r="C32" i="32"/>
  <c r="A116" i="31"/>
  <c r="A154" i="31" s="1"/>
  <c r="A190" i="31" s="1"/>
  <c r="A78" i="31"/>
  <c r="D204" i="31"/>
  <c r="D156" i="31"/>
  <c r="C80" i="31"/>
  <c r="AH76" i="10"/>
  <c r="AI76" i="10"/>
  <c r="AJ76" i="10"/>
  <c r="AG76" i="10"/>
  <c r="AF76" i="10"/>
  <c r="R34" i="9" l="1"/>
  <c r="R20" i="9"/>
  <c r="R13" i="9"/>
  <c r="R63" i="9"/>
  <c r="R42" i="9"/>
  <c r="R27" i="9"/>
  <c r="Q6" i="9"/>
  <c r="D171" i="33"/>
  <c r="B94" i="33"/>
  <c r="I94" i="33"/>
  <c r="A132" i="33"/>
  <c r="A170" i="33" s="1"/>
  <c r="A206" i="33" s="1"/>
  <c r="A94" i="33"/>
  <c r="C33" i="33"/>
  <c r="L93" i="33"/>
  <c r="G32" i="33"/>
  <c r="D48" i="33"/>
  <c r="F53" i="14" s="1"/>
  <c r="I170" i="33"/>
  <c r="E33" i="33" s="1"/>
  <c r="G33" i="33" s="1"/>
  <c r="B170" i="33"/>
  <c r="D48" i="32"/>
  <c r="F48" i="14" s="1"/>
  <c r="G32" i="32"/>
  <c r="D171" i="32"/>
  <c r="B94" i="32"/>
  <c r="I94" i="32"/>
  <c r="B170" i="32"/>
  <c r="I170" i="32"/>
  <c r="E33" i="32" s="1"/>
  <c r="G33" i="32" s="1"/>
  <c r="A133" i="32"/>
  <c r="A171" i="32" s="1"/>
  <c r="A207" i="32" s="1"/>
  <c r="A95" i="32"/>
  <c r="L93" i="32"/>
  <c r="C33" i="32"/>
  <c r="D205" i="31"/>
  <c r="D157" i="31"/>
  <c r="C81" i="31"/>
  <c r="A117" i="31"/>
  <c r="A155" i="31" s="1"/>
  <c r="A191" i="31" s="1"/>
  <c r="A79" i="31"/>
  <c r="S27" i="9" l="1"/>
  <c r="S63" i="9"/>
  <c r="S20" i="9"/>
  <c r="S42" i="9"/>
  <c r="S13" i="9"/>
  <c r="S34" i="9"/>
  <c r="R6" i="9"/>
  <c r="R76" i="9" s="1"/>
  <c r="C34" i="33"/>
  <c r="E44" i="33" s="1"/>
  <c r="G49" i="14" s="1"/>
  <c r="L94" i="33"/>
  <c r="L95" i="33"/>
  <c r="D51" i="33"/>
  <c r="D49" i="33"/>
  <c r="D50" i="33"/>
  <c r="A133" i="33"/>
  <c r="A171" i="33" s="1"/>
  <c r="A207" i="33" s="1"/>
  <c r="A95" i="33"/>
  <c r="B171" i="33"/>
  <c r="I171" i="33"/>
  <c r="E34" i="33" s="1"/>
  <c r="I171" i="32"/>
  <c r="E34" i="32" s="1"/>
  <c r="B171" i="32"/>
  <c r="A134" i="32"/>
  <c r="A172" i="32" s="1"/>
  <c r="A208" i="32" s="1"/>
  <c r="A96" i="32"/>
  <c r="L94" i="32"/>
  <c r="C34" i="32"/>
  <c r="E44" i="32" s="1"/>
  <c r="G44" i="14" s="1"/>
  <c r="L95" i="32"/>
  <c r="D49" i="32"/>
  <c r="D50" i="32"/>
  <c r="D51" i="32"/>
  <c r="A80" i="31"/>
  <c r="A118" i="31"/>
  <c r="A156" i="31" s="1"/>
  <c r="A192" i="31" s="1"/>
  <c r="D158" i="31"/>
  <c r="C82" i="31"/>
  <c r="D206" i="31"/>
  <c r="G233" i="8"/>
  <c r="AJ110" i="10"/>
  <c r="AF110" i="10"/>
  <c r="AI110" i="10"/>
  <c r="AH110" i="10"/>
  <c r="AG110" i="10"/>
  <c r="AG111" i="10"/>
  <c r="AJ111" i="10"/>
  <c r="AI111" i="10"/>
  <c r="AH111" i="10"/>
  <c r="AF111" i="10"/>
  <c r="AF112" i="10"/>
  <c r="G228" i="8"/>
  <c r="G231" i="8"/>
  <c r="G34" i="32" l="1"/>
  <c r="E46" i="32"/>
  <c r="G34" i="33"/>
  <c r="E46" i="33"/>
  <c r="T34" i="9"/>
  <c r="T42" i="9"/>
  <c r="T63" i="9"/>
  <c r="T13" i="9"/>
  <c r="T20" i="9"/>
  <c r="T27" i="9"/>
  <c r="S6" i="9"/>
  <c r="A96" i="33"/>
  <c r="A134" i="33"/>
  <c r="A172" i="33" s="1"/>
  <c r="A208" i="33" s="1"/>
  <c r="A97" i="32"/>
  <c r="A136" i="32" s="1"/>
  <c r="A174" i="32" s="1"/>
  <c r="A210" i="32" s="1"/>
  <c r="A135" i="32"/>
  <c r="A173" i="32" s="1"/>
  <c r="A209" i="32" s="1"/>
  <c r="D159" i="31"/>
  <c r="C83" i="31"/>
  <c r="D207" i="31"/>
  <c r="A81" i="31"/>
  <c r="A119" i="31"/>
  <c r="A157" i="31" s="1"/>
  <c r="A193" i="31" s="1"/>
  <c r="AH112" i="10"/>
  <c r="AI112" i="10"/>
  <c r="AG112" i="10"/>
  <c r="AJ112" i="10"/>
  <c r="AF52" i="10"/>
  <c r="AG52" i="10"/>
  <c r="AH52" i="10"/>
  <c r="AI52" i="10"/>
  <c r="E48" i="33" l="1"/>
  <c r="G51" i="14"/>
  <c r="G46" i="14"/>
  <c r="E48" i="32"/>
  <c r="U27" i="9"/>
  <c r="U13" i="9"/>
  <c r="U42" i="9"/>
  <c r="U20" i="9"/>
  <c r="U63" i="9"/>
  <c r="U34" i="9"/>
  <c r="T6" i="9"/>
  <c r="AJ52" i="10"/>
  <c r="A135" i="33"/>
  <c r="A173" i="33" s="1"/>
  <c r="A209" i="33" s="1"/>
  <c r="A97" i="33"/>
  <c r="A136" i="33" s="1"/>
  <c r="A174" i="33" s="1"/>
  <c r="A210" i="33" s="1"/>
  <c r="A120" i="31"/>
  <c r="A158" i="31" s="1"/>
  <c r="A194" i="31" s="1"/>
  <c r="A82" i="31"/>
  <c r="D160" i="31"/>
  <c r="C84" i="31"/>
  <c r="D208" i="31"/>
  <c r="AA7" i="3"/>
  <c r="AA104" i="5"/>
  <c r="AA105" i="5"/>
  <c r="AA107" i="5"/>
  <c r="G48" i="14" l="1"/>
  <c r="E49" i="32"/>
  <c r="E50" i="32"/>
  <c r="E51" i="32"/>
  <c r="G53" i="14"/>
  <c r="E49" i="33"/>
  <c r="E50" i="33"/>
  <c r="E51" i="33"/>
  <c r="V20" i="9"/>
  <c r="V13" i="9"/>
  <c r="V34" i="9"/>
  <c r="V63" i="9"/>
  <c r="V42" i="9"/>
  <c r="V27" i="9"/>
  <c r="U6" i="9"/>
  <c r="D161" i="31"/>
  <c r="C85" i="31"/>
  <c r="D209" i="31"/>
  <c r="A121" i="31"/>
  <c r="A159" i="31" s="1"/>
  <c r="A195" i="31" s="1"/>
  <c r="A83" i="31"/>
  <c r="AC107" i="5"/>
  <c r="AB107" i="5"/>
  <c r="AB104" i="5"/>
  <c r="AB105" i="5"/>
  <c r="AC105" i="5"/>
  <c r="W27" i="9" l="1"/>
  <c r="W63" i="9"/>
  <c r="W13" i="9"/>
  <c r="W42" i="9"/>
  <c r="W34" i="9"/>
  <c r="W20" i="9"/>
  <c r="V6" i="9"/>
  <c r="A84" i="31"/>
  <c r="A122" i="31"/>
  <c r="A160" i="31" s="1"/>
  <c r="A196" i="31" s="1"/>
  <c r="D210" i="31"/>
  <c r="D162" i="31"/>
  <c r="C86" i="31"/>
  <c r="AC104" i="5"/>
  <c r="W6" i="9" l="1"/>
  <c r="W76" i="9" s="1"/>
  <c r="I88" i="5"/>
  <c r="D163" i="31"/>
  <c r="C87" i="31"/>
  <c r="A123" i="31"/>
  <c r="A161" i="31" s="1"/>
  <c r="A197" i="31" s="1"/>
  <c r="A85" i="31"/>
  <c r="AE107" i="5"/>
  <c r="AD107" i="5"/>
  <c r="AE105" i="5"/>
  <c r="AD105" i="5"/>
  <c r="I146" i="11" l="1"/>
  <c r="I150" i="48"/>
  <c r="J86" i="5"/>
  <c r="J88" i="5" s="1"/>
  <c r="AH86" i="5"/>
  <c r="A86" i="31"/>
  <c r="A124" i="31"/>
  <c r="A162" i="31" s="1"/>
  <c r="A198" i="31" s="1"/>
  <c r="D164" i="31"/>
  <c r="C88" i="31"/>
  <c r="AE104" i="5"/>
  <c r="AD104" i="5"/>
  <c r="J146" i="11" l="1"/>
  <c r="J150" i="48"/>
  <c r="AH88" i="5"/>
  <c r="H71" i="9"/>
  <c r="H69" i="9"/>
  <c r="K86" i="5"/>
  <c r="K88" i="5" s="1"/>
  <c r="AI86" i="5"/>
  <c r="A125" i="31"/>
  <c r="A163" i="31" s="1"/>
  <c r="A199" i="31" s="1"/>
  <c r="A87" i="31"/>
  <c r="D165" i="31"/>
  <c r="C89" i="31"/>
  <c r="K146" i="11" l="1"/>
  <c r="K150" i="48"/>
  <c r="AI88" i="5"/>
  <c r="I71" i="9"/>
  <c r="I69" i="9"/>
  <c r="I76" i="9" s="1"/>
  <c r="L86" i="5"/>
  <c r="L88" i="5" s="1"/>
  <c r="AJ86" i="5"/>
  <c r="C90" i="31"/>
  <c r="D166" i="31"/>
  <c r="A88" i="31"/>
  <c r="A126" i="31"/>
  <c r="A164" i="31" s="1"/>
  <c r="A200" i="31" s="1"/>
  <c r="X77" i="3"/>
  <c r="Y77" i="3"/>
  <c r="L77" i="3"/>
  <c r="C77" i="3"/>
  <c r="X39" i="3"/>
  <c r="Z38" i="3"/>
  <c r="Y38" i="3"/>
  <c r="Z37" i="3"/>
  <c r="Y37" i="3"/>
  <c r="Y36" i="3"/>
  <c r="L39" i="3"/>
  <c r="L146" i="11" l="1"/>
  <c r="L150" i="48"/>
  <c r="AJ88" i="5"/>
  <c r="J71" i="9"/>
  <c r="J69" i="9"/>
  <c r="J76" i="9" s="1"/>
  <c r="M86" i="5"/>
  <c r="M88" i="5" s="1"/>
  <c r="AK86" i="5"/>
  <c r="A127" i="31"/>
  <c r="A165" i="31" s="1"/>
  <c r="A201" i="31" s="1"/>
  <c r="A89" i="31"/>
  <c r="D167" i="31"/>
  <c r="C91" i="31"/>
  <c r="Z29" i="3"/>
  <c r="M146" i="11" l="1"/>
  <c r="M150" i="48"/>
  <c r="AK88" i="5"/>
  <c r="K71" i="9"/>
  <c r="K69" i="9"/>
  <c r="K76" i="9" s="1"/>
  <c r="N86" i="5"/>
  <c r="N88" i="5" s="1"/>
  <c r="AL86" i="5"/>
  <c r="D168" i="31"/>
  <c r="C92" i="31"/>
  <c r="A128" i="31"/>
  <c r="A166" i="31" s="1"/>
  <c r="A202" i="31" s="1"/>
  <c r="A90" i="31"/>
  <c r="AA55" i="5"/>
  <c r="N146" i="11" l="1"/>
  <c r="N150" i="48"/>
  <c r="AG54" i="5"/>
  <c r="AH54" i="5"/>
  <c r="AL88" i="5"/>
  <c r="L71" i="9"/>
  <c r="L69" i="9"/>
  <c r="L76" i="9" s="1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O86" i="5"/>
  <c r="O88" i="5" s="1"/>
  <c r="AM86" i="5"/>
  <c r="AA53" i="5"/>
  <c r="AA54" i="5"/>
  <c r="D169" i="31"/>
  <c r="C93" i="31"/>
  <c r="A129" i="31"/>
  <c r="A167" i="31" s="1"/>
  <c r="A203" i="31" s="1"/>
  <c r="A91" i="31"/>
  <c r="E113" i="13"/>
  <c r="E96" i="13"/>
  <c r="E77" i="13"/>
  <c r="B5" i="20" s="1"/>
  <c r="E60" i="13"/>
  <c r="E41" i="13"/>
  <c r="E25" i="13"/>
  <c r="E6" i="13"/>
  <c r="O146" i="11" l="1"/>
  <c r="O150" i="48"/>
  <c r="AM88" i="5"/>
  <c r="M71" i="9"/>
  <c r="M69" i="9"/>
  <c r="P86" i="5"/>
  <c r="P88" i="5" s="1"/>
  <c r="AN86" i="5"/>
  <c r="A92" i="31"/>
  <c r="A130" i="31"/>
  <c r="A168" i="31" s="1"/>
  <c r="A204" i="31" s="1"/>
  <c r="C94" i="31"/>
  <c r="D170" i="31"/>
  <c r="P146" i="11" l="1"/>
  <c r="P150" i="48"/>
  <c r="AN88" i="5"/>
  <c r="N71" i="9"/>
  <c r="N69" i="9"/>
  <c r="N76" i="9" s="1"/>
  <c r="Q86" i="5"/>
  <c r="Q88" i="5" s="1"/>
  <c r="AO86" i="5"/>
  <c r="A131" i="31"/>
  <c r="A169" i="31" s="1"/>
  <c r="A205" i="31" s="1"/>
  <c r="A93" i="31"/>
  <c r="D171" i="31"/>
  <c r="Q146" i="11" l="1"/>
  <c r="Q150" i="48"/>
  <c r="AO88" i="5"/>
  <c r="O71" i="9"/>
  <c r="O69" i="9"/>
  <c r="O76" i="9" s="1"/>
  <c r="R86" i="5"/>
  <c r="R88" i="5" s="1"/>
  <c r="AP86" i="5"/>
  <c r="A132" i="31"/>
  <c r="A170" i="31" s="1"/>
  <c r="A206" i="31" s="1"/>
  <c r="A94" i="31"/>
  <c r="G173" i="8"/>
  <c r="R146" i="11" l="1"/>
  <c r="R150" i="48"/>
  <c r="AP88" i="5"/>
  <c r="P71" i="9"/>
  <c r="P69" i="9"/>
  <c r="P76" i="9" s="1"/>
  <c r="S86" i="5"/>
  <c r="S88" i="5" s="1"/>
  <c r="AQ86" i="5"/>
  <c r="A133" i="31"/>
  <c r="A171" i="31" s="1"/>
  <c r="A207" i="31" s="1"/>
  <c r="A95" i="31"/>
  <c r="E55" i="1"/>
  <c r="S146" i="11" l="1"/>
  <c r="Y146" i="11" s="1"/>
  <c r="S150" i="48"/>
  <c r="AQ88" i="5"/>
  <c r="Q71" i="9"/>
  <c r="Q69" i="9"/>
  <c r="Q76" i="9" s="1"/>
  <c r="T86" i="5"/>
  <c r="T88" i="5" s="1"/>
  <c r="AR86" i="5"/>
  <c r="A96" i="31"/>
  <c r="A134" i="31"/>
  <c r="A172" i="31" s="1"/>
  <c r="A208" i="31" s="1"/>
  <c r="Y150" i="48" l="1"/>
  <c r="S151" i="48" s="1"/>
  <c r="T146" i="11"/>
  <c r="T150" i="48"/>
  <c r="AR88" i="5"/>
  <c r="R71" i="9"/>
  <c r="R69" i="9"/>
  <c r="U86" i="5"/>
  <c r="U88" i="5" s="1"/>
  <c r="AS86" i="5"/>
  <c r="A135" i="31"/>
  <c r="A173" i="31" s="1"/>
  <c r="A209" i="31" s="1"/>
  <c r="A97" i="31"/>
  <c r="A136" i="31" s="1"/>
  <c r="A174" i="31" s="1"/>
  <c r="A210" i="31" s="1"/>
  <c r="T151" i="48" l="1"/>
  <c r="U146" i="11"/>
  <c r="U150" i="48"/>
  <c r="U151" i="48" s="1"/>
  <c r="C151" i="48"/>
  <c r="D151" i="48"/>
  <c r="D153" i="48" s="1"/>
  <c r="I151" i="48"/>
  <c r="J151" i="48"/>
  <c r="K151" i="48"/>
  <c r="L151" i="48"/>
  <c r="M151" i="48"/>
  <c r="N151" i="48"/>
  <c r="O151" i="48"/>
  <c r="P151" i="48"/>
  <c r="Q151" i="48"/>
  <c r="R151" i="48"/>
  <c r="AS88" i="5"/>
  <c r="S71" i="9"/>
  <c r="S69" i="9"/>
  <c r="S76" i="9" s="1"/>
  <c r="V86" i="5"/>
  <c r="V88" i="5" s="1"/>
  <c r="AT86" i="5"/>
  <c r="V146" i="11" l="1"/>
  <c r="V150" i="48"/>
  <c r="V151" i="48" s="1"/>
  <c r="AT88" i="5"/>
  <c r="T71" i="9"/>
  <c r="T69" i="9"/>
  <c r="T76" i="9" s="1"/>
  <c r="W86" i="5"/>
  <c r="W88" i="5" s="1"/>
  <c r="AU86" i="5"/>
  <c r="W146" i="11" l="1"/>
  <c r="W150" i="48"/>
  <c r="W151" i="48" s="1"/>
  <c r="AU88" i="5"/>
  <c r="U71" i="9"/>
  <c r="U69" i="9"/>
  <c r="U76" i="9" s="1"/>
  <c r="X86" i="5"/>
  <c r="X88" i="5" s="1"/>
  <c r="X150" i="48" s="1"/>
  <c r="X151" i="48" s="1"/>
  <c r="AV86" i="5"/>
  <c r="E59" i="1"/>
  <c r="F59" i="1"/>
  <c r="G59" i="1"/>
  <c r="H59" i="1"/>
  <c r="D53" i="1"/>
  <c r="D59" i="1" s="1"/>
  <c r="X146" i="11" l="1"/>
  <c r="AV88" i="5"/>
  <c r="V71" i="9"/>
  <c r="V69" i="9"/>
  <c r="V76" i="9" s="1"/>
  <c r="AW86" i="5"/>
  <c r="D3" i="1"/>
  <c r="AW88" i="5" l="1"/>
  <c r="W71" i="9"/>
  <c r="W69" i="9"/>
  <c r="G58" i="1" l="1"/>
  <c r="F58" i="1"/>
  <c r="E58" i="1" l="1"/>
  <c r="H58" i="1"/>
  <c r="H57" i="1"/>
  <c r="H56" i="1"/>
  <c r="F55" i="1"/>
  <c r="G57" i="1" l="1"/>
  <c r="E56" i="1"/>
  <c r="E57" i="1"/>
  <c r="G55" i="1"/>
  <c r="F56" i="1"/>
  <c r="F57" i="1"/>
  <c r="H55" i="1"/>
  <c r="H61" i="1" s="1"/>
  <c r="G56" i="1"/>
  <c r="F61" i="1" l="1"/>
  <c r="G61" i="1"/>
  <c r="E61" i="1"/>
  <c r="D61" i="1"/>
  <c r="BL45" i="5" l="1"/>
  <c r="BJ45" i="5" l="1"/>
  <c r="AG75" i="3"/>
  <c r="AI75" i="3" s="1"/>
  <c r="U204" i="2" l="1"/>
  <c r="N204" i="2" s="1"/>
  <c r="AH111" i="5" l="1"/>
  <c r="AO111" i="5"/>
  <c r="AV111" i="5"/>
  <c r="AF111" i="5"/>
  <c r="AM111" i="5"/>
  <c r="AT111" i="5"/>
  <c r="AD111" i="5"/>
  <c r="AK111" i="5"/>
  <c r="AR111" i="5"/>
  <c r="AC111" i="5"/>
  <c r="AI111" i="5"/>
  <c r="AP111" i="5"/>
  <c r="AW111" i="5"/>
  <c r="AG111" i="5"/>
  <c r="AN111" i="5"/>
  <c r="AU111" i="5"/>
  <c r="AE111" i="5"/>
  <c r="AL111" i="5"/>
  <c r="AS111" i="5"/>
  <c r="AJ111" i="5"/>
  <c r="AQ111" i="5"/>
  <c r="AB110" i="5"/>
  <c r="AB111" i="5" s="1"/>
  <c r="AF78" i="10" l="1"/>
  <c r="B5" i="15"/>
  <c r="H5" i="15" s="1"/>
  <c r="R44" i="12"/>
  <c r="P44" i="12"/>
  <c r="N44" i="12"/>
  <c r="L44" i="12"/>
  <c r="J44" i="12"/>
  <c r="H44" i="12"/>
  <c r="F44" i="12"/>
  <c r="D44" i="12"/>
  <c r="P42" i="12"/>
  <c r="N42" i="12"/>
  <c r="L42" i="12"/>
  <c r="J42" i="12"/>
  <c r="H42" i="12"/>
  <c r="F42" i="12"/>
  <c r="G10" i="12"/>
  <c r="D10" i="12"/>
  <c r="E10" i="12"/>
  <c r="F10" i="12"/>
  <c r="H10" i="12"/>
  <c r="I10" i="12"/>
  <c r="J10" i="12"/>
  <c r="K10" i="12"/>
  <c r="L10" i="12"/>
  <c r="M10" i="12"/>
  <c r="T193" i="23"/>
  <c r="Z193" i="23" s="1"/>
  <c r="AF193" i="23" s="1"/>
  <c r="AL193" i="23" s="1"/>
  <c r="AR193" i="23" s="1"/>
  <c r="AX193" i="23" s="1"/>
  <c r="BD193" i="23" s="1"/>
  <c r="T192" i="23"/>
  <c r="Z192" i="23" s="1"/>
  <c r="AF192" i="23" s="1"/>
  <c r="AL192" i="23" s="1"/>
  <c r="AR192" i="23" s="1"/>
  <c r="AX192" i="23" s="1"/>
  <c r="BD192" i="23" s="1"/>
  <c r="M191" i="23"/>
  <c r="S191" i="23" s="1"/>
  <c r="Y191" i="23" s="1"/>
  <c r="AE191" i="23" s="1"/>
  <c r="AK191" i="23" s="1"/>
  <c r="AQ191" i="23" s="1"/>
  <c r="AW191" i="23" s="1"/>
  <c r="BC191" i="23" s="1"/>
  <c r="BE181" i="23"/>
  <c r="AY181" i="23"/>
  <c r="AS181" i="23"/>
  <c r="AM181" i="23"/>
  <c r="AG181" i="23"/>
  <c r="AA181" i="23"/>
  <c r="U181" i="23"/>
  <c r="O181" i="23"/>
  <c r="D174" i="23"/>
  <c r="D173" i="23"/>
  <c r="D172" i="23"/>
  <c r="AW157" i="23"/>
  <c r="BD157" i="23" s="1"/>
  <c r="BK157" i="23" s="1"/>
  <c r="BR157" i="23" s="1"/>
  <c r="BY157" i="23" s="1"/>
  <c r="CF157" i="23" s="1"/>
  <c r="CM157" i="23" s="1"/>
  <c r="CT157" i="23" s="1"/>
  <c r="AP157" i="23"/>
  <c r="U157" i="23"/>
  <c r="AB157" i="23" s="1"/>
  <c r="U156" i="23"/>
  <c r="AB156" i="23" s="1"/>
  <c r="AI156" i="23" s="1"/>
  <c r="AP156" i="23" s="1"/>
  <c r="AW156" i="23" s="1"/>
  <c r="BD156" i="23" s="1"/>
  <c r="BK156" i="23" s="1"/>
  <c r="BR156" i="23" s="1"/>
  <c r="BY156" i="23" s="1"/>
  <c r="CF156" i="23" s="1"/>
  <c r="CM156" i="23" s="1"/>
  <c r="CT156" i="23" s="1"/>
  <c r="CU144" i="23"/>
  <c r="CN144" i="23"/>
  <c r="CG144" i="23"/>
  <c r="BZ144" i="23"/>
  <c r="BS144" i="23"/>
  <c r="BL144" i="23"/>
  <c r="BE144" i="23"/>
  <c r="AX144" i="23"/>
  <c r="AQ144" i="23"/>
  <c r="AJ144" i="23"/>
  <c r="AC144" i="23"/>
  <c r="V144" i="23"/>
  <c r="O144" i="23"/>
  <c r="D142" i="23"/>
  <c r="D178" i="23" s="1"/>
  <c r="D105" i="23"/>
  <c r="D106" i="23" s="1"/>
  <c r="D107" i="23" s="1"/>
  <c r="D108" i="23" s="1"/>
  <c r="D109" i="23" s="1"/>
  <c r="D110" i="23" s="1"/>
  <c r="D111" i="23" s="1"/>
  <c r="D112" i="23" s="1"/>
  <c r="D113" i="23" s="1"/>
  <c r="D114" i="23" s="1"/>
  <c r="D104" i="23"/>
  <c r="N79" i="23"/>
  <c r="C66" i="23"/>
  <c r="D143" i="23" s="1"/>
  <c r="A65" i="23"/>
  <c r="A37" i="23"/>
  <c r="E1" i="23"/>
  <c r="T193" i="22"/>
  <c r="Z193" i="22" s="1"/>
  <c r="AF193" i="22" s="1"/>
  <c r="AL193" i="22" s="1"/>
  <c r="AR193" i="22" s="1"/>
  <c r="AX193" i="22" s="1"/>
  <c r="BD193" i="22" s="1"/>
  <c r="T192" i="22"/>
  <c r="Z192" i="22" s="1"/>
  <c r="AF192" i="22" s="1"/>
  <c r="AL192" i="22" s="1"/>
  <c r="AR192" i="22" s="1"/>
  <c r="AX192" i="22" s="1"/>
  <c r="BD192" i="22" s="1"/>
  <c r="M191" i="22"/>
  <c r="S191" i="22" s="1"/>
  <c r="Y191" i="22" s="1"/>
  <c r="AE191" i="22" s="1"/>
  <c r="AK191" i="22" s="1"/>
  <c r="AQ191" i="22" s="1"/>
  <c r="AW191" i="22" s="1"/>
  <c r="BC191" i="22" s="1"/>
  <c r="BE181" i="22"/>
  <c r="AY181" i="22"/>
  <c r="AS181" i="22"/>
  <c r="AM181" i="22"/>
  <c r="AG181" i="22"/>
  <c r="AA181" i="22"/>
  <c r="U181" i="22"/>
  <c r="O181" i="22"/>
  <c r="D174" i="22"/>
  <c r="D173" i="22"/>
  <c r="D172" i="22"/>
  <c r="AP157" i="22"/>
  <c r="AW157" i="22" s="1"/>
  <c r="BD157" i="22" s="1"/>
  <c r="BK157" i="22" s="1"/>
  <c r="BR157" i="22" s="1"/>
  <c r="BY157" i="22" s="1"/>
  <c r="CF157" i="22" s="1"/>
  <c r="CM157" i="22" s="1"/>
  <c r="CT157" i="22" s="1"/>
  <c r="U157" i="22"/>
  <c r="AB157" i="22" s="1"/>
  <c r="AB156" i="22"/>
  <c r="AI156" i="22" s="1"/>
  <c r="AP156" i="22" s="1"/>
  <c r="AW156" i="22" s="1"/>
  <c r="BD156" i="22" s="1"/>
  <c r="BK156" i="22" s="1"/>
  <c r="BR156" i="22" s="1"/>
  <c r="BY156" i="22" s="1"/>
  <c r="CF156" i="22" s="1"/>
  <c r="CM156" i="22" s="1"/>
  <c r="CT156" i="22" s="1"/>
  <c r="U156" i="22"/>
  <c r="CU144" i="22"/>
  <c r="CN144" i="22"/>
  <c r="CG144" i="22"/>
  <c r="BZ144" i="22"/>
  <c r="BS144" i="22"/>
  <c r="BL144" i="22"/>
  <c r="BE144" i="22"/>
  <c r="AX144" i="22"/>
  <c r="AQ144" i="22"/>
  <c r="AJ144" i="22"/>
  <c r="AC144" i="22"/>
  <c r="V144" i="22"/>
  <c r="O144" i="22"/>
  <c r="D142" i="22"/>
  <c r="D178" i="22" s="1"/>
  <c r="D104" i="22"/>
  <c r="D105" i="22" s="1"/>
  <c r="D106" i="22" s="1"/>
  <c r="D107" i="22" s="1"/>
  <c r="D108" i="22" s="1"/>
  <c r="D109" i="22" s="1"/>
  <c r="D110" i="22" s="1"/>
  <c r="D111" i="22" s="1"/>
  <c r="D112" i="22" s="1"/>
  <c r="D113" i="22" s="1"/>
  <c r="D114" i="22" s="1"/>
  <c r="N79" i="22"/>
  <c r="C66" i="22"/>
  <c r="D143" i="22" s="1"/>
  <c r="A65" i="22"/>
  <c r="A37" i="22"/>
  <c r="B5" i="22"/>
  <c r="E1" i="22"/>
  <c r="T193" i="21"/>
  <c r="Z193" i="21" s="1"/>
  <c r="AF193" i="21" s="1"/>
  <c r="AL193" i="21" s="1"/>
  <c r="AR193" i="21" s="1"/>
  <c r="AX193" i="21" s="1"/>
  <c r="BD193" i="21" s="1"/>
  <c r="AL192" i="21"/>
  <c r="AR192" i="21" s="1"/>
  <c r="AX192" i="21" s="1"/>
  <c r="BD192" i="21" s="1"/>
  <c r="T192" i="21"/>
  <c r="Z192" i="21" s="1"/>
  <c r="AF192" i="21" s="1"/>
  <c r="M191" i="21"/>
  <c r="S191" i="21" s="1"/>
  <c r="Y191" i="21" s="1"/>
  <c r="AE191" i="21" s="1"/>
  <c r="AK191" i="21" s="1"/>
  <c r="AQ191" i="21" s="1"/>
  <c r="AW191" i="21" s="1"/>
  <c r="BC191" i="21" s="1"/>
  <c r="BE181" i="21"/>
  <c r="AY181" i="21"/>
  <c r="AS181" i="21"/>
  <c r="AM181" i="21"/>
  <c r="AG181" i="21"/>
  <c r="AA181" i="21"/>
  <c r="U181" i="21"/>
  <c r="O181" i="21"/>
  <c r="D174" i="21"/>
  <c r="D173" i="21"/>
  <c r="D172" i="21"/>
  <c r="AW157" i="21"/>
  <c r="BD157" i="21" s="1"/>
  <c r="BK157" i="21" s="1"/>
  <c r="BR157" i="21" s="1"/>
  <c r="BY157" i="21" s="1"/>
  <c r="CF157" i="21" s="1"/>
  <c r="CM157" i="21" s="1"/>
  <c r="CT157" i="21" s="1"/>
  <c r="AP157" i="21"/>
  <c r="U157" i="21"/>
  <c r="AB157" i="21" s="1"/>
  <c r="U156" i="21"/>
  <c r="AB156" i="21" s="1"/>
  <c r="AI156" i="21" s="1"/>
  <c r="AP156" i="21" s="1"/>
  <c r="AW156" i="21" s="1"/>
  <c r="BD156" i="21" s="1"/>
  <c r="BK156" i="21" s="1"/>
  <c r="BR156" i="21" s="1"/>
  <c r="BY156" i="21" s="1"/>
  <c r="CF156" i="21" s="1"/>
  <c r="CM156" i="21" s="1"/>
  <c r="CT156" i="21" s="1"/>
  <c r="CU144" i="21"/>
  <c r="CN144" i="21"/>
  <c r="CG144" i="21"/>
  <c r="BZ144" i="21"/>
  <c r="BS144" i="21"/>
  <c r="BL144" i="21"/>
  <c r="BE144" i="21"/>
  <c r="AX144" i="21"/>
  <c r="AQ144" i="21"/>
  <c r="AJ144" i="21"/>
  <c r="AC144" i="21"/>
  <c r="V144" i="21"/>
  <c r="O144" i="21"/>
  <c r="D142" i="21"/>
  <c r="D178" i="21" s="1"/>
  <c r="D104" i="21"/>
  <c r="D105" i="21" s="1"/>
  <c r="D106" i="21" s="1"/>
  <c r="D107" i="21" s="1"/>
  <c r="D108" i="21" s="1"/>
  <c r="D109" i="21" s="1"/>
  <c r="D110" i="21" s="1"/>
  <c r="D111" i="21" s="1"/>
  <c r="D112" i="21" s="1"/>
  <c r="D113" i="21" s="1"/>
  <c r="D114" i="21" s="1"/>
  <c r="N79" i="21"/>
  <c r="C66" i="21"/>
  <c r="D143" i="21" s="1"/>
  <c r="A65" i="21"/>
  <c r="A37" i="21"/>
  <c r="B5" i="21"/>
  <c r="E1" i="21"/>
  <c r="T193" i="20"/>
  <c r="Z193" i="20" s="1"/>
  <c r="AF193" i="20" s="1"/>
  <c r="AL193" i="20" s="1"/>
  <c r="AR193" i="20" s="1"/>
  <c r="AX193" i="20" s="1"/>
  <c r="BD193" i="20" s="1"/>
  <c r="T192" i="20"/>
  <c r="Z192" i="20" s="1"/>
  <c r="AF192" i="20" s="1"/>
  <c r="AL192" i="20" s="1"/>
  <c r="AR192" i="20" s="1"/>
  <c r="AX192" i="20" s="1"/>
  <c r="BD192" i="20" s="1"/>
  <c r="M191" i="20"/>
  <c r="S191" i="20" s="1"/>
  <c r="Y191" i="20" s="1"/>
  <c r="AE191" i="20" s="1"/>
  <c r="AK191" i="20" s="1"/>
  <c r="AQ191" i="20" s="1"/>
  <c r="AW191" i="20" s="1"/>
  <c r="BC191" i="20" s="1"/>
  <c r="BE181" i="20"/>
  <c r="AY181" i="20"/>
  <c r="AS181" i="20"/>
  <c r="AM181" i="20"/>
  <c r="AG181" i="20"/>
  <c r="AA181" i="20"/>
  <c r="U181" i="20"/>
  <c r="O181" i="20"/>
  <c r="D174" i="20"/>
  <c r="D173" i="20"/>
  <c r="D172" i="20"/>
  <c r="AP157" i="20"/>
  <c r="AW157" i="20" s="1"/>
  <c r="BD157" i="20" s="1"/>
  <c r="BK157" i="20" s="1"/>
  <c r="BR157" i="20" s="1"/>
  <c r="BY157" i="20" s="1"/>
  <c r="CF157" i="20" s="1"/>
  <c r="CM157" i="20" s="1"/>
  <c r="CT157" i="20" s="1"/>
  <c r="U157" i="20"/>
  <c r="AB157" i="20" s="1"/>
  <c r="U156" i="20"/>
  <c r="AB156" i="20" s="1"/>
  <c r="AI156" i="20" s="1"/>
  <c r="AP156" i="20" s="1"/>
  <c r="AW156" i="20" s="1"/>
  <c r="BD156" i="20" s="1"/>
  <c r="BK156" i="20" s="1"/>
  <c r="BR156" i="20" s="1"/>
  <c r="BY156" i="20" s="1"/>
  <c r="CF156" i="20" s="1"/>
  <c r="CM156" i="20" s="1"/>
  <c r="CT156" i="20" s="1"/>
  <c r="CU144" i="20"/>
  <c r="CN144" i="20"/>
  <c r="CG144" i="20"/>
  <c r="BZ144" i="20"/>
  <c r="BS144" i="20"/>
  <c r="BL144" i="20"/>
  <c r="BE144" i="20"/>
  <c r="AX144" i="20"/>
  <c r="AQ144" i="20"/>
  <c r="AJ144" i="20"/>
  <c r="AC144" i="20"/>
  <c r="V144" i="20"/>
  <c r="O144" i="20"/>
  <c r="D142" i="20"/>
  <c r="D104" i="20"/>
  <c r="D105" i="20" s="1"/>
  <c r="D106" i="20" s="1"/>
  <c r="N79" i="20"/>
  <c r="C66" i="20"/>
  <c r="D143" i="20" s="1"/>
  <c r="D179" i="20" s="1"/>
  <c r="A65" i="20"/>
  <c r="A104" i="20" s="1"/>
  <c r="A142" i="20" s="1"/>
  <c r="A178" i="20" s="1"/>
  <c r="H5" i="20"/>
  <c r="E1" i="20"/>
  <c r="T193" i="19"/>
  <c r="Z193" i="19" s="1"/>
  <c r="AF193" i="19" s="1"/>
  <c r="AL193" i="19" s="1"/>
  <c r="AR193" i="19" s="1"/>
  <c r="AX193" i="19" s="1"/>
  <c r="BD193" i="19" s="1"/>
  <c r="Z192" i="19"/>
  <c r="AF192" i="19" s="1"/>
  <c r="AL192" i="19" s="1"/>
  <c r="AR192" i="19" s="1"/>
  <c r="AX192" i="19" s="1"/>
  <c r="BD192" i="19" s="1"/>
  <c r="T192" i="19"/>
  <c r="M191" i="19"/>
  <c r="S191" i="19" s="1"/>
  <c r="Y191" i="19" s="1"/>
  <c r="AE191" i="19" s="1"/>
  <c r="AK191" i="19" s="1"/>
  <c r="AQ191" i="19" s="1"/>
  <c r="AW191" i="19" s="1"/>
  <c r="BC191" i="19" s="1"/>
  <c r="BE181" i="19"/>
  <c r="AY181" i="19"/>
  <c r="AS181" i="19"/>
  <c r="AM181" i="19"/>
  <c r="AG181" i="19"/>
  <c r="AA181" i="19"/>
  <c r="U181" i="19"/>
  <c r="O181" i="19"/>
  <c r="D174" i="19"/>
  <c r="D173" i="19"/>
  <c r="D172" i="19"/>
  <c r="AP157" i="19"/>
  <c r="AW157" i="19" s="1"/>
  <c r="BD157" i="19" s="1"/>
  <c r="BK157" i="19" s="1"/>
  <c r="BR157" i="19" s="1"/>
  <c r="BY157" i="19" s="1"/>
  <c r="CF157" i="19" s="1"/>
  <c r="CM157" i="19" s="1"/>
  <c r="CT157" i="19" s="1"/>
  <c r="U157" i="19"/>
  <c r="AB157" i="19" s="1"/>
  <c r="U156" i="19"/>
  <c r="AB156" i="19" s="1"/>
  <c r="AI156" i="19" s="1"/>
  <c r="AP156" i="19" s="1"/>
  <c r="AW156" i="19" s="1"/>
  <c r="BD156" i="19" s="1"/>
  <c r="BK156" i="19" s="1"/>
  <c r="BR156" i="19" s="1"/>
  <c r="BY156" i="19" s="1"/>
  <c r="CF156" i="19" s="1"/>
  <c r="CM156" i="19" s="1"/>
  <c r="CT156" i="19" s="1"/>
  <c r="CU144" i="19"/>
  <c r="CN144" i="19"/>
  <c r="CG144" i="19"/>
  <c r="BZ144" i="19"/>
  <c r="BS144" i="19"/>
  <c r="BL144" i="19"/>
  <c r="BE144" i="19"/>
  <c r="AX144" i="19"/>
  <c r="AQ144" i="19"/>
  <c r="AJ144" i="19"/>
  <c r="AC144" i="19"/>
  <c r="V144" i="19"/>
  <c r="O144" i="19"/>
  <c r="D142" i="19"/>
  <c r="E142" i="19" s="1"/>
  <c r="D104" i="19"/>
  <c r="D105" i="19" s="1"/>
  <c r="D106" i="19" s="1"/>
  <c r="D107" i="19" s="1"/>
  <c r="D108" i="19" s="1"/>
  <c r="D109" i="19" s="1"/>
  <c r="D110" i="19" s="1"/>
  <c r="D111" i="19" s="1"/>
  <c r="D112" i="19" s="1"/>
  <c r="D113" i="19" s="1"/>
  <c r="D114" i="19" s="1"/>
  <c r="N79" i="19"/>
  <c r="C66" i="19"/>
  <c r="D143" i="19" s="1"/>
  <c r="E143" i="19" s="1"/>
  <c r="A65" i="19"/>
  <c r="A66" i="19" s="1"/>
  <c r="A105" i="19" s="1"/>
  <c r="A143" i="19" s="1"/>
  <c r="A179" i="19" s="1"/>
  <c r="A37" i="19"/>
  <c r="B5" i="19"/>
  <c r="H5" i="19" s="1"/>
  <c r="E1" i="19"/>
  <c r="T193" i="18"/>
  <c r="Z193" i="18" s="1"/>
  <c r="AF193" i="18" s="1"/>
  <c r="AL193" i="18" s="1"/>
  <c r="AR193" i="18" s="1"/>
  <c r="AX193" i="18" s="1"/>
  <c r="BD193" i="18" s="1"/>
  <c r="T192" i="18"/>
  <c r="Z192" i="18" s="1"/>
  <c r="AF192" i="18" s="1"/>
  <c r="AL192" i="18" s="1"/>
  <c r="AR192" i="18" s="1"/>
  <c r="AX192" i="18" s="1"/>
  <c r="BD192" i="18" s="1"/>
  <c r="M191" i="18"/>
  <c r="S191" i="18" s="1"/>
  <c r="Y191" i="18" s="1"/>
  <c r="AE191" i="18" s="1"/>
  <c r="AK191" i="18" s="1"/>
  <c r="AQ191" i="18" s="1"/>
  <c r="AW191" i="18" s="1"/>
  <c r="BC191" i="18" s="1"/>
  <c r="BE181" i="18"/>
  <c r="AY181" i="18"/>
  <c r="AS181" i="18"/>
  <c r="AM181" i="18"/>
  <c r="AG181" i="18"/>
  <c r="AA181" i="18"/>
  <c r="U181" i="18"/>
  <c r="O181" i="18"/>
  <c r="D174" i="18"/>
  <c r="D173" i="18"/>
  <c r="D172" i="18"/>
  <c r="AP157" i="18"/>
  <c r="AW157" i="18" s="1"/>
  <c r="BD157" i="18" s="1"/>
  <c r="BK157" i="18" s="1"/>
  <c r="BR157" i="18" s="1"/>
  <c r="BY157" i="18" s="1"/>
  <c r="CF157" i="18" s="1"/>
  <c r="CM157" i="18" s="1"/>
  <c r="CT157" i="18" s="1"/>
  <c r="U157" i="18"/>
  <c r="AB157" i="18" s="1"/>
  <c r="U156" i="18"/>
  <c r="AB156" i="18" s="1"/>
  <c r="AI156" i="18" s="1"/>
  <c r="AP156" i="18" s="1"/>
  <c r="AW156" i="18" s="1"/>
  <c r="BD156" i="18" s="1"/>
  <c r="BK156" i="18" s="1"/>
  <c r="BR156" i="18" s="1"/>
  <c r="BY156" i="18" s="1"/>
  <c r="CF156" i="18" s="1"/>
  <c r="CM156" i="18" s="1"/>
  <c r="CT156" i="18" s="1"/>
  <c r="CU144" i="18"/>
  <c r="CN144" i="18"/>
  <c r="CG144" i="18"/>
  <c r="BZ144" i="18"/>
  <c r="BS144" i="18"/>
  <c r="BL144" i="18"/>
  <c r="BE144" i="18"/>
  <c r="AX144" i="18"/>
  <c r="AQ144" i="18"/>
  <c r="AJ144" i="18"/>
  <c r="AC144" i="18"/>
  <c r="V144" i="18"/>
  <c r="O144" i="18"/>
  <c r="D142" i="18"/>
  <c r="E142" i="18" s="1"/>
  <c r="D104" i="18"/>
  <c r="D105" i="18" s="1"/>
  <c r="D106" i="18" s="1"/>
  <c r="D107" i="18" s="1"/>
  <c r="D108" i="18" s="1"/>
  <c r="D109" i="18" s="1"/>
  <c r="D110" i="18" s="1"/>
  <c r="D111" i="18" s="1"/>
  <c r="D112" i="18" s="1"/>
  <c r="D113" i="18" s="1"/>
  <c r="D114" i="18" s="1"/>
  <c r="N79" i="18"/>
  <c r="C66" i="18"/>
  <c r="D143" i="18" s="1"/>
  <c r="A65" i="18"/>
  <c r="A104" i="18" s="1"/>
  <c r="A142" i="18" s="1"/>
  <c r="A178" i="18" s="1"/>
  <c r="A37" i="18"/>
  <c r="B5" i="18"/>
  <c r="H5" i="18" s="1"/>
  <c r="E1" i="18"/>
  <c r="T193" i="17"/>
  <c r="Z193" i="17" s="1"/>
  <c r="AF193" i="17" s="1"/>
  <c r="AL193" i="17" s="1"/>
  <c r="AR193" i="17" s="1"/>
  <c r="AX193" i="17" s="1"/>
  <c r="BD193" i="17" s="1"/>
  <c r="T192" i="17"/>
  <c r="Z192" i="17" s="1"/>
  <c r="AF192" i="17" s="1"/>
  <c r="AL192" i="17" s="1"/>
  <c r="AR192" i="17" s="1"/>
  <c r="AX192" i="17" s="1"/>
  <c r="BD192" i="17" s="1"/>
  <c r="M191" i="17"/>
  <c r="S191" i="17" s="1"/>
  <c r="Y191" i="17" s="1"/>
  <c r="AE191" i="17" s="1"/>
  <c r="AK191" i="17" s="1"/>
  <c r="AQ191" i="17" s="1"/>
  <c r="AW191" i="17" s="1"/>
  <c r="BC191" i="17" s="1"/>
  <c r="BE181" i="17"/>
  <c r="AY181" i="17"/>
  <c r="AS181" i="17"/>
  <c r="AM181" i="17"/>
  <c r="AG181" i="17"/>
  <c r="AA181" i="17"/>
  <c r="U181" i="17"/>
  <c r="O181" i="17"/>
  <c r="D174" i="17"/>
  <c r="D173" i="17"/>
  <c r="D172" i="17"/>
  <c r="AP157" i="17"/>
  <c r="AW157" i="17" s="1"/>
  <c r="BD157" i="17" s="1"/>
  <c r="BK157" i="17" s="1"/>
  <c r="BR157" i="17" s="1"/>
  <c r="BY157" i="17" s="1"/>
  <c r="CF157" i="17" s="1"/>
  <c r="CM157" i="17" s="1"/>
  <c r="CT157" i="17" s="1"/>
  <c r="U157" i="17"/>
  <c r="AB157" i="17" s="1"/>
  <c r="U156" i="17"/>
  <c r="AB156" i="17" s="1"/>
  <c r="AI156" i="17" s="1"/>
  <c r="AP156" i="17" s="1"/>
  <c r="AW156" i="17" s="1"/>
  <c r="BD156" i="17" s="1"/>
  <c r="BK156" i="17" s="1"/>
  <c r="BR156" i="17" s="1"/>
  <c r="BY156" i="17" s="1"/>
  <c r="CF156" i="17" s="1"/>
  <c r="CM156" i="17" s="1"/>
  <c r="CT156" i="17" s="1"/>
  <c r="CU144" i="17"/>
  <c r="CN144" i="17"/>
  <c r="CG144" i="17"/>
  <c r="BZ144" i="17"/>
  <c r="BS144" i="17"/>
  <c r="BL144" i="17"/>
  <c r="BE144" i="17"/>
  <c r="AX144" i="17"/>
  <c r="AQ144" i="17"/>
  <c r="AJ144" i="17"/>
  <c r="AC144" i="17"/>
  <c r="V144" i="17"/>
  <c r="O144" i="17"/>
  <c r="D142" i="17"/>
  <c r="E142" i="17" s="1"/>
  <c r="D104" i="17"/>
  <c r="D105" i="17" s="1"/>
  <c r="D106" i="17" s="1"/>
  <c r="D107" i="17" s="1"/>
  <c r="D108" i="17" s="1"/>
  <c r="D109" i="17" s="1"/>
  <c r="D110" i="17" s="1"/>
  <c r="D111" i="17" s="1"/>
  <c r="D112" i="17" s="1"/>
  <c r="D113" i="17" s="1"/>
  <c r="D114" i="17" s="1"/>
  <c r="N79" i="17"/>
  <c r="C66" i="17"/>
  <c r="D143" i="17" s="1"/>
  <c r="A65" i="17"/>
  <c r="A66" i="17" s="1"/>
  <c r="A37" i="17"/>
  <c r="B5" i="17"/>
  <c r="B65" i="17" s="1"/>
  <c r="B104" i="17" s="1"/>
  <c r="E1" i="17"/>
  <c r="T193" i="15"/>
  <c r="Z193" i="15" s="1"/>
  <c r="AF193" i="15" s="1"/>
  <c r="AL193" i="15" s="1"/>
  <c r="AR193" i="15" s="1"/>
  <c r="AX193" i="15" s="1"/>
  <c r="BD193" i="15" s="1"/>
  <c r="T192" i="15"/>
  <c r="Z192" i="15" s="1"/>
  <c r="AF192" i="15" s="1"/>
  <c r="AL192" i="15" s="1"/>
  <c r="AR192" i="15" s="1"/>
  <c r="AX192" i="15" s="1"/>
  <c r="BD192" i="15" s="1"/>
  <c r="M191" i="15"/>
  <c r="S191" i="15" s="1"/>
  <c r="Y191" i="15" s="1"/>
  <c r="AE191" i="15" s="1"/>
  <c r="AK191" i="15" s="1"/>
  <c r="AQ191" i="15" s="1"/>
  <c r="AW191" i="15" s="1"/>
  <c r="BC191" i="15" s="1"/>
  <c r="BE181" i="15"/>
  <c r="AY181" i="15"/>
  <c r="AS181" i="15"/>
  <c r="AM181" i="15"/>
  <c r="AG181" i="15"/>
  <c r="AA181" i="15"/>
  <c r="U181" i="15"/>
  <c r="O181" i="15"/>
  <c r="D174" i="15"/>
  <c r="D173" i="15"/>
  <c r="D172" i="15"/>
  <c r="AP157" i="15"/>
  <c r="AW157" i="15" s="1"/>
  <c r="BD157" i="15" s="1"/>
  <c r="BK157" i="15" s="1"/>
  <c r="BR157" i="15" s="1"/>
  <c r="BY157" i="15" s="1"/>
  <c r="CF157" i="15" s="1"/>
  <c r="CM157" i="15" s="1"/>
  <c r="CT157" i="15" s="1"/>
  <c r="U157" i="15"/>
  <c r="AB157" i="15" s="1"/>
  <c r="U156" i="15"/>
  <c r="AB156" i="15" s="1"/>
  <c r="AI156" i="15" s="1"/>
  <c r="AP156" i="15" s="1"/>
  <c r="AW156" i="15" s="1"/>
  <c r="BD156" i="15" s="1"/>
  <c r="BK156" i="15" s="1"/>
  <c r="BR156" i="15" s="1"/>
  <c r="BY156" i="15" s="1"/>
  <c r="CF156" i="15" s="1"/>
  <c r="CM156" i="15" s="1"/>
  <c r="CT156" i="15" s="1"/>
  <c r="CU144" i="15"/>
  <c r="CN144" i="15"/>
  <c r="CG144" i="15"/>
  <c r="BZ144" i="15"/>
  <c r="BS144" i="15"/>
  <c r="BL144" i="15"/>
  <c r="BE144" i="15"/>
  <c r="AX144" i="15"/>
  <c r="AQ144" i="15"/>
  <c r="AJ144" i="15"/>
  <c r="AC144" i="15"/>
  <c r="V144" i="15"/>
  <c r="O144" i="15"/>
  <c r="D142" i="15"/>
  <c r="E142" i="15" s="1"/>
  <c r="D104" i="15"/>
  <c r="D105" i="15" s="1"/>
  <c r="D106" i="15" s="1"/>
  <c r="D107" i="15" s="1"/>
  <c r="D108" i="15" s="1"/>
  <c r="D109" i="15" s="1"/>
  <c r="D110" i="15" s="1"/>
  <c r="D111" i="15" s="1"/>
  <c r="D112" i="15" s="1"/>
  <c r="D113" i="15" s="1"/>
  <c r="D114" i="15" s="1"/>
  <c r="N79" i="15"/>
  <c r="C66" i="15"/>
  <c r="D143" i="15" s="1"/>
  <c r="D179" i="15" s="1"/>
  <c r="A65" i="15"/>
  <c r="A66" i="15" s="1"/>
  <c r="A37" i="15"/>
  <c r="E1" i="15"/>
  <c r="H58" i="14"/>
  <c r="H43" i="14"/>
  <c r="H38" i="14"/>
  <c r="H33" i="14"/>
  <c r="H28" i="14"/>
  <c r="H23" i="14"/>
  <c r="H18" i="14"/>
  <c r="H8" i="14"/>
  <c r="Q57" i="12"/>
  <c r="O57" i="12"/>
  <c r="M57" i="12"/>
  <c r="K57" i="12"/>
  <c r="I57" i="12"/>
  <c r="Q56" i="12"/>
  <c r="O56" i="12"/>
  <c r="M56" i="12"/>
  <c r="K56" i="12"/>
  <c r="I56" i="12"/>
  <c r="R55" i="12"/>
  <c r="N55" i="12"/>
  <c r="F55" i="12"/>
  <c r="D55" i="12"/>
  <c r="R54" i="12"/>
  <c r="P54" i="12"/>
  <c r="E123" i="13" s="1"/>
  <c r="B15" i="22" s="1"/>
  <c r="C43" i="14" s="1"/>
  <c r="C39" i="14" s="1"/>
  <c r="N54" i="12"/>
  <c r="L54" i="12"/>
  <c r="M55" i="12" s="1"/>
  <c r="J54" i="12"/>
  <c r="E70" i="13" s="1"/>
  <c r="B70" i="13" s="1"/>
  <c r="H54" i="12"/>
  <c r="E51" i="13" s="1"/>
  <c r="F54" i="12"/>
  <c r="D54" i="12"/>
  <c r="E16" i="13" s="1"/>
  <c r="B15" i="31" s="1"/>
  <c r="R53" i="12"/>
  <c r="P53" i="12"/>
  <c r="E122" i="13" s="1"/>
  <c r="N53" i="12"/>
  <c r="E105" i="13" s="1"/>
  <c r="L53" i="12"/>
  <c r="E86" i="13" s="1"/>
  <c r="B14" i="20" s="1"/>
  <c r="J53" i="12"/>
  <c r="H53" i="12"/>
  <c r="E50" i="13" s="1"/>
  <c r="B14" i="18" s="1"/>
  <c r="F53" i="12"/>
  <c r="D53" i="12"/>
  <c r="E15" i="13" s="1"/>
  <c r="B14" i="31" s="1"/>
  <c r="R52" i="12"/>
  <c r="P52" i="12"/>
  <c r="E121" i="13" s="1"/>
  <c r="B13" i="22" s="1"/>
  <c r="N52" i="12"/>
  <c r="L52" i="12"/>
  <c r="E85" i="13" s="1"/>
  <c r="B13" i="20" s="1"/>
  <c r="J52" i="12"/>
  <c r="E68" i="13" s="1"/>
  <c r="H52" i="12"/>
  <c r="E49" i="13" s="1"/>
  <c r="B13" i="18" s="1"/>
  <c r="F52" i="12"/>
  <c r="D52" i="12"/>
  <c r="E14" i="13" s="1"/>
  <c r="B13" i="31" s="1"/>
  <c r="R51" i="12"/>
  <c r="P51" i="12"/>
  <c r="E120" i="13" s="1"/>
  <c r="N51" i="12"/>
  <c r="E103" i="13" s="1"/>
  <c r="L51" i="12"/>
  <c r="E84" i="13" s="1"/>
  <c r="B12" i="20" s="1"/>
  <c r="J51" i="12"/>
  <c r="H51" i="12"/>
  <c r="F51" i="12"/>
  <c r="D51" i="12"/>
  <c r="E13" i="13" s="1"/>
  <c r="B12" i="31" s="1"/>
  <c r="R50" i="12"/>
  <c r="P50" i="12"/>
  <c r="E119" i="13" s="1"/>
  <c r="B11" i="22" s="1"/>
  <c r="N50" i="12"/>
  <c r="L50" i="12"/>
  <c r="E83" i="13" s="1"/>
  <c r="B11" i="20" s="1"/>
  <c r="J50" i="12"/>
  <c r="E66" i="13" s="1"/>
  <c r="B66" i="13" s="1"/>
  <c r="H50" i="12"/>
  <c r="E47" i="13" s="1"/>
  <c r="F50" i="12"/>
  <c r="D50" i="12"/>
  <c r="E12" i="13" s="1"/>
  <c r="B11" i="31" s="1"/>
  <c r="R49" i="12"/>
  <c r="P49" i="12"/>
  <c r="E118" i="13" s="1"/>
  <c r="B118" i="13" s="1"/>
  <c r="N49" i="12"/>
  <c r="L49" i="12"/>
  <c r="E82" i="13" s="1"/>
  <c r="B10" i="20" s="1"/>
  <c r="J49" i="12"/>
  <c r="H49" i="12"/>
  <c r="E46" i="13" s="1"/>
  <c r="F49" i="12"/>
  <c r="D49" i="12"/>
  <c r="E11" i="13" s="1"/>
  <c r="B11" i="13" s="1"/>
  <c r="R48" i="12"/>
  <c r="P48" i="12"/>
  <c r="N48" i="12"/>
  <c r="L48" i="12"/>
  <c r="E81" i="13" s="1"/>
  <c r="B9" i="20" s="1"/>
  <c r="J48" i="12"/>
  <c r="H48" i="12"/>
  <c r="E45" i="13" s="1"/>
  <c r="F48" i="12"/>
  <c r="D48" i="12"/>
  <c r="E10" i="13" s="1"/>
  <c r="R47" i="12"/>
  <c r="P47" i="12"/>
  <c r="E116" i="13" s="1"/>
  <c r="B8" i="22" s="1"/>
  <c r="N47" i="12"/>
  <c r="E99" i="13" s="1"/>
  <c r="L47" i="12"/>
  <c r="E80" i="13" s="1"/>
  <c r="B8" i="20" s="1"/>
  <c r="J47" i="12"/>
  <c r="H47" i="12"/>
  <c r="F47" i="12"/>
  <c r="D47" i="12"/>
  <c r="E9" i="13" s="1"/>
  <c r="B8" i="15" s="1"/>
  <c r="R46" i="12"/>
  <c r="P46" i="12"/>
  <c r="E115" i="13" s="1"/>
  <c r="B7" i="22" s="1"/>
  <c r="N46" i="12"/>
  <c r="L46" i="12"/>
  <c r="E79" i="13" s="1"/>
  <c r="B7" i="20" s="1"/>
  <c r="J46" i="12"/>
  <c r="E62" i="13" s="1"/>
  <c r="H46" i="12"/>
  <c r="E43" i="13" s="1"/>
  <c r="B7" i="18" s="1"/>
  <c r="F46" i="12"/>
  <c r="D46" i="12"/>
  <c r="R45" i="12"/>
  <c r="P45" i="12"/>
  <c r="E114" i="13" s="1"/>
  <c r="N45" i="12"/>
  <c r="E97" i="13" s="1"/>
  <c r="L45" i="12"/>
  <c r="E78" i="13" s="1"/>
  <c r="J45" i="12"/>
  <c r="E61" i="13" s="1"/>
  <c r="H45" i="12"/>
  <c r="E42" i="13" s="1"/>
  <c r="F45" i="12"/>
  <c r="E26" i="13" s="1"/>
  <c r="B6" i="17" s="1"/>
  <c r="D45" i="12"/>
  <c r="E7" i="13" s="1"/>
  <c r="R42" i="12"/>
  <c r="D42" i="12"/>
  <c r="O26" i="12"/>
  <c r="S56" i="12" s="1"/>
  <c r="N26" i="12"/>
  <c r="S57" i="12" s="1"/>
  <c r="M26" i="12"/>
  <c r="L26" i="12"/>
  <c r="K26" i="12"/>
  <c r="J26" i="12"/>
  <c r="I26" i="12"/>
  <c r="H26" i="12"/>
  <c r="G26" i="12"/>
  <c r="F26" i="12"/>
  <c r="E26" i="12"/>
  <c r="D26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U19" i="12"/>
  <c r="U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U17" i="12"/>
  <c r="U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U15" i="12"/>
  <c r="U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U13" i="12"/>
  <c r="U12" i="12"/>
  <c r="O12" i="12"/>
  <c r="N12" i="12"/>
  <c r="L12" i="12"/>
  <c r="K12" i="12"/>
  <c r="J12" i="12"/>
  <c r="I12" i="12"/>
  <c r="H12" i="12"/>
  <c r="G12" i="12"/>
  <c r="F12" i="12"/>
  <c r="E12" i="12"/>
  <c r="D12" i="12"/>
  <c r="U11" i="12"/>
  <c r="U10" i="12"/>
  <c r="O10" i="12"/>
  <c r="G56" i="12" s="1"/>
  <c r="N10" i="12"/>
  <c r="G57" i="12" s="1"/>
  <c r="O8" i="12"/>
  <c r="E56" i="12" s="1"/>
  <c r="N8" i="12"/>
  <c r="E57" i="12" s="1"/>
  <c r="M8" i="12"/>
  <c r="L8" i="12"/>
  <c r="K8" i="12"/>
  <c r="J8" i="12"/>
  <c r="I8" i="12"/>
  <c r="H8" i="12"/>
  <c r="G8" i="12"/>
  <c r="F8" i="12"/>
  <c r="E8" i="12"/>
  <c r="D8" i="12"/>
  <c r="Z7" i="12"/>
  <c r="Y7" i="12"/>
  <c r="X7" i="12"/>
  <c r="W7" i="12"/>
  <c r="V7" i="12"/>
  <c r="U7" i="12"/>
  <c r="T7" i="12"/>
  <c r="S7" i="12"/>
  <c r="R7" i="12"/>
  <c r="Q7" i="12"/>
  <c r="E142" i="23" l="1"/>
  <c r="E142" i="21"/>
  <c r="D179" i="18"/>
  <c r="E143" i="18"/>
  <c r="D179" i="17"/>
  <c r="E143" i="17"/>
  <c r="D178" i="18"/>
  <c r="C67" i="21"/>
  <c r="E142" i="22"/>
  <c r="B6" i="20"/>
  <c r="B66" i="20" s="1"/>
  <c r="B105" i="20" s="1"/>
  <c r="A66" i="18"/>
  <c r="A105" i="18" s="1"/>
  <c r="A143" i="18" s="1"/>
  <c r="A179" i="18" s="1"/>
  <c r="A104" i="19"/>
  <c r="A142" i="19" s="1"/>
  <c r="A178" i="19" s="1"/>
  <c r="B65" i="19"/>
  <c r="K45" i="12"/>
  <c r="M45" i="12"/>
  <c r="S45" i="12"/>
  <c r="Q45" i="12"/>
  <c r="O45" i="12"/>
  <c r="I45" i="12"/>
  <c r="G45" i="12"/>
  <c r="B15" i="15"/>
  <c r="B11" i="15"/>
  <c r="B71" i="15" s="1"/>
  <c r="B13" i="13"/>
  <c r="B73" i="31"/>
  <c r="H13" i="31"/>
  <c r="H14" i="31"/>
  <c r="B74" i="31"/>
  <c r="E45" i="12"/>
  <c r="A66" i="20"/>
  <c r="A104" i="17"/>
  <c r="A142" i="17" s="1"/>
  <c r="A178" i="17" s="1"/>
  <c r="A105" i="15"/>
  <c r="A143" i="15" s="1"/>
  <c r="A179" i="15" s="1"/>
  <c r="A67" i="15"/>
  <c r="A106" i="15" s="1"/>
  <c r="A144" i="15" s="1"/>
  <c r="A180" i="15" s="1"/>
  <c r="A104" i="15"/>
  <c r="A142" i="15" s="1"/>
  <c r="A178" i="15" s="1"/>
  <c r="C41" i="14"/>
  <c r="B65" i="15"/>
  <c r="B104" i="15" s="1"/>
  <c r="B65" i="18"/>
  <c r="B104" i="18" s="1"/>
  <c r="B142" i="18" s="1"/>
  <c r="B65" i="20"/>
  <c r="B104" i="20" s="1"/>
  <c r="B142" i="20" s="1"/>
  <c r="H5" i="17"/>
  <c r="F115" i="13"/>
  <c r="G115" i="13" s="1"/>
  <c r="G49" i="12"/>
  <c r="E87" i="13"/>
  <c r="Q48" i="12"/>
  <c r="G47" i="12"/>
  <c r="Q53" i="12"/>
  <c r="I48" i="12"/>
  <c r="I51" i="12"/>
  <c r="G55" i="12"/>
  <c r="E48" i="13"/>
  <c r="B12" i="18" s="1"/>
  <c r="Q51" i="12"/>
  <c r="I54" i="12"/>
  <c r="M46" i="12"/>
  <c r="Q47" i="12"/>
  <c r="O48" i="12"/>
  <c r="I50" i="12"/>
  <c r="B121" i="13"/>
  <c r="F10" i="13"/>
  <c r="G10" i="13" s="1"/>
  <c r="B49" i="13"/>
  <c r="E46" i="12"/>
  <c r="I47" i="12"/>
  <c r="Q49" i="12"/>
  <c r="I52" i="12"/>
  <c r="G53" i="12"/>
  <c r="B10" i="18"/>
  <c r="B70" i="18" s="1"/>
  <c r="B46" i="13"/>
  <c r="F15" i="13"/>
  <c r="G15" i="13" s="1"/>
  <c r="B13" i="15"/>
  <c r="H13" i="15" s="1"/>
  <c r="B68" i="20"/>
  <c r="F81" i="13"/>
  <c r="G81" i="13" s="1"/>
  <c r="F80" i="13"/>
  <c r="G80" i="13" s="1"/>
  <c r="D71" i="13"/>
  <c r="I46" i="12"/>
  <c r="M47" i="12"/>
  <c r="E52" i="12"/>
  <c r="M53" i="12"/>
  <c r="S46" i="12"/>
  <c r="E47" i="12"/>
  <c r="M48" i="12"/>
  <c r="E49" i="12"/>
  <c r="F47" i="13"/>
  <c r="G47" i="13" s="1"/>
  <c r="M50" i="12"/>
  <c r="S50" i="12"/>
  <c r="E51" i="12"/>
  <c r="M52" i="12"/>
  <c r="E53" i="12"/>
  <c r="G52" i="13"/>
  <c r="M54" i="12"/>
  <c r="S54" i="12"/>
  <c r="E55" i="12"/>
  <c r="Q55" i="12"/>
  <c r="E8" i="13"/>
  <c r="F8" i="13" s="1"/>
  <c r="G8" i="13" s="1"/>
  <c r="E44" i="13"/>
  <c r="B8" i="18" s="1"/>
  <c r="B68" i="18" s="1"/>
  <c r="B47" i="13"/>
  <c r="F51" i="13"/>
  <c r="G51" i="13" s="1"/>
  <c r="E117" i="13"/>
  <c r="B9" i="22" s="1"/>
  <c r="G124" i="13"/>
  <c r="B11" i="18"/>
  <c r="H11" i="18" s="1"/>
  <c r="E48" i="12"/>
  <c r="M49" i="12"/>
  <c r="E50" i="12"/>
  <c r="M51" i="12"/>
  <c r="E54" i="12"/>
  <c r="K46" i="12"/>
  <c r="I49" i="12"/>
  <c r="Q50" i="12"/>
  <c r="Q52" i="12"/>
  <c r="I53" i="12"/>
  <c r="Q54" i="12"/>
  <c r="F119" i="13"/>
  <c r="G119" i="13" s="1"/>
  <c r="F123" i="13"/>
  <c r="G123" i="13" s="1"/>
  <c r="H8" i="15"/>
  <c r="B68" i="15"/>
  <c r="D115" i="18"/>
  <c r="D116" i="18" s="1"/>
  <c r="D117" i="18" s="1"/>
  <c r="D118" i="18" s="1"/>
  <c r="D119" i="18" s="1"/>
  <c r="D120" i="18" s="1"/>
  <c r="D121" i="18" s="1"/>
  <c r="D122" i="18" s="1"/>
  <c r="D123" i="18" s="1"/>
  <c r="D124" i="18" s="1"/>
  <c r="D125" i="18" s="1"/>
  <c r="D126" i="18" s="1"/>
  <c r="D127" i="18" s="1"/>
  <c r="D128" i="18" s="1"/>
  <c r="D129" i="18" s="1"/>
  <c r="D130" i="18" s="1"/>
  <c r="D131" i="18" s="1"/>
  <c r="D132" i="18" s="1"/>
  <c r="D133" i="18" s="1"/>
  <c r="D134" i="18" s="1"/>
  <c r="D135" i="18" s="1"/>
  <c r="D136" i="18" s="1"/>
  <c r="D115" i="15"/>
  <c r="D116" i="15" s="1"/>
  <c r="D117" i="15" s="1"/>
  <c r="D118" i="15" s="1"/>
  <c r="D119" i="15" s="1"/>
  <c r="D120" i="15" s="1"/>
  <c r="D121" i="15" s="1"/>
  <c r="D122" i="15" s="1"/>
  <c r="D123" i="15" s="1"/>
  <c r="D124" i="15" s="1"/>
  <c r="D125" i="15" s="1"/>
  <c r="D126" i="15" s="1"/>
  <c r="D127" i="15" s="1"/>
  <c r="D128" i="15" s="1"/>
  <c r="D129" i="15" s="1"/>
  <c r="D130" i="15" s="1"/>
  <c r="D131" i="15" s="1"/>
  <c r="D132" i="15" s="1"/>
  <c r="D133" i="15" s="1"/>
  <c r="D134" i="15" s="1"/>
  <c r="D135" i="15" s="1"/>
  <c r="D136" i="15" s="1"/>
  <c r="B6" i="15"/>
  <c r="F7" i="13"/>
  <c r="G7" i="13" s="1"/>
  <c r="B82" i="13"/>
  <c r="B74" i="20"/>
  <c r="H14" i="20"/>
  <c r="F11" i="13"/>
  <c r="G11" i="13" s="1"/>
  <c r="E28" i="13"/>
  <c r="B6" i="18"/>
  <c r="F42" i="13"/>
  <c r="G42" i="13" s="1"/>
  <c r="F86" i="13"/>
  <c r="G86" i="13" s="1"/>
  <c r="B8" i="21"/>
  <c r="B67" i="23"/>
  <c r="H7" i="23"/>
  <c r="B9" i="15"/>
  <c r="H6" i="20"/>
  <c r="D115" i="21"/>
  <c r="D116" i="21" s="1"/>
  <c r="D117" i="21" s="1"/>
  <c r="D118" i="21" s="1"/>
  <c r="D119" i="21" s="1"/>
  <c r="D120" i="21" s="1"/>
  <c r="D121" i="21" s="1"/>
  <c r="D122" i="21" s="1"/>
  <c r="D123" i="21" s="1"/>
  <c r="D124" i="21" s="1"/>
  <c r="D125" i="21" s="1"/>
  <c r="D126" i="21" s="1"/>
  <c r="D127" i="21" s="1"/>
  <c r="D128" i="21" s="1"/>
  <c r="D129" i="21" s="1"/>
  <c r="D130" i="21" s="1"/>
  <c r="D131" i="21" s="1"/>
  <c r="D132" i="21" s="1"/>
  <c r="D133" i="21" s="1"/>
  <c r="D134" i="21" s="1"/>
  <c r="D135" i="21" s="1"/>
  <c r="D136" i="21" s="1"/>
  <c r="B9" i="18"/>
  <c r="B11" i="19"/>
  <c r="E100" i="13"/>
  <c r="F134" i="13"/>
  <c r="B6" i="19"/>
  <c r="F61" i="13"/>
  <c r="G61" i="13" s="1"/>
  <c r="F133" i="13"/>
  <c r="B67" i="18"/>
  <c r="H7" i="18"/>
  <c r="E63" i="13"/>
  <c r="K47" i="12"/>
  <c r="S48" i="12"/>
  <c r="K49" i="12"/>
  <c r="E65" i="13"/>
  <c r="E67" i="13"/>
  <c r="F68" i="13" s="1"/>
  <c r="G68" i="13" s="1"/>
  <c r="K51" i="12"/>
  <c r="B73" i="18"/>
  <c r="H13" i="18"/>
  <c r="S52" i="12"/>
  <c r="E69" i="13"/>
  <c r="K53" i="12"/>
  <c r="F14" i="13"/>
  <c r="G14" i="13" s="1"/>
  <c r="B14" i="13"/>
  <c r="G17" i="13"/>
  <c r="F16" i="13"/>
  <c r="G16" i="13" s="1"/>
  <c r="B16" i="13"/>
  <c r="E34" i="13"/>
  <c r="B7" i="19"/>
  <c r="F62" i="13"/>
  <c r="G62" i="13" s="1"/>
  <c r="B86" i="13"/>
  <c r="B12" i="21"/>
  <c r="B14" i="21"/>
  <c r="B105" i="13"/>
  <c r="B14" i="22"/>
  <c r="F122" i="13"/>
  <c r="G122" i="13" s="1"/>
  <c r="B122" i="13"/>
  <c r="D115" i="17"/>
  <c r="D116" i="17" s="1"/>
  <c r="D117" i="17" s="1"/>
  <c r="D118" i="17" s="1"/>
  <c r="D119" i="17" s="1"/>
  <c r="D120" i="17" s="1"/>
  <c r="D121" i="17" s="1"/>
  <c r="D122" i="17" s="1"/>
  <c r="D123" i="17" s="1"/>
  <c r="D124" i="17" s="1"/>
  <c r="D125" i="17" s="1"/>
  <c r="D126" i="17" s="1"/>
  <c r="D127" i="17" s="1"/>
  <c r="D128" i="17" s="1"/>
  <c r="D129" i="17" s="1"/>
  <c r="D130" i="17" s="1"/>
  <c r="D131" i="17" s="1"/>
  <c r="D132" i="17" s="1"/>
  <c r="D133" i="17" s="1"/>
  <c r="D134" i="17" s="1"/>
  <c r="D135" i="17" s="1"/>
  <c r="D136" i="17" s="1"/>
  <c r="B15" i="18"/>
  <c r="C23" i="14" s="1"/>
  <c r="C19" i="14" s="1"/>
  <c r="D115" i="19"/>
  <c r="D116" i="19" s="1"/>
  <c r="D117" i="19" s="1"/>
  <c r="D118" i="19" s="1"/>
  <c r="D119" i="19" s="1"/>
  <c r="D120" i="19" s="1"/>
  <c r="D121" i="19" s="1"/>
  <c r="D122" i="19" s="1"/>
  <c r="D123" i="19" s="1"/>
  <c r="D124" i="19" s="1"/>
  <c r="D125" i="19" s="1"/>
  <c r="D126" i="19" s="1"/>
  <c r="D127" i="19" s="1"/>
  <c r="D128" i="19" s="1"/>
  <c r="D129" i="19" s="1"/>
  <c r="D130" i="19" s="1"/>
  <c r="D131" i="19" s="1"/>
  <c r="D132" i="19" s="1"/>
  <c r="D133" i="19" s="1"/>
  <c r="D134" i="19" s="1"/>
  <c r="D135" i="19" s="1"/>
  <c r="D136" i="19" s="1"/>
  <c r="O46" i="12"/>
  <c r="E98" i="13"/>
  <c r="E102" i="13"/>
  <c r="F103" i="13" s="1"/>
  <c r="G103" i="13" s="1"/>
  <c r="O50" i="12"/>
  <c r="G51" i="12"/>
  <c r="E32" i="13"/>
  <c r="B72" i="20"/>
  <c r="H12" i="20"/>
  <c r="E104" i="13"/>
  <c r="O52" i="12"/>
  <c r="O55" i="12"/>
  <c r="E106" i="13"/>
  <c r="O54" i="12"/>
  <c r="F84" i="13"/>
  <c r="G84" i="13" s="1"/>
  <c r="C58" i="14"/>
  <c r="C57" i="14" s="1"/>
  <c r="G143" i="13"/>
  <c r="B142" i="13"/>
  <c r="J7" i="15"/>
  <c r="B66" i="17"/>
  <c r="H6" i="17"/>
  <c r="F43" i="13"/>
  <c r="G43" i="13" s="1"/>
  <c r="B13" i="19"/>
  <c r="B68" i="13"/>
  <c r="F78" i="13"/>
  <c r="G78" i="13" s="1"/>
  <c r="E143" i="15"/>
  <c r="B6" i="22"/>
  <c r="F114" i="13"/>
  <c r="G114" i="13" s="1"/>
  <c r="G46" i="12"/>
  <c r="E27" i="13"/>
  <c r="Q46" i="12"/>
  <c r="O47" i="12"/>
  <c r="G48" i="12"/>
  <c r="E29" i="13"/>
  <c r="H9" i="20"/>
  <c r="B69" i="20"/>
  <c r="O49" i="12"/>
  <c r="E31" i="13"/>
  <c r="G50" i="12"/>
  <c r="F13" i="13"/>
  <c r="G13" i="13" s="1"/>
  <c r="O51" i="12"/>
  <c r="G52" i="12"/>
  <c r="E33" i="13"/>
  <c r="B15" i="13"/>
  <c r="O53" i="12"/>
  <c r="G54" i="12"/>
  <c r="E35" i="13"/>
  <c r="F12" i="13"/>
  <c r="G12" i="13" s="1"/>
  <c r="B12" i="13"/>
  <c r="F26" i="13"/>
  <c r="G26" i="13" s="1"/>
  <c r="E30" i="13"/>
  <c r="B51" i="13"/>
  <c r="B15" i="19"/>
  <c r="C28" i="14" s="1"/>
  <c r="C27" i="14" s="1"/>
  <c r="G71" i="13"/>
  <c r="F82" i="13"/>
  <c r="G82" i="13" s="1"/>
  <c r="B84" i="13"/>
  <c r="F85" i="13"/>
  <c r="G85" i="13" s="1"/>
  <c r="B85" i="13"/>
  <c r="B6" i="21"/>
  <c r="F97" i="13"/>
  <c r="G97" i="13" s="1"/>
  <c r="E101" i="13"/>
  <c r="B103" i="13"/>
  <c r="B10" i="22"/>
  <c r="B12" i="22"/>
  <c r="F120" i="13"/>
  <c r="G120" i="13" s="1"/>
  <c r="B120" i="13"/>
  <c r="B10" i="15"/>
  <c r="B12" i="15"/>
  <c r="B14" i="15"/>
  <c r="D178" i="15"/>
  <c r="B74" i="18"/>
  <c r="H14" i="18"/>
  <c r="D179" i="19"/>
  <c r="D115" i="22"/>
  <c r="D116" i="22" s="1"/>
  <c r="D117" i="22" s="1"/>
  <c r="D118" i="22" s="1"/>
  <c r="D119" i="22" s="1"/>
  <c r="D120" i="22" s="1"/>
  <c r="D121" i="22" s="1"/>
  <c r="D122" i="22" s="1"/>
  <c r="D123" i="22" s="1"/>
  <c r="D124" i="22" s="1"/>
  <c r="D125" i="22" s="1"/>
  <c r="D126" i="22" s="1"/>
  <c r="D127" i="22" s="1"/>
  <c r="D128" i="22" s="1"/>
  <c r="D129" i="22" s="1"/>
  <c r="D130" i="22" s="1"/>
  <c r="D131" i="22" s="1"/>
  <c r="D132" i="22" s="1"/>
  <c r="D133" i="22" s="1"/>
  <c r="D134" i="22" s="1"/>
  <c r="D135" i="22" s="1"/>
  <c r="D136" i="22" s="1"/>
  <c r="C22" i="14"/>
  <c r="C20" i="14"/>
  <c r="C42" i="14"/>
  <c r="C40" i="14"/>
  <c r="A105" i="17"/>
  <c r="A143" i="17" s="1"/>
  <c r="A179" i="17" s="1"/>
  <c r="A67" i="17"/>
  <c r="D107" i="20"/>
  <c r="D108" i="20" s="1"/>
  <c r="D109" i="20" s="1"/>
  <c r="D110" i="20" s="1"/>
  <c r="D111" i="20" s="1"/>
  <c r="D112" i="20" s="1"/>
  <c r="D113" i="20" s="1"/>
  <c r="D114" i="20" s="1"/>
  <c r="D115" i="23"/>
  <c r="D116" i="23" s="1"/>
  <c r="D117" i="23" s="1"/>
  <c r="D118" i="23" s="1"/>
  <c r="D119" i="23" s="1"/>
  <c r="D120" i="23" s="1"/>
  <c r="D121" i="23" s="1"/>
  <c r="D122" i="23" s="1"/>
  <c r="D123" i="23" s="1"/>
  <c r="D124" i="23" s="1"/>
  <c r="D125" i="23" s="1"/>
  <c r="D126" i="23" s="1"/>
  <c r="D127" i="23" s="1"/>
  <c r="D128" i="23" s="1"/>
  <c r="D129" i="23" s="1"/>
  <c r="D130" i="23" s="1"/>
  <c r="D131" i="23" s="1"/>
  <c r="D132" i="23" s="1"/>
  <c r="D133" i="23" s="1"/>
  <c r="D134" i="23" s="1"/>
  <c r="D135" i="23" s="1"/>
  <c r="D136" i="23" s="1"/>
  <c r="B67" i="22"/>
  <c r="H7" i="22"/>
  <c r="S47" i="12"/>
  <c r="E64" i="13"/>
  <c r="K48" i="12"/>
  <c r="S49" i="12"/>
  <c r="K50" i="12"/>
  <c r="B71" i="22"/>
  <c r="H11" i="22"/>
  <c r="S51" i="12"/>
  <c r="K52" i="12"/>
  <c r="B73" i="22"/>
  <c r="H13" i="22"/>
  <c r="F142" i="13"/>
  <c r="S53" i="12"/>
  <c r="K54" i="12"/>
  <c r="B75" i="22"/>
  <c r="H15" i="22"/>
  <c r="J7" i="22"/>
  <c r="K55" i="12"/>
  <c r="S55" i="12"/>
  <c r="F46" i="13"/>
  <c r="G46" i="13" s="1"/>
  <c r="F50" i="13"/>
  <c r="G50" i="13" s="1"/>
  <c r="B50" i="13"/>
  <c r="F79" i="13"/>
  <c r="G79" i="13" s="1"/>
  <c r="F83" i="13"/>
  <c r="G83" i="13" s="1"/>
  <c r="B83" i="13"/>
  <c r="B119" i="13"/>
  <c r="C119" i="13" s="1"/>
  <c r="F121" i="13"/>
  <c r="G121" i="13" s="1"/>
  <c r="B123" i="13"/>
  <c r="B104" i="19"/>
  <c r="D144" i="21"/>
  <c r="C68" i="21"/>
  <c r="A104" i="21"/>
  <c r="A142" i="21" s="1"/>
  <c r="A178" i="21" s="1"/>
  <c r="A66" i="21"/>
  <c r="B68" i="22"/>
  <c r="H8" i="22"/>
  <c r="C67" i="15"/>
  <c r="A67" i="18"/>
  <c r="D178" i="20"/>
  <c r="E142" i="20"/>
  <c r="E143" i="20"/>
  <c r="B65" i="21"/>
  <c r="H5" i="21"/>
  <c r="E143" i="21"/>
  <c r="D179" i="21"/>
  <c r="D178" i="19"/>
  <c r="I55" i="12"/>
  <c r="F116" i="13"/>
  <c r="G116" i="13" s="1"/>
  <c r="B142" i="17"/>
  <c r="C104" i="17"/>
  <c r="D178" i="17"/>
  <c r="A67" i="19"/>
  <c r="E143" i="22"/>
  <c r="D179" i="22"/>
  <c r="B65" i="23"/>
  <c r="H5" i="23"/>
  <c r="E143" i="23"/>
  <c r="D179" i="23"/>
  <c r="C67" i="17"/>
  <c r="C67" i="18"/>
  <c r="C67" i="19"/>
  <c r="C67" i="20"/>
  <c r="C67" i="22"/>
  <c r="C67" i="23"/>
  <c r="A104" i="22"/>
  <c r="A142" i="22" s="1"/>
  <c r="A178" i="22" s="1"/>
  <c r="A66" i="22"/>
  <c r="A104" i="23"/>
  <c r="A142" i="23" s="1"/>
  <c r="A178" i="23" s="1"/>
  <c r="A66" i="23"/>
  <c r="B65" i="22"/>
  <c r="H5" i="22"/>
  <c r="G169" i="13" l="1"/>
  <c r="G133" i="13"/>
  <c r="A68" i="15"/>
  <c r="H15" i="15"/>
  <c r="C8" i="14"/>
  <c r="C56" i="14"/>
  <c r="C55" i="14"/>
  <c r="C54" i="14"/>
  <c r="G88" i="13"/>
  <c r="B15" i="20"/>
  <c r="C33" i="14" s="1"/>
  <c r="C26" i="14"/>
  <c r="C24" i="14"/>
  <c r="C25" i="14"/>
  <c r="C21" i="14"/>
  <c r="G142" i="13"/>
  <c r="G178" i="13"/>
  <c r="G134" i="13"/>
  <c r="G170" i="13"/>
  <c r="C14" i="13"/>
  <c r="D14" i="13" s="1"/>
  <c r="B75" i="15"/>
  <c r="B48" i="13"/>
  <c r="C49" i="13" s="1"/>
  <c r="D49" i="13" s="1"/>
  <c r="H11" i="15"/>
  <c r="J6" i="15"/>
  <c r="H15" i="31"/>
  <c r="B75" i="31"/>
  <c r="B114" i="31" s="1"/>
  <c r="J6" i="31"/>
  <c r="J7" i="31"/>
  <c r="B72" i="31"/>
  <c r="H12" i="31"/>
  <c r="B71" i="31"/>
  <c r="H11" i="31"/>
  <c r="B113" i="31"/>
  <c r="B112" i="31"/>
  <c r="A105" i="20"/>
  <c r="A143" i="20" s="1"/>
  <c r="A179" i="20" s="1"/>
  <c r="A67" i="20"/>
  <c r="C104" i="20"/>
  <c r="C104" i="18"/>
  <c r="F48" i="13"/>
  <c r="G48" i="13" s="1"/>
  <c r="F49" i="13"/>
  <c r="G49" i="13" s="1"/>
  <c r="H8" i="18"/>
  <c r="F87" i="13"/>
  <c r="G87" i="13" s="1"/>
  <c r="B87" i="13"/>
  <c r="C87" i="13" s="1"/>
  <c r="D87" i="13" s="1"/>
  <c r="C50" i="13"/>
  <c r="D50" i="13" s="1"/>
  <c r="C84" i="13"/>
  <c r="D84" i="13" s="1"/>
  <c r="F9" i="13"/>
  <c r="G9" i="13" s="1"/>
  <c r="C15" i="13"/>
  <c r="D15" i="13" s="1"/>
  <c r="B7" i="15"/>
  <c r="B67" i="15" s="1"/>
  <c r="B73" i="15"/>
  <c r="B112" i="15" s="1"/>
  <c r="F44" i="13"/>
  <c r="G44" i="13" s="1"/>
  <c r="H8" i="20"/>
  <c r="H10" i="18"/>
  <c r="C48" i="13"/>
  <c r="D48" i="13" s="1"/>
  <c r="C122" i="13"/>
  <c r="D122" i="13" s="1"/>
  <c r="F45" i="13"/>
  <c r="G45" i="13" s="1"/>
  <c r="F117" i="13"/>
  <c r="G117" i="13" s="1"/>
  <c r="F118" i="13"/>
  <c r="G118" i="13" s="1"/>
  <c r="B71" i="18"/>
  <c r="B110" i="18" s="1"/>
  <c r="C47" i="13"/>
  <c r="D47" i="13" s="1"/>
  <c r="D144" i="23"/>
  <c r="C68" i="23"/>
  <c r="D144" i="17"/>
  <c r="C68" i="17"/>
  <c r="D124" i="13"/>
  <c r="C123" i="13"/>
  <c r="D123" i="13" s="1"/>
  <c r="F139" i="13"/>
  <c r="B139" i="13"/>
  <c r="A107" i="15"/>
  <c r="A145" i="15" s="1"/>
  <c r="A181" i="15" s="1"/>
  <c r="A69" i="15"/>
  <c r="B74" i="15"/>
  <c r="H14" i="15"/>
  <c r="B10" i="17"/>
  <c r="B30" i="13"/>
  <c r="F30" i="13"/>
  <c r="G30" i="13" s="1"/>
  <c r="B66" i="22"/>
  <c r="H6" i="22"/>
  <c r="B105" i="17"/>
  <c r="B178" i="20"/>
  <c r="CL142" i="20"/>
  <c r="BJ142" i="20"/>
  <c r="AH142" i="20"/>
  <c r="CS142" i="20"/>
  <c r="BQ142" i="20"/>
  <c r="AO142" i="20"/>
  <c r="M142" i="20"/>
  <c r="CE142" i="20"/>
  <c r="AA142" i="20"/>
  <c r="BC142" i="20"/>
  <c r="BX142" i="20"/>
  <c r="T142" i="20"/>
  <c r="AV142" i="20"/>
  <c r="B110" i="15"/>
  <c r="B69" i="22"/>
  <c r="H9" i="22"/>
  <c r="B7" i="21"/>
  <c r="F98" i="13"/>
  <c r="G98" i="13" s="1"/>
  <c r="F140" i="13"/>
  <c r="B140" i="13"/>
  <c r="C176" i="13" s="1"/>
  <c r="F65" i="13"/>
  <c r="G65" i="13" s="1"/>
  <c r="B10" i="19"/>
  <c r="J6" i="19" s="1"/>
  <c r="B65" i="13"/>
  <c r="C66" i="13" s="1"/>
  <c r="B71" i="19"/>
  <c r="H11" i="19"/>
  <c r="B107" i="15"/>
  <c r="B104" i="22"/>
  <c r="D144" i="20"/>
  <c r="C68" i="20"/>
  <c r="D144" i="15"/>
  <c r="C68" i="15"/>
  <c r="B75" i="20"/>
  <c r="J6" i="20"/>
  <c r="B112" i="22"/>
  <c r="B142" i="15"/>
  <c r="C104" i="15"/>
  <c r="B72" i="15"/>
  <c r="H12" i="15"/>
  <c r="B7" i="17"/>
  <c r="F27" i="13"/>
  <c r="G27" i="13" s="1"/>
  <c r="B13" i="21"/>
  <c r="F104" i="13"/>
  <c r="G104" i="13" s="1"/>
  <c r="B104" i="13"/>
  <c r="C104" i="13" s="1"/>
  <c r="D104" i="13" s="1"/>
  <c r="F105" i="13"/>
  <c r="G105" i="13" s="1"/>
  <c r="B72" i="21"/>
  <c r="H12" i="21"/>
  <c r="F69" i="13"/>
  <c r="G69" i="13" s="1"/>
  <c r="B69" i="13"/>
  <c r="B14" i="19"/>
  <c r="F99" i="13"/>
  <c r="G99" i="13" s="1"/>
  <c r="A67" i="23"/>
  <c r="A105" i="23"/>
  <c r="A143" i="23" s="1"/>
  <c r="A179" i="23" s="1"/>
  <c r="D144" i="18"/>
  <c r="C68" i="18"/>
  <c r="B104" i="23"/>
  <c r="A106" i="19"/>
  <c r="A144" i="19" s="1"/>
  <c r="A180" i="19" s="1"/>
  <c r="A68" i="19"/>
  <c r="B104" i="21"/>
  <c r="A106" i="18"/>
  <c r="A144" i="18" s="1"/>
  <c r="A180" i="18" s="1"/>
  <c r="A68" i="18"/>
  <c r="C69" i="21"/>
  <c r="D145" i="21"/>
  <c r="B107" i="18"/>
  <c r="C83" i="13"/>
  <c r="B67" i="20"/>
  <c r="H7" i="20"/>
  <c r="B114" i="22"/>
  <c r="B110" i="22"/>
  <c r="A106" i="17"/>
  <c r="A144" i="17" s="1"/>
  <c r="A180" i="17" s="1"/>
  <c r="A68" i="17"/>
  <c r="B113" i="18"/>
  <c r="B138" i="13"/>
  <c r="F138" i="13"/>
  <c r="B73" i="20"/>
  <c r="H13" i="20"/>
  <c r="C12" i="13"/>
  <c r="C13" i="13"/>
  <c r="D13" i="13" s="1"/>
  <c r="B11" i="17"/>
  <c r="F31" i="13"/>
  <c r="G31" i="13" s="1"/>
  <c r="B31" i="13"/>
  <c r="B9" i="17"/>
  <c r="F29" i="13"/>
  <c r="G29" i="13" s="1"/>
  <c r="B111" i="20"/>
  <c r="B11" i="21"/>
  <c r="F102" i="13"/>
  <c r="G102" i="13" s="1"/>
  <c r="B102" i="13"/>
  <c r="B74" i="21"/>
  <c r="H14" i="21"/>
  <c r="B107" i="20"/>
  <c r="B14" i="17"/>
  <c r="B34" i="13"/>
  <c r="F34" i="13"/>
  <c r="G34" i="13" s="1"/>
  <c r="B112" i="18"/>
  <c r="F67" i="13"/>
  <c r="G67" i="13" s="1"/>
  <c r="B67" i="13"/>
  <c r="C67" i="13" s="1"/>
  <c r="D67" i="13" s="1"/>
  <c r="B12" i="19"/>
  <c r="F136" i="13"/>
  <c r="B8" i="19"/>
  <c r="F63" i="13"/>
  <c r="G63" i="13" s="1"/>
  <c r="B106" i="18"/>
  <c r="B66" i="23"/>
  <c r="H6" i="23"/>
  <c r="F66" i="13"/>
  <c r="G66" i="13" s="1"/>
  <c r="B8" i="17"/>
  <c r="F28" i="13"/>
  <c r="G28" i="13" s="1"/>
  <c r="B142" i="19"/>
  <c r="C104" i="19"/>
  <c r="F135" i="13"/>
  <c r="C120" i="13"/>
  <c r="D120" i="13" s="1"/>
  <c r="C121" i="13"/>
  <c r="D121" i="13" s="1"/>
  <c r="B70" i="22"/>
  <c r="H10" i="22"/>
  <c r="B66" i="21"/>
  <c r="H6" i="21"/>
  <c r="H15" i="19"/>
  <c r="J7" i="19"/>
  <c r="B75" i="19"/>
  <c r="B15" i="17"/>
  <c r="C18" i="14" s="1"/>
  <c r="F35" i="13"/>
  <c r="G35" i="13" s="1"/>
  <c r="B35" i="13"/>
  <c r="G36" i="13"/>
  <c r="B114" i="15"/>
  <c r="B15" i="21"/>
  <c r="C38" i="14" s="1"/>
  <c r="F106" i="13"/>
  <c r="G106" i="13" s="1"/>
  <c r="B106" i="13"/>
  <c r="G107" i="13"/>
  <c r="B12" i="17"/>
  <c r="B32" i="13"/>
  <c r="F32" i="13"/>
  <c r="G32" i="13" s="1"/>
  <c r="B109" i="18"/>
  <c r="H9" i="15"/>
  <c r="B69" i="15"/>
  <c r="B106" i="23"/>
  <c r="A67" i="22"/>
  <c r="A105" i="22"/>
  <c r="A143" i="22" s="1"/>
  <c r="A179" i="22" s="1"/>
  <c r="B178" i="17"/>
  <c r="CL142" i="17"/>
  <c r="BJ142" i="17"/>
  <c r="AH142" i="17"/>
  <c r="CS142" i="17"/>
  <c r="BQ142" i="17"/>
  <c r="AO142" i="17"/>
  <c r="M142" i="17"/>
  <c r="BX142" i="17"/>
  <c r="T142" i="17"/>
  <c r="AV142" i="17"/>
  <c r="BC142" i="17"/>
  <c r="AA142" i="17"/>
  <c r="CE142" i="17"/>
  <c r="B107" i="22"/>
  <c r="B71" i="20"/>
  <c r="H11" i="20"/>
  <c r="J6" i="22"/>
  <c r="J6" i="23"/>
  <c r="F137" i="13"/>
  <c r="B137" i="13"/>
  <c r="C85" i="13"/>
  <c r="D85" i="13" s="1"/>
  <c r="B13" i="17"/>
  <c r="F33" i="13"/>
  <c r="G33" i="13" s="1"/>
  <c r="B33" i="13"/>
  <c r="B108" i="20"/>
  <c r="B73" i="19"/>
  <c r="H13" i="19"/>
  <c r="B74" i="22"/>
  <c r="H14" i="22"/>
  <c r="C16" i="13"/>
  <c r="D16" i="13" s="1"/>
  <c r="D17" i="13"/>
  <c r="B66" i="19"/>
  <c r="H6" i="19"/>
  <c r="D144" i="22"/>
  <c r="C68" i="22"/>
  <c r="D144" i="19"/>
  <c r="C68" i="19"/>
  <c r="A67" i="21"/>
  <c r="A105" i="21"/>
  <c r="A143" i="21" s="1"/>
  <c r="A179" i="21" s="1"/>
  <c r="E144" i="21"/>
  <c r="D180" i="21"/>
  <c r="B178" i="18"/>
  <c r="CL142" i="18"/>
  <c r="BJ142" i="18"/>
  <c r="AH142" i="18"/>
  <c r="CS142" i="18"/>
  <c r="BQ142" i="18"/>
  <c r="AO142" i="18"/>
  <c r="M142" i="18"/>
  <c r="BC142" i="18"/>
  <c r="CE142" i="18"/>
  <c r="AV142" i="18"/>
  <c r="AA142" i="18"/>
  <c r="BX142" i="18"/>
  <c r="T142" i="18"/>
  <c r="D119" i="13"/>
  <c r="F141" i="13"/>
  <c r="B141" i="13"/>
  <c r="F64" i="13"/>
  <c r="G64" i="13" s="1"/>
  <c r="B9" i="19"/>
  <c r="B106" i="22"/>
  <c r="D115" i="20"/>
  <c r="D116" i="20" s="1"/>
  <c r="D117" i="20" s="1"/>
  <c r="D118" i="20" s="1"/>
  <c r="D119" i="20" s="1"/>
  <c r="D120" i="20" s="1"/>
  <c r="D121" i="20" s="1"/>
  <c r="D122" i="20" s="1"/>
  <c r="D123" i="20" s="1"/>
  <c r="D124" i="20" s="1"/>
  <c r="D125" i="20" s="1"/>
  <c r="D126" i="20" s="1"/>
  <c r="D127" i="20" s="1"/>
  <c r="D128" i="20" s="1"/>
  <c r="D129" i="20" s="1"/>
  <c r="D130" i="20" s="1"/>
  <c r="D131" i="20" s="1"/>
  <c r="D132" i="20" s="1"/>
  <c r="D133" i="20" s="1"/>
  <c r="D134" i="20" s="1"/>
  <c r="D135" i="20" s="1"/>
  <c r="D136" i="20" s="1"/>
  <c r="B70" i="15"/>
  <c r="H10" i="15"/>
  <c r="B72" i="22"/>
  <c r="H12" i="22"/>
  <c r="B10" i="21"/>
  <c r="B101" i="13"/>
  <c r="F101" i="13"/>
  <c r="G101" i="13" s="1"/>
  <c r="F70" i="13"/>
  <c r="G70" i="13" s="1"/>
  <c r="D52" i="13"/>
  <c r="C51" i="13"/>
  <c r="D51" i="13" s="1"/>
  <c r="B75" i="23"/>
  <c r="H15" i="23"/>
  <c r="J7" i="23"/>
  <c r="B72" i="18"/>
  <c r="H12" i="18"/>
  <c r="B143" i="20"/>
  <c r="C105" i="20"/>
  <c r="H15" i="18"/>
  <c r="J7" i="18"/>
  <c r="J6" i="18"/>
  <c r="B75" i="18"/>
  <c r="C86" i="13"/>
  <c r="D86" i="13" s="1"/>
  <c r="H7" i="19"/>
  <c r="B67" i="19"/>
  <c r="B9" i="21"/>
  <c r="F100" i="13"/>
  <c r="G100" i="13" s="1"/>
  <c r="H9" i="18"/>
  <c r="B69" i="18"/>
  <c r="B68" i="21"/>
  <c r="H8" i="21"/>
  <c r="B66" i="18"/>
  <c r="H6" i="18"/>
  <c r="B113" i="20"/>
  <c r="B70" i="20"/>
  <c r="H10" i="20"/>
  <c r="B66" i="15"/>
  <c r="H6" i="15"/>
  <c r="J7" i="20" l="1"/>
  <c r="C13" i="14"/>
  <c r="C4" i="14"/>
  <c r="C62" i="14"/>
  <c r="C5" i="14"/>
  <c r="C7" i="14"/>
  <c r="C6" i="14"/>
  <c r="C37" i="14"/>
  <c r="C36" i="14"/>
  <c r="C35" i="14"/>
  <c r="C34" i="14"/>
  <c r="C30" i="14"/>
  <c r="C31" i="14"/>
  <c r="C29" i="14"/>
  <c r="C32" i="14"/>
  <c r="C17" i="14"/>
  <c r="C15" i="14"/>
  <c r="C14" i="14"/>
  <c r="C16" i="14"/>
  <c r="C177" i="13"/>
  <c r="C178" i="13"/>
  <c r="G141" i="13"/>
  <c r="G177" i="13"/>
  <c r="G137" i="13"/>
  <c r="G173" i="13"/>
  <c r="G135" i="13"/>
  <c r="G171" i="13"/>
  <c r="G136" i="13"/>
  <c r="G172" i="13"/>
  <c r="G140" i="13"/>
  <c r="G176" i="13"/>
  <c r="C175" i="13"/>
  <c r="G138" i="13"/>
  <c r="G174" i="13"/>
  <c r="G139" i="13"/>
  <c r="G175" i="13"/>
  <c r="C174" i="13"/>
  <c r="C179" i="13" s="1"/>
  <c r="D88" i="13"/>
  <c r="C31" i="13"/>
  <c r="H15" i="20"/>
  <c r="B152" i="31"/>
  <c r="C114" i="31"/>
  <c r="B110" i="31"/>
  <c r="E66" i="31"/>
  <c r="E67" i="31"/>
  <c r="C113" i="31"/>
  <c r="B151" i="31"/>
  <c r="B111" i="31"/>
  <c r="B150" i="31"/>
  <c r="C112" i="31"/>
  <c r="A106" i="20"/>
  <c r="A144" i="20" s="1"/>
  <c r="A180" i="20" s="1"/>
  <c r="A68" i="20"/>
  <c r="F88" i="13"/>
  <c r="C141" i="13"/>
  <c r="F17" i="13"/>
  <c r="H7" i="15"/>
  <c r="C33" i="13"/>
  <c r="D33" i="13" s="1"/>
  <c r="C68" i="13"/>
  <c r="D68" i="13" s="1"/>
  <c r="F52" i="13"/>
  <c r="F124" i="13"/>
  <c r="C105" i="13"/>
  <c r="D105" i="13" s="1"/>
  <c r="C140" i="13"/>
  <c r="F107" i="13"/>
  <c r="C102" i="13"/>
  <c r="D102" i="13" s="1"/>
  <c r="B105" i="18"/>
  <c r="B69" i="21"/>
  <c r="H9" i="21"/>
  <c r="H9" i="19"/>
  <c r="B69" i="19"/>
  <c r="B74" i="23"/>
  <c r="H14" i="23"/>
  <c r="C69" i="22"/>
  <c r="D145" i="22"/>
  <c r="B144" i="23"/>
  <c r="C106" i="23"/>
  <c r="D107" i="13"/>
  <c r="C106" i="13"/>
  <c r="D106" i="13" s="1"/>
  <c r="B152" i="15"/>
  <c r="C114" i="15"/>
  <c r="B69" i="23"/>
  <c r="H9" i="23"/>
  <c r="B106" i="20"/>
  <c r="D66" i="13"/>
  <c r="B105" i="22"/>
  <c r="D145" i="17"/>
  <c r="C69" i="17"/>
  <c r="E144" i="23"/>
  <c r="D180" i="23"/>
  <c r="B106" i="19"/>
  <c r="B111" i="18"/>
  <c r="E144" i="22"/>
  <c r="D180" i="22"/>
  <c r="B112" i="19"/>
  <c r="B110" i="20"/>
  <c r="C32" i="13"/>
  <c r="D32" i="13" s="1"/>
  <c r="B114" i="19"/>
  <c r="B105" i="23"/>
  <c r="C111" i="20"/>
  <c r="B149" i="20"/>
  <c r="B151" i="18"/>
  <c r="C113" i="18"/>
  <c r="A107" i="17"/>
  <c r="A145" i="17" s="1"/>
  <c r="A181" i="17" s="1"/>
  <c r="A69" i="17"/>
  <c r="B152" i="22"/>
  <c r="C114" i="22"/>
  <c r="C88" i="13"/>
  <c r="D83" i="13"/>
  <c r="C107" i="18"/>
  <c r="B145" i="18"/>
  <c r="C104" i="23"/>
  <c r="B142" i="23"/>
  <c r="C103" i="13"/>
  <c r="D103" i="13" s="1"/>
  <c r="B178" i="15"/>
  <c r="CL142" i="15"/>
  <c r="BJ142" i="15"/>
  <c r="AH142" i="15"/>
  <c r="CS142" i="15"/>
  <c r="BQ142" i="15"/>
  <c r="AO142" i="15"/>
  <c r="M142" i="15"/>
  <c r="CE142" i="15"/>
  <c r="AA142" i="15"/>
  <c r="AV142" i="15"/>
  <c r="T142" i="15"/>
  <c r="BC142" i="15"/>
  <c r="BX142" i="15"/>
  <c r="B70" i="19"/>
  <c r="H10" i="19"/>
  <c r="B73" i="23"/>
  <c r="H13" i="23"/>
  <c r="B108" i="22"/>
  <c r="C110" i="15"/>
  <c r="B148" i="15"/>
  <c r="C124" i="13"/>
  <c r="D145" i="19"/>
  <c r="C69" i="19"/>
  <c r="B105" i="19"/>
  <c r="C52" i="13"/>
  <c r="H8" i="17"/>
  <c r="B68" i="17"/>
  <c r="H8" i="19"/>
  <c r="B68" i="19"/>
  <c r="C112" i="18"/>
  <c r="B150" i="18"/>
  <c r="D145" i="18"/>
  <c r="C69" i="18"/>
  <c r="B109" i="15"/>
  <c r="B145" i="22"/>
  <c r="C107" i="22"/>
  <c r="B113" i="21"/>
  <c r="D31" i="13"/>
  <c r="C69" i="13"/>
  <c r="D69" i="13" s="1"/>
  <c r="C70" i="13"/>
  <c r="D70" i="13" s="1"/>
  <c r="F36" i="13"/>
  <c r="C104" i="22"/>
  <c r="B142" i="22"/>
  <c r="B110" i="19"/>
  <c r="B143" i="17"/>
  <c r="C105" i="17"/>
  <c r="B105" i="15"/>
  <c r="B151" i="20"/>
  <c r="C113" i="20"/>
  <c r="B108" i="18"/>
  <c r="C110" i="18"/>
  <c r="B148" i="18"/>
  <c r="B114" i="23"/>
  <c r="B111" i="22"/>
  <c r="B113" i="22"/>
  <c r="C109" i="18"/>
  <c r="B147" i="18"/>
  <c r="D36" i="13"/>
  <c r="C35" i="13"/>
  <c r="D35" i="13" s="1"/>
  <c r="B105" i="21"/>
  <c r="B72" i="19"/>
  <c r="H12" i="19"/>
  <c r="D12" i="13"/>
  <c r="C17" i="13"/>
  <c r="A107" i="19"/>
  <c r="A145" i="19" s="1"/>
  <c r="A181" i="19" s="1"/>
  <c r="A69" i="19"/>
  <c r="A68" i="23"/>
  <c r="A106" i="23"/>
  <c r="A144" i="23" s="1"/>
  <c r="A180" i="23" s="1"/>
  <c r="B73" i="21"/>
  <c r="H13" i="21"/>
  <c r="B111" i="15"/>
  <c r="B150" i="22"/>
  <c r="C112" i="22"/>
  <c r="B114" i="20"/>
  <c r="C107" i="15"/>
  <c r="B145" i="15"/>
  <c r="B113" i="15"/>
  <c r="A108" i="15"/>
  <c r="A146" i="15" s="1"/>
  <c r="A182" i="15" s="1"/>
  <c r="A70" i="15"/>
  <c r="B72" i="23"/>
  <c r="H12" i="23"/>
  <c r="D180" i="17"/>
  <c r="E144" i="17"/>
  <c r="B107" i="21"/>
  <c r="CE143" i="20"/>
  <c r="BC143" i="20"/>
  <c r="AA143" i="20"/>
  <c r="B179" i="20"/>
  <c r="CL143" i="20"/>
  <c r="BJ143" i="20"/>
  <c r="AH143" i="20"/>
  <c r="AV143" i="20"/>
  <c r="T143" i="20"/>
  <c r="CS143" i="20"/>
  <c r="AO143" i="20"/>
  <c r="BX143" i="20"/>
  <c r="M143" i="20"/>
  <c r="BQ143" i="20"/>
  <c r="B106" i="15"/>
  <c r="B144" i="22"/>
  <c r="C106" i="22"/>
  <c r="B73" i="17"/>
  <c r="H13" i="17"/>
  <c r="B70" i="23"/>
  <c r="H10" i="23"/>
  <c r="A68" i="22"/>
  <c r="A106" i="22"/>
  <c r="A144" i="22" s="1"/>
  <c r="A180" i="22" s="1"/>
  <c r="B108" i="15"/>
  <c r="B72" i="17"/>
  <c r="H12" i="17"/>
  <c r="B75" i="21"/>
  <c r="J6" i="21"/>
  <c r="H15" i="21"/>
  <c r="J7" i="21"/>
  <c r="B68" i="23"/>
  <c r="H8" i="23"/>
  <c r="C34" i="13"/>
  <c r="D34" i="13" s="1"/>
  <c r="B145" i="20"/>
  <c r="C107" i="20"/>
  <c r="B71" i="17"/>
  <c r="H11" i="17"/>
  <c r="C138" i="13"/>
  <c r="B148" i="22"/>
  <c r="C110" i="22"/>
  <c r="E145" i="21"/>
  <c r="D181" i="21"/>
  <c r="A107" i="18"/>
  <c r="A145" i="18" s="1"/>
  <c r="A181" i="18" s="1"/>
  <c r="A69" i="18"/>
  <c r="C104" i="21"/>
  <c r="B142" i="21"/>
  <c r="D145" i="15"/>
  <c r="C69" i="15"/>
  <c r="D145" i="20"/>
  <c r="C69" i="20"/>
  <c r="D143" i="13"/>
  <c r="AE178" i="20"/>
  <c r="BC178" i="20"/>
  <c r="Y178" i="20"/>
  <c r="AQ178" i="20"/>
  <c r="S178" i="20"/>
  <c r="M178" i="20"/>
  <c r="AW178" i="20"/>
  <c r="AK178" i="20"/>
  <c r="B109" i="20"/>
  <c r="F143" i="13"/>
  <c r="B114" i="18"/>
  <c r="B70" i="21"/>
  <c r="H10" i="21"/>
  <c r="AW178" i="18"/>
  <c r="Y178" i="18"/>
  <c r="BC178" i="18"/>
  <c r="AE178" i="18"/>
  <c r="S178" i="18"/>
  <c r="AQ178" i="18"/>
  <c r="M178" i="18"/>
  <c r="AK178" i="18"/>
  <c r="A68" i="21"/>
  <c r="A106" i="21"/>
  <c r="A144" i="21" s="1"/>
  <c r="A180" i="21" s="1"/>
  <c r="D180" i="19"/>
  <c r="E144" i="19"/>
  <c r="C108" i="20"/>
  <c r="B146" i="20"/>
  <c r="AW178" i="17"/>
  <c r="Y178" i="17"/>
  <c r="BC178" i="17"/>
  <c r="AE178" i="17"/>
  <c r="AK178" i="17"/>
  <c r="M178" i="17"/>
  <c r="S178" i="17"/>
  <c r="AQ178" i="17"/>
  <c r="H15" i="17"/>
  <c r="J7" i="17"/>
  <c r="J6" i="17"/>
  <c r="B75" i="17"/>
  <c r="B109" i="22"/>
  <c r="B178" i="19"/>
  <c r="CL142" i="19"/>
  <c r="BJ142" i="19"/>
  <c r="AH142" i="19"/>
  <c r="CS142" i="19"/>
  <c r="BQ142" i="19"/>
  <c r="AO142" i="19"/>
  <c r="M142" i="19"/>
  <c r="AV142" i="19"/>
  <c r="BX142" i="19"/>
  <c r="CE142" i="19"/>
  <c r="AA142" i="19"/>
  <c r="T142" i="19"/>
  <c r="BC142" i="19"/>
  <c r="B150" i="15"/>
  <c r="C112" i="15"/>
  <c r="B144" i="18"/>
  <c r="C106" i="18"/>
  <c r="B74" i="17"/>
  <c r="H14" i="17"/>
  <c r="B71" i="21"/>
  <c r="H11" i="21"/>
  <c r="H9" i="17"/>
  <c r="B69" i="17"/>
  <c r="B112" i="20"/>
  <c r="B71" i="23"/>
  <c r="H11" i="23"/>
  <c r="C70" i="21"/>
  <c r="D146" i="21"/>
  <c r="D180" i="18"/>
  <c r="E144" i="18"/>
  <c r="B74" i="19"/>
  <c r="H14" i="19"/>
  <c r="B111" i="21"/>
  <c r="B67" i="17"/>
  <c r="H7" i="17"/>
  <c r="D180" i="15"/>
  <c r="E144" i="15"/>
  <c r="D180" i="20"/>
  <c r="E144" i="20"/>
  <c r="F71" i="13"/>
  <c r="B67" i="21"/>
  <c r="H7" i="21"/>
  <c r="C142" i="13"/>
  <c r="B70" i="17"/>
  <c r="H10" i="17"/>
  <c r="C139" i="13"/>
  <c r="C69" i="23"/>
  <c r="D145" i="23"/>
  <c r="C10" i="14" l="1"/>
  <c r="C11" i="14"/>
  <c r="C9" i="14"/>
  <c r="C12" i="14"/>
  <c r="D139" i="13"/>
  <c r="D175" i="13"/>
  <c r="D174" i="13"/>
  <c r="D142" i="13"/>
  <c r="D178" i="13"/>
  <c r="D140" i="13"/>
  <c r="D176" i="13"/>
  <c r="D141" i="13"/>
  <c r="D177" i="13"/>
  <c r="B188" i="31"/>
  <c r="AA152" i="31"/>
  <c r="M152" i="31"/>
  <c r="T152" i="31"/>
  <c r="CL152" i="31"/>
  <c r="BQ152" i="31"/>
  <c r="BX152" i="31"/>
  <c r="AO152" i="31"/>
  <c r="CS152" i="31"/>
  <c r="AV152" i="31"/>
  <c r="CE152" i="31"/>
  <c r="BJ152" i="31"/>
  <c r="BC152" i="31"/>
  <c r="AH152" i="31"/>
  <c r="BX151" i="31"/>
  <c r="BJ151" i="31"/>
  <c r="BC151" i="31"/>
  <c r="BQ151" i="31"/>
  <c r="AV151" i="31"/>
  <c r="AH151" i="31"/>
  <c r="AA151" i="31"/>
  <c r="B187" i="31"/>
  <c r="T151" i="31"/>
  <c r="CS151" i="31"/>
  <c r="M151" i="31"/>
  <c r="CL151" i="31"/>
  <c r="AO151" i="31"/>
  <c r="CE151" i="31"/>
  <c r="B97" i="31"/>
  <c r="I74" i="31"/>
  <c r="I96" i="31"/>
  <c r="I76" i="31"/>
  <c r="B96" i="31"/>
  <c r="I95" i="31"/>
  <c r="I73" i="31"/>
  <c r="B95" i="31"/>
  <c r="I75" i="31"/>
  <c r="I71" i="31"/>
  <c r="B76" i="31"/>
  <c r="I72" i="31"/>
  <c r="I97" i="31"/>
  <c r="B77" i="31"/>
  <c r="I77" i="31"/>
  <c r="I78" i="31"/>
  <c r="B78" i="31"/>
  <c r="I79" i="31"/>
  <c r="B79" i="31"/>
  <c r="I80" i="31"/>
  <c r="B80" i="31"/>
  <c r="B81" i="31"/>
  <c r="I81" i="31"/>
  <c r="I82" i="31"/>
  <c r="B82" i="31"/>
  <c r="B83" i="31"/>
  <c r="I83" i="31"/>
  <c r="B84" i="31"/>
  <c r="I84" i="31"/>
  <c r="B85" i="31"/>
  <c r="I85" i="31"/>
  <c r="I86" i="31"/>
  <c r="B86" i="31"/>
  <c r="I87" i="31"/>
  <c r="B87" i="31"/>
  <c r="B88" i="31"/>
  <c r="I88" i="31"/>
  <c r="B89" i="31"/>
  <c r="I89" i="31"/>
  <c r="I90" i="31"/>
  <c r="B90" i="31"/>
  <c r="B91" i="31"/>
  <c r="I91" i="31"/>
  <c r="B92" i="31"/>
  <c r="I92" i="31"/>
  <c r="I93" i="31"/>
  <c r="B93" i="31"/>
  <c r="I94" i="31"/>
  <c r="B94" i="31"/>
  <c r="B149" i="31"/>
  <c r="C111" i="31"/>
  <c r="BJ150" i="31"/>
  <c r="BQ150" i="31"/>
  <c r="M150" i="31"/>
  <c r="AV150" i="31"/>
  <c r="AH150" i="31"/>
  <c r="T150" i="31"/>
  <c r="BC150" i="31"/>
  <c r="B186" i="31"/>
  <c r="BX150" i="31"/>
  <c r="AO150" i="31"/>
  <c r="CL150" i="31"/>
  <c r="CE150" i="31"/>
  <c r="AA150" i="31"/>
  <c r="CS150" i="31"/>
  <c r="B148" i="31"/>
  <c r="C110" i="31"/>
  <c r="A107" i="20"/>
  <c r="A145" i="20" s="1"/>
  <c r="A181" i="20" s="1"/>
  <c r="A69" i="20"/>
  <c r="C107" i="13"/>
  <c r="B149" i="21"/>
  <c r="C111" i="21"/>
  <c r="D182" i="21"/>
  <c r="E146" i="21"/>
  <c r="B110" i="23"/>
  <c r="B147" i="22"/>
  <c r="C109" i="22"/>
  <c r="D181" i="20"/>
  <c r="E145" i="20"/>
  <c r="B146" i="15"/>
  <c r="C108" i="15"/>
  <c r="B151" i="15"/>
  <c r="C113" i="15"/>
  <c r="B186" i="22"/>
  <c r="CS150" i="22"/>
  <c r="BQ150" i="22"/>
  <c r="AO150" i="22"/>
  <c r="M150" i="22"/>
  <c r="BX150" i="22"/>
  <c r="AV150" i="22"/>
  <c r="T150" i="22"/>
  <c r="BC150" i="22"/>
  <c r="CL150" i="22"/>
  <c r="AH150" i="22"/>
  <c r="BJ150" i="22"/>
  <c r="CE150" i="22"/>
  <c r="AA150" i="22"/>
  <c r="B111" i="19"/>
  <c r="B143" i="15"/>
  <c r="C105" i="15"/>
  <c r="BX142" i="22"/>
  <c r="AV142" i="22"/>
  <c r="T142" i="22"/>
  <c r="CE142" i="22"/>
  <c r="BC142" i="22"/>
  <c r="AA142" i="22"/>
  <c r="B178" i="22"/>
  <c r="CS142" i="22"/>
  <c r="AO142" i="22"/>
  <c r="CL142" i="22"/>
  <c r="AH142" i="22"/>
  <c r="BJ142" i="22"/>
  <c r="M142" i="22"/>
  <c r="BQ142" i="22"/>
  <c r="E145" i="22"/>
  <c r="D181" i="22"/>
  <c r="B108" i="19"/>
  <c r="C71" i="21"/>
  <c r="D147" i="21"/>
  <c r="B114" i="17"/>
  <c r="CS146" i="20"/>
  <c r="CE146" i="20"/>
  <c r="BQ146" i="20"/>
  <c r="BC146" i="20"/>
  <c r="AO146" i="20"/>
  <c r="AA146" i="20"/>
  <c r="M146" i="20"/>
  <c r="BX146" i="20"/>
  <c r="AH146" i="20"/>
  <c r="CL146" i="20"/>
  <c r="BJ146" i="20"/>
  <c r="AV146" i="20"/>
  <c r="T146" i="20"/>
  <c r="B182" i="20"/>
  <c r="B109" i="21"/>
  <c r="B111" i="23"/>
  <c r="B181" i="15"/>
  <c r="CL145" i="15"/>
  <c r="BX145" i="15"/>
  <c r="BJ145" i="15"/>
  <c r="AV145" i="15"/>
  <c r="AH145" i="15"/>
  <c r="T145" i="15"/>
  <c r="CE145" i="15"/>
  <c r="AA145" i="15"/>
  <c r="CS145" i="15"/>
  <c r="BQ145" i="15"/>
  <c r="AO145" i="15"/>
  <c r="M145" i="15"/>
  <c r="BC145" i="15"/>
  <c r="B112" i="21"/>
  <c r="A107" i="23"/>
  <c r="A145" i="23" s="1"/>
  <c r="A181" i="23" s="1"/>
  <c r="A69" i="23"/>
  <c r="B152" i="23"/>
  <c r="C114" i="23"/>
  <c r="CE143" i="17"/>
  <c r="BC143" i="17"/>
  <c r="AA143" i="17"/>
  <c r="B179" i="17"/>
  <c r="CL143" i="17"/>
  <c r="BJ143" i="17"/>
  <c r="AH143" i="17"/>
  <c r="CS143" i="17"/>
  <c r="AO143" i="17"/>
  <c r="BQ143" i="17"/>
  <c r="BX143" i="17"/>
  <c r="T143" i="17"/>
  <c r="M143" i="17"/>
  <c r="AV143" i="17"/>
  <c r="CE150" i="18"/>
  <c r="BC150" i="18"/>
  <c r="AA150" i="18"/>
  <c r="CL150" i="18"/>
  <c r="BJ150" i="18"/>
  <c r="AH150" i="18"/>
  <c r="BX150" i="18"/>
  <c r="T150" i="18"/>
  <c r="AV150" i="18"/>
  <c r="BQ150" i="18"/>
  <c r="M150" i="18"/>
  <c r="CS150" i="18"/>
  <c r="B186" i="18"/>
  <c r="AO150" i="18"/>
  <c r="B107" i="17"/>
  <c r="B146" i="22"/>
  <c r="C108" i="22"/>
  <c r="B109" i="19"/>
  <c r="C105" i="23"/>
  <c r="B143" i="23"/>
  <c r="C70" i="22"/>
  <c r="D146" i="22"/>
  <c r="B106" i="17"/>
  <c r="B110" i="21"/>
  <c r="CL144" i="18"/>
  <c r="BX144" i="18"/>
  <c r="BJ144" i="18"/>
  <c r="AV144" i="18"/>
  <c r="AH144" i="18"/>
  <c r="T144" i="18"/>
  <c r="CE144" i="18"/>
  <c r="BC144" i="18"/>
  <c r="M144" i="18"/>
  <c r="B180" i="18"/>
  <c r="CS144" i="18"/>
  <c r="BQ144" i="18"/>
  <c r="AO144" i="18"/>
  <c r="AA144" i="18"/>
  <c r="CE150" i="15"/>
  <c r="BC150" i="15"/>
  <c r="AA150" i="15"/>
  <c r="CL150" i="15"/>
  <c r="BJ150" i="15"/>
  <c r="AH150" i="15"/>
  <c r="AV150" i="15"/>
  <c r="BQ150" i="15"/>
  <c r="M150" i="15"/>
  <c r="B186" i="15"/>
  <c r="CS150" i="15"/>
  <c r="BX150" i="15"/>
  <c r="T150" i="15"/>
  <c r="AO150" i="15"/>
  <c r="A107" i="21"/>
  <c r="A145" i="21" s="1"/>
  <c r="A181" i="21" s="1"/>
  <c r="A69" i="21"/>
  <c r="D181" i="15"/>
  <c r="E145" i="15"/>
  <c r="C143" i="13"/>
  <c r="D138" i="13"/>
  <c r="B111" i="17"/>
  <c r="B180" i="22"/>
  <c r="CS144" i="22"/>
  <c r="CL144" i="22"/>
  <c r="CE144" i="22"/>
  <c r="BX144" i="22"/>
  <c r="BQ144" i="22"/>
  <c r="BJ144" i="22"/>
  <c r="BC144" i="22"/>
  <c r="AV144" i="22"/>
  <c r="AO144" i="22"/>
  <c r="AH144" i="22"/>
  <c r="AA144" i="22"/>
  <c r="T144" i="22"/>
  <c r="M144" i="22"/>
  <c r="S179" i="20"/>
  <c r="Y179" i="20"/>
  <c r="AQ179" i="20"/>
  <c r="AW179" i="20"/>
  <c r="BC179" i="20"/>
  <c r="AE179" i="20"/>
  <c r="M179" i="20"/>
  <c r="AK179" i="20"/>
  <c r="A71" i="15"/>
  <c r="A109" i="15"/>
  <c r="A147" i="15" s="1"/>
  <c r="A183" i="15" s="1"/>
  <c r="C111" i="15"/>
  <c r="B149" i="15"/>
  <c r="B151" i="22"/>
  <c r="C113" i="22"/>
  <c r="B146" i="18"/>
  <c r="C108" i="18"/>
  <c r="C110" i="19"/>
  <c r="B148" i="19"/>
  <c r="B151" i="21"/>
  <c r="C113" i="21"/>
  <c r="B181" i="22"/>
  <c r="CS145" i="22"/>
  <c r="CL145" i="22"/>
  <c r="CE145" i="22"/>
  <c r="BX145" i="22"/>
  <c r="BQ145" i="22"/>
  <c r="BJ145" i="22"/>
  <c r="BC145" i="22"/>
  <c r="AV145" i="22"/>
  <c r="AO145" i="22"/>
  <c r="AH145" i="22"/>
  <c r="AA145" i="22"/>
  <c r="T145" i="22"/>
  <c r="M145" i="22"/>
  <c r="D146" i="18"/>
  <c r="C70" i="18"/>
  <c r="D146" i="19"/>
  <c r="C70" i="19"/>
  <c r="A108" i="17"/>
  <c r="A146" i="17" s="1"/>
  <c r="A182" i="17" s="1"/>
  <c r="A70" i="17"/>
  <c r="C111" i="18"/>
  <c r="B149" i="18"/>
  <c r="D146" i="17"/>
  <c r="C70" i="17"/>
  <c r="C71" i="13"/>
  <c r="E145" i="23"/>
  <c r="D181" i="23"/>
  <c r="B109" i="17"/>
  <c r="B106" i="21"/>
  <c r="B113" i="17"/>
  <c r="AW178" i="19"/>
  <c r="Y178" i="19"/>
  <c r="BC178" i="19"/>
  <c r="AE178" i="19"/>
  <c r="M178" i="19"/>
  <c r="AK178" i="19"/>
  <c r="AQ178" i="19"/>
  <c r="S178" i="19"/>
  <c r="B152" i="18"/>
  <c r="C114" i="18"/>
  <c r="B110" i="17"/>
  <c r="B107" i="23"/>
  <c r="B114" i="21"/>
  <c r="A107" i="22"/>
  <c r="A145" i="22" s="1"/>
  <c r="A181" i="22" s="1"/>
  <c r="A69" i="22"/>
  <c r="B144" i="15"/>
  <c r="C106" i="15"/>
  <c r="B145" i="21"/>
  <c r="C107" i="21"/>
  <c r="B152" i="20"/>
  <c r="C114" i="20"/>
  <c r="B107" i="19"/>
  <c r="AW178" i="15"/>
  <c r="Y178" i="15"/>
  <c r="BC178" i="15"/>
  <c r="AE178" i="15"/>
  <c r="AQ178" i="15"/>
  <c r="M178" i="15"/>
  <c r="AK178" i="15"/>
  <c r="S178" i="15"/>
  <c r="BX142" i="23"/>
  <c r="AV142" i="23"/>
  <c r="T142" i="23"/>
  <c r="CE142" i="23"/>
  <c r="BC142" i="23"/>
  <c r="AA142" i="23"/>
  <c r="B178" i="23"/>
  <c r="CS142" i="23"/>
  <c r="AO142" i="23"/>
  <c r="CL142" i="23"/>
  <c r="AH142" i="23"/>
  <c r="BJ142" i="23"/>
  <c r="M142" i="23"/>
  <c r="BQ142" i="23"/>
  <c r="CE149" i="20"/>
  <c r="BC149" i="20"/>
  <c r="AA149" i="20"/>
  <c r="CL149" i="20"/>
  <c r="BJ149" i="20"/>
  <c r="AH149" i="20"/>
  <c r="AV149" i="20"/>
  <c r="B185" i="20"/>
  <c r="T149" i="20"/>
  <c r="CS149" i="20"/>
  <c r="AO149" i="20"/>
  <c r="BX149" i="20"/>
  <c r="M149" i="20"/>
  <c r="BQ149" i="20"/>
  <c r="B143" i="18"/>
  <c r="C105" i="18"/>
  <c r="C70" i="23"/>
  <c r="D146" i="23"/>
  <c r="D146" i="15"/>
  <c r="C70" i="15"/>
  <c r="CS148" i="22"/>
  <c r="BQ148" i="22"/>
  <c r="AO148" i="22"/>
  <c r="M148" i="22"/>
  <c r="BX148" i="22"/>
  <c r="AV148" i="22"/>
  <c r="T148" i="22"/>
  <c r="BC148" i="22"/>
  <c r="CL148" i="22"/>
  <c r="AH148" i="22"/>
  <c r="BJ148" i="22"/>
  <c r="CE148" i="22"/>
  <c r="AA148" i="22"/>
  <c r="B184" i="22"/>
  <c r="B112" i="17"/>
  <c r="B149" i="22"/>
  <c r="C111" i="22"/>
  <c r="CE148" i="18"/>
  <c r="BC148" i="18"/>
  <c r="AA148" i="18"/>
  <c r="B184" i="18"/>
  <c r="CL148" i="18"/>
  <c r="BJ148" i="18"/>
  <c r="AH148" i="18"/>
  <c r="BX148" i="18"/>
  <c r="T148" i="18"/>
  <c r="BQ148" i="18"/>
  <c r="M148" i="18"/>
  <c r="AV148" i="18"/>
  <c r="CS148" i="18"/>
  <c r="AO148" i="18"/>
  <c r="CS145" i="18"/>
  <c r="CE145" i="18"/>
  <c r="BQ145" i="18"/>
  <c r="BC145" i="18"/>
  <c r="AO145" i="18"/>
  <c r="AA145" i="18"/>
  <c r="M145" i="18"/>
  <c r="BX145" i="18"/>
  <c r="AH145" i="18"/>
  <c r="B181" i="18"/>
  <c r="CL145" i="18"/>
  <c r="BJ145" i="18"/>
  <c r="AV145" i="18"/>
  <c r="T145" i="18"/>
  <c r="B188" i="22"/>
  <c r="CS152" i="22"/>
  <c r="CL152" i="22"/>
  <c r="CE152" i="22"/>
  <c r="BX152" i="22"/>
  <c r="BQ152" i="22"/>
  <c r="BJ152" i="22"/>
  <c r="BC152" i="22"/>
  <c r="AV152" i="22"/>
  <c r="AO152" i="22"/>
  <c r="AH152" i="22"/>
  <c r="AA152" i="22"/>
  <c r="T152" i="22"/>
  <c r="M152" i="22"/>
  <c r="B113" i="19"/>
  <c r="C112" i="20"/>
  <c r="B150" i="20"/>
  <c r="B108" i="17"/>
  <c r="C109" i="20"/>
  <c r="B147" i="20"/>
  <c r="D146" i="20"/>
  <c r="C70" i="20"/>
  <c r="BX142" i="21"/>
  <c r="AV142" i="21"/>
  <c r="T142" i="21"/>
  <c r="CE142" i="21"/>
  <c r="BC142" i="21"/>
  <c r="AA142" i="21"/>
  <c r="CS142" i="21"/>
  <c r="AO142" i="21"/>
  <c r="CL142" i="21"/>
  <c r="AH142" i="21"/>
  <c r="BJ142" i="21"/>
  <c r="B178" i="21"/>
  <c r="BQ142" i="21"/>
  <c r="M142" i="21"/>
  <c r="A108" i="18"/>
  <c r="A146" i="18" s="1"/>
  <c r="A182" i="18" s="1"/>
  <c r="A70" i="18"/>
  <c r="B181" i="20"/>
  <c r="CL145" i="20"/>
  <c r="BX145" i="20"/>
  <c r="BJ145" i="20"/>
  <c r="AV145" i="20"/>
  <c r="AH145" i="20"/>
  <c r="T145" i="20"/>
  <c r="CE145" i="20"/>
  <c r="BC145" i="20"/>
  <c r="AA145" i="20"/>
  <c r="CS145" i="20"/>
  <c r="BQ145" i="20"/>
  <c r="AO145" i="20"/>
  <c r="M145" i="20"/>
  <c r="B109" i="23"/>
  <c r="A108" i="19"/>
  <c r="A146" i="19" s="1"/>
  <c r="A182" i="19" s="1"/>
  <c r="A70" i="19"/>
  <c r="C105" i="21"/>
  <c r="B143" i="21"/>
  <c r="B183" i="18"/>
  <c r="CS147" i="18"/>
  <c r="CE147" i="18"/>
  <c r="BQ147" i="18"/>
  <c r="BC147" i="18"/>
  <c r="AO147" i="18"/>
  <c r="AA147" i="18"/>
  <c r="M147" i="18"/>
  <c r="BJ147" i="18"/>
  <c r="AH147" i="18"/>
  <c r="CL147" i="18"/>
  <c r="BX147" i="18"/>
  <c r="AV147" i="18"/>
  <c r="T147" i="18"/>
  <c r="B187" i="20"/>
  <c r="CL151" i="20"/>
  <c r="BJ151" i="20"/>
  <c r="AH151" i="20"/>
  <c r="CS151" i="20"/>
  <c r="BQ151" i="20"/>
  <c r="AO151" i="20"/>
  <c r="M151" i="20"/>
  <c r="BC151" i="20"/>
  <c r="AA151" i="20"/>
  <c r="AV151" i="20"/>
  <c r="CE151" i="20"/>
  <c r="T151" i="20"/>
  <c r="BX151" i="20"/>
  <c r="C36" i="13"/>
  <c r="C109" i="15"/>
  <c r="B147" i="15"/>
  <c r="D181" i="18"/>
  <c r="E145" i="18"/>
  <c r="B143" i="19"/>
  <c r="C105" i="19"/>
  <c r="D181" i="19"/>
  <c r="E145" i="19"/>
  <c r="CE148" i="15"/>
  <c r="BC148" i="15"/>
  <c r="AA148" i="15"/>
  <c r="B184" i="15"/>
  <c r="CL148" i="15"/>
  <c r="BJ148" i="15"/>
  <c r="AH148" i="15"/>
  <c r="AV148" i="15"/>
  <c r="BQ148" i="15"/>
  <c r="M148" i="15"/>
  <c r="CS148" i="15"/>
  <c r="AO148" i="15"/>
  <c r="BX148" i="15"/>
  <c r="T148" i="15"/>
  <c r="B112" i="23"/>
  <c r="CL151" i="18"/>
  <c r="BX151" i="18"/>
  <c r="BJ151" i="18"/>
  <c r="AV151" i="18"/>
  <c r="AH151" i="18"/>
  <c r="T151" i="18"/>
  <c r="CS151" i="18"/>
  <c r="BQ151" i="18"/>
  <c r="AO151" i="18"/>
  <c r="M151" i="18"/>
  <c r="CE151" i="18"/>
  <c r="BC151" i="18"/>
  <c r="AA151" i="18"/>
  <c r="B187" i="18"/>
  <c r="B152" i="19"/>
  <c r="C114" i="19"/>
  <c r="C110" i="20"/>
  <c r="B148" i="20"/>
  <c r="B150" i="19"/>
  <c r="C112" i="19"/>
  <c r="B144" i="19"/>
  <c r="C106" i="19"/>
  <c r="D181" i="17"/>
  <c r="E145" i="17"/>
  <c r="C105" i="22"/>
  <c r="B143" i="22"/>
  <c r="B144" i="20"/>
  <c r="C106" i="20"/>
  <c r="B108" i="23"/>
  <c r="CL152" i="15"/>
  <c r="BX152" i="15"/>
  <c r="BJ152" i="15"/>
  <c r="AV152" i="15"/>
  <c r="AH152" i="15"/>
  <c r="T152" i="15"/>
  <c r="B188" i="15"/>
  <c r="BC152" i="15"/>
  <c r="CS152" i="15"/>
  <c r="BQ152" i="15"/>
  <c r="AO152" i="15"/>
  <c r="M152" i="15"/>
  <c r="CE152" i="15"/>
  <c r="AA152" i="15"/>
  <c r="B180" i="23"/>
  <c r="CS144" i="23"/>
  <c r="CL144" i="23"/>
  <c r="CE144" i="23"/>
  <c r="BX144" i="23"/>
  <c r="BQ144" i="23"/>
  <c r="BJ144" i="23"/>
  <c r="BC144" i="23"/>
  <c r="AV144" i="23"/>
  <c r="AO144" i="23"/>
  <c r="AH144" i="23"/>
  <c r="AA144" i="23"/>
  <c r="T144" i="23"/>
  <c r="M144" i="23"/>
  <c r="B113" i="23"/>
  <c r="B108" i="21"/>
  <c r="AK188" i="31" l="1"/>
  <c r="BC188" i="31"/>
  <c r="M188" i="31"/>
  <c r="S188" i="31"/>
  <c r="Y188" i="31"/>
  <c r="AE188" i="31"/>
  <c r="AQ188" i="31"/>
  <c r="AW188" i="31"/>
  <c r="C33" i="31"/>
  <c r="L93" i="31"/>
  <c r="I64" i="31"/>
  <c r="F70" i="31" s="1"/>
  <c r="C39" i="31" s="1"/>
  <c r="L71" i="31"/>
  <c r="C11" i="31"/>
  <c r="J71" i="31"/>
  <c r="K71" i="31"/>
  <c r="C35" i="31"/>
  <c r="L95" i="31"/>
  <c r="C14" i="31"/>
  <c r="L74" i="31"/>
  <c r="J74" i="31"/>
  <c r="K74" i="31"/>
  <c r="K75" i="31"/>
  <c r="J75" i="31"/>
  <c r="C15" i="31"/>
  <c r="L75" i="31"/>
  <c r="AH148" i="31"/>
  <c r="T148" i="31"/>
  <c r="BC148" i="31"/>
  <c r="B184" i="31"/>
  <c r="BX148" i="31"/>
  <c r="CS148" i="31"/>
  <c r="CL148" i="31"/>
  <c r="CE148" i="31"/>
  <c r="AA148" i="31"/>
  <c r="AV148" i="31"/>
  <c r="BJ148" i="31"/>
  <c r="BQ148" i="31"/>
  <c r="M148" i="31"/>
  <c r="AO148" i="31"/>
  <c r="N155" i="31"/>
  <c r="U155" i="31" s="1"/>
  <c r="AB155" i="31" s="1"/>
  <c r="AI155" i="31" s="1"/>
  <c r="AP155" i="31" s="1"/>
  <c r="AW155" i="31" s="1"/>
  <c r="BD155" i="31" s="1"/>
  <c r="BK155" i="31" s="1"/>
  <c r="BR155" i="31" s="1"/>
  <c r="BY155" i="31" s="1"/>
  <c r="CF155" i="31" s="1"/>
  <c r="CM155" i="31" s="1"/>
  <c r="CT155" i="31" s="1"/>
  <c r="L91" i="31"/>
  <c r="C31" i="31"/>
  <c r="L89" i="31"/>
  <c r="C29" i="31"/>
  <c r="D44" i="31" s="1"/>
  <c r="L85" i="31"/>
  <c r="C25" i="31"/>
  <c r="L83" i="31"/>
  <c r="C23" i="31"/>
  <c r="L81" i="31"/>
  <c r="C21" i="31"/>
  <c r="L77" i="31"/>
  <c r="C17" i="31"/>
  <c r="L73" i="31"/>
  <c r="C13" i="31"/>
  <c r="J73" i="31"/>
  <c r="K73" i="31"/>
  <c r="C36" i="31"/>
  <c r="L96" i="31"/>
  <c r="M187" i="31"/>
  <c r="AE187" i="31"/>
  <c r="AQ187" i="31"/>
  <c r="Y187" i="31"/>
  <c r="AW187" i="31"/>
  <c r="AK187" i="31"/>
  <c r="BC187" i="31"/>
  <c r="S187" i="31"/>
  <c r="B185" i="31"/>
  <c r="BX149" i="31"/>
  <c r="AV149" i="31"/>
  <c r="CL149" i="31"/>
  <c r="CE149" i="31"/>
  <c r="AA149" i="31"/>
  <c r="AO149" i="31"/>
  <c r="BJ149" i="31"/>
  <c r="BQ149" i="31"/>
  <c r="M149" i="31"/>
  <c r="BC149" i="31"/>
  <c r="AH149" i="31"/>
  <c r="T149" i="31"/>
  <c r="CS149" i="31"/>
  <c r="L87" i="31"/>
  <c r="C27" i="31"/>
  <c r="L79" i="31"/>
  <c r="C19" i="31"/>
  <c r="B44" i="31" s="1"/>
  <c r="M186" i="31"/>
  <c r="AE186" i="31"/>
  <c r="Y186" i="31"/>
  <c r="AW186" i="31"/>
  <c r="AK186" i="31"/>
  <c r="AQ186" i="31"/>
  <c r="S186" i="31"/>
  <c r="BC186" i="31"/>
  <c r="L92" i="31"/>
  <c r="C32" i="31"/>
  <c r="C28" i="31"/>
  <c r="L88" i="31"/>
  <c r="C24" i="31"/>
  <c r="C44" i="31" s="1"/>
  <c r="L84" i="31"/>
  <c r="C37" i="31"/>
  <c r="L97" i="31"/>
  <c r="G109" i="31"/>
  <c r="F112" i="31" s="1"/>
  <c r="G108" i="31"/>
  <c r="F111" i="31" s="1"/>
  <c r="C34" i="31"/>
  <c r="E44" i="31" s="1"/>
  <c r="L94" i="31"/>
  <c r="L90" i="31"/>
  <c r="C30" i="31"/>
  <c r="L86" i="31"/>
  <c r="C26" i="31"/>
  <c r="C22" i="31"/>
  <c r="L82" i="31"/>
  <c r="L80" i="31"/>
  <c r="C20" i="31"/>
  <c r="L78" i="31"/>
  <c r="C18" i="31"/>
  <c r="C12" i="31"/>
  <c r="L72" i="31"/>
  <c r="J72" i="31"/>
  <c r="K72" i="31"/>
  <c r="L76" i="31"/>
  <c r="C16" i="31"/>
  <c r="A70" i="20"/>
  <c r="A108" i="20"/>
  <c r="A146" i="20" s="1"/>
  <c r="A182" i="20" s="1"/>
  <c r="G108" i="22"/>
  <c r="F111" i="22" s="1"/>
  <c r="BC188" i="15"/>
  <c r="AQ188" i="15"/>
  <c r="AE188" i="15"/>
  <c r="S188" i="15"/>
  <c r="AW188" i="15"/>
  <c r="AK188" i="15"/>
  <c r="M188" i="15"/>
  <c r="Y188" i="15"/>
  <c r="A71" i="19"/>
  <c r="A109" i="19"/>
  <c r="A147" i="19" s="1"/>
  <c r="A183" i="19" s="1"/>
  <c r="A71" i="18"/>
  <c r="A109" i="18"/>
  <c r="A147" i="18" s="1"/>
  <c r="A183" i="18" s="1"/>
  <c r="D182" i="20"/>
  <c r="E146" i="20"/>
  <c r="BC181" i="18"/>
  <c r="AW181" i="18"/>
  <c r="AQ181" i="18"/>
  <c r="AK181" i="18"/>
  <c r="AE181" i="18"/>
  <c r="Y181" i="18"/>
  <c r="S181" i="18"/>
  <c r="M181" i="18"/>
  <c r="BC184" i="18"/>
  <c r="AQ184" i="18"/>
  <c r="AE184" i="18"/>
  <c r="S184" i="18"/>
  <c r="AK184" i="18"/>
  <c r="AW184" i="18"/>
  <c r="Y184" i="18"/>
  <c r="M184" i="18"/>
  <c r="CS149" i="22"/>
  <c r="BQ149" i="22"/>
  <c r="AO149" i="22"/>
  <c r="M149" i="22"/>
  <c r="BX149" i="22"/>
  <c r="AV149" i="22"/>
  <c r="T149" i="22"/>
  <c r="BC149" i="22"/>
  <c r="CL149" i="22"/>
  <c r="AH149" i="22"/>
  <c r="B185" i="22"/>
  <c r="BJ149" i="22"/>
  <c r="CE149" i="22"/>
  <c r="AA149" i="22"/>
  <c r="B150" i="17"/>
  <c r="C112" i="17"/>
  <c r="B152" i="21"/>
  <c r="C114" i="21"/>
  <c r="CE149" i="18"/>
  <c r="BC149" i="18"/>
  <c r="AA149" i="18"/>
  <c r="B185" i="18"/>
  <c r="CL149" i="18"/>
  <c r="BJ149" i="18"/>
  <c r="AH149" i="18"/>
  <c r="BX149" i="18"/>
  <c r="T149" i="18"/>
  <c r="AV149" i="18"/>
  <c r="BQ149" i="18"/>
  <c r="M149" i="18"/>
  <c r="AO149" i="18"/>
  <c r="CS149" i="18"/>
  <c r="A71" i="17"/>
  <c r="A109" i="17"/>
  <c r="A147" i="17" s="1"/>
  <c r="A183" i="17" s="1"/>
  <c r="D147" i="18"/>
  <c r="C71" i="18"/>
  <c r="B187" i="21"/>
  <c r="CS151" i="21"/>
  <c r="CL151" i="21"/>
  <c r="CE151" i="21"/>
  <c r="BX151" i="21"/>
  <c r="BQ151" i="21"/>
  <c r="BJ151" i="21"/>
  <c r="BC151" i="21"/>
  <c r="AV151" i="21"/>
  <c r="AO151" i="21"/>
  <c r="AH151" i="21"/>
  <c r="AA151" i="21"/>
  <c r="T151" i="21"/>
  <c r="M151" i="21"/>
  <c r="B187" i="22"/>
  <c r="CS151" i="22"/>
  <c r="CL151" i="22"/>
  <c r="CE151" i="22"/>
  <c r="BX151" i="22"/>
  <c r="BQ151" i="22"/>
  <c r="BJ151" i="22"/>
  <c r="BC151" i="22"/>
  <c r="AV151" i="22"/>
  <c r="AO151" i="22"/>
  <c r="AH151" i="22"/>
  <c r="AA151" i="22"/>
  <c r="T151" i="22"/>
  <c r="M151" i="22"/>
  <c r="A72" i="15"/>
  <c r="A110" i="15"/>
  <c r="A148" i="15" s="1"/>
  <c r="A184" i="15" s="1"/>
  <c r="CS143" i="23"/>
  <c r="BQ143" i="23"/>
  <c r="AO143" i="23"/>
  <c r="M143" i="23"/>
  <c r="BX143" i="23"/>
  <c r="AV143" i="23"/>
  <c r="T143" i="23"/>
  <c r="BJ143" i="23"/>
  <c r="B179" i="23"/>
  <c r="BC143" i="23"/>
  <c r="AA143" i="23"/>
  <c r="CL143" i="23"/>
  <c r="AH143" i="23"/>
  <c r="CE143" i="23"/>
  <c r="BC181" i="15"/>
  <c r="AW181" i="15"/>
  <c r="AQ181" i="15"/>
  <c r="AK181" i="15"/>
  <c r="AE181" i="15"/>
  <c r="Y181" i="15"/>
  <c r="S181" i="15"/>
  <c r="M181" i="15"/>
  <c r="C111" i="19"/>
  <c r="B149" i="19"/>
  <c r="CS147" i="22"/>
  <c r="CL147" i="22"/>
  <c r="CE147" i="22"/>
  <c r="BX147" i="22"/>
  <c r="BQ147" i="22"/>
  <c r="BJ147" i="22"/>
  <c r="BC147" i="22"/>
  <c r="AV147" i="22"/>
  <c r="AO147" i="22"/>
  <c r="AH147" i="22"/>
  <c r="AA147" i="22"/>
  <c r="T147" i="22"/>
  <c r="M147" i="22"/>
  <c r="B183" i="22"/>
  <c r="CE148" i="20"/>
  <c r="BC148" i="20"/>
  <c r="AA148" i="20"/>
  <c r="CL148" i="20"/>
  <c r="BJ148" i="20"/>
  <c r="AH148" i="20"/>
  <c r="B184" i="20"/>
  <c r="AV148" i="20"/>
  <c r="T148" i="20"/>
  <c r="CS148" i="20"/>
  <c r="AO148" i="20"/>
  <c r="BX148" i="20"/>
  <c r="BQ148" i="20"/>
  <c r="M148" i="20"/>
  <c r="B151" i="19"/>
  <c r="C113" i="19"/>
  <c r="CE143" i="18"/>
  <c r="BC143" i="18"/>
  <c r="AA143" i="18"/>
  <c r="B179" i="18"/>
  <c r="CL143" i="18"/>
  <c r="BJ143" i="18"/>
  <c r="AH143" i="18"/>
  <c r="BX143" i="18"/>
  <c r="T143" i="18"/>
  <c r="AV143" i="18"/>
  <c r="BQ143" i="18"/>
  <c r="M143" i="18"/>
  <c r="AO143" i="18"/>
  <c r="CS143" i="18"/>
  <c r="N155" i="18"/>
  <c r="U155" i="18" s="1"/>
  <c r="AB155" i="18" s="1"/>
  <c r="AI155" i="18" s="1"/>
  <c r="AP155" i="18" s="1"/>
  <c r="AW155" i="18" s="1"/>
  <c r="BD155" i="18" s="1"/>
  <c r="BK155" i="18" s="1"/>
  <c r="BR155" i="18" s="1"/>
  <c r="BY155" i="18" s="1"/>
  <c r="CF155" i="18" s="1"/>
  <c r="CM155" i="18" s="1"/>
  <c r="CT155" i="18" s="1"/>
  <c r="B188" i="20"/>
  <c r="CS152" i="20"/>
  <c r="BQ152" i="20"/>
  <c r="AO152" i="20"/>
  <c r="M152" i="20"/>
  <c r="BX152" i="20"/>
  <c r="AV152" i="20"/>
  <c r="T152" i="20"/>
  <c r="BJ152" i="20"/>
  <c r="AH152" i="20"/>
  <c r="BC152" i="20"/>
  <c r="CL152" i="20"/>
  <c r="CE152" i="20"/>
  <c r="AA152" i="20"/>
  <c r="A108" i="22"/>
  <c r="A146" i="22" s="1"/>
  <c r="A182" i="22" s="1"/>
  <c r="A70" i="22"/>
  <c r="CS152" i="18"/>
  <c r="CE152" i="18"/>
  <c r="BQ152" i="18"/>
  <c r="BC152" i="18"/>
  <c r="AO152" i="18"/>
  <c r="AA152" i="18"/>
  <c r="M152" i="18"/>
  <c r="BX152" i="18"/>
  <c r="AV152" i="18"/>
  <c r="T152" i="18"/>
  <c r="CL152" i="18"/>
  <c r="BJ152" i="18"/>
  <c r="AH152" i="18"/>
  <c r="B188" i="18"/>
  <c r="D147" i="17"/>
  <c r="C71" i="17"/>
  <c r="D147" i="19"/>
  <c r="C71" i="19"/>
  <c r="E146" i="18"/>
  <c r="D182" i="18"/>
  <c r="CE148" i="19"/>
  <c r="BC148" i="19"/>
  <c r="AA148" i="19"/>
  <c r="B184" i="19"/>
  <c r="CL148" i="19"/>
  <c r="BJ148" i="19"/>
  <c r="AH148" i="19"/>
  <c r="BQ148" i="19"/>
  <c r="M148" i="19"/>
  <c r="CS148" i="19"/>
  <c r="AV148" i="19"/>
  <c r="AO148" i="19"/>
  <c r="BX148" i="19"/>
  <c r="T148" i="19"/>
  <c r="B182" i="18"/>
  <c r="CL146" i="18"/>
  <c r="BX146" i="18"/>
  <c r="BJ146" i="18"/>
  <c r="AV146" i="18"/>
  <c r="AH146" i="18"/>
  <c r="T146" i="18"/>
  <c r="CE146" i="18"/>
  <c r="BC146" i="18"/>
  <c r="AA146" i="18"/>
  <c r="CS146" i="18"/>
  <c r="BQ146" i="18"/>
  <c r="AO146" i="18"/>
  <c r="M146" i="18"/>
  <c r="B145" i="17"/>
  <c r="C107" i="17"/>
  <c r="G109" i="22"/>
  <c r="F112" i="22" s="1"/>
  <c r="B133" i="22" s="1"/>
  <c r="B188" i="23"/>
  <c r="CS152" i="23"/>
  <c r="CL152" i="23"/>
  <c r="CE152" i="23"/>
  <c r="BX152" i="23"/>
  <c r="BQ152" i="23"/>
  <c r="BJ152" i="23"/>
  <c r="BC152" i="23"/>
  <c r="AV152" i="23"/>
  <c r="AO152" i="23"/>
  <c r="AH152" i="23"/>
  <c r="AA152" i="23"/>
  <c r="T152" i="23"/>
  <c r="M152" i="23"/>
  <c r="G109" i="20"/>
  <c r="F112" i="20" s="1"/>
  <c r="G108" i="20"/>
  <c r="F111" i="20" s="1"/>
  <c r="CS143" i="22"/>
  <c r="BQ143" i="22"/>
  <c r="AO143" i="22"/>
  <c r="M143" i="22"/>
  <c r="BX143" i="22"/>
  <c r="AV143" i="22"/>
  <c r="T143" i="22"/>
  <c r="BJ143" i="22"/>
  <c r="B179" i="22"/>
  <c r="BC143" i="22"/>
  <c r="AA143" i="22"/>
  <c r="CL143" i="22"/>
  <c r="AH143" i="22"/>
  <c r="CE143" i="22"/>
  <c r="AW187" i="18"/>
  <c r="AK187" i="18"/>
  <c r="Y187" i="18"/>
  <c r="M187" i="18"/>
  <c r="BC187" i="18"/>
  <c r="AE187" i="18"/>
  <c r="AQ187" i="18"/>
  <c r="S187" i="18"/>
  <c r="BC181" i="20"/>
  <c r="AQ181" i="20"/>
  <c r="AE181" i="20"/>
  <c r="S181" i="20"/>
  <c r="AK181" i="20"/>
  <c r="AW181" i="20"/>
  <c r="M181" i="20"/>
  <c r="Y181" i="20"/>
  <c r="CL147" i="20"/>
  <c r="BX147" i="20"/>
  <c r="BJ147" i="20"/>
  <c r="AV147" i="20"/>
  <c r="AH147" i="20"/>
  <c r="T147" i="20"/>
  <c r="B183" i="20"/>
  <c r="CS147" i="20"/>
  <c r="BQ147" i="20"/>
  <c r="AO147" i="20"/>
  <c r="AA147" i="20"/>
  <c r="CE147" i="20"/>
  <c r="BC147" i="20"/>
  <c r="M147" i="20"/>
  <c r="D147" i="15"/>
  <c r="C71" i="15"/>
  <c r="BC178" i="23"/>
  <c r="Y178" i="23"/>
  <c r="AK178" i="23"/>
  <c r="S178" i="23"/>
  <c r="AE178" i="23"/>
  <c r="AQ178" i="23"/>
  <c r="AW178" i="23"/>
  <c r="M178" i="23"/>
  <c r="C110" i="17"/>
  <c r="B148" i="17"/>
  <c r="B144" i="21"/>
  <c r="C106" i="21"/>
  <c r="D182" i="17"/>
  <c r="E146" i="17"/>
  <c r="D182" i="19"/>
  <c r="E146" i="19"/>
  <c r="CS146" i="22"/>
  <c r="CL146" i="22"/>
  <c r="CE146" i="22"/>
  <c r="BX146" i="22"/>
  <c r="BQ146" i="22"/>
  <c r="BJ146" i="22"/>
  <c r="BC146" i="22"/>
  <c r="AV146" i="22"/>
  <c r="AO146" i="22"/>
  <c r="AH146" i="22"/>
  <c r="AA146" i="22"/>
  <c r="T146" i="22"/>
  <c r="M146" i="22"/>
  <c r="B182" i="22"/>
  <c r="A108" i="23"/>
  <c r="A146" i="23" s="1"/>
  <c r="A182" i="23" s="1"/>
  <c r="A70" i="23"/>
  <c r="B150" i="21"/>
  <c r="C112" i="21"/>
  <c r="B149" i="23"/>
  <c r="C111" i="23"/>
  <c r="AQ182" i="20"/>
  <c r="AK182" i="20"/>
  <c r="Y182" i="20"/>
  <c r="BC182" i="20"/>
  <c r="M182" i="20"/>
  <c r="AE182" i="20"/>
  <c r="AW182" i="20"/>
  <c r="S182" i="20"/>
  <c r="C72" i="21"/>
  <c r="D148" i="21"/>
  <c r="B146" i="19"/>
  <c r="C108" i="19"/>
  <c r="CE143" i="15"/>
  <c r="BC143" i="15"/>
  <c r="AA143" i="15"/>
  <c r="B179" i="15"/>
  <c r="CL143" i="15"/>
  <c r="BJ143" i="15"/>
  <c r="AH143" i="15"/>
  <c r="AV143" i="15"/>
  <c r="BQ143" i="15"/>
  <c r="M143" i="15"/>
  <c r="T143" i="15"/>
  <c r="AO143" i="15"/>
  <c r="CS143" i="15"/>
  <c r="BX143" i="15"/>
  <c r="N155" i="15"/>
  <c r="U155" i="15" s="1"/>
  <c r="AB155" i="15" s="1"/>
  <c r="AI155" i="15" s="1"/>
  <c r="AP155" i="15" s="1"/>
  <c r="AW155" i="15" s="1"/>
  <c r="BD155" i="15" s="1"/>
  <c r="BK155" i="15" s="1"/>
  <c r="BR155" i="15" s="1"/>
  <c r="BY155" i="15" s="1"/>
  <c r="CF155" i="15" s="1"/>
  <c r="CM155" i="15" s="1"/>
  <c r="CT155" i="15" s="1"/>
  <c r="CS151" i="15"/>
  <c r="CE151" i="15"/>
  <c r="BQ151" i="15"/>
  <c r="BC151" i="15"/>
  <c r="AO151" i="15"/>
  <c r="AA151" i="15"/>
  <c r="M151" i="15"/>
  <c r="AV151" i="15"/>
  <c r="CL151" i="15"/>
  <c r="BJ151" i="15"/>
  <c r="AH151" i="15"/>
  <c r="BX151" i="15"/>
  <c r="T151" i="15"/>
  <c r="B187" i="15"/>
  <c r="B182" i="15"/>
  <c r="CS146" i="15"/>
  <c r="CE146" i="15"/>
  <c r="BQ146" i="15"/>
  <c r="BC146" i="15"/>
  <c r="AO146" i="15"/>
  <c r="AA146" i="15"/>
  <c r="M146" i="15"/>
  <c r="CL146" i="15"/>
  <c r="AH146" i="15"/>
  <c r="BX146" i="15"/>
  <c r="AV146" i="15"/>
  <c r="T146" i="15"/>
  <c r="BJ146" i="15"/>
  <c r="B148" i="23"/>
  <c r="C110" i="23"/>
  <c r="B151" i="23"/>
  <c r="C113" i="23"/>
  <c r="M180" i="23"/>
  <c r="AQ180" i="23"/>
  <c r="AE180" i="23"/>
  <c r="AK180" i="23"/>
  <c r="Y180" i="23"/>
  <c r="AW180" i="23"/>
  <c r="S180" i="23"/>
  <c r="BC180" i="23"/>
  <c r="CE150" i="19"/>
  <c r="BC150" i="19"/>
  <c r="AA150" i="19"/>
  <c r="CL150" i="19"/>
  <c r="BJ150" i="19"/>
  <c r="AH150" i="19"/>
  <c r="BQ150" i="19"/>
  <c r="M150" i="19"/>
  <c r="B186" i="19"/>
  <c r="CS150" i="19"/>
  <c r="AV150" i="19"/>
  <c r="AO150" i="19"/>
  <c r="BX150" i="19"/>
  <c r="T150" i="19"/>
  <c r="CE143" i="19"/>
  <c r="BC143" i="19"/>
  <c r="AA143" i="19"/>
  <c r="B179" i="19"/>
  <c r="CL143" i="19"/>
  <c r="BJ143" i="19"/>
  <c r="AH143" i="19"/>
  <c r="BQ143" i="19"/>
  <c r="M143" i="19"/>
  <c r="AO143" i="19"/>
  <c r="AV143" i="19"/>
  <c r="CS143" i="19"/>
  <c r="T143" i="19"/>
  <c r="BX143" i="19"/>
  <c r="Y187" i="20"/>
  <c r="M187" i="20"/>
  <c r="AW187" i="20"/>
  <c r="AE187" i="20"/>
  <c r="AQ187" i="20"/>
  <c r="BC187" i="20"/>
  <c r="AK187" i="20"/>
  <c r="S187" i="20"/>
  <c r="CS143" i="21"/>
  <c r="BQ143" i="21"/>
  <c r="AO143" i="21"/>
  <c r="M143" i="21"/>
  <c r="BX143" i="21"/>
  <c r="AV143" i="21"/>
  <c r="T143" i="21"/>
  <c r="BJ143" i="21"/>
  <c r="BC143" i="21"/>
  <c r="CE143" i="21"/>
  <c r="B179" i="21"/>
  <c r="AA143" i="21"/>
  <c r="AH143" i="21"/>
  <c r="CL143" i="21"/>
  <c r="B186" i="20"/>
  <c r="CS150" i="20"/>
  <c r="BQ150" i="20"/>
  <c r="AO150" i="20"/>
  <c r="CL150" i="20"/>
  <c r="BX150" i="20"/>
  <c r="AA150" i="20"/>
  <c r="BJ150" i="20"/>
  <c r="AV150" i="20"/>
  <c r="BC150" i="20"/>
  <c r="T150" i="20"/>
  <c r="CE150" i="20"/>
  <c r="M150" i="20"/>
  <c r="AH150" i="20"/>
  <c r="D182" i="23"/>
  <c r="E146" i="23"/>
  <c r="C109" i="17"/>
  <c r="B147" i="17"/>
  <c r="BC186" i="15"/>
  <c r="AQ186" i="15"/>
  <c r="AE186" i="15"/>
  <c r="S186" i="15"/>
  <c r="AW186" i="15"/>
  <c r="AK186" i="15"/>
  <c r="M186" i="15"/>
  <c r="Y186" i="15"/>
  <c r="C71" i="22"/>
  <c r="D147" i="22"/>
  <c r="AQ179" i="17"/>
  <c r="S179" i="17"/>
  <c r="AW179" i="17"/>
  <c r="Y179" i="17"/>
  <c r="BC179" i="17"/>
  <c r="AK179" i="17"/>
  <c r="AE179" i="17"/>
  <c r="M179" i="17"/>
  <c r="B147" i="21"/>
  <c r="C109" i="21"/>
  <c r="B150" i="23"/>
  <c r="C112" i="23"/>
  <c r="BC184" i="15"/>
  <c r="AQ184" i="15"/>
  <c r="AE184" i="15"/>
  <c r="S184" i="15"/>
  <c r="AW184" i="15"/>
  <c r="Y184" i="15"/>
  <c r="AK184" i="15"/>
  <c r="M184" i="15"/>
  <c r="BC183" i="18"/>
  <c r="AQ183" i="18"/>
  <c r="AE183" i="18"/>
  <c r="S183" i="18"/>
  <c r="AW183" i="18"/>
  <c r="M183" i="18"/>
  <c r="AK183" i="18"/>
  <c r="Y183" i="18"/>
  <c r="Y178" i="21"/>
  <c r="AE178" i="21"/>
  <c r="AW178" i="21"/>
  <c r="M178" i="21"/>
  <c r="S178" i="21"/>
  <c r="AK178" i="21"/>
  <c r="AQ178" i="21"/>
  <c r="BC178" i="21"/>
  <c r="B146" i="17"/>
  <c r="C108" i="17"/>
  <c r="C71" i="23"/>
  <c r="D147" i="23"/>
  <c r="B181" i="21"/>
  <c r="CS145" i="21"/>
  <c r="CL145" i="21"/>
  <c r="CE145" i="21"/>
  <c r="BX145" i="21"/>
  <c r="BQ145" i="21"/>
  <c r="BJ145" i="21"/>
  <c r="BC145" i="21"/>
  <c r="AV145" i="21"/>
  <c r="AO145" i="21"/>
  <c r="AH145" i="21"/>
  <c r="AA145" i="21"/>
  <c r="T145" i="21"/>
  <c r="M145" i="21"/>
  <c r="CS144" i="15"/>
  <c r="CE144" i="15"/>
  <c r="BQ144" i="15"/>
  <c r="BC144" i="15"/>
  <c r="AO144" i="15"/>
  <c r="AA144" i="15"/>
  <c r="M144" i="15"/>
  <c r="B180" i="15"/>
  <c r="CL144" i="15"/>
  <c r="AH144" i="15"/>
  <c r="BX144" i="15"/>
  <c r="T144" i="15"/>
  <c r="AV144" i="15"/>
  <c r="BJ144" i="15"/>
  <c r="C113" i="17"/>
  <c r="B151" i="17"/>
  <c r="S180" i="22"/>
  <c r="M180" i="22"/>
  <c r="AQ180" i="22"/>
  <c r="AK180" i="22"/>
  <c r="AE180" i="22"/>
  <c r="Y180" i="22"/>
  <c r="AW180" i="22"/>
  <c r="BC180" i="22"/>
  <c r="C111" i="17"/>
  <c r="B149" i="17"/>
  <c r="B148" i="21"/>
  <c r="C110" i="21"/>
  <c r="B144" i="17"/>
  <c r="C106" i="17"/>
  <c r="C109" i="19"/>
  <c r="B147" i="19"/>
  <c r="AW186" i="18"/>
  <c r="AK186" i="18"/>
  <c r="Y186" i="18"/>
  <c r="M186" i="18"/>
  <c r="BC186" i="18"/>
  <c r="AQ186" i="18"/>
  <c r="AE186" i="18"/>
  <c r="S186" i="18"/>
  <c r="B152" i="17"/>
  <c r="C114" i="17"/>
  <c r="D183" i="21"/>
  <c r="E147" i="21"/>
  <c r="N155" i="22"/>
  <c r="U155" i="22" s="1"/>
  <c r="AB155" i="22" s="1"/>
  <c r="AI155" i="22" s="1"/>
  <c r="AP155" i="22" s="1"/>
  <c r="AW155" i="22" s="1"/>
  <c r="BD155" i="22" s="1"/>
  <c r="BK155" i="22" s="1"/>
  <c r="BR155" i="22" s="1"/>
  <c r="BY155" i="22" s="1"/>
  <c r="CF155" i="22" s="1"/>
  <c r="CM155" i="22" s="1"/>
  <c r="CT155" i="22" s="1"/>
  <c r="G109" i="15"/>
  <c r="F112" i="15" s="1"/>
  <c r="G108" i="15"/>
  <c r="F111" i="15" s="1"/>
  <c r="B146" i="21"/>
  <c r="C108" i="21"/>
  <c r="B146" i="23"/>
  <c r="C108" i="23"/>
  <c r="B180" i="20"/>
  <c r="CS144" i="20"/>
  <c r="CE144" i="20"/>
  <c r="BQ144" i="20"/>
  <c r="BC144" i="20"/>
  <c r="AO144" i="20"/>
  <c r="AA144" i="20"/>
  <c r="M144" i="20"/>
  <c r="BX144" i="20"/>
  <c r="AV144" i="20"/>
  <c r="T144" i="20"/>
  <c r="CL144" i="20"/>
  <c r="BJ144" i="20"/>
  <c r="AH144" i="20"/>
  <c r="N155" i="20"/>
  <c r="U155" i="20" s="1"/>
  <c r="AB155" i="20" s="1"/>
  <c r="AI155" i="20" s="1"/>
  <c r="AP155" i="20" s="1"/>
  <c r="AW155" i="20" s="1"/>
  <c r="BD155" i="20" s="1"/>
  <c r="BK155" i="20" s="1"/>
  <c r="BR155" i="20" s="1"/>
  <c r="BY155" i="20" s="1"/>
  <c r="CF155" i="20" s="1"/>
  <c r="CM155" i="20" s="1"/>
  <c r="CT155" i="20" s="1"/>
  <c r="B180" i="19"/>
  <c r="CS144" i="19"/>
  <c r="CE144" i="19"/>
  <c r="BQ144" i="19"/>
  <c r="BC144" i="19"/>
  <c r="AO144" i="19"/>
  <c r="AA144" i="19"/>
  <c r="M144" i="19"/>
  <c r="BJ144" i="19"/>
  <c r="AV144" i="19"/>
  <c r="T144" i="19"/>
  <c r="AH144" i="19"/>
  <c r="CL144" i="19"/>
  <c r="BX144" i="19"/>
  <c r="CL152" i="19"/>
  <c r="BX152" i="19"/>
  <c r="BJ152" i="19"/>
  <c r="AV152" i="19"/>
  <c r="AH152" i="19"/>
  <c r="T152" i="19"/>
  <c r="B188" i="19"/>
  <c r="CS152" i="19"/>
  <c r="AO152" i="19"/>
  <c r="BC152" i="19"/>
  <c r="M152" i="19"/>
  <c r="CE152" i="19"/>
  <c r="AA152" i="19"/>
  <c r="BQ152" i="19"/>
  <c r="B183" i="15"/>
  <c r="CL147" i="15"/>
  <c r="BX147" i="15"/>
  <c r="BJ147" i="15"/>
  <c r="AV147" i="15"/>
  <c r="AH147" i="15"/>
  <c r="T147" i="15"/>
  <c r="CS147" i="15"/>
  <c r="AO147" i="15"/>
  <c r="CE147" i="15"/>
  <c r="BC147" i="15"/>
  <c r="AA147" i="15"/>
  <c r="BQ147" i="15"/>
  <c r="M147" i="15"/>
  <c r="B147" i="23"/>
  <c r="C109" i="23"/>
  <c r="D147" i="20"/>
  <c r="C71" i="20"/>
  <c r="Y188" i="22"/>
  <c r="AW188" i="22"/>
  <c r="AK188" i="22"/>
  <c r="S188" i="22"/>
  <c r="AE188" i="22"/>
  <c r="AQ188" i="22"/>
  <c r="BC188" i="22"/>
  <c r="M188" i="22"/>
  <c r="Y184" i="22"/>
  <c r="AK184" i="22"/>
  <c r="AW184" i="22"/>
  <c r="BC184" i="22"/>
  <c r="AQ184" i="22"/>
  <c r="S184" i="22"/>
  <c r="M184" i="22"/>
  <c r="AE184" i="22"/>
  <c r="D182" i="15"/>
  <c r="E146" i="15"/>
  <c r="G108" i="18"/>
  <c r="F111" i="18" s="1"/>
  <c r="G109" i="18"/>
  <c r="F112" i="18" s="1"/>
  <c r="AQ185" i="20"/>
  <c r="Y185" i="20"/>
  <c r="M185" i="20"/>
  <c r="AW185" i="20"/>
  <c r="AK185" i="20"/>
  <c r="S185" i="20"/>
  <c r="AE185" i="20"/>
  <c r="BC185" i="20"/>
  <c r="C107" i="19"/>
  <c r="B145" i="19"/>
  <c r="B145" i="23"/>
  <c r="C107" i="23"/>
  <c r="BC181" i="22"/>
  <c r="AQ181" i="22"/>
  <c r="AE181" i="22"/>
  <c r="S181" i="22"/>
  <c r="M181" i="22"/>
  <c r="AW181" i="22"/>
  <c r="AK181" i="22"/>
  <c r="Y181" i="22"/>
  <c r="CE149" i="15"/>
  <c r="BC149" i="15"/>
  <c r="AA149" i="15"/>
  <c r="B185" i="15"/>
  <c r="CL149" i="15"/>
  <c r="BJ149" i="15"/>
  <c r="AH149" i="15"/>
  <c r="AV149" i="15"/>
  <c r="BQ149" i="15"/>
  <c r="M149" i="15"/>
  <c r="CS149" i="15"/>
  <c r="T149" i="15"/>
  <c r="AO149" i="15"/>
  <c r="BX149" i="15"/>
  <c r="A108" i="21"/>
  <c r="A146" i="21" s="1"/>
  <c r="A182" i="21" s="1"/>
  <c r="A70" i="21"/>
  <c r="AK180" i="18"/>
  <c r="M180" i="18"/>
  <c r="AQ180" i="18"/>
  <c r="S180" i="18"/>
  <c r="BC180" i="18"/>
  <c r="AW180" i="18"/>
  <c r="AE180" i="18"/>
  <c r="Y180" i="18"/>
  <c r="D182" i="22"/>
  <c r="E146" i="22"/>
  <c r="AE178" i="22"/>
  <c r="BC178" i="22"/>
  <c r="AK178" i="22"/>
  <c r="Y178" i="22"/>
  <c r="AW178" i="22"/>
  <c r="AQ178" i="22"/>
  <c r="M178" i="22"/>
  <c r="S178" i="22"/>
  <c r="M186" i="22"/>
  <c r="Y186" i="22"/>
  <c r="AK186" i="22"/>
  <c r="AQ186" i="22"/>
  <c r="BC186" i="22"/>
  <c r="S186" i="22"/>
  <c r="AE186" i="22"/>
  <c r="AW186" i="22"/>
  <c r="CS149" i="21"/>
  <c r="BQ149" i="21"/>
  <c r="AO149" i="21"/>
  <c r="M149" i="21"/>
  <c r="BX149" i="21"/>
  <c r="AV149" i="21"/>
  <c r="T149" i="21"/>
  <c r="BC149" i="21"/>
  <c r="B185" i="21"/>
  <c r="CL149" i="21"/>
  <c r="AH149" i="21"/>
  <c r="AA149" i="21"/>
  <c r="BJ149" i="21"/>
  <c r="CE149" i="21"/>
  <c r="E9" i="14" l="1"/>
  <c r="G9" i="14"/>
  <c r="D9" i="14"/>
  <c r="F9" i="14"/>
  <c r="F184" i="31"/>
  <c r="AY183" i="15"/>
  <c r="F184" i="22"/>
  <c r="AA183" i="22"/>
  <c r="F71" i="31"/>
  <c r="C40" i="31" s="1"/>
  <c r="BT146" i="31"/>
  <c r="BS147" i="31" s="1"/>
  <c r="BS145" i="31"/>
  <c r="CH146" i="31"/>
  <c r="CG147" i="31" s="1"/>
  <c r="CG145" i="31"/>
  <c r="AK146" i="31"/>
  <c r="AJ147" i="31" s="1"/>
  <c r="AJ145" i="31"/>
  <c r="B136" i="31"/>
  <c r="B128" i="31"/>
  <c r="B120" i="31"/>
  <c r="I136" i="31"/>
  <c r="B129" i="31"/>
  <c r="I116" i="31"/>
  <c r="B135" i="31"/>
  <c r="I124" i="31"/>
  <c r="I111" i="31"/>
  <c r="I114" i="31"/>
  <c r="I129" i="31"/>
  <c r="I133" i="31"/>
  <c r="I112" i="31"/>
  <c r="I134" i="31"/>
  <c r="I126" i="31"/>
  <c r="I118" i="31"/>
  <c r="I135" i="31"/>
  <c r="I121" i="31"/>
  <c r="I115" i="31"/>
  <c r="B134" i="31"/>
  <c r="I123" i="31"/>
  <c r="I128" i="31"/>
  <c r="I132" i="31"/>
  <c r="I127" i="31"/>
  <c r="B125" i="31"/>
  <c r="B132" i="31"/>
  <c r="B124" i="31"/>
  <c r="B117" i="31"/>
  <c r="B131" i="31"/>
  <c r="I120" i="31"/>
  <c r="I113" i="31"/>
  <c r="B133" i="31"/>
  <c r="B119" i="31"/>
  <c r="B122" i="31"/>
  <c r="B126" i="31"/>
  <c r="B127" i="31"/>
  <c r="I131" i="31"/>
  <c r="I130" i="31"/>
  <c r="I122" i="31"/>
  <c r="B115" i="31"/>
  <c r="B130" i="31"/>
  <c r="I119" i="31"/>
  <c r="I110" i="31"/>
  <c r="I125" i="31"/>
  <c r="B118" i="31"/>
  <c r="B116" i="31"/>
  <c r="I117" i="31"/>
  <c r="B121" i="31"/>
  <c r="B123" i="31"/>
  <c r="AR146" i="31"/>
  <c r="AQ147" i="31" s="1"/>
  <c r="AQ145" i="31"/>
  <c r="AY146" i="31"/>
  <c r="AX147" i="31" s="1"/>
  <c r="AX145" i="31"/>
  <c r="CV146" i="31"/>
  <c r="CU147" i="31" s="1"/>
  <c r="CU145" i="31"/>
  <c r="BF146" i="31"/>
  <c r="BE147" i="31" s="1"/>
  <c r="BE145" i="31"/>
  <c r="Y185" i="31"/>
  <c r="BC185" i="31"/>
  <c r="AK185" i="31"/>
  <c r="S185" i="31"/>
  <c r="AW185" i="31"/>
  <c r="AE185" i="31"/>
  <c r="M185" i="31"/>
  <c r="AQ185" i="31"/>
  <c r="P146" i="31"/>
  <c r="O147" i="31" s="1"/>
  <c r="O145" i="31"/>
  <c r="AD146" i="31"/>
  <c r="AC147" i="31" s="1"/>
  <c r="AC145" i="31"/>
  <c r="CA146" i="31"/>
  <c r="BZ147" i="31" s="1"/>
  <c r="BZ145" i="31"/>
  <c r="W146" i="31"/>
  <c r="V147" i="31" s="1"/>
  <c r="V145" i="31"/>
  <c r="F72" i="31"/>
  <c r="C41" i="31" s="1"/>
  <c r="BM146" i="31"/>
  <c r="BL147" i="31" s="1"/>
  <c r="BL145" i="31"/>
  <c r="CO146" i="31"/>
  <c r="CN147" i="31" s="1"/>
  <c r="CN145" i="31"/>
  <c r="AQ184" i="31"/>
  <c r="M184" i="31"/>
  <c r="BC184" i="31"/>
  <c r="AW184" i="31"/>
  <c r="S184" i="31"/>
  <c r="Y184" i="31"/>
  <c r="AE184" i="31"/>
  <c r="AK184" i="31"/>
  <c r="AG182" i="31"/>
  <c r="AM183" i="31"/>
  <c r="AY182" i="31"/>
  <c r="U182" i="31"/>
  <c r="O182" i="31"/>
  <c r="U183" i="31"/>
  <c r="AM182" i="31"/>
  <c r="AG183" i="31"/>
  <c r="AS182" i="31"/>
  <c r="AA182" i="31"/>
  <c r="AY183" i="31"/>
  <c r="O183" i="31"/>
  <c r="BE182" i="31"/>
  <c r="F183" i="31"/>
  <c r="N191" i="31" s="1"/>
  <c r="T191" i="31" s="1"/>
  <c r="Z191" i="31" s="1"/>
  <c r="AF191" i="31" s="1"/>
  <c r="AL191" i="31" s="1"/>
  <c r="AR191" i="31" s="1"/>
  <c r="AX191" i="31" s="1"/>
  <c r="BD191" i="31" s="1"/>
  <c r="AS183" i="31"/>
  <c r="AA183" i="31"/>
  <c r="BE183" i="31"/>
  <c r="A109" i="20"/>
  <c r="A147" i="20" s="1"/>
  <c r="A183" i="20" s="1"/>
  <c r="A71" i="20"/>
  <c r="AG183" i="22"/>
  <c r="U183" i="22"/>
  <c r="AY182" i="22"/>
  <c r="AS183" i="22"/>
  <c r="O183" i="22"/>
  <c r="AM182" i="22"/>
  <c r="AG183" i="18"/>
  <c r="BE182" i="22"/>
  <c r="AS183" i="15"/>
  <c r="N155" i="19"/>
  <c r="U155" i="19" s="1"/>
  <c r="AB155" i="19" s="1"/>
  <c r="AI155" i="19" s="1"/>
  <c r="AP155" i="19" s="1"/>
  <c r="AW155" i="19" s="1"/>
  <c r="BD155" i="19" s="1"/>
  <c r="BK155" i="19" s="1"/>
  <c r="BR155" i="19" s="1"/>
  <c r="BY155" i="19" s="1"/>
  <c r="CF155" i="19" s="1"/>
  <c r="CM155" i="19" s="1"/>
  <c r="CT155" i="19" s="1"/>
  <c r="G109" i="17"/>
  <c r="F112" i="17" s="1"/>
  <c r="U183" i="15"/>
  <c r="AA183" i="15"/>
  <c r="AG182" i="22"/>
  <c r="BE183" i="18"/>
  <c r="N155" i="21"/>
  <c r="U155" i="21" s="1"/>
  <c r="AB155" i="21" s="1"/>
  <c r="AI155" i="21" s="1"/>
  <c r="AP155" i="21" s="1"/>
  <c r="AW155" i="21" s="1"/>
  <c r="BD155" i="21" s="1"/>
  <c r="BK155" i="21" s="1"/>
  <c r="BR155" i="21" s="1"/>
  <c r="BY155" i="21" s="1"/>
  <c r="CF155" i="21" s="1"/>
  <c r="CM155" i="21" s="1"/>
  <c r="CT155" i="21" s="1"/>
  <c r="AA182" i="22"/>
  <c r="F183" i="22"/>
  <c r="N191" i="22" s="1"/>
  <c r="T191" i="22" s="1"/>
  <c r="Z191" i="22" s="1"/>
  <c r="AF191" i="22" s="1"/>
  <c r="AL191" i="22" s="1"/>
  <c r="AR191" i="22" s="1"/>
  <c r="AX191" i="22" s="1"/>
  <c r="BD191" i="22" s="1"/>
  <c r="G108" i="19"/>
  <c r="F111" i="19" s="1"/>
  <c r="AM183" i="15"/>
  <c r="G109" i="21"/>
  <c r="F112" i="21" s="1"/>
  <c r="U182" i="22"/>
  <c r="O182" i="22"/>
  <c r="O183" i="15"/>
  <c r="G108" i="21"/>
  <c r="F111" i="21" s="1"/>
  <c r="A109" i="21"/>
  <c r="A147" i="21" s="1"/>
  <c r="A183" i="21" s="1"/>
  <c r="A71" i="21"/>
  <c r="B181" i="23"/>
  <c r="CS145" i="23"/>
  <c r="CL145" i="23"/>
  <c r="CE145" i="23"/>
  <c r="BX145" i="23"/>
  <c r="BQ145" i="23"/>
  <c r="BJ145" i="23"/>
  <c r="BC145" i="23"/>
  <c r="AV145" i="23"/>
  <c r="AO145" i="23"/>
  <c r="AH145" i="23"/>
  <c r="AA145" i="23"/>
  <c r="T145" i="23"/>
  <c r="M145" i="23"/>
  <c r="N155" i="23"/>
  <c r="U155" i="23" s="1"/>
  <c r="AB155" i="23" s="1"/>
  <c r="AI155" i="23" s="1"/>
  <c r="AP155" i="23" s="1"/>
  <c r="AW155" i="23" s="1"/>
  <c r="BD155" i="23" s="1"/>
  <c r="BK155" i="23" s="1"/>
  <c r="BR155" i="23" s="1"/>
  <c r="BY155" i="23" s="1"/>
  <c r="CF155" i="23" s="1"/>
  <c r="CM155" i="23" s="1"/>
  <c r="CT155" i="23" s="1"/>
  <c r="BC188" i="19"/>
  <c r="AQ188" i="19"/>
  <c r="AE188" i="19"/>
  <c r="S188" i="19"/>
  <c r="AK188" i="19"/>
  <c r="AW188" i="19"/>
  <c r="M188" i="19"/>
  <c r="Y188" i="19"/>
  <c r="D183" i="23"/>
  <c r="E147" i="23"/>
  <c r="B186" i="23"/>
  <c r="CS150" i="23"/>
  <c r="BQ150" i="23"/>
  <c r="AO150" i="23"/>
  <c r="M150" i="23"/>
  <c r="BX150" i="23"/>
  <c r="AV150" i="23"/>
  <c r="T150" i="23"/>
  <c r="BC150" i="23"/>
  <c r="CL150" i="23"/>
  <c r="AH150" i="23"/>
  <c r="BJ150" i="23"/>
  <c r="CE150" i="23"/>
  <c r="AA150" i="23"/>
  <c r="B182" i="19"/>
  <c r="CS146" i="19"/>
  <c r="CE146" i="19"/>
  <c r="BQ146" i="19"/>
  <c r="BC146" i="19"/>
  <c r="AO146" i="19"/>
  <c r="AA146" i="19"/>
  <c r="M146" i="19"/>
  <c r="AV146" i="19"/>
  <c r="BJ146" i="19"/>
  <c r="T146" i="19"/>
  <c r="CL146" i="19"/>
  <c r="AH146" i="19"/>
  <c r="BX146" i="19"/>
  <c r="BC184" i="19"/>
  <c r="AQ184" i="19"/>
  <c r="AE184" i="19"/>
  <c r="S184" i="19"/>
  <c r="AW184" i="19"/>
  <c r="Y184" i="19"/>
  <c r="AK184" i="19"/>
  <c r="M184" i="19"/>
  <c r="AQ179" i="18"/>
  <c r="S179" i="18"/>
  <c r="AW179" i="18"/>
  <c r="Y179" i="18"/>
  <c r="AK179" i="18"/>
  <c r="M179" i="18"/>
  <c r="AE179" i="18"/>
  <c r="BC179" i="18"/>
  <c r="BE182" i="18"/>
  <c r="AG182" i="18"/>
  <c r="F183" i="18"/>
  <c r="N191" i="18" s="1"/>
  <c r="T191" i="18" s="1"/>
  <c r="Z191" i="18" s="1"/>
  <c r="AF191" i="18" s="1"/>
  <c r="AL191" i="18" s="1"/>
  <c r="AR191" i="18" s="1"/>
  <c r="AX191" i="18" s="1"/>
  <c r="BD191" i="18" s="1"/>
  <c r="AS182" i="18"/>
  <c r="U182" i="18"/>
  <c r="AM182" i="18"/>
  <c r="O182" i="18"/>
  <c r="AY182" i="18"/>
  <c r="AA182" i="18"/>
  <c r="S179" i="23"/>
  <c r="AQ179" i="23"/>
  <c r="Y179" i="23"/>
  <c r="AK179" i="23"/>
  <c r="M179" i="23"/>
  <c r="BC179" i="23"/>
  <c r="AW179" i="23"/>
  <c r="AE179" i="23"/>
  <c r="A72" i="17"/>
  <c r="A110" i="17"/>
  <c r="A148" i="17" s="1"/>
  <c r="A184" i="17" s="1"/>
  <c r="CE150" i="17"/>
  <c r="BC150" i="17"/>
  <c r="AA150" i="17"/>
  <c r="CL150" i="17"/>
  <c r="BJ150" i="17"/>
  <c r="AH150" i="17"/>
  <c r="B186" i="17"/>
  <c r="CS150" i="17"/>
  <c r="AO150" i="17"/>
  <c r="BQ150" i="17"/>
  <c r="BX150" i="17"/>
  <c r="T150" i="17"/>
  <c r="M150" i="17"/>
  <c r="AV150" i="17"/>
  <c r="B135" i="22"/>
  <c r="I128" i="22"/>
  <c r="B123" i="22"/>
  <c r="B128" i="22"/>
  <c r="BC183" i="15"/>
  <c r="AQ183" i="15"/>
  <c r="AE183" i="15"/>
  <c r="S183" i="15"/>
  <c r="AK183" i="15"/>
  <c r="M183" i="15"/>
  <c r="AW183" i="15"/>
  <c r="Y183" i="15"/>
  <c r="G108" i="17"/>
  <c r="F111" i="17" s="1"/>
  <c r="B183" i="19"/>
  <c r="CL147" i="19"/>
  <c r="BX147" i="19"/>
  <c r="BJ147" i="19"/>
  <c r="AV147" i="19"/>
  <c r="AH147" i="19"/>
  <c r="T147" i="19"/>
  <c r="BC147" i="19"/>
  <c r="BQ147" i="19"/>
  <c r="M147" i="19"/>
  <c r="AA147" i="19"/>
  <c r="AO147" i="19"/>
  <c r="CS147" i="19"/>
  <c r="CE147" i="19"/>
  <c r="CL144" i="17"/>
  <c r="BX144" i="17"/>
  <c r="BJ144" i="17"/>
  <c r="AV144" i="17"/>
  <c r="AH144" i="17"/>
  <c r="T144" i="17"/>
  <c r="B180" i="17"/>
  <c r="CE144" i="17"/>
  <c r="AA144" i="17"/>
  <c r="BQ144" i="17"/>
  <c r="M144" i="17"/>
  <c r="CS144" i="17"/>
  <c r="AO144" i="17"/>
  <c r="BC144" i="17"/>
  <c r="N155" i="17"/>
  <c r="U155" i="17" s="1"/>
  <c r="AB155" i="17" s="1"/>
  <c r="AI155" i="17" s="1"/>
  <c r="AP155" i="17" s="1"/>
  <c r="AW155" i="17" s="1"/>
  <c r="BD155" i="17" s="1"/>
  <c r="BK155" i="17" s="1"/>
  <c r="BR155" i="17" s="1"/>
  <c r="BY155" i="17" s="1"/>
  <c r="CF155" i="17" s="1"/>
  <c r="CM155" i="17" s="1"/>
  <c r="CT155" i="17" s="1"/>
  <c r="CE149" i="17"/>
  <c r="BC149" i="17"/>
  <c r="AA149" i="17"/>
  <c r="B185" i="17"/>
  <c r="CL149" i="17"/>
  <c r="BJ149" i="17"/>
  <c r="AH149" i="17"/>
  <c r="CS149" i="17"/>
  <c r="AO149" i="17"/>
  <c r="M149" i="17"/>
  <c r="BX149" i="17"/>
  <c r="T149" i="17"/>
  <c r="BQ149" i="17"/>
  <c r="AV149" i="17"/>
  <c r="AW181" i="21"/>
  <c r="AK181" i="21"/>
  <c r="Y181" i="21"/>
  <c r="M181" i="21"/>
  <c r="AE181" i="21"/>
  <c r="BC181" i="21"/>
  <c r="S181" i="21"/>
  <c r="AQ181" i="21"/>
  <c r="C72" i="23"/>
  <c r="D148" i="23"/>
  <c r="B182" i="17"/>
  <c r="CL146" i="17"/>
  <c r="BX146" i="17"/>
  <c r="BJ146" i="17"/>
  <c r="AV146" i="17"/>
  <c r="AH146" i="17"/>
  <c r="T146" i="17"/>
  <c r="BC146" i="17"/>
  <c r="BQ146" i="17"/>
  <c r="M146" i="17"/>
  <c r="AO146" i="17"/>
  <c r="CS146" i="17"/>
  <c r="CE146" i="17"/>
  <c r="AA146" i="17"/>
  <c r="AQ179" i="19"/>
  <c r="S179" i="19"/>
  <c r="AW179" i="19"/>
  <c r="Y179" i="19"/>
  <c r="AE179" i="19"/>
  <c r="M179" i="19"/>
  <c r="BC179" i="19"/>
  <c r="AK179" i="19"/>
  <c r="BC182" i="15"/>
  <c r="AQ182" i="15"/>
  <c r="AE182" i="15"/>
  <c r="S182" i="15"/>
  <c r="AW182" i="15"/>
  <c r="Y182" i="15"/>
  <c r="AK182" i="15"/>
  <c r="M182" i="15"/>
  <c r="AQ179" i="15"/>
  <c r="S179" i="15"/>
  <c r="AW179" i="15"/>
  <c r="Y179" i="15"/>
  <c r="M179" i="15"/>
  <c r="AE179" i="15"/>
  <c r="AK179" i="15"/>
  <c r="BC179" i="15"/>
  <c r="AM182" i="15"/>
  <c r="O182" i="15"/>
  <c r="AY182" i="15"/>
  <c r="AS182" i="15"/>
  <c r="U182" i="15"/>
  <c r="F183" i="15"/>
  <c r="N191" i="15" s="1"/>
  <c r="T191" i="15" s="1"/>
  <c r="Z191" i="15" s="1"/>
  <c r="AF191" i="15" s="1"/>
  <c r="AL191" i="15" s="1"/>
  <c r="AR191" i="15" s="1"/>
  <c r="AX191" i="15" s="1"/>
  <c r="BD191" i="15" s="1"/>
  <c r="BE182" i="15"/>
  <c r="AG182" i="15"/>
  <c r="AA182" i="15"/>
  <c r="D184" i="21"/>
  <c r="E148" i="21"/>
  <c r="CS149" i="23"/>
  <c r="BQ149" i="23"/>
  <c r="AO149" i="23"/>
  <c r="M149" i="23"/>
  <c r="BX149" i="23"/>
  <c r="AV149" i="23"/>
  <c r="T149" i="23"/>
  <c r="BC149" i="23"/>
  <c r="CL149" i="23"/>
  <c r="AH149" i="23"/>
  <c r="BJ149" i="23"/>
  <c r="CE149" i="23"/>
  <c r="B185" i="23"/>
  <c r="AA149" i="23"/>
  <c r="B186" i="21"/>
  <c r="CS150" i="21"/>
  <c r="BQ150" i="21"/>
  <c r="AO150" i="21"/>
  <c r="M150" i="21"/>
  <c r="BX150" i="21"/>
  <c r="AV150" i="21"/>
  <c r="T150" i="21"/>
  <c r="BC150" i="21"/>
  <c r="CL150" i="21"/>
  <c r="AH150" i="21"/>
  <c r="BJ150" i="21"/>
  <c r="AA150" i="21"/>
  <c r="CE150" i="21"/>
  <c r="B180" i="21"/>
  <c r="CS144" i="21"/>
  <c r="CL144" i="21"/>
  <c r="CE144" i="21"/>
  <c r="BX144" i="21"/>
  <c r="BQ144" i="21"/>
  <c r="BJ144" i="21"/>
  <c r="BC144" i="21"/>
  <c r="AV144" i="21"/>
  <c r="AO144" i="21"/>
  <c r="AH144" i="21"/>
  <c r="AA144" i="21"/>
  <c r="T144" i="21"/>
  <c r="M144" i="21"/>
  <c r="G109" i="19"/>
  <c r="F112" i="19" s="1"/>
  <c r="S179" i="22"/>
  <c r="AQ179" i="22"/>
  <c r="M179" i="22"/>
  <c r="BC179" i="22"/>
  <c r="AW179" i="22"/>
  <c r="AE179" i="22"/>
  <c r="AK179" i="22"/>
  <c r="Y179" i="22"/>
  <c r="D148" i="19"/>
  <c r="C72" i="19"/>
  <c r="AW188" i="18"/>
  <c r="AK188" i="18"/>
  <c r="Y188" i="18"/>
  <c r="M188" i="18"/>
  <c r="AQ188" i="18"/>
  <c r="S188" i="18"/>
  <c r="BC188" i="18"/>
  <c r="AE188" i="18"/>
  <c r="A109" i="22"/>
  <c r="A147" i="22" s="1"/>
  <c r="A183" i="22" s="1"/>
  <c r="A71" i="22"/>
  <c r="B187" i="19"/>
  <c r="CS151" i="19"/>
  <c r="CE151" i="19"/>
  <c r="BQ151" i="19"/>
  <c r="BC151" i="19"/>
  <c r="AO151" i="19"/>
  <c r="AA151" i="19"/>
  <c r="M151" i="19"/>
  <c r="CL151" i="19"/>
  <c r="AH151" i="19"/>
  <c r="AV151" i="19"/>
  <c r="T151" i="19"/>
  <c r="BX151" i="19"/>
  <c r="BJ151" i="19"/>
  <c r="F184" i="20"/>
  <c r="BE183" i="20"/>
  <c r="AS183" i="20"/>
  <c r="AG183" i="20"/>
  <c r="U183" i="20"/>
  <c r="AM183" i="20"/>
  <c r="O183" i="20"/>
  <c r="AA183" i="20"/>
  <c r="AY183" i="20"/>
  <c r="AW184" i="20"/>
  <c r="S184" i="20"/>
  <c r="M184" i="20"/>
  <c r="AK184" i="20"/>
  <c r="Y184" i="20"/>
  <c r="AE184" i="20"/>
  <c r="BC184" i="20"/>
  <c r="AQ184" i="20"/>
  <c r="S183" i="22"/>
  <c r="M183" i="22"/>
  <c r="AQ183" i="22"/>
  <c r="AE183" i="22"/>
  <c r="Y183" i="22"/>
  <c r="AK183" i="22"/>
  <c r="AW183" i="22"/>
  <c r="BC183" i="22"/>
  <c r="S187" i="22"/>
  <c r="AE187" i="22"/>
  <c r="AW187" i="22"/>
  <c r="AK187" i="22"/>
  <c r="BC187" i="22"/>
  <c r="M187" i="22"/>
  <c r="Y187" i="22"/>
  <c r="AQ187" i="22"/>
  <c r="D148" i="18"/>
  <c r="C72" i="18"/>
  <c r="AK185" i="22"/>
  <c r="AQ185" i="22"/>
  <c r="BC185" i="22"/>
  <c r="M185" i="22"/>
  <c r="S185" i="22"/>
  <c r="Y185" i="22"/>
  <c r="AW185" i="22"/>
  <c r="AE185" i="22"/>
  <c r="F184" i="18"/>
  <c r="O183" i="18"/>
  <c r="AM183" i="18"/>
  <c r="A72" i="18"/>
  <c r="A110" i="18"/>
  <c r="A148" i="18" s="1"/>
  <c r="A184" i="18" s="1"/>
  <c r="I106" i="22"/>
  <c r="I105" i="22"/>
  <c r="I133" i="22"/>
  <c r="I111" i="22"/>
  <c r="I132" i="22"/>
  <c r="I114" i="22"/>
  <c r="I129" i="22"/>
  <c r="B115" i="22"/>
  <c r="I122" i="22"/>
  <c r="I130" i="22"/>
  <c r="I109" i="22"/>
  <c r="B121" i="22"/>
  <c r="B129" i="22"/>
  <c r="AS182" i="22"/>
  <c r="BC185" i="15"/>
  <c r="AQ185" i="15"/>
  <c r="AE185" i="15"/>
  <c r="S185" i="15"/>
  <c r="M185" i="15"/>
  <c r="AW185" i="15"/>
  <c r="Y185" i="15"/>
  <c r="AK185" i="15"/>
  <c r="G108" i="23"/>
  <c r="F111" i="23" s="1"/>
  <c r="G109" i="23"/>
  <c r="F112" i="23" s="1"/>
  <c r="AM183" i="22"/>
  <c r="AY183" i="22"/>
  <c r="BE183" i="22"/>
  <c r="D148" i="20"/>
  <c r="C72" i="20"/>
  <c r="B188" i="17"/>
  <c r="CS152" i="17"/>
  <c r="CE152" i="17"/>
  <c r="BQ152" i="17"/>
  <c r="BC152" i="17"/>
  <c r="AO152" i="17"/>
  <c r="AA152" i="17"/>
  <c r="M152" i="17"/>
  <c r="AV152" i="17"/>
  <c r="BJ152" i="17"/>
  <c r="AH152" i="17"/>
  <c r="BX152" i="17"/>
  <c r="T152" i="17"/>
  <c r="CL152" i="17"/>
  <c r="CS148" i="21"/>
  <c r="BQ148" i="21"/>
  <c r="AO148" i="21"/>
  <c r="M148" i="21"/>
  <c r="BX148" i="21"/>
  <c r="AV148" i="21"/>
  <c r="T148" i="21"/>
  <c r="BC148" i="21"/>
  <c r="B184" i="21"/>
  <c r="CL148" i="21"/>
  <c r="AH148" i="21"/>
  <c r="BJ148" i="21"/>
  <c r="AA148" i="21"/>
  <c r="CE148" i="21"/>
  <c r="B187" i="17"/>
  <c r="CL151" i="17"/>
  <c r="BX151" i="17"/>
  <c r="BJ151" i="17"/>
  <c r="AV151" i="17"/>
  <c r="AH151" i="17"/>
  <c r="T151" i="17"/>
  <c r="CS151" i="17"/>
  <c r="AO151" i="17"/>
  <c r="BC151" i="17"/>
  <c r="AA151" i="17"/>
  <c r="BQ151" i="17"/>
  <c r="M151" i="17"/>
  <c r="CE151" i="17"/>
  <c r="F184" i="15"/>
  <c r="AG183" i="15"/>
  <c r="BE183" i="15"/>
  <c r="D183" i="22"/>
  <c r="E147" i="22"/>
  <c r="B183" i="17"/>
  <c r="CS147" i="17"/>
  <c r="CE147" i="17"/>
  <c r="BQ147" i="17"/>
  <c r="BC147" i="17"/>
  <c r="AO147" i="17"/>
  <c r="AA147" i="17"/>
  <c r="M147" i="17"/>
  <c r="BJ147" i="17"/>
  <c r="BX147" i="17"/>
  <c r="T147" i="17"/>
  <c r="AV147" i="17"/>
  <c r="AH147" i="17"/>
  <c r="CL147" i="17"/>
  <c r="AQ186" i="20"/>
  <c r="BC186" i="20"/>
  <c r="M186" i="20"/>
  <c r="AW186" i="20"/>
  <c r="AK186" i="20"/>
  <c r="S186" i="20"/>
  <c r="AE186" i="20"/>
  <c r="Y186" i="20"/>
  <c r="BC187" i="15"/>
  <c r="AQ187" i="15"/>
  <c r="AE187" i="15"/>
  <c r="S187" i="15"/>
  <c r="AW187" i="15"/>
  <c r="Y187" i="15"/>
  <c r="AK187" i="15"/>
  <c r="M187" i="15"/>
  <c r="C73" i="21"/>
  <c r="D149" i="21"/>
  <c r="E149" i="21" s="1"/>
  <c r="A109" i="23"/>
  <c r="A147" i="23" s="1"/>
  <c r="A183" i="23" s="1"/>
  <c r="A71" i="23"/>
  <c r="D148" i="15"/>
  <c r="C72" i="15"/>
  <c r="M183" i="20"/>
  <c r="AK183" i="20"/>
  <c r="Y183" i="20"/>
  <c r="AE183" i="20"/>
  <c r="S183" i="20"/>
  <c r="BC183" i="20"/>
  <c r="AQ183" i="20"/>
  <c r="AW183" i="20"/>
  <c r="B135" i="20"/>
  <c r="I133" i="20"/>
  <c r="D34" i="20" s="1"/>
  <c r="E45" i="20" s="1"/>
  <c r="B131" i="20"/>
  <c r="I129" i="20"/>
  <c r="D30" i="20" s="1"/>
  <c r="B127" i="20"/>
  <c r="I125" i="20"/>
  <c r="D26" i="20" s="1"/>
  <c r="B123" i="20"/>
  <c r="I121" i="20"/>
  <c r="D22" i="20" s="1"/>
  <c r="B119" i="20"/>
  <c r="I117" i="20"/>
  <c r="D18" i="20" s="1"/>
  <c r="I115" i="20"/>
  <c r="D16" i="20" s="1"/>
  <c r="I114" i="20"/>
  <c r="D15" i="20" s="1"/>
  <c r="I113" i="20"/>
  <c r="D14" i="20" s="1"/>
  <c r="I112" i="20"/>
  <c r="D13" i="20" s="1"/>
  <c r="I107" i="20"/>
  <c r="D8" i="20" s="1"/>
  <c r="I106" i="20"/>
  <c r="D7" i="20" s="1"/>
  <c r="I105" i="20"/>
  <c r="D6" i="20" s="1"/>
  <c r="I136" i="20"/>
  <c r="D37" i="20" s="1"/>
  <c r="B134" i="20"/>
  <c r="I132" i="20"/>
  <c r="D33" i="20" s="1"/>
  <c r="B130" i="20"/>
  <c r="I128" i="20"/>
  <c r="D29" i="20" s="1"/>
  <c r="D45" i="20" s="1"/>
  <c r="B126" i="20"/>
  <c r="I124" i="20"/>
  <c r="D25" i="20" s="1"/>
  <c r="B122" i="20"/>
  <c r="I120" i="20"/>
  <c r="D21" i="20" s="1"/>
  <c r="B118" i="20"/>
  <c r="B116" i="20"/>
  <c r="I111" i="20"/>
  <c r="D12" i="20" s="1"/>
  <c r="B136" i="20"/>
  <c r="I134" i="20"/>
  <c r="D35" i="20" s="1"/>
  <c r="B128" i="20"/>
  <c r="I126" i="20"/>
  <c r="D27" i="20" s="1"/>
  <c r="B120" i="20"/>
  <c r="I118" i="20"/>
  <c r="D19" i="20" s="1"/>
  <c r="B45" i="20" s="1"/>
  <c r="B117" i="20"/>
  <c r="B132" i="20"/>
  <c r="I130" i="20"/>
  <c r="D31" i="20" s="1"/>
  <c r="B124" i="20"/>
  <c r="B115" i="20"/>
  <c r="I108" i="20"/>
  <c r="D9" i="20" s="1"/>
  <c r="I135" i="20"/>
  <c r="D36" i="20" s="1"/>
  <c r="B129" i="20"/>
  <c r="I127" i="20"/>
  <c r="D28" i="20" s="1"/>
  <c r="B121" i="20"/>
  <c r="I119" i="20"/>
  <c r="D20" i="20" s="1"/>
  <c r="I116" i="20"/>
  <c r="D17" i="20" s="1"/>
  <c r="I110" i="20"/>
  <c r="D11" i="20" s="1"/>
  <c r="I109" i="20"/>
  <c r="D10" i="20" s="1"/>
  <c r="I122" i="20"/>
  <c r="D23" i="20" s="1"/>
  <c r="I104" i="20"/>
  <c r="D5" i="20" s="1"/>
  <c r="I123" i="20"/>
  <c r="D24" i="20" s="1"/>
  <c r="C45" i="20" s="1"/>
  <c r="B125" i="20"/>
  <c r="I131" i="20"/>
  <c r="D32" i="20" s="1"/>
  <c r="B133" i="20"/>
  <c r="BC182" i="18"/>
  <c r="AQ182" i="18"/>
  <c r="AE182" i="18"/>
  <c r="S182" i="18"/>
  <c r="M182" i="18"/>
  <c r="Y182" i="18"/>
  <c r="AW182" i="18"/>
  <c r="AK182" i="18"/>
  <c r="D183" i="19"/>
  <c r="E147" i="19"/>
  <c r="D148" i="17"/>
  <c r="C72" i="17"/>
  <c r="M188" i="20"/>
  <c r="AW188" i="20"/>
  <c r="AK188" i="20"/>
  <c r="S188" i="20"/>
  <c r="AE188" i="20"/>
  <c r="AQ188" i="20"/>
  <c r="Y188" i="20"/>
  <c r="BC188" i="20"/>
  <c r="CE149" i="19"/>
  <c r="BC149" i="19"/>
  <c r="AA149" i="19"/>
  <c r="B185" i="19"/>
  <c r="CL149" i="19"/>
  <c r="BJ149" i="19"/>
  <c r="AH149" i="19"/>
  <c r="BQ149" i="19"/>
  <c r="M149" i="19"/>
  <c r="CS149" i="19"/>
  <c r="AV149" i="19"/>
  <c r="AO149" i="19"/>
  <c r="BX149" i="19"/>
  <c r="T149" i="19"/>
  <c r="E147" i="18"/>
  <c r="D183" i="18"/>
  <c r="AW185" i="18"/>
  <c r="AK185" i="18"/>
  <c r="Y185" i="18"/>
  <c r="M185" i="18"/>
  <c r="BC185" i="18"/>
  <c r="AQ185" i="18"/>
  <c r="AE185" i="18"/>
  <c r="S185" i="18"/>
  <c r="B188" i="21"/>
  <c r="CS152" i="21"/>
  <c r="CL152" i="21"/>
  <c r="CE152" i="21"/>
  <c r="BX152" i="21"/>
  <c r="BQ152" i="21"/>
  <c r="BJ152" i="21"/>
  <c r="BC152" i="21"/>
  <c r="AV152" i="21"/>
  <c r="AO152" i="21"/>
  <c r="AH152" i="21"/>
  <c r="AA152" i="21"/>
  <c r="T152" i="21"/>
  <c r="M152" i="21"/>
  <c r="U183" i="18"/>
  <c r="AS183" i="18"/>
  <c r="I120" i="22"/>
  <c r="B119" i="22"/>
  <c r="I107" i="22"/>
  <c r="B116" i="22"/>
  <c r="B118" i="22"/>
  <c r="B134" i="22"/>
  <c r="I115" i="22"/>
  <c r="B131" i="22"/>
  <c r="B117" i="22"/>
  <c r="B124" i="22"/>
  <c r="B132" i="22"/>
  <c r="I110" i="22"/>
  <c r="I123" i="22"/>
  <c r="I131" i="22"/>
  <c r="AQ185" i="21"/>
  <c r="M185" i="21"/>
  <c r="AE185" i="21"/>
  <c r="AW185" i="21"/>
  <c r="S185" i="21"/>
  <c r="Y185" i="21"/>
  <c r="BC185" i="21"/>
  <c r="AK185" i="21"/>
  <c r="AK180" i="19"/>
  <c r="M180" i="19"/>
  <c r="AQ180" i="19"/>
  <c r="S180" i="19"/>
  <c r="AW180" i="19"/>
  <c r="AE180" i="19"/>
  <c r="Y180" i="19"/>
  <c r="BC180" i="19"/>
  <c r="AK180" i="15"/>
  <c r="M180" i="15"/>
  <c r="AQ180" i="15"/>
  <c r="S180" i="15"/>
  <c r="AE180" i="15"/>
  <c r="AW180" i="15"/>
  <c r="Y180" i="15"/>
  <c r="BC180" i="15"/>
  <c r="Y179" i="21"/>
  <c r="AW179" i="21"/>
  <c r="AK179" i="21"/>
  <c r="BC179" i="21"/>
  <c r="M179" i="21"/>
  <c r="AQ179" i="21"/>
  <c r="AE179" i="21"/>
  <c r="S179" i="21"/>
  <c r="CS148" i="23"/>
  <c r="BQ148" i="23"/>
  <c r="AO148" i="23"/>
  <c r="M148" i="23"/>
  <c r="BX148" i="23"/>
  <c r="AV148" i="23"/>
  <c r="T148" i="23"/>
  <c r="BC148" i="23"/>
  <c r="CL148" i="23"/>
  <c r="AH148" i="23"/>
  <c r="BJ148" i="23"/>
  <c r="B184" i="23"/>
  <c r="CE148" i="23"/>
  <c r="AA148" i="23"/>
  <c r="CE148" i="17"/>
  <c r="BC148" i="17"/>
  <c r="AA148" i="17"/>
  <c r="B184" i="17"/>
  <c r="CL148" i="17"/>
  <c r="BJ148" i="17"/>
  <c r="AH148" i="17"/>
  <c r="CS148" i="17"/>
  <c r="AO148" i="17"/>
  <c r="M148" i="17"/>
  <c r="BX148" i="17"/>
  <c r="T148" i="17"/>
  <c r="BQ148" i="17"/>
  <c r="AV148" i="17"/>
  <c r="CS145" i="17"/>
  <c r="CE145" i="17"/>
  <c r="BQ145" i="17"/>
  <c r="BC145" i="17"/>
  <c r="AO145" i="17"/>
  <c r="AA145" i="17"/>
  <c r="M145" i="17"/>
  <c r="AV145" i="17"/>
  <c r="B181" i="17"/>
  <c r="BJ145" i="17"/>
  <c r="AH145" i="17"/>
  <c r="BX145" i="17"/>
  <c r="T145" i="17"/>
  <c r="CL145" i="17"/>
  <c r="B130" i="22"/>
  <c r="B127" i="22"/>
  <c r="B126" i="22"/>
  <c r="I113" i="22"/>
  <c r="I108" i="22"/>
  <c r="B120" i="22"/>
  <c r="B136" i="22"/>
  <c r="I119" i="22"/>
  <c r="I127" i="22"/>
  <c r="I135" i="22"/>
  <c r="CS147" i="23"/>
  <c r="CL147" i="23"/>
  <c r="CE147" i="23"/>
  <c r="BX147" i="23"/>
  <c r="BQ147" i="23"/>
  <c r="BJ147" i="23"/>
  <c r="BC147" i="23"/>
  <c r="AV147" i="23"/>
  <c r="AO147" i="23"/>
  <c r="AH147" i="23"/>
  <c r="AA147" i="23"/>
  <c r="T147" i="23"/>
  <c r="M147" i="23"/>
  <c r="B183" i="23"/>
  <c r="CS146" i="21"/>
  <c r="CL146" i="21"/>
  <c r="CE146" i="21"/>
  <c r="BX146" i="21"/>
  <c r="BQ146" i="21"/>
  <c r="BJ146" i="21"/>
  <c r="BC146" i="21"/>
  <c r="AV146" i="21"/>
  <c r="AO146" i="21"/>
  <c r="AH146" i="21"/>
  <c r="AA146" i="21"/>
  <c r="T146" i="21"/>
  <c r="M146" i="21"/>
  <c r="B182" i="21"/>
  <c r="CS147" i="21"/>
  <c r="CL147" i="21"/>
  <c r="CE147" i="21"/>
  <c r="BX147" i="21"/>
  <c r="BQ147" i="21"/>
  <c r="BJ147" i="21"/>
  <c r="BC147" i="21"/>
  <c r="AV147" i="21"/>
  <c r="AO147" i="21"/>
  <c r="AH147" i="21"/>
  <c r="AA147" i="21"/>
  <c r="T147" i="21"/>
  <c r="M147" i="21"/>
  <c r="B183" i="21"/>
  <c r="BC186" i="19"/>
  <c r="AQ186" i="19"/>
  <c r="AE186" i="19"/>
  <c r="S186" i="19"/>
  <c r="M186" i="19"/>
  <c r="Y186" i="19"/>
  <c r="AK186" i="19"/>
  <c r="AW186" i="19"/>
  <c r="B181" i="19"/>
  <c r="CL145" i="19"/>
  <c r="BX145" i="19"/>
  <c r="BJ145" i="19"/>
  <c r="AV145" i="19"/>
  <c r="AH145" i="19"/>
  <c r="T145" i="19"/>
  <c r="CS145" i="19"/>
  <c r="AO145" i="19"/>
  <c r="BC145" i="19"/>
  <c r="M145" i="19"/>
  <c r="AA145" i="19"/>
  <c r="CE145" i="19"/>
  <c r="BQ145" i="19"/>
  <c r="B135" i="18"/>
  <c r="I133" i="18"/>
  <c r="B131" i="18"/>
  <c r="I129" i="18"/>
  <c r="B127" i="18"/>
  <c r="I125" i="18"/>
  <c r="B123" i="18"/>
  <c r="I121" i="18"/>
  <c r="B119" i="18"/>
  <c r="I117" i="18"/>
  <c r="I115" i="18"/>
  <c r="I114" i="18"/>
  <c r="I113" i="18"/>
  <c r="I112" i="18"/>
  <c r="I107" i="18"/>
  <c r="I106" i="18"/>
  <c r="I105" i="18"/>
  <c r="I136" i="18"/>
  <c r="B134" i="18"/>
  <c r="I132" i="18"/>
  <c r="B130" i="18"/>
  <c r="I128" i="18"/>
  <c r="B126" i="18"/>
  <c r="I124" i="18"/>
  <c r="B122" i="18"/>
  <c r="I120" i="18"/>
  <c r="B118" i="18"/>
  <c r="B116" i="18"/>
  <c r="I111" i="18"/>
  <c r="B132" i="18"/>
  <c r="I130" i="18"/>
  <c r="B124" i="18"/>
  <c r="I122" i="18"/>
  <c r="B115" i="18"/>
  <c r="I108" i="18"/>
  <c r="I118" i="18"/>
  <c r="B133" i="18"/>
  <c r="I131" i="18"/>
  <c r="B125" i="18"/>
  <c r="I123" i="18"/>
  <c r="I104" i="18"/>
  <c r="B136" i="18"/>
  <c r="I134" i="18"/>
  <c r="B128" i="18"/>
  <c r="I126" i="18"/>
  <c r="B120" i="18"/>
  <c r="B117" i="18"/>
  <c r="I109" i="18"/>
  <c r="I119" i="18"/>
  <c r="I110" i="18"/>
  <c r="I135" i="18"/>
  <c r="B121" i="18"/>
  <c r="B129" i="18"/>
  <c r="I116" i="18"/>
  <c r="I127" i="18"/>
  <c r="D183" i="20"/>
  <c r="E147" i="20"/>
  <c r="S180" i="20"/>
  <c r="AQ180" i="20"/>
  <c r="M180" i="20"/>
  <c r="Y180" i="20"/>
  <c r="AW180" i="20"/>
  <c r="AK180" i="20"/>
  <c r="BC180" i="20"/>
  <c r="AE180" i="20"/>
  <c r="F183" i="20"/>
  <c r="N191" i="20" s="1"/>
  <c r="T191" i="20" s="1"/>
  <c r="Z191" i="20" s="1"/>
  <c r="AF191" i="20" s="1"/>
  <c r="AL191" i="20" s="1"/>
  <c r="AR191" i="20" s="1"/>
  <c r="AX191" i="20" s="1"/>
  <c r="BD191" i="20" s="1"/>
  <c r="BE182" i="20"/>
  <c r="AA182" i="20"/>
  <c r="AM182" i="20"/>
  <c r="AG182" i="20"/>
  <c r="U182" i="20"/>
  <c r="AY182" i="20"/>
  <c r="O182" i="20"/>
  <c r="AS182" i="20"/>
  <c r="CS146" i="23"/>
  <c r="CL146" i="23"/>
  <c r="CE146" i="23"/>
  <c r="BX146" i="23"/>
  <c r="BQ146" i="23"/>
  <c r="BJ146" i="23"/>
  <c r="BC146" i="23"/>
  <c r="AV146" i="23"/>
  <c r="AO146" i="23"/>
  <c r="AH146" i="23"/>
  <c r="AA146" i="23"/>
  <c r="T146" i="23"/>
  <c r="M146" i="23"/>
  <c r="B182" i="23"/>
  <c r="B135" i="15"/>
  <c r="I133" i="15"/>
  <c r="B131" i="15"/>
  <c r="I129" i="15"/>
  <c r="B127" i="15"/>
  <c r="I125" i="15"/>
  <c r="B123" i="15"/>
  <c r="I121" i="15"/>
  <c r="B119" i="15"/>
  <c r="I117" i="15"/>
  <c r="I115" i="15"/>
  <c r="I114" i="15"/>
  <c r="I113" i="15"/>
  <c r="I112" i="15"/>
  <c r="I107" i="15"/>
  <c r="I106" i="15"/>
  <c r="I105" i="15"/>
  <c r="I136" i="15"/>
  <c r="B134" i="15"/>
  <c r="I132" i="15"/>
  <c r="B130" i="15"/>
  <c r="I128" i="15"/>
  <c r="B126" i="15"/>
  <c r="I124" i="15"/>
  <c r="B122" i="15"/>
  <c r="I120" i="15"/>
  <c r="B118" i="15"/>
  <c r="B116" i="15"/>
  <c r="I111" i="15"/>
  <c r="D12" i="15" s="1"/>
  <c r="B136" i="15"/>
  <c r="I134" i="15"/>
  <c r="B128" i="15"/>
  <c r="I126" i="15"/>
  <c r="B120" i="15"/>
  <c r="I118" i="15"/>
  <c r="B117" i="15"/>
  <c r="B133" i="15"/>
  <c r="I131" i="15"/>
  <c r="B125" i="15"/>
  <c r="I123" i="15"/>
  <c r="I104" i="15"/>
  <c r="I135" i="15"/>
  <c r="B129" i="15"/>
  <c r="I119" i="15"/>
  <c r="I116" i="15"/>
  <c r="I110" i="15"/>
  <c r="I108" i="15"/>
  <c r="I109" i="15"/>
  <c r="I130" i="15"/>
  <c r="B124" i="15"/>
  <c r="B115" i="15"/>
  <c r="B132" i="15"/>
  <c r="I122" i="15"/>
  <c r="I127" i="15"/>
  <c r="B121" i="15"/>
  <c r="C72" i="22"/>
  <c r="D148" i="22"/>
  <c r="B187" i="23"/>
  <c r="CS151" i="23"/>
  <c r="CL151" i="23"/>
  <c r="CE151" i="23"/>
  <c r="BX151" i="23"/>
  <c r="BQ151" i="23"/>
  <c r="BJ151" i="23"/>
  <c r="BC151" i="23"/>
  <c r="AV151" i="23"/>
  <c r="AO151" i="23"/>
  <c r="AH151" i="23"/>
  <c r="AA151" i="23"/>
  <c r="T151" i="23"/>
  <c r="M151" i="23"/>
  <c r="AE182" i="22"/>
  <c r="Y182" i="22"/>
  <c r="AK182" i="22"/>
  <c r="M182" i="22"/>
  <c r="AQ182" i="22"/>
  <c r="S182" i="22"/>
  <c r="AW182" i="22"/>
  <c r="BC182" i="22"/>
  <c r="D183" i="15"/>
  <c r="E147" i="15"/>
  <c r="Y188" i="23"/>
  <c r="AK188" i="23"/>
  <c r="AW188" i="23"/>
  <c r="S188" i="23"/>
  <c r="AE188" i="23"/>
  <c r="AQ188" i="23"/>
  <c r="BC188" i="23"/>
  <c r="M188" i="23"/>
  <c r="E147" i="17"/>
  <c r="D183" i="17"/>
  <c r="A73" i="15"/>
  <c r="A111" i="15"/>
  <c r="A149" i="15" s="1"/>
  <c r="A185" i="15" s="1"/>
  <c r="BC187" i="21"/>
  <c r="AK187" i="21"/>
  <c r="S187" i="21"/>
  <c r="M187" i="21"/>
  <c r="AE187" i="21"/>
  <c r="AW187" i="21"/>
  <c r="Y187" i="21"/>
  <c r="AQ187" i="21"/>
  <c r="AA183" i="18"/>
  <c r="AY183" i="18"/>
  <c r="A72" i="19"/>
  <c r="A110" i="19"/>
  <c r="A148" i="19" s="1"/>
  <c r="A184" i="19" s="1"/>
  <c r="I136" i="22"/>
  <c r="I125" i="22"/>
  <c r="I117" i="22"/>
  <c r="B122" i="22"/>
  <c r="I124" i="22"/>
  <c r="I112" i="22"/>
  <c r="I121" i="22"/>
  <c r="I104" i="22"/>
  <c r="I118" i="22"/>
  <c r="I126" i="22"/>
  <c r="I134" i="22"/>
  <c r="I116" i="22"/>
  <c r="B125" i="22"/>
  <c r="AA185" i="31" l="1"/>
  <c r="AA184" i="31"/>
  <c r="AA186" i="31" s="1"/>
  <c r="O185" i="31"/>
  <c r="O184" i="31"/>
  <c r="O186" i="31" s="1"/>
  <c r="X152" i="31"/>
  <c r="Y152" i="31" s="1"/>
  <c r="X148" i="31"/>
  <c r="X151" i="31"/>
  <c r="Y151" i="31" s="1"/>
  <c r="X149" i="31"/>
  <c r="Y149" i="31" s="1"/>
  <c r="X150" i="31"/>
  <c r="Y150" i="31" s="1"/>
  <c r="L117" i="31"/>
  <c r="D18" i="31"/>
  <c r="L122" i="31"/>
  <c r="D23" i="31"/>
  <c r="D14" i="31"/>
  <c r="L113" i="31"/>
  <c r="J113" i="31"/>
  <c r="K113" i="31"/>
  <c r="D16" i="31"/>
  <c r="L115" i="31"/>
  <c r="AL152" i="31"/>
  <c r="AM152" i="31" s="1"/>
  <c r="AL149" i="31"/>
  <c r="AM149" i="31" s="1"/>
  <c r="AL151" i="31"/>
  <c r="AM151" i="31" s="1"/>
  <c r="AL150" i="31"/>
  <c r="AM150" i="31" s="1"/>
  <c r="AL148" i="31"/>
  <c r="AM185" i="31"/>
  <c r="AM184" i="31"/>
  <c r="AM186" i="31" s="1"/>
  <c r="U185" i="31"/>
  <c r="U184" i="31"/>
  <c r="U186" i="31" s="1"/>
  <c r="AS185" i="31"/>
  <c r="AS184" i="31"/>
  <c r="AS186" i="31" s="1"/>
  <c r="CW150" i="31"/>
  <c r="CX150" i="31" s="1"/>
  <c r="CW149" i="31"/>
  <c r="CX149" i="31" s="1"/>
  <c r="CW152" i="31"/>
  <c r="CX152" i="31" s="1"/>
  <c r="CW148" i="31"/>
  <c r="CW151" i="31"/>
  <c r="CX151" i="31" s="1"/>
  <c r="D31" i="31"/>
  <c r="L130" i="31"/>
  <c r="L120" i="31"/>
  <c r="D21" i="31"/>
  <c r="L128" i="31"/>
  <c r="D29" i="31"/>
  <c r="D45" i="31" s="1"/>
  <c r="L134" i="31"/>
  <c r="D35" i="31"/>
  <c r="D17" i="31"/>
  <c r="L116" i="31"/>
  <c r="BE185" i="31"/>
  <c r="BE184" i="31"/>
  <c r="BE186" i="31" s="1"/>
  <c r="CP150" i="31"/>
  <c r="CQ150" i="31" s="1"/>
  <c r="CP152" i="31"/>
  <c r="CQ152" i="31" s="1"/>
  <c r="CP148" i="31"/>
  <c r="CP151" i="31"/>
  <c r="CQ151" i="31" s="1"/>
  <c r="CP149" i="31"/>
  <c r="CQ149" i="31" s="1"/>
  <c r="BG150" i="31"/>
  <c r="BH150" i="31" s="1"/>
  <c r="BG149" i="31"/>
  <c r="BH149" i="31" s="1"/>
  <c r="BG152" i="31"/>
  <c r="BH152" i="31" s="1"/>
  <c r="BG148" i="31"/>
  <c r="BG151" i="31"/>
  <c r="BH151" i="31" s="1"/>
  <c r="AZ151" i="31"/>
  <c r="BA151" i="31" s="1"/>
  <c r="AZ150" i="31"/>
  <c r="BA150" i="31" s="1"/>
  <c r="AZ149" i="31"/>
  <c r="BA149" i="31" s="1"/>
  <c r="AZ152" i="31"/>
  <c r="BA152" i="31" s="1"/>
  <c r="AZ148" i="31"/>
  <c r="L125" i="31"/>
  <c r="D26" i="31"/>
  <c r="D28" i="31"/>
  <c r="L127" i="31"/>
  <c r="D19" i="31"/>
  <c r="B45" i="31" s="1"/>
  <c r="L118" i="31"/>
  <c r="L133" i="31"/>
  <c r="D34" i="31"/>
  <c r="E45" i="31" s="1"/>
  <c r="L124" i="31"/>
  <c r="D25" i="31"/>
  <c r="D37" i="31"/>
  <c r="L136" i="31"/>
  <c r="AE148" i="31"/>
  <c r="AE152" i="31"/>
  <c r="AF152" i="31" s="1"/>
  <c r="AE149" i="31"/>
  <c r="AF149" i="31" s="1"/>
  <c r="AE151" i="31"/>
  <c r="AF151" i="31" s="1"/>
  <c r="AE150" i="31"/>
  <c r="AF150" i="31" s="1"/>
  <c r="L110" i="31"/>
  <c r="D11" i="31"/>
  <c r="I103" i="31"/>
  <c r="G115" i="31" s="1"/>
  <c r="D39" i="31" s="1"/>
  <c r="J110" i="31"/>
  <c r="K110" i="31"/>
  <c r="D33" i="31"/>
  <c r="L132" i="31"/>
  <c r="L126" i="31"/>
  <c r="D27" i="31"/>
  <c r="L129" i="31"/>
  <c r="D30" i="31"/>
  <c r="CI150" i="31"/>
  <c r="CJ150" i="31" s="1"/>
  <c r="CI148" i="31"/>
  <c r="CI152" i="31"/>
  <c r="CJ152" i="31" s="1"/>
  <c r="CI149" i="31"/>
  <c r="CJ149" i="31" s="1"/>
  <c r="CI151" i="31"/>
  <c r="CJ151" i="31" s="1"/>
  <c r="BN152" i="31"/>
  <c r="BO152" i="31" s="1"/>
  <c r="BN148" i="31"/>
  <c r="BN151" i="31"/>
  <c r="BO151" i="31" s="1"/>
  <c r="BN150" i="31"/>
  <c r="BO150" i="31" s="1"/>
  <c r="BN149" i="31"/>
  <c r="BO149" i="31" s="1"/>
  <c r="AS150" i="31"/>
  <c r="AT150" i="31" s="1"/>
  <c r="AS149" i="31"/>
  <c r="AT149" i="31" s="1"/>
  <c r="AS152" i="31"/>
  <c r="AT152" i="31" s="1"/>
  <c r="AS148" i="31"/>
  <c r="AS151" i="31"/>
  <c r="AT151" i="31" s="1"/>
  <c r="D20" i="31"/>
  <c r="L119" i="31"/>
  <c r="L121" i="31"/>
  <c r="D22" i="31"/>
  <c r="L114" i="31"/>
  <c r="D15" i="31"/>
  <c r="K114" i="31"/>
  <c r="J114" i="31"/>
  <c r="AG185" i="31"/>
  <c r="AG184" i="31"/>
  <c r="AG186" i="31" s="1"/>
  <c r="AY185" i="31"/>
  <c r="AY184" i="31"/>
  <c r="AY186" i="31" s="1"/>
  <c r="CB151" i="31"/>
  <c r="CC151" i="31" s="1"/>
  <c r="CB150" i="31"/>
  <c r="CC150" i="31" s="1"/>
  <c r="CB148" i="31"/>
  <c r="CB152" i="31"/>
  <c r="CC152" i="31" s="1"/>
  <c r="CB149" i="31"/>
  <c r="CC149" i="31" s="1"/>
  <c r="Q149" i="31"/>
  <c r="R149" i="31" s="1"/>
  <c r="Q152" i="31"/>
  <c r="R152" i="31" s="1"/>
  <c r="Q148" i="31"/>
  <c r="Q151" i="31"/>
  <c r="R151" i="31" s="1"/>
  <c r="Q150" i="31"/>
  <c r="R150" i="31" s="1"/>
  <c r="L131" i="31"/>
  <c r="D32" i="31"/>
  <c r="L123" i="31"/>
  <c r="D24" i="31"/>
  <c r="C45" i="31" s="1"/>
  <c r="L135" i="31"/>
  <c r="D36" i="31"/>
  <c r="L112" i="31"/>
  <c r="D13" i="31"/>
  <c r="K112" i="31"/>
  <c r="J112" i="31"/>
  <c r="D12" i="31"/>
  <c r="L111" i="31"/>
  <c r="J111" i="31"/>
  <c r="K111" i="31"/>
  <c r="BU151" i="31"/>
  <c r="BV151" i="31" s="1"/>
  <c r="BU150" i="31"/>
  <c r="BV150" i="31" s="1"/>
  <c r="BU149" i="31"/>
  <c r="BV149" i="31" s="1"/>
  <c r="BU152" i="31"/>
  <c r="BV152" i="31" s="1"/>
  <c r="BU148" i="31"/>
  <c r="A72" i="20"/>
  <c r="A110" i="20"/>
  <c r="A148" i="20" s="1"/>
  <c r="A184" i="20" s="1"/>
  <c r="B135" i="19"/>
  <c r="I131" i="21"/>
  <c r="U182" i="21"/>
  <c r="U183" i="19"/>
  <c r="I129" i="19"/>
  <c r="D30" i="19" s="1"/>
  <c r="B130" i="21"/>
  <c r="I104" i="21"/>
  <c r="J104" i="21" s="1"/>
  <c r="I116" i="21"/>
  <c r="D17" i="21" s="1"/>
  <c r="B122" i="21"/>
  <c r="I112" i="21"/>
  <c r="D13" i="21" s="1"/>
  <c r="I126" i="21"/>
  <c r="D27" i="21" s="1"/>
  <c r="B133" i="21"/>
  <c r="I125" i="21"/>
  <c r="D26" i="21" s="1"/>
  <c r="I121" i="21"/>
  <c r="D22" i="21" s="1"/>
  <c r="I134" i="21"/>
  <c r="D35" i="21" s="1"/>
  <c r="F183" i="21"/>
  <c r="N191" i="21" s="1"/>
  <c r="T191" i="21" s="1"/>
  <c r="Z191" i="21" s="1"/>
  <c r="AF191" i="21" s="1"/>
  <c r="AL191" i="21" s="1"/>
  <c r="AR191" i="21" s="1"/>
  <c r="AX191" i="21" s="1"/>
  <c r="BD191" i="21" s="1"/>
  <c r="I105" i="21"/>
  <c r="D6" i="21" s="1"/>
  <c r="I124" i="21"/>
  <c r="D25" i="21" s="1"/>
  <c r="I118" i="21"/>
  <c r="D19" i="21" s="1"/>
  <c r="B45" i="21" s="1"/>
  <c r="B125" i="21"/>
  <c r="I122" i="19"/>
  <c r="D23" i="19" s="1"/>
  <c r="B118" i="19"/>
  <c r="AY183" i="19"/>
  <c r="I117" i="21"/>
  <c r="D18" i="21" s="1"/>
  <c r="I128" i="21"/>
  <c r="D29" i="21" s="1"/>
  <c r="D45" i="21" s="1"/>
  <c r="B135" i="21"/>
  <c r="I136" i="21"/>
  <c r="D37" i="21" s="1"/>
  <c r="B126" i="21"/>
  <c r="I113" i="21"/>
  <c r="K113" i="21" s="1"/>
  <c r="B123" i="21"/>
  <c r="I108" i="21"/>
  <c r="J108" i="21" s="1"/>
  <c r="B120" i="21"/>
  <c r="B128" i="21"/>
  <c r="B136" i="21"/>
  <c r="I119" i="21"/>
  <c r="L119" i="21" s="1"/>
  <c r="I127" i="21"/>
  <c r="D28" i="21" s="1"/>
  <c r="I135" i="21"/>
  <c r="D36" i="21" s="1"/>
  <c r="I116" i="19"/>
  <c r="D17" i="19" s="1"/>
  <c r="I126" i="19"/>
  <c r="D27" i="19" s="1"/>
  <c r="B125" i="19"/>
  <c r="I124" i="19"/>
  <c r="D25" i="19" s="1"/>
  <c r="I106" i="19"/>
  <c r="K106" i="19" s="1"/>
  <c r="I121" i="19"/>
  <c r="D22" i="19" s="1"/>
  <c r="AS183" i="19"/>
  <c r="I107" i="21"/>
  <c r="D8" i="21" s="1"/>
  <c r="I106" i="21"/>
  <c r="K106" i="21" s="1"/>
  <c r="B116" i="21"/>
  <c r="I111" i="21"/>
  <c r="I132" i="21"/>
  <c r="L132" i="21" s="1"/>
  <c r="I114" i="21"/>
  <c r="K114" i="21" s="1"/>
  <c r="I129" i="21"/>
  <c r="D30" i="21" s="1"/>
  <c r="B115" i="21"/>
  <c r="I122" i="21"/>
  <c r="D23" i="21" s="1"/>
  <c r="I130" i="21"/>
  <c r="I109" i="21"/>
  <c r="J109" i="21" s="1"/>
  <c r="B121" i="21"/>
  <c r="B129" i="21"/>
  <c r="B132" i="19"/>
  <c r="I119" i="19"/>
  <c r="D20" i="19" s="1"/>
  <c r="B128" i="19"/>
  <c r="I131" i="19"/>
  <c r="D32" i="19" s="1"/>
  <c r="B126" i="19"/>
  <c r="I107" i="19"/>
  <c r="J107" i="19" s="1"/>
  <c r="B123" i="19"/>
  <c r="B117" i="19"/>
  <c r="B129" i="19"/>
  <c r="B134" i="19"/>
  <c r="I115" i="19"/>
  <c r="B131" i="19"/>
  <c r="AA182" i="21"/>
  <c r="AM183" i="19"/>
  <c r="AM182" i="21"/>
  <c r="O182" i="19"/>
  <c r="BE182" i="21"/>
  <c r="O182" i="21"/>
  <c r="O183" i="19"/>
  <c r="I133" i="21"/>
  <c r="D34" i="21" s="1"/>
  <c r="E45" i="21" s="1"/>
  <c r="B127" i="21"/>
  <c r="B119" i="21"/>
  <c r="I120" i="21"/>
  <c r="B118" i="21"/>
  <c r="B134" i="21"/>
  <c r="I115" i="21"/>
  <c r="D16" i="21" s="1"/>
  <c r="B131" i="21"/>
  <c r="B117" i="21"/>
  <c r="B124" i="21"/>
  <c r="B132" i="21"/>
  <c r="I110" i="21"/>
  <c r="J110" i="21" s="1"/>
  <c r="I123" i="21"/>
  <c r="D24" i="21" s="1"/>
  <c r="C45" i="21" s="1"/>
  <c r="I108" i="19"/>
  <c r="J108" i="19" s="1"/>
  <c r="I135" i="19"/>
  <c r="D36" i="19" s="1"/>
  <c r="I109" i="19"/>
  <c r="K109" i="19" s="1"/>
  <c r="B116" i="19"/>
  <c r="I132" i="19"/>
  <c r="D33" i="19" s="1"/>
  <c r="I114" i="19"/>
  <c r="K114" i="19" s="1"/>
  <c r="L108" i="15"/>
  <c r="D9" i="15"/>
  <c r="K108" i="15"/>
  <c r="J108" i="15"/>
  <c r="D35" i="15"/>
  <c r="L134" i="15"/>
  <c r="L107" i="15"/>
  <c r="D8" i="15"/>
  <c r="K107" i="15"/>
  <c r="J107" i="15"/>
  <c r="AW182" i="23"/>
  <c r="AE182" i="23"/>
  <c r="Y182" i="23"/>
  <c r="AK182" i="23"/>
  <c r="M182" i="23"/>
  <c r="AQ182" i="23"/>
  <c r="S182" i="23"/>
  <c r="BC182" i="23"/>
  <c r="L127" i="18"/>
  <c r="D28" i="18"/>
  <c r="D31" i="18"/>
  <c r="L130" i="18"/>
  <c r="L107" i="18"/>
  <c r="D8" i="18"/>
  <c r="J107" i="18"/>
  <c r="K107" i="18"/>
  <c r="L113" i="22"/>
  <c r="D14" i="22"/>
  <c r="K113" i="22"/>
  <c r="J113" i="22"/>
  <c r="L107" i="22"/>
  <c r="D8" i="22"/>
  <c r="J107" i="22"/>
  <c r="K107" i="22"/>
  <c r="L109" i="20"/>
  <c r="J109" i="20"/>
  <c r="K109" i="20"/>
  <c r="L108" i="20"/>
  <c r="J108" i="20"/>
  <c r="K108" i="20"/>
  <c r="L126" i="20"/>
  <c r="L105" i="20"/>
  <c r="K105" i="20"/>
  <c r="J105" i="20"/>
  <c r="AM182" i="23"/>
  <c r="AW183" i="17"/>
  <c r="AK183" i="17"/>
  <c r="Y183" i="17"/>
  <c r="M183" i="17"/>
  <c r="S183" i="17"/>
  <c r="BC183" i="17"/>
  <c r="AQ183" i="17"/>
  <c r="AE183" i="17"/>
  <c r="D30" i="22"/>
  <c r="L129" i="22"/>
  <c r="D149" i="18"/>
  <c r="E149" i="18" s="1"/>
  <c r="C73" i="18"/>
  <c r="D149" i="19"/>
  <c r="E149" i="19" s="1"/>
  <c r="C73" i="19"/>
  <c r="AS182" i="19"/>
  <c r="D29" i="22"/>
  <c r="D45" i="22" s="1"/>
  <c r="L128" i="22"/>
  <c r="A110" i="21"/>
  <c r="A148" i="21" s="1"/>
  <c r="A184" i="21" s="1"/>
  <c r="A72" i="21"/>
  <c r="D17" i="22"/>
  <c r="L116" i="22"/>
  <c r="L127" i="15"/>
  <c r="D28" i="15"/>
  <c r="D11" i="15"/>
  <c r="L110" i="15"/>
  <c r="K110" i="15"/>
  <c r="J110" i="15"/>
  <c r="L131" i="15"/>
  <c r="D32" i="15"/>
  <c r="L128" i="15"/>
  <c r="D29" i="15"/>
  <c r="D45" i="15" s="1"/>
  <c r="L112" i="15"/>
  <c r="D13" i="15"/>
  <c r="J112" i="15"/>
  <c r="K112" i="15"/>
  <c r="L125" i="15"/>
  <c r="D26" i="15"/>
  <c r="D17" i="18"/>
  <c r="L116" i="18"/>
  <c r="L131" i="18"/>
  <c r="D32" i="18"/>
  <c r="L128" i="18"/>
  <c r="D29" i="18"/>
  <c r="D45" i="18" s="1"/>
  <c r="L112" i="18"/>
  <c r="D13" i="18"/>
  <c r="J112" i="18"/>
  <c r="K112" i="18"/>
  <c r="L125" i="18"/>
  <c r="D26" i="18"/>
  <c r="BE183" i="17"/>
  <c r="AY183" i="17"/>
  <c r="AS183" i="17"/>
  <c r="AM183" i="17"/>
  <c r="AG183" i="17"/>
  <c r="AA183" i="17"/>
  <c r="U183" i="17"/>
  <c r="O183" i="17"/>
  <c r="AW184" i="17"/>
  <c r="AK184" i="17"/>
  <c r="Y184" i="17"/>
  <c r="M184" i="17"/>
  <c r="BC184" i="17"/>
  <c r="AE184" i="17"/>
  <c r="F184" i="17"/>
  <c r="AQ184" i="17"/>
  <c r="S184" i="17"/>
  <c r="D32" i="22"/>
  <c r="L131" i="22"/>
  <c r="L123" i="20"/>
  <c r="L127" i="20"/>
  <c r="L132" i="20"/>
  <c r="L114" i="20"/>
  <c r="K114" i="20"/>
  <c r="J114" i="20"/>
  <c r="D149" i="15"/>
  <c r="E149" i="15" s="1"/>
  <c r="C73" i="15"/>
  <c r="L130" i="22"/>
  <c r="D31" i="22"/>
  <c r="D15" i="22"/>
  <c r="L114" i="22"/>
  <c r="K114" i="22"/>
  <c r="J114" i="22"/>
  <c r="D6" i="22"/>
  <c r="L105" i="22"/>
  <c r="J105" i="22"/>
  <c r="K105" i="22"/>
  <c r="A73" i="18"/>
  <c r="A111" i="18"/>
  <c r="A149" i="18" s="1"/>
  <c r="A185" i="18" s="1"/>
  <c r="E148" i="18"/>
  <c r="D184" i="18"/>
  <c r="F183" i="23"/>
  <c r="N191" i="23" s="1"/>
  <c r="T191" i="23" s="1"/>
  <c r="Z191" i="23" s="1"/>
  <c r="AF191" i="23" s="1"/>
  <c r="AL191" i="23" s="1"/>
  <c r="AR191" i="23" s="1"/>
  <c r="AX191" i="23" s="1"/>
  <c r="BD191" i="23" s="1"/>
  <c r="AG182" i="19"/>
  <c r="A73" i="17"/>
  <c r="A111" i="17"/>
  <c r="A149" i="17" s="1"/>
  <c r="A185" i="17" s="1"/>
  <c r="BC182" i="19"/>
  <c r="AQ182" i="19"/>
  <c r="AE182" i="19"/>
  <c r="S182" i="19"/>
  <c r="AK182" i="19"/>
  <c r="M182" i="19"/>
  <c r="AW182" i="19"/>
  <c r="Y182" i="19"/>
  <c r="L134" i="22"/>
  <c r="D35" i="22"/>
  <c r="D22" i="22"/>
  <c r="L121" i="22"/>
  <c r="D18" i="22"/>
  <c r="L117" i="22"/>
  <c r="AS182" i="23"/>
  <c r="D23" i="15"/>
  <c r="L122" i="15"/>
  <c r="D31" i="15"/>
  <c r="L130" i="15"/>
  <c r="D17" i="15"/>
  <c r="L116" i="15"/>
  <c r="I103" i="15"/>
  <c r="G115" i="15" s="1"/>
  <c r="D39" i="15" s="1"/>
  <c r="D5" i="15"/>
  <c r="K104" i="15"/>
  <c r="J104" i="15"/>
  <c r="D27" i="15"/>
  <c r="L126" i="15"/>
  <c r="L111" i="15"/>
  <c r="K111" i="15"/>
  <c r="J111" i="15"/>
  <c r="L105" i="15"/>
  <c r="D6" i="15"/>
  <c r="J105" i="15"/>
  <c r="K105" i="15"/>
  <c r="L113" i="15"/>
  <c r="D14" i="15"/>
  <c r="J113" i="15"/>
  <c r="K113" i="15"/>
  <c r="L119" i="18"/>
  <c r="D20" i="18"/>
  <c r="D27" i="18"/>
  <c r="L126" i="18"/>
  <c r="I103" i="18"/>
  <c r="G115" i="18" s="1"/>
  <c r="D39" i="18" s="1"/>
  <c r="D5" i="18"/>
  <c r="J104" i="18"/>
  <c r="K104" i="18"/>
  <c r="D23" i="18"/>
  <c r="L122" i="18"/>
  <c r="D12" i="18"/>
  <c r="L111" i="18"/>
  <c r="K111" i="18"/>
  <c r="J111" i="18"/>
  <c r="L105" i="18"/>
  <c r="D6" i="18"/>
  <c r="K105" i="18"/>
  <c r="J105" i="18"/>
  <c r="L113" i="18"/>
  <c r="D14" i="18"/>
  <c r="K113" i="18"/>
  <c r="J113" i="18"/>
  <c r="S183" i="21"/>
  <c r="Y183" i="21"/>
  <c r="AQ183" i="21"/>
  <c r="BC183" i="21"/>
  <c r="AK183" i="21"/>
  <c r="AW183" i="21"/>
  <c r="M183" i="21"/>
  <c r="AE183" i="21"/>
  <c r="AS182" i="21"/>
  <c r="S183" i="23"/>
  <c r="BC183" i="23"/>
  <c r="AQ183" i="23"/>
  <c r="AW183" i="23"/>
  <c r="AE183" i="23"/>
  <c r="Y183" i="23"/>
  <c r="AK183" i="23"/>
  <c r="M183" i="23"/>
  <c r="D36" i="22"/>
  <c r="L135" i="22"/>
  <c r="BC181" i="17"/>
  <c r="AW181" i="17"/>
  <c r="AQ181" i="17"/>
  <c r="AK181" i="17"/>
  <c r="AE181" i="17"/>
  <c r="Y181" i="17"/>
  <c r="S181" i="17"/>
  <c r="M181" i="17"/>
  <c r="D24" i="22"/>
  <c r="C45" i="22" s="1"/>
  <c r="L123" i="22"/>
  <c r="D21" i="22"/>
  <c r="L120" i="22"/>
  <c r="D149" i="17"/>
  <c r="E149" i="17" s="1"/>
  <c r="C73" i="17"/>
  <c r="I103" i="20"/>
  <c r="G115" i="20" s="1"/>
  <c r="D39" i="20" s="1"/>
  <c r="J104" i="20"/>
  <c r="K104" i="20"/>
  <c r="L116" i="20"/>
  <c r="L118" i="20"/>
  <c r="L134" i="20"/>
  <c r="L107" i="20"/>
  <c r="J107" i="20"/>
  <c r="K107" i="20"/>
  <c r="L115" i="20"/>
  <c r="D184" i="15"/>
  <c r="E148" i="15"/>
  <c r="AW187" i="17"/>
  <c r="AK187" i="17"/>
  <c r="Y187" i="17"/>
  <c r="M187" i="17"/>
  <c r="S187" i="17"/>
  <c r="AE187" i="17"/>
  <c r="BC187" i="17"/>
  <c r="AQ187" i="17"/>
  <c r="AW188" i="17"/>
  <c r="AK188" i="17"/>
  <c r="Y188" i="17"/>
  <c r="M188" i="17"/>
  <c r="BC188" i="17"/>
  <c r="S188" i="17"/>
  <c r="AE188" i="17"/>
  <c r="AQ188" i="17"/>
  <c r="D184" i="20"/>
  <c r="E148" i="20"/>
  <c r="I135" i="23"/>
  <c r="B133" i="23"/>
  <c r="I131" i="23"/>
  <c r="B129" i="23"/>
  <c r="I127" i="23"/>
  <c r="B125" i="23"/>
  <c r="I123" i="23"/>
  <c r="B121" i="23"/>
  <c r="I119" i="23"/>
  <c r="I116" i="23"/>
  <c r="I110" i="23"/>
  <c r="I109" i="23"/>
  <c r="B136" i="23"/>
  <c r="I134" i="23"/>
  <c r="B132" i="23"/>
  <c r="I130" i="23"/>
  <c r="B128" i="23"/>
  <c r="I126" i="23"/>
  <c r="B124" i="23"/>
  <c r="I122" i="23"/>
  <c r="B120" i="23"/>
  <c r="I118" i="23"/>
  <c r="B117" i="23"/>
  <c r="B115" i="23"/>
  <c r="I108" i="23"/>
  <c r="I104" i="23"/>
  <c r="B131" i="23"/>
  <c r="I129" i="23"/>
  <c r="B123" i="23"/>
  <c r="I121" i="23"/>
  <c r="I115" i="23"/>
  <c r="I114" i="23"/>
  <c r="I113" i="23"/>
  <c r="I112" i="23"/>
  <c r="B134" i="23"/>
  <c r="I132" i="23"/>
  <c r="B126" i="23"/>
  <c r="I124" i="23"/>
  <c r="B118" i="23"/>
  <c r="I111" i="23"/>
  <c r="I128" i="23"/>
  <c r="B122" i="23"/>
  <c r="B116" i="23"/>
  <c r="I133" i="23"/>
  <c r="B127" i="23"/>
  <c r="I117" i="23"/>
  <c r="I107" i="23"/>
  <c r="I105" i="23"/>
  <c r="B135" i="23"/>
  <c r="I125" i="23"/>
  <c r="B119" i="23"/>
  <c r="I106" i="23"/>
  <c r="I120" i="23"/>
  <c r="B130" i="23"/>
  <c r="I136" i="23"/>
  <c r="L122" i="22"/>
  <c r="D23" i="22"/>
  <c r="L132" i="22"/>
  <c r="D33" i="22"/>
  <c r="L106" i="22"/>
  <c r="D7" i="22"/>
  <c r="J106" i="22"/>
  <c r="K106" i="22"/>
  <c r="U182" i="23"/>
  <c r="AE186" i="21"/>
  <c r="AW186" i="21"/>
  <c r="S186" i="21"/>
  <c r="Y186" i="21"/>
  <c r="AQ186" i="21"/>
  <c r="M186" i="21"/>
  <c r="BC186" i="21"/>
  <c r="AK186" i="21"/>
  <c r="AQ185" i="23"/>
  <c r="BC185" i="23"/>
  <c r="AW185" i="23"/>
  <c r="M185" i="23"/>
  <c r="S185" i="23"/>
  <c r="AE185" i="23"/>
  <c r="Y185" i="23"/>
  <c r="AK185" i="23"/>
  <c r="D185" i="21"/>
  <c r="F183" i="19"/>
  <c r="N191" i="19" s="1"/>
  <c r="T191" i="19" s="1"/>
  <c r="Z191" i="19" s="1"/>
  <c r="AF191" i="19" s="1"/>
  <c r="AL191" i="19" s="1"/>
  <c r="AR191" i="19" s="1"/>
  <c r="AX191" i="19" s="1"/>
  <c r="BD191" i="19" s="1"/>
  <c r="AW182" i="17"/>
  <c r="AK182" i="17"/>
  <c r="Y182" i="17"/>
  <c r="M182" i="17"/>
  <c r="BC182" i="17"/>
  <c r="AE182" i="17"/>
  <c r="AQ182" i="17"/>
  <c r="S182" i="17"/>
  <c r="B135" i="17"/>
  <c r="I133" i="17"/>
  <c r="B131" i="17"/>
  <c r="I129" i="17"/>
  <c r="B127" i="17"/>
  <c r="I125" i="17"/>
  <c r="B123" i="17"/>
  <c r="I121" i="17"/>
  <c r="B119" i="17"/>
  <c r="I117" i="17"/>
  <c r="I115" i="17"/>
  <c r="I114" i="17"/>
  <c r="I113" i="17"/>
  <c r="I112" i="17"/>
  <c r="I107" i="17"/>
  <c r="I106" i="17"/>
  <c r="I105" i="17"/>
  <c r="I136" i="17"/>
  <c r="B134" i="17"/>
  <c r="I132" i="17"/>
  <c r="B130" i="17"/>
  <c r="I128" i="17"/>
  <c r="B126" i="17"/>
  <c r="I124" i="17"/>
  <c r="B122" i="17"/>
  <c r="I120" i="17"/>
  <c r="B118" i="17"/>
  <c r="B116" i="17"/>
  <c r="I111" i="17"/>
  <c r="I135" i="17"/>
  <c r="B129" i="17"/>
  <c r="I127" i="17"/>
  <c r="B121" i="17"/>
  <c r="I119" i="17"/>
  <c r="I116" i="17"/>
  <c r="I110" i="17"/>
  <c r="I109" i="17"/>
  <c r="B133" i="17"/>
  <c r="I123" i="17"/>
  <c r="I104" i="17"/>
  <c r="B132" i="17"/>
  <c r="I130" i="17"/>
  <c r="B124" i="17"/>
  <c r="I122" i="17"/>
  <c r="B115" i="17"/>
  <c r="I108" i="17"/>
  <c r="I131" i="17"/>
  <c r="B125" i="17"/>
  <c r="I118" i="17"/>
  <c r="I126" i="17"/>
  <c r="B120" i="17"/>
  <c r="I134" i="17"/>
  <c r="B128" i="17"/>
  <c r="B136" i="17"/>
  <c r="B117" i="17"/>
  <c r="AW186" i="17"/>
  <c r="AK186" i="17"/>
  <c r="Y186" i="17"/>
  <c r="M186" i="17"/>
  <c r="AE186" i="17"/>
  <c r="AQ186" i="17"/>
  <c r="BC186" i="17"/>
  <c r="S186" i="17"/>
  <c r="AA183" i="19"/>
  <c r="B124" i="19"/>
  <c r="B115" i="19"/>
  <c r="B121" i="19"/>
  <c r="I118" i="19"/>
  <c r="I134" i="19"/>
  <c r="I104" i="19"/>
  <c r="B133" i="19"/>
  <c r="I120" i="19"/>
  <c r="I128" i="19"/>
  <c r="I136" i="19"/>
  <c r="I112" i="19"/>
  <c r="I117" i="19"/>
  <c r="I125" i="19"/>
  <c r="I133" i="19"/>
  <c r="L118" i="22"/>
  <c r="D19" i="22"/>
  <c r="B45" i="22" s="1"/>
  <c r="L124" i="22"/>
  <c r="D25" i="22"/>
  <c r="D37" i="22"/>
  <c r="L136" i="22"/>
  <c r="D184" i="22"/>
  <c r="D185" i="22" s="1"/>
  <c r="D186" i="22" s="1"/>
  <c r="D187" i="22" s="1"/>
  <c r="D188" i="22" s="1"/>
  <c r="AG185" i="22" s="1"/>
  <c r="E148" i="22"/>
  <c r="D19" i="15"/>
  <c r="B45" i="15" s="1"/>
  <c r="L118" i="15"/>
  <c r="L115" i="15"/>
  <c r="D16" i="15"/>
  <c r="L135" i="18"/>
  <c r="D36" i="18"/>
  <c r="D35" i="18"/>
  <c r="L134" i="18"/>
  <c r="L108" i="18"/>
  <c r="D9" i="18"/>
  <c r="J108" i="18"/>
  <c r="K108" i="18"/>
  <c r="L115" i="18"/>
  <c r="D16" i="18"/>
  <c r="BC181" i="19"/>
  <c r="AW181" i="19"/>
  <c r="AQ181" i="19"/>
  <c r="AK181" i="19"/>
  <c r="AE181" i="19"/>
  <c r="Y181" i="19"/>
  <c r="S181" i="19"/>
  <c r="M181" i="19"/>
  <c r="D20" i="22"/>
  <c r="L119" i="22"/>
  <c r="D16" i="22"/>
  <c r="L115" i="22"/>
  <c r="L111" i="20"/>
  <c r="J111" i="20"/>
  <c r="K111" i="20"/>
  <c r="L113" i="20"/>
  <c r="J113" i="20"/>
  <c r="K113" i="20"/>
  <c r="D150" i="21"/>
  <c r="E150" i="21" s="1"/>
  <c r="C74" i="21"/>
  <c r="AG184" i="22"/>
  <c r="AG186" i="22" s="1"/>
  <c r="O184" i="22"/>
  <c r="O186" i="22" s="1"/>
  <c r="AM185" i="22"/>
  <c r="L109" i="22"/>
  <c r="D10" i="22"/>
  <c r="K109" i="22"/>
  <c r="J109" i="22"/>
  <c r="D34" i="22"/>
  <c r="E45" i="22" s="1"/>
  <c r="L133" i="22"/>
  <c r="AA182" i="19"/>
  <c r="C73" i="23"/>
  <c r="D149" i="23"/>
  <c r="E149" i="23" s="1"/>
  <c r="AW185" i="17"/>
  <c r="AK185" i="17"/>
  <c r="Y185" i="17"/>
  <c r="M185" i="17"/>
  <c r="AQ185" i="17"/>
  <c r="BC185" i="17"/>
  <c r="S185" i="17"/>
  <c r="AE185" i="17"/>
  <c r="AK186" i="23"/>
  <c r="AW186" i="23"/>
  <c r="M186" i="23"/>
  <c r="AQ186" i="23"/>
  <c r="BC186" i="23"/>
  <c r="S186" i="23"/>
  <c r="AE186" i="23"/>
  <c r="Y186" i="23"/>
  <c r="D32" i="21"/>
  <c r="D5" i="22"/>
  <c r="I103" i="22"/>
  <c r="G115" i="22" s="1"/>
  <c r="D39" i="22" s="1"/>
  <c r="J104" i="22"/>
  <c r="K104" i="22"/>
  <c r="A73" i="19"/>
  <c r="A111" i="19"/>
  <c r="A149" i="19" s="1"/>
  <c r="A185" i="19" s="1"/>
  <c r="A112" i="15"/>
  <c r="A150" i="15" s="1"/>
  <c r="A186" i="15" s="1"/>
  <c r="A74" i="15"/>
  <c r="S187" i="23"/>
  <c r="AE187" i="23"/>
  <c r="Y187" i="23"/>
  <c r="BC187" i="23"/>
  <c r="AK187" i="23"/>
  <c r="AW187" i="23"/>
  <c r="M187" i="23"/>
  <c r="AQ187" i="23"/>
  <c r="C73" i="22"/>
  <c r="D149" i="22"/>
  <c r="E149" i="22" s="1"/>
  <c r="L135" i="15"/>
  <c r="D36" i="15"/>
  <c r="L120" i="15"/>
  <c r="D21" i="15"/>
  <c r="L136" i="15"/>
  <c r="D37" i="15"/>
  <c r="D18" i="15"/>
  <c r="L117" i="15"/>
  <c r="D34" i="15"/>
  <c r="E45" i="15" s="1"/>
  <c r="L133" i="15"/>
  <c r="D11" i="18"/>
  <c r="L110" i="18"/>
  <c r="K110" i="18"/>
  <c r="J110" i="18"/>
  <c r="L120" i="18"/>
  <c r="D21" i="18"/>
  <c r="L136" i="18"/>
  <c r="D37" i="18"/>
  <c r="L117" i="18"/>
  <c r="D18" i="18"/>
  <c r="L133" i="18"/>
  <c r="D34" i="18"/>
  <c r="E45" i="18" s="1"/>
  <c r="F184" i="23"/>
  <c r="BE183" i="23"/>
  <c r="AS183" i="23"/>
  <c r="AG183" i="23"/>
  <c r="U183" i="23"/>
  <c r="AM183" i="23"/>
  <c r="O183" i="23"/>
  <c r="AY183" i="23"/>
  <c r="AA183" i="23"/>
  <c r="Y184" i="23"/>
  <c r="BC184" i="23"/>
  <c r="M184" i="23"/>
  <c r="AQ184" i="23"/>
  <c r="AE184" i="23"/>
  <c r="S184" i="23"/>
  <c r="AK184" i="23"/>
  <c r="AW184" i="23"/>
  <c r="L110" i="20"/>
  <c r="K110" i="20"/>
  <c r="J110" i="20"/>
  <c r="L124" i="20"/>
  <c r="L106" i="20"/>
  <c r="J106" i="20"/>
  <c r="K106" i="20"/>
  <c r="L121" i="20"/>
  <c r="L129" i="20"/>
  <c r="D149" i="20"/>
  <c r="E149" i="20" s="1"/>
  <c r="C73" i="20"/>
  <c r="D184" i="19"/>
  <c r="E148" i="19"/>
  <c r="BE182" i="19"/>
  <c r="AY182" i="19"/>
  <c r="AK180" i="17"/>
  <c r="M180" i="17"/>
  <c r="AQ180" i="17"/>
  <c r="S180" i="17"/>
  <c r="Y180" i="17"/>
  <c r="AW180" i="17"/>
  <c r="BC180" i="17"/>
  <c r="AE180" i="17"/>
  <c r="AS182" i="17"/>
  <c r="O182" i="17"/>
  <c r="AG182" i="17"/>
  <c r="AM182" i="17"/>
  <c r="BE182" i="17"/>
  <c r="U182" i="17"/>
  <c r="AY182" i="17"/>
  <c r="F183" i="17"/>
  <c r="N191" i="17" s="1"/>
  <c r="T191" i="17" s="1"/>
  <c r="Z191" i="17" s="1"/>
  <c r="AF191" i="17" s="1"/>
  <c r="AL191" i="17" s="1"/>
  <c r="AR191" i="17" s="1"/>
  <c r="AX191" i="17" s="1"/>
  <c r="BD191" i="17" s="1"/>
  <c r="AA182" i="17"/>
  <c r="L126" i="22"/>
  <c r="D27" i="22"/>
  <c r="E40" i="14" s="1"/>
  <c r="D13" i="22"/>
  <c r="L112" i="22"/>
  <c r="K112" i="22"/>
  <c r="J112" i="22"/>
  <c r="D26" i="22"/>
  <c r="L125" i="22"/>
  <c r="AA182" i="23"/>
  <c r="D10" i="15"/>
  <c r="L109" i="15"/>
  <c r="J109" i="15"/>
  <c r="K109" i="15"/>
  <c r="L119" i="15"/>
  <c r="D20" i="15"/>
  <c r="L123" i="15"/>
  <c r="D24" i="15"/>
  <c r="C45" i="15" s="1"/>
  <c r="L124" i="15"/>
  <c r="D25" i="15"/>
  <c r="L132" i="15"/>
  <c r="D33" i="15"/>
  <c r="L106" i="15"/>
  <c r="D7" i="15"/>
  <c r="K106" i="15"/>
  <c r="J106" i="15"/>
  <c r="L114" i="15"/>
  <c r="D15" i="15"/>
  <c r="J114" i="15"/>
  <c r="K114" i="15"/>
  <c r="L121" i="15"/>
  <c r="D22" i="15"/>
  <c r="L129" i="15"/>
  <c r="D30" i="15"/>
  <c r="D10" i="18"/>
  <c r="L109" i="18"/>
  <c r="K109" i="18"/>
  <c r="J109" i="18"/>
  <c r="L123" i="18"/>
  <c r="D24" i="18"/>
  <c r="C45" i="18" s="1"/>
  <c r="D19" i="18"/>
  <c r="B45" i="18" s="1"/>
  <c r="L118" i="18"/>
  <c r="L124" i="18"/>
  <c r="D25" i="18"/>
  <c r="L132" i="18"/>
  <c r="D33" i="18"/>
  <c r="L106" i="18"/>
  <c r="D7" i="18"/>
  <c r="J106" i="18"/>
  <c r="K106" i="18"/>
  <c r="L114" i="18"/>
  <c r="D15" i="18"/>
  <c r="J114" i="18"/>
  <c r="K114" i="18"/>
  <c r="D22" i="18"/>
  <c r="D20" i="14" s="1"/>
  <c r="L121" i="18"/>
  <c r="D30" i="18"/>
  <c r="L129" i="18"/>
  <c r="BC182" i="21"/>
  <c r="AK182" i="21"/>
  <c r="AW182" i="21"/>
  <c r="S182" i="21"/>
  <c r="M182" i="21"/>
  <c r="AQ182" i="21"/>
  <c r="AE182" i="21"/>
  <c r="Y182" i="21"/>
  <c r="D28" i="22"/>
  <c r="L127" i="22"/>
  <c r="L108" i="22"/>
  <c r="D9" i="22"/>
  <c r="K108" i="22"/>
  <c r="J108" i="22"/>
  <c r="L110" i="22"/>
  <c r="D11" i="22"/>
  <c r="J110" i="22"/>
  <c r="K110" i="22"/>
  <c r="S188" i="21"/>
  <c r="Y188" i="21"/>
  <c r="AQ188" i="21"/>
  <c r="AE188" i="21"/>
  <c r="BC188" i="21"/>
  <c r="AK188" i="21"/>
  <c r="M188" i="21"/>
  <c r="AW188" i="21"/>
  <c r="BC185" i="19"/>
  <c r="AQ185" i="19"/>
  <c r="AE185" i="19"/>
  <c r="S185" i="19"/>
  <c r="Y185" i="19"/>
  <c r="AK185" i="19"/>
  <c r="AW185" i="19"/>
  <c r="M185" i="19"/>
  <c r="E148" i="17"/>
  <c r="D184" i="17"/>
  <c r="L131" i="20"/>
  <c r="L122" i="20"/>
  <c r="L119" i="20"/>
  <c r="L135" i="20"/>
  <c r="L130" i="20"/>
  <c r="L120" i="20"/>
  <c r="L128" i="20"/>
  <c r="L136" i="20"/>
  <c r="L112" i="20"/>
  <c r="K112" i="20"/>
  <c r="J112" i="20"/>
  <c r="L117" i="20"/>
  <c r="L125" i="20"/>
  <c r="L133" i="20"/>
  <c r="AG182" i="23"/>
  <c r="A110" i="23"/>
  <c r="A148" i="23" s="1"/>
  <c r="A184" i="23" s="1"/>
  <c r="A72" i="23"/>
  <c r="F184" i="21"/>
  <c r="AY183" i="21"/>
  <c r="AM183" i="21"/>
  <c r="AA183" i="21"/>
  <c r="O183" i="21"/>
  <c r="BE183" i="21"/>
  <c r="AS183" i="21"/>
  <c r="AG183" i="21"/>
  <c r="U183" i="21"/>
  <c r="S184" i="21"/>
  <c r="M184" i="21"/>
  <c r="Y184" i="21"/>
  <c r="AW184" i="21"/>
  <c r="AQ184" i="21"/>
  <c r="AE184" i="21"/>
  <c r="BC184" i="21"/>
  <c r="AK184" i="21"/>
  <c r="L111" i="22"/>
  <c r="D12" i="22"/>
  <c r="K111" i="22"/>
  <c r="J111" i="22"/>
  <c r="BC187" i="19"/>
  <c r="AQ187" i="19"/>
  <c r="AE187" i="19"/>
  <c r="S187" i="19"/>
  <c r="AW187" i="19"/>
  <c r="M187" i="19"/>
  <c r="AK187" i="19"/>
  <c r="Y187" i="19"/>
  <c r="A110" i="22"/>
  <c r="A148" i="22" s="1"/>
  <c r="A184" i="22" s="1"/>
  <c r="A72" i="22"/>
  <c r="O182" i="23"/>
  <c r="M180" i="21"/>
  <c r="AK180" i="21"/>
  <c r="S180" i="21"/>
  <c r="BC180" i="21"/>
  <c r="AE180" i="21"/>
  <c r="Y180" i="21"/>
  <c r="AW180" i="21"/>
  <c r="AQ180" i="21"/>
  <c r="AY182" i="21"/>
  <c r="AG182" i="21"/>
  <c r="U182" i="19"/>
  <c r="AM182" i="19"/>
  <c r="D184" i="23"/>
  <c r="E148" i="23"/>
  <c r="BC183" i="19"/>
  <c r="AQ183" i="19"/>
  <c r="AE183" i="19"/>
  <c r="S183" i="19"/>
  <c r="AK183" i="19"/>
  <c r="AW183" i="19"/>
  <c r="Y183" i="19"/>
  <c r="M183" i="19"/>
  <c r="F184" i="19"/>
  <c r="AG183" i="19"/>
  <c r="BE183" i="19"/>
  <c r="Y181" i="23"/>
  <c r="AK181" i="23"/>
  <c r="AQ181" i="23"/>
  <c r="S181" i="23"/>
  <c r="M181" i="23"/>
  <c r="AW181" i="23"/>
  <c r="AE181" i="23"/>
  <c r="BC181" i="23"/>
  <c r="BE182" i="23"/>
  <c r="AY182" i="23"/>
  <c r="I130" i="19"/>
  <c r="I110" i="19"/>
  <c r="I127" i="19"/>
  <c r="B120" i="19"/>
  <c r="B136" i="19"/>
  <c r="I123" i="19"/>
  <c r="I111" i="19"/>
  <c r="B122" i="19"/>
  <c r="B130" i="19"/>
  <c r="I105" i="19"/>
  <c r="I113" i="19"/>
  <c r="B119" i="19"/>
  <c r="B127" i="19"/>
  <c r="G20" i="14" l="1"/>
  <c r="AA184" i="22"/>
  <c r="AA186" i="22" s="1"/>
  <c r="U184" i="22"/>
  <c r="U186" i="22" s="1"/>
  <c r="AS184" i="22"/>
  <c r="AS186" i="22" s="1"/>
  <c r="O185" i="22"/>
  <c r="AY184" i="22"/>
  <c r="AY186" i="22" s="1"/>
  <c r="AM184" i="22"/>
  <c r="AM186" i="22" s="1"/>
  <c r="F40" i="14"/>
  <c r="E35" i="14"/>
  <c r="E20" i="14"/>
  <c r="F20" i="14"/>
  <c r="D40" i="14"/>
  <c r="G40" i="14"/>
  <c r="G35" i="14"/>
  <c r="G10" i="14"/>
  <c r="G30" i="14"/>
  <c r="E30" i="14"/>
  <c r="F30" i="14"/>
  <c r="D30" i="14"/>
  <c r="G5" i="14"/>
  <c r="F5" i="14"/>
  <c r="D5" i="14"/>
  <c r="E5" i="14"/>
  <c r="BF188" i="31"/>
  <c r="BG188" i="31" s="1"/>
  <c r="BF186" i="31"/>
  <c r="BG186" i="31" s="1"/>
  <c r="BF185" i="31"/>
  <c r="BG185" i="31" s="1"/>
  <c r="BF184" i="31"/>
  <c r="BF187" i="31"/>
  <c r="BG187" i="31" s="1"/>
  <c r="D10" i="14"/>
  <c r="P188" i="31"/>
  <c r="Q188" i="31" s="1"/>
  <c r="P185" i="31"/>
  <c r="Q185" i="31" s="1"/>
  <c r="P187" i="31"/>
  <c r="Q187" i="31" s="1"/>
  <c r="P186" i="31"/>
  <c r="Q186" i="31" s="1"/>
  <c r="P184" i="31"/>
  <c r="CC148" i="31"/>
  <c r="BZ152" i="31" s="1"/>
  <c r="H168" i="31" s="1"/>
  <c r="CA141" i="31"/>
  <c r="BZ151" i="31" s="1"/>
  <c r="G168" i="31" s="1"/>
  <c r="AZ188" i="31"/>
  <c r="BA188" i="31" s="1"/>
  <c r="AZ184" i="31"/>
  <c r="AZ186" i="31"/>
  <c r="BA186" i="31" s="1"/>
  <c r="AZ185" i="31"/>
  <c r="BA185" i="31" s="1"/>
  <c r="AZ187" i="31"/>
  <c r="BA187" i="31" s="1"/>
  <c r="AT148" i="31"/>
  <c r="AQ152" i="31" s="1"/>
  <c r="H163" i="31" s="1"/>
  <c r="AR141" i="31"/>
  <c r="AQ151" i="31" s="1"/>
  <c r="G163" i="31" s="1"/>
  <c r="CJ148" i="31"/>
  <c r="CG152" i="31" s="1"/>
  <c r="H169" i="31" s="1"/>
  <c r="CH141" i="31"/>
  <c r="CG151" i="31" s="1"/>
  <c r="G169" i="31" s="1"/>
  <c r="E10" i="14"/>
  <c r="G116" i="31"/>
  <c r="D40" i="31" s="1"/>
  <c r="BH148" i="31"/>
  <c r="BE152" i="31" s="1"/>
  <c r="H165" i="31" s="1"/>
  <c r="BF141" i="31"/>
  <c r="BE151" i="31" s="1"/>
  <c r="G165" i="31" s="1"/>
  <c r="CX148" i="31"/>
  <c r="CU152" i="31" s="1"/>
  <c r="H171" i="31" s="1"/>
  <c r="CV141" i="31"/>
  <c r="CU151" i="31" s="1"/>
  <c r="G171" i="31" s="1"/>
  <c r="Y148" i="31"/>
  <c r="V152" i="31" s="1"/>
  <c r="H160" i="31" s="1"/>
  <c r="W141" i="31"/>
  <c r="V151" i="31" s="1"/>
  <c r="G160" i="31" s="1"/>
  <c r="AH185" i="31"/>
  <c r="AI185" i="31" s="1"/>
  <c r="AH184" i="31"/>
  <c r="AH186" i="31"/>
  <c r="AI186" i="31" s="1"/>
  <c r="AH187" i="31"/>
  <c r="AI187" i="31" s="1"/>
  <c r="AH188" i="31"/>
  <c r="AI188" i="31" s="1"/>
  <c r="BA148" i="31"/>
  <c r="AX152" i="31" s="1"/>
  <c r="H164" i="31" s="1"/>
  <c r="AY141" i="31"/>
  <c r="AX151" i="31" s="1"/>
  <c r="G164" i="31" s="1"/>
  <c r="CQ148" i="31"/>
  <c r="CN152" i="31" s="1"/>
  <c r="H170" i="31" s="1"/>
  <c r="CO141" i="31"/>
  <c r="CN151" i="31" s="1"/>
  <c r="G170" i="31" s="1"/>
  <c r="AM148" i="31"/>
  <c r="AJ152" i="31" s="1"/>
  <c r="H162" i="31" s="1"/>
  <c r="AK141" i="31"/>
  <c r="AJ151" i="31" s="1"/>
  <c r="G162" i="31" s="1"/>
  <c r="F10" i="14"/>
  <c r="R148" i="31"/>
  <c r="O152" i="31" s="1"/>
  <c r="H159" i="31" s="1"/>
  <c r="P141" i="31"/>
  <c r="O151" i="31" s="1"/>
  <c r="G159" i="31" s="1"/>
  <c r="BO148" i="31"/>
  <c r="BL152" i="31" s="1"/>
  <c r="H166" i="31" s="1"/>
  <c r="BM141" i="31"/>
  <c r="BL151" i="31" s="1"/>
  <c r="G166" i="31" s="1"/>
  <c r="V184" i="31"/>
  <c r="V186" i="31"/>
  <c r="W186" i="31" s="1"/>
  <c r="V187" i="31"/>
  <c r="W187" i="31" s="1"/>
  <c r="V188" i="31"/>
  <c r="W188" i="31" s="1"/>
  <c r="V185" i="31"/>
  <c r="W185" i="31" s="1"/>
  <c r="BV148" i="31"/>
  <c r="BS152" i="31" s="1"/>
  <c r="H167" i="31" s="1"/>
  <c r="BT141" i="31"/>
  <c r="BS151" i="31" s="1"/>
  <c r="G167" i="31" s="1"/>
  <c r="G117" i="31"/>
  <c r="D41" i="31" s="1"/>
  <c r="AF148" i="31"/>
  <c r="AC152" i="31" s="1"/>
  <c r="H161" i="31" s="1"/>
  <c r="AD141" i="31"/>
  <c r="AC151" i="31" s="1"/>
  <c r="G161" i="31" s="1"/>
  <c r="AT187" i="31"/>
  <c r="AU187" i="31" s="1"/>
  <c r="AT184" i="31"/>
  <c r="AT186" i="31"/>
  <c r="AU186" i="31" s="1"/>
  <c r="AT188" i="31"/>
  <c r="AU188" i="31" s="1"/>
  <c r="AT185" i="31"/>
  <c r="AU185" i="31" s="1"/>
  <c r="AN184" i="31"/>
  <c r="AN186" i="31"/>
  <c r="AO186" i="31" s="1"/>
  <c r="AN187" i="31"/>
  <c r="AO187" i="31" s="1"/>
  <c r="AN185" i="31"/>
  <c r="AO185" i="31" s="1"/>
  <c r="AN188" i="31"/>
  <c r="AO188" i="31" s="1"/>
  <c r="AB185" i="31"/>
  <c r="AC185" i="31" s="1"/>
  <c r="AB188" i="31"/>
  <c r="AC188" i="31" s="1"/>
  <c r="AB187" i="31"/>
  <c r="AC187" i="31" s="1"/>
  <c r="AB186" i="31"/>
  <c r="AC186" i="31" s="1"/>
  <c r="AB184" i="31"/>
  <c r="A111" i="20"/>
  <c r="A149" i="20" s="1"/>
  <c r="A185" i="20" s="1"/>
  <c r="A73" i="20"/>
  <c r="L131" i="21"/>
  <c r="L124" i="19"/>
  <c r="J105" i="21"/>
  <c r="L132" i="19"/>
  <c r="K104" i="21"/>
  <c r="D31" i="21"/>
  <c r="F35" i="14" s="1"/>
  <c r="J106" i="19"/>
  <c r="L107" i="21"/>
  <c r="K112" i="21"/>
  <c r="K108" i="19"/>
  <c r="D7" i="19"/>
  <c r="J106" i="21"/>
  <c r="L113" i="21"/>
  <c r="D15" i="21"/>
  <c r="J112" i="21"/>
  <c r="J114" i="21"/>
  <c r="D7" i="21"/>
  <c r="L120" i="21"/>
  <c r="L112" i="21"/>
  <c r="L122" i="21"/>
  <c r="D9" i="19"/>
  <c r="L116" i="19"/>
  <c r="L115" i="21"/>
  <c r="D10" i="21"/>
  <c r="D9" i="21"/>
  <c r="D12" i="21"/>
  <c r="L121" i="19"/>
  <c r="D20" i="21"/>
  <c r="D21" i="21"/>
  <c r="L116" i="21"/>
  <c r="L131" i="19"/>
  <c r="L114" i="21"/>
  <c r="K107" i="21"/>
  <c r="D5" i="21"/>
  <c r="D33" i="21"/>
  <c r="J107" i="21"/>
  <c r="L121" i="21"/>
  <c r="L125" i="21"/>
  <c r="L105" i="21"/>
  <c r="L123" i="21"/>
  <c r="L135" i="21"/>
  <c r="J113" i="21"/>
  <c r="L126" i="21"/>
  <c r="L133" i="21"/>
  <c r="L134" i="21"/>
  <c r="L124" i="21"/>
  <c r="K105" i="21"/>
  <c r="D14" i="21"/>
  <c r="L106" i="21"/>
  <c r="L109" i="21"/>
  <c r="D15" i="19"/>
  <c r="L108" i="21"/>
  <c r="D8" i="19"/>
  <c r="J109" i="19"/>
  <c r="D16" i="19"/>
  <c r="L128" i="21"/>
  <c r="L107" i="19"/>
  <c r="K110" i="21"/>
  <c r="L109" i="19"/>
  <c r="L129" i="21"/>
  <c r="K111" i="21"/>
  <c r="G117" i="22"/>
  <c r="D41" i="22" s="1"/>
  <c r="J114" i="19"/>
  <c r="D10" i="19"/>
  <c r="L127" i="21"/>
  <c r="K108" i="21"/>
  <c r="L136" i="21"/>
  <c r="L117" i="21"/>
  <c r="G117" i="18"/>
  <c r="D41" i="18" s="1"/>
  <c r="K107" i="19"/>
  <c r="L122" i="19"/>
  <c r="I103" i="21"/>
  <c r="G115" i="21" s="1"/>
  <c r="D39" i="21" s="1"/>
  <c r="L110" i="21"/>
  <c r="L111" i="21"/>
  <c r="L115" i="19"/>
  <c r="D11" i="21"/>
  <c r="K109" i="21"/>
  <c r="L130" i="21"/>
  <c r="J111" i="21"/>
  <c r="L118" i="21"/>
  <c r="L108" i="19"/>
  <c r="L113" i="19"/>
  <c r="D14" i="19"/>
  <c r="K113" i="19"/>
  <c r="J113" i="19"/>
  <c r="L127" i="19"/>
  <c r="D28" i="19"/>
  <c r="D150" i="20"/>
  <c r="E150" i="20" s="1"/>
  <c r="C74" i="20"/>
  <c r="D150" i="22"/>
  <c r="E150" i="22" s="1"/>
  <c r="C74" i="22"/>
  <c r="AN185" i="22"/>
  <c r="AO185" i="22" s="1"/>
  <c r="AN187" i="22"/>
  <c r="AO187" i="22" s="1"/>
  <c r="AN178" i="22"/>
  <c r="AN182" i="22"/>
  <c r="AO182" i="22" s="1"/>
  <c r="AN183" i="22"/>
  <c r="AO183" i="22" s="1"/>
  <c r="AN180" i="22"/>
  <c r="AO180" i="22" s="1"/>
  <c r="AN184" i="22"/>
  <c r="AO184" i="22" s="1"/>
  <c r="AN179" i="22"/>
  <c r="AO179" i="22" s="1"/>
  <c r="AN186" i="22"/>
  <c r="AO186" i="22" s="1"/>
  <c r="AN181" i="22"/>
  <c r="AO181" i="22" s="1"/>
  <c r="AN188" i="22"/>
  <c r="AO188" i="22" s="1"/>
  <c r="D26" i="19"/>
  <c r="L125" i="19"/>
  <c r="D35" i="19"/>
  <c r="L134" i="19"/>
  <c r="D19" i="17"/>
  <c r="B45" i="17" s="1"/>
  <c r="L118" i="17"/>
  <c r="L105" i="17"/>
  <c r="D6" i="17"/>
  <c r="J105" i="17"/>
  <c r="K105" i="17"/>
  <c r="D21" i="23"/>
  <c r="L120" i="23"/>
  <c r="D28" i="23"/>
  <c r="L127" i="23"/>
  <c r="D150" i="18"/>
  <c r="E150" i="18" s="1"/>
  <c r="C74" i="18"/>
  <c r="L105" i="19"/>
  <c r="D6" i="19"/>
  <c r="K105" i="19"/>
  <c r="J105" i="19"/>
  <c r="D11" i="19"/>
  <c r="L110" i="19"/>
  <c r="J110" i="19"/>
  <c r="K110" i="19"/>
  <c r="D185" i="19"/>
  <c r="L114" i="19"/>
  <c r="L135" i="19"/>
  <c r="D151" i="21"/>
  <c r="E151" i="21" s="1"/>
  <c r="C75" i="21"/>
  <c r="L117" i="19"/>
  <c r="D18" i="19"/>
  <c r="D19" i="19"/>
  <c r="B45" i="19" s="1"/>
  <c r="L118" i="19"/>
  <c r="D35" i="17"/>
  <c r="L134" i="17"/>
  <c r="D23" i="17"/>
  <c r="L122" i="17"/>
  <c r="I103" i="17"/>
  <c r="G115" i="17" s="1"/>
  <c r="D39" i="17" s="1"/>
  <c r="D5" i="17"/>
  <c r="J104" i="17"/>
  <c r="K104" i="17"/>
  <c r="D11" i="17"/>
  <c r="L110" i="17"/>
  <c r="K110" i="17"/>
  <c r="J110" i="17"/>
  <c r="L127" i="17"/>
  <c r="D28" i="17"/>
  <c r="L124" i="17"/>
  <c r="D25" i="17"/>
  <c r="L114" i="17"/>
  <c r="D15" i="17"/>
  <c r="J114" i="17"/>
  <c r="K114" i="17"/>
  <c r="D30" i="17"/>
  <c r="L129" i="17"/>
  <c r="D6" i="23"/>
  <c r="L105" i="23"/>
  <c r="K105" i="23"/>
  <c r="J105" i="23"/>
  <c r="L111" i="23"/>
  <c r="D12" i="23"/>
  <c r="J111" i="23"/>
  <c r="K111" i="23"/>
  <c r="D15" i="23"/>
  <c r="L114" i="23"/>
  <c r="K114" i="23"/>
  <c r="J114" i="23"/>
  <c r="L109" i="23"/>
  <c r="D10" i="23"/>
  <c r="J109" i="23"/>
  <c r="K109" i="23"/>
  <c r="L126" i="19"/>
  <c r="A111" i="21"/>
  <c r="A149" i="21" s="1"/>
  <c r="A185" i="21" s="1"/>
  <c r="A73" i="21"/>
  <c r="D150" i="19"/>
  <c r="E150" i="19" s="1"/>
  <c r="C74" i="19"/>
  <c r="D31" i="19"/>
  <c r="L130" i="19"/>
  <c r="L119" i="19"/>
  <c r="L112" i="19"/>
  <c r="D13" i="19"/>
  <c r="K112" i="19"/>
  <c r="J112" i="19"/>
  <c r="L131" i="17"/>
  <c r="D32" i="17"/>
  <c r="L123" i="17"/>
  <c r="D24" i="17"/>
  <c r="C45" i="17" s="1"/>
  <c r="D17" i="17"/>
  <c r="L116" i="17"/>
  <c r="L107" i="17"/>
  <c r="D8" i="17"/>
  <c r="K107" i="17"/>
  <c r="J107" i="17"/>
  <c r="D16" i="17"/>
  <c r="L115" i="17"/>
  <c r="D37" i="23"/>
  <c r="L136" i="23"/>
  <c r="L107" i="23"/>
  <c r="D8" i="23"/>
  <c r="K107" i="23"/>
  <c r="J107" i="23"/>
  <c r="D16" i="23"/>
  <c r="L115" i="23"/>
  <c r="L110" i="23"/>
  <c r="D11" i="23"/>
  <c r="K110" i="23"/>
  <c r="J110" i="23"/>
  <c r="D24" i="23"/>
  <c r="C45" i="23" s="1"/>
  <c r="L123" i="23"/>
  <c r="D32" i="23"/>
  <c r="L131" i="23"/>
  <c r="D185" i="20"/>
  <c r="D185" i="15"/>
  <c r="G116" i="20"/>
  <c r="D40" i="20" s="1"/>
  <c r="G117" i="15"/>
  <c r="D41" i="15" s="1"/>
  <c r="D150" i="15"/>
  <c r="E150" i="15" s="1"/>
  <c r="C74" i="15"/>
  <c r="L106" i="19"/>
  <c r="D185" i="23"/>
  <c r="A111" i="22"/>
  <c r="A149" i="22" s="1"/>
  <c r="A185" i="22" s="1"/>
  <c r="A73" i="22"/>
  <c r="D185" i="17"/>
  <c r="G116" i="22"/>
  <c r="D40" i="22" s="1"/>
  <c r="AH178" i="22"/>
  <c r="AH188" i="22"/>
  <c r="AI188" i="22" s="1"/>
  <c r="AH187" i="22"/>
  <c r="AI187" i="22" s="1"/>
  <c r="AH186" i="22"/>
  <c r="AI186" i="22" s="1"/>
  <c r="AH185" i="22"/>
  <c r="AI185" i="22" s="1"/>
  <c r="AH179" i="22"/>
  <c r="AI179" i="22" s="1"/>
  <c r="AH182" i="22"/>
  <c r="AI182" i="22" s="1"/>
  <c r="AH183" i="22"/>
  <c r="AI183" i="22" s="1"/>
  <c r="AH184" i="22"/>
  <c r="AI184" i="22" s="1"/>
  <c r="AH180" i="22"/>
  <c r="AI180" i="22" s="1"/>
  <c r="AH181" i="22"/>
  <c r="AI181" i="22" s="1"/>
  <c r="D189" i="22"/>
  <c r="D190" i="22" s="1"/>
  <c r="D191" i="22" s="1"/>
  <c r="D192" i="22" s="1"/>
  <c r="D193" i="22" s="1"/>
  <c r="D194" i="22" s="1"/>
  <c r="D195" i="22" s="1"/>
  <c r="D196" i="22" s="1"/>
  <c r="D197" i="22" s="1"/>
  <c r="D198" i="22" s="1"/>
  <c r="D199" i="22" s="1"/>
  <c r="BE185" i="22"/>
  <c r="BE184" i="22"/>
  <c r="BE186" i="22" s="1"/>
  <c r="AA185" i="22"/>
  <c r="AS185" i="22"/>
  <c r="AY185" i="22"/>
  <c r="L133" i="19"/>
  <c r="D34" i="19"/>
  <c r="E45" i="19" s="1"/>
  <c r="L136" i="19"/>
  <c r="D37" i="19"/>
  <c r="G25" i="14" s="1"/>
  <c r="I103" i="19"/>
  <c r="G115" i="19" s="1"/>
  <c r="D39" i="19" s="1"/>
  <c r="D5" i="19"/>
  <c r="K104" i="19"/>
  <c r="J104" i="19"/>
  <c r="D27" i="17"/>
  <c r="L126" i="17"/>
  <c r="L108" i="17"/>
  <c r="D9" i="17"/>
  <c r="K108" i="17"/>
  <c r="J108" i="17"/>
  <c r="D31" i="17"/>
  <c r="L130" i="17"/>
  <c r="L119" i="17"/>
  <c r="D20" i="17"/>
  <c r="L135" i="17"/>
  <c r="D36" i="17"/>
  <c r="L120" i="17"/>
  <c r="D21" i="17"/>
  <c r="L128" i="17"/>
  <c r="D29" i="17"/>
  <c r="D45" i="17" s="1"/>
  <c r="L136" i="17"/>
  <c r="D37" i="17"/>
  <c r="L112" i="17"/>
  <c r="D13" i="17"/>
  <c r="K112" i="17"/>
  <c r="J112" i="17"/>
  <c r="L117" i="17"/>
  <c r="D18" i="17"/>
  <c r="L125" i="17"/>
  <c r="D26" i="17"/>
  <c r="L133" i="17"/>
  <c r="D34" i="17"/>
  <c r="E45" i="17" s="1"/>
  <c r="D26" i="23"/>
  <c r="L125" i="23"/>
  <c r="D18" i="23"/>
  <c r="L117" i="23"/>
  <c r="L124" i="23"/>
  <c r="D25" i="23"/>
  <c r="D13" i="23"/>
  <c r="L112" i="23"/>
  <c r="K112" i="23"/>
  <c r="J112" i="23"/>
  <c r="D22" i="23"/>
  <c r="L121" i="23"/>
  <c r="D5" i="23"/>
  <c r="I103" i="23"/>
  <c r="G115" i="23" s="1"/>
  <c r="D39" i="23" s="1"/>
  <c r="J104" i="23"/>
  <c r="K104" i="23"/>
  <c r="L118" i="23"/>
  <c r="D19" i="23"/>
  <c r="B45" i="23" s="1"/>
  <c r="L126" i="23"/>
  <c r="D27" i="23"/>
  <c r="L134" i="23"/>
  <c r="D35" i="23"/>
  <c r="E45" i="23" s="1"/>
  <c r="D17" i="23"/>
  <c r="L116" i="23"/>
  <c r="G117" i="20"/>
  <c r="D41" i="20" s="1"/>
  <c r="D150" i="17"/>
  <c r="E150" i="17" s="1"/>
  <c r="C74" i="17"/>
  <c r="G116" i="18"/>
  <c r="D40" i="18" s="1"/>
  <c r="G116" i="15"/>
  <c r="D40" i="15" s="1"/>
  <c r="A112" i="18"/>
  <c r="A150" i="18" s="1"/>
  <c r="A186" i="18" s="1"/>
  <c r="A74" i="18"/>
  <c r="U185" i="22"/>
  <c r="D12" i="19"/>
  <c r="L111" i="19"/>
  <c r="J111" i="19"/>
  <c r="K111" i="19"/>
  <c r="A111" i="23"/>
  <c r="A149" i="23" s="1"/>
  <c r="A185" i="23" s="1"/>
  <c r="A73" i="23"/>
  <c r="L128" i="19"/>
  <c r="D29" i="19"/>
  <c r="D45" i="19" s="1"/>
  <c r="D10" i="17"/>
  <c r="L109" i="17"/>
  <c r="K109" i="17"/>
  <c r="J109" i="17"/>
  <c r="D12" i="17"/>
  <c r="L111" i="17"/>
  <c r="J111" i="17"/>
  <c r="K111" i="17"/>
  <c r="L113" i="17"/>
  <c r="D14" i="17"/>
  <c r="K113" i="17"/>
  <c r="J113" i="17"/>
  <c r="D29" i="23"/>
  <c r="L128" i="23"/>
  <c r="L113" i="23"/>
  <c r="D14" i="23"/>
  <c r="K113" i="23"/>
  <c r="J113" i="23"/>
  <c r="L108" i="23"/>
  <c r="D9" i="23"/>
  <c r="K108" i="23"/>
  <c r="J108" i="23"/>
  <c r="D20" i="23"/>
  <c r="L119" i="23"/>
  <c r="D36" i="23"/>
  <c r="L135" i="23"/>
  <c r="D185" i="18"/>
  <c r="P188" i="22"/>
  <c r="Q188" i="22" s="1"/>
  <c r="P186" i="22"/>
  <c r="Q186" i="22" s="1"/>
  <c r="P184" i="22"/>
  <c r="Q184" i="22" s="1"/>
  <c r="P182" i="22"/>
  <c r="Q182" i="22" s="1"/>
  <c r="P187" i="22"/>
  <c r="Q187" i="22" s="1"/>
  <c r="P185" i="22"/>
  <c r="Q185" i="22" s="1"/>
  <c r="P179" i="22"/>
  <c r="Q179" i="22" s="1"/>
  <c r="P183" i="22"/>
  <c r="Q183" i="22" s="1"/>
  <c r="P181" i="22"/>
  <c r="Q181" i="22" s="1"/>
  <c r="P180" i="22"/>
  <c r="Q180" i="22" s="1"/>
  <c r="P178" i="22"/>
  <c r="L123" i="19"/>
  <c r="D24" i="19"/>
  <c r="C45" i="19" s="1"/>
  <c r="A113" i="15"/>
  <c r="A151" i="15" s="1"/>
  <c r="A187" i="15" s="1"/>
  <c r="A75" i="15"/>
  <c r="A112" i="19"/>
  <c r="A150" i="19" s="1"/>
  <c r="A186" i="19" s="1"/>
  <c r="A74" i="19"/>
  <c r="L129" i="19"/>
  <c r="D150" i="23"/>
  <c r="E150" i="23" s="1"/>
  <c r="C74" i="23"/>
  <c r="L120" i="19"/>
  <c r="D21" i="19"/>
  <c r="D25" i="14" s="1"/>
  <c r="L132" i="17"/>
  <c r="D33" i="17"/>
  <c r="L106" i="17"/>
  <c r="D7" i="17"/>
  <c r="J106" i="17"/>
  <c r="K106" i="17"/>
  <c r="D22" i="17"/>
  <c r="L121" i="17"/>
  <c r="D186" i="21"/>
  <c r="D7" i="23"/>
  <c r="L106" i="23"/>
  <c r="K106" i="23"/>
  <c r="J106" i="23"/>
  <c r="D34" i="23"/>
  <c r="L133" i="23"/>
  <c r="L132" i="23"/>
  <c r="D33" i="23"/>
  <c r="D30" i="23"/>
  <c r="D45" i="23" s="1"/>
  <c r="L129" i="23"/>
  <c r="L122" i="23"/>
  <c r="D23" i="23"/>
  <c r="L130" i="23"/>
  <c r="D31" i="23"/>
  <c r="A112" i="17"/>
  <c r="A150" i="17" s="1"/>
  <c r="A186" i="17" s="1"/>
  <c r="A74" i="17"/>
  <c r="F25" i="14" l="1"/>
  <c r="E25" i="14"/>
  <c r="L161" i="31"/>
  <c r="L162" i="31"/>
  <c r="L164" i="31"/>
  <c r="L168" i="31"/>
  <c r="L166" i="31"/>
  <c r="L171" i="31"/>
  <c r="L163" i="31"/>
  <c r="L167" i="31"/>
  <c r="L170" i="31"/>
  <c r="L159" i="31"/>
  <c r="G147" i="31" s="1"/>
  <c r="L160" i="31"/>
  <c r="L165" i="31"/>
  <c r="L169" i="31"/>
  <c r="D35" i="14"/>
  <c r="E55" i="14"/>
  <c r="D55" i="14"/>
  <c r="G55" i="14"/>
  <c r="F55" i="14"/>
  <c r="AC184" i="31"/>
  <c r="AA188" i="31" s="1"/>
  <c r="G202" i="31" s="1"/>
  <c r="AB177" i="31"/>
  <c r="AI184" i="31"/>
  <c r="AG188" i="31" s="1"/>
  <c r="G203" i="31" s="1"/>
  <c r="AH177" i="31"/>
  <c r="AU184" i="31"/>
  <c r="AS188" i="31" s="1"/>
  <c r="G205" i="31" s="1"/>
  <c r="AT177" i="31"/>
  <c r="W184" i="31"/>
  <c r="U188" i="31" s="1"/>
  <c r="G201" i="31" s="1"/>
  <c r="V177" i="31"/>
  <c r="BA184" i="31"/>
  <c r="AY188" i="31" s="1"/>
  <c r="G206" i="31" s="1"/>
  <c r="AZ177" i="31"/>
  <c r="Q184" i="31"/>
  <c r="O188" i="31" s="1"/>
  <c r="G200" i="31" s="1"/>
  <c r="P177" i="31"/>
  <c r="O187" i="31" s="1"/>
  <c r="F200" i="31" s="1"/>
  <c r="BG184" i="31"/>
  <c r="BE188" i="31" s="1"/>
  <c r="G207" i="31" s="1"/>
  <c r="BF177" i="31"/>
  <c r="AO184" i="31"/>
  <c r="AM188" i="31" s="1"/>
  <c r="G204" i="31" s="1"/>
  <c r="AN177" i="31"/>
  <c r="A74" i="20"/>
  <c r="A112" i="20"/>
  <c r="A150" i="20" s="1"/>
  <c r="A186" i="20" s="1"/>
  <c r="G116" i="21"/>
  <c r="D40" i="21" s="1"/>
  <c r="G117" i="21"/>
  <c r="D41" i="21" s="1"/>
  <c r="G117" i="23"/>
  <c r="D41" i="23" s="1"/>
  <c r="D187" i="21"/>
  <c r="D188" i="21" s="1"/>
  <c r="A114" i="15"/>
  <c r="A152" i="15" s="1"/>
  <c r="A188" i="15" s="1"/>
  <c r="A76" i="15"/>
  <c r="A113" i="18"/>
  <c r="A151" i="18" s="1"/>
  <c r="A187" i="18" s="1"/>
  <c r="A75" i="18"/>
  <c r="BF188" i="22"/>
  <c r="BG188" i="22" s="1"/>
  <c r="BF187" i="22"/>
  <c r="BG187" i="22" s="1"/>
  <c r="BF186" i="22"/>
  <c r="BG186" i="22" s="1"/>
  <c r="BF185" i="22"/>
  <c r="BG185" i="22" s="1"/>
  <c r="BF179" i="22"/>
  <c r="BG179" i="22" s="1"/>
  <c r="BF178" i="22"/>
  <c r="BF181" i="22"/>
  <c r="BG181" i="22" s="1"/>
  <c r="BF182" i="22"/>
  <c r="BG182" i="22" s="1"/>
  <c r="BF184" i="22"/>
  <c r="BG184" i="22" s="1"/>
  <c r="BF180" i="22"/>
  <c r="BG180" i="22" s="1"/>
  <c r="BF183" i="22"/>
  <c r="BG183" i="22" s="1"/>
  <c r="A113" i="17"/>
  <c r="A151" i="17" s="1"/>
  <c r="A187" i="17" s="1"/>
  <c r="A75" i="17"/>
  <c r="D186" i="18"/>
  <c r="AB181" i="22"/>
  <c r="AC181" i="22" s="1"/>
  <c r="AB180" i="22"/>
  <c r="AC180" i="22" s="1"/>
  <c r="AB183" i="22"/>
  <c r="AC183" i="22" s="1"/>
  <c r="AB186" i="22"/>
  <c r="AC186" i="22" s="1"/>
  <c r="AB187" i="22"/>
  <c r="AC187" i="22" s="1"/>
  <c r="AB184" i="22"/>
  <c r="AC184" i="22" s="1"/>
  <c r="AB179" i="22"/>
  <c r="AC179" i="22" s="1"/>
  <c r="AB185" i="22"/>
  <c r="AC185" i="22" s="1"/>
  <c r="AB182" i="22"/>
  <c r="AC182" i="22" s="1"/>
  <c r="AB178" i="22"/>
  <c r="AB188" i="22"/>
  <c r="AC188" i="22" s="1"/>
  <c r="AO178" i="22"/>
  <c r="AM188" i="22" s="1"/>
  <c r="G204" i="22" s="1"/>
  <c r="AN177" i="22"/>
  <c r="F204" i="22" s="1"/>
  <c r="D151" i="22"/>
  <c r="E151" i="22" s="1"/>
  <c r="C75" i="22"/>
  <c r="A113" i="19"/>
  <c r="A151" i="19" s="1"/>
  <c r="A187" i="19" s="1"/>
  <c r="A75" i="19"/>
  <c r="G15" i="14"/>
  <c r="G117" i="19"/>
  <c r="D41" i="19" s="1"/>
  <c r="D186" i="23"/>
  <c r="D151" i="15"/>
  <c r="E151" i="15" s="1"/>
  <c r="C75" i="15"/>
  <c r="D151" i="19"/>
  <c r="E151" i="19" s="1"/>
  <c r="C75" i="19"/>
  <c r="A74" i="21"/>
  <c r="A112" i="21"/>
  <c r="A150" i="21" s="1"/>
  <c r="A186" i="21" s="1"/>
  <c r="C76" i="21"/>
  <c r="D152" i="21"/>
  <c r="E67" i="21"/>
  <c r="E66" i="21"/>
  <c r="D186" i="19"/>
  <c r="D151" i="18"/>
  <c r="E151" i="18" s="1"/>
  <c r="C75" i="18"/>
  <c r="AT188" i="22"/>
  <c r="AU188" i="22" s="1"/>
  <c r="AT187" i="22"/>
  <c r="AU187" i="22" s="1"/>
  <c r="AT186" i="22"/>
  <c r="AU186" i="22" s="1"/>
  <c r="AT185" i="22"/>
  <c r="AU185" i="22" s="1"/>
  <c r="AT180" i="22"/>
  <c r="AU180" i="22" s="1"/>
  <c r="AT178" i="22"/>
  <c r="AT181" i="22"/>
  <c r="AU181" i="22" s="1"/>
  <c r="AT183" i="22"/>
  <c r="AU183" i="22" s="1"/>
  <c r="AT179" i="22"/>
  <c r="AU179" i="22" s="1"/>
  <c r="AT182" i="22"/>
  <c r="AU182" i="22" s="1"/>
  <c r="AT184" i="22"/>
  <c r="AU184" i="22" s="1"/>
  <c r="D186" i="17"/>
  <c r="D186" i="15"/>
  <c r="G116" i="17"/>
  <c r="D40" i="17" s="1"/>
  <c r="D151" i="17"/>
  <c r="E151" i="17" s="1"/>
  <c r="C75" i="17"/>
  <c r="D200" i="22"/>
  <c r="D201" i="22" s="1"/>
  <c r="D202" i="22" s="1"/>
  <c r="D203" i="22" s="1"/>
  <c r="D204" i="22" s="1"/>
  <c r="D205" i="22" s="1"/>
  <c r="D206" i="22" s="1"/>
  <c r="D207" i="22" s="1"/>
  <c r="D208" i="22" s="1"/>
  <c r="D209" i="22" s="1"/>
  <c r="D210" i="22" s="1"/>
  <c r="A74" i="22"/>
  <c r="A112" i="22"/>
  <c r="A150" i="22" s="1"/>
  <c r="A186" i="22" s="1"/>
  <c r="G117" i="17"/>
  <c r="D41" i="17" s="1"/>
  <c r="D151" i="23"/>
  <c r="E151" i="23" s="1"/>
  <c r="C75" i="23"/>
  <c r="Q178" i="22"/>
  <c r="O188" i="22" s="1"/>
  <c r="G200" i="22" s="1"/>
  <c r="P177" i="22"/>
  <c r="O187" i="22" s="1"/>
  <c r="F200" i="22" s="1"/>
  <c r="A74" i="23"/>
  <c r="A112" i="23"/>
  <c r="A150" i="23" s="1"/>
  <c r="A186" i="23" s="1"/>
  <c r="V180" i="22"/>
  <c r="W180" i="22" s="1"/>
  <c r="V188" i="22"/>
  <c r="W188" i="22" s="1"/>
  <c r="V187" i="22"/>
  <c r="W187" i="22" s="1"/>
  <c r="V186" i="22"/>
  <c r="W186" i="22" s="1"/>
  <c r="V185" i="22"/>
  <c r="W185" i="22" s="1"/>
  <c r="V179" i="22"/>
  <c r="W179" i="22" s="1"/>
  <c r="V178" i="22"/>
  <c r="V181" i="22"/>
  <c r="W181" i="22" s="1"/>
  <c r="V182" i="22"/>
  <c r="W182" i="22" s="1"/>
  <c r="V183" i="22"/>
  <c r="W183" i="22" s="1"/>
  <c r="V184" i="22"/>
  <c r="W184" i="22" s="1"/>
  <c r="G116" i="23"/>
  <c r="D40" i="23" s="1"/>
  <c r="G116" i="19"/>
  <c r="D40" i="19" s="1"/>
  <c r="AZ183" i="22"/>
  <c r="BA183" i="22" s="1"/>
  <c r="AZ188" i="22"/>
  <c r="BA188" i="22" s="1"/>
  <c r="AZ186" i="22"/>
  <c r="BA186" i="22" s="1"/>
  <c r="AZ181" i="22"/>
  <c r="BA181" i="22" s="1"/>
  <c r="AZ180" i="22"/>
  <c r="BA180" i="22" s="1"/>
  <c r="AZ187" i="22"/>
  <c r="BA187" i="22" s="1"/>
  <c r="AZ184" i="22"/>
  <c r="BA184" i="22" s="1"/>
  <c r="AZ182" i="22"/>
  <c r="BA182" i="22" s="1"/>
  <c r="AZ178" i="22"/>
  <c r="AZ179" i="22"/>
  <c r="BA179" i="22" s="1"/>
  <c r="AZ185" i="22"/>
  <c r="BA185" i="22" s="1"/>
  <c r="AH177" i="22"/>
  <c r="F203" i="22" s="1"/>
  <c r="AI178" i="22"/>
  <c r="AG188" i="22" s="1"/>
  <c r="G203" i="22" s="1"/>
  <c r="D186" i="20"/>
  <c r="D151" i="20"/>
  <c r="E151" i="20" s="1"/>
  <c r="C75" i="20"/>
  <c r="C151" i="31" l="1"/>
  <c r="C152" i="31"/>
  <c r="C150" i="31"/>
  <c r="C148" i="31"/>
  <c r="C149" i="31"/>
  <c r="AG187" i="31"/>
  <c r="F203" i="31"/>
  <c r="F207" i="31"/>
  <c r="BE187" i="31"/>
  <c r="F206" i="31"/>
  <c r="AY187" i="31"/>
  <c r="F202" i="31"/>
  <c r="AA187" i="31"/>
  <c r="F204" i="31"/>
  <c r="AM187" i="31"/>
  <c r="F201" i="31"/>
  <c r="U187" i="31"/>
  <c r="F205" i="31"/>
  <c r="AS187" i="31"/>
  <c r="A113" i="20"/>
  <c r="A151" i="20" s="1"/>
  <c r="A187" i="20" s="1"/>
  <c r="A75" i="20"/>
  <c r="D187" i="15"/>
  <c r="D188" i="15" s="1"/>
  <c r="U184" i="15"/>
  <c r="U186" i="15" s="1"/>
  <c r="E152" i="21"/>
  <c r="D15" i="14"/>
  <c r="BG178" i="22"/>
  <c r="BE188" i="22" s="1"/>
  <c r="G207" i="22" s="1"/>
  <c r="BF177" i="22"/>
  <c r="F207" i="22" s="1"/>
  <c r="D189" i="21"/>
  <c r="D190" i="21" s="1"/>
  <c r="D191" i="21" s="1"/>
  <c r="D192" i="21" s="1"/>
  <c r="D193" i="21" s="1"/>
  <c r="D194" i="21" s="1"/>
  <c r="D195" i="21" s="1"/>
  <c r="D196" i="21" s="1"/>
  <c r="D197" i="21" s="1"/>
  <c r="D198" i="21" s="1"/>
  <c r="D199" i="21" s="1"/>
  <c r="AY185" i="21"/>
  <c r="O184" i="21"/>
  <c r="O186" i="21" s="1"/>
  <c r="AA185" i="21"/>
  <c r="AG185" i="21"/>
  <c r="BE185" i="21"/>
  <c r="AS185" i="21"/>
  <c r="AA184" i="21"/>
  <c r="AA186" i="21" s="1"/>
  <c r="AY184" i="21"/>
  <c r="AY186" i="21" s="1"/>
  <c r="AM185" i="21"/>
  <c r="AS184" i="21"/>
  <c r="AS186" i="21" s="1"/>
  <c r="U185" i="21"/>
  <c r="O185" i="21"/>
  <c r="AG184" i="21"/>
  <c r="AG186" i="21" s="1"/>
  <c r="AM184" i="21"/>
  <c r="AM186" i="21" s="1"/>
  <c r="U184" i="21"/>
  <c r="U186" i="21" s="1"/>
  <c r="W178" i="22"/>
  <c r="U188" i="22" s="1"/>
  <c r="G201" i="22" s="1"/>
  <c r="V177" i="22"/>
  <c r="F201" i="22" s="1"/>
  <c r="D187" i="19"/>
  <c r="D188" i="19" s="1"/>
  <c r="AG184" i="19" s="1"/>
  <c r="AG186" i="19" s="1"/>
  <c r="A114" i="19"/>
  <c r="A152" i="19" s="1"/>
  <c r="A188" i="19" s="1"/>
  <c r="A76" i="19"/>
  <c r="D187" i="17"/>
  <c r="D188" i="17" s="1"/>
  <c r="AU178" i="22"/>
  <c r="AS188" i="22" s="1"/>
  <c r="G205" i="22" s="1"/>
  <c r="AT177" i="22"/>
  <c r="F205" i="22" s="1"/>
  <c r="I97" i="21"/>
  <c r="I96" i="21"/>
  <c r="I95" i="21"/>
  <c r="I73" i="21"/>
  <c r="I65" i="21"/>
  <c r="B97" i="21"/>
  <c r="B96" i="21"/>
  <c r="B95" i="21"/>
  <c r="B76" i="21"/>
  <c r="I74" i="21"/>
  <c r="I67" i="21"/>
  <c r="I66" i="21"/>
  <c r="I75" i="21"/>
  <c r="I76" i="21"/>
  <c r="I77" i="21"/>
  <c r="I68" i="21"/>
  <c r="I72" i="21"/>
  <c r="I70" i="21"/>
  <c r="I69" i="21"/>
  <c r="I71" i="21"/>
  <c r="D153" i="21"/>
  <c r="C77" i="21"/>
  <c r="D152" i="19"/>
  <c r="C76" i="19"/>
  <c r="E66" i="19"/>
  <c r="E67" i="19"/>
  <c r="D187" i="23"/>
  <c r="D188" i="23" s="1"/>
  <c r="AA184" i="23"/>
  <c r="AA186" i="23" s="1"/>
  <c r="AM187" i="22"/>
  <c r="D187" i="18"/>
  <c r="D188" i="18" s="1"/>
  <c r="AM184" i="18"/>
  <c r="AM186" i="18" s="1"/>
  <c r="BE185" i="18"/>
  <c r="D187" i="20"/>
  <c r="D188" i="20" s="1"/>
  <c r="C76" i="22"/>
  <c r="D152" i="22"/>
  <c r="E67" i="22"/>
  <c r="E66" i="22"/>
  <c r="A114" i="17"/>
  <c r="A152" i="17" s="1"/>
  <c r="A188" i="17" s="1"/>
  <c r="A76" i="17"/>
  <c r="A75" i="22"/>
  <c r="A113" i="22"/>
  <c r="A151" i="22" s="1"/>
  <c r="A187" i="22" s="1"/>
  <c r="A75" i="21"/>
  <c r="A113" i="21"/>
  <c r="A151" i="21" s="1"/>
  <c r="A187" i="21" s="1"/>
  <c r="D152" i="15"/>
  <c r="C76" i="15"/>
  <c r="E67" i="15"/>
  <c r="E66" i="15"/>
  <c r="A115" i="15"/>
  <c r="A153" i="15" s="1"/>
  <c r="A189" i="15" s="1"/>
  <c r="A77" i="15"/>
  <c r="D152" i="20"/>
  <c r="C76" i="20"/>
  <c r="E67" i="20"/>
  <c r="E66" i="20"/>
  <c r="AG187" i="22"/>
  <c r="BA178" i="22"/>
  <c r="AY188" i="22" s="1"/>
  <c r="G206" i="22" s="1"/>
  <c r="AZ177" i="22"/>
  <c r="F206" i="22" s="1"/>
  <c r="E15" i="14"/>
  <c r="A75" i="23"/>
  <c r="A113" i="23"/>
  <c r="A151" i="23" s="1"/>
  <c r="A187" i="23" s="1"/>
  <c r="C76" i="23"/>
  <c r="D152" i="23"/>
  <c r="E67" i="23"/>
  <c r="E66" i="23"/>
  <c r="D152" i="17"/>
  <c r="C76" i="17"/>
  <c r="E67" i="17"/>
  <c r="E66" i="17"/>
  <c r="D152" i="18"/>
  <c r="C76" i="18"/>
  <c r="E67" i="18"/>
  <c r="E66" i="18"/>
  <c r="AC178" i="22"/>
  <c r="AA188" i="22" s="1"/>
  <c r="G202" i="22" s="1"/>
  <c r="AB177" i="22"/>
  <c r="F202" i="22" s="1"/>
  <c r="F15" i="14"/>
  <c r="A114" i="18"/>
  <c r="A152" i="18" s="1"/>
  <c r="A188" i="18" s="1"/>
  <c r="A76" i="18"/>
  <c r="BE184" i="21"/>
  <c r="BE186" i="21" s="1"/>
  <c r="O185" i="18" l="1"/>
  <c r="U184" i="23"/>
  <c r="U186" i="23" s="1"/>
  <c r="L203" i="22"/>
  <c r="L201" i="22"/>
  <c r="L202" i="22"/>
  <c r="L207" i="22"/>
  <c r="L204" i="22"/>
  <c r="L200" i="22"/>
  <c r="L206" i="22"/>
  <c r="L205" i="22"/>
  <c r="L205" i="31"/>
  <c r="L204" i="31"/>
  <c r="L206" i="31"/>
  <c r="L201" i="31"/>
  <c r="L202" i="31"/>
  <c r="L207" i="31"/>
  <c r="L203" i="31"/>
  <c r="G149" i="31"/>
  <c r="G150" i="31" s="1"/>
  <c r="G148" i="31"/>
  <c r="L200" i="31"/>
  <c r="A76" i="20"/>
  <c r="A114" i="20"/>
  <c r="A152" i="20" s="1"/>
  <c r="A188" i="20" s="1"/>
  <c r="A78" i="15"/>
  <c r="A116" i="15"/>
  <c r="A154" i="15" s="1"/>
  <c r="A190" i="15" s="1"/>
  <c r="A76" i="21"/>
  <c r="A114" i="21"/>
  <c r="A152" i="21" s="1"/>
  <c r="A188" i="21" s="1"/>
  <c r="A76" i="22"/>
  <c r="A114" i="22"/>
  <c r="A152" i="22" s="1"/>
  <c r="A188" i="22" s="1"/>
  <c r="D189" i="20"/>
  <c r="D190" i="20" s="1"/>
  <c r="D191" i="20" s="1"/>
  <c r="D192" i="20" s="1"/>
  <c r="D193" i="20" s="1"/>
  <c r="D194" i="20" s="1"/>
  <c r="D195" i="20" s="1"/>
  <c r="D196" i="20" s="1"/>
  <c r="D197" i="20" s="1"/>
  <c r="D198" i="20" s="1"/>
  <c r="D199" i="20" s="1"/>
  <c r="AG184" i="20"/>
  <c r="AG186" i="20" s="1"/>
  <c r="AG185" i="20"/>
  <c r="AA184" i="20"/>
  <c r="AA186" i="20" s="1"/>
  <c r="U184" i="20"/>
  <c r="U186" i="20" s="1"/>
  <c r="O184" i="20"/>
  <c r="O186" i="20" s="1"/>
  <c r="AA185" i="20"/>
  <c r="AS185" i="20"/>
  <c r="AS184" i="20"/>
  <c r="AS186" i="20" s="1"/>
  <c r="AY184" i="20"/>
  <c r="AY186" i="20" s="1"/>
  <c r="AM184" i="20"/>
  <c r="AM186" i="20" s="1"/>
  <c r="U185" i="20"/>
  <c r="AY185" i="20"/>
  <c r="O185" i="20"/>
  <c r="BE184" i="20"/>
  <c r="BE186" i="20" s="1"/>
  <c r="L72" i="21"/>
  <c r="C12" i="21"/>
  <c r="J72" i="21"/>
  <c r="K72" i="21"/>
  <c r="AS187" i="22"/>
  <c r="AN188" i="21"/>
  <c r="AO188" i="21" s="1"/>
  <c r="AN187" i="21"/>
  <c r="AO187" i="21" s="1"/>
  <c r="AN186" i="21"/>
  <c r="AO186" i="21" s="1"/>
  <c r="AN185" i="21"/>
  <c r="AO185" i="21" s="1"/>
  <c r="AN178" i="21"/>
  <c r="AN180" i="21"/>
  <c r="AO180" i="21" s="1"/>
  <c r="AN183" i="21"/>
  <c r="AO183" i="21" s="1"/>
  <c r="AN181" i="21"/>
  <c r="AO181" i="21" s="1"/>
  <c r="AN179" i="21"/>
  <c r="AO179" i="21" s="1"/>
  <c r="AN182" i="21"/>
  <c r="AO182" i="21" s="1"/>
  <c r="AN184" i="21"/>
  <c r="AO184" i="21" s="1"/>
  <c r="AA187" i="22"/>
  <c r="A115" i="17"/>
  <c r="A153" i="17" s="1"/>
  <c r="A189" i="17" s="1"/>
  <c r="A77" i="17"/>
  <c r="L71" i="21"/>
  <c r="C11" i="21"/>
  <c r="K71" i="21"/>
  <c r="J71" i="21"/>
  <c r="L66" i="21"/>
  <c r="C6" i="21"/>
  <c r="K66" i="21"/>
  <c r="J66" i="21"/>
  <c r="C13" i="21"/>
  <c r="L73" i="21"/>
  <c r="K73" i="21"/>
  <c r="J73" i="21"/>
  <c r="C36" i="21"/>
  <c r="L96" i="21"/>
  <c r="A115" i="19"/>
  <c r="A153" i="19" s="1"/>
  <c r="A189" i="19" s="1"/>
  <c r="A77" i="19"/>
  <c r="AZ188" i="21"/>
  <c r="BA188" i="21" s="1"/>
  <c r="AZ187" i="21"/>
  <c r="BA187" i="21" s="1"/>
  <c r="AZ186" i="21"/>
  <c r="BA186" i="21" s="1"/>
  <c r="AZ185" i="21"/>
  <c r="BA185" i="21" s="1"/>
  <c r="AZ180" i="21"/>
  <c r="BA180" i="21" s="1"/>
  <c r="AZ179" i="21"/>
  <c r="BA179" i="21" s="1"/>
  <c r="AZ181" i="21"/>
  <c r="BA181" i="21" s="1"/>
  <c r="AZ178" i="21"/>
  <c r="AZ182" i="21"/>
  <c r="BA182" i="21" s="1"/>
  <c r="AZ183" i="21"/>
  <c r="BA183" i="21" s="1"/>
  <c r="AZ184" i="21"/>
  <c r="BA184" i="21" s="1"/>
  <c r="A115" i="18"/>
  <c r="A153" i="18" s="1"/>
  <c r="A189" i="18" s="1"/>
  <c r="A77" i="18"/>
  <c r="D153" i="18"/>
  <c r="C77" i="18"/>
  <c r="I75" i="20"/>
  <c r="C15" i="20" s="1"/>
  <c r="I68" i="20"/>
  <c r="C8" i="20" s="1"/>
  <c r="I76" i="20"/>
  <c r="C16" i="20" s="1"/>
  <c r="I72" i="20"/>
  <c r="C12" i="20" s="1"/>
  <c r="I71" i="20"/>
  <c r="C11" i="20" s="1"/>
  <c r="I70" i="20"/>
  <c r="C10" i="20" s="1"/>
  <c r="I69" i="20"/>
  <c r="C9" i="20" s="1"/>
  <c r="B97" i="20"/>
  <c r="B95" i="20"/>
  <c r="B96" i="20"/>
  <c r="I73" i="20"/>
  <c r="C13" i="20" s="1"/>
  <c r="I96" i="20"/>
  <c r="C36" i="20" s="1"/>
  <c r="B76" i="20"/>
  <c r="I67" i="20"/>
  <c r="C7" i="20" s="1"/>
  <c r="I66" i="20"/>
  <c r="C6" i="20" s="1"/>
  <c r="I65" i="20"/>
  <c r="C5" i="20" s="1"/>
  <c r="I95" i="20"/>
  <c r="C35" i="20" s="1"/>
  <c r="I97" i="20"/>
  <c r="C37" i="20" s="1"/>
  <c r="I74" i="20"/>
  <c r="C14" i="20" s="1"/>
  <c r="E152" i="20"/>
  <c r="I97" i="22"/>
  <c r="I96" i="22"/>
  <c r="I95" i="22"/>
  <c r="I73" i="22"/>
  <c r="I65" i="22"/>
  <c r="B97" i="22"/>
  <c r="B96" i="22"/>
  <c r="B95" i="22"/>
  <c r="B76" i="22"/>
  <c r="I74" i="22"/>
  <c r="I67" i="22"/>
  <c r="I66" i="22"/>
  <c r="I75" i="22"/>
  <c r="I76" i="22"/>
  <c r="I71" i="22"/>
  <c r="I69" i="22"/>
  <c r="I72" i="22"/>
  <c r="I70" i="22"/>
  <c r="I68" i="22"/>
  <c r="D153" i="22"/>
  <c r="C77" i="22"/>
  <c r="BE185" i="20"/>
  <c r="D189" i="18"/>
  <c r="D190" i="18" s="1"/>
  <c r="D191" i="18" s="1"/>
  <c r="D192" i="18" s="1"/>
  <c r="D193" i="18" s="1"/>
  <c r="D194" i="18" s="1"/>
  <c r="D195" i="18" s="1"/>
  <c r="D196" i="18" s="1"/>
  <c r="D197" i="18" s="1"/>
  <c r="D198" i="18" s="1"/>
  <c r="D199" i="18" s="1"/>
  <c r="O184" i="18"/>
  <c r="O186" i="18" s="1"/>
  <c r="AM185" i="18"/>
  <c r="AS184" i="18"/>
  <c r="AS186" i="18" s="1"/>
  <c r="U184" i="18"/>
  <c r="U186" i="18" s="1"/>
  <c r="AS185" i="18"/>
  <c r="BE184" i="18"/>
  <c r="BE186" i="18" s="1"/>
  <c r="AA185" i="18"/>
  <c r="AY185" i="18"/>
  <c r="AY184" i="18"/>
  <c r="AY186" i="18" s="1"/>
  <c r="U185" i="18"/>
  <c r="AA184" i="18"/>
  <c r="AA186" i="18" s="1"/>
  <c r="AG185" i="18"/>
  <c r="AG184" i="18"/>
  <c r="AG186" i="18" s="1"/>
  <c r="L69" i="21"/>
  <c r="C9" i="21"/>
  <c r="K69" i="21"/>
  <c r="J69" i="21"/>
  <c r="L70" i="21"/>
  <c r="C10" i="21"/>
  <c r="K70" i="21"/>
  <c r="J70" i="21"/>
  <c r="C8" i="21"/>
  <c r="L68" i="21"/>
  <c r="J68" i="21"/>
  <c r="K68" i="21"/>
  <c r="C16" i="21"/>
  <c r="L76" i="21"/>
  <c r="C14" i="21"/>
  <c r="L74" i="21"/>
  <c r="J74" i="21"/>
  <c r="K74" i="21"/>
  <c r="D189" i="17"/>
  <c r="D190" i="17" s="1"/>
  <c r="D191" i="17" s="1"/>
  <c r="D192" i="17" s="1"/>
  <c r="D193" i="17" s="1"/>
  <c r="D194" i="17" s="1"/>
  <c r="D195" i="17" s="1"/>
  <c r="D196" i="17" s="1"/>
  <c r="D197" i="17" s="1"/>
  <c r="D198" i="17" s="1"/>
  <c r="D199" i="17" s="1"/>
  <c r="AS184" i="17"/>
  <c r="AS186" i="17" s="1"/>
  <c r="AY185" i="17"/>
  <c r="AG185" i="17"/>
  <c r="AA185" i="17"/>
  <c r="AA184" i="17"/>
  <c r="AA186" i="17" s="1"/>
  <c r="AM184" i="17"/>
  <c r="AM186" i="17" s="1"/>
  <c r="O185" i="17"/>
  <c r="BE184" i="17"/>
  <c r="BE186" i="17" s="1"/>
  <c r="O184" i="17"/>
  <c r="O186" i="17" s="1"/>
  <c r="U184" i="17"/>
  <c r="U186" i="17" s="1"/>
  <c r="AS185" i="17"/>
  <c r="AG184" i="17"/>
  <c r="AG186" i="17" s="1"/>
  <c r="AY184" i="17"/>
  <c r="AY186" i="17" s="1"/>
  <c r="AM185" i="17"/>
  <c r="U185" i="17"/>
  <c r="AT184" i="21"/>
  <c r="AU184" i="21" s="1"/>
  <c r="AT178" i="21"/>
  <c r="AT180" i="21"/>
  <c r="AU180" i="21" s="1"/>
  <c r="AT187" i="21"/>
  <c r="AU187" i="21" s="1"/>
  <c r="AT183" i="21"/>
  <c r="AU183" i="21" s="1"/>
  <c r="AT181" i="21"/>
  <c r="AU181" i="21" s="1"/>
  <c r="AT186" i="21"/>
  <c r="AU186" i="21" s="1"/>
  <c r="AT179" i="21"/>
  <c r="AU179" i="21" s="1"/>
  <c r="AT185" i="21"/>
  <c r="AU185" i="21" s="1"/>
  <c r="AT188" i="21"/>
  <c r="AU188" i="21" s="1"/>
  <c r="AT182" i="21"/>
  <c r="AU182" i="21" s="1"/>
  <c r="AB179" i="21"/>
  <c r="AC179" i="21" s="1"/>
  <c r="AB188" i="21"/>
  <c r="AC188" i="21" s="1"/>
  <c r="AB187" i="21"/>
  <c r="AC187" i="21" s="1"/>
  <c r="AB186" i="21"/>
  <c r="AC186" i="21" s="1"/>
  <c r="AB185" i="21"/>
  <c r="AC185" i="21" s="1"/>
  <c r="AB180" i="21"/>
  <c r="AC180" i="21" s="1"/>
  <c r="AB181" i="21"/>
  <c r="AC181" i="21" s="1"/>
  <c r="AB178" i="21"/>
  <c r="AB183" i="21"/>
  <c r="AC183" i="21" s="1"/>
  <c r="AB182" i="21"/>
  <c r="AC182" i="21" s="1"/>
  <c r="AB184" i="21"/>
  <c r="AC184" i="21" s="1"/>
  <c r="BE187" i="22"/>
  <c r="D153" i="17"/>
  <c r="C77" i="17"/>
  <c r="E152" i="23"/>
  <c r="A76" i="23"/>
  <c r="A114" i="23"/>
  <c r="A152" i="23" s="1"/>
  <c r="A188" i="23" s="1"/>
  <c r="D153" i="19"/>
  <c r="C77" i="19"/>
  <c r="L77" i="21"/>
  <c r="C17" i="21"/>
  <c r="C15" i="21"/>
  <c r="L75" i="21"/>
  <c r="J75" i="21"/>
  <c r="K75" i="21"/>
  <c r="C5" i="21"/>
  <c r="I64" i="21"/>
  <c r="F70" i="21" s="1"/>
  <c r="C39" i="21" s="1"/>
  <c r="J65" i="21"/>
  <c r="K65" i="21"/>
  <c r="C35" i="21"/>
  <c r="D189" i="19"/>
  <c r="D190" i="19" s="1"/>
  <c r="D191" i="19" s="1"/>
  <c r="D192" i="19" s="1"/>
  <c r="D193" i="19" s="1"/>
  <c r="D194" i="19" s="1"/>
  <c r="D195" i="19" s="1"/>
  <c r="D196" i="19" s="1"/>
  <c r="D197" i="19" s="1"/>
  <c r="D198" i="19" s="1"/>
  <c r="D199" i="19" s="1"/>
  <c r="AG185" i="19"/>
  <c r="AA185" i="19"/>
  <c r="AY185" i="19"/>
  <c r="AS184" i="19"/>
  <c r="AS186" i="19" s="1"/>
  <c r="U185" i="19"/>
  <c r="O184" i="19"/>
  <c r="O186" i="19" s="1"/>
  <c r="AS185" i="19"/>
  <c r="O185" i="19"/>
  <c r="BE185" i="19"/>
  <c r="U184" i="19"/>
  <c r="U186" i="19" s="1"/>
  <c r="AM184" i="19"/>
  <c r="AM186" i="19" s="1"/>
  <c r="AM185" i="19"/>
  <c r="AA184" i="19"/>
  <c r="AA186" i="19" s="1"/>
  <c r="BE184" i="19"/>
  <c r="BE186" i="19" s="1"/>
  <c r="U187" i="22"/>
  <c r="I77" i="18"/>
  <c r="I75" i="18"/>
  <c r="I68" i="18"/>
  <c r="I76" i="18"/>
  <c r="I72" i="18"/>
  <c r="I71" i="18"/>
  <c r="I70" i="18"/>
  <c r="I69" i="18"/>
  <c r="B96" i="18"/>
  <c r="B77" i="18"/>
  <c r="I73" i="18"/>
  <c r="I97" i="18"/>
  <c r="I95" i="18"/>
  <c r="I74" i="18"/>
  <c r="B97" i="18"/>
  <c r="B95" i="18"/>
  <c r="B76" i="18"/>
  <c r="I67" i="18"/>
  <c r="I65" i="18"/>
  <c r="I66" i="18"/>
  <c r="I96" i="18"/>
  <c r="E152" i="18"/>
  <c r="D153" i="15"/>
  <c r="C77" i="15"/>
  <c r="E152" i="22"/>
  <c r="E152" i="19"/>
  <c r="P188" i="21"/>
  <c r="Q188" i="21" s="1"/>
  <c r="P187" i="21"/>
  <c r="Q187" i="21" s="1"/>
  <c r="P186" i="21"/>
  <c r="Q186" i="21" s="1"/>
  <c r="P185" i="21"/>
  <c r="Q185" i="21" s="1"/>
  <c r="P178" i="21"/>
  <c r="P182" i="21"/>
  <c r="Q182" i="21" s="1"/>
  <c r="P183" i="21"/>
  <c r="Q183" i="21" s="1"/>
  <c r="P184" i="21"/>
  <c r="Q184" i="21" s="1"/>
  <c r="P180" i="21"/>
  <c r="Q180" i="21" s="1"/>
  <c r="P179" i="21"/>
  <c r="Q179" i="21" s="1"/>
  <c r="P181" i="21"/>
  <c r="Q181" i="21" s="1"/>
  <c r="BF182" i="21"/>
  <c r="BG182" i="21" s="1"/>
  <c r="BF184" i="21"/>
  <c r="BG184" i="21" s="1"/>
  <c r="BF183" i="21"/>
  <c r="BG183" i="21" s="1"/>
  <c r="BF188" i="21"/>
  <c r="BG188" i="21" s="1"/>
  <c r="BF180" i="21"/>
  <c r="BG180" i="21" s="1"/>
  <c r="BF178" i="21"/>
  <c r="BF186" i="21"/>
  <c r="BG186" i="21" s="1"/>
  <c r="BF181" i="21"/>
  <c r="BG181" i="21" s="1"/>
  <c r="BF185" i="21"/>
  <c r="BG185" i="21" s="1"/>
  <c r="BF187" i="21"/>
  <c r="BG187" i="21" s="1"/>
  <c r="BF179" i="21"/>
  <c r="BG179" i="21" s="1"/>
  <c r="I77" i="17"/>
  <c r="I75" i="17"/>
  <c r="I68" i="17"/>
  <c r="I76" i="17"/>
  <c r="I72" i="17"/>
  <c r="I71" i="17"/>
  <c r="I70" i="17"/>
  <c r="I69" i="17"/>
  <c r="I96" i="17"/>
  <c r="B76" i="17"/>
  <c r="I67" i="17"/>
  <c r="I66" i="17"/>
  <c r="I65" i="17"/>
  <c r="I97" i="17"/>
  <c r="I95" i="17"/>
  <c r="B96" i="17"/>
  <c r="B77" i="17"/>
  <c r="I73" i="17"/>
  <c r="I74" i="17"/>
  <c r="B95" i="17"/>
  <c r="B97" i="17"/>
  <c r="E152" i="17"/>
  <c r="I97" i="23"/>
  <c r="I96" i="23"/>
  <c r="I95" i="23"/>
  <c r="I73" i="23"/>
  <c r="I65" i="23"/>
  <c r="B97" i="23"/>
  <c r="B96" i="23"/>
  <c r="B95" i="23"/>
  <c r="B76" i="23"/>
  <c r="I74" i="23"/>
  <c r="I67" i="23"/>
  <c r="I66" i="23"/>
  <c r="I75" i="23"/>
  <c r="I76" i="23"/>
  <c r="I71" i="23"/>
  <c r="I69" i="23"/>
  <c r="I72" i="23"/>
  <c r="I70" i="23"/>
  <c r="I68" i="23"/>
  <c r="D153" i="23"/>
  <c r="C77" i="23"/>
  <c r="AY187" i="22"/>
  <c r="D153" i="20"/>
  <c r="C77" i="20"/>
  <c r="I77" i="20" s="1"/>
  <c r="C17" i="20" s="1"/>
  <c r="I75" i="15"/>
  <c r="I68" i="15"/>
  <c r="I76" i="15"/>
  <c r="I72" i="15"/>
  <c r="I71" i="15"/>
  <c r="I70" i="15"/>
  <c r="I69" i="15"/>
  <c r="B97" i="15"/>
  <c r="B95" i="15"/>
  <c r="I97" i="15"/>
  <c r="I95" i="15"/>
  <c r="I74" i="15"/>
  <c r="I66" i="15"/>
  <c r="B76" i="15"/>
  <c r="I67" i="15"/>
  <c r="I96" i="15"/>
  <c r="I73" i="15"/>
  <c r="B96" i="15"/>
  <c r="I65" i="15"/>
  <c r="E152" i="15"/>
  <c r="AM185" i="20"/>
  <c r="D189" i="23"/>
  <c r="D190" i="23" s="1"/>
  <c r="D191" i="23" s="1"/>
  <c r="D192" i="23" s="1"/>
  <c r="D193" i="23" s="1"/>
  <c r="D194" i="23" s="1"/>
  <c r="D195" i="23" s="1"/>
  <c r="D196" i="23" s="1"/>
  <c r="D197" i="23" s="1"/>
  <c r="D198" i="23" s="1"/>
  <c r="D199" i="23" s="1"/>
  <c r="BE184" i="23"/>
  <c r="BE186" i="23" s="1"/>
  <c r="AS185" i="23"/>
  <c r="BE185" i="23"/>
  <c r="AY185" i="23"/>
  <c r="AG184" i="23"/>
  <c r="AG186" i="23" s="1"/>
  <c r="AM185" i="23"/>
  <c r="AG185" i="23"/>
  <c r="O185" i="23"/>
  <c r="O184" i="23"/>
  <c r="O186" i="23" s="1"/>
  <c r="AS184" i="23"/>
  <c r="AS186" i="23" s="1"/>
  <c r="AY184" i="23"/>
  <c r="AY186" i="23" s="1"/>
  <c r="U185" i="23"/>
  <c r="AM184" i="23"/>
  <c r="AM186" i="23" s="1"/>
  <c r="AA185" i="23"/>
  <c r="I77" i="19"/>
  <c r="I75" i="19"/>
  <c r="I68" i="19"/>
  <c r="I76" i="19"/>
  <c r="I72" i="19"/>
  <c r="I71" i="19"/>
  <c r="I70" i="19"/>
  <c r="I69" i="19"/>
  <c r="I97" i="19"/>
  <c r="I95" i="19"/>
  <c r="I74" i="19"/>
  <c r="I66" i="19"/>
  <c r="B97" i="19"/>
  <c r="B95" i="19"/>
  <c r="I96" i="19"/>
  <c r="B76" i="19"/>
  <c r="I67" i="19"/>
  <c r="I65" i="19"/>
  <c r="B77" i="19"/>
  <c r="B96" i="19"/>
  <c r="I73" i="19"/>
  <c r="C78" i="21"/>
  <c r="D154" i="21"/>
  <c r="C7" i="21"/>
  <c r="L67" i="21"/>
  <c r="J67" i="21"/>
  <c r="K67" i="21"/>
  <c r="B77" i="21"/>
  <c r="C37" i="21"/>
  <c r="L97" i="21"/>
  <c r="BE185" i="17"/>
  <c r="AY184" i="19"/>
  <c r="AY186" i="19" s="1"/>
  <c r="V182" i="21"/>
  <c r="W182" i="21" s="1"/>
  <c r="V181" i="21"/>
  <c r="W181" i="21" s="1"/>
  <c r="V187" i="21"/>
  <c r="W187" i="21" s="1"/>
  <c r="V183" i="21"/>
  <c r="W183" i="21" s="1"/>
  <c r="V179" i="21"/>
  <c r="W179" i="21" s="1"/>
  <c r="V186" i="21"/>
  <c r="W186" i="21" s="1"/>
  <c r="V180" i="21"/>
  <c r="W180" i="21" s="1"/>
  <c r="V185" i="21"/>
  <c r="W185" i="21" s="1"/>
  <c r="V178" i="21"/>
  <c r="V188" i="21"/>
  <c r="W188" i="21" s="1"/>
  <c r="V184" i="21"/>
  <c r="W184" i="21" s="1"/>
  <c r="AH184" i="21"/>
  <c r="AI184" i="21" s="1"/>
  <c r="AH182" i="21"/>
  <c r="AI182" i="21" s="1"/>
  <c r="AH178" i="21"/>
  <c r="AH180" i="21"/>
  <c r="AI180" i="21" s="1"/>
  <c r="AH188" i="21"/>
  <c r="AI188" i="21" s="1"/>
  <c r="AH183" i="21"/>
  <c r="AI183" i="21" s="1"/>
  <c r="AH186" i="21"/>
  <c r="AI186" i="21" s="1"/>
  <c r="AH185" i="21"/>
  <c r="AI185" i="21" s="1"/>
  <c r="AH187" i="21"/>
  <c r="AI187" i="21" s="1"/>
  <c r="AH179" i="21"/>
  <c r="AI179" i="21" s="1"/>
  <c r="AH181" i="21"/>
  <c r="AI181" i="21" s="1"/>
  <c r="D200" i="21"/>
  <c r="D201" i="21" s="1"/>
  <c r="D202" i="21" s="1"/>
  <c r="D203" i="21" s="1"/>
  <c r="D204" i="21" s="1"/>
  <c r="D205" i="21" s="1"/>
  <c r="D206" i="21" s="1"/>
  <c r="D207" i="21" s="1"/>
  <c r="D208" i="21" s="1"/>
  <c r="D209" i="21" s="1"/>
  <c r="D210" i="21" s="1"/>
  <c r="CO146" i="21"/>
  <c r="CN147" i="21" s="1"/>
  <c r="BF146" i="21"/>
  <c r="BE147" i="21" s="1"/>
  <c r="BS145" i="21"/>
  <c r="AJ145" i="21"/>
  <c r="O145" i="21"/>
  <c r="AD146" i="21"/>
  <c r="AC147" i="21" s="1"/>
  <c r="W146" i="21"/>
  <c r="V147" i="21" s="1"/>
  <c r="CN145" i="21"/>
  <c r="AQ145" i="21"/>
  <c r="CH146" i="21"/>
  <c r="CG147" i="21" s="1"/>
  <c r="AR146" i="21"/>
  <c r="AQ147" i="21" s="1"/>
  <c r="BE145" i="21"/>
  <c r="BM146" i="21"/>
  <c r="BL147" i="21" s="1"/>
  <c r="BZ145" i="21"/>
  <c r="P146" i="21"/>
  <c r="O147" i="21" s="1"/>
  <c r="AK146" i="21"/>
  <c r="AJ147" i="21" s="1"/>
  <c r="CV146" i="21"/>
  <c r="CU147" i="21" s="1"/>
  <c r="CU145" i="21"/>
  <c r="AC145" i="21"/>
  <c r="CA146" i="21"/>
  <c r="BZ147" i="21" s="1"/>
  <c r="AY146" i="21"/>
  <c r="AX147" i="21" s="1"/>
  <c r="BT146" i="21"/>
  <c r="BS147" i="21" s="1"/>
  <c r="AX145" i="21"/>
  <c r="BL145" i="21"/>
  <c r="CG145" i="21"/>
  <c r="V145" i="21"/>
  <c r="D189" i="15"/>
  <c r="D190" i="15" s="1"/>
  <c r="D191" i="15" s="1"/>
  <c r="D192" i="15" s="1"/>
  <c r="D193" i="15" s="1"/>
  <c r="D194" i="15" s="1"/>
  <c r="D195" i="15" s="1"/>
  <c r="D196" i="15" s="1"/>
  <c r="D197" i="15" s="1"/>
  <c r="D198" i="15" s="1"/>
  <c r="D199" i="15" s="1"/>
  <c r="O184" i="15"/>
  <c r="O186" i="15" s="1"/>
  <c r="O185" i="15"/>
  <c r="AY184" i="15"/>
  <c r="AY186" i="15" s="1"/>
  <c r="BE185" i="15"/>
  <c r="AG184" i="15"/>
  <c r="AG186" i="15" s="1"/>
  <c r="AA185" i="15"/>
  <c r="AM185" i="15"/>
  <c r="AS185" i="15"/>
  <c r="AM184" i="15"/>
  <c r="AM186" i="15" s="1"/>
  <c r="AY185" i="15"/>
  <c r="AA184" i="15"/>
  <c r="AA186" i="15" s="1"/>
  <c r="AS184" i="15"/>
  <c r="AS186" i="15" s="1"/>
  <c r="BE184" i="15"/>
  <c r="BE186" i="15" s="1"/>
  <c r="AG185" i="15"/>
  <c r="U185" i="15"/>
  <c r="F182" i="22" l="1"/>
  <c r="C180" i="22" s="1"/>
  <c r="C178" i="22"/>
  <c r="C185" i="22"/>
  <c r="F182" i="31"/>
  <c r="I149" i="31"/>
  <c r="I160" i="31"/>
  <c r="E23" i="31" s="1"/>
  <c r="B168" i="31"/>
  <c r="I153" i="31"/>
  <c r="E16" i="31" s="1"/>
  <c r="B160" i="31"/>
  <c r="I168" i="31"/>
  <c r="E31" i="31" s="1"/>
  <c r="I151" i="31"/>
  <c r="B161" i="31"/>
  <c r="B169" i="31"/>
  <c r="I173" i="31"/>
  <c r="E36" i="31" s="1"/>
  <c r="I159" i="31"/>
  <c r="E22" i="31" s="1"/>
  <c r="B167" i="31"/>
  <c r="B155" i="31"/>
  <c r="B162" i="31"/>
  <c r="I170" i="31"/>
  <c r="E33" i="31" s="1"/>
  <c r="I148" i="31"/>
  <c r="I162" i="31"/>
  <c r="E25" i="31" s="1"/>
  <c r="B170" i="31"/>
  <c r="I152" i="31"/>
  <c r="I163" i="31"/>
  <c r="E26" i="31" s="1"/>
  <c r="I171" i="31"/>
  <c r="E34" i="31" s="1"/>
  <c r="E46" i="31" s="1"/>
  <c r="B174" i="31"/>
  <c r="I161" i="31"/>
  <c r="E24" i="31" s="1"/>
  <c r="C46" i="31" s="1"/>
  <c r="I169" i="31"/>
  <c r="E32" i="31" s="1"/>
  <c r="B154" i="31"/>
  <c r="B156" i="31"/>
  <c r="B164" i="31"/>
  <c r="I174" i="31"/>
  <c r="E37" i="31" s="1"/>
  <c r="I156" i="31"/>
  <c r="E19" i="31" s="1"/>
  <c r="B46" i="31" s="1"/>
  <c r="I164" i="31"/>
  <c r="E27" i="31" s="1"/>
  <c r="B153" i="31"/>
  <c r="B189" i="31" s="1"/>
  <c r="I157" i="31"/>
  <c r="E20" i="31" s="1"/>
  <c r="I165" i="31"/>
  <c r="E28" i="31" s="1"/>
  <c r="B173" i="31"/>
  <c r="I155" i="31"/>
  <c r="E18" i="31" s="1"/>
  <c r="B163" i="31"/>
  <c r="B171" i="31"/>
  <c r="I150" i="31"/>
  <c r="B158" i="31"/>
  <c r="I166" i="31"/>
  <c r="E29" i="31" s="1"/>
  <c r="D46" i="31" s="1"/>
  <c r="I154" i="31"/>
  <c r="E17" i="31" s="1"/>
  <c r="I158" i="31"/>
  <c r="E21" i="31" s="1"/>
  <c r="B166" i="31"/>
  <c r="I172" i="31"/>
  <c r="E35" i="31" s="1"/>
  <c r="B159" i="31"/>
  <c r="I167" i="31"/>
  <c r="E30" i="31" s="1"/>
  <c r="B172" i="31"/>
  <c r="B157" i="31"/>
  <c r="B165" i="31"/>
  <c r="C188" i="31"/>
  <c r="C187" i="31"/>
  <c r="C186" i="31"/>
  <c r="C185" i="31"/>
  <c r="C184" i="31"/>
  <c r="A115" i="20"/>
  <c r="A153" i="20" s="1"/>
  <c r="A189" i="20" s="1"/>
  <c r="A77" i="20"/>
  <c r="BF184" i="18"/>
  <c r="BG184" i="18" s="1"/>
  <c r="BF179" i="18"/>
  <c r="BG179" i="18" s="1"/>
  <c r="BF187" i="18"/>
  <c r="BG187" i="18" s="1"/>
  <c r="BF181" i="18"/>
  <c r="BG181" i="18" s="1"/>
  <c r="BF183" i="18"/>
  <c r="BG183" i="18" s="1"/>
  <c r="BF188" i="18"/>
  <c r="BG188" i="18" s="1"/>
  <c r="BF180" i="18"/>
  <c r="BG180" i="18" s="1"/>
  <c r="BF186" i="18"/>
  <c r="BG186" i="18" s="1"/>
  <c r="BF182" i="18"/>
  <c r="BG182" i="18" s="1"/>
  <c r="BF185" i="18"/>
  <c r="BG185" i="18" s="1"/>
  <c r="BF178" i="18"/>
  <c r="BG178" i="18" s="1"/>
  <c r="P185" i="18"/>
  <c r="Q185" i="18" s="1"/>
  <c r="P179" i="18"/>
  <c r="Q179" i="18" s="1"/>
  <c r="P180" i="18"/>
  <c r="Q180" i="18" s="1"/>
  <c r="P182" i="18"/>
  <c r="Q182" i="18" s="1"/>
  <c r="P187" i="18"/>
  <c r="Q187" i="18" s="1"/>
  <c r="AH178" i="15"/>
  <c r="AH188" i="15"/>
  <c r="AI188" i="15" s="1"/>
  <c r="AH187" i="15"/>
  <c r="AI187" i="15" s="1"/>
  <c r="AH186" i="15"/>
  <c r="AI186" i="15" s="1"/>
  <c r="AH185" i="15"/>
  <c r="AI185" i="15" s="1"/>
  <c r="AH179" i="15"/>
  <c r="AI179" i="15" s="1"/>
  <c r="AH180" i="15"/>
  <c r="AI180" i="15" s="1"/>
  <c r="AH181" i="15"/>
  <c r="AI181" i="15" s="1"/>
  <c r="AH182" i="15"/>
  <c r="AI182" i="15" s="1"/>
  <c r="AH183" i="15"/>
  <c r="AI183" i="15" s="1"/>
  <c r="AH184" i="15"/>
  <c r="AI184" i="15" s="1"/>
  <c r="AN188" i="15"/>
  <c r="AO188" i="15" s="1"/>
  <c r="AN187" i="15"/>
  <c r="AO187" i="15" s="1"/>
  <c r="AN186" i="15"/>
  <c r="AO186" i="15" s="1"/>
  <c r="AN185" i="15"/>
  <c r="AO185" i="15" s="1"/>
  <c r="AN178" i="15"/>
  <c r="AN181" i="15"/>
  <c r="AO181" i="15" s="1"/>
  <c r="AN179" i="15"/>
  <c r="AO179" i="15" s="1"/>
  <c r="AN180" i="15"/>
  <c r="AO180" i="15" s="1"/>
  <c r="AN182" i="15"/>
  <c r="AO182" i="15" s="1"/>
  <c r="AN184" i="15"/>
  <c r="AO184" i="15" s="1"/>
  <c r="AN183" i="15"/>
  <c r="AO183" i="15" s="1"/>
  <c r="D200" i="15"/>
  <c r="D201" i="15" s="1"/>
  <c r="D202" i="15" s="1"/>
  <c r="D203" i="15" s="1"/>
  <c r="D204" i="15" s="1"/>
  <c r="D205" i="15" s="1"/>
  <c r="D206" i="15" s="1"/>
  <c r="D207" i="15" s="1"/>
  <c r="D208" i="15" s="1"/>
  <c r="D209" i="15" s="1"/>
  <c r="D210" i="15" s="1"/>
  <c r="Q151" i="21"/>
  <c r="R151" i="21" s="1"/>
  <c r="Q150" i="21"/>
  <c r="R150" i="21" s="1"/>
  <c r="Q149" i="21"/>
  <c r="R149" i="21" s="1"/>
  <c r="Q148" i="21"/>
  <c r="R148" i="21" s="1"/>
  <c r="Q146" i="21"/>
  <c r="R146" i="21" s="1"/>
  <c r="Q144" i="21"/>
  <c r="R144" i="21" s="1"/>
  <c r="Q142" i="21"/>
  <c r="Q152" i="21"/>
  <c r="R152" i="21" s="1"/>
  <c r="Q145" i="21"/>
  <c r="R145" i="21" s="1"/>
  <c r="Q147" i="21"/>
  <c r="R147" i="21" s="1"/>
  <c r="Q143" i="21"/>
  <c r="R143" i="21" s="1"/>
  <c r="AS143" i="21"/>
  <c r="AT143" i="21" s="1"/>
  <c r="AS151" i="21"/>
  <c r="AT151" i="21" s="1"/>
  <c r="AS146" i="21"/>
  <c r="AT146" i="21" s="1"/>
  <c r="AS144" i="21"/>
  <c r="AT144" i="21" s="1"/>
  <c r="AS152" i="21"/>
  <c r="AT152" i="21" s="1"/>
  <c r="AS150" i="21"/>
  <c r="AT150" i="21" s="1"/>
  <c r="AS149" i="21"/>
  <c r="AT149" i="21" s="1"/>
  <c r="AS148" i="21"/>
  <c r="AT148" i="21" s="1"/>
  <c r="AS145" i="21"/>
  <c r="AT145" i="21" s="1"/>
  <c r="AS142" i="21"/>
  <c r="AS147" i="21"/>
  <c r="AT147" i="21" s="1"/>
  <c r="X150" i="21"/>
  <c r="Y150" i="21" s="1"/>
  <c r="X149" i="21"/>
  <c r="Y149" i="21" s="1"/>
  <c r="X148" i="21"/>
  <c r="Y148" i="21" s="1"/>
  <c r="X143" i="21"/>
  <c r="Y143" i="21" s="1"/>
  <c r="X142" i="21"/>
  <c r="X152" i="21"/>
  <c r="Y152" i="21" s="1"/>
  <c r="X147" i="21"/>
  <c r="Y147" i="21" s="1"/>
  <c r="X145" i="21"/>
  <c r="Y145" i="21" s="1"/>
  <c r="X146" i="21"/>
  <c r="Y146" i="21" s="1"/>
  <c r="X151" i="21"/>
  <c r="Y151" i="21" s="1"/>
  <c r="X144" i="21"/>
  <c r="Y144" i="21" s="1"/>
  <c r="CP142" i="21"/>
  <c r="CP150" i="21"/>
  <c r="CQ150" i="21" s="1"/>
  <c r="CP149" i="21"/>
  <c r="CQ149" i="21" s="1"/>
  <c r="CP148" i="21"/>
  <c r="CQ148" i="21" s="1"/>
  <c r="CP144" i="21"/>
  <c r="CQ144" i="21" s="1"/>
  <c r="CP152" i="21"/>
  <c r="CQ152" i="21" s="1"/>
  <c r="CP147" i="21"/>
  <c r="CQ147" i="21" s="1"/>
  <c r="CP145" i="21"/>
  <c r="CQ145" i="21" s="1"/>
  <c r="CP143" i="21"/>
  <c r="CQ143" i="21" s="1"/>
  <c r="CP151" i="21"/>
  <c r="CQ151" i="21" s="1"/>
  <c r="CP146" i="21"/>
  <c r="CQ146" i="21" s="1"/>
  <c r="V177" i="21"/>
  <c r="F201" i="21" s="1"/>
  <c r="W178" i="21"/>
  <c r="U188" i="21" s="1"/>
  <c r="G201" i="21" s="1"/>
  <c r="C13" i="19"/>
  <c r="L73" i="19"/>
  <c r="J73" i="19"/>
  <c r="K73" i="19"/>
  <c r="L97" i="19"/>
  <c r="C37" i="19"/>
  <c r="L72" i="19"/>
  <c r="C12" i="19"/>
  <c r="K72" i="19"/>
  <c r="J72" i="19"/>
  <c r="C17" i="19"/>
  <c r="L77" i="19"/>
  <c r="V180" i="23"/>
  <c r="W180" i="23" s="1"/>
  <c r="V179" i="23"/>
  <c r="W179" i="23" s="1"/>
  <c r="V188" i="23"/>
  <c r="W188" i="23" s="1"/>
  <c r="V185" i="23"/>
  <c r="W185" i="23" s="1"/>
  <c r="V186" i="23"/>
  <c r="W186" i="23" s="1"/>
  <c r="V187" i="23"/>
  <c r="W187" i="23" s="1"/>
  <c r="V178" i="23"/>
  <c r="V181" i="23"/>
  <c r="W181" i="23" s="1"/>
  <c r="V182" i="23"/>
  <c r="W182" i="23" s="1"/>
  <c r="V183" i="23"/>
  <c r="W183" i="23" s="1"/>
  <c r="V184" i="23"/>
  <c r="W184" i="23" s="1"/>
  <c r="P188" i="23"/>
  <c r="Q188" i="23" s="1"/>
  <c r="P186" i="23"/>
  <c r="Q186" i="23" s="1"/>
  <c r="P182" i="23"/>
  <c r="Q182" i="23" s="1"/>
  <c r="P184" i="23"/>
  <c r="Q184" i="23" s="1"/>
  <c r="P179" i="23"/>
  <c r="Q179" i="23" s="1"/>
  <c r="P183" i="23"/>
  <c r="Q183" i="23" s="1"/>
  <c r="P185" i="23"/>
  <c r="Q185" i="23" s="1"/>
  <c r="P180" i="23"/>
  <c r="Q180" i="23" s="1"/>
  <c r="P178" i="23"/>
  <c r="P187" i="23"/>
  <c r="Q187" i="23" s="1"/>
  <c r="P181" i="23"/>
  <c r="Q181" i="23" s="1"/>
  <c r="C5" i="15"/>
  <c r="I64" i="15"/>
  <c r="F70" i="15" s="1"/>
  <c r="C39" i="15" s="1"/>
  <c r="J65" i="15"/>
  <c r="K65" i="15"/>
  <c r="C13" i="15"/>
  <c r="L73" i="15"/>
  <c r="K73" i="15"/>
  <c r="J73" i="15"/>
  <c r="C35" i="15"/>
  <c r="L69" i="15"/>
  <c r="C9" i="15"/>
  <c r="K69" i="15"/>
  <c r="J69" i="15"/>
  <c r="L76" i="15"/>
  <c r="C16" i="15"/>
  <c r="L70" i="23"/>
  <c r="C10" i="23"/>
  <c r="J70" i="23"/>
  <c r="K70" i="23"/>
  <c r="L69" i="23"/>
  <c r="C9" i="23"/>
  <c r="K69" i="23"/>
  <c r="J69" i="23"/>
  <c r="C15" i="23"/>
  <c r="L75" i="23"/>
  <c r="J75" i="23"/>
  <c r="K75" i="23"/>
  <c r="C5" i="23"/>
  <c r="I64" i="23"/>
  <c r="F70" i="23" s="1"/>
  <c r="C39" i="23" s="1"/>
  <c r="J65" i="23"/>
  <c r="K65" i="23"/>
  <c r="C35" i="23"/>
  <c r="E44" i="23" s="1"/>
  <c r="L73" i="17"/>
  <c r="C13" i="17"/>
  <c r="K73" i="17"/>
  <c r="J73" i="17"/>
  <c r="C5" i="17"/>
  <c r="I64" i="17"/>
  <c r="F70" i="17" s="1"/>
  <c r="C39" i="17" s="1"/>
  <c r="J65" i="17"/>
  <c r="K65" i="17"/>
  <c r="C36" i="17"/>
  <c r="L96" i="17"/>
  <c r="L72" i="17"/>
  <c r="C12" i="17"/>
  <c r="K72" i="17"/>
  <c r="J72" i="17"/>
  <c r="C17" i="17"/>
  <c r="L77" i="17"/>
  <c r="V145" i="19"/>
  <c r="BF146" i="19"/>
  <c r="BE147" i="19" s="1"/>
  <c r="CH146" i="19"/>
  <c r="CG147" i="19" s="1"/>
  <c r="CG145" i="19"/>
  <c r="P146" i="19"/>
  <c r="O147" i="19" s="1"/>
  <c r="AD146" i="19"/>
  <c r="AC147" i="19" s="1"/>
  <c r="CN145" i="19"/>
  <c r="CA146" i="19"/>
  <c r="BZ147" i="19" s="1"/>
  <c r="AX145" i="19"/>
  <c r="BZ145" i="19"/>
  <c r="BS145" i="19"/>
  <c r="CV146" i="19"/>
  <c r="CU147" i="19" s="1"/>
  <c r="BM146" i="19"/>
  <c r="BL147" i="19" s="1"/>
  <c r="CU145" i="19"/>
  <c r="AQ145" i="19"/>
  <c r="AC145" i="19"/>
  <c r="AY146" i="19"/>
  <c r="AX147" i="19" s="1"/>
  <c r="BT146" i="19"/>
  <c r="BS147" i="19" s="1"/>
  <c r="BL145" i="19"/>
  <c r="CO146" i="19"/>
  <c r="CN147" i="19" s="1"/>
  <c r="AJ145" i="19"/>
  <c r="W146" i="19"/>
  <c r="V147" i="19" s="1"/>
  <c r="BE145" i="19"/>
  <c r="O145" i="19"/>
  <c r="AK146" i="19"/>
  <c r="AJ147" i="19" s="1"/>
  <c r="AR146" i="19"/>
  <c r="AQ147" i="19" s="1"/>
  <c r="D154" i="15"/>
  <c r="C78" i="15"/>
  <c r="L69" i="18"/>
  <c r="C9" i="18"/>
  <c r="J69" i="18"/>
  <c r="K69" i="18"/>
  <c r="L76" i="18"/>
  <c r="C16" i="18"/>
  <c r="AB179" i="19"/>
  <c r="AC179" i="19" s="1"/>
  <c r="AB188" i="19"/>
  <c r="AC188" i="19" s="1"/>
  <c r="AB187" i="19"/>
  <c r="AC187" i="19" s="1"/>
  <c r="AB186" i="19"/>
  <c r="AC186" i="19" s="1"/>
  <c r="AB185" i="19"/>
  <c r="AC185" i="19" s="1"/>
  <c r="AB180" i="19"/>
  <c r="AC180" i="19" s="1"/>
  <c r="AB178" i="19"/>
  <c r="AB181" i="19"/>
  <c r="AC181" i="19" s="1"/>
  <c r="AB183" i="19"/>
  <c r="AC183" i="19" s="1"/>
  <c r="AB184" i="19"/>
  <c r="AC184" i="19" s="1"/>
  <c r="AB182" i="19"/>
  <c r="AC182" i="19" s="1"/>
  <c r="F72" i="21"/>
  <c r="C41" i="21" s="1"/>
  <c r="AC178" i="21"/>
  <c r="AA188" i="21" s="1"/>
  <c r="G202" i="21" s="1"/>
  <c r="AB177" i="21"/>
  <c r="F202" i="21" s="1"/>
  <c r="P188" i="17"/>
  <c r="Q188" i="17" s="1"/>
  <c r="P187" i="17"/>
  <c r="Q187" i="17" s="1"/>
  <c r="P186" i="17"/>
  <c r="Q186" i="17" s="1"/>
  <c r="P185" i="17"/>
  <c r="Q185" i="17" s="1"/>
  <c r="P178" i="17"/>
  <c r="P181" i="17"/>
  <c r="Q181" i="17" s="1"/>
  <c r="P179" i="17"/>
  <c r="Q179" i="17" s="1"/>
  <c r="P180" i="17"/>
  <c r="Q180" i="17" s="1"/>
  <c r="P183" i="17"/>
  <c r="Q183" i="17" s="1"/>
  <c r="P184" i="17"/>
  <c r="Q184" i="17" s="1"/>
  <c r="P182" i="17"/>
  <c r="Q182" i="17" s="1"/>
  <c r="AH178" i="17"/>
  <c r="AH188" i="17"/>
  <c r="AI188" i="17" s="1"/>
  <c r="AH187" i="17"/>
  <c r="AI187" i="17" s="1"/>
  <c r="AH186" i="17"/>
  <c r="AI186" i="17" s="1"/>
  <c r="AH185" i="17"/>
  <c r="AI185" i="17" s="1"/>
  <c r="AH179" i="17"/>
  <c r="AI179" i="17" s="1"/>
  <c r="AH181" i="17"/>
  <c r="AI181" i="17" s="1"/>
  <c r="AH180" i="17"/>
  <c r="AI180" i="17" s="1"/>
  <c r="AH182" i="17"/>
  <c r="AI182" i="17" s="1"/>
  <c r="AH183" i="17"/>
  <c r="AI183" i="17" s="1"/>
  <c r="AH184" i="17"/>
  <c r="AI184" i="17" s="1"/>
  <c r="V180" i="18"/>
  <c r="W180" i="18" s="1"/>
  <c r="V188" i="18"/>
  <c r="W188" i="18" s="1"/>
  <c r="V187" i="18"/>
  <c r="W187" i="18" s="1"/>
  <c r="V186" i="18"/>
  <c r="W186" i="18" s="1"/>
  <c r="V185" i="18"/>
  <c r="W185" i="18" s="1"/>
  <c r="V179" i="18"/>
  <c r="W179" i="18" s="1"/>
  <c r="V181" i="18"/>
  <c r="W181" i="18" s="1"/>
  <c r="V178" i="18"/>
  <c r="V182" i="18"/>
  <c r="W182" i="18" s="1"/>
  <c r="V183" i="18"/>
  <c r="W183" i="18" s="1"/>
  <c r="V184" i="18"/>
  <c r="W184" i="18" s="1"/>
  <c r="AB179" i="18"/>
  <c r="AC179" i="18" s="1"/>
  <c r="AB188" i="18"/>
  <c r="AC188" i="18" s="1"/>
  <c r="AB187" i="18"/>
  <c r="AC187" i="18" s="1"/>
  <c r="AB186" i="18"/>
  <c r="AC186" i="18" s="1"/>
  <c r="AB185" i="18"/>
  <c r="AC185" i="18" s="1"/>
  <c r="AB180" i="18"/>
  <c r="AC180" i="18" s="1"/>
  <c r="AB178" i="18"/>
  <c r="AB181" i="18"/>
  <c r="AC181" i="18" s="1"/>
  <c r="AB182" i="18"/>
  <c r="AC182" i="18" s="1"/>
  <c r="AB183" i="18"/>
  <c r="AC183" i="18" s="1"/>
  <c r="AB184" i="18"/>
  <c r="AC184" i="18" s="1"/>
  <c r="D200" i="18"/>
  <c r="D201" i="18" s="1"/>
  <c r="D202" i="18" s="1"/>
  <c r="D203" i="18" s="1"/>
  <c r="D204" i="18" s="1"/>
  <c r="D205" i="18" s="1"/>
  <c r="D206" i="18" s="1"/>
  <c r="D207" i="18" s="1"/>
  <c r="D208" i="18" s="1"/>
  <c r="D209" i="18" s="1"/>
  <c r="D210" i="18" s="1"/>
  <c r="C8" i="22"/>
  <c r="L68" i="22"/>
  <c r="J68" i="22"/>
  <c r="K68" i="22"/>
  <c r="L72" i="22"/>
  <c r="C12" i="22"/>
  <c r="K72" i="22"/>
  <c r="J72" i="22"/>
  <c r="L71" i="22"/>
  <c r="C11" i="22"/>
  <c r="K71" i="22"/>
  <c r="J71" i="22"/>
  <c r="L66" i="22"/>
  <c r="C6" i="22"/>
  <c r="K66" i="22"/>
  <c r="J66" i="22"/>
  <c r="L73" i="22"/>
  <c r="C13" i="22"/>
  <c r="K73" i="22"/>
  <c r="J73" i="22"/>
  <c r="C36" i="22"/>
  <c r="L96" i="22"/>
  <c r="I64" i="20"/>
  <c r="F70" i="20" s="1"/>
  <c r="C39" i="20" s="1"/>
  <c r="J65" i="20"/>
  <c r="K65" i="20"/>
  <c r="L96" i="20"/>
  <c r="L70" i="20"/>
  <c r="J70" i="20"/>
  <c r="K70" i="20"/>
  <c r="L68" i="20"/>
  <c r="K68" i="20"/>
  <c r="J68" i="20"/>
  <c r="A116" i="18"/>
  <c r="A154" i="18" s="1"/>
  <c r="A190" i="18" s="1"/>
  <c r="A78" i="18"/>
  <c r="V180" i="20"/>
  <c r="W180" i="20" s="1"/>
  <c r="V188" i="20"/>
  <c r="W188" i="20" s="1"/>
  <c r="V187" i="20"/>
  <c r="W187" i="20" s="1"/>
  <c r="V186" i="20"/>
  <c r="W186" i="20" s="1"/>
  <c r="V185" i="20"/>
  <c r="W185" i="20" s="1"/>
  <c r="V181" i="20"/>
  <c r="W181" i="20" s="1"/>
  <c r="V182" i="20"/>
  <c r="W182" i="20" s="1"/>
  <c r="V183" i="20"/>
  <c r="W183" i="20" s="1"/>
  <c r="V184" i="20"/>
  <c r="W184" i="20" s="1"/>
  <c r="V179" i="20"/>
  <c r="W179" i="20" s="1"/>
  <c r="V178" i="20"/>
  <c r="D200" i="20"/>
  <c r="D201" i="20" s="1"/>
  <c r="D202" i="20" s="1"/>
  <c r="D203" i="20" s="1"/>
  <c r="D204" i="20" s="1"/>
  <c r="D205" i="20" s="1"/>
  <c r="D206" i="20" s="1"/>
  <c r="D207" i="20" s="1"/>
  <c r="D208" i="20" s="1"/>
  <c r="D209" i="20" s="1"/>
  <c r="D210" i="20" s="1"/>
  <c r="AZ179" i="15"/>
  <c r="BA179" i="15" s="1"/>
  <c r="AZ188" i="15"/>
  <c r="BA188" i="15" s="1"/>
  <c r="AZ187" i="15"/>
  <c r="BA187" i="15" s="1"/>
  <c r="AZ186" i="15"/>
  <c r="BA186" i="15" s="1"/>
  <c r="AZ185" i="15"/>
  <c r="BA185" i="15" s="1"/>
  <c r="AZ180" i="15"/>
  <c r="BA180" i="15" s="1"/>
  <c r="AZ181" i="15"/>
  <c r="BA181" i="15" s="1"/>
  <c r="AZ178" i="15"/>
  <c r="AZ184" i="15"/>
  <c r="BA184" i="15" s="1"/>
  <c r="AZ182" i="15"/>
  <c r="BA182" i="15" s="1"/>
  <c r="AZ183" i="15"/>
  <c r="BA183" i="15" s="1"/>
  <c r="AB179" i="15"/>
  <c r="AC179" i="15" s="1"/>
  <c r="AB188" i="15"/>
  <c r="AC188" i="15" s="1"/>
  <c r="AB187" i="15"/>
  <c r="AC187" i="15" s="1"/>
  <c r="AB186" i="15"/>
  <c r="AC186" i="15" s="1"/>
  <c r="AB185" i="15"/>
  <c r="AC185" i="15" s="1"/>
  <c r="AB180" i="15"/>
  <c r="AC180" i="15" s="1"/>
  <c r="AB178" i="15"/>
  <c r="AB181" i="15"/>
  <c r="AC181" i="15" s="1"/>
  <c r="AB184" i="15"/>
  <c r="AC184" i="15" s="1"/>
  <c r="AB182" i="15"/>
  <c r="AC182" i="15" s="1"/>
  <c r="AB183" i="15"/>
  <c r="AC183" i="15" s="1"/>
  <c r="P188" i="15"/>
  <c r="Q188" i="15" s="1"/>
  <c r="P187" i="15"/>
  <c r="Q187" i="15" s="1"/>
  <c r="P186" i="15"/>
  <c r="Q186" i="15" s="1"/>
  <c r="P185" i="15"/>
  <c r="Q185" i="15" s="1"/>
  <c r="P178" i="15"/>
  <c r="P180" i="15"/>
  <c r="Q180" i="15" s="1"/>
  <c r="P181" i="15"/>
  <c r="Q181" i="15" s="1"/>
  <c r="P179" i="15"/>
  <c r="Q179" i="15" s="1"/>
  <c r="P184" i="15"/>
  <c r="Q184" i="15" s="1"/>
  <c r="P182" i="15"/>
  <c r="Q182" i="15" s="1"/>
  <c r="P183" i="15"/>
  <c r="Q183" i="15" s="1"/>
  <c r="BU151" i="21"/>
  <c r="BV151" i="21" s="1"/>
  <c r="BU150" i="21"/>
  <c r="BV150" i="21" s="1"/>
  <c r="BU149" i="21"/>
  <c r="BV149" i="21" s="1"/>
  <c r="BU148" i="21"/>
  <c r="BV148" i="21" s="1"/>
  <c r="BU146" i="21"/>
  <c r="BV146" i="21" s="1"/>
  <c r="BU144" i="21"/>
  <c r="BV144" i="21" s="1"/>
  <c r="BU142" i="21"/>
  <c r="BU152" i="21"/>
  <c r="BV152" i="21" s="1"/>
  <c r="BU145" i="21"/>
  <c r="BV145" i="21" s="1"/>
  <c r="BU143" i="21"/>
  <c r="BV143" i="21" s="1"/>
  <c r="BU147" i="21"/>
  <c r="BV147" i="21" s="1"/>
  <c r="CI142" i="21"/>
  <c r="CI150" i="21"/>
  <c r="CJ150" i="21" s="1"/>
  <c r="CI149" i="21"/>
  <c r="CJ149" i="21" s="1"/>
  <c r="CI148" i="21"/>
  <c r="CJ148" i="21" s="1"/>
  <c r="CI143" i="21"/>
  <c r="CJ143" i="21" s="1"/>
  <c r="CI151" i="21"/>
  <c r="CJ151" i="21" s="1"/>
  <c r="CI146" i="21"/>
  <c r="CJ146" i="21" s="1"/>
  <c r="CI147" i="21"/>
  <c r="CJ147" i="21" s="1"/>
  <c r="CI145" i="21"/>
  <c r="CJ145" i="21" s="1"/>
  <c r="CI152" i="21"/>
  <c r="CJ152" i="21" s="1"/>
  <c r="CI144" i="21"/>
  <c r="CJ144" i="21" s="1"/>
  <c r="L66" i="19"/>
  <c r="C6" i="19"/>
  <c r="J66" i="19"/>
  <c r="K66" i="19"/>
  <c r="L74" i="19"/>
  <c r="C14" i="19"/>
  <c r="K74" i="19"/>
  <c r="J74" i="19"/>
  <c r="L69" i="19"/>
  <c r="C9" i="19"/>
  <c r="J69" i="19"/>
  <c r="K69" i="19"/>
  <c r="L76" i="19"/>
  <c r="C16" i="19"/>
  <c r="AH178" i="23"/>
  <c r="AH179" i="23"/>
  <c r="AI179" i="23" s="1"/>
  <c r="AH182" i="23"/>
  <c r="AI182" i="23" s="1"/>
  <c r="AH183" i="23"/>
  <c r="AI183" i="23" s="1"/>
  <c r="AH184" i="23"/>
  <c r="AI184" i="23" s="1"/>
  <c r="AH188" i="23"/>
  <c r="AI188" i="23" s="1"/>
  <c r="AH185" i="23"/>
  <c r="AI185" i="23" s="1"/>
  <c r="AH186" i="23"/>
  <c r="AI186" i="23" s="1"/>
  <c r="AH187" i="23"/>
  <c r="AI187" i="23" s="1"/>
  <c r="AH181" i="23"/>
  <c r="AI181" i="23" s="1"/>
  <c r="AH180" i="23"/>
  <c r="AI180" i="23" s="1"/>
  <c r="AZ183" i="23"/>
  <c r="BA183" i="23" s="1"/>
  <c r="AZ179" i="23"/>
  <c r="BA179" i="23" s="1"/>
  <c r="AZ185" i="23"/>
  <c r="BA185" i="23" s="1"/>
  <c r="AZ182" i="23"/>
  <c r="BA182" i="23" s="1"/>
  <c r="AZ187" i="23"/>
  <c r="BA187" i="23" s="1"/>
  <c r="AZ186" i="23"/>
  <c r="BA186" i="23" s="1"/>
  <c r="AZ181" i="23"/>
  <c r="BA181" i="23" s="1"/>
  <c r="AZ178" i="23"/>
  <c r="AZ188" i="23"/>
  <c r="BA188" i="23" s="1"/>
  <c r="AZ180" i="23"/>
  <c r="BA180" i="23" s="1"/>
  <c r="AZ184" i="23"/>
  <c r="BA184" i="23" s="1"/>
  <c r="O145" i="15"/>
  <c r="BL145" i="15"/>
  <c r="AX145" i="15"/>
  <c r="AD146" i="15"/>
  <c r="AC147" i="15" s="1"/>
  <c r="CA146" i="15"/>
  <c r="BZ147" i="15" s="1"/>
  <c r="CH146" i="15"/>
  <c r="CG147" i="15" s="1"/>
  <c r="W146" i="15"/>
  <c r="V147" i="15" s="1"/>
  <c r="AY146" i="15"/>
  <c r="AX147" i="15" s="1"/>
  <c r="BZ145" i="15"/>
  <c r="AQ145" i="15"/>
  <c r="AJ145" i="15"/>
  <c r="CO146" i="15"/>
  <c r="CN147" i="15" s="1"/>
  <c r="BM146" i="15"/>
  <c r="BL147" i="15" s="1"/>
  <c r="AR146" i="15"/>
  <c r="AQ147" i="15" s="1"/>
  <c r="BE145" i="15"/>
  <c r="P146" i="15"/>
  <c r="O147" i="15" s="1"/>
  <c r="CN145" i="15"/>
  <c r="BT146" i="15"/>
  <c r="BS147" i="15" s="1"/>
  <c r="BS145" i="15"/>
  <c r="CU145" i="15"/>
  <c r="BF146" i="15"/>
  <c r="BE147" i="15" s="1"/>
  <c r="AK146" i="15"/>
  <c r="AJ147" i="15" s="1"/>
  <c r="CV146" i="15"/>
  <c r="CU147" i="15" s="1"/>
  <c r="AC145" i="15"/>
  <c r="V145" i="15"/>
  <c r="CG145" i="15"/>
  <c r="C36" i="15"/>
  <c r="L96" i="15"/>
  <c r="L97" i="15"/>
  <c r="C37" i="15"/>
  <c r="L70" i="15"/>
  <c r="C10" i="15"/>
  <c r="K70" i="15"/>
  <c r="J70" i="15"/>
  <c r="L68" i="15"/>
  <c r="C8" i="15"/>
  <c r="J68" i="15"/>
  <c r="K68" i="15"/>
  <c r="D154" i="20"/>
  <c r="C78" i="20"/>
  <c r="L72" i="23"/>
  <c r="C12" i="23"/>
  <c r="K72" i="23"/>
  <c r="J72" i="23"/>
  <c r="L71" i="23"/>
  <c r="C11" i="23"/>
  <c r="K71" i="23"/>
  <c r="J71" i="23"/>
  <c r="L66" i="23"/>
  <c r="C6" i="23"/>
  <c r="K66" i="23"/>
  <c r="J66" i="23"/>
  <c r="C13" i="23"/>
  <c r="L73" i="23"/>
  <c r="K73" i="23"/>
  <c r="J73" i="23"/>
  <c r="C36" i="23"/>
  <c r="L96" i="23"/>
  <c r="CO146" i="17"/>
  <c r="CN147" i="17" s="1"/>
  <c r="AQ145" i="17"/>
  <c r="O145" i="17"/>
  <c r="BE145" i="17"/>
  <c r="W146" i="17"/>
  <c r="V147" i="17" s="1"/>
  <c r="CA146" i="17"/>
  <c r="BZ147" i="17" s="1"/>
  <c r="AK146" i="17"/>
  <c r="AJ147" i="17" s="1"/>
  <c r="AX145" i="17"/>
  <c r="CU145" i="17"/>
  <c r="CV146" i="17"/>
  <c r="CU147" i="17" s="1"/>
  <c r="BZ145" i="17"/>
  <c r="BS145" i="17"/>
  <c r="AJ145" i="17"/>
  <c r="BF146" i="17"/>
  <c r="BE147" i="17" s="1"/>
  <c r="AY146" i="17"/>
  <c r="AX147" i="17" s="1"/>
  <c r="CG145" i="17"/>
  <c r="AC145" i="17"/>
  <c r="BM146" i="17"/>
  <c r="BL147" i="17" s="1"/>
  <c r="P146" i="17"/>
  <c r="O147" i="17" s="1"/>
  <c r="CH146" i="17"/>
  <c r="CG147" i="17" s="1"/>
  <c r="V145" i="17"/>
  <c r="AR146" i="17"/>
  <c r="AQ147" i="17" s="1"/>
  <c r="BT146" i="17"/>
  <c r="BS147" i="17" s="1"/>
  <c r="CN145" i="17"/>
  <c r="BL145" i="17"/>
  <c r="AD146" i="17"/>
  <c r="AC147" i="17" s="1"/>
  <c r="L74" i="17"/>
  <c r="C14" i="17"/>
  <c r="J74" i="17"/>
  <c r="K74" i="17"/>
  <c r="L66" i="17"/>
  <c r="C6" i="17"/>
  <c r="J66" i="17"/>
  <c r="K66" i="17"/>
  <c r="L69" i="17"/>
  <c r="C9" i="17"/>
  <c r="J69" i="17"/>
  <c r="K69" i="17"/>
  <c r="L76" i="17"/>
  <c r="C16" i="17"/>
  <c r="CG145" i="18"/>
  <c r="CV146" i="18"/>
  <c r="CU147" i="18" s="1"/>
  <c r="AC145" i="18"/>
  <c r="BE145" i="18"/>
  <c r="V145" i="18"/>
  <c r="W146" i="18"/>
  <c r="V147" i="18" s="1"/>
  <c r="AX145" i="18"/>
  <c r="CH146" i="18"/>
  <c r="CG147" i="18" s="1"/>
  <c r="BF146" i="18"/>
  <c r="BE147" i="18" s="1"/>
  <c r="O145" i="18"/>
  <c r="CU145" i="18"/>
  <c r="BT146" i="18"/>
  <c r="BS147" i="18" s="1"/>
  <c r="AY146" i="18"/>
  <c r="AX147" i="18" s="1"/>
  <c r="AK146" i="18"/>
  <c r="AJ147" i="18" s="1"/>
  <c r="BS145" i="18"/>
  <c r="AR146" i="18"/>
  <c r="AQ147" i="18" s="1"/>
  <c r="BZ145" i="18"/>
  <c r="AQ145" i="18"/>
  <c r="AJ145" i="18"/>
  <c r="AD146" i="18"/>
  <c r="AC147" i="18" s="1"/>
  <c r="CN145" i="18"/>
  <c r="BM146" i="18"/>
  <c r="BL147" i="18" s="1"/>
  <c r="P146" i="18"/>
  <c r="O147" i="18" s="1"/>
  <c r="BL145" i="18"/>
  <c r="CO146" i="18"/>
  <c r="CN147" i="18" s="1"/>
  <c r="CA146" i="18"/>
  <c r="BZ147" i="18" s="1"/>
  <c r="C35" i="18"/>
  <c r="C13" i="18"/>
  <c r="L73" i="18"/>
  <c r="K73" i="18"/>
  <c r="J73" i="18"/>
  <c r="C10" i="18"/>
  <c r="L70" i="18"/>
  <c r="J70" i="18"/>
  <c r="K70" i="18"/>
  <c r="L68" i="18"/>
  <c r="C8" i="18"/>
  <c r="J68" i="18"/>
  <c r="K68" i="18"/>
  <c r="BF178" i="19"/>
  <c r="BF188" i="19"/>
  <c r="BG188" i="19" s="1"/>
  <c r="BF187" i="19"/>
  <c r="BG187" i="19" s="1"/>
  <c r="BF186" i="19"/>
  <c r="BG186" i="19" s="1"/>
  <c r="BF185" i="19"/>
  <c r="BG185" i="19" s="1"/>
  <c r="BF179" i="19"/>
  <c r="BG179" i="19" s="1"/>
  <c r="BF180" i="19"/>
  <c r="BG180" i="19" s="1"/>
  <c r="BF181" i="19"/>
  <c r="BG181" i="19" s="1"/>
  <c r="BF184" i="19"/>
  <c r="BG184" i="19" s="1"/>
  <c r="BF182" i="19"/>
  <c r="BG182" i="19" s="1"/>
  <c r="BF183" i="19"/>
  <c r="BG183" i="19" s="1"/>
  <c r="V180" i="19"/>
  <c r="W180" i="19" s="1"/>
  <c r="V188" i="19"/>
  <c r="W188" i="19" s="1"/>
  <c r="V187" i="19"/>
  <c r="W187" i="19" s="1"/>
  <c r="V186" i="19"/>
  <c r="W186" i="19" s="1"/>
  <c r="V185" i="19"/>
  <c r="W185" i="19" s="1"/>
  <c r="V181" i="19"/>
  <c r="W181" i="19" s="1"/>
  <c r="V178" i="19"/>
  <c r="V179" i="19"/>
  <c r="W179" i="19" s="1"/>
  <c r="V182" i="19"/>
  <c r="W182" i="19" s="1"/>
  <c r="V183" i="19"/>
  <c r="W183" i="19" s="1"/>
  <c r="V184" i="19"/>
  <c r="W184" i="19" s="1"/>
  <c r="AH178" i="19"/>
  <c r="AH188" i="19"/>
  <c r="AI188" i="19" s="1"/>
  <c r="AH187" i="19"/>
  <c r="AI187" i="19" s="1"/>
  <c r="AH186" i="19"/>
  <c r="AI186" i="19" s="1"/>
  <c r="AH185" i="19"/>
  <c r="AI185" i="19" s="1"/>
  <c r="AH179" i="19"/>
  <c r="AI179" i="19" s="1"/>
  <c r="AH180" i="19"/>
  <c r="AI180" i="19" s="1"/>
  <c r="AH181" i="19"/>
  <c r="AI181" i="19" s="1"/>
  <c r="AH184" i="19"/>
  <c r="AI184" i="19" s="1"/>
  <c r="AH182" i="19"/>
  <c r="AI182" i="19" s="1"/>
  <c r="AH183" i="19"/>
  <c r="AI183" i="19" s="1"/>
  <c r="D154" i="19"/>
  <c r="C78" i="19"/>
  <c r="D154" i="17"/>
  <c r="C78" i="17"/>
  <c r="AT177" i="21"/>
  <c r="F205" i="21" s="1"/>
  <c r="AU178" i="21"/>
  <c r="AS188" i="21" s="1"/>
  <c r="G205" i="21" s="1"/>
  <c r="AZ179" i="17"/>
  <c r="BA179" i="17" s="1"/>
  <c r="AZ188" i="17"/>
  <c r="BA188" i="17" s="1"/>
  <c r="AZ187" i="17"/>
  <c r="BA187" i="17" s="1"/>
  <c r="AZ186" i="17"/>
  <c r="BA186" i="17" s="1"/>
  <c r="AZ185" i="17"/>
  <c r="BA185" i="17" s="1"/>
  <c r="AZ180" i="17"/>
  <c r="BA180" i="17" s="1"/>
  <c r="AZ181" i="17"/>
  <c r="BA181" i="17" s="1"/>
  <c r="AZ178" i="17"/>
  <c r="AZ184" i="17"/>
  <c r="BA184" i="17" s="1"/>
  <c r="AZ182" i="17"/>
  <c r="BA182" i="17" s="1"/>
  <c r="AZ183" i="17"/>
  <c r="BA183" i="17" s="1"/>
  <c r="BF188" i="20"/>
  <c r="BG188" i="20" s="1"/>
  <c r="BF187" i="20"/>
  <c r="BG187" i="20" s="1"/>
  <c r="BF186" i="20"/>
  <c r="BG186" i="20" s="1"/>
  <c r="BF185" i="20"/>
  <c r="BG185" i="20" s="1"/>
  <c r="BF178" i="20"/>
  <c r="BF179" i="20"/>
  <c r="BG179" i="20" s="1"/>
  <c r="BF180" i="20"/>
  <c r="BG180" i="20" s="1"/>
  <c r="BF181" i="20"/>
  <c r="BG181" i="20" s="1"/>
  <c r="BF182" i="20"/>
  <c r="BG182" i="20" s="1"/>
  <c r="BF183" i="20"/>
  <c r="BG183" i="20" s="1"/>
  <c r="BF184" i="20"/>
  <c r="BG184" i="20" s="1"/>
  <c r="C78" i="22"/>
  <c r="D154" i="22"/>
  <c r="C7" i="22"/>
  <c r="L67" i="22"/>
  <c r="J67" i="22"/>
  <c r="K67" i="22"/>
  <c r="B77" i="22"/>
  <c r="C37" i="22"/>
  <c r="L97" i="22"/>
  <c r="B77" i="20"/>
  <c r="L66" i="20"/>
  <c r="K66" i="20"/>
  <c r="J66" i="20"/>
  <c r="L73" i="20"/>
  <c r="J73" i="20"/>
  <c r="K73" i="20"/>
  <c r="L71" i="20"/>
  <c r="K71" i="20"/>
  <c r="J71" i="20"/>
  <c r="L75" i="20"/>
  <c r="K75" i="20"/>
  <c r="J75" i="20"/>
  <c r="BA178" i="21"/>
  <c r="AY188" i="21" s="1"/>
  <c r="G206" i="21" s="1"/>
  <c r="AZ177" i="21"/>
  <c r="F206" i="21" s="1"/>
  <c r="A116" i="19"/>
  <c r="A154" i="19" s="1"/>
  <c r="A190" i="19" s="1"/>
  <c r="A78" i="19"/>
  <c r="P184" i="18"/>
  <c r="Q184" i="18" s="1"/>
  <c r="P178" i="18"/>
  <c r="P188" i="18"/>
  <c r="Q188" i="18" s="1"/>
  <c r="A116" i="17"/>
  <c r="A154" i="17" s="1"/>
  <c r="A190" i="17" s="1"/>
  <c r="A78" i="17"/>
  <c r="AT188" i="20"/>
  <c r="AU188" i="20" s="1"/>
  <c r="AT187" i="20"/>
  <c r="AU187" i="20" s="1"/>
  <c r="AT186" i="20"/>
  <c r="AU186" i="20" s="1"/>
  <c r="AT185" i="20"/>
  <c r="AU185" i="20" s="1"/>
  <c r="AT180" i="20"/>
  <c r="AU180" i="20" s="1"/>
  <c r="AT182" i="20"/>
  <c r="AU182" i="20" s="1"/>
  <c r="AT184" i="20"/>
  <c r="AU184" i="20" s="1"/>
  <c r="AT179" i="20"/>
  <c r="AU179" i="20" s="1"/>
  <c r="AT178" i="20"/>
  <c r="AT181" i="20"/>
  <c r="AU181" i="20" s="1"/>
  <c r="AT183" i="20"/>
  <c r="AU183" i="20" s="1"/>
  <c r="A77" i="22"/>
  <c r="A115" i="22"/>
  <c r="A153" i="22" s="1"/>
  <c r="A189" i="22" s="1"/>
  <c r="A117" i="15"/>
  <c r="A155" i="15" s="1"/>
  <c r="A191" i="15" s="1"/>
  <c r="A79" i="15"/>
  <c r="AZ150" i="21"/>
  <c r="BA150" i="21" s="1"/>
  <c r="AZ149" i="21"/>
  <c r="BA149" i="21" s="1"/>
  <c r="AZ148" i="21"/>
  <c r="BA148" i="21" s="1"/>
  <c r="AZ143" i="21"/>
  <c r="BA143" i="21" s="1"/>
  <c r="AZ152" i="21"/>
  <c r="BA152" i="21" s="1"/>
  <c r="AZ147" i="21"/>
  <c r="BA147" i="21" s="1"/>
  <c r="AZ145" i="21"/>
  <c r="BA145" i="21" s="1"/>
  <c r="AZ146" i="21"/>
  <c r="BA146" i="21" s="1"/>
  <c r="AZ144" i="21"/>
  <c r="BA144" i="21" s="1"/>
  <c r="AZ151" i="21"/>
  <c r="BA151" i="21" s="1"/>
  <c r="AZ142" i="21"/>
  <c r="CW143" i="21"/>
  <c r="CX143" i="21" s="1"/>
  <c r="CW151" i="21"/>
  <c r="CX151" i="21" s="1"/>
  <c r="CW146" i="21"/>
  <c r="CX146" i="21" s="1"/>
  <c r="CW144" i="21"/>
  <c r="CX144" i="21" s="1"/>
  <c r="CW152" i="21"/>
  <c r="CX152" i="21" s="1"/>
  <c r="CW145" i="21"/>
  <c r="CX145" i="21" s="1"/>
  <c r="CW149" i="21"/>
  <c r="CX149" i="21" s="1"/>
  <c r="CW147" i="21"/>
  <c r="CX147" i="21" s="1"/>
  <c r="CW150" i="21"/>
  <c r="CX150" i="21" s="1"/>
  <c r="CW148" i="21"/>
  <c r="CX148" i="21" s="1"/>
  <c r="CW142" i="21"/>
  <c r="BN142" i="21"/>
  <c r="BN144" i="21"/>
  <c r="BO144" i="21" s="1"/>
  <c r="BN152" i="21"/>
  <c r="BO152" i="21" s="1"/>
  <c r="BN147" i="21"/>
  <c r="BO147" i="21" s="1"/>
  <c r="BN145" i="21"/>
  <c r="BO145" i="21" s="1"/>
  <c r="BN151" i="21"/>
  <c r="BO151" i="21" s="1"/>
  <c r="BN150" i="21"/>
  <c r="BO150" i="21" s="1"/>
  <c r="BN149" i="21"/>
  <c r="BO149" i="21" s="1"/>
  <c r="BN148" i="21"/>
  <c r="BO148" i="21" s="1"/>
  <c r="BN146" i="21"/>
  <c r="BO146" i="21" s="1"/>
  <c r="BN143" i="21"/>
  <c r="BO143" i="21" s="1"/>
  <c r="AE142" i="21"/>
  <c r="AE150" i="21"/>
  <c r="AF150" i="21" s="1"/>
  <c r="AE149" i="21"/>
  <c r="AF149" i="21" s="1"/>
  <c r="AE148" i="21"/>
  <c r="AF148" i="21" s="1"/>
  <c r="AE143" i="21"/>
  <c r="AF143" i="21" s="1"/>
  <c r="AE151" i="21"/>
  <c r="AF151" i="21" s="1"/>
  <c r="AE146" i="21"/>
  <c r="AF146" i="21" s="1"/>
  <c r="AE147" i="21"/>
  <c r="AF147" i="21" s="1"/>
  <c r="AE145" i="21"/>
  <c r="AF145" i="21" s="1"/>
  <c r="AE152" i="21"/>
  <c r="AF152" i="21" s="1"/>
  <c r="AE144" i="21"/>
  <c r="AF144" i="21" s="1"/>
  <c r="D155" i="21"/>
  <c r="C79" i="21"/>
  <c r="I78" i="21"/>
  <c r="B78" i="21"/>
  <c r="C5" i="19"/>
  <c r="I64" i="19"/>
  <c r="F70" i="19" s="1"/>
  <c r="C39" i="19" s="1"/>
  <c r="K65" i="19"/>
  <c r="J65" i="19"/>
  <c r="C36" i="19"/>
  <c r="L96" i="19"/>
  <c r="L70" i="19"/>
  <c r="C10" i="19"/>
  <c r="J70" i="19"/>
  <c r="K70" i="19"/>
  <c r="L68" i="19"/>
  <c r="C8" i="19"/>
  <c r="K68" i="19"/>
  <c r="J68" i="19"/>
  <c r="AB184" i="23"/>
  <c r="AC184" i="23" s="1"/>
  <c r="AB182" i="23"/>
  <c r="AC182" i="23" s="1"/>
  <c r="AB187" i="23"/>
  <c r="AC187" i="23" s="1"/>
  <c r="AB185" i="23"/>
  <c r="AC185" i="23" s="1"/>
  <c r="AB180" i="23"/>
  <c r="AC180" i="23" s="1"/>
  <c r="AB183" i="23"/>
  <c r="AC183" i="23" s="1"/>
  <c r="AB179" i="23"/>
  <c r="AC179" i="23" s="1"/>
  <c r="AB181" i="23"/>
  <c r="AC181" i="23" s="1"/>
  <c r="AB186" i="23"/>
  <c r="AC186" i="23" s="1"/>
  <c r="AB178" i="23"/>
  <c r="AB188" i="23"/>
  <c r="AC188" i="23" s="1"/>
  <c r="AN179" i="23"/>
  <c r="AO179" i="23" s="1"/>
  <c r="AN185" i="23"/>
  <c r="AO185" i="23" s="1"/>
  <c r="AN181" i="23"/>
  <c r="AO181" i="23" s="1"/>
  <c r="AN188" i="23"/>
  <c r="AO188" i="23" s="1"/>
  <c r="AN180" i="23"/>
  <c r="AO180" i="23" s="1"/>
  <c r="AN187" i="23"/>
  <c r="AO187" i="23" s="1"/>
  <c r="AN186" i="23"/>
  <c r="AO186" i="23" s="1"/>
  <c r="AN184" i="23"/>
  <c r="AO184" i="23" s="1"/>
  <c r="AN178" i="23"/>
  <c r="AN183" i="23"/>
  <c r="AO183" i="23" s="1"/>
  <c r="AN182" i="23"/>
  <c r="AO182" i="23" s="1"/>
  <c r="BF179" i="23"/>
  <c r="BG179" i="23" s="1"/>
  <c r="BF178" i="23"/>
  <c r="BF181" i="23"/>
  <c r="BG181" i="23" s="1"/>
  <c r="BF182" i="23"/>
  <c r="BG182" i="23" s="1"/>
  <c r="BF184" i="23"/>
  <c r="BG184" i="23" s="1"/>
  <c r="BF188" i="23"/>
  <c r="BG188" i="23" s="1"/>
  <c r="BF180" i="23"/>
  <c r="BG180" i="23" s="1"/>
  <c r="BF185" i="23"/>
  <c r="BG185" i="23" s="1"/>
  <c r="BF186" i="23"/>
  <c r="BG186" i="23" s="1"/>
  <c r="BF187" i="23"/>
  <c r="BG187" i="23" s="1"/>
  <c r="BF183" i="23"/>
  <c r="BG183" i="23" s="1"/>
  <c r="D200" i="23"/>
  <c r="D201" i="23" s="1"/>
  <c r="D202" i="23" s="1"/>
  <c r="D203" i="23" s="1"/>
  <c r="D204" i="23" s="1"/>
  <c r="D205" i="23" s="1"/>
  <c r="D206" i="23" s="1"/>
  <c r="D207" i="23" s="1"/>
  <c r="D208" i="23" s="1"/>
  <c r="D209" i="23" s="1"/>
  <c r="D210" i="23" s="1"/>
  <c r="L67" i="15"/>
  <c r="C7" i="15"/>
  <c r="J67" i="15"/>
  <c r="K67" i="15"/>
  <c r="L66" i="15"/>
  <c r="C6" i="15"/>
  <c r="K66" i="15"/>
  <c r="J66" i="15"/>
  <c r="L74" i="15"/>
  <c r="C14" i="15"/>
  <c r="J74" i="15"/>
  <c r="K74" i="15"/>
  <c r="L71" i="15"/>
  <c r="C11" i="15"/>
  <c r="J71" i="15"/>
  <c r="K71" i="15"/>
  <c r="L75" i="15"/>
  <c r="C15" i="15"/>
  <c r="K75" i="15"/>
  <c r="J75" i="15"/>
  <c r="C78" i="23"/>
  <c r="D154" i="23"/>
  <c r="C8" i="23"/>
  <c r="L68" i="23"/>
  <c r="J68" i="23"/>
  <c r="K68" i="23"/>
  <c r="C7" i="23"/>
  <c r="L67" i="23"/>
  <c r="K67" i="23"/>
  <c r="J67" i="23"/>
  <c r="B77" i="23"/>
  <c r="C37" i="23"/>
  <c r="G54" i="14" s="1"/>
  <c r="L97" i="23"/>
  <c r="C35" i="17"/>
  <c r="L67" i="17"/>
  <c r="C7" i="17"/>
  <c r="K67" i="17"/>
  <c r="J67" i="17"/>
  <c r="C10" i="17"/>
  <c r="L70" i="17"/>
  <c r="K70" i="17"/>
  <c r="J70" i="17"/>
  <c r="L68" i="17"/>
  <c r="C8" i="17"/>
  <c r="J68" i="17"/>
  <c r="K68" i="17"/>
  <c r="C36" i="18"/>
  <c r="L96" i="18"/>
  <c r="C5" i="18"/>
  <c r="I64" i="18"/>
  <c r="F70" i="18" s="1"/>
  <c r="C39" i="18" s="1"/>
  <c r="J65" i="18"/>
  <c r="K65" i="18"/>
  <c r="L97" i="18"/>
  <c r="C37" i="18"/>
  <c r="L71" i="18"/>
  <c r="C11" i="18"/>
  <c r="J71" i="18"/>
  <c r="K71" i="18"/>
  <c r="L75" i="18"/>
  <c r="C15" i="18"/>
  <c r="K75" i="18"/>
  <c r="J75" i="18"/>
  <c r="AN188" i="19"/>
  <c r="AO188" i="19" s="1"/>
  <c r="AN187" i="19"/>
  <c r="AO187" i="19" s="1"/>
  <c r="AN186" i="19"/>
  <c r="AO186" i="19" s="1"/>
  <c r="AN185" i="19"/>
  <c r="AO185" i="19" s="1"/>
  <c r="AN178" i="19"/>
  <c r="AN181" i="19"/>
  <c r="AO181" i="19" s="1"/>
  <c r="AN179" i="19"/>
  <c r="AO179" i="19" s="1"/>
  <c r="AN180" i="19"/>
  <c r="AO180" i="19" s="1"/>
  <c r="AN184" i="19"/>
  <c r="AO184" i="19" s="1"/>
  <c r="AN182" i="19"/>
  <c r="AO182" i="19" s="1"/>
  <c r="AN183" i="19"/>
  <c r="AO183" i="19" s="1"/>
  <c r="P188" i="19"/>
  <c r="Q188" i="19" s="1"/>
  <c r="P187" i="19"/>
  <c r="Q187" i="19" s="1"/>
  <c r="P186" i="19"/>
  <c r="Q186" i="19" s="1"/>
  <c r="P185" i="19"/>
  <c r="Q185" i="19" s="1"/>
  <c r="P178" i="19"/>
  <c r="P181" i="19"/>
  <c r="Q181" i="19" s="1"/>
  <c r="P179" i="19"/>
  <c r="Q179" i="19" s="1"/>
  <c r="P180" i="19"/>
  <c r="Q180" i="19" s="1"/>
  <c r="P184" i="19"/>
  <c r="Q184" i="19" s="1"/>
  <c r="P182" i="19"/>
  <c r="Q182" i="19" s="1"/>
  <c r="P183" i="19"/>
  <c r="Q183" i="19" s="1"/>
  <c r="D200" i="19"/>
  <c r="D201" i="19" s="1"/>
  <c r="D202" i="19" s="1"/>
  <c r="D203" i="19" s="1"/>
  <c r="D204" i="19" s="1"/>
  <c r="D205" i="19" s="1"/>
  <c r="D206" i="19" s="1"/>
  <c r="D207" i="19" s="1"/>
  <c r="D208" i="19" s="1"/>
  <c r="D209" i="19" s="1"/>
  <c r="D210" i="19" s="1"/>
  <c r="A77" i="23"/>
  <c r="A115" i="23"/>
  <c r="A153" i="23" s="1"/>
  <c r="A189" i="23" s="1"/>
  <c r="V180" i="17"/>
  <c r="W180" i="17" s="1"/>
  <c r="V188" i="17"/>
  <c r="W188" i="17" s="1"/>
  <c r="V187" i="17"/>
  <c r="W187" i="17" s="1"/>
  <c r="V186" i="17"/>
  <c r="W186" i="17" s="1"/>
  <c r="V185" i="17"/>
  <c r="W185" i="17" s="1"/>
  <c r="V178" i="17"/>
  <c r="V179" i="17"/>
  <c r="W179" i="17" s="1"/>
  <c r="V181" i="17"/>
  <c r="W181" i="17" s="1"/>
  <c r="V184" i="17"/>
  <c r="W184" i="17" s="1"/>
  <c r="V182" i="17"/>
  <c r="W182" i="17" s="1"/>
  <c r="V183" i="17"/>
  <c r="W183" i="17" s="1"/>
  <c r="AH178" i="18"/>
  <c r="AH188" i="18"/>
  <c r="AI188" i="18" s="1"/>
  <c r="AH187" i="18"/>
  <c r="AI187" i="18" s="1"/>
  <c r="AH186" i="18"/>
  <c r="AI186" i="18" s="1"/>
  <c r="AH185" i="18"/>
  <c r="AI185" i="18" s="1"/>
  <c r="AH179" i="18"/>
  <c r="AI179" i="18" s="1"/>
  <c r="AH181" i="18"/>
  <c r="AI181" i="18" s="1"/>
  <c r="AH180" i="18"/>
  <c r="AI180" i="18" s="1"/>
  <c r="AH184" i="18"/>
  <c r="AI184" i="18" s="1"/>
  <c r="AH182" i="18"/>
  <c r="AI182" i="18" s="1"/>
  <c r="AH183" i="18"/>
  <c r="AI183" i="18" s="1"/>
  <c r="AN188" i="18"/>
  <c r="AO188" i="18" s="1"/>
  <c r="AN187" i="18"/>
  <c r="AO187" i="18" s="1"/>
  <c r="AN186" i="18"/>
  <c r="AO186" i="18" s="1"/>
  <c r="AN185" i="18"/>
  <c r="AO185" i="18" s="1"/>
  <c r="AN178" i="18"/>
  <c r="AN180" i="18"/>
  <c r="AO180" i="18" s="1"/>
  <c r="AN181" i="18"/>
  <c r="AO181" i="18" s="1"/>
  <c r="AN179" i="18"/>
  <c r="AO179" i="18" s="1"/>
  <c r="AN184" i="18"/>
  <c r="AO184" i="18" s="1"/>
  <c r="AN182" i="18"/>
  <c r="AO182" i="18" s="1"/>
  <c r="AN183" i="18"/>
  <c r="AO183" i="18" s="1"/>
  <c r="C16" i="22"/>
  <c r="L76" i="22"/>
  <c r="C14" i="22"/>
  <c r="L74" i="22"/>
  <c r="J74" i="22"/>
  <c r="K74" i="22"/>
  <c r="L74" i="20"/>
  <c r="K74" i="20"/>
  <c r="J74" i="20"/>
  <c r="L97" i="20"/>
  <c r="L67" i="20"/>
  <c r="J67" i="20"/>
  <c r="K67" i="20"/>
  <c r="L72" i="20"/>
  <c r="J72" i="20"/>
  <c r="K72" i="20"/>
  <c r="L77" i="20"/>
  <c r="AN177" i="21"/>
  <c r="F204" i="21" s="1"/>
  <c r="AO178" i="21"/>
  <c r="AM188" i="21" s="1"/>
  <c r="G204" i="21" s="1"/>
  <c r="P181" i="20"/>
  <c r="Q181" i="20" s="1"/>
  <c r="P187" i="20"/>
  <c r="Q187" i="20" s="1"/>
  <c r="P184" i="20"/>
  <c r="Q184" i="20" s="1"/>
  <c r="P185" i="20"/>
  <c r="Q185" i="20" s="1"/>
  <c r="P188" i="20"/>
  <c r="Q188" i="20" s="1"/>
  <c r="P178" i="20"/>
  <c r="P186" i="20"/>
  <c r="Q186" i="20" s="1"/>
  <c r="P183" i="20"/>
  <c r="Q183" i="20" s="1"/>
  <c r="P180" i="20"/>
  <c r="Q180" i="20" s="1"/>
  <c r="P182" i="20"/>
  <c r="Q182" i="20" s="1"/>
  <c r="P179" i="20"/>
  <c r="Q179" i="20" s="1"/>
  <c r="AB187" i="20"/>
  <c r="AC187" i="20" s="1"/>
  <c r="AB180" i="20"/>
  <c r="AC180" i="20" s="1"/>
  <c r="AB185" i="20"/>
  <c r="AC185" i="20" s="1"/>
  <c r="AB182" i="20"/>
  <c r="AC182" i="20" s="1"/>
  <c r="AB184" i="20"/>
  <c r="AC184" i="20" s="1"/>
  <c r="AB183" i="20"/>
  <c r="AC183" i="20" s="1"/>
  <c r="AB178" i="20"/>
  <c r="AB186" i="20"/>
  <c r="AC186" i="20" s="1"/>
  <c r="AB181" i="20"/>
  <c r="AC181" i="20" s="1"/>
  <c r="AB179" i="20"/>
  <c r="AC179" i="20" s="1"/>
  <c r="AB188" i="20"/>
  <c r="AC188" i="20" s="1"/>
  <c r="AH178" i="20"/>
  <c r="AH188" i="20"/>
  <c r="AI188" i="20" s="1"/>
  <c r="AH187" i="20"/>
  <c r="AI187" i="20" s="1"/>
  <c r="AH186" i="20"/>
  <c r="AI186" i="20" s="1"/>
  <c r="AH185" i="20"/>
  <c r="AI185" i="20" s="1"/>
  <c r="AH179" i="20"/>
  <c r="AI179" i="20" s="1"/>
  <c r="AH181" i="20"/>
  <c r="AI181" i="20" s="1"/>
  <c r="AH182" i="20"/>
  <c r="AI182" i="20" s="1"/>
  <c r="AH184" i="20"/>
  <c r="AI184" i="20" s="1"/>
  <c r="AH183" i="20"/>
  <c r="AI183" i="20" s="1"/>
  <c r="AH180" i="20"/>
  <c r="AI180" i="20" s="1"/>
  <c r="V180" i="15"/>
  <c r="W180" i="15" s="1"/>
  <c r="V188" i="15"/>
  <c r="W188" i="15" s="1"/>
  <c r="V187" i="15"/>
  <c r="W187" i="15" s="1"/>
  <c r="V186" i="15"/>
  <c r="W186" i="15" s="1"/>
  <c r="V185" i="15"/>
  <c r="W185" i="15" s="1"/>
  <c r="V181" i="15"/>
  <c r="W181" i="15" s="1"/>
  <c r="V178" i="15"/>
  <c r="V179" i="15"/>
  <c r="W179" i="15" s="1"/>
  <c r="V184" i="15"/>
  <c r="W184" i="15" s="1"/>
  <c r="V182" i="15"/>
  <c r="W182" i="15" s="1"/>
  <c r="V183" i="15"/>
  <c r="W183" i="15" s="1"/>
  <c r="AT180" i="15"/>
  <c r="AU180" i="15" s="1"/>
  <c r="AT188" i="15"/>
  <c r="AU188" i="15" s="1"/>
  <c r="AT187" i="15"/>
  <c r="AU187" i="15" s="1"/>
  <c r="AT186" i="15"/>
  <c r="AU186" i="15" s="1"/>
  <c r="AT185" i="15"/>
  <c r="AU185" i="15" s="1"/>
  <c r="AT181" i="15"/>
  <c r="AU181" i="15" s="1"/>
  <c r="AT179" i="15"/>
  <c r="AU179" i="15" s="1"/>
  <c r="AT178" i="15"/>
  <c r="AT184" i="15"/>
  <c r="AU184" i="15" s="1"/>
  <c r="AT182" i="15"/>
  <c r="AU182" i="15" s="1"/>
  <c r="AT183" i="15"/>
  <c r="AU183" i="15" s="1"/>
  <c r="BF178" i="15"/>
  <c r="BF188" i="15"/>
  <c r="BG188" i="15" s="1"/>
  <c r="BF187" i="15"/>
  <c r="BG187" i="15" s="1"/>
  <c r="BF186" i="15"/>
  <c r="BG186" i="15" s="1"/>
  <c r="BF185" i="15"/>
  <c r="BG185" i="15" s="1"/>
  <c r="BF179" i="15"/>
  <c r="BG179" i="15" s="1"/>
  <c r="BF181" i="15"/>
  <c r="BG181" i="15" s="1"/>
  <c r="BF180" i="15"/>
  <c r="BG180" i="15" s="1"/>
  <c r="BF184" i="15"/>
  <c r="BG184" i="15" s="1"/>
  <c r="BF182" i="15"/>
  <c r="BG182" i="15" s="1"/>
  <c r="BF183" i="15"/>
  <c r="BG183" i="15" s="1"/>
  <c r="CB150" i="21"/>
  <c r="CC150" i="21" s="1"/>
  <c r="CB149" i="21"/>
  <c r="CC149" i="21" s="1"/>
  <c r="CB148" i="21"/>
  <c r="CC148" i="21" s="1"/>
  <c r="CB143" i="21"/>
  <c r="CC143" i="21" s="1"/>
  <c r="CB142" i="21"/>
  <c r="CB152" i="21"/>
  <c r="CC152" i="21" s="1"/>
  <c r="CB147" i="21"/>
  <c r="CC147" i="21" s="1"/>
  <c r="CB145" i="21"/>
  <c r="CC145" i="21" s="1"/>
  <c r="CB146" i="21"/>
  <c r="CC146" i="21" s="1"/>
  <c r="CB151" i="21"/>
  <c r="CC151" i="21" s="1"/>
  <c r="CB144" i="21"/>
  <c r="CC144" i="21" s="1"/>
  <c r="AL142" i="21"/>
  <c r="AL150" i="21"/>
  <c r="AM150" i="21" s="1"/>
  <c r="AL149" i="21"/>
  <c r="AM149" i="21" s="1"/>
  <c r="AL148" i="21"/>
  <c r="AM148" i="21" s="1"/>
  <c r="AL144" i="21"/>
  <c r="AM144" i="21" s="1"/>
  <c r="AL152" i="21"/>
  <c r="AM152" i="21" s="1"/>
  <c r="AL147" i="21"/>
  <c r="AM147" i="21" s="1"/>
  <c r="AL145" i="21"/>
  <c r="AM145" i="21" s="1"/>
  <c r="AL143" i="21"/>
  <c r="AM143" i="21" s="1"/>
  <c r="AL151" i="21"/>
  <c r="AM151" i="21" s="1"/>
  <c r="AL146" i="21"/>
  <c r="AM146" i="21" s="1"/>
  <c r="BG142" i="21"/>
  <c r="BG150" i="21"/>
  <c r="BH150" i="21" s="1"/>
  <c r="BG149" i="21"/>
  <c r="BH149" i="21" s="1"/>
  <c r="BG148" i="21"/>
  <c r="BH148" i="21" s="1"/>
  <c r="BG143" i="21"/>
  <c r="BH143" i="21" s="1"/>
  <c r="BG151" i="21"/>
  <c r="BH151" i="21" s="1"/>
  <c r="BG146" i="21"/>
  <c r="BH146" i="21" s="1"/>
  <c r="BG147" i="21"/>
  <c r="BH147" i="21" s="1"/>
  <c r="BG152" i="21"/>
  <c r="BH152" i="21" s="1"/>
  <c r="BG145" i="21"/>
  <c r="BH145" i="21" s="1"/>
  <c r="BG144" i="21"/>
  <c r="BH144" i="21" s="1"/>
  <c r="AH177" i="21"/>
  <c r="F203" i="21" s="1"/>
  <c r="AI178" i="21"/>
  <c r="AG188" i="21" s="1"/>
  <c r="G203" i="21" s="1"/>
  <c r="BF178" i="17"/>
  <c r="BF188" i="17"/>
  <c r="BG188" i="17" s="1"/>
  <c r="BF187" i="17"/>
  <c r="BG187" i="17" s="1"/>
  <c r="BF186" i="17"/>
  <c r="BG186" i="17" s="1"/>
  <c r="BF185" i="17"/>
  <c r="BG185" i="17" s="1"/>
  <c r="BF179" i="17"/>
  <c r="BG179" i="17" s="1"/>
  <c r="BF180" i="17"/>
  <c r="BG180" i="17" s="1"/>
  <c r="BF181" i="17"/>
  <c r="BG181" i="17" s="1"/>
  <c r="BF184" i="17"/>
  <c r="BG184" i="17" s="1"/>
  <c r="BF182" i="17"/>
  <c r="BG182" i="17" s="1"/>
  <c r="BF183" i="17"/>
  <c r="BG183" i="17" s="1"/>
  <c r="L67" i="19"/>
  <c r="C7" i="19"/>
  <c r="K67" i="19"/>
  <c r="J67" i="19"/>
  <c r="C35" i="19"/>
  <c r="L71" i="19"/>
  <c r="C11" i="19"/>
  <c r="J71" i="19"/>
  <c r="K71" i="19"/>
  <c r="L75" i="19"/>
  <c r="C15" i="19"/>
  <c r="J75" i="19"/>
  <c r="K75" i="19"/>
  <c r="AT180" i="23"/>
  <c r="AU180" i="23" s="1"/>
  <c r="AT185" i="23"/>
  <c r="AU185" i="23" s="1"/>
  <c r="AT186" i="23"/>
  <c r="AU186" i="23" s="1"/>
  <c r="AT187" i="23"/>
  <c r="AU187" i="23" s="1"/>
  <c r="AT178" i="23"/>
  <c r="AT183" i="23"/>
  <c r="AU183" i="23" s="1"/>
  <c r="AT188" i="23"/>
  <c r="AU188" i="23" s="1"/>
  <c r="AT179" i="23"/>
  <c r="AU179" i="23" s="1"/>
  <c r="AT181" i="23"/>
  <c r="AU181" i="23" s="1"/>
  <c r="AT182" i="23"/>
  <c r="AU182" i="23" s="1"/>
  <c r="AT184" i="23"/>
  <c r="AU184" i="23" s="1"/>
  <c r="AN178" i="20"/>
  <c r="AN188" i="20"/>
  <c r="AO188" i="20" s="1"/>
  <c r="AN186" i="20"/>
  <c r="AO186" i="20" s="1"/>
  <c r="AN183" i="20"/>
  <c r="AO183" i="20" s="1"/>
  <c r="AN181" i="20"/>
  <c r="AO181" i="20" s="1"/>
  <c r="AN182" i="20"/>
  <c r="AO182" i="20" s="1"/>
  <c r="AN187" i="20"/>
  <c r="AO187" i="20" s="1"/>
  <c r="AN180" i="20"/>
  <c r="AO180" i="20" s="1"/>
  <c r="AN185" i="20"/>
  <c r="AO185" i="20" s="1"/>
  <c r="AN179" i="20"/>
  <c r="AO179" i="20" s="1"/>
  <c r="AN184" i="20"/>
  <c r="AO184" i="20" s="1"/>
  <c r="B77" i="15"/>
  <c r="L72" i="15"/>
  <c r="C12" i="15"/>
  <c r="J72" i="15"/>
  <c r="K72" i="15"/>
  <c r="I77" i="15"/>
  <c r="I77" i="23"/>
  <c r="C16" i="23"/>
  <c r="L76" i="23"/>
  <c r="C14" i="23"/>
  <c r="L74" i="23"/>
  <c r="K74" i="23"/>
  <c r="J74" i="23"/>
  <c r="L97" i="17"/>
  <c r="C37" i="17"/>
  <c r="L71" i="17"/>
  <c r="C11" i="17"/>
  <c r="J71" i="17"/>
  <c r="K71" i="17"/>
  <c r="L75" i="17"/>
  <c r="C15" i="17"/>
  <c r="J75" i="17"/>
  <c r="K75" i="17"/>
  <c r="BF177" i="21"/>
  <c r="F207" i="21" s="1"/>
  <c r="BG178" i="21"/>
  <c r="BE188" i="21" s="1"/>
  <c r="G207" i="21" s="1"/>
  <c r="Q178" i="21"/>
  <c r="O188" i="21" s="1"/>
  <c r="G200" i="21" s="1"/>
  <c r="P177" i="21"/>
  <c r="O187" i="21" s="1"/>
  <c r="F200" i="21" s="1"/>
  <c r="CA146" i="22"/>
  <c r="BZ147" i="22" s="1"/>
  <c r="BS145" i="22"/>
  <c r="AK146" i="22"/>
  <c r="AJ147" i="22" s="1"/>
  <c r="CG145" i="22"/>
  <c r="W146" i="22"/>
  <c r="V147" i="22" s="1"/>
  <c r="CV146" i="22"/>
  <c r="CU147" i="22" s="1"/>
  <c r="AQ145" i="22"/>
  <c r="CH146" i="22"/>
  <c r="CG147" i="22" s="1"/>
  <c r="P146" i="22"/>
  <c r="O147" i="22" s="1"/>
  <c r="V145" i="22"/>
  <c r="O145" i="22"/>
  <c r="CU145" i="22"/>
  <c r="BM146" i="22"/>
  <c r="BL147" i="22" s="1"/>
  <c r="AY146" i="22"/>
  <c r="AX147" i="22" s="1"/>
  <c r="CN145" i="22"/>
  <c r="BZ145" i="22"/>
  <c r="BL145" i="22"/>
  <c r="AD146" i="22"/>
  <c r="AC147" i="22" s="1"/>
  <c r="CO146" i="22"/>
  <c r="CN147" i="22" s="1"/>
  <c r="BE145" i="22"/>
  <c r="AX145" i="22"/>
  <c r="BT146" i="22"/>
  <c r="BS147" i="22" s="1"/>
  <c r="AC145" i="22"/>
  <c r="AR146" i="22"/>
  <c r="AQ147" i="22" s="1"/>
  <c r="AJ145" i="22"/>
  <c r="BF146" i="22"/>
  <c r="BE147" i="22" s="1"/>
  <c r="L66" i="18"/>
  <c r="C6" i="18"/>
  <c r="J66" i="18"/>
  <c r="K66" i="18"/>
  <c r="L67" i="18"/>
  <c r="C7" i="18"/>
  <c r="J67" i="18"/>
  <c r="K67" i="18"/>
  <c r="L74" i="18"/>
  <c r="C14" i="18"/>
  <c r="K74" i="18"/>
  <c r="J74" i="18"/>
  <c r="C12" i="18"/>
  <c r="L72" i="18"/>
  <c r="J72" i="18"/>
  <c r="K72" i="18"/>
  <c r="C17" i="18"/>
  <c r="L77" i="18"/>
  <c r="AT180" i="19"/>
  <c r="AU180" i="19" s="1"/>
  <c r="AT188" i="19"/>
  <c r="AU188" i="19" s="1"/>
  <c r="AT187" i="19"/>
  <c r="AU187" i="19" s="1"/>
  <c r="AT186" i="19"/>
  <c r="AU186" i="19" s="1"/>
  <c r="AT185" i="19"/>
  <c r="AU185" i="19" s="1"/>
  <c r="AT178" i="19"/>
  <c r="AT181" i="19"/>
  <c r="AU181" i="19" s="1"/>
  <c r="AT179" i="19"/>
  <c r="AU179" i="19" s="1"/>
  <c r="AT182" i="19"/>
  <c r="AU182" i="19" s="1"/>
  <c r="AT183" i="19"/>
  <c r="AU183" i="19" s="1"/>
  <c r="AT184" i="19"/>
  <c r="AU184" i="19" s="1"/>
  <c r="AZ179" i="19"/>
  <c r="BA179" i="19" s="1"/>
  <c r="AZ188" i="19"/>
  <c r="BA188" i="19" s="1"/>
  <c r="AZ187" i="19"/>
  <c r="BA187" i="19" s="1"/>
  <c r="AZ186" i="19"/>
  <c r="BA186" i="19" s="1"/>
  <c r="AZ185" i="19"/>
  <c r="BA185" i="19" s="1"/>
  <c r="AZ180" i="19"/>
  <c r="BA180" i="19" s="1"/>
  <c r="AZ181" i="19"/>
  <c r="BA181" i="19" s="1"/>
  <c r="AZ178" i="19"/>
  <c r="AZ182" i="19"/>
  <c r="BA182" i="19" s="1"/>
  <c r="AZ184" i="19"/>
  <c r="BA184" i="19" s="1"/>
  <c r="AZ183" i="19"/>
  <c r="BA183" i="19" s="1"/>
  <c r="F71" i="21"/>
  <c r="C40" i="21" s="1"/>
  <c r="W146" i="23"/>
  <c r="V147" i="23" s="1"/>
  <c r="AC145" i="23"/>
  <c r="BZ145" i="23"/>
  <c r="CA146" i="23"/>
  <c r="BZ147" i="23" s="1"/>
  <c r="CV146" i="23"/>
  <c r="CU147" i="23" s="1"/>
  <c r="BL145" i="23"/>
  <c r="BF146" i="23"/>
  <c r="BE147" i="23" s="1"/>
  <c r="AD146" i="23"/>
  <c r="AC147" i="23" s="1"/>
  <c r="V145" i="23"/>
  <c r="CG145" i="23"/>
  <c r="CN145" i="23"/>
  <c r="AJ145" i="23"/>
  <c r="BE145" i="23"/>
  <c r="CH146" i="23"/>
  <c r="CG147" i="23" s="1"/>
  <c r="AY146" i="23"/>
  <c r="AX147" i="23" s="1"/>
  <c r="P146" i="23"/>
  <c r="O147" i="23" s="1"/>
  <c r="BT146" i="23"/>
  <c r="BS147" i="23" s="1"/>
  <c r="AX145" i="23"/>
  <c r="BS145" i="23"/>
  <c r="AQ145" i="23"/>
  <c r="O145" i="23"/>
  <c r="CO146" i="23"/>
  <c r="CN147" i="23" s="1"/>
  <c r="AK146" i="23"/>
  <c r="AJ147" i="23" s="1"/>
  <c r="BM146" i="23"/>
  <c r="BL147" i="23" s="1"/>
  <c r="AR146" i="23"/>
  <c r="AQ147" i="23" s="1"/>
  <c r="CU145" i="23"/>
  <c r="AN188" i="17"/>
  <c r="AO188" i="17" s="1"/>
  <c r="AN187" i="17"/>
  <c r="AO187" i="17" s="1"/>
  <c r="AN186" i="17"/>
  <c r="AO186" i="17" s="1"/>
  <c r="AN185" i="17"/>
  <c r="AO185" i="17" s="1"/>
  <c r="AN178" i="17"/>
  <c r="AN179" i="17"/>
  <c r="AO179" i="17" s="1"/>
  <c r="AN180" i="17"/>
  <c r="AO180" i="17" s="1"/>
  <c r="AN181" i="17"/>
  <c r="AO181" i="17" s="1"/>
  <c r="AN184" i="17"/>
  <c r="AO184" i="17" s="1"/>
  <c r="AN182" i="17"/>
  <c r="AO182" i="17" s="1"/>
  <c r="AN183" i="17"/>
  <c r="AO183" i="17" s="1"/>
  <c r="AT180" i="17"/>
  <c r="AU180" i="17" s="1"/>
  <c r="AT188" i="17"/>
  <c r="AU188" i="17" s="1"/>
  <c r="AT187" i="17"/>
  <c r="AU187" i="17" s="1"/>
  <c r="AT186" i="17"/>
  <c r="AU186" i="17" s="1"/>
  <c r="AT185" i="17"/>
  <c r="AU185" i="17" s="1"/>
  <c r="AT178" i="17"/>
  <c r="AT179" i="17"/>
  <c r="AU179" i="17" s="1"/>
  <c r="AT181" i="17"/>
  <c r="AU181" i="17" s="1"/>
  <c r="AT184" i="17"/>
  <c r="AU184" i="17" s="1"/>
  <c r="AT182" i="17"/>
  <c r="AU182" i="17" s="1"/>
  <c r="AT183" i="17"/>
  <c r="AU183" i="17" s="1"/>
  <c r="AB179" i="17"/>
  <c r="AC179" i="17" s="1"/>
  <c r="AB188" i="17"/>
  <c r="AC188" i="17" s="1"/>
  <c r="AB187" i="17"/>
  <c r="AC187" i="17" s="1"/>
  <c r="AB186" i="17"/>
  <c r="AC186" i="17" s="1"/>
  <c r="AB185" i="17"/>
  <c r="AC185" i="17" s="1"/>
  <c r="AB180" i="17"/>
  <c r="AC180" i="17" s="1"/>
  <c r="AB181" i="17"/>
  <c r="AC181" i="17" s="1"/>
  <c r="AB178" i="17"/>
  <c r="AB184" i="17"/>
  <c r="AC184" i="17" s="1"/>
  <c r="AB182" i="17"/>
  <c r="AC182" i="17" s="1"/>
  <c r="AB183" i="17"/>
  <c r="AC183" i="17" s="1"/>
  <c r="D200" i="17"/>
  <c r="D201" i="17" s="1"/>
  <c r="D202" i="17" s="1"/>
  <c r="D203" i="17" s="1"/>
  <c r="D204" i="17" s="1"/>
  <c r="D205" i="17" s="1"/>
  <c r="D206" i="17" s="1"/>
  <c r="D207" i="17" s="1"/>
  <c r="D208" i="17" s="1"/>
  <c r="D209" i="17" s="1"/>
  <c r="D210" i="17" s="1"/>
  <c r="AZ179" i="18"/>
  <c r="BA179" i="18" s="1"/>
  <c r="AZ188" i="18"/>
  <c r="BA188" i="18" s="1"/>
  <c r="AZ187" i="18"/>
  <c r="BA187" i="18" s="1"/>
  <c r="AZ186" i="18"/>
  <c r="BA186" i="18" s="1"/>
  <c r="AZ185" i="18"/>
  <c r="BA185" i="18" s="1"/>
  <c r="AZ180" i="18"/>
  <c r="BA180" i="18" s="1"/>
  <c r="AZ178" i="18"/>
  <c r="AZ181" i="18"/>
  <c r="BA181" i="18" s="1"/>
  <c r="AZ182" i="18"/>
  <c r="BA182" i="18" s="1"/>
  <c r="AZ183" i="18"/>
  <c r="BA183" i="18" s="1"/>
  <c r="AZ184" i="18"/>
  <c r="BA184" i="18" s="1"/>
  <c r="AT180" i="18"/>
  <c r="AU180" i="18" s="1"/>
  <c r="AT188" i="18"/>
  <c r="AU188" i="18" s="1"/>
  <c r="AT187" i="18"/>
  <c r="AU187" i="18" s="1"/>
  <c r="AT186" i="18"/>
  <c r="AU186" i="18" s="1"/>
  <c r="AT185" i="18"/>
  <c r="AU185" i="18" s="1"/>
  <c r="AT181" i="18"/>
  <c r="AU181" i="18" s="1"/>
  <c r="AT179" i="18"/>
  <c r="AU179" i="18" s="1"/>
  <c r="AT178" i="18"/>
  <c r="AT184" i="18"/>
  <c r="AU184" i="18" s="1"/>
  <c r="AT182" i="18"/>
  <c r="AU182" i="18" s="1"/>
  <c r="AT183" i="18"/>
  <c r="AU183" i="18" s="1"/>
  <c r="I77" i="22"/>
  <c r="L70" i="22"/>
  <c r="C10" i="22"/>
  <c r="K70" i="22"/>
  <c r="J70" i="22"/>
  <c r="L69" i="22"/>
  <c r="C9" i="22"/>
  <c r="J69" i="22"/>
  <c r="K69" i="22"/>
  <c r="C15" i="22"/>
  <c r="L75" i="22"/>
  <c r="J75" i="22"/>
  <c r="K75" i="22"/>
  <c r="I64" i="22"/>
  <c r="F70" i="22" s="1"/>
  <c r="C39" i="22" s="1"/>
  <c r="C5" i="22"/>
  <c r="K65" i="22"/>
  <c r="J65" i="22"/>
  <c r="C35" i="22"/>
  <c r="CU145" i="20"/>
  <c r="AK146" i="20"/>
  <c r="AJ147" i="20" s="1"/>
  <c r="AX145" i="20"/>
  <c r="CG145" i="20"/>
  <c r="O145" i="20"/>
  <c r="BZ145" i="20"/>
  <c r="BE145" i="20"/>
  <c r="AY146" i="20"/>
  <c r="AX147" i="20" s="1"/>
  <c r="BT146" i="20"/>
  <c r="BS147" i="20" s="1"/>
  <c r="CA146" i="20"/>
  <c r="BZ147" i="20" s="1"/>
  <c r="BS145" i="20"/>
  <c r="CH146" i="20"/>
  <c r="CG147" i="20" s="1"/>
  <c r="BM146" i="20"/>
  <c r="BL147" i="20" s="1"/>
  <c r="AR146" i="20"/>
  <c r="AQ147" i="20" s="1"/>
  <c r="BL145" i="20"/>
  <c r="CV146" i="20"/>
  <c r="CU147" i="20" s="1"/>
  <c r="V145" i="20"/>
  <c r="CO146" i="20"/>
  <c r="CN147" i="20" s="1"/>
  <c r="AC145" i="20"/>
  <c r="CN145" i="20"/>
  <c r="W146" i="20"/>
  <c r="V147" i="20" s="1"/>
  <c r="AQ145" i="20"/>
  <c r="P146" i="20"/>
  <c r="O147" i="20" s="1"/>
  <c r="BF146" i="20"/>
  <c r="BE147" i="20" s="1"/>
  <c r="AD146" i="20"/>
  <c r="AC147" i="20" s="1"/>
  <c r="AJ145" i="20"/>
  <c r="L69" i="20"/>
  <c r="J69" i="20"/>
  <c r="K69" i="20"/>
  <c r="L76" i="20"/>
  <c r="D154" i="18"/>
  <c r="C78" i="18"/>
  <c r="P183" i="18"/>
  <c r="Q183" i="18" s="1"/>
  <c r="P181" i="18"/>
  <c r="Q181" i="18" s="1"/>
  <c r="P186" i="18"/>
  <c r="Q186" i="18" s="1"/>
  <c r="AZ184" i="20"/>
  <c r="BA184" i="20" s="1"/>
  <c r="AZ182" i="20"/>
  <c r="BA182" i="20" s="1"/>
  <c r="AZ181" i="20"/>
  <c r="BA181" i="20" s="1"/>
  <c r="AZ180" i="20"/>
  <c r="BA180" i="20" s="1"/>
  <c r="AZ185" i="20"/>
  <c r="BA185" i="20" s="1"/>
  <c r="AZ187" i="20"/>
  <c r="BA187" i="20" s="1"/>
  <c r="AZ188" i="20"/>
  <c r="BA188" i="20" s="1"/>
  <c r="AZ186" i="20"/>
  <c r="BA186" i="20" s="1"/>
  <c r="AZ178" i="20"/>
  <c r="AZ183" i="20"/>
  <c r="BA183" i="20" s="1"/>
  <c r="AZ179" i="20"/>
  <c r="BA179" i="20" s="1"/>
  <c r="A77" i="21"/>
  <c r="A115" i="21"/>
  <c r="A153" i="21" s="1"/>
  <c r="A189" i="21" s="1"/>
  <c r="C182" i="22" l="1"/>
  <c r="C183" i="22"/>
  <c r="C184" i="22"/>
  <c r="C187" i="22"/>
  <c r="C186" i="22"/>
  <c r="C188" i="22"/>
  <c r="C179" i="22"/>
  <c r="F187" i="22" s="1"/>
  <c r="C181" i="22"/>
  <c r="L200" i="21"/>
  <c r="F186" i="22"/>
  <c r="F188" i="22" s="1"/>
  <c r="L204" i="21"/>
  <c r="L202" i="21"/>
  <c r="L201" i="21"/>
  <c r="L207" i="21"/>
  <c r="L205" i="21"/>
  <c r="L206" i="21"/>
  <c r="L203" i="21"/>
  <c r="G11" i="14"/>
  <c r="D11" i="14"/>
  <c r="K148" i="31"/>
  <c r="J148" i="31"/>
  <c r="I141" i="31"/>
  <c r="H153" i="31" s="1"/>
  <c r="E39" i="31" s="1"/>
  <c r="E11" i="31"/>
  <c r="K152" i="31"/>
  <c r="E15" i="31"/>
  <c r="J152" i="31"/>
  <c r="K151" i="31"/>
  <c r="J151" i="31"/>
  <c r="E14" i="31"/>
  <c r="F187" i="31"/>
  <c r="F186" i="31"/>
  <c r="F188" i="31" s="1"/>
  <c r="F11" i="14"/>
  <c r="E13" i="31"/>
  <c r="J150" i="31"/>
  <c r="K150" i="31"/>
  <c r="E11" i="14"/>
  <c r="K149" i="31"/>
  <c r="E12" i="31"/>
  <c r="J149" i="31"/>
  <c r="A78" i="20"/>
  <c r="A116" i="20"/>
  <c r="A154" i="20" s="1"/>
  <c r="A190" i="20" s="1"/>
  <c r="BE188" i="18"/>
  <c r="G207" i="18" s="1"/>
  <c r="BF177" i="18"/>
  <c r="F71" i="19"/>
  <c r="C40" i="19" s="1"/>
  <c r="Q151" i="20"/>
  <c r="R151" i="20" s="1"/>
  <c r="Q142" i="20"/>
  <c r="Q150" i="20"/>
  <c r="R150" i="20" s="1"/>
  <c r="Q149" i="20"/>
  <c r="R149" i="20" s="1"/>
  <c r="Q148" i="20"/>
  <c r="R148" i="20" s="1"/>
  <c r="Q147" i="20"/>
  <c r="R147" i="20" s="1"/>
  <c r="Q146" i="20"/>
  <c r="R146" i="20" s="1"/>
  <c r="Q145" i="20"/>
  <c r="R145" i="20" s="1"/>
  <c r="Q144" i="20"/>
  <c r="R144" i="20" s="1"/>
  <c r="Q143" i="20"/>
  <c r="R143" i="20" s="1"/>
  <c r="Q152" i="20"/>
  <c r="R152" i="20" s="1"/>
  <c r="BA178" i="19"/>
  <c r="AY188" i="19" s="1"/>
  <c r="G206" i="19" s="1"/>
  <c r="AZ177" i="19"/>
  <c r="F206" i="19" s="1"/>
  <c r="BU151" i="22"/>
  <c r="BV151" i="22" s="1"/>
  <c r="BU150" i="22"/>
  <c r="BV150" i="22" s="1"/>
  <c r="BU149" i="22"/>
  <c r="BV149" i="22" s="1"/>
  <c r="BU148" i="22"/>
  <c r="BV148" i="22" s="1"/>
  <c r="BU146" i="22"/>
  <c r="BV146" i="22" s="1"/>
  <c r="BU144" i="22"/>
  <c r="BV144" i="22" s="1"/>
  <c r="BU142" i="22"/>
  <c r="BU147" i="22"/>
  <c r="BV147" i="22" s="1"/>
  <c r="BU143" i="22"/>
  <c r="BV143" i="22" s="1"/>
  <c r="BU152" i="22"/>
  <c r="BV152" i="22" s="1"/>
  <c r="BU145" i="22"/>
  <c r="BV145" i="22" s="1"/>
  <c r="BE187" i="21"/>
  <c r="AG187" i="21"/>
  <c r="AU178" i="15"/>
  <c r="AS188" i="15" s="1"/>
  <c r="G205" i="15" s="1"/>
  <c r="AT177" i="15"/>
  <c r="F205" i="15" s="1"/>
  <c r="V177" i="15"/>
  <c r="F201" i="15" s="1"/>
  <c r="W178" i="15"/>
  <c r="U188" i="15" s="1"/>
  <c r="G201" i="15" s="1"/>
  <c r="W178" i="17"/>
  <c r="U188" i="17" s="1"/>
  <c r="G201" i="17" s="1"/>
  <c r="V177" i="17"/>
  <c r="F201" i="17" s="1"/>
  <c r="P177" i="19"/>
  <c r="O187" i="19" s="1"/>
  <c r="F200" i="19" s="1"/>
  <c r="Q178" i="19"/>
  <c r="O188" i="19" s="1"/>
  <c r="G200" i="19" s="1"/>
  <c r="A118" i="15"/>
  <c r="A156" i="15" s="1"/>
  <c r="A192" i="15" s="1"/>
  <c r="A80" i="15"/>
  <c r="A117" i="17"/>
  <c r="A155" i="17" s="1"/>
  <c r="A191" i="17" s="1"/>
  <c r="A79" i="17"/>
  <c r="W178" i="19"/>
  <c r="U188" i="19" s="1"/>
  <c r="G201" i="19" s="1"/>
  <c r="V177" i="19"/>
  <c r="F201" i="19" s="1"/>
  <c r="BN150" i="18"/>
  <c r="BO150" i="18" s="1"/>
  <c r="BN149" i="18"/>
  <c r="BO149" i="18" s="1"/>
  <c r="BN148" i="18"/>
  <c r="BO148" i="18" s="1"/>
  <c r="BN143" i="18"/>
  <c r="BO143" i="18" s="1"/>
  <c r="BN152" i="18"/>
  <c r="BO152" i="18" s="1"/>
  <c r="BN151" i="18"/>
  <c r="BO151" i="18" s="1"/>
  <c r="BN147" i="18"/>
  <c r="BO147" i="18" s="1"/>
  <c r="BN146" i="18"/>
  <c r="BO146" i="18" s="1"/>
  <c r="BN145" i="18"/>
  <c r="BO145" i="18" s="1"/>
  <c r="BN144" i="18"/>
  <c r="BO144" i="18" s="1"/>
  <c r="BN142" i="18"/>
  <c r="AL150" i="18"/>
  <c r="AM150" i="18" s="1"/>
  <c r="AL149" i="18"/>
  <c r="AM149" i="18" s="1"/>
  <c r="AL148" i="18"/>
  <c r="AM148" i="18" s="1"/>
  <c r="AL143" i="18"/>
  <c r="AM143" i="18" s="1"/>
  <c r="AL152" i="18"/>
  <c r="AM152" i="18" s="1"/>
  <c r="AL151" i="18"/>
  <c r="AM151" i="18" s="1"/>
  <c r="AL147" i="18"/>
  <c r="AM147" i="18" s="1"/>
  <c r="AL146" i="18"/>
  <c r="AM146" i="18" s="1"/>
  <c r="AL145" i="18"/>
  <c r="AM145" i="18" s="1"/>
  <c r="AL144" i="18"/>
  <c r="AM144" i="18" s="1"/>
  <c r="AL142" i="18"/>
  <c r="X152" i="18"/>
  <c r="Y152" i="18" s="1"/>
  <c r="X151" i="18"/>
  <c r="Y151" i="18" s="1"/>
  <c r="X147" i="18"/>
  <c r="Y147" i="18" s="1"/>
  <c r="X146" i="18"/>
  <c r="Y146" i="18" s="1"/>
  <c r="X145" i="18"/>
  <c r="Y145" i="18" s="1"/>
  <c r="X144" i="18"/>
  <c r="Y144" i="18" s="1"/>
  <c r="X142" i="18"/>
  <c r="X150" i="18"/>
  <c r="Y150" i="18" s="1"/>
  <c r="X148" i="18"/>
  <c r="Y148" i="18" s="1"/>
  <c r="X149" i="18"/>
  <c r="Y149" i="18" s="1"/>
  <c r="X143" i="18"/>
  <c r="Y143" i="18" s="1"/>
  <c r="CW142" i="17"/>
  <c r="CW152" i="17"/>
  <c r="CX152" i="17" s="1"/>
  <c r="CW151" i="17"/>
  <c r="CX151" i="17" s="1"/>
  <c r="CW150" i="17"/>
  <c r="CX150" i="17" s="1"/>
  <c r="CW149" i="17"/>
  <c r="CX149" i="17" s="1"/>
  <c r="CW148" i="17"/>
  <c r="CX148" i="17" s="1"/>
  <c r="CW147" i="17"/>
  <c r="CX147" i="17" s="1"/>
  <c r="CW146" i="17"/>
  <c r="CX146" i="17" s="1"/>
  <c r="CW145" i="17"/>
  <c r="CX145" i="17" s="1"/>
  <c r="CW144" i="17"/>
  <c r="CX144" i="17" s="1"/>
  <c r="CW143" i="17"/>
  <c r="CX143" i="17" s="1"/>
  <c r="AE152" i="15"/>
  <c r="AF152" i="15" s="1"/>
  <c r="AE151" i="15"/>
  <c r="AF151" i="15" s="1"/>
  <c r="AE147" i="15"/>
  <c r="AF147" i="15" s="1"/>
  <c r="AE146" i="15"/>
  <c r="AF146" i="15" s="1"/>
  <c r="AE145" i="15"/>
  <c r="AF145" i="15" s="1"/>
  <c r="AE144" i="15"/>
  <c r="AF144" i="15" s="1"/>
  <c r="AE150" i="15"/>
  <c r="AF150" i="15" s="1"/>
  <c r="AE149" i="15"/>
  <c r="AF149" i="15" s="1"/>
  <c r="AE148" i="15"/>
  <c r="AF148" i="15" s="1"/>
  <c r="AE143" i="15"/>
  <c r="AF143" i="15" s="1"/>
  <c r="AE142" i="15"/>
  <c r="BA178" i="23"/>
  <c r="AY188" i="23" s="1"/>
  <c r="G206" i="23" s="1"/>
  <c r="AZ177" i="23"/>
  <c r="F206" i="23" s="1"/>
  <c r="BA178" i="15"/>
  <c r="AY188" i="15" s="1"/>
  <c r="G206" i="15" s="1"/>
  <c r="AZ177" i="15"/>
  <c r="F206" i="15" s="1"/>
  <c r="A117" i="18"/>
  <c r="A155" i="18" s="1"/>
  <c r="A191" i="18" s="1"/>
  <c r="A79" i="18"/>
  <c r="AS142" i="19"/>
  <c r="AS152" i="19"/>
  <c r="AT152" i="19" s="1"/>
  <c r="AS151" i="19"/>
  <c r="AT151" i="19" s="1"/>
  <c r="AS150" i="19"/>
  <c r="AT150" i="19" s="1"/>
  <c r="AS149" i="19"/>
  <c r="AT149" i="19" s="1"/>
  <c r="AS148" i="19"/>
  <c r="AT148" i="19" s="1"/>
  <c r="AS147" i="19"/>
  <c r="AT147" i="19" s="1"/>
  <c r="AS146" i="19"/>
  <c r="AT146" i="19" s="1"/>
  <c r="AS145" i="19"/>
  <c r="AT145" i="19" s="1"/>
  <c r="AS144" i="19"/>
  <c r="AT144" i="19" s="1"/>
  <c r="AS143" i="19"/>
  <c r="AT143" i="19" s="1"/>
  <c r="CW142" i="19"/>
  <c r="CW152" i="19"/>
  <c r="CX152" i="19" s="1"/>
  <c r="CW151" i="19"/>
  <c r="CX151" i="19" s="1"/>
  <c r="CW150" i="19"/>
  <c r="CX150" i="19" s="1"/>
  <c r="CW149" i="19"/>
  <c r="CX149" i="19" s="1"/>
  <c r="CW148" i="19"/>
  <c r="CX148" i="19" s="1"/>
  <c r="CW147" i="19"/>
  <c r="CX147" i="19" s="1"/>
  <c r="CW146" i="19"/>
  <c r="CX146" i="19" s="1"/>
  <c r="CW145" i="19"/>
  <c r="CX145" i="19" s="1"/>
  <c r="CW144" i="19"/>
  <c r="CX144" i="19" s="1"/>
  <c r="CW143" i="19"/>
  <c r="CX143" i="19" s="1"/>
  <c r="A116" i="21"/>
  <c r="A154" i="21" s="1"/>
  <c r="A190" i="21" s="1"/>
  <c r="A78" i="21"/>
  <c r="D155" i="18"/>
  <c r="C79" i="18"/>
  <c r="B78" i="18"/>
  <c r="I78" i="18"/>
  <c r="AE152" i="20"/>
  <c r="AF152" i="20" s="1"/>
  <c r="AE147" i="20"/>
  <c r="AF147" i="20" s="1"/>
  <c r="AE146" i="20"/>
  <c r="AF146" i="20" s="1"/>
  <c r="AE145" i="20"/>
  <c r="AF145" i="20" s="1"/>
  <c r="AE144" i="20"/>
  <c r="AF144" i="20" s="1"/>
  <c r="AE150" i="20"/>
  <c r="AF150" i="20" s="1"/>
  <c r="AE149" i="20"/>
  <c r="AF149" i="20" s="1"/>
  <c r="AE148" i="20"/>
  <c r="AF148" i="20" s="1"/>
  <c r="AE143" i="20"/>
  <c r="AF143" i="20" s="1"/>
  <c r="AE151" i="20"/>
  <c r="AF151" i="20" s="1"/>
  <c r="AE142" i="20"/>
  <c r="CP149" i="20"/>
  <c r="CQ149" i="20" s="1"/>
  <c r="CP148" i="20"/>
  <c r="CQ148" i="20" s="1"/>
  <c r="CP143" i="20"/>
  <c r="CQ143" i="20" s="1"/>
  <c r="CP147" i="20"/>
  <c r="CQ147" i="20" s="1"/>
  <c r="CP146" i="20"/>
  <c r="CQ146" i="20" s="1"/>
  <c r="CP145" i="20"/>
  <c r="CQ145" i="20" s="1"/>
  <c r="CP144" i="20"/>
  <c r="CQ144" i="20" s="1"/>
  <c r="CP151" i="20"/>
  <c r="CQ151" i="20" s="1"/>
  <c r="CP150" i="20"/>
  <c r="CQ150" i="20" s="1"/>
  <c r="CP142" i="20"/>
  <c r="CP152" i="20"/>
  <c r="CQ152" i="20" s="1"/>
  <c r="CB150" i="20"/>
  <c r="CC150" i="20" s="1"/>
  <c r="CB152" i="20"/>
  <c r="CC152" i="20" s="1"/>
  <c r="CB151" i="20"/>
  <c r="CC151" i="20" s="1"/>
  <c r="CB147" i="20"/>
  <c r="CC147" i="20" s="1"/>
  <c r="CB146" i="20"/>
  <c r="CC146" i="20" s="1"/>
  <c r="CB145" i="20"/>
  <c r="CC145" i="20" s="1"/>
  <c r="CB144" i="20"/>
  <c r="CC144" i="20" s="1"/>
  <c r="CB142" i="20"/>
  <c r="CB149" i="20"/>
  <c r="CC149" i="20" s="1"/>
  <c r="CB148" i="20"/>
  <c r="CC148" i="20" s="1"/>
  <c r="CB143" i="20"/>
  <c r="CC143" i="20" s="1"/>
  <c r="AU178" i="17"/>
  <c r="AS188" i="17" s="1"/>
  <c r="G205" i="17" s="1"/>
  <c r="AT177" i="17"/>
  <c r="F205" i="17" s="1"/>
  <c r="AN177" i="17"/>
  <c r="F204" i="17" s="1"/>
  <c r="AO178" i="17"/>
  <c r="AM188" i="17" s="1"/>
  <c r="G204" i="17" s="1"/>
  <c r="AS143" i="22"/>
  <c r="AT143" i="22" s="1"/>
  <c r="AS151" i="22"/>
  <c r="AT151" i="22" s="1"/>
  <c r="AS146" i="22"/>
  <c r="AT146" i="22" s="1"/>
  <c r="AS144" i="22"/>
  <c r="AT144" i="22" s="1"/>
  <c r="AS147" i="22"/>
  <c r="AT147" i="22" s="1"/>
  <c r="AS149" i="22"/>
  <c r="AT149" i="22" s="1"/>
  <c r="AS150" i="22"/>
  <c r="AT150" i="22" s="1"/>
  <c r="AS142" i="22"/>
  <c r="AS152" i="22"/>
  <c r="AT152" i="22" s="1"/>
  <c r="AS145" i="22"/>
  <c r="AT145" i="22" s="1"/>
  <c r="AS148" i="22"/>
  <c r="AT148" i="22" s="1"/>
  <c r="AU178" i="23"/>
  <c r="AS188" i="23" s="1"/>
  <c r="G205" i="23" s="1"/>
  <c r="AT177" i="23"/>
  <c r="F205" i="23" s="1"/>
  <c r="F71" i="18"/>
  <c r="C40" i="18" s="1"/>
  <c r="AO178" i="23"/>
  <c r="AM188" i="23" s="1"/>
  <c r="G204" i="23" s="1"/>
  <c r="AN177" i="23"/>
  <c r="F204" i="23" s="1"/>
  <c r="BO142" i="21"/>
  <c r="BL152" i="21" s="1"/>
  <c r="H166" i="21" s="1"/>
  <c r="BM141" i="21"/>
  <c r="BL151" i="21" s="1"/>
  <c r="G166" i="21" s="1"/>
  <c r="BG152" i="18"/>
  <c r="BH152" i="18" s="1"/>
  <c r="BG151" i="18"/>
  <c r="BH151" i="18" s="1"/>
  <c r="BG147" i="18"/>
  <c r="BH147" i="18" s="1"/>
  <c r="BG146" i="18"/>
  <c r="BH146" i="18" s="1"/>
  <c r="BG145" i="18"/>
  <c r="BH145" i="18" s="1"/>
  <c r="BG144" i="18"/>
  <c r="BH144" i="18" s="1"/>
  <c r="BG150" i="18"/>
  <c r="BH150" i="18" s="1"/>
  <c r="BG149" i="18"/>
  <c r="BH149" i="18" s="1"/>
  <c r="BG148" i="18"/>
  <c r="BH148" i="18" s="1"/>
  <c r="BG143" i="18"/>
  <c r="BH143" i="18" s="1"/>
  <c r="BG142" i="18"/>
  <c r="CI152" i="17"/>
  <c r="CJ152" i="17" s="1"/>
  <c r="CI151" i="17"/>
  <c r="CJ151" i="17" s="1"/>
  <c r="CI147" i="17"/>
  <c r="CJ147" i="17" s="1"/>
  <c r="CI146" i="17"/>
  <c r="CJ146" i="17" s="1"/>
  <c r="CI145" i="17"/>
  <c r="CJ145" i="17" s="1"/>
  <c r="CI144" i="17"/>
  <c r="CJ144" i="17" s="1"/>
  <c r="CI142" i="17"/>
  <c r="CI150" i="17"/>
  <c r="CJ150" i="17" s="1"/>
  <c r="CI148" i="17"/>
  <c r="CJ148" i="17" s="1"/>
  <c r="CI149" i="17"/>
  <c r="CJ149" i="17" s="1"/>
  <c r="CI143" i="17"/>
  <c r="CJ143" i="17" s="1"/>
  <c r="CP150" i="17"/>
  <c r="CQ150" i="17" s="1"/>
  <c r="CP149" i="17"/>
  <c r="CQ149" i="17" s="1"/>
  <c r="CP148" i="17"/>
  <c r="CQ148" i="17" s="1"/>
  <c r="CP143" i="17"/>
  <c r="CQ143" i="17" s="1"/>
  <c r="CP152" i="17"/>
  <c r="CQ152" i="17" s="1"/>
  <c r="CP151" i="17"/>
  <c r="CQ151" i="17" s="1"/>
  <c r="CP147" i="17"/>
  <c r="CQ147" i="17" s="1"/>
  <c r="CP146" i="17"/>
  <c r="CQ146" i="17" s="1"/>
  <c r="CP145" i="17"/>
  <c r="CQ145" i="17" s="1"/>
  <c r="CP144" i="17"/>
  <c r="CQ144" i="17" s="1"/>
  <c r="CP142" i="17"/>
  <c r="AL150" i="15"/>
  <c r="AM150" i="15" s="1"/>
  <c r="AL149" i="15"/>
  <c r="AM149" i="15" s="1"/>
  <c r="AL148" i="15"/>
  <c r="AM148" i="15" s="1"/>
  <c r="AL143" i="15"/>
  <c r="AM143" i="15" s="1"/>
  <c r="AL152" i="15"/>
  <c r="AM152" i="15" s="1"/>
  <c r="AL151" i="15"/>
  <c r="AM151" i="15" s="1"/>
  <c r="AL147" i="15"/>
  <c r="AM147" i="15" s="1"/>
  <c r="AL146" i="15"/>
  <c r="AM146" i="15" s="1"/>
  <c r="AL145" i="15"/>
  <c r="AM145" i="15" s="1"/>
  <c r="AL144" i="15"/>
  <c r="AM144" i="15" s="1"/>
  <c r="AL142" i="15"/>
  <c r="AS142" i="15"/>
  <c r="AS152" i="15"/>
  <c r="AT152" i="15" s="1"/>
  <c r="AS151" i="15"/>
  <c r="AT151" i="15" s="1"/>
  <c r="AS150" i="15"/>
  <c r="AT150" i="15" s="1"/>
  <c r="AS149" i="15"/>
  <c r="AT149" i="15" s="1"/>
  <c r="AS148" i="15"/>
  <c r="AT148" i="15" s="1"/>
  <c r="AS147" i="15"/>
  <c r="AT147" i="15" s="1"/>
  <c r="AS146" i="15"/>
  <c r="AT146" i="15" s="1"/>
  <c r="AS145" i="15"/>
  <c r="AT145" i="15" s="1"/>
  <c r="AS144" i="15"/>
  <c r="AT144" i="15" s="1"/>
  <c r="AS143" i="15"/>
  <c r="AT143" i="15" s="1"/>
  <c r="X152" i="15"/>
  <c r="Y152" i="15" s="1"/>
  <c r="X151" i="15"/>
  <c r="Y151" i="15" s="1"/>
  <c r="X147" i="15"/>
  <c r="Y147" i="15" s="1"/>
  <c r="X146" i="15"/>
  <c r="Y146" i="15" s="1"/>
  <c r="X145" i="15"/>
  <c r="Y145" i="15" s="1"/>
  <c r="X144" i="15"/>
  <c r="Y144" i="15" s="1"/>
  <c r="X142" i="15"/>
  <c r="X150" i="15"/>
  <c r="Y150" i="15" s="1"/>
  <c r="X149" i="15"/>
  <c r="Y149" i="15" s="1"/>
  <c r="X148" i="15"/>
  <c r="Y148" i="15" s="1"/>
  <c r="X143" i="15"/>
  <c r="Y143" i="15" s="1"/>
  <c r="F71" i="20"/>
  <c r="C40" i="20" s="1"/>
  <c r="AH177" i="17"/>
  <c r="F203" i="17" s="1"/>
  <c r="AI178" i="17"/>
  <c r="AG188" i="17" s="1"/>
  <c r="G203" i="17" s="1"/>
  <c r="AL150" i="19"/>
  <c r="AM150" i="19" s="1"/>
  <c r="AL149" i="19"/>
  <c r="AM149" i="19" s="1"/>
  <c r="AL148" i="19"/>
  <c r="AM148" i="19" s="1"/>
  <c r="AL143" i="19"/>
  <c r="AM143" i="19" s="1"/>
  <c r="AL152" i="19"/>
  <c r="AM152" i="19" s="1"/>
  <c r="AL151" i="19"/>
  <c r="AM151" i="19" s="1"/>
  <c r="AL147" i="19"/>
  <c r="AM147" i="19" s="1"/>
  <c r="AL146" i="19"/>
  <c r="AM146" i="19" s="1"/>
  <c r="AL145" i="19"/>
  <c r="AM145" i="19" s="1"/>
  <c r="AL144" i="19"/>
  <c r="AM144" i="19" s="1"/>
  <c r="AL142" i="19"/>
  <c r="BU142" i="19"/>
  <c r="BU152" i="19"/>
  <c r="BV152" i="19" s="1"/>
  <c r="BU151" i="19"/>
  <c r="BV151" i="19" s="1"/>
  <c r="BU150" i="19"/>
  <c r="BV150" i="19" s="1"/>
  <c r="BU149" i="19"/>
  <c r="BV149" i="19" s="1"/>
  <c r="BU148" i="19"/>
  <c r="BV148" i="19" s="1"/>
  <c r="BU147" i="19"/>
  <c r="BV147" i="19" s="1"/>
  <c r="BU146" i="19"/>
  <c r="BV146" i="19" s="1"/>
  <c r="BU145" i="19"/>
  <c r="BV145" i="19" s="1"/>
  <c r="BU144" i="19"/>
  <c r="BV144" i="19" s="1"/>
  <c r="BU143" i="19"/>
  <c r="BV143" i="19" s="1"/>
  <c r="CI152" i="19"/>
  <c r="CJ152" i="19" s="1"/>
  <c r="CI151" i="19"/>
  <c r="CJ151" i="19" s="1"/>
  <c r="CI147" i="19"/>
  <c r="CJ147" i="19" s="1"/>
  <c r="CI146" i="19"/>
  <c r="CJ146" i="19" s="1"/>
  <c r="CI145" i="19"/>
  <c r="CJ145" i="19" s="1"/>
  <c r="CI144" i="19"/>
  <c r="CJ144" i="19" s="1"/>
  <c r="CI142" i="19"/>
  <c r="CI150" i="19"/>
  <c r="CJ150" i="19" s="1"/>
  <c r="CI149" i="19"/>
  <c r="CJ149" i="19" s="1"/>
  <c r="CI148" i="19"/>
  <c r="CJ148" i="19" s="1"/>
  <c r="CI143" i="19"/>
  <c r="CJ143" i="19" s="1"/>
  <c r="F71" i="23"/>
  <c r="C40" i="23" s="1"/>
  <c r="BG152" i="20"/>
  <c r="BH152" i="20" s="1"/>
  <c r="BG147" i="20"/>
  <c r="BH147" i="20" s="1"/>
  <c r="BG146" i="20"/>
  <c r="BH146" i="20" s="1"/>
  <c r="BG145" i="20"/>
  <c r="BH145" i="20" s="1"/>
  <c r="BG144" i="20"/>
  <c r="BH144" i="20" s="1"/>
  <c r="BG149" i="20"/>
  <c r="BH149" i="20" s="1"/>
  <c r="BG148" i="20"/>
  <c r="BH148" i="20" s="1"/>
  <c r="BG143" i="20"/>
  <c r="BH143" i="20" s="1"/>
  <c r="BG142" i="20"/>
  <c r="BG150" i="20"/>
  <c r="BH150" i="20" s="1"/>
  <c r="BG151" i="20"/>
  <c r="BH151" i="20" s="1"/>
  <c r="CW151" i="20"/>
  <c r="CX151" i="20" s="1"/>
  <c r="CW142" i="20"/>
  <c r="CW150" i="20"/>
  <c r="CX150" i="20" s="1"/>
  <c r="CW149" i="20"/>
  <c r="CX149" i="20" s="1"/>
  <c r="CW148" i="20"/>
  <c r="CX148" i="20" s="1"/>
  <c r="CW147" i="20"/>
  <c r="CX147" i="20" s="1"/>
  <c r="CW146" i="20"/>
  <c r="CX146" i="20" s="1"/>
  <c r="CW145" i="20"/>
  <c r="CX145" i="20" s="1"/>
  <c r="CW144" i="20"/>
  <c r="CX144" i="20" s="1"/>
  <c r="CW143" i="20"/>
  <c r="CX143" i="20" s="1"/>
  <c r="CW152" i="20"/>
  <c r="CX152" i="20" s="1"/>
  <c r="CI152" i="20"/>
  <c r="CJ152" i="20" s="1"/>
  <c r="CI150" i="20"/>
  <c r="CJ150" i="20" s="1"/>
  <c r="CI147" i="20"/>
  <c r="CJ147" i="20" s="1"/>
  <c r="CI146" i="20"/>
  <c r="CJ146" i="20" s="1"/>
  <c r="CI145" i="20"/>
  <c r="CJ145" i="20" s="1"/>
  <c r="CI144" i="20"/>
  <c r="CJ144" i="20" s="1"/>
  <c r="CI149" i="20"/>
  <c r="CJ149" i="20" s="1"/>
  <c r="CI148" i="20"/>
  <c r="CJ148" i="20" s="1"/>
  <c r="CI143" i="20"/>
  <c r="CJ143" i="20" s="1"/>
  <c r="CI151" i="20"/>
  <c r="CJ151" i="20" s="1"/>
  <c r="CI142" i="20"/>
  <c r="AZ150" i="20"/>
  <c r="BA150" i="20" s="1"/>
  <c r="AZ152" i="20"/>
  <c r="BA152" i="20" s="1"/>
  <c r="AZ151" i="20"/>
  <c r="BA151" i="20" s="1"/>
  <c r="AZ147" i="20"/>
  <c r="BA147" i="20" s="1"/>
  <c r="AZ146" i="20"/>
  <c r="BA146" i="20" s="1"/>
  <c r="AZ145" i="20"/>
  <c r="BA145" i="20" s="1"/>
  <c r="AZ144" i="20"/>
  <c r="BA144" i="20" s="1"/>
  <c r="AZ142" i="20"/>
  <c r="AZ148" i="20"/>
  <c r="BA148" i="20" s="1"/>
  <c r="AZ149" i="20"/>
  <c r="BA149" i="20" s="1"/>
  <c r="AZ143" i="20"/>
  <c r="BA143" i="20" s="1"/>
  <c r="F71" i="22"/>
  <c r="C40" i="22" s="1"/>
  <c r="AL142" i="23"/>
  <c r="AL150" i="23"/>
  <c r="AM150" i="23" s="1"/>
  <c r="AL149" i="23"/>
  <c r="AM149" i="23" s="1"/>
  <c r="AL148" i="23"/>
  <c r="AM148" i="23" s="1"/>
  <c r="AL144" i="23"/>
  <c r="AM144" i="23" s="1"/>
  <c r="AL152" i="23"/>
  <c r="AM152" i="23" s="1"/>
  <c r="AL147" i="23"/>
  <c r="AM147" i="23" s="1"/>
  <c r="AL145" i="23"/>
  <c r="AM145" i="23" s="1"/>
  <c r="AL143" i="23"/>
  <c r="AM143" i="23" s="1"/>
  <c r="AL146" i="23"/>
  <c r="AM146" i="23" s="1"/>
  <c r="AL151" i="23"/>
  <c r="AM151" i="23" s="1"/>
  <c r="AZ150" i="23"/>
  <c r="BA150" i="23" s="1"/>
  <c r="AZ149" i="23"/>
  <c r="BA149" i="23" s="1"/>
  <c r="AZ148" i="23"/>
  <c r="BA148" i="23" s="1"/>
  <c r="AZ143" i="23"/>
  <c r="BA143" i="23" s="1"/>
  <c r="AZ152" i="23"/>
  <c r="BA152" i="23" s="1"/>
  <c r="AZ147" i="23"/>
  <c r="BA147" i="23" s="1"/>
  <c r="AZ145" i="23"/>
  <c r="BA145" i="23" s="1"/>
  <c r="AZ151" i="23"/>
  <c r="BA151" i="23" s="1"/>
  <c r="AZ142" i="23"/>
  <c r="AZ144" i="23"/>
  <c r="BA144" i="23" s="1"/>
  <c r="AZ146" i="23"/>
  <c r="BA146" i="23" s="1"/>
  <c r="AE142" i="23"/>
  <c r="AE150" i="23"/>
  <c r="AF150" i="23" s="1"/>
  <c r="AE149" i="23"/>
  <c r="AF149" i="23" s="1"/>
  <c r="AE148" i="23"/>
  <c r="AF148" i="23" s="1"/>
  <c r="AE143" i="23"/>
  <c r="AF143" i="23" s="1"/>
  <c r="AE151" i="23"/>
  <c r="AF151" i="23" s="1"/>
  <c r="AE146" i="23"/>
  <c r="AF146" i="23" s="1"/>
  <c r="AE152" i="23"/>
  <c r="AF152" i="23" s="1"/>
  <c r="AE145" i="23"/>
  <c r="AF145" i="23" s="1"/>
  <c r="AE144" i="23"/>
  <c r="AF144" i="23" s="1"/>
  <c r="AE147" i="23"/>
  <c r="AF147" i="23" s="1"/>
  <c r="CB150" i="23"/>
  <c r="CC150" i="23" s="1"/>
  <c r="CB149" i="23"/>
  <c r="CC149" i="23" s="1"/>
  <c r="CB148" i="23"/>
  <c r="CC148" i="23" s="1"/>
  <c r="CB143" i="23"/>
  <c r="CC143" i="23" s="1"/>
  <c r="CB142" i="23"/>
  <c r="CB152" i="23"/>
  <c r="CC152" i="23" s="1"/>
  <c r="CB147" i="23"/>
  <c r="CC147" i="23" s="1"/>
  <c r="CB145" i="23"/>
  <c r="CC145" i="23" s="1"/>
  <c r="CB151" i="23"/>
  <c r="CC151" i="23" s="1"/>
  <c r="CB144" i="23"/>
  <c r="CC144" i="23" s="1"/>
  <c r="CB146" i="23"/>
  <c r="CC146" i="23" s="1"/>
  <c r="BG142" i="22"/>
  <c r="BG150" i="22"/>
  <c r="BH150" i="22" s="1"/>
  <c r="BG149" i="22"/>
  <c r="BH149" i="22" s="1"/>
  <c r="BG148" i="22"/>
  <c r="BH148" i="22" s="1"/>
  <c r="BG143" i="22"/>
  <c r="BH143" i="22" s="1"/>
  <c r="BG151" i="22"/>
  <c r="BH151" i="22" s="1"/>
  <c r="BG146" i="22"/>
  <c r="BH146" i="22" s="1"/>
  <c r="BG152" i="22"/>
  <c r="BH152" i="22" s="1"/>
  <c r="BG145" i="22"/>
  <c r="BH145" i="22" s="1"/>
  <c r="BG144" i="22"/>
  <c r="BH144" i="22" s="1"/>
  <c r="BG147" i="22"/>
  <c r="BH147" i="22" s="1"/>
  <c r="CP142" i="22"/>
  <c r="CP150" i="22"/>
  <c r="CQ150" i="22" s="1"/>
  <c r="CP149" i="22"/>
  <c r="CQ149" i="22" s="1"/>
  <c r="CP148" i="22"/>
  <c r="CQ148" i="22" s="1"/>
  <c r="CP144" i="22"/>
  <c r="CQ144" i="22" s="1"/>
  <c r="CP152" i="22"/>
  <c r="CQ152" i="22" s="1"/>
  <c r="CP147" i="22"/>
  <c r="CQ147" i="22" s="1"/>
  <c r="CP145" i="22"/>
  <c r="CQ145" i="22" s="1"/>
  <c r="CP143" i="22"/>
  <c r="CQ143" i="22" s="1"/>
  <c r="CP146" i="22"/>
  <c r="CQ146" i="22" s="1"/>
  <c r="CP151" i="22"/>
  <c r="CQ151" i="22" s="1"/>
  <c r="CI142" i="22"/>
  <c r="CI150" i="22"/>
  <c r="CJ150" i="22" s="1"/>
  <c r="CI149" i="22"/>
  <c r="CJ149" i="22" s="1"/>
  <c r="CI148" i="22"/>
  <c r="CJ148" i="22" s="1"/>
  <c r="CI143" i="22"/>
  <c r="CJ143" i="22" s="1"/>
  <c r="CI151" i="22"/>
  <c r="CJ151" i="22" s="1"/>
  <c r="CI146" i="22"/>
  <c r="CJ146" i="22" s="1"/>
  <c r="CI152" i="22"/>
  <c r="CJ152" i="22" s="1"/>
  <c r="CI145" i="22"/>
  <c r="CJ145" i="22" s="1"/>
  <c r="CI144" i="22"/>
  <c r="CJ144" i="22" s="1"/>
  <c r="CI147" i="22"/>
  <c r="CJ147" i="22" s="1"/>
  <c r="L77" i="23"/>
  <c r="C17" i="23"/>
  <c r="BF141" i="21"/>
  <c r="BE151" i="21" s="1"/>
  <c r="G165" i="21" s="1"/>
  <c r="BH142" i="21"/>
  <c r="BE152" i="21" s="1"/>
  <c r="H165" i="21" s="1"/>
  <c r="AN177" i="18"/>
  <c r="F204" i="18" s="1"/>
  <c r="AO178" i="18"/>
  <c r="AM188" i="18" s="1"/>
  <c r="G204" i="18" s="1"/>
  <c r="A116" i="23"/>
  <c r="A154" i="23" s="1"/>
  <c r="A190" i="23" s="1"/>
  <c r="A78" i="23"/>
  <c r="AN177" i="19"/>
  <c r="F204" i="19" s="1"/>
  <c r="AO178" i="19"/>
  <c r="AM188" i="19" s="1"/>
  <c r="G204" i="19" s="1"/>
  <c r="AC178" i="23"/>
  <c r="AA188" i="23" s="1"/>
  <c r="G202" i="23" s="1"/>
  <c r="AB177" i="23"/>
  <c r="F202" i="23" s="1"/>
  <c r="F72" i="19"/>
  <c r="C41" i="19" s="1"/>
  <c r="A116" i="22"/>
  <c r="A154" i="22" s="1"/>
  <c r="A190" i="22" s="1"/>
  <c r="A78" i="22"/>
  <c r="Q178" i="18"/>
  <c r="O188" i="18" s="1"/>
  <c r="G200" i="18" s="1"/>
  <c r="P177" i="18"/>
  <c r="O187" i="18" s="1"/>
  <c r="F200" i="18" s="1"/>
  <c r="BG178" i="20"/>
  <c r="BE188" i="20" s="1"/>
  <c r="G207" i="20" s="1"/>
  <c r="BF177" i="20"/>
  <c r="F207" i="20" s="1"/>
  <c r="C79" i="17"/>
  <c r="D155" i="17"/>
  <c r="I78" i="17"/>
  <c r="B78" i="17"/>
  <c r="C79" i="19"/>
  <c r="D155" i="19"/>
  <c r="B78" i="19"/>
  <c r="I78" i="19"/>
  <c r="AI178" i="19"/>
  <c r="AG188" i="19" s="1"/>
  <c r="G203" i="19" s="1"/>
  <c r="AH177" i="19"/>
  <c r="F203" i="19" s="1"/>
  <c r="CB152" i="18"/>
  <c r="CC152" i="18" s="1"/>
  <c r="CB151" i="18"/>
  <c r="CC151" i="18" s="1"/>
  <c r="CB147" i="18"/>
  <c r="CC147" i="18" s="1"/>
  <c r="CB146" i="18"/>
  <c r="CC146" i="18" s="1"/>
  <c r="CB145" i="18"/>
  <c r="CC145" i="18" s="1"/>
  <c r="CB144" i="18"/>
  <c r="CC144" i="18" s="1"/>
  <c r="CB142" i="18"/>
  <c r="CB150" i="18"/>
  <c r="CC150" i="18" s="1"/>
  <c r="CB148" i="18"/>
  <c r="CC148" i="18" s="1"/>
  <c r="CB143" i="18"/>
  <c r="CC143" i="18" s="1"/>
  <c r="CB149" i="18"/>
  <c r="CC149" i="18" s="1"/>
  <c r="Q142" i="18"/>
  <c r="Q152" i="18"/>
  <c r="R152" i="18" s="1"/>
  <c r="Q151" i="18"/>
  <c r="R151" i="18" s="1"/>
  <c r="Q150" i="18"/>
  <c r="R150" i="18" s="1"/>
  <c r="Q149" i="18"/>
  <c r="R149" i="18" s="1"/>
  <c r="Q148" i="18"/>
  <c r="R148" i="18" s="1"/>
  <c r="Q147" i="18"/>
  <c r="R147" i="18" s="1"/>
  <c r="Q146" i="18"/>
  <c r="R146" i="18" s="1"/>
  <c r="Q145" i="18"/>
  <c r="R145" i="18" s="1"/>
  <c r="Q144" i="18"/>
  <c r="R144" i="18" s="1"/>
  <c r="Q143" i="18"/>
  <c r="R143" i="18" s="1"/>
  <c r="AE152" i="17"/>
  <c r="AF152" i="17" s="1"/>
  <c r="AE151" i="17"/>
  <c r="AF151" i="17" s="1"/>
  <c r="AE147" i="17"/>
  <c r="AF147" i="17" s="1"/>
  <c r="AE146" i="17"/>
  <c r="AF146" i="17" s="1"/>
  <c r="AE145" i="17"/>
  <c r="AF145" i="17" s="1"/>
  <c r="AE144" i="17"/>
  <c r="AF144" i="17" s="1"/>
  <c r="AE142" i="17"/>
  <c r="AE143" i="17"/>
  <c r="AF143" i="17" s="1"/>
  <c r="AE150" i="17"/>
  <c r="AF150" i="17" s="1"/>
  <c r="AE148" i="17"/>
  <c r="AF148" i="17" s="1"/>
  <c r="AE149" i="17"/>
  <c r="AF149" i="17" s="1"/>
  <c r="AS142" i="17"/>
  <c r="AS152" i="17"/>
  <c r="AT152" i="17" s="1"/>
  <c r="AS151" i="17"/>
  <c r="AT151" i="17" s="1"/>
  <c r="AS150" i="17"/>
  <c r="AT150" i="17" s="1"/>
  <c r="AS149" i="17"/>
  <c r="AT149" i="17" s="1"/>
  <c r="AS148" i="17"/>
  <c r="AT148" i="17" s="1"/>
  <c r="AS147" i="17"/>
  <c r="AT147" i="17" s="1"/>
  <c r="AS146" i="17"/>
  <c r="AT146" i="17" s="1"/>
  <c r="AS145" i="17"/>
  <c r="AT145" i="17" s="1"/>
  <c r="AS144" i="17"/>
  <c r="AT144" i="17" s="1"/>
  <c r="AS143" i="17"/>
  <c r="AT143" i="17" s="1"/>
  <c r="BN150" i="17"/>
  <c r="BO150" i="17" s="1"/>
  <c r="BN149" i="17"/>
  <c r="BO149" i="17" s="1"/>
  <c r="BN148" i="17"/>
  <c r="BO148" i="17" s="1"/>
  <c r="BN143" i="17"/>
  <c r="BO143" i="17" s="1"/>
  <c r="BN152" i="17"/>
  <c r="BO152" i="17" s="1"/>
  <c r="BN151" i="17"/>
  <c r="BO151" i="17" s="1"/>
  <c r="BN147" i="17"/>
  <c r="BO147" i="17" s="1"/>
  <c r="BN146" i="17"/>
  <c r="BO146" i="17" s="1"/>
  <c r="BN145" i="17"/>
  <c r="BO145" i="17" s="1"/>
  <c r="BN144" i="17"/>
  <c r="BO144" i="17" s="1"/>
  <c r="BN142" i="17"/>
  <c r="BG152" i="17"/>
  <c r="BH152" i="17" s="1"/>
  <c r="BG151" i="17"/>
  <c r="BH151" i="17" s="1"/>
  <c r="BG147" i="17"/>
  <c r="BH147" i="17" s="1"/>
  <c r="BG146" i="17"/>
  <c r="BH146" i="17" s="1"/>
  <c r="BG145" i="17"/>
  <c r="BH145" i="17" s="1"/>
  <c r="BG144" i="17"/>
  <c r="BH144" i="17" s="1"/>
  <c r="BG142" i="17"/>
  <c r="BG150" i="17"/>
  <c r="BH150" i="17" s="1"/>
  <c r="BG149" i="17"/>
  <c r="BH149" i="17" s="1"/>
  <c r="BG148" i="17"/>
  <c r="BH148" i="17" s="1"/>
  <c r="BG143" i="17"/>
  <c r="BH143" i="17" s="1"/>
  <c r="AL150" i="17"/>
  <c r="AM150" i="17" s="1"/>
  <c r="AL149" i="17"/>
  <c r="AM149" i="17" s="1"/>
  <c r="AL148" i="17"/>
  <c r="AM148" i="17" s="1"/>
  <c r="AL143" i="17"/>
  <c r="AM143" i="17" s="1"/>
  <c r="AL152" i="17"/>
  <c r="AM152" i="17" s="1"/>
  <c r="AL151" i="17"/>
  <c r="AM151" i="17" s="1"/>
  <c r="AL147" i="17"/>
  <c r="AM147" i="17" s="1"/>
  <c r="AL146" i="17"/>
  <c r="AM146" i="17" s="1"/>
  <c r="AL145" i="17"/>
  <c r="AM145" i="17" s="1"/>
  <c r="AL144" i="17"/>
  <c r="AM144" i="17" s="1"/>
  <c r="AL142" i="17"/>
  <c r="D155" i="20"/>
  <c r="C79" i="20"/>
  <c r="I78" i="20"/>
  <c r="C18" i="20" s="1"/>
  <c r="B78" i="20"/>
  <c r="Q142" i="15"/>
  <c r="Q152" i="15"/>
  <c r="R152" i="15" s="1"/>
  <c r="Q151" i="15"/>
  <c r="R151" i="15" s="1"/>
  <c r="Q150" i="15"/>
  <c r="R150" i="15" s="1"/>
  <c r="Q149" i="15"/>
  <c r="R149" i="15" s="1"/>
  <c r="Q148" i="15"/>
  <c r="R148" i="15" s="1"/>
  <c r="Q147" i="15"/>
  <c r="R147" i="15" s="1"/>
  <c r="Q146" i="15"/>
  <c r="R146" i="15" s="1"/>
  <c r="Q145" i="15"/>
  <c r="R145" i="15" s="1"/>
  <c r="Q144" i="15"/>
  <c r="R144" i="15" s="1"/>
  <c r="Q143" i="15"/>
  <c r="R143" i="15" s="1"/>
  <c r="CP150" i="15"/>
  <c r="CQ150" i="15" s="1"/>
  <c r="CP149" i="15"/>
  <c r="CQ149" i="15" s="1"/>
  <c r="CP148" i="15"/>
  <c r="CQ148" i="15" s="1"/>
  <c r="CP143" i="15"/>
  <c r="CQ143" i="15" s="1"/>
  <c r="CP152" i="15"/>
  <c r="CQ152" i="15" s="1"/>
  <c r="CP151" i="15"/>
  <c r="CQ151" i="15" s="1"/>
  <c r="CP147" i="15"/>
  <c r="CQ147" i="15" s="1"/>
  <c r="CP146" i="15"/>
  <c r="CQ146" i="15" s="1"/>
  <c r="CP145" i="15"/>
  <c r="CQ145" i="15" s="1"/>
  <c r="CP144" i="15"/>
  <c r="CQ144" i="15" s="1"/>
  <c r="CP142" i="15"/>
  <c r="AZ152" i="15"/>
  <c r="BA152" i="15" s="1"/>
  <c r="AZ151" i="15"/>
  <c r="BA151" i="15" s="1"/>
  <c r="AZ147" i="15"/>
  <c r="BA147" i="15" s="1"/>
  <c r="AZ146" i="15"/>
  <c r="BA146" i="15" s="1"/>
  <c r="AZ145" i="15"/>
  <c r="BA145" i="15" s="1"/>
  <c r="AZ144" i="15"/>
  <c r="BA144" i="15" s="1"/>
  <c r="AZ142" i="15"/>
  <c r="AZ150" i="15"/>
  <c r="BA150" i="15" s="1"/>
  <c r="AZ149" i="15"/>
  <c r="BA149" i="15" s="1"/>
  <c r="AZ148" i="15"/>
  <c r="BA148" i="15" s="1"/>
  <c r="AZ143" i="15"/>
  <c r="BA143" i="15" s="1"/>
  <c r="CB152" i="15"/>
  <c r="CC152" i="15" s="1"/>
  <c r="CB151" i="15"/>
  <c r="CC151" i="15" s="1"/>
  <c r="CB147" i="15"/>
  <c r="CC147" i="15" s="1"/>
  <c r="CB146" i="15"/>
  <c r="CC146" i="15" s="1"/>
  <c r="CB145" i="15"/>
  <c r="CC145" i="15" s="1"/>
  <c r="CB144" i="15"/>
  <c r="CC144" i="15" s="1"/>
  <c r="CB142" i="15"/>
  <c r="CB150" i="15"/>
  <c r="CC150" i="15" s="1"/>
  <c r="CB148" i="15"/>
  <c r="CC148" i="15" s="1"/>
  <c r="CB143" i="15"/>
  <c r="CC143" i="15" s="1"/>
  <c r="CB149" i="15"/>
  <c r="CC149" i="15" s="1"/>
  <c r="CH141" i="21"/>
  <c r="CG151" i="21" s="1"/>
  <c r="G169" i="21" s="1"/>
  <c r="CJ142" i="21"/>
  <c r="CG152" i="21" s="1"/>
  <c r="H169" i="21" s="1"/>
  <c r="W178" i="18"/>
  <c r="U188" i="18" s="1"/>
  <c r="G201" i="18" s="1"/>
  <c r="V177" i="18"/>
  <c r="F201" i="18" s="1"/>
  <c r="AA187" i="21"/>
  <c r="CP150" i="19"/>
  <c r="CQ150" i="19" s="1"/>
  <c r="CP149" i="19"/>
  <c r="CQ149" i="19" s="1"/>
  <c r="CP148" i="19"/>
  <c r="CQ148" i="19" s="1"/>
  <c r="CP143" i="19"/>
  <c r="CQ143" i="19" s="1"/>
  <c r="CP152" i="19"/>
  <c r="CQ152" i="19" s="1"/>
  <c r="CP151" i="19"/>
  <c r="CQ151" i="19" s="1"/>
  <c r="CP147" i="19"/>
  <c r="CQ147" i="19" s="1"/>
  <c r="CP146" i="19"/>
  <c r="CQ146" i="19" s="1"/>
  <c r="CP145" i="19"/>
  <c r="CQ145" i="19" s="1"/>
  <c r="CP144" i="19"/>
  <c r="CQ144" i="19" s="1"/>
  <c r="CP142" i="19"/>
  <c r="BN150" i="19"/>
  <c r="BO150" i="19" s="1"/>
  <c r="BN149" i="19"/>
  <c r="BO149" i="19" s="1"/>
  <c r="BN148" i="19"/>
  <c r="BO148" i="19" s="1"/>
  <c r="BN143" i="19"/>
  <c r="BO143" i="19" s="1"/>
  <c r="BN152" i="19"/>
  <c r="BO152" i="19" s="1"/>
  <c r="BN151" i="19"/>
  <c r="BO151" i="19" s="1"/>
  <c r="BN147" i="19"/>
  <c r="BO147" i="19" s="1"/>
  <c r="BN146" i="19"/>
  <c r="BO146" i="19" s="1"/>
  <c r="BN145" i="19"/>
  <c r="BO145" i="19" s="1"/>
  <c r="BN144" i="19"/>
  <c r="BO144" i="19" s="1"/>
  <c r="BN142" i="19"/>
  <c r="Q142" i="19"/>
  <c r="Q152" i="19"/>
  <c r="R152" i="19" s="1"/>
  <c r="Q151" i="19"/>
  <c r="R151" i="19" s="1"/>
  <c r="Q150" i="19"/>
  <c r="R150" i="19" s="1"/>
  <c r="Q149" i="19"/>
  <c r="R149" i="19" s="1"/>
  <c r="Q148" i="19"/>
  <c r="R148" i="19" s="1"/>
  <c r="Q147" i="19"/>
  <c r="R147" i="19" s="1"/>
  <c r="Q146" i="19"/>
  <c r="R146" i="19" s="1"/>
  <c r="Q145" i="19"/>
  <c r="R145" i="19" s="1"/>
  <c r="Q144" i="19"/>
  <c r="R144" i="19" s="1"/>
  <c r="Q143" i="19"/>
  <c r="R143" i="19" s="1"/>
  <c r="F71" i="17"/>
  <c r="C40" i="17" s="1"/>
  <c r="W178" i="23"/>
  <c r="U188" i="23" s="1"/>
  <c r="G201" i="23" s="1"/>
  <c r="V177" i="23"/>
  <c r="F201" i="23" s="1"/>
  <c r="CO141" i="21"/>
  <c r="CN151" i="21" s="1"/>
  <c r="G170" i="21" s="1"/>
  <c r="CQ142" i="21"/>
  <c r="CN152" i="21" s="1"/>
  <c r="H170" i="21" s="1"/>
  <c r="BA178" i="20"/>
  <c r="AY188" i="20" s="1"/>
  <c r="G206" i="20" s="1"/>
  <c r="AZ177" i="20"/>
  <c r="F206" i="20" s="1"/>
  <c r="AB177" i="17"/>
  <c r="F202" i="17" s="1"/>
  <c r="AC178" i="17"/>
  <c r="AA188" i="17" s="1"/>
  <c r="G202" i="17" s="1"/>
  <c r="CP142" i="23"/>
  <c r="CP150" i="23"/>
  <c r="CQ150" i="23" s="1"/>
  <c r="CP149" i="23"/>
  <c r="CQ149" i="23" s="1"/>
  <c r="CP148" i="23"/>
  <c r="CQ148" i="23" s="1"/>
  <c r="CP144" i="23"/>
  <c r="CQ144" i="23" s="1"/>
  <c r="CP152" i="23"/>
  <c r="CQ152" i="23" s="1"/>
  <c r="CP147" i="23"/>
  <c r="CQ147" i="23" s="1"/>
  <c r="CP145" i="23"/>
  <c r="CQ145" i="23" s="1"/>
  <c r="CP143" i="23"/>
  <c r="CQ143" i="23" s="1"/>
  <c r="CP146" i="23"/>
  <c r="CQ146" i="23" s="1"/>
  <c r="CP151" i="23"/>
  <c r="CQ151" i="23" s="1"/>
  <c r="CI142" i="23"/>
  <c r="CI150" i="23"/>
  <c r="CJ150" i="23" s="1"/>
  <c r="CI149" i="23"/>
  <c r="CJ149" i="23" s="1"/>
  <c r="CI148" i="23"/>
  <c r="CJ148" i="23" s="1"/>
  <c r="CI143" i="23"/>
  <c r="CJ143" i="23" s="1"/>
  <c r="CI151" i="23"/>
  <c r="CJ151" i="23" s="1"/>
  <c r="CI146" i="23"/>
  <c r="CJ146" i="23" s="1"/>
  <c r="CI152" i="23"/>
  <c r="CJ152" i="23" s="1"/>
  <c r="CI145" i="23"/>
  <c r="CJ145" i="23" s="1"/>
  <c r="CI144" i="23"/>
  <c r="CJ144" i="23" s="1"/>
  <c r="CI147" i="23"/>
  <c r="CJ147" i="23" s="1"/>
  <c r="BG142" i="23"/>
  <c r="BG150" i="23"/>
  <c r="BH150" i="23" s="1"/>
  <c r="BG149" i="23"/>
  <c r="BH149" i="23" s="1"/>
  <c r="BG148" i="23"/>
  <c r="BH148" i="23" s="1"/>
  <c r="BG143" i="23"/>
  <c r="BH143" i="23" s="1"/>
  <c r="BG151" i="23"/>
  <c r="BH151" i="23" s="1"/>
  <c r="BG146" i="23"/>
  <c r="BH146" i="23" s="1"/>
  <c r="BG152" i="23"/>
  <c r="BH152" i="23" s="1"/>
  <c r="BG145" i="23"/>
  <c r="BH145" i="23" s="1"/>
  <c r="BG144" i="23"/>
  <c r="BH144" i="23" s="1"/>
  <c r="BG147" i="23"/>
  <c r="BH147" i="23" s="1"/>
  <c r="AE142" i="22"/>
  <c r="AE150" i="22"/>
  <c r="AF150" i="22" s="1"/>
  <c r="AE149" i="22"/>
  <c r="AF149" i="22" s="1"/>
  <c r="AE148" i="22"/>
  <c r="AF148" i="22" s="1"/>
  <c r="AE143" i="22"/>
  <c r="AF143" i="22" s="1"/>
  <c r="AE151" i="22"/>
  <c r="AF151" i="22" s="1"/>
  <c r="AE146" i="22"/>
  <c r="AF146" i="22" s="1"/>
  <c r="AE152" i="22"/>
  <c r="AF152" i="22" s="1"/>
  <c r="AE145" i="22"/>
  <c r="AF145" i="22" s="1"/>
  <c r="AE144" i="22"/>
  <c r="AF144" i="22" s="1"/>
  <c r="AE147" i="22"/>
  <c r="AF147" i="22" s="1"/>
  <c r="AL142" i="22"/>
  <c r="AL150" i="22"/>
  <c r="AM150" i="22" s="1"/>
  <c r="AL149" i="22"/>
  <c r="AM149" i="22" s="1"/>
  <c r="AL148" i="22"/>
  <c r="AM148" i="22" s="1"/>
  <c r="AL144" i="22"/>
  <c r="AM144" i="22" s="1"/>
  <c r="AL152" i="22"/>
  <c r="AM152" i="22" s="1"/>
  <c r="AL147" i="22"/>
  <c r="AM147" i="22" s="1"/>
  <c r="AL145" i="22"/>
  <c r="AM145" i="22" s="1"/>
  <c r="AL143" i="22"/>
  <c r="AM143" i="22" s="1"/>
  <c r="AL146" i="22"/>
  <c r="AM146" i="22" s="1"/>
  <c r="AL151" i="22"/>
  <c r="AM151" i="22" s="1"/>
  <c r="BG178" i="15"/>
  <c r="BE188" i="15" s="1"/>
  <c r="G207" i="15" s="1"/>
  <c r="BF177" i="15"/>
  <c r="F207" i="15" s="1"/>
  <c r="L78" i="21"/>
  <c r="C18" i="21"/>
  <c r="AY187" i="21"/>
  <c r="D155" i="22"/>
  <c r="C79" i="22"/>
  <c r="B78" i="22"/>
  <c r="I78" i="22"/>
  <c r="CP150" i="18"/>
  <c r="CQ150" i="18" s="1"/>
  <c r="CP149" i="18"/>
  <c r="CQ149" i="18" s="1"/>
  <c r="CP148" i="18"/>
  <c r="CQ148" i="18" s="1"/>
  <c r="CP143" i="18"/>
  <c r="CQ143" i="18" s="1"/>
  <c r="CP152" i="18"/>
  <c r="CQ152" i="18" s="1"/>
  <c r="CP151" i="18"/>
  <c r="CQ151" i="18" s="1"/>
  <c r="CP147" i="18"/>
  <c r="CQ147" i="18" s="1"/>
  <c r="CP146" i="18"/>
  <c r="CQ146" i="18" s="1"/>
  <c r="CP145" i="18"/>
  <c r="CQ145" i="18" s="1"/>
  <c r="CP144" i="18"/>
  <c r="CQ144" i="18" s="1"/>
  <c r="CP142" i="18"/>
  <c r="CW142" i="18"/>
  <c r="CW152" i="18"/>
  <c r="CX152" i="18" s="1"/>
  <c r="CW151" i="18"/>
  <c r="CX151" i="18" s="1"/>
  <c r="CW150" i="18"/>
  <c r="CX150" i="18" s="1"/>
  <c r="CW149" i="18"/>
  <c r="CX149" i="18" s="1"/>
  <c r="CW148" i="18"/>
  <c r="CX148" i="18" s="1"/>
  <c r="CW147" i="18"/>
  <c r="CX147" i="18" s="1"/>
  <c r="CW146" i="18"/>
  <c r="CX146" i="18" s="1"/>
  <c r="CW145" i="18"/>
  <c r="CX145" i="18" s="1"/>
  <c r="CW144" i="18"/>
  <c r="CX144" i="18" s="1"/>
  <c r="CW143" i="18"/>
  <c r="CX143" i="18" s="1"/>
  <c r="CB152" i="17"/>
  <c r="CC152" i="17" s="1"/>
  <c r="CB151" i="17"/>
  <c r="CC151" i="17" s="1"/>
  <c r="CB147" i="17"/>
  <c r="CC147" i="17" s="1"/>
  <c r="CB146" i="17"/>
  <c r="CC146" i="17" s="1"/>
  <c r="CB145" i="17"/>
  <c r="CC145" i="17" s="1"/>
  <c r="CB144" i="17"/>
  <c r="CC144" i="17" s="1"/>
  <c r="CB142" i="17"/>
  <c r="CB150" i="17"/>
  <c r="CC150" i="17" s="1"/>
  <c r="CB149" i="17"/>
  <c r="CC149" i="17" s="1"/>
  <c r="CB148" i="17"/>
  <c r="CC148" i="17" s="1"/>
  <c r="CB143" i="17"/>
  <c r="CC143" i="17" s="1"/>
  <c r="CW142" i="15"/>
  <c r="CW152" i="15"/>
  <c r="CX152" i="15" s="1"/>
  <c r="CW151" i="15"/>
  <c r="CX151" i="15" s="1"/>
  <c r="CW150" i="15"/>
  <c r="CX150" i="15" s="1"/>
  <c r="CW149" i="15"/>
  <c r="CX149" i="15" s="1"/>
  <c r="CW148" i="15"/>
  <c r="CX148" i="15" s="1"/>
  <c r="CW147" i="15"/>
  <c r="CX147" i="15" s="1"/>
  <c r="CW146" i="15"/>
  <c r="CX146" i="15" s="1"/>
  <c r="CW145" i="15"/>
  <c r="CX145" i="15" s="1"/>
  <c r="CW144" i="15"/>
  <c r="CX144" i="15" s="1"/>
  <c r="CW143" i="15"/>
  <c r="CX143" i="15" s="1"/>
  <c r="BT141" i="21"/>
  <c r="BS151" i="21" s="1"/>
  <c r="G167" i="21" s="1"/>
  <c r="BV142" i="21"/>
  <c r="BS152" i="21" s="1"/>
  <c r="H167" i="21" s="1"/>
  <c r="Q178" i="17"/>
  <c r="O188" i="17" s="1"/>
  <c r="G200" i="17" s="1"/>
  <c r="P177" i="17"/>
  <c r="O187" i="17" s="1"/>
  <c r="F200" i="17" s="1"/>
  <c r="CB152" i="19"/>
  <c r="CC152" i="19" s="1"/>
  <c r="CB151" i="19"/>
  <c r="CC151" i="19" s="1"/>
  <c r="CB147" i="19"/>
  <c r="CC147" i="19" s="1"/>
  <c r="CB146" i="19"/>
  <c r="CC146" i="19" s="1"/>
  <c r="CB145" i="19"/>
  <c r="CC145" i="19" s="1"/>
  <c r="CB144" i="19"/>
  <c r="CC144" i="19" s="1"/>
  <c r="CB142" i="19"/>
  <c r="CB148" i="19"/>
  <c r="CC148" i="19" s="1"/>
  <c r="CB143" i="19"/>
  <c r="CC143" i="19" s="1"/>
  <c r="CB150" i="19"/>
  <c r="CC150" i="19" s="1"/>
  <c r="CB149" i="19"/>
  <c r="CC149" i="19" s="1"/>
  <c r="F72" i="17"/>
  <c r="C41" i="17" s="1"/>
  <c r="U187" i="21"/>
  <c r="AR141" i="21"/>
  <c r="AQ151" i="21" s="1"/>
  <c r="G163" i="21" s="1"/>
  <c r="AT142" i="21"/>
  <c r="AQ152" i="21" s="1"/>
  <c r="H163" i="21" s="1"/>
  <c r="AI178" i="15"/>
  <c r="AG188" i="15" s="1"/>
  <c r="G203" i="15" s="1"/>
  <c r="AH177" i="15"/>
  <c r="F203" i="15" s="1"/>
  <c r="AS151" i="20"/>
  <c r="AT151" i="20" s="1"/>
  <c r="AS142" i="20"/>
  <c r="AS149" i="20"/>
  <c r="AT149" i="20" s="1"/>
  <c r="AS148" i="20"/>
  <c r="AT148" i="20" s="1"/>
  <c r="AS147" i="20"/>
  <c r="AT147" i="20" s="1"/>
  <c r="AS146" i="20"/>
  <c r="AT146" i="20" s="1"/>
  <c r="AS145" i="20"/>
  <c r="AT145" i="20" s="1"/>
  <c r="AS144" i="20"/>
  <c r="AT144" i="20" s="1"/>
  <c r="AS143" i="20"/>
  <c r="AT143" i="20" s="1"/>
  <c r="AS152" i="20"/>
  <c r="AT152" i="20" s="1"/>
  <c r="AS150" i="20"/>
  <c r="AT150" i="20" s="1"/>
  <c r="AS143" i="23"/>
  <c r="AT143" i="23" s="1"/>
  <c r="AS151" i="23"/>
  <c r="AT151" i="23" s="1"/>
  <c r="AS146" i="23"/>
  <c r="AT146" i="23" s="1"/>
  <c r="AS144" i="23"/>
  <c r="AT144" i="23" s="1"/>
  <c r="AS147" i="23"/>
  <c r="AT147" i="23" s="1"/>
  <c r="AS148" i="23"/>
  <c r="AT148" i="23" s="1"/>
  <c r="AS150" i="23"/>
  <c r="AT150" i="23" s="1"/>
  <c r="AS149" i="23"/>
  <c r="AT149" i="23" s="1"/>
  <c r="AS142" i="23"/>
  <c r="AS145" i="23"/>
  <c r="AT145" i="23" s="1"/>
  <c r="AS152" i="23"/>
  <c r="AT152" i="23" s="1"/>
  <c r="BU151" i="23"/>
  <c r="BV151" i="23" s="1"/>
  <c r="BU150" i="23"/>
  <c r="BV150" i="23" s="1"/>
  <c r="BU149" i="23"/>
  <c r="BV149" i="23" s="1"/>
  <c r="BU148" i="23"/>
  <c r="BV148" i="23" s="1"/>
  <c r="BU146" i="23"/>
  <c r="BV146" i="23" s="1"/>
  <c r="BU144" i="23"/>
  <c r="BV144" i="23" s="1"/>
  <c r="BU142" i="23"/>
  <c r="BU147" i="23"/>
  <c r="BV147" i="23" s="1"/>
  <c r="BU143" i="23"/>
  <c r="BV143" i="23" s="1"/>
  <c r="BU152" i="23"/>
  <c r="BV152" i="23" s="1"/>
  <c r="BU145" i="23"/>
  <c r="BV145" i="23" s="1"/>
  <c r="AU178" i="19"/>
  <c r="AS188" i="19" s="1"/>
  <c r="G205" i="19" s="1"/>
  <c r="AT177" i="19"/>
  <c r="F205" i="19" s="1"/>
  <c r="AZ150" i="22"/>
  <c r="BA150" i="22" s="1"/>
  <c r="AZ149" i="22"/>
  <c r="BA149" i="22" s="1"/>
  <c r="AZ148" i="22"/>
  <c r="BA148" i="22" s="1"/>
  <c r="AZ143" i="22"/>
  <c r="BA143" i="22" s="1"/>
  <c r="AZ152" i="22"/>
  <c r="BA152" i="22" s="1"/>
  <c r="AZ147" i="22"/>
  <c r="BA147" i="22" s="1"/>
  <c r="AZ145" i="22"/>
  <c r="BA145" i="22" s="1"/>
  <c r="AZ151" i="22"/>
  <c r="BA151" i="22" s="1"/>
  <c r="AZ142" i="22"/>
  <c r="AZ144" i="22"/>
  <c r="BA144" i="22" s="1"/>
  <c r="AZ146" i="22"/>
  <c r="BA146" i="22" s="1"/>
  <c r="CW143" i="22"/>
  <c r="CX143" i="22" s="1"/>
  <c r="CW151" i="22"/>
  <c r="CX151" i="22" s="1"/>
  <c r="CW146" i="22"/>
  <c r="CX146" i="22" s="1"/>
  <c r="CW144" i="22"/>
  <c r="CX144" i="22" s="1"/>
  <c r="CW150" i="22"/>
  <c r="CX150" i="22" s="1"/>
  <c r="CW149" i="22"/>
  <c r="CX149" i="22" s="1"/>
  <c r="CW148" i="22"/>
  <c r="CX148" i="22" s="1"/>
  <c r="CW147" i="22"/>
  <c r="CX147" i="22" s="1"/>
  <c r="CW142" i="22"/>
  <c r="CW152" i="22"/>
  <c r="CX152" i="22" s="1"/>
  <c r="CW145" i="22"/>
  <c r="CX145" i="22" s="1"/>
  <c r="C17" i="15"/>
  <c r="L77" i="15"/>
  <c r="CC142" i="21"/>
  <c r="BZ152" i="21" s="1"/>
  <c r="H168" i="21" s="1"/>
  <c r="CA141" i="21"/>
  <c r="BZ151" i="21" s="1"/>
  <c r="G168" i="21" s="1"/>
  <c r="AI178" i="20"/>
  <c r="AG188" i="20" s="1"/>
  <c r="G203" i="20" s="1"/>
  <c r="AH177" i="20"/>
  <c r="F203" i="20" s="1"/>
  <c r="D155" i="23"/>
  <c r="C79" i="23"/>
  <c r="I78" i="23"/>
  <c r="B78" i="23"/>
  <c r="BF177" i="23"/>
  <c r="F207" i="23" s="1"/>
  <c r="BG178" i="23"/>
  <c r="BE188" i="23" s="1"/>
  <c r="G207" i="23" s="1"/>
  <c r="D156" i="21"/>
  <c r="C80" i="21"/>
  <c r="B79" i="21"/>
  <c r="I79" i="21"/>
  <c r="AY141" i="21"/>
  <c r="AX151" i="21" s="1"/>
  <c r="G164" i="21" s="1"/>
  <c r="BA142" i="21"/>
  <c r="AX152" i="21" s="1"/>
  <c r="H164" i="21" s="1"/>
  <c r="BA178" i="17"/>
  <c r="AY188" i="17" s="1"/>
  <c r="G206" i="17" s="1"/>
  <c r="AZ177" i="17"/>
  <c r="F206" i="17" s="1"/>
  <c r="BF177" i="19"/>
  <c r="F207" i="19" s="1"/>
  <c r="BG178" i="19"/>
  <c r="BE188" i="19" s="1"/>
  <c r="G207" i="19" s="1"/>
  <c r="AZ152" i="18"/>
  <c r="BA152" i="18" s="1"/>
  <c r="AZ151" i="18"/>
  <c r="BA151" i="18" s="1"/>
  <c r="AZ147" i="18"/>
  <c r="BA147" i="18" s="1"/>
  <c r="AZ146" i="18"/>
  <c r="BA146" i="18" s="1"/>
  <c r="AZ145" i="18"/>
  <c r="BA145" i="18" s="1"/>
  <c r="AZ144" i="18"/>
  <c r="BA144" i="18" s="1"/>
  <c r="AZ142" i="18"/>
  <c r="AZ150" i="18"/>
  <c r="BA150" i="18" s="1"/>
  <c r="AZ149" i="18"/>
  <c r="BA149" i="18" s="1"/>
  <c r="AZ148" i="18"/>
  <c r="BA148" i="18" s="1"/>
  <c r="AZ143" i="18"/>
  <c r="BA143" i="18" s="1"/>
  <c r="X152" i="17"/>
  <c r="Y152" i="17" s="1"/>
  <c r="X151" i="17"/>
  <c r="Y151" i="17" s="1"/>
  <c r="X147" i="17"/>
  <c r="Y147" i="17" s="1"/>
  <c r="X146" i="17"/>
  <c r="Y146" i="17" s="1"/>
  <c r="X145" i="17"/>
  <c r="Y145" i="17" s="1"/>
  <c r="X144" i="17"/>
  <c r="Y144" i="17" s="1"/>
  <c r="X142" i="17"/>
  <c r="X150" i="17"/>
  <c r="Y150" i="17" s="1"/>
  <c r="X149" i="17"/>
  <c r="Y149" i="17" s="1"/>
  <c r="X148" i="17"/>
  <c r="Y148" i="17" s="1"/>
  <c r="X143" i="17"/>
  <c r="Y143" i="17" s="1"/>
  <c r="BU142" i="15"/>
  <c r="BU152" i="15"/>
  <c r="BV152" i="15" s="1"/>
  <c r="BU151" i="15"/>
  <c r="BV151" i="15" s="1"/>
  <c r="BU150" i="15"/>
  <c r="BV150" i="15" s="1"/>
  <c r="BU149" i="15"/>
  <c r="BV149" i="15" s="1"/>
  <c r="BU148" i="15"/>
  <c r="BV148" i="15" s="1"/>
  <c r="BU147" i="15"/>
  <c r="BV147" i="15" s="1"/>
  <c r="BU146" i="15"/>
  <c r="BV146" i="15" s="1"/>
  <c r="BU145" i="15"/>
  <c r="BV145" i="15" s="1"/>
  <c r="BU144" i="15"/>
  <c r="BV144" i="15" s="1"/>
  <c r="BU143" i="15"/>
  <c r="BV143" i="15" s="1"/>
  <c r="Q178" i="15"/>
  <c r="O188" i="15" s="1"/>
  <c r="G200" i="15" s="1"/>
  <c r="P177" i="15"/>
  <c r="O187" i="15" s="1"/>
  <c r="F200" i="15" s="1"/>
  <c r="AB177" i="18"/>
  <c r="F202" i="18" s="1"/>
  <c r="AC178" i="18"/>
  <c r="AA188" i="18" s="1"/>
  <c r="G202" i="18" s="1"/>
  <c r="D155" i="15"/>
  <c r="C79" i="15"/>
  <c r="I78" i="15"/>
  <c r="B78" i="15"/>
  <c r="X152" i="19"/>
  <c r="Y152" i="19" s="1"/>
  <c r="X151" i="19"/>
  <c r="Y151" i="19" s="1"/>
  <c r="X147" i="19"/>
  <c r="Y147" i="19" s="1"/>
  <c r="X146" i="19"/>
  <c r="Y146" i="19" s="1"/>
  <c r="X145" i="19"/>
  <c r="Y145" i="19" s="1"/>
  <c r="X144" i="19"/>
  <c r="Y144" i="19" s="1"/>
  <c r="X142" i="19"/>
  <c r="X150" i="19"/>
  <c r="Y150" i="19" s="1"/>
  <c r="X149" i="19"/>
  <c r="Y149" i="19" s="1"/>
  <c r="X148" i="19"/>
  <c r="Y148" i="19" s="1"/>
  <c r="X143" i="19"/>
  <c r="Y143" i="19" s="1"/>
  <c r="F71" i="15"/>
  <c r="C40" i="15" s="1"/>
  <c r="AN177" i="15"/>
  <c r="F204" i="15" s="1"/>
  <c r="AO178" i="15"/>
  <c r="AM188" i="15" s="1"/>
  <c r="G204" i="15" s="1"/>
  <c r="X152" i="20"/>
  <c r="Y152" i="20" s="1"/>
  <c r="X151" i="20"/>
  <c r="Y151" i="20" s="1"/>
  <c r="X147" i="20"/>
  <c r="Y147" i="20" s="1"/>
  <c r="X146" i="20"/>
  <c r="Y146" i="20" s="1"/>
  <c r="X145" i="20"/>
  <c r="Y145" i="20" s="1"/>
  <c r="X144" i="20"/>
  <c r="Y144" i="20" s="1"/>
  <c r="X142" i="20"/>
  <c r="X150" i="20"/>
  <c r="Y150" i="20" s="1"/>
  <c r="X149" i="20"/>
  <c r="Y149" i="20" s="1"/>
  <c r="X148" i="20"/>
  <c r="Y148" i="20" s="1"/>
  <c r="X143" i="20"/>
  <c r="Y143" i="20" s="1"/>
  <c r="BN150" i="20"/>
  <c r="BO150" i="20" s="1"/>
  <c r="BN149" i="20"/>
  <c r="BO149" i="20" s="1"/>
  <c r="BN148" i="20"/>
  <c r="BO148" i="20" s="1"/>
  <c r="BN143" i="20"/>
  <c r="BO143" i="20" s="1"/>
  <c r="BN147" i="20"/>
  <c r="BO147" i="20" s="1"/>
  <c r="BN146" i="20"/>
  <c r="BO146" i="20" s="1"/>
  <c r="BN145" i="20"/>
  <c r="BO145" i="20" s="1"/>
  <c r="BN144" i="20"/>
  <c r="BO144" i="20" s="1"/>
  <c r="BN142" i="20"/>
  <c r="BN151" i="20"/>
  <c r="BO151" i="20" s="1"/>
  <c r="BN152" i="20"/>
  <c r="BO152" i="20" s="1"/>
  <c r="BU151" i="20"/>
  <c r="BV151" i="20" s="1"/>
  <c r="BU142" i="20"/>
  <c r="BU149" i="20"/>
  <c r="BV149" i="20" s="1"/>
  <c r="BU148" i="20"/>
  <c r="BV148" i="20" s="1"/>
  <c r="BU147" i="20"/>
  <c r="BV147" i="20" s="1"/>
  <c r="BU146" i="20"/>
  <c r="BV146" i="20" s="1"/>
  <c r="BU145" i="20"/>
  <c r="BV145" i="20" s="1"/>
  <c r="BU144" i="20"/>
  <c r="BV144" i="20" s="1"/>
  <c r="BU143" i="20"/>
  <c r="BV143" i="20" s="1"/>
  <c r="BU152" i="20"/>
  <c r="BV152" i="20" s="1"/>
  <c r="BU150" i="20"/>
  <c r="BV150" i="20" s="1"/>
  <c r="AL149" i="20"/>
  <c r="AM149" i="20" s="1"/>
  <c r="AL148" i="20"/>
  <c r="AM148" i="20" s="1"/>
  <c r="AL143" i="20"/>
  <c r="AM143" i="20" s="1"/>
  <c r="AL150" i="20"/>
  <c r="AM150" i="20" s="1"/>
  <c r="AL147" i="20"/>
  <c r="AM147" i="20" s="1"/>
  <c r="AL146" i="20"/>
  <c r="AM146" i="20" s="1"/>
  <c r="AL145" i="20"/>
  <c r="AM145" i="20" s="1"/>
  <c r="AL144" i="20"/>
  <c r="AM144" i="20" s="1"/>
  <c r="AL151" i="20"/>
  <c r="AM151" i="20" s="1"/>
  <c r="AL152" i="20"/>
  <c r="AM152" i="20" s="1"/>
  <c r="AL142" i="20"/>
  <c r="F72" i="22"/>
  <c r="C41" i="22" s="1"/>
  <c r="L77" i="22"/>
  <c r="C17" i="22"/>
  <c r="AU178" i="18"/>
  <c r="AS188" i="18" s="1"/>
  <c r="G205" i="18" s="1"/>
  <c r="AT177" i="18"/>
  <c r="F205" i="18" s="1"/>
  <c r="AZ177" i="18"/>
  <c r="F206" i="18" s="1"/>
  <c r="BA178" i="18"/>
  <c r="AY188" i="18" s="1"/>
  <c r="G206" i="18" s="1"/>
  <c r="BN142" i="23"/>
  <c r="BN144" i="23"/>
  <c r="BO144" i="23" s="1"/>
  <c r="BN152" i="23"/>
  <c r="BO152" i="23" s="1"/>
  <c r="BN147" i="23"/>
  <c r="BO147" i="23" s="1"/>
  <c r="BN145" i="23"/>
  <c r="BO145" i="23" s="1"/>
  <c r="BN146" i="23"/>
  <c r="BO146" i="23" s="1"/>
  <c r="BN143" i="23"/>
  <c r="BO143" i="23" s="1"/>
  <c r="BN150" i="23"/>
  <c r="BO150" i="23" s="1"/>
  <c r="BN149" i="23"/>
  <c r="BO149" i="23" s="1"/>
  <c r="BN148" i="23"/>
  <c r="BO148" i="23" s="1"/>
  <c r="BN151" i="23"/>
  <c r="BO151" i="23" s="1"/>
  <c r="Q151" i="23"/>
  <c r="R151" i="23" s="1"/>
  <c r="Q150" i="23"/>
  <c r="R150" i="23" s="1"/>
  <c r="Q149" i="23"/>
  <c r="R149" i="23" s="1"/>
  <c r="Q148" i="23"/>
  <c r="R148" i="23" s="1"/>
  <c r="Q146" i="23"/>
  <c r="R146" i="23" s="1"/>
  <c r="Q144" i="23"/>
  <c r="R144" i="23" s="1"/>
  <c r="Q142" i="23"/>
  <c r="Q147" i="23"/>
  <c r="R147" i="23" s="1"/>
  <c r="Q143" i="23"/>
  <c r="R143" i="23" s="1"/>
  <c r="Q152" i="23"/>
  <c r="R152" i="23" s="1"/>
  <c r="Q145" i="23"/>
  <c r="R145" i="23" s="1"/>
  <c r="CW143" i="23"/>
  <c r="CX143" i="23" s="1"/>
  <c r="CW151" i="23"/>
  <c r="CX151" i="23" s="1"/>
  <c r="CW146" i="23"/>
  <c r="CX146" i="23" s="1"/>
  <c r="CW144" i="23"/>
  <c r="CX144" i="23" s="1"/>
  <c r="CW150" i="23"/>
  <c r="CX150" i="23" s="1"/>
  <c r="CW149" i="23"/>
  <c r="CX149" i="23" s="1"/>
  <c r="CW148" i="23"/>
  <c r="CX148" i="23" s="1"/>
  <c r="CW147" i="23"/>
  <c r="CX147" i="23" s="1"/>
  <c r="CW142" i="23"/>
  <c r="CW152" i="23"/>
  <c r="CX152" i="23" s="1"/>
  <c r="CW145" i="23"/>
  <c r="CX145" i="23" s="1"/>
  <c r="X150" i="23"/>
  <c r="Y150" i="23" s="1"/>
  <c r="X149" i="23"/>
  <c r="Y149" i="23" s="1"/>
  <c r="X148" i="23"/>
  <c r="Y148" i="23" s="1"/>
  <c r="X143" i="23"/>
  <c r="Y143" i="23" s="1"/>
  <c r="X142" i="23"/>
  <c r="X152" i="23"/>
  <c r="Y152" i="23" s="1"/>
  <c r="X147" i="23"/>
  <c r="Y147" i="23" s="1"/>
  <c r="X145" i="23"/>
  <c r="Y145" i="23" s="1"/>
  <c r="X151" i="23"/>
  <c r="Y151" i="23" s="1"/>
  <c r="X144" i="23"/>
  <c r="Y144" i="23" s="1"/>
  <c r="X146" i="23"/>
  <c r="Y146" i="23" s="1"/>
  <c r="BN142" i="22"/>
  <c r="BN144" i="22"/>
  <c r="BO144" i="22" s="1"/>
  <c r="BN152" i="22"/>
  <c r="BO152" i="22" s="1"/>
  <c r="BN147" i="22"/>
  <c r="BO147" i="22" s="1"/>
  <c r="BN145" i="22"/>
  <c r="BO145" i="22" s="1"/>
  <c r="BN146" i="22"/>
  <c r="BO146" i="22" s="1"/>
  <c r="BN143" i="22"/>
  <c r="BO143" i="22" s="1"/>
  <c r="BN150" i="22"/>
  <c r="BO150" i="22" s="1"/>
  <c r="BN149" i="22"/>
  <c r="BO149" i="22" s="1"/>
  <c r="BN148" i="22"/>
  <c r="BO148" i="22" s="1"/>
  <c r="BN151" i="22"/>
  <c r="BO151" i="22" s="1"/>
  <c r="Q151" i="22"/>
  <c r="R151" i="22" s="1"/>
  <c r="Q150" i="22"/>
  <c r="R150" i="22" s="1"/>
  <c r="Q149" i="22"/>
  <c r="R149" i="22" s="1"/>
  <c r="Q148" i="22"/>
  <c r="R148" i="22" s="1"/>
  <c r="Q146" i="22"/>
  <c r="R146" i="22" s="1"/>
  <c r="Q144" i="22"/>
  <c r="R144" i="22" s="1"/>
  <c r="Q142" i="22"/>
  <c r="Q147" i="22"/>
  <c r="R147" i="22" s="1"/>
  <c r="Q143" i="22"/>
  <c r="R143" i="22" s="1"/>
  <c r="Q152" i="22"/>
  <c r="R152" i="22" s="1"/>
  <c r="Q145" i="22"/>
  <c r="R145" i="22" s="1"/>
  <c r="X150" i="22"/>
  <c r="Y150" i="22" s="1"/>
  <c r="X149" i="22"/>
  <c r="Y149" i="22" s="1"/>
  <c r="X148" i="22"/>
  <c r="Y148" i="22" s="1"/>
  <c r="X143" i="22"/>
  <c r="Y143" i="22" s="1"/>
  <c r="X142" i="22"/>
  <c r="X152" i="22"/>
  <c r="Y152" i="22" s="1"/>
  <c r="X147" i="22"/>
  <c r="Y147" i="22" s="1"/>
  <c r="X145" i="22"/>
  <c r="Y145" i="22" s="1"/>
  <c r="X151" i="22"/>
  <c r="Y151" i="22" s="1"/>
  <c r="X144" i="22"/>
  <c r="Y144" i="22" s="1"/>
  <c r="X146" i="22"/>
  <c r="Y146" i="22" s="1"/>
  <c r="CB150" i="22"/>
  <c r="CC150" i="22" s="1"/>
  <c r="CB149" i="22"/>
  <c r="CC149" i="22" s="1"/>
  <c r="CB148" i="22"/>
  <c r="CC148" i="22" s="1"/>
  <c r="CB143" i="22"/>
  <c r="CC143" i="22" s="1"/>
  <c r="CB142" i="22"/>
  <c r="CB152" i="22"/>
  <c r="CC152" i="22" s="1"/>
  <c r="CB147" i="22"/>
  <c r="CC147" i="22" s="1"/>
  <c r="CB145" i="22"/>
  <c r="CC145" i="22" s="1"/>
  <c r="CB151" i="22"/>
  <c r="CC151" i="22" s="1"/>
  <c r="CB144" i="22"/>
  <c r="CC144" i="22" s="1"/>
  <c r="CB146" i="22"/>
  <c r="CC146" i="22" s="1"/>
  <c r="AN177" i="20"/>
  <c r="F204" i="20" s="1"/>
  <c r="AO178" i="20"/>
  <c r="AM188" i="20" s="1"/>
  <c r="G204" i="20" s="1"/>
  <c r="BF177" i="17"/>
  <c r="F207" i="17" s="1"/>
  <c r="BG178" i="17"/>
  <c r="BE188" i="17" s="1"/>
  <c r="G207" i="17" s="1"/>
  <c r="AK141" i="21"/>
  <c r="AJ151" i="21" s="1"/>
  <c r="G162" i="21" s="1"/>
  <c r="AM142" i="21"/>
  <c r="AJ152" i="21" s="1"/>
  <c r="H162" i="21" s="1"/>
  <c r="AC178" i="20"/>
  <c r="AA188" i="20" s="1"/>
  <c r="G202" i="20" s="1"/>
  <c r="AB177" i="20"/>
  <c r="F202" i="20" s="1"/>
  <c r="Q178" i="20"/>
  <c r="O188" i="20" s="1"/>
  <c r="G200" i="20" s="1"/>
  <c r="P177" i="20"/>
  <c r="O187" i="20" s="1"/>
  <c r="F200" i="20" s="1"/>
  <c r="AM187" i="21"/>
  <c r="AH177" i="18"/>
  <c r="F203" i="18" s="1"/>
  <c r="AI178" i="18"/>
  <c r="AG188" i="18" s="1"/>
  <c r="G203" i="18" s="1"/>
  <c r="F72" i="18"/>
  <c r="C41" i="18" s="1"/>
  <c r="AF142" i="21"/>
  <c r="AC152" i="21" s="1"/>
  <c r="H161" i="21" s="1"/>
  <c r="AD141" i="21"/>
  <c r="AC151" i="21" s="1"/>
  <c r="G161" i="21" s="1"/>
  <c r="CV141" i="21"/>
  <c r="CU151" i="21" s="1"/>
  <c r="G171" i="21" s="1"/>
  <c r="CX142" i="21"/>
  <c r="CU152" i="21" s="1"/>
  <c r="H171" i="21" s="1"/>
  <c r="AT177" i="20"/>
  <c r="F205" i="20" s="1"/>
  <c r="AU178" i="20"/>
  <c r="AS188" i="20" s="1"/>
  <c r="G205" i="20" s="1"/>
  <c r="A117" i="19"/>
  <c r="A155" i="19" s="1"/>
  <c r="A191" i="19" s="1"/>
  <c r="A79" i="19"/>
  <c r="AS187" i="21"/>
  <c r="AE152" i="18"/>
  <c r="AF152" i="18" s="1"/>
  <c r="AE151" i="18"/>
  <c r="AF151" i="18" s="1"/>
  <c r="AE147" i="18"/>
  <c r="AF147" i="18" s="1"/>
  <c r="AE146" i="18"/>
  <c r="AF146" i="18" s="1"/>
  <c r="AE145" i="18"/>
  <c r="AF145" i="18" s="1"/>
  <c r="AE144" i="18"/>
  <c r="AF144" i="18" s="1"/>
  <c r="AE148" i="18"/>
  <c r="AF148" i="18" s="1"/>
  <c r="AE142" i="18"/>
  <c r="AE150" i="18"/>
  <c r="AF150" i="18" s="1"/>
  <c r="AE149" i="18"/>
  <c r="AF149" i="18" s="1"/>
  <c r="AE143" i="18"/>
  <c r="AF143" i="18" s="1"/>
  <c r="AS142" i="18"/>
  <c r="AS152" i="18"/>
  <c r="AT152" i="18" s="1"/>
  <c r="AS151" i="18"/>
  <c r="AT151" i="18" s="1"/>
  <c r="AS150" i="18"/>
  <c r="AT150" i="18" s="1"/>
  <c r="AS149" i="18"/>
  <c r="AT149" i="18" s="1"/>
  <c r="AS148" i="18"/>
  <c r="AT148" i="18" s="1"/>
  <c r="AS147" i="18"/>
  <c r="AT147" i="18" s="1"/>
  <c r="AS146" i="18"/>
  <c r="AT146" i="18" s="1"/>
  <c r="AS145" i="18"/>
  <c r="AT145" i="18" s="1"/>
  <c r="AS144" i="18"/>
  <c r="AT144" i="18" s="1"/>
  <c r="AS143" i="18"/>
  <c r="AT143" i="18" s="1"/>
  <c r="BU142" i="18"/>
  <c r="BU152" i="18"/>
  <c r="BV152" i="18" s="1"/>
  <c r="BU151" i="18"/>
  <c r="BV151" i="18" s="1"/>
  <c r="BU150" i="18"/>
  <c r="BV150" i="18" s="1"/>
  <c r="BU149" i="18"/>
  <c r="BV149" i="18" s="1"/>
  <c r="BU148" i="18"/>
  <c r="BV148" i="18" s="1"/>
  <c r="BU147" i="18"/>
  <c r="BV147" i="18" s="1"/>
  <c r="BU146" i="18"/>
  <c r="BV146" i="18" s="1"/>
  <c r="BU145" i="18"/>
  <c r="BV145" i="18" s="1"/>
  <c r="BU144" i="18"/>
  <c r="BV144" i="18" s="1"/>
  <c r="BU143" i="18"/>
  <c r="BV143" i="18" s="1"/>
  <c r="CI152" i="18"/>
  <c r="CJ152" i="18" s="1"/>
  <c r="CI151" i="18"/>
  <c r="CJ151" i="18" s="1"/>
  <c r="CI147" i="18"/>
  <c r="CJ147" i="18" s="1"/>
  <c r="CI146" i="18"/>
  <c r="CJ146" i="18" s="1"/>
  <c r="CI145" i="18"/>
  <c r="CJ145" i="18" s="1"/>
  <c r="CI144" i="18"/>
  <c r="CJ144" i="18" s="1"/>
  <c r="CI150" i="18"/>
  <c r="CJ150" i="18" s="1"/>
  <c r="CI149" i="18"/>
  <c r="CJ149" i="18" s="1"/>
  <c r="CI143" i="18"/>
  <c r="CJ143" i="18" s="1"/>
  <c r="CI142" i="18"/>
  <c r="CI148" i="18"/>
  <c r="CJ148" i="18" s="1"/>
  <c r="BU142" i="17"/>
  <c r="BU152" i="17"/>
  <c r="BV152" i="17" s="1"/>
  <c r="BU151" i="17"/>
  <c r="BV151" i="17" s="1"/>
  <c r="BU150" i="17"/>
  <c r="BV150" i="17" s="1"/>
  <c r="BU149" i="17"/>
  <c r="BV149" i="17" s="1"/>
  <c r="BU148" i="17"/>
  <c r="BV148" i="17" s="1"/>
  <c r="BU147" i="17"/>
  <c r="BV147" i="17" s="1"/>
  <c r="BU146" i="17"/>
  <c r="BV146" i="17" s="1"/>
  <c r="BU145" i="17"/>
  <c r="BV145" i="17" s="1"/>
  <c r="BU144" i="17"/>
  <c r="BV144" i="17" s="1"/>
  <c r="BU143" i="17"/>
  <c r="BV143" i="17" s="1"/>
  <c r="Q142" i="17"/>
  <c r="Q152" i="17"/>
  <c r="R152" i="17" s="1"/>
  <c r="Q151" i="17"/>
  <c r="R151" i="17" s="1"/>
  <c r="Q150" i="17"/>
  <c r="R150" i="17" s="1"/>
  <c r="Q149" i="17"/>
  <c r="R149" i="17" s="1"/>
  <c r="Q148" i="17"/>
  <c r="R148" i="17" s="1"/>
  <c r="Q147" i="17"/>
  <c r="R147" i="17" s="1"/>
  <c r="Q146" i="17"/>
  <c r="R146" i="17" s="1"/>
  <c r="Q145" i="17"/>
  <c r="R145" i="17" s="1"/>
  <c r="Q144" i="17"/>
  <c r="R144" i="17" s="1"/>
  <c r="Q143" i="17"/>
  <c r="R143" i="17" s="1"/>
  <c r="AZ152" i="17"/>
  <c r="BA152" i="17" s="1"/>
  <c r="AZ151" i="17"/>
  <c r="BA151" i="17" s="1"/>
  <c r="AZ147" i="17"/>
  <c r="BA147" i="17" s="1"/>
  <c r="AZ146" i="17"/>
  <c r="BA146" i="17" s="1"/>
  <c r="AZ145" i="17"/>
  <c r="BA145" i="17" s="1"/>
  <c r="AZ144" i="17"/>
  <c r="BA144" i="17" s="1"/>
  <c r="AZ142" i="17"/>
  <c r="AZ149" i="17"/>
  <c r="BA149" i="17" s="1"/>
  <c r="AZ148" i="17"/>
  <c r="BA148" i="17" s="1"/>
  <c r="AZ143" i="17"/>
  <c r="BA143" i="17" s="1"/>
  <c r="AZ150" i="17"/>
  <c r="BA150" i="17" s="1"/>
  <c r="BG152" i="15"/>
  <c r="BH152" i="15" s="1"/>
  <c r="BG151" i="15"/>
  <c r="BH151" i="15" s="1"/>
  <c r="BG147" i="15"/>
  <c r="BH147" i="15" s="1"/>
  <c r="BG146" i="15"/>
  <c r="BH146" i="15" s="1"/>
  <c r="BG145" i="15"/>
  <c r="BH145" i="15" s="1"/>
  <c r="BG144" i="15"/>
  <c r="BH144" i="15" s="1"/>
  <c r="BG143" i="15"/>
  <c r="BH143" i="15" s="1"/>
  <c r="BG142" i="15"/>
  <c r="BG150" i="15"/>
  <c r="BH150" i="15" s="1"/>
  <c r="BG148" i="15"/>
  <c r="BH148" i="15" s="1"/>
  <c r="BG149" i="15"/>
  <c r="BH149" i="15" s="1"/>
  <c r="BN150" i="15"/>
  <c r="BO150" i="15" s="1"/>
  <c r="BN149" i="15"/>
  <c r="BO149" i="15" s="1"/>
  <c r="BN148" i="15"/>
  <c r="BO148" i="15" s="1"/>
  <c r="BN143" i="15"/>
  <c r="BO143" i="15" s="1"/>
  <c r="BN152" i="15"/>
  <c r="BO152" i="15" s="1"/>
  <c r="BN151" i="15"/>
  <c r="BO151" i="15" s="1"/>
  <c r="BN147" i="15"/>
  <c r="BO147" i="15" s="1"/>
  <c r="BN146" i="15"/>
  <c r="BO146" i="15" s="1"/>
  <c r="BN145" i="15"/>
  <c r="BO145" i="15" s="1"/>
  <c r="BN144" i="15"/>
  <c r="BO144" i="15" s="1"/>
  <c r="BN142" i="15"/>
  <c r="CI152" i="15"/>
  <c r="CJ152" i="15" s="1"/>
  <c r="CI151" i="15"/>
  <c r="CJ151" i="15" s="1"/>
  <c r="CI147" i="15"/>
  <c r="CJ147" i="15" s="1"/>
  <c r="CI146" i="15"/>
  <c r="CJ146" i="15" s="1"/>
  <c r="CI145" i="15"/>
  <c r="CJ145" i="15" s="1"/>
  <c r="CI144" i="15"/>
  <c r="CJ144" i="15" s="1"/>
  <c r="CI150" i="15"/>
  <c r="CJ150" i="15" s="1"/>
  <c r="CI149" i="15"/>
  <c r="CJ149" i="15" s="1"/>
  <c r="CI148" i="15"/>
  <c r="CJ148" i="15" s="1"/>
  <c r="CI143" i="15"/>
  <c r="CJ143" i="15" s="1"/>
  <c r="CI142" i="15"/>
  <c r="AI178" i="23"/>
  <c r="AG188" i="23" s="1"/>
  <c r="G203" i="23" s="1"/>
  <c r="AH177" i="23"/>
  <c r="F203" i="23" s="1"/>
  <c r="AC178" i="15"/>
  <c r="AA188" i="15" s="1"/>
  <c r="G202" i="15" s="1"/>
  <c r="AB177" i="15"/>
  <c r="F202" i="15" s="1"/>
  <c r="V177" i="20"/>
  <c r="F201" i="20" s="1"/>
  <c r="W178" i="20"/>
  <c r="U188" i="20" s="1"/>
  <c r="G201" i="20" s="1"/>
  <c r="F72" i="20"/>
  <c r="C41" i="20" s="1"/>
  <c r="AC178" i="19"/>
  <c r="AA188" i="19" s="1"/>
  <c r="G202" i="19" s="1"/>
  <c r="AB177" i="19"/>
  <c r="F202" i="19" s="1"/>
  <c r="AZ152" i="19"/>
  <c r="BA152" i="19" s="1"/>
  <c r="AZ151" i="19"/>
  <c r="BA151" i="19" s="1"/>
  <c r="AZ147" i="19"/>
  <c r="BA147" i="19" s="1"/>
  <c r="AZ146" i="19"/>
  <c r="BA146" i="19" s="1"/>
  <c r="AZ145" i="19"/>
  <c r="BA145" i="19" s="1"/>
  <c r="AZ144" i="19"/>
  <c r="BA144" i="19" s="1"/>
  <c r="AZ142" i="19"/>
  <c r="AZ150" i="19"/>
  <c r="BA150" i="19" s="1"/>
  <c r="AZ149" i="19"/>
  <c r="BA149" i="19" s="1"/>
  <c r="AZ148" i="19"/>
  <c r="BA148" i="19" s="1"/>
  <c r="AZ143" i="19"/>
  <c r="BA143" i="19" s="1"/>
  <c r="AE152" i="19"/>
  <c r="AF152" i="19" s="1"/>
  <c r="AE151" i="19"/>
  <c r="AF151" i="19" s="1"/>
  <c r="AE147" i="19"/>
  <c r="AF147" i="19" s="1"/>
  <c r="AE146" i="19"/>
  <c r="AF146" i="19" s="1"/>
  <c r="AE145" i="19"/>
  <c r="AF145" i="19" s="1"/>
  <c r="AE144" i="19"/>
  <c r="AF144" i="19" s="1"/>
  <c r="AE142" i="19"/>
  <c r="AE150" i="19"/>
  <c r="AF150" i="19" s="1"/>
  <c r="AE149" i="19"/>
  <c r="AF149" i="19" s="1"/>
  <c r="AE148" i="19"/>
  <c r="AF148" i="19" s="1"/>
  <c r="AE143" i="19"/>
  <c r="AF143" i="19" s="1"/>
  <c r="BG152" i="19"/>
  <c r="BH152" i="19" s="1"/>
  <c r="BG151" i="19"/>
  <c r="BH151" i="19" s="1"/>
  <c r="BG147" i="19"/>
  <c r="BH147" i="19" s="1"/>
  <c r="BG146" i="19"/>
  <c r="BH146" i="19" s="1"/>
  <c r="BG145" i="19"/>
  <c r="BH145" i="19" s="1"/>
  <c r="BG144" i="19"/>
  <c r="BH144" i="19" s="1"/>
  <c r="BG142" i="19"/>
  <c r="BG149" i="19"/>
  <c r="BH149" i="19" s="1"/>
  <c r="BG148" i="19"/>
  <c r="BH148" i="19" s="1"/>
  <c r="BG143" i="19"/>
  <c r="BH143" i="19" s="1"/>
  <c r="BG150" i="19"/>
  <c r="BH150" i="19" s="1"/>
  <c r="F72" i="23"/>
  <c r="C41" i="23" s="1"/>
  <c r="F72" i="15"/>
  <c r="C41" i="15" s="1"/>
  <c r="P177" i="23"/>
  <c r="O187" i="23" s="1"/>
  <c r="F200" i="23" s="1"/>
  <c r="Q178" i="23"/>
  <c r="O188" i="23" s="1"/>
  <c r="G200" i="23" s="1"/>
  <c r="W141" i="21"/>
  <c r="V151" i="21" s="1"/>
  <c r="G160" i="21" s="1"/>
  <c r="Y142" i="21"/>
  <c r="V152" i="21" s="1"/>
  <c r="H160" i="21" s="1"/>
  <c r="P141" i="21"/>
  <c r="O151" i="21" s="1"/>
  <c r="G159" i="21" s="1"/>
  <c r="R142" i="21"/>
  <c r="O152" i="21" s="1"/>
  <c r="H159" i="21" s="1"/>
  <c r="L200" i="23" l="1"/>
  <c r="F182" i="21"/>
  <c r="L207" i="19"/>
  <c r="L207" i="23"/>
  <c r="L204" i="23"/>
  <c r="L201" i="23"/>
  <c r="L202" i="23"/>
  <c r="L205" i="23"/>
  <c r="L203" i="23"/>
  <c r="L206" i="23"/>
  <c r="I179" i="22"/>
  <c r="I195" i="22"/>
  <c r="F22" i="22" s="1"/>
  <c r="I183" i="22"/>
  <c r="I186" i="22"/>
  <c r="B197" i="22"/>
  <c r="I210" i="22"/>
  <c r="F37" i="22" s="1"/>
  <c r="I194" i="22"/>
  <c r="F21" i="22" s="1"/>
  <c r="I182" i="22"/>
  <c r="I205" i="22"/>
  <c r="F32" i="22" s="1"/>
  <c r="I191" i="22"/>
  <c r="F18" i="22" s="1"/>
  <c r="B190" i="22"/>
  <c r="B201" i="22"/>
  <c r="B200" i="22"/>
  <c r="I178" i="22"/>
  <c r="I207" i="22"/>
  <c r="F34" i="22" s="1"/>
  <c r="E47" i="22" s="1"/>
  <c r="B192" i="22"/>
  <c r="B199" i="22"/>
  <c r="I201" i="22"/>
  <c r="F28" i="22" s="1"/>
  <c r="B191" i="22"/>
  <c r="B207" i="22"/>
  <c r="I181" i="22"/>
  <c r="B195" i="22"/>
  <c r="I190" i="22"/>
  <c r="F17" i="22" s="1"/>
  <c r="I209" i="22"/>
  <c r="F36" i="22" s="1"/>
  <c r="I185" i="22"/>
  <c r="I196" i="22"/>
  <c r="F23" i="22" s="1"/>
  <c r="I184" i="22"/>
  <c r="I203" i="22"/>
  <c r="F30" i="22" s="1"/>
  <c r="I206" i="22"/>
  <c r="F33" i="22" s="1"/>
  <c r="I189" i="22"/>
  <c r="F16" i="22" s="1"/>
  <c r="B210" i="22"/>
  <c r="I193" i="22"/>
  <c r="F20" i="22" s="1"/>
  <c r="B203" i="22"/>
  <c r="B204" i="22"/>
  <c r="B209" i="22"/>
  <c r="I202" i="22"/>
  <c r="F29" i="22" s="1"/>
  <c r="D47" i="22" s="1"/>
  <c r="I197" i="22"/>
  <c r="F24" i="22" s="1"/>
  <c r="C47" i="22" s="1"/>
  <c r="I208" i="22"/>
  <c r="F35" i="22" s="1"/>
  <c r="G42" i="14" s="1"/>
  <c r="I180" i="22"/>
  <c r="B202" i="22"/>
  <c r="I188" i="22"/>
  <c r="I199" i="22"/>
  <c r="F26" i="22" s="1"/>
  <c r="B198" i="22"/>
  <c r="B206" i="22"/>
  <c r="B194" i="22"/>
  <c r="I187" i="22"/>
  <c r="I198" i="22"/>
  <c r="F25" i="22" s="1"/>
  <c r="B196" i="22"/>
  <c r="I200" i="22"/>
  <c r="F27" i="22" s="1"/>
  <c r="B193" i="22"/>
  <c r="I204" i="22"/>
  <c r="F31" i="22" s="1"/>
  <c r="B205" i="22"/>
  <c r="B208" i="22"/>
  <c r="I192" i="22"/>
  <c r="F19" i="22" s="1"/>
  <c r="B47" i="22" s="1"/>
  <c r="C178" i="21"/>
  <c r="C185" i="21"/>
  <c r="C187" i="21"/>
  <c r="C181" i="21"/>
  <c r="C179" i="21"/>
  <c r="C188" i="21"/>
  <c r="C183" i="21"/>
  <c r="C182" i="21"/>
  <c r="C184" i="21"/>
  <c r="C186" i="21"/>
  <c r="C180" i="21"/>
  <c r="L161" i="21"/>
  <c r="L160" i="21"/>
  <c r="L171" i="21"/>
  <c r="L164" i="21"/>
  <c r="L167" i="21"/>
  <c r="L169" i="21"/>
  <c r="L165" i="21"/>
  <c r="L162" i="21"/>
  <c r="L168" i="21"/>
  <c r="L163" i="21"/>
  <c r="L166" i="21"/>
  <c r="L170" i="21"/>
  <c r="L159" i="21"/>
  <c r="L205" i="19"/>
  <c r="L203" i="19"/>
  <c r="L204" i="19"/>
  <c r="L200" i="19"/>
  <c r="L206" i="19"/>
  <c r="L202" i="19"/>
  <c r="L201" i="19"/>
  <c r="L205" i="18"/>
  <c r="BE187" i="18"/>
  <c r="F207" i="18"/>
  <c r="L207" i="18" s="1"/>
  <c r="L207" i="17"/>
  <c r="L201" i="17"/>
  <c r="L200" i="17"/>
  <c r="F182" i="17" s="1"/>
  <c r="L206" i="17"/>
  <c r="L203" i="17"/>
  <c r="L204" i="17"/>
  <c r="L202" i="17"/>
  <c r="L205" i="17"/>
  <c r="L207" i="15"/>
  <c r="L203" i="15"/>
  <c r="L206" i="15"/>
  <c r="B197" i="31"/>
  <c r="B199" i="31"/>
  <c r="B208" i="31"/>
  <c r="B193" i="31"/>
  <c r="I184" i="31"/>
  <c r="B207" i="31"/>
  <c r="B202" i="31"/>
  <c r="I188" i="31"/>
  <c r="I207" i="31"/>
  <c r="F34" i="31" s="1"/>
  <c r="E47" i="31" s="1"/>
  <c r="I185" i="31"/>
  <c r="I191" i="31"/>
  <c r="F18" i="31" s="1"/>
  <c r="I208" i="31"/>
  <c r="F35" i="31" s="1"/>
  <c r="B195" i="31"/>
  <c r="I202" i="31"/>
  <c r="F29" i="31" s="1"/>
  <c r="D47" i="31" s="1"/>
  <c r="B210" i="31"/>
  <c r="I190" i="31"/>
  <c r="F17" i="31" s="1"/>
  <c r="I199" i="31"/>
  <c r="F26" i="31" s="1"/>
  <c r="I209" i="31"/>
  <c r="F36" i="31" s="1"/>
  <c r="I192" i="31"/>
  <c r="F19" i="31" s="1"/>
  <c r="B47" i="31" s="1"/>
  <c r="B198" i="31"/>
  <c r="B209" i="31"/>
  <c r="B190" i="31"/>
  <c r="I194" i="31"/>
  <c r="F21" i="31" s="1"/>
  <c r="I210" i="31"/>
  <c r="F37" i="31" s="1"/>
  <c r="B194" i="31"/>
  <c r="I189" i="31"/>
  <c r="F16" i="31" s="1"/>
  <c r="I204" i="31"/>
  <c r="F31" i="31" s="1"/>
  <c r="I201" i="31"/>
  <c r="F28" i="31" s="1"/>
  <c r="B200" i="31"/>
  <c r="I203" i="31"/>
  <c r="F30" i="31" s="1"/>
  <c r="B201" i="31"/>
  <c r="I187" i="31"/>
  <c r="B203" i="31"/>
  <c r="I186" i="31"/>
  <c r="B196" i="31"/>
  <c r="B204" i="31"/>
  <c r="I196" i="31"/>
  <c r="F23" i="31" s="1"/>
  <c r="I200" i="31"/>
  <c r="F27" i="31" s="1"/>
  <c r="I206" i="31"/>
  <c r="F33" i="31" s="1"/>
  <c r="B192" i="31"/>
  <c r="B191" i="31"/>
  <c r="I205" i="31"/>
  <c r="F32" i="31" s="1"/>
  <c r="I195" i="31"/>
  <c r="F22" i="31" s="1"/>
  <c r="I198" i="31"/>
  <c r="F25" i="31" s="1"/>
  <c r="B205" i="31"/>
  <c r="I193" i="31"/>
  <c r="F20" i="31" s="1"/>
  <c r="I197" i="31"/>
  <c r="F24" i="31" s="1"/>
  <c r="C47" i="31" s="1"/>
  <c r="B206" i="31"/>
  <c r="L204" i="15"/>
  <c r="L200" i="15"/>
  <c r="H155" i="31"/>
  <c r="E41" i="31" s="1"/>
  <c r="L205" i="15"/>
  <c r="L202" i="15"/>
  <c r="L201" i="15"/>
  <c r="H154" i="31"/>
  <c r="E40" i="31" s="1"/>
  <c r="L206" i="20"/>
  <c r="L204" i="20"/>
  <c r="L200" i="20"/>
  <c r="L207" i="20"/>
  <c r="L201" i="20"/>
  <c r="L202" i="20"/>
  <c r="L203" i="20"/>
  <c r="L205" i="20"/>
  <c r="A79" i="20"/>
  <c r="A117" i="20"/>
  <c r="A155" i="20" s="1"/>
  <c r="A191" i="20" s="1"/>
  <c r="AS187" i="20"/>
  <c r="AS187" i="18"/>
  <c r="AA187" i="18"/>
  <c r="BA142" i="18"/>
  <c r="AX152" i="18" s="1"/>
  <c r="H164" i="18" s="1"/>
  <c r="AY141" i="18"/>
  <c r="AX151" i="18" s="1"/>
  <c r="G164" i="18" s="1"/>
  <c r="L78" i="23"/>
  <c r="C18" i="23"/>
  <c r="CA141" i="19"/>
  <c r="BZ151" i="19" s="1"/>
  <c r="G168" i="19" s="1"/>
  <c r="CC142" i="19"/>
  <c r="BZ152" i="19" s="1"/>
  <c r="H168" i="19" s="1"/>
  <c r="CV141" i="18"/>
  <c r="CU151" i="18" s="1"/>
  <c r="G171" i="18" s="1"/>
  <c r="CX142" i="18"/>
  <c r="CU152" i="18" s="1"/>
  <c r="H171" i="18" s="1"/>
  <c r="L78" i="22"/>
  <c r="C18" i="22"/>
  <c r="BF141" i="23"/>
  <c r="BE151" i="23" s="1"/>
  <c r="G165" i="23" s="1"/>
  <c r="BH142" i="23"/>
  <c r="BE152" i="23" s="1"/>
  <c r="H165" i="23" s="1"/>
  <c r="R142" i="15"/>
  <c r="O152" i="15" s="1"/>
  <c r="H159" i="15" s="1"/>
  <c r="P141" i="15"/>
  <c r="O151" i="15" s="1"/>
  <c r="G159" i="15" s="1"/>
  <c r="BF141" i="17"/>
  <c r="BE151" i="17" s="1"/>
  <c r="G165" i="17" s="1"/>
  <c r="BH142" i="17"/>
  <c r="BE152" i="17" s="1"/>
  <c r="H165" i="17" s="1"/>
  <c r="C18" i="19"/>
  <c r="L78" i="19"/>
  <c r="CH141" i="17"/>
  <c r="CG151" i="17" s="1"/>
  <c r="G169" i="17" s="1"/>
  <c r="CJ142" i="17"/>
  <c r="CG152" i="17" s="1"/>
  <c r="H169" i="17" s="1"/>
  <c r="AM187" i="23"/>
  <c r="AK141" i="18"/>
  <c r="AJ151" i="18" s="1"/>
  <c r="G162" i="18" s="1"/>
  <c r="AM142" i="18"/>
  <c r="AJ152" i="18" s="1"/>
  <c r="H162" i="18" s="1"/>
  <c r="R142" i="20"/>
  <c r="O152" i="20" s="1"/>
  <c r="H159" i="20" s="1"/>
  <c r="P141" i="20"/>
  <c r="O151" i="20" s="1"/>
  <c r="G159" i="20" s="1"/>
  <c r="BF141" i="15"/>
  <c r="BE151" i="15" s="1"/>
  <c r="G165" i="15" s="1"/>
  <c r="BH142" i="15"/>
  <c r="BE152" i="15" s="1"/>
  <c r="H165" i="15" s="1"/>
  <c r="AR141" i="18"/>
  <c r="AQ151" i="18" s="1"/>
  <c r="G163" i="18" s="1"/>
  <c r="AT142" i="18"/>
  <c r="AQ152" i="18" s="1"/>
  <c r="H163" i="18" s="1"/>
  <c r="AA187" i="20"/>
  <c r="AM187" i="20"/>
  <c r="BV142" i="20"/>
  <c r="BS152" i="20" s="1"/>
  <c r="H167" i="20" s="1"/>
  <c r="BT141" i="20"/>
  <c r="BS151" i="20" s="1"/>
  <c r="G167" i="20" s="1"/>
  <c r="AM187" i="15"/>
  <c r="W141" i="17"/>
  <c r="V151" i="17" s="1"/>
  <c r="G160" i="17" s="1"/>
  <c r="Y142" i="17"/>
  <c r="V152" i="17" s="1"/>
  <c r="H160" i="17" s="1"/>
  <c r="L79" i="21"/>
  <c r="C19" i="21"/>
  <c r="B44" i="21" s="1"/>
  <c r="C80" i="23"/>
  <c r="D156" i="23"/>
  <c r="I79" i="23"/>
  <c r="B79" i="23"/>
  <c r="AG187" i="15"/>
  <c r="CO141" i="18"/>
  <c r="CN151" i="18" s="1"/>
  <c r="G170" i="18" s="1"/>
  <c r="CQ142" i="18"/>
  <c r="CN152" i="18" s="1"/>
  <c r="H170" i="18" s="1"/>
  <c r="U187" i="23"/>
  <c r="R142" i="19"/>
  <c r="O152" i="19" s="1"/>
  <c r="H159" i="19" s="1"/>
  <c r="P141" i="19"/>
  <c r="O151" i="19" s="1"/>
  <c r="G159" i="19" s="1"/>
  <c r="CO141" i="19"/>
  <c r="CN151" i="19" s="1"/>
  <c r="G170" i="19" s="1"/>
  <c r="CQ142" i="19"/>
  <c r="CN152" i="19" s="1"/>
  <c r="H170" i="19" s="1"/>
  <c r="CC142" i="15"/>
  <c r="BZ152" i="15" s="1"/>
  <c r="H168" i="15" s="1"/>
  <c r="CA141" i="15"/>
  <c r="BZ151" i="15" s="1"/>
  <c r="G168" i="15" s="1"/>
  <c r="AM142" i="17"/>
  <c r="AJ152" i="17" s="1"/>
  <c r="H162" i="17" s="1"/>
  <c r="AK141" i="17"/>
  <c r="AJ151" i="17" s="1"/>
  <c r="G162" i="17" s="1"/>
  <c r="BA142" i="23"/>
  <c r="AX152" i="23" s="1"/>
  <c r="H164" i="23" s="1"/>
  <c r="AY141" i="23"/>
  <c r="AX151" i="23" s="1"/>
  <c r="G164" i="23" s="1"/>
  <c r="BA142" i="20"/>
  <c r="AX152" i="20" s="1"/>
  <c r="H164" i="20" s="1"/>
  <c r="AY141" i="20"/>
  <c r="AX151" i="20" s="1"/>
  <c r="G164" i="20" s="1"/>
  <c r="CH141" i="20"/>
  <c r="CG151" i="20" s="1"/>
  <c r="G169" i="20" s="1"/>
  <c r="CJ142" i="20"/>
  <c r="CG152" i="20" s="1"/>
  <c r="H169" i="20" s="1"/>
  <c r="BF141" i="20"/>
  <c r="BE151" i="20" s="1"/>
  <c r="G165" i="20" s="1"/>
  <c r="BH142" i="20"/>
  <c r="BE152" i="20" s="1"/>
  <c r="H165" i="20" s="1"/>
  <c r="AG187" i="17"/>
  <c r="CQ142" i="17"/>
  <c r="CN152" i="17" s="1"/>
  <c r="H170" i="17" s="1"/>
  <c r="CO141" i="17"/>
  <c r="CN151" i="17" s="1"/>
  <c r="G170" i="17" s="1"/>
  <c r="AM187" i="17"/>
  <c r="AR141" i="19"/>
  <c r="AQ151" i="19" s="1"/>
  <c r="G163" i="19" s="1"/>
  <c r="AT142" i="19"/>
  <c r="AQ152" i="19" s="1"/>
  <c r="H163" i="19" s="1"/>
  <c r="AS187" i="15"/>
  <c r="AD141" i="19"/>
  <c r="AC151" i="19" s="1"/>
  <c r="G161" i="19" s="1"/>
  <c r="AF142" i="19"/>
  <c r="AC152" i="19" s="1"/>
  <c r="H161" i="19" s="1"/>
  <c r="AG187" i="23"/>
  <c r="BA142" i="17"/>
  <c r="AX152" i="17" s="1"/>
  <c r="H164" i="17" s="1"/>
  <c r="AY141" i="17"/>
  <c r="AX151" i="17" s="1"/>
  <c r="G164" i="17" s="1"/>
  <c r="BT141" i="17"/>
  <c r="BS151" i="17" s="1"/>
  <c r="G167" i="17" s="1"/>
  <c r="BV142" i="17"/>
  <c r="BS152" i="17" s="1"/>
  <c r="H167" i="17" s="1"/>
  <c r="CH141" i="18"/>
  <c r="CG151" i="18" s="1"/>
  <c r="G169" i="18" s="1"/>
  <c r="CJ142" i="18"/>
  <c r="CG152" i="18" s="1"/>
  <c r="H169" i="18" s="1"/>
  <c r="BT141" i="18"/>
  <c r="BS151" i="18" s="1"/>
  <c r="G167" i="18" s="1"/>
  <c r="BV142" i="18"/>
  <c r="BS152" i="18" s="1"/>
  <c r="H167" i="18" s="1"/>
  <c r="A118" i="19"/>
  <c r="A156" i="19" s="1"/>
  <c r="A192" i="19" s="1"/>
  <c r="A80" i="19"/>
  <c r="Y142" i="22"/>
  <c r="V152" i="22" s="1"/>
  <c r="H160" i="22" s="1"/>
  <c r="W141" i="22"/>
  <c r="V151" i="22" s="1"/>
  <c r="G160" i="22" s="1"/>
  <c r="CV141" i="23"/>
  <c r="CU151" i="23" s="1"/>
  <c r="G171" i="23" s="1"/>
  <c r="CX142" i="23"/>
  <c r="CU152" i="23" s="1"/>
  <c r="H171" i="23" s="1"/>
  <c r="P141" i="23"/>
  <c r="O151" i="23" s="1"/>
  <c r="G159" i="23" s="1"/>
  <c r="R142" i="23"/>
  <c r="O152" i="23" s="1"/>
  <c r="H159" i="23" s="1"/>
  <c r="W141" i="20"/>
  <c r="V151" i="20" s="1"/>
  <c r="G160" i="20" s="1"/>
  <c r="Y142" i="20"/>
  <c r="V152" i="20" s="1"/>
  <c r="H160" i="20" s="1"/>
  <c r="Y142" i="19"/>
  <c r="V152" i="19" s="1"/>
  <c r="H160" i="19" s="1"/>
  <c r="W141" i="19"/>
  <c r="V151" i="19" s="1"/>
  <c r="G160" i="19" s="1"/>
  <c r="C18" i="15"/>
  <c r="L78" i="15"/>
  <c r="BE187" i="23"/>
  <c r="AG187" i="20"/>
  <c r="CV141" i="22"/>
  <c r="CU151" i="22" s="1"/>
  <c r="G171" i="22" s="1"/>
  <c r="CX142" i="22"/>
  <c r="CU152" i="22" s="1"/>
  <c r="H171" i="22" s="1"/>
  <c r="AS187" i="19"/>
  <c r="CX142" i="15"/>
  <c r="CU152" i="15" s="1"/>
  <c r="H171" i="15" s="1"/>
  <c r="CV141" i="15"/>
  <c r="CU151" i="15" s="1"/>
  <c r="G171" i="15" s="1"/>
  <c r="C80" i="22"/>
  <c r="D156" i="22"/>
  <c r="B79" i="22"/>
  <c r="I79" i="22"/>
  <c r="BE187" i="15"/>
  <c r="AK141" i="22"/>
  <c r="AJ151" i="22" s="1"/>
  <c r="G162" i="22" s="1"/>
  <c r="AM142" i="22"/>
  <c r="AJ152" i="22" s="1"/>
  <c r="H162" i="22" s="1"/>
  <c r="CO141" i="23"/>
  <c r="CN151" i="23" s="1"/>
  <c r="G170" i="23" s="1"/>
  <c r="CQ142" i="23"/>
  <c r="CN152" i="23" s="1"/>
  <c r="H170" i="23" s="1"/>
  <c r="BO142" i="19"/>
  <c r="BL152" i="19" s="1"/>
  <c r="H166" i="19" s="1"/>
  <c r="BM141" i="19"/>
  <c r="BL151" i="19" s="1"/>
  <c r="G166" i="19" s="1"/>
  <c r="L78" i="20"/>
  <c r="R142" i="18"/>
  <c r="O152" i="18" s="1"/>
  <c r="H159" i="18" s="1"/>
  <c r="P141" i="18"/>
  <c r="O151" i="18" s="1"/>
  <c r="G159" i="18" s="1"/>
  <c r="AG187" i="19"/>
  <c r="AA187" i="23"/>
  <c r="A117" i="23"/>
  <c r="A155" i="23" s="1"/>
  <c r="A191" i="23" s="1"/>
  <c r="A79" i="23"/>
  <c r="CQ142" i="22"/>
  <c r="CN152" i="22" s="1"/>
  <c r="H170" i="22" s="1"/>
  <c r="CO141" i="22"/>
  <c r="CN151" i="22" s="1"/>
  <c r="G170" i="22" s="1"/>
  <c r="AF142" i="23"/>
  <c r="AC152" i="23" s="1"/>
  <c r="H161" i="23" s="1"/>
  <c r="AD141" i="23"/>
  <c r="AC151" i="23" s="1"/>
  <c r="G161" i="23" s="1"/>
  <c r="CH141" i="19"/>
  <c r="CG151" i="19" s="1"/>
  <c r="G169" i="19" s="1"/>
  <c r="CJ142" i="19"/>
  <c r="CG152" i="19" s="1"/>
  <c r="H169" i="19" s="1"/>
  <c r="AM142" i="15"/>
  <c r="AJ152" i="15" s="1"/>
  <c r="H162" i="15" s="1"/>
  <c r="AK141" i="15"/>
  <c r="AJ151" i="15" s="1"/>
  <c r="G162" i="15" s="1"/>
  <c r="AS187" i="17"/>
  <c r="AF142" i="20"/>
  <c r="AC152" i="20" s="1"/>
  <c r="H161" i="20" s="1"/>
  <c r="AD141" i="20"/>
  <c r="AC151" i="20" s="1"/>
  <c r="G161" i="20" s="1"/>
  <c r="D156" i="18"/>
  <c r="C80" i="18"/>
  <c r="I79" i="18"/>
  <c r="B79" i="18"/>
  <c r="CX142" i="19"/>
  <c r="CU152" i="19" s="1"/>
  <c r="H171" i="19" s="1"/>
  <c r="CV141" i="19"/>
  <c r="CU151" i="19" s="1"/>
  <c r="G171" i="19" s="1"/>
  <c r="AY187" i="15"/>
  <c r="CX142" i="17"/>
  <c r="CU152" i="17" s="1"/>
  <c r="H171" i="17" s="1"/>
  <c r="CV141" i="17"/>
  <c r="CU151" i="17" s="1"/>
  <c r="G171" i="17" s="1"/>
  <c r="U187" i="19"/>
  <c r="A119" i="15"/>
  <c r="A157" i="15" s="1"/>
  <c r="A193" i="15" s="1"/>
  <c r="A81" i="15"/>
  <c r="U187" i="17"/>
  <c r="AY187" i="19"/>
  <c r="U187" i="20"/>
  <c r="CJ142" i="15"/>
  <c r="CG152" i="15" s="1"/>
  <c r="H169" i="15" s="1"/>
  <c r="CH141" i="15"/>
  <c r="CG151" i="15" s="1"/>
  <c r="G169" i="15" s="1"/>
  <c r="AG187" i="18"/>
  <c r="BM141" i="22"/>
  <c r="BL151" i="22" s="1"/>
  <c r="G166" i="22" s="1"/>
  <c r="BO142" i="22"/>
  <c r="BL152" i="22" s="1"/>
  <c r="H166" i="22" s="1"/>
  <c r="BV142" i="15"/>
  <c r="BS152" i="15" s="1"/>
  <c r="H167" i="15" s="1"/>
  <c r="BT141" i="15"/>
  <c r="BS151" i="15" s="1"/>
  <c r="G167" i="15" s="1"/>
  <c r="BE187" i="19"/>
  <c r="AY187" i="17"/>
  <c r="BT141" i="23"/>
  <c r="BS151" i="23" s="1"/>
  <c r="G167" i="23" s="1"/>
  <c r="BV142" i="23"/>
  <c r="BS152" i="23" s="1"/>
  <c r="H167" i="23" s="1"/>
  <c r="AA187" i="17"/>
  <c r="BA142" i="15"/>
  <c r="AX152" i="15" s="1"/>
  <c r="H164" i="15" s="1"/>
  <c r="AY141" i="15"/>
  <c r="AX151" i="15" s="1"/>
  <c r="G164" i="15" s="1"/>
  <c r="AR141" i="17"/>
  <c r="AQ151" i="17" s="1"/>
  <c r="G163" i="17" s="1"/>
  <c r="AT142" i="17"/>
  <c r="AQ152" i="17" s="1"/>
  <c r="H163" i="17" s="1"/>
  <c r="CH141" i="22"/>
  <c r="CG151" i="22" s="1"/>
  <c r="G169" i="22" s="1"/>
  <c r="CJ142" i="22"/>
  <c r="CG152" i="22" s="1"/>
  <c r="H169" i="22" s="1"/>
  <c r="AK141" i="23"/>
  <c r="AJ151" i="23" s="1"/>
  <c r="G162" i="23" s="1"/>
  <c r="AM142" i="23"/>
  <c r="AJ152" i="23" s="1"/>
  <c r="H162" i="23" s="1"/>
  <c r="AM142" i="19"/>
  <c r="AJ152" i="19" s="1"/>
  <c r="H162" i="19" s="1"/>
  <c r="AK141" i="19"/>
  <c r="AJ151" i="19" s="1"/>
  <c r="G162" i="19" s="1"/>
  <c r="Y142" i="15"/>
  <c r="V152" i="15" s="1"/>
  <c r="H160" i="15" s="1"/>
  <c r="W141" i="15"/>
  <c r="V151" i="15" s="1"/>
  <c r="G160" i="15" s="1"/>
  <c r="AS187" i="23"/>
  <c r="AT142" i="22"/>
  <c r="AQ152" i="22" s="1"/>
  <c r="H163" i="22" s="1"/>
  <c r="AR141" i="22"/>
  <c r="AQ151" i="22" s="1"/>
  <c r="G163" i="22" s="1"/>
  <c r="CQ142" i="20"/>
  <c r="CN152" i="20" s="1"/>
  <c r="H170" i="20" s="1"/>
  <c r="CO141" i="20"/>
  <c r="CN151" i="20" s="1"/>
  <c r="G170" i="20" s="1"/>
  <c r="L78" i="18"/>
  <c r="C18" i="18"/>
  <c r="A117" i="21"/>
  <c r="A155" i="21" s="1"/>
  <c r="A191" i="21" s="1"/>
  <c r="A79" i="21"/>
  <c r="U187" i="15"/>
  <c r="BA142" i="19"/>
  <c r="AX152" i="19" s="1"/>
  <c r="H164" i="19" s="1"/>
  <c r="AY141" i="19"/>
  <c r="AX151" i="19" s="1"/>
  <c r="G164" i="19" s="1"/>
  <c r="AA187" i="15"/>
  <c r="AF142" i="18"/>
  <c r="AC152" i="18" s="1"/>
  <c r="H161" i="18" s="1"/>
  <c r="AD141" i="18"/>
  <c r="AC151" i="18" s="1"/>
  <c r="G161" i="18" s="1"/>
  <c r="AK141" i="20"/>
  <c r="AJ151" i="20" s="1"/>
  <c r="G162" i="20" s="1"/>
  <c r="AM142" i="20"/>
  <c r="AJ152" i="20" s="1"/>
  <c r="H162" i="20" s="1"/>
  <c r="BO142" i="20"/>
  <c r="BL152" i="20" s="1"/>
  <c r="H166" i="20" s="1"/>
  <c r="BM141" i="20"/>
  <c r="BL151" i="20" s="1"/>
  <c r="G166" i="20" s="1"/>
  <c r="AY141" i="22"/>
  <c r="AX151" i="22" s="1"/>
  <c r="G164" i="22" s="1"/>
  <c r="BA142" i="22"/>
  <c r="AX152" i="22" s="1"/>
  <c r="H164" i="22" s="1"/>
  <c r="AR141" i="23"/>
  <c r="AQ151" i="23" s="1"/>
  <c r="G163" i="23" s="1"/>
  <c r="AT142" i="23"/>
  <c r="AQ152" i="23" s="1"/>
  <c r="H163" i="23" s="1"/>
  <c r="AF142" i="22"/>
  <c r="AC152" i="22" s="1"/>
  <c r="H161" i="22" s="1"/>
  <c r="AD141" i="22"/>
  <c r="AC151" i="22" s="1"/>
  <c r="G161" i="22" s="1"/>
  <c r="AY187" i="20"/>
  <c r="U187" i="18"/>
  <c r="AF142" i="17"/>
  <c r="AC152" i="17" s="1"/>
  <c r="H161" i="17" s="1"/>
  <c r="AD141" i="17"/>
  <c r="AC151" i="17" s="1"/>
  <c r="G161" i="17" s="1"/>
  <c r="L78" i="17"/>
  <c r="C18" i="17"/>
  <c r="AM187" i="19"/>
  <c r="AM187" i="18"/>
  <c r="BH142" i="22"/>
  <c r="BE152" i="22" s="1"/>
  <c r="H165" i="22" s="1"/>
  <c r="BF141" i="22"/>
  <c r="BE151" i="22" s="1"/>
  <c r="G165" i="22" s="1"/>
  <c r="CX142" i="20"/>
  <c r="CU152" i="20" s="1"/>
  <c r="H171" i="20" s="1"/>
  <c r="CV141" i="20"/>
  <c r="CU151" i="20" s="1"/>
  <c r="G171" i="20" s="1"/>
  <c r="AT142" i="15"/>
  <c r="AQ152" i="15" s="1"/>
  <c r="H163" i="15" s="1"/>
  <c r="AR141" i="15"/>
  <c r="AQ151" i="15" s="1"/>
  <c r="G163" i="15" s="1"/>
  <c r="A80" i="18"/>
  <c r="A118" i="18"/>
  <c r="A156" i="18" s="1"/>
  <c r="A192" i="18" s="1"/>
  <c r="AF142" i="15"/>
  <c r="AC152" i="15" s="1"/>
  <c r="H161" i="15" s="1"/>
  <c r="AD141" i="15"/>
  <c r="AC151" i="15" s="1"/>
  <c r="G161" i="15" s="1"/>
  <c r="W141" i="18"/>
  <c r="V151" i="18" s="1"/>
  <c r="G160" i="18" s="1"/>
  <c r="Y142" i="18"/>
  <c r="V152" i="18" s="1"/>
  <c r="H160" i="18" s="1"/>
  <c r="A118" i="17"/>
  <c r="A156" i="17" s="1"/>
  <c r="A192" i="17" s="1"/>
  <c r="A80" i="17"/>
  <c r="BF141" i="19"/>
  <c r="BE151" i="19" s="1"/>
  <c r="G165" i="19" s="1"/>
  <c r="BH142" i="19"/>
  <c r="BE152" i="19" s="1"/>
  <c r="H165" i="19" s="1"/>
  <c r="AA187" i="19"/>
  <c r="BM141" i="15"/>
  <c r="BL151" i="15" s="1"/>
  <c r="G166" i="15" s="1"/>
  <c r="BO142" i="15"/>
  <c r="BL152" i="15" s="1"/>
  <c r="H166" i="15" s="1"/>
  <c r="R142" i="17"/>
  <c r="O152" i="17" s="1"/>
  <c r="H159" i="17" s="1"/>
  <c r="P141" i="17"/>
  <c r="O151" i="17" s="1"/>
  <c r="G159" i="17" s="1"/>
  <c r="BE187" i="17"/>
  <c r="CC142" i="22"/>
  <c r="BZ152" i="22" s="1"/>
  <c r="H168" i="22" s="1"/>
  <c r="CA141" i="22"/>
  <c r="BZ151" i="22" s="1"/>
  <c r="G168" i="22" s="1"/>
  <c r="R142" i="22"/>
  <c r="O152" i="22" s="1"/>
  <c r="H159" i="22" s="1"/>
  <c r="P141" i="22"/>
  <c r="O151" i="22" s="1"/>
  <c r="G159" i="22" s="1"/>
  <c r="Y142" i="23"/>
  <c r="V152" i="23" s="1"/>
  <c r="H160" i="23" s="1"/>
  <c r="W141" i="23"/>
  <c r="V151" i="23" s="1"/>
  <c r="G160" i="23" s="1"/>
  <c r="BO142" i="23"/>
  <c r="BL152" i="23" s="1"/>
  <c r="H166" i="23" s="1"/>
  <c r="BM141" i="23"/>
  <c r="BL151" i="23" s="1"/>
  <c r="G166" i="23" s="1"/>
  <c r="AY187" i="18"/>
  <c r="D156" i="15"/>
  <c r="C80" i="15"/>
  <c r="I79" i="15"/>
  <c r="B79" i="15"/>
  <c r="C81" i="21"/>
  <c r="D157" i="21"/>
  <c r="B80" i="21"/>
  <c r="I80" i="21"/>
  <c r="AR141" i="20"/>
  <c r="AQ151" i="20" s="1"/>
  <c r="G163" i="20" s="1"/>
  <c r="AT142" i="20"/>
  <c r="AQ152" i="20" s="1"/>
  <c r="H163" i="20" s="1"/>
  <c r="CA141" i="17"/>
  <c r="BZ151" i="17" s="1"/>
  <c r="G168" i="17" s="1"/>
  <c r="CC142" i="17"/>
  <c r="BZ152" i="17" s="1"/>
  <c r="H168" i="17" s="1"/>
  <c r="CJ142" i="23"/>
  <c r="CG152" i="23" s="1"/>
  <c r="H169" i="23" s="1"/>
  <c r="CH141" i="23"/>
  <c r="CG151" i="23" s="1"/>
  <c r="G169" i="23" s="1"/>
  <c r="CQ142" i="15"/>
  <c r="CN152" i="15" s="1"/>
  <c r="H170" i="15" s="1"/>
  <c r="CO141" i="15"/>
  <c r="CN151" i="15" s="1"/>
  <c r="G170" i="15" s="1"/>
  <c r="C80" i="20"/>
  <c r="D156" i="20"/>
  <c r="B79" i="20"/>
  <c r="I79" i="20"/>
  <c r="C19" i="20" s="1"/>
  <c r="B44" i="20" s="1"/>
  <c r="BM141" i="17"/>
  <c r="BL151" i="17" s="1"/>
  <c r="G166" i="17" s="1"/>
  <c r="BO142" i="17"/>
  <c r="BL152" i="17" s="1"/>
  <c r="H166" i="17" s="1"/>
  <c r="CC142" i="18"/>
  <c r="BZ152" i="18" s="1"/>
  <c r="H168" i="18" s="1"/>
  <c r="CA141" i="18"/>
  <c r="BZ151" i="18" s="1"/>
  <c r="G168" i="18" s="1"/>
  <c r="D156" i="19"/>
  <c r="C80" i="19"/>
  <c r="I79" i="19"/>
  <c r="B79" i="19"/>
  <c r="D156" i="17"/>
  <c r="C80" i="17"/>
  <c r="I79" i="17"/>
  <c r="B79" i="17"/>
  <c r="BE187" i="20"/>
  <c r="A117" i="22"/>
  <c r="A155" i="22" s="1"/>
  <c r="A191" i="22" s="1"/>
  <c r="A79" i="22"/>
  <c r="CA141" i="23"/>
  <c r="BZ151" i="23" s="1"/>
  <c r="G168" i="23" s="1"/>
  <c r="CC142" i="23"/>
  <c r="BZ152" i="23" s="1"/>
  <c r="H168" i="23" s="1"/>
  <c r="BV142" i="19"/>
  <c r="BS152" i="19" s="1"/>
  <c r="H167" i="19" s="1"/>
  <c r="BT141" i="19"/>
  <c r="BS151" i="19" s="1"/>
  <c r="G167" i="19" s="1"/>
  <c r="BF141" i="18"/>
  <c r="BE151" i="18" s="1"/>
  <c r="G165" i="18" s="1"/>
  <c r="BH142" i="18"/>
  <c r="BE152" i="18" s="1"/>
  <c r="H165" i="18" s="1"/>
  <c r="CA141" i="20"/>
  <c r="BZ151" i="20" s="1"/>
  <c r="G168" i="20" s="1"/>
  <c r="CC142" i="20"/>
  <c r="BZ152" i="20" s="1"/>
  <c r="H168" i="20" s="1"/>
  <c r="AY187" i="23"/>
  <c r="BM141" i="18"/>
  <c r="BL151" i="18" s="1"/>
  <c r="G166" i="18" s="1"/>
  <c r="BO142" i="18"/>
  <c r="BL152" i="18" s="1"/>
  <c r="H166" i="18" s="1"/>
  <c r="BV142" i="22"/>
  <c r="BS152" i="22" s="1"/>
  <c r="H167" i="22" s="1"/>
  <c r="BT141" i="22"/>
  <c r="BS151" i="22" s="1"/>
  <c r="G167" i="22" s="1"/>
  <c r="F182" i="19" l="1"/>
  <c r="D42" i="14"/>
  <c r="F42" i="14"/>
  <c r="N200" i="23"/>
  <c r="C188" i="23"/>
  <c r="L167" i="22"/>
  <c r="F182" i="20"/>
  <c r="C178" i="20" s="1"/>
  <c r="L163" i="20"/>
  <c r="L168" i="18"/>
  <c r="L164" i="22"/>
  <c r="L166" i="22"/>
  <c r="L168" i="22"/>
  <c r="L162" i="22"/>
  <c r="F9" i="22"/>
  <c r="J182" i="22"/>
  <c r="K182" i="22"/>
  <c r="F13" i="22"/>
  <c r="J186" i="22"/>
  <c r="K186" i="22"/>
  <c r="L159" i="22"/>
  <c r="L165" i="22"/>
  <c r="L163" i="22"/>
  <c r="L170" i="22"/>
  <c r="J180" i="22"/>
  <c r="K180" i="22"/>
  <c r="F7" i="22"/>
  <c r="J184" i="22"/>
  <c r="K184" i="22"/>
  <c r="F11" i="22"/>
  <c r="K183" i="22"/>
  <c r="J183" i="22"/>
  <c r="F10" i="22"/>
  <c r="L171" i="22"/>
  <c r="K187" i="22"/>
  <c r="F14" i="22"/>
  <c r="J187" i="22"/>
  <c r="K178" i="22"/>
  <c r="I177" i="22"/>
  <c r="G190" i="22" s="1"/>
  <c r="F39" i="22" s="1"/>
  <c r="F5" i="22"/>
  <c r="J178" i="22"/>
  <c r="L161" i="22"/>
  <c r="L169" i="22"/>
  <c r="L160" i="22"/>
  <c r="E42" i="14"/>
  <c r="F15" i="22"/>
  <c r="K188" i="22"/>
  <c r="J188" i="22"/>
  <c r="K185" i="22"/>
  <c r="J185" i="22"/>
  <c r="F12" i="22"/>
  <c r="J181" i="22"/>
  <c r="K181" i="22"/>
  <c r="F8" i="22"/>
  <c r="F6" i="22"/>
  <c r="K179" i="22"/>
  <c r="J179" i="22"/>
  <c r="F187" i="21"/>
  <c r="F186" i="21"/>
  <c r="F188" i="21" s="1"/>
  <c r="L171" i="20"/>
  <c r="L160" i="20"/>
  <c r="L164" i="20"/>
  <c r="L167" i="20"/>
  <c r="L169" i="20"/>
  <c r="L159" i="20"/>
  <c r="L162" i="20"/>
  <c r="L170" i="20"/>
  <c r="L161" i="20"/>
  <c r="L165" i="20"/>
  <c r="L168" i="20"/>
  <c r="L166" i="20"/>
  <c r="C178" i="19"/>
  <c r="C180" i="19"/>
  <c r="C186" i="19"/>
  <c r="C184" i="19"/>
  <c r="C188" i="19"/>
  <c r="C179" i="19"/>
  <c r="C181" i="19"/>
  <c r="C183" i="19"/>
  <c r="C187" i="19"/>
  <c r="C182" i="19"/>
  <c r="C185" i="19"/>
  <c r="L161" i="18"/>
  <c r="L171" i="18"/>
  <c r="L203" i="18"/>
  <c r="L159" i="18"/>
  <c r="G147" i="18" s="1"/>
  <c r="L163" i="18"/>
  <c r="L201" i="18"/>
  <c r="L170" i="18"/>
  <c r="L164" i="18"/>
  <c r="L204" i="18"/>
  <c r="L206" i="18"/>
  <c r="L160" i="18"/>
  <c r="L166" i="18"/>
  <c r="L169" i="18"/>
  <c r="L165" i="18"/>
  <c r="L167" i="18"/>
  <c r="L162" i="18"/>
  <c r="L200" i="18"/>
  <c r="F182" i="18" s="1"/>
  <c r="L202" i="18"/>
  <c r="L160" i="15"/>
  <c r="F182" i="15"/>
  <c r="C181" i="15" s="1"/>
  <c r="L169" i="17"/>
  <c r="L168" i="17"/>
  <c r="L161" i="17"/>
  <c r="L159" i="17"/>
  <c r="L163" i="17"/>
  <c r="L167" i="17"/>
  <c r="L162" i="17"/>
  <c r="L160" i="17"/>
  <c r="L165" i="17"/>
  <c r="C178" i="17"/>
  <c r="C179" i="17"/>
  <c r="C185" i="17"/>
  <c r="C184" i="17"/>
  <c r="C181" i="17"/>
  <c r="C187" i="17"/>
  <c r="C182" i="17"/>
  <c r="C186" i="17"/>
  <c r="C180" i="17"/>
  <c r="C183" i="17"/>
  <c r="C188" i="17"/>
  <c r="L166" i="17"/>
  <c r="L171" i="17"/>
  <c r="L164" i="17"/>
  <c r="L170" i="17"/>
  <c r="L166" i="15"/>
  <c r="L170" i="15"/>
  <c r="L168" i="15"/>
  <c r="L162" i="15"/>
  <c r="C182" i="15"/>
  <c r="E12" i="14"/>
  <c r="C48" i="31"/>
  <c r="F14" i="31"/>
  <c r="J187" i="31"/>
  <c r="K187" i="31"/>
  <c r="G12" i="14"/>
  <c r="E48" i="31"/>
  <c r="K188" i="31"/>
  <c r="F15" i="31"/>
  <c r="J188" i="31"/>
  <c r="L167" i="15"/>
  <c r="L159" i="15"/>
  <c r="L161" i="15"/>
  <c r="L169" i="15"/>
  <c r="L171" i="15"/>
  <c r="L165" i="15"/>
  <c r="D12" i="14"/>
  <c r="B48" i="31"/>
  <c r="F13" i="31"/>
  <c r="K186" i="31"/>
  <c r="J186" i="31"/>
  <c r="F12" i="14"/>
  <c r="D48" i="31"/>
  <c r="K185" i="31"/>
  <c r="J185" i="31"/>
  <c r="F12" i="31"/>
  <c r="L163" i="15"/>
  <c r="L164" i="15"/>
  <c r="J184" i="31"/>
  <c r="F11" i="31"/>
  <c r="I177" i="31"/>
  <c r="G190" i="31" s="1"/>
  <c r="F39" i="31" s="1"/>
  <c r="K184" i="31"/>
  <c r="G191" i="31" s="1"/>
  <c r="F40" i="31" s="1"/>
  <c r="C185" i="20"/>
  <c r="C184" i="20"/>
  <c r="C186" i="20"/>
  <c r="C183" i="20"/>
  <c r="C188" i="20"/>
  <c r="C180" i="20"/>
  <c r="L171" i="19"/>
  <c r="L167" i="19"/>
  <c r="L160" i="19"/>
  <c r="L169" i="19"/>
  <c r="L170" i="19"/>
  <c r="L159" i="19"/>
  <c r="G147" i="19" s="1"/>
  <c r="L166" i="19"/>
  <c r="L161" i="19"/>
  <c r="L168" i="19"/>
  <c r="L164" i="19"/>
  <c r="L163" i="19"/>
  <c r="L165" i="19"/>
  <c r="L162" i="19"/>
  <c r="G147" i="21"/>
  <c r="L160" i="23"/>
  <c r="L164" i="23"/>
  <c r="L168" i="23"/>
  <c r="L167" i="23"/>
  <c r="L161" i="23"/>
  <c r="L165" i="23"/>
  <c r="L169" i="23"/>
  <c r="L163" i="23"/>
  <c r="L171" i="23"/>
  <c r="L162" i="23"/>
  <c r="L166" i="23"/>
  <c r="L170" i="23"/>
  <c r="L159" i="23"/>
  <c r="A118" i="20"/>
  <c r="A156" i="20" s="1"/>
  <c r="A192" i="20" s="1"/>
  <c r="A80" i="20"/>
  <c r="L79" i="17"/>
  <c r="C19" i="17"/>
  <c r="B44" i="17" s="1"/>
  <c r="C81" i="17"/>
  <c r="D157" i="17"/>
  <c r="I80" i="17"/>
  <c r="B80" i="17"/>
  <c r="C81" i="19"/>
  <c r="D157" i="19"/>
  <c r="I80" i="19"/>
  <c r="B80" i="19"/>
  <c r="A119" i="17"/>
  <c r="A157" i="17" s="1"/>
  <c r="A193" i="17" s="1"/>
  <c r="A81" i="17"/>
  <c r="C81" i="20"/>
  <c r="D157" i="20"/>
  <c r="I80" i="20"/>
  <c r="C20" i="20" s="1"/>
  <c r="B80" i="20"/>
  <c r="A118" i="21"/>
  <c r="A156" i="21" s="1"/>
  <c r="A192" i="21" s="1"/>
  <c r="A80" i="21"/>
  <c r="A120" i="15"/>
  <c r="A158" i="15" s="1"/>
  <c r="A194" i="15" s="1"/>
  <c r="A82" i="15"/>
  <c r="L79" i="18"/>
  <c r="C19" i="18"/>
  <c r="B44" i="18" s="1"/>
  <c r="A118" i="23"/>
  <c r="A156" i="23" s="1"/>
  <c r="A192" i="23" s="1"/>
  <c r="A80" i="23"/>
  <c r="L79" i="19"/>
  <c r="C19" i="19"/>
  <c r="B44" i="19" s="1"/>
  <c r="L80" i="21"/>
  <c r="C20" i="21"/>
  <c r="C81" i="15"/>
  <c r="D157" i="15"/>
  <c r="B80" i="15"/>
  <c r="I80" i="15"/>
  <c r="A119" i="18"/>
  <c r="A157" i="18" s="1"/>
  <c r="A193" i="18" s="1"/>
  <c r="A81" i="18"/>
  <c r="L79" i="22"/>
  <c r="C19" i="22"/>
  <c r="B44" i="22" s="1"/>
  <c r="A119" i="19"/>
  <c r="A157" i="19" s="1"/>
  <c r="A193" i="19" s="1"/>
  <c r="A81" i="19"/>
  <c r="L79" i="23"/>
  <c r="C19" i="23"/>
  <c r="B44" i="23" s="1"/>
  <c r="A118" i="22"/>
  <c r="A156" i="22" s="1"/>
  <c r="A192" i="22" s="1"/>
  <c r="A80" i="22"/>
  <c r="L79" i="20"/>
  <c r="D158" i="21"/>
  <c r="C82" i="21"/>
  <c r="I81" i="21"/>
  <c r="B81" i="21"/>
  <c r="L79" i="15"/>
  <c r="C19" i="15"/>
  <c r="B44" i="15" s="1"/>
  <c r="C81" i="18"/>
  <c r="D157" i="18"/>
  <c r="I80" i="18"/>
  <c r="B80" i="18"/>
  <c r="C81" i="22"/>
  <c r="D157" i="22"/>
  <c r="B80" i="22"/>
  <c r="I80" i="22"/>
  <c r="C81" i="23"/>
  <c r="D157" i="23"/>
  <c r="I80" i="23"/>
  <c r="B80" i="23"/>
  <c r="C183" i="15" l="1"/>
  <c r="C187" i="15"/>
  <c r="C188" i="15"/>
  <c r="C179" i="15"/>
  <c r="C185" i="15"/>
  <c r="C178" i="15"/>
  <c r="C180" i="15"/>
  <c r="C184" i="15"/>
  <c r="C179" i="23"/>
  <c r="C178" i="23"/>
  <c r="C181" i="23"/>
  <c r="C186" i="23"/>
  <c r="C180" i="23"/>
  <c r="C187" i="23"/>
  <c r="C184" i="23"/>
  <c r="C185" i="23"/>
  <c r="C182" i="23"/>
  <c r="C183" i="23"/>
  <c r="C187" i="20"/>
  <c r="C182" i="20"/>
  <c r="C179" i="20"/>
  <c r="C181" i="20"/>
  <c r="G147" i="20"/>
  <c r="C143" i="20" s="1"/>
  <c r="G191" i="22"/>
  <c r="F40" i="22" s="1"/>
  <c r="G147" i="22"/>
  <c r="G192" i="22"/>
  <c r="F41" i="22" s="1"/>
  <c r="I188" i="21"/>
  <c r="B193" i="21"/>
  <c r="I183" i="21"/>
  <c r="B208" i="21"/>
  <c r="B197" i="21"/>
  <c r="I208" i="21"/>
  <c r="F35" i="21" s="1"/>
  <c r="I197" i="21"/>
  <c r="F24" i="21" s="1"/>
  <c r="C47" i="21" s="1"/>
  <c r="B204" i="21"/>
  <c r="B190" i="21"/>
  <c r="I180" i="21"/>
  <c r="I184" i="21"/>
  <c r="I201" i="21"/>
  <c r="F28" i="21" s="1"/>
  <c r="I205" i="21"/>
  <c r="F32" i="21" s="1"/>
  <c r="I204" i="21"/>
  <c r="F31" i="21" s="1"/>
  <c r="I179" i="21"/>
  <c r="B199" i="21"/>
  <c r="I210" i="21"/>
  <c r="F37" i="21" s="1"/>
  <c r="I198" i="21"/>
  <c r="F25" i="21" s="1"/>
  <c r="I178" i="21"/>
  <c r="I191" i="21"/>
  <c r="F18" i="21" s="1"/>
  <c r="I190" i="21"/>
  <c r="F17" i="21" s="1"/>
  <c r="B194" i="21"/>
  <c r="I185" i="21"/>
  <c r="I200" i="21"/>
  <c r="F27" i="21" s="1"/>
  <c r="E37" i="14" s="1"/>
  <c r="I181" i="21"/>
  <c r="I207" i="21"/>
  <c r="F34" i="21" s="1"/>
  <c r="E47" i="21" s="1"/>
  <c r="B206" i="21"/>
  <c r="I199" i="21"/>
  <c r="F26" i="21" s="1"/>
  <c r="B191" i="21"/>
  <c r="I193" i="21"/>
  <c r="F20" i="21" s="1"/>
  <c r="I194" i="21"/>
  <c r="F21" i="21" s="1"/>
  <c r="B196" i="21"/>
  <c r="I186" i="21"/>
  <c r="I206" i="21"/>
  <c r="F33" i="21" s="1"/>
  <c r="B192" i="21"/>
  <c r="B201" i="21"/>
  <c r="I192" i="21"/>
  <c r="F19" i="21" s="1"/>
  <c r="B47" i="21" s="1"/>
  <c r="B210" i="21"/>
  <c r="B209" i="21"/>
  <c r="I209" i="21"/>
  <c r="F36" i="21" s="1"/>
  <c r="G37" i="14" s="1"/>
  <c r="B205" i="21"/>
  <c r="I195" i="21"/>
  <c r="F22" i="21" s="1"/>
  <c r="B198" i="21"/>
  <c r="I187" i="21"/>
  <c r="I189" i="21"/>
  <c r="F16" i="21" s="1"/>
  <c r="I182" i="21"/>
  <c r="B203" i="21"/>
  <c r="B195" i="21"/>
  <c r="B207" i="21"/>
  <c r="I196" i="21"/>
  <c r="F23" i="21" s="1"/>
  <c r="B200" i="21"/>
  <c r="B202" i="21"/>
  <c r="I203" i="21"/>
  <c r="F30" i="21" s="1"/>
  <c r="F37" i="14" s="1"/>
  <c r="I202" i="21"/>
  <c r="F29" i="21" s="1"/>
  <c r="D47" i="21" s="1"/>
  <c r="C142" i="20"/>
  <c r="F186" i="19"/>
  <c r="F188" i="19" s="1"/>
  <c r="F187" i="19"/>
  <c r="C142" i="18"/>
  <c r="C150" i="18"/>
  <c r="C148" i="18"/>
  <c r="C145" i="18"/>
  <c r="C151" i="18"/>
  <c r="C147" i="18"/>
  <c r="C144" i="18"/>
  <c r="C149" i="18"/>
  <c r="C152" i="18"/>
  <c r="C146" i="18"/>
  <c r="C143" i="18"/>
  <c r="C178" i="18"/>
  <c r="C183" i="18"/>
  <c r="C181" i="18"/>
  <c r="C187" i="18"/>
  <c r="C186" i="18"/>
  <c r="C184" i="18"/>
  <c r="C180" i="18"/>
  <c r="C179" i="18"/>
  <c r="C188" i="18"/>
  <c r="C185" i="18"/>
  <c r="C182" i="18"/>
  <c r="C186" i="15"/>
  <c r="G147" i="17"/>
  <c r="F187" i="17"/>
  <c r="F186" i="17"/>
  <c r="F188" i="17" s="1"/>
  <c r="D42" i="31"/>
  <c r="D38" i="31" s="1"/>
  <c r="F45" i="31" s="1"/>
  <c r="H10" i="14" s="1"/>
  <c r="F42" i="31"/>
  <c r="F38" i="31" s="1"/>
  <c r="F47" i="31" s="1"/>
  <c r="H12" i="14" s="1"/>
  <c r="C42" i="31"/>
  <c r="C38" i="31" s="1"/>
  <c r="E42" i="31"/>
  <c r="E38" i="31" s="1"/>
  <c r="F46" i="31" s="1"/>
  <c r="H11" i="14" s="1"/>
  <c r="E50" i="31"/>
  <c r="D50" i="31"/>
  <c r="D49" i="31"/>
  <c r="F13" i="14"/>
  <c r="D51" i="31"/>
  <c r="G13" i="14"/>
  <c r="E49" i="31"/>
  <c r="E51" i="31"/>
  <c r="C51" i="31"/>
  <c r="D13" i="14"/>
  <c r="D60" i="14" s="1"/>
  <c r="B49" i="31"/>
  <c r="E13" i="14"/>
  <c r="C49" i="31"/>
  <c r="C50" i="31"/>
  <c r="G192" i="31"/>
  <c r="F41" i="31" s="1"/>
  <c r="G147" i="15"/>
  <c r="F186" i="15"/>
  <c r="F188" i="15" s="1"/>
  <c r="F187" i="15"/>
  <c r="F186" i="20"/>
  <c r="F188" i="20" s="1"/>
  <c r="C142" i="19"/>
  <c r="C148" i="19"/>
  <c r="C150" i="19"/>
  <c r="C143" i="19"/>
  <c r="C152" i="19"/>
  <c r="C144" i="19"/>
  <c r="C147" i="19"/>
  <c r="C149" i="19"/>
  <c r="C146" i="19"/>
  <c r="C151" i="19"/>
  <c r="C145" i="19"/>
  <c r="C142" i="21"/>
  <c r="C151" i="21"/>
  <c r="C145" i="21"/>
  <c r="C149" i="21"/>
  <c r="C143" i="21"/>
  <c r="C148" i="21"/>
  <c r="C146" i="21"/>
  <c r="C144" i="21"/>
  <c r="C152" i="21"/>
  <c r="C150" i="21"/>
  <c r="C147" i="21"/>
  <c r="G147" i="23"/>
  <c r="A119" i="20"/>
  <c r="A157" i="20" s="1"/>
  <c r="A193" i="20" s="1"/>
  <c r="A81" i="20"/>
  <c r="A120" i="19"/>
  <c r="A158" i="19" s="1"/>
  <c r="A194" i="19" s="1"/>
  <c r="A82" i="19"/>
  <c r="A120" i="17"/>
  <c r="A158" i="17" s="1"/>
  <c r="A194" i="17" s="1"/>
  <c r="A82" i="17"/>
  <c r="A81" i="22"/>
  <c r="A119" i="22"/>
  <c r="A157" i="22" s="1"/>
  <c r="A193" i="22" s="1"/>
  <c r="D158" i="20"/>
  <c r="C82" i="20"/>
  <c r="I81" i="20"/>
  <c r="C21" i="20" s="1"/>
  <c r="B81" i="20"/>
  <c r="C82" i="17"/>
  <c r="D158" i="17"/>
  <c r="B81" i="17"/>
  <c r="I81" i="17"/>
  <c r="D159" i="21"/>
  <c r="C83" i="21"/>
  <c r="I82" i="21"/>
  <c r="B82" i="21"/>
  <c r="D158" i="23"/>
  <c r="C82" i="23"/>
  <c r="I81" i="23"/>
  <c r="B81" i="23"/>
  <c r="D158" i="22"/>
  <c r="C82" i="22"/>
  <c r="I81" i="22"/>
  <c r="B81" i="22"/>
  <c r="L80" i="18"/>
  <c r="C20" i="18"/>
  <c r="L80" i="15"/>
  <c r="C20" i="15"/>
  <c r="A81" i="23"/>
  <c r="A119" i="23"/>
  <c r="A157" i="23" s="1"/>
  <c r="A193" i="23" s="1"/>
  <c r="A81" i="21"/>
  <c r="A119" i="21"/>
  <c r="A157" i="21" s="1"/>
  <c r="A193" i="21" s="1"/>
  <c r="L80" i="20"/>
  <c r="L80" i="19"/>
  <c r="C20" i="19"/>
  <c r="C20" i="17"/>
  <c r="L80" i="17"/>
  <c r="L80" i="22"/>
  <c r="C20" i="22"/>
  <c r="L80" i="23"/>
  <c r="C20" i="23"/>
  <c r="C82" i="18"/>
  <c r="D158" i="18"/>
  <c r="I81" i="18"/>
  <c r="B81" i="18"/>
  <c r="L81" i="21"/>
  <c r="C21" i="21"/>
  <c r="A120" i="18"/>
  <c r="A158" i="18" s="1"/>
  <c r="A194" i="18" s="1"/>
  <c r="A82" i="18"/>
  <c r="A83" i="15"/>
  <c r="A121" i="15"/>
  <c r="A159" i="15" s="1"/>
  <c r="A195" i="15" s="1"/>
  <c r="D158" i="19"/>
  <c r="C82" i="19"/>
  <c r="B81" i="19"/>
  <c r="I81" i="19"/>
  <c r="D158" i="15"/>
  <c r="C82" i="15"/>
  <c r="B81" i="15"/>
  <c r="I81" i="15"/>
  <c r="D37" i="14" l="1"/>
  <c r="F187" i="20"/>
  <c r="F186" i="23"/>
  <c r="F188" i="23" s="1"/>
  <c r="F187" i="23"/>
  <c r="C147" i="20"/>
  <c r="C148" i="20"/>
  <c r="C144" i="20"/>
  <c r="C151" i="20"/>
  <c r="C145" i="20"/>
  <c r="C150" i="20"/>
  <c r="C149" i="20"/>
  <c r="C152" i="20"/>
  <c r="C146" i="20"/>
  <c r="C150" i="22"/>
  <c r="C148" i="22"/>
  <c r="C142" i="22"/>
  <c r="C145" i="22"/>
  <c r="C144" i="22"/>
  <c r="C152" i="22"/>
  <c r="C143" i="22"/>
  <c r="C151" i="22"/>
  <c r="C149" i="22"/>
  <c r="C147" i="22"/>
  <c r="C146" i="22"/>
  <c r="K187" i="21"/>
  <c r="F14" i="21"/>
  <c r="J187" i="21"/>
  <c r="F12" i="21"/>
  <c r="J185" i="21"/>
  <c r="K185" i="21"/>
  <c r="F5" i="21"/>
  <c r="J178" i="21"/>
  <c r="K178" i="21"/>
  <c r="I177" i="21"/>
  <c r="G190" i="21" s="1"/>
  <c r="F39" i="21" s="1"/>
  <c r="F6" i="21"/>
  <c r="K179" i="21"/>
  <c r="J179" i="21"/>
  <c r="F11" i="21"/>
  <c r="K184" i="21"/>
  <c r="J184" i="21"/>
  <c r="F10" i="21"/>
  <c r="J183" i="21"/>
  <c r="K183" i="21"/>
  <c r="F9" i="21"/>
  <c r="K182" i="21"/>
  <c r="J182" i="21"/>
  <c r="K180" i="21"/>
  <c r="J180" i="21"/>
  <c r="F7" i="21"/>
  <c r="J186" i="21"/>
  <c r="K186" i="21"/>
  <c r="F13" i="21"/>
  <c r="J181" i="21"/>
  <c r="F8" i="21"/>
  <c r="K181" i="21"/>
  <c r="F15" i="21"/>
  <c r="J188" i="21"/>
  <c r="K188" i="21"/>
  <c r="B199" i="19"/>
  <c r="I191" i="19"/>
  <c r="F18" i="19" s="1"/>
  <c r="B193" i="19"/>
  <c r="I183" i="19"/>
  <c r="I195" i="19"/>
  <c r="F22" i="19" s="1"/>
  <c r="B197" i="19"/>
  <c r="I188" i="19"/>
  <c r="I189" i="19"/>
  <c r="F16" i="19" s="1"/>
  <c r="I178" i="19"/>
  <c r="I199" i="19"/>
  <c r="F26" i="19" s="1"/>
  <c r="I201" i="19"/>
  <c r="F28" i="19" s="1"/>
  <c r="I204" i="19"/>
  <c r="F31" i="19" s="1"/>
  <c r="B205" i="19"/>
  <c r="B202" i="19"/>
  <c r="B195" i="19"/>
  <c r="I186" i="19"/>
  <c r="B208" i="19"/>
  <c r="I198" i="19"/>
  <c r="F25" i="19" s="1"/>
  <c r="I190" i="19"/>
  <c r="F17" i="19" s="1"/>
  <c r="I192" i="19"/>
  <c r="F19" i="19" s="1"/>
  <c r="B47" i="19" s="1"/>
  <c r="I209" i="19"/>
  <c r="F36" i="19" s="1"/>
  <c r="B200" i="19"/>
  <c r="I194" i="19"/>
  <c r="F21" i="19" s="1"/>
  <c r="B210" i="19"/>
  <c r="I203" i="19"/>
  <c r="F30" i="19" s="1"/>
  <c r="I210" i="19"/>
  <c r="F37" i="19" s="1"/>
  <c r="I206" i="19"/>
  <c r="F33" i="19" s="1"/>
  <c r="I184" i="19"/>
  <c r="I197" i="19"/>
  <c r="F24" i="19" s="1"/>
  <c r="C47" i="19" s="1"/>
  <c r="B198" i="19"/>
  <c r="B190" i="19"/>
  <c r="B192" i="19"/>
  <c r="I182" i="19"/>
  <c r="I179" i="19"/>
  <c r="B196" i="19"/>
  <c r="I187" i="19"/>
  <c r="I200" i="19"/>
  <c r="F27" i="19" s="1"/>
  <c r="E27" i="14" s="1"/>
  <c r="I207" i="19"/>
  <c r="F34" i="19" s="1"/>
  <c r="E47" i="19" s="1"/>
  <c r="I202" i="19"/>
  <c r="F29" i="19" s="1"/>
  <c r="D47" i="19" s="1"/>
  <c r="B207" i="19"/>
  <c r="I181" i="19"/>
  <c r="I205" i="19"/>
  <c r="F32" i="19" s="1"/>
  <c r="I193" i="19"/>
  <c r="F20" i="19" s="1"/>
  <c r="B194" i="19"/>
  <c r="I185" i="19"/>
  <c r="B204" i="19"/>
  <c r="I196" i="19"/>
  <c r="F23" i="19" s="1"/>
  <c r="I180" i="19"/>
  <c r="B191" i="19"/>
  <c r="B201" i="19"/>
  <c r="B206" i="19"/>
  <c r="B203" i="19"/>
  <c r="B209" i="19"/>
  <c r="I208" i="19"/>
  <c r="F35" i="19" s="1"/>
  <c r="G148" i="18"/>
  <c r="G149" i="18"/>
  <c r="G150" i="18" s="1"/>
  <c r="F186" i="18"/>
  <c r="F188" i="18" s="1"/>
  <c r="F187" i="18"/>
  <c r="B199" i="17"/>
  <c r="I179" i="17"/>
  <c r="B198" i="17"/>
  <c r="I196" i="17"/>
  <c r="F23" i="17" s="1"/>
  <c r="B197" i="17"/>
  <c r="I188" i="17"/>
  <c r="B196" i="17"/>
  <c r="I186" i="17"/>
  <c r="B208" i="17"/>
  <c r="I202" i="17"/>
  <c r="F29" i="17" s="1"/>
  <c r="D47" i="17" s="1"/>
  <c r="I206" i="17"/>
  <c r="F33" i="17" s="1"/>
  <c r="B200" i="17"/>
  <c r="I207" i="17"/>
  <c r="F34" i="17" s="1"/>
  <c r="E47" i="17" s="1"/>
  <c r="I200" i="17"/>
  <c r="F27" i="17" s="1"/>
  <c r="I199" i="17"/>
  <c r="F26" i="17" s="1"/>
  <c r="I189" i="17"/>
  <c r="F16" i="17" s="1"/>
  <c r="I181" i="17"/>
  <c r="B210" i="17"/>
  <c r="B209" i="17"/>
  <c r="I201" i="17"/>
  <c r="F28" i="17" s="1"/>
  <c r="B195" i="17"/>
  <c r="I185" i="17"/>
  <c r="B194" i="17"/>
  <c r="I190" i="17"/>
  <c r="F17" i="17" s="1"/>
  <c r="I192" i="17"/>
  <c r="F19" i="17" s="1"/>
  <c r="B47" i="17" s="1"/>
  <c r="I180" i="17"/>
  <c r="B191" i="17"/>
  <c r="I198" i="17"/>
  <c r="F25" i="17" s="1"/>
  <c r="B205" i="17"/>
  <c r="B206" i="17"/>
  <c r="I208" i="17"/>
  <c r="F35" i="17" s="1"/>
  <c r="I205" i="17"/>
  <c r="F32" i="17" s="1"/>
  <c r="B202" i="17"/>
  <c r="B193" i="17"/>
  <c r="B192" i="17"/>
  <c r="I197" i="17"/>
  <c r="F24" i="17" s="1"/>
  <c r="C47" i="17" s="1"/>
  <c r="I195" i="17"/>
  <c r="F22" i="17" s="1"/>
  <c r="I193" i="17"/>
  <c r="F20" i="17" s="1"/>
  <c r="I209" i="17"/>
  <c r="F36" i="17" s="1"/>
  <c r="B201" i="17"/>
  <c r="B204" i="17"/>
  <c r="I184" i="17"/>
  <c r="I194" i="17"/>
  <c r="F21" i="17" s="1"/>
  <c r="I183" i="17"/>
  <c r="I191" i="17"/>
  <c r="F18" i="17" s="1"/>
  <c r="I182" i="17"/>
  <c r="B190" i="17"/>
  <c r="I178" i="17"/>
  <c r="I187" i="17"/>
  <c r="I204" i="17"/>
  <c r="F31" i="17" s="1"/>
  <c r="I203" i="17"/>
  <c r="F30" i="17" s="1"/>
  <c r="I210" i="17"/>
  <c r="F37" i="17" s="1"/>
  <c r="B203" i="17"/>
  <c r="B207" i="17"/>
  <c r="C142" i="17"/>
  <c r="C143" i="17"/>
  <c r="C149" i="17"/>
  <c r="C146" i="17"/>
  <c r="C150" i="17"/>
  <c r="C144" i="17"/>
  <c r="C152" i="17"/>
  <c r="C151" i="17"/>
  <c r="C148" i="17"/>
  <c r="C145" i="17"/>
  <c r="C147" i="17"/>
  <c r="C142" i="15"/>
  <c r="C145" i="15"/>
  <c r="C150" i="15"/>
  <c r="C152" i="15"/>
  <c r="C148" i="15"/>
  <c r="C151" i="15"/>
  <c r="C146" i="15"/>
  <c r="C147" i="15"/>
  <c r="C149" i="15"/>
  <c r="C144" i="15"/>
  <c r="C143" i="15"/>
  <c r="I204" i="15"/>
  <c r="F31" i="15" s="1"/>
  <c r="B207" i="15"/>
  <c r="I199" i="15"/>
  <c r="F26" i="15" s="1"/>
  <c r="B198" i="15"/>
  <c r="I191" i="15"/>
  <c r="F18" i="15" s="1"/>
  <c r="I190" i="15"/>
  <c r="F17" i="15" s="1"/>
  <c r="B197" i="15"/>
  <c r="B190" i="15"/>
  <c r="B192" i="15"/>
  <c r="B191" i="15"/>
  <c r="I179" i="15"/>
  <c r="B210" i="15"/>
  <c r="I210" i="15"/>
  <c r="F37" i="15" s="1"/>
  <c r="I201" i="15"/>
  <c r="F28" i="15" s="1"/>
  <c r="B199" i="15"/>
  <c r="I194" i="15"/>
  <c r="F21" i="15" s="1"/>
  <c r="I193" i="15"/>
  <c r="F20" i="15" s="1"/>
  <c r="B194" i="15"/>
  <c r="I186" i="15"/>
  <c r="B193" i="15"/>
  <c r="I192" i="15"/>
  <c r="F19" i="15" s="1"/>
  <c r="B47" i="15" s="1"/>
  <c r="I185" i="15"/>
  <c r="B208" i="15"/>
  <c r="I178" i="15"/>
  <c r="B205" i="15"/>
  <c r="B201" i="15"/>
  <c r="I202" i="15"/>
  <c r="F29" i="15" s="1"/>
  <c r="D47" i="15" s="1"/>
  <c r="B195" i="15"/>
  <c r="I187" i="15"/>
  <c r="I181" i="15"/>
  <c r="I183" i="15"/>
  <c r="I180" i="15"/>
  <c r="B209" i="15"/>
  <c r="I182" i="15"/>
  <c r="I207" i="15"/>
  <c r="F34" i="15" s="1"/>
  <c r="E47" i="15" s="1"/>
  <c r="B200" i="15"/>
  <c r="I196" i="15"/>
  <c r="F23" i="15" s="1"/>
  <c r="I203" i="15"/>
  <c r="F30" i="15" s="1"/>
  <c r="B203" i="15"/>
  <c r="I206" i="15"/>
  <c r="F33" i="15" s="1"/>
  <c r="I189" i="15"/>
  <c r="F16" i="15" s="1"/>
  <c r="I184" i="15"/>
  <c r="I197" i="15"/>
  <c r="F24" i="15" s="1"/>
  <c r="C47" i="15" s="1"/>
  <c r="B204" i="15"/>
  <c r="I205" i="15"/>
  <c r="F32" i="15" s="1"/>
  <c r="I195" i="15"/>
  <c r="F22" i="15" s="1"/>
  <c r="D7" i="14" s="1"/>
  <c r="I200" i="15"/>
  <c r="F27" i="15" s="1"/>
  <c r="I198" i="15"/>
  <c r="F25" i="15" s="1"/>
  <c r="E7" i="14" s="1"/>
  <c r="I209" i="15"/>
  <c r="F36" i="15" s="1"/>
  <c r="B196" i="15"/>
  <c r="I188" i="15"/>
  <c r="B202" i="15"/>
  <c r="I208" i="15"/>
  <c r="F35" i="15" s="1"/>
  <c r="G7" i="14" s="1"/>
  <c r="B206" i="15"/>
  <c r="G13" i="31"/>
  <c r="G12" i="31"/>
  <c r="G23" i="31"/>
  <c r="F44" i="31"/>
  <c r="H9" i="14" s="1"/>
  <c r="G10" i="31"/>
  <c r="G5" i="31"/>
  <c r="G29" i="31"/>
  <c r="G28" i="31"/>
  <c r="G34" i="31"/>
  <c r="G17" i="31"/>
  <c r="G21" i="31"/>
  <c r="G26" i="31"/>
  <c r="G18" i="31"/>
  <c r="G30" i="31"/>
  <c r="G7" i="31"/>
  <c r="G20" i="31"/>
  <c r="G16" i="31"/>
  <c r="G27" i="31"/>
  <c r="G25" i="31"/>
  <c r="G15" i="31"/>
  <c r="G6" i="31"/>
  <c r="G8" i="31"/>
  <c r="G33" i="31"/>
  <c r="G32" i="31"/>
  <c r="G11" i="31"/>
  <c r="G9" i="31"/>
  <c r="G14" i="31"/>
  <c r="G24" i="31"/>
  <c r="G19" i="31"/>
  <c r="G31" i="31"/>
  <c r="G22" i="31"/>
  <c r="I191" i="20"/>
  <c r="F18" i="20" s="1"/>
  <c r="I190" i="20"/>
  <c r="F17" i="20" s="1"/>
  <c r="I189" i="20"/>
  <c r="F16" i="20" s="1"/>
  <c r="I196" i="20"/>
  <c r="F23" i="20" s="1"/>
  <c r="I178" i="20"/>
  <c r="I199" i="20"/>
  <c r="F26" i="20" s="1"/>
  <c r="I182" i="20"/>
  <c r="I187" i="20"/>
  <c r="I181" i="20"/>
  <c r="B210" i="20"/>
  <c r="I200" i="20"/>
  <c r="F27" i="20" s="1"/>
  <c r="B201" i="20"/>
  <c r="B208" i="20"/>
  <c r="I203" i="20"/>
  <c r="F30" i="20" s="1"/>
  <c r="I186" i="20"/>
  <c r="B204" i="20"/>
  <c r="B190" i="20"/>
  <c r="I180" i="20"/>
  <c r="B199" i="20"/>
  <c r="I195" i="20"/>
  <c r="F22" i="20" s="1"/>
  <c r="B195" i="20"/>
  <c r="I210" i="20"/>
  <c r="F37" i="20" s="1"/>
  <c r="B194" i="20"/>
  <c r="I204" i="20"/>
  <c r="F31" i="20" s="1"/>
  <c r="B209" i="20"/>
  <c r="I206" i="20"/>
  <c r="F33" i="20" s="1"/>
  <c r="B205" i="20"/>
  <c r="I208" i="20"/>
  <c r="F35" i="20" s="1"/>
  <c r="B207" i="20"/>
  <c r="I184" i="20"/>
  <c r="I185" i="20"/>
  <c r="B198" i="20"/>
  <c r="I188" i="20"/>
  <c r="B192" i="20"/>
  <c r="B193" i="20"/>
  <c r="I198" i="20"/>
  <c r="F25" i="20" s="1"/>
  <c r="B197" i="20"/>
  <c r="I205" i="20"/>
  <c r="F32" i="20" s="1"/>
  <c r="I209" i="20"/>
  <c r="F36" i="20" s="1"/>
  <c r="I202" i="20"/>
  <c r="F29" i="20" s="1"/>
  <c r="D47" i="20" s="1"/>
  <c r="I207" i="20"/>
  <c r="F34" i="20" s="1"/>
  <c r="E47" i="20" s="1"/>
  <c r="I197" i="20"/>
  <c r="F24" i="20" s="1"/>
  <c r="C47" i="20" s="1"/>
  <c r="B191" i="20"/>
  <c r="B203" i="20"/>
  <c r="I183" i="20"/>
  <c r="I179" i="20"/>
  <c r="B196" i="20"/>
  <c r="I193" i="20"/>
  <c r="F20" i="20" s="1"/>
  <c r="I194" i="20"/>
  <c r="F21" i="20" s="1"/>
  <c r="I192" i="20"/>
  <c r="F19" i="20" s="1"/>
  <c r="B47" i="20" s="1"/>
  <c r="B202" i="20"/>
  <c r="B200" i="20"/>
  <c r="B206" i="20"/>
  <c r="I201" i="20"/>
  <c r="F28" i="20" s="1"/>
  <c r="G149" i="19"/>
  <c r="G150" i="19" s="1"/>
  <c r="G148" i="19"/>
  <c r="G148" i="21"/>
  <c r="G149" i="21"/>
  <c r="G150" i="21" s="1"/>
  <c r="C144" i="23"/>
  <c r="C142" i="23"/>
  <c r="C143" i="23"/>
  <c r="C152" i="23"/>
  <c r="C145" i="23"/>
  <c r="C150" i="23"/>
  <c r="C146" i="23"/>
  <c r="C149" i="23"/>
  <c r="C147" i="23"/>
  <c r="C151" i="23"/>
  <c r="C148" i="23"/>
  <c r="A82" i="20"/>
  <c r="A120" i="20"/>
  <c r="A158" i="20" s="1"/>
  <c r="A194" i="20" s="1"/>
  <c r="D159" i="15"/>
  <c r="C83" i="15"/>
  <c r="B82" i="15"/>
  <c r="I82" i="15"/>
  <c r="C83" i="17"/>
  <c r="D159" i="17"/>
  <c r="B82" i="17"/>
  <c r="I82" i="17"/>
  <c r="A120" i="22"/>
  <c r="A158" i="22" s="1"/>
  <c r="A194" i="22" s="1"/>
  <c r="A82" i="22"/>
  <c r="C21" i="17"/>
  <c r="L81" i="17"/>
  <c r="C83" i="19"/>
  <c r="D159" i="19"/>
  <c r="B82" i="19"/>
  <c r="I82" i="19"/>
  <c r="A83" i="18"/>
  <c r="A121" i="18"/>
  <c r="A159" i="18" s="1"/>
  <c r="A195" i="18" s="1"/>
  <c r="A120" i="21"/>
  <c r="A158" i="21" s="1"/>
  <c r="A194" i="21" s="1"/>
  <c r="A82" i="21"/>
  <c r="C22" i="21"/>
  <c r="D34" i="14" s="1"/>
  <c r="L82" i="21"/>
  <c r="L81" i="20"/>
  <c r="A84" i="15"/>
  <c r="A122" i="15"/>
  <c r="A160" i="15" s="1"/>
  <c r="A196" i="15" s="1"/>
  <c r="D159" i="18"/>
  <c r="C83" i="18"/>
  <c r="B82" i="18"/>
  <c r="I82" i="18"/>
  <c r="D159" i="22"/>
  <c r="C83" i="22"/>
  <c r="B82" i="22"/>
  <c r="I82" i="22"/>
  <c r="D159" i="23"/>
  <c r="C83" i="23"/>
  <c r="B82" i="23"/>
  <c r="I82" i="23"/>
  <c r="E60" i="14"/>
  <c r="D160" i="21"/>
  <c r="C84" i="21"/>
  <c r="B83" i="21"/>
  <c r="I83" i="21"/>
  <c r="D159" i="20"/>
  <c r="C83" i="20"/>
  <c r="I82" i="20"/>
  <c r="C22" i="20" s="1"/>
  <c r="B82" i="20"/>
  <c r="A83" i="17"/>
  <c r="A121" i="17"/>
  <c r="A159" i="17" s="1"/>
  <c r="A195" i="17" s="1"/>
  <c r="C21" i="19"/>
  <c r="L81" i="19"/>
  <c r="A120" i="23"/>
  <c r="A158" i="23" s="1"/>
  <c r="A194" i="23" s="1"/>
  <c r="A82" i="23"/>
  <c r="C21" i="18"/>
  <c r="L81" i="18"/>
  <c r="A83" i="19"/>
  <c r="A121" i="19"/>
  <c r="A159" i="19" s="1"/>
  <c r="A195" i="19" s="1"/>
  <c r="C21" i="15"/>
  <c r="L81" i="15"/>
  <c r="L81" i="22"/>
  <c r="C21" i="22"/>
  <c r="L81" i="23"/>
  <c r="C21" i="23"/>
  <c r="D27" i="14" l="1"/>
  <c r="B210" i="23"/>
  <c r="I190" i="23"/>
  <c r="F17" i="23" s="1"/>
  <c r="I183" i="23"/>
  <c r="F10" i="23" s="1"/>
  <c r="I189" i="23"/>
  <c r="F16" i="23" s="1"/>
  <c r="B207" i="23"/>
  <c r="I202" i="23"/>
  <c r="F29" i="23" s="1"/>
  <c r="B198" i="23"/>
  <c r="I187" i="23"/>
  <c r="B208" i="23"/>
  <c r="I200" i="23"/>
  <c r="F27" i="23" s="1"/>
  <c r="I193" i="23"/>
  <c r="F20" i="23" s="1"/>
  <c r="I201" i="23"/>
  <c r="F28" i="23" s="1"/>
  <c r="I210" i="23"/>
  <c r="F37" i="23" s="1"/>
  <c r="B206" i="23"/>
  <c r="B200" i="23"/>
  <c r="I194" i="23"/>
  <c r="F21" i="23" s="1"/>
  <c r="I203" i="23"/>
  <c r="F30" i="23" s="1"/>
  <c r="D47" i="23" s="1"/>
  <c r="B202" i="23"/>
  <c r="I205" i="23"/>
  <c r="F32" i="23" s="1"/>
  <c r="B194" i="23"/>
  <c r="B192" i="23"/>
  <c r="J183" i="23"/>
  <c r="I206" i="23"/>
  <c r="F33" i="23" s="1"/>
  <c r="I195" i="23"/>
  <c r="F22" i="23" s="1"/>
  <c r="B205" i="23"/>
  <c r="I188" i="23"/>
  <c r="I204" i="23"/>
  <c r="F31" i="23" s="1"/>
  <c r="I209" i="23"/>
  <c r="F36" i="23" s="1"/>
  <c r="I180" i="23"/>
  <c r="I199" i="23"/>
  <c r="F26" i="23" s="1"/>
  <c r="I185" i="23"/>
  <c r="B199" i="23"/>
  <c r="I207" i="23"/>
  <c r="F34" i="23" s="1"/>
  <c r="B190" i="23"/>
  <c r="B195" i="23"/>
  <c r="I182" i="23"/>
  <c r="B203" i="23"/>
  <c r="B201" i="23"/>
  <c r="I186" i="23"/>
  <c r="I192" i="23"/>
  <c r="F19" i="23" s="1"/>
  <c r="B47" i="23" s="1"/>
  <c r="B197" i="23"/>
  <c r="B196" i="23"/>
  <c r="B191" i="23"/>
  <c r="B204" i="23"/>
  <c r="I196" i="23"/>
  <c r="F23" i="23" s="1"/>
  <c r="I208" i="23"/>
  <c r="F35" i="23" s="1"/>
  <c r="E47" i="23" s="1"/>
  <c r="I191" i="23"/>
  <c r="F18" i="23" s="1"/>
  <c r="B193" i="23"/>
  <c r="I178" i="23"/>
  <c r="I184" i="23"/>
  <c r="I181" i="23"/>
  <c r="I197" i="23"/>
  <c r="F24" i="23" s="1"/>
  <c r="C47" i="23" s="1"/>
  <c r="I198" i="23"/>
  <c r="F25" i="23" s="1"/>
  <c r="I179" i="23"/>
  <c r="B209" i="23"/>
  <c r="K183" i="23"/>
  <c r="B159" i="21"/>
  <c r="G149" i="20"/>
  <c r="G150" i="20" s="1"/>
  <c r="G148" i="20"/>
  <c r="B158" i="18"/>
  <c r="I158" i="18"/>
  <c r="E21" i="18" s="1"/>
  <c r="G149" i="22"/>
  <c r="G150" i="22" s="1"/>
  <c r="G148" i="22"/>
  <c r="G192" i="21"/>
  <c r="F41" i="21" s="1"/>
  <c r="G191" i="21"/>
  <c r="F40" i="21" s="1"/>
  <c r="F7" i="19"/>
  <c r="K180" i="19"/>
  <c r="J180" i="19"/>
  <c r="J187" i="19"/>
  <c r="F14" i="19"/>
  <c r="K187" i="19"/>
  <c r="K184" i="19"/>
  <c r="J184" i="19"/>
  <c r="F11" i="19"/>
  <c r="J186" i="19"/>
  <c r="K186" i="19"/>
  <c r="F13" i="19"/>
  <c r="F27" i="14"/>
  <c r="F10" i="19"/>
  <c r="J183" i="19"/>
  <c r="K183" i="19"/>
  <c r="K188" i="19"/>
  <c r="J188" i="19"/>
  <c r="F15" i="19"/>
  <c r="G27" i="14"/>
  <c r="J179" i="19"/>
  <c r="F6" i="19"/>
  <c r="K179" i="19"/>
  <c r="F12" i="19"/>
  <c r="K185" i="19"/>
  <c r="J185" i="19"/>
  <c r="F8" i="19"/>
  <c r="K181" i="19"/>
  <c r="J181" i="19"/>
  <c r="K182" i="19"/>
  <c r="F9" i="19"/>
  <c r="J182" i="19"/>
  <c r="J178" i="19"/>
  <c r="K178" i="19"/>
  <c r="F5" i="19"/>
  <c r="I177" i="19"/>
  <c r="G190" i="19" s="1"/>
  <c r="F39" i="19" s="1"/>
  <c r="I156" i="18"/>
  <c r="E19" i="18" s="1"/>
  <c r="B46" i="18" s="1"/>
  <c r="B173" i="18"/>
  <c r="I145" i="18"/>
  <c r="B155" i="18"/>
  <c r="B153" i="18"/>
  <c r="B189" i="18" s="1"/>
  <c r="I147" i="18"/>
  <c r="I174" i="18"/>
  <c r="E37" i="18" s="1"/>
  <c r="B157" i="18"/>
  <c r="I150" i="18"/>
  <c r="B154" i="18"/>
  <c r="B172" i="18"/>
  <c r="I146" i="18"/>
  <c r="I142" i="18"/>
  <c r="I152" i="18"/>
  <c r="I172" i="18"/>
  <c r="E35" i="18" s="1"/>
  <c r="I173" i="18"/>
  <c r="E36" i="18" s="1"/>
  <c r="I149" i="18"/>
  <c r="B174" i="18"/>
  <c r="I155" i="18"/>
  <c r="E18" i="18" s="1"/>
  <c r="I151" i="18"/>
  <c r="I154" i="18"/>
  <c r="E17" i="18" s="1"/>
  <c r="I144" i="18"/>
  <c r="I153" i="18"/>
  <c r="E16" i="18" s="1"/>
  <c r="I143" i="18"/>
  <c r="I148" i="18"/>
  <c r="B156" i="18"/>
  <c r="I157" i="18"/>
  <c r="E20" i="18" s="1"/>
  <c r="I200" i="18"/>
  <c r="F27" i="18" s="1"/>
  <c r="B203" i="18"/>
  <c r="I181" i="18"/>
  <c r="I190" i="18"/>
  <c r="F17" i="18" s="1"/>
  <c r="I179" i="18"/>
  <c r="B194" i="18"/>
  <c r="I188" i="18"/>
  <c r="B192" i="18"/>
  <c r="I210" i="18"/>
  <c r="F37" i="18" s="1"/>
  <c r="I203" i="18"/>
  <c r="F30" i="18" s="1"/>
  <c r="B204" i="18"/>
  <c r="I209" i="18"/>
  <c r="F36" i="18" s="1"/>
  <c r="I201" i="18"/>
  <c r="F28" i="18" s="1"/>
  <c r="I207" i="18"/>
  <c r="F34" i="18" s="1"/>
  <c r="E47" i="18" s="1"/>
  <c r="B196" i="18"/>
  <c r="I191" i="18"/>
  <c r="F18" i="18" s="1"/>
  <c r="B199" i="18"/>
  <c r="I198" i="18"/>
  <c r="F25" i="18" s="1"/>
  <c r="B193" i="18"/>
  <c r="I183" i="18"/>
  <c r="I199" i="18"/>
  <c r="F26" i="18" s="1"/>
  <c r="B197" i="18"/>
  <c r="I194" i="18"/>
  <c r="F21" i="18" s="1"/>
  <c r="B210" i="18"/>
  <c r="B205" i="18"/>
  <c r="B207" i="18"/>
  <c r="B208" i="18"/>
  <c r="B191" i="18"/>
  <c r="I186" i="18"/>
  <c r="B195" i="18"/>
  <c r="B190" i="18"/>
  <c r="B209" i="18"/>
  <c r="I180" i="18"/>
  <c r="I195" i="18"/>
  <c r="F22" i="18" s="1"/>
  <c r="I192" i="18"/>
  <c r="F19" i="18" s="1"/>
  <c r="B47" i="18" s="1"/>
  <c r="I187" i="18"/>
  <c r="B200" i="18"/>
  <c r="I208" i="18"/>
  <c r="F35" i="18" s="1"/>
  <c r="I202" i="18"/>
  <c r="F29" i="18" s="1"/>
  <c r="D47" i="18" s="1"/>
  <c r="I205" i="18"/>
  <c r="F32" i="18" s="1"/>
  <c r="I189" i="18"/>
  <c r="F16" i="18" s="1"/>
  <c r="I178" i="18"/>
  <c r="I193" i="18"/>
  <c r="F20" i="18" s="1"/>
  <c r="I184" i="18"/>
  <c r="I185" i="18"/>
  <c r="B198" i="18"/>
  <c r="I196" i="18"/>
  <c r="F23" i="18" s="1"/>
  <c r="I204" i="18"/>
  <c r="F31" i="18" s="1"/>
  <c r="I182" i="18"/>
  <c r="I197" i="18"/>
  <c r="F24" i="18" s="1"/>
  <c r="C47" i="18" s="1"/>
  <c r="I206" i="18"/>
  <c r="F33" i="18" s="1"/>
  <c r="B206" i="18"/>
  <c r="B201" i="18"/>
  <c r="B202" i="18"/>
  <c r="F7" i="14"/>
  <c r="K178" i="17"/>
  <c r="J178" i="17"/>
  <c r="I177" i="17"/>
  <c r="G190" i="17" s="1"/>
  <c r="F39" i="17" s="1"/>
  <c r="F5" i="17"/>
  <c r="C48" i="17"/>
  <c r="E17" i="14"/>
  <c r="G149" i="17"/>
  <c r="G150" i="17" s="1"/>
  <c r="G148" i="17"/>
  <c r="D48" i="17"/>
  <c r="F17" i="14"/>
  <c r="G17" i="14"/>
  <c r="E48" i="17"/>
  <c r="K182" i="17"/>
  <c r="F9" i="17"/>
  <c r="J182" i="17"/>
  <c r="K184" i="17"/>
  <c r="F11" i="17"/>
  <c r="J184" i="17"/>
  <c r="B48" i="17"/>
  <c r="D17" i="14"/>
  <c r="F7" i="17"/>
  <c r="K180" i="17"/>
  <c r="J180" i="17"/>
  <c r="K185" i="17"/>
  <c r="J185" i="17"/>
  <c r="F12" i="17"/>
  <c r="F15" i="17"/>
  <c r="J188" i="17"/>
  <c r="K188" i="17"/>
  <c r="J179" i="17"/>
  <c r="F6" i="17"/>
  <c r="K179" i="17"/>
  <c r="J183" i="17"/>
  <c r="K183" i="17"/>
  <c r="F10" i="17"/>
  <c r="F13" i="17"/>
  <c r="J186" i="17"/>
  <c r="K186" i="17"/>
  <c r="J187" i="17"/>
  <c r="F14" i="17"/>
  <c r="K187" i="17"/>
  <c r="J181" i="17"/>
  <c r="K181" i="17"/>
  <c r="F8" i="17"/>
  <c r="K180" i="15"/>
  <c r="J180" i="15"/>
  <c r="F7" i="15"/>
  <c r="F5" i="15"/>
  <c r="I177" i="15"/>
  <c r="G190" i="15" s="1"/>
  <c r="F39" i="15" s="1"/>
  <c r="K178" i="15"/>
  <c r="J178" i="15"/>
  <c r="J188" i="15"/>
  <c r="K188" i="15"/>
  <c r="F15" i="15"/>
  <c r="J183" i="15"/>
  <c r="K183" i="15"/>
  <c r="F10" i="15"/>
  <c r="K186" i="15"/>
  <c r="J186" i="15"/>
  <c r="F13" i="15"/>
  <c r="F6" i="15"/>
  <c r="K179" i="15"/>
  <c r="J179" i="15"/>
  <c r="J184" i="15"/>
  <c r="K184" i="15"/>
  <c r="F11" i="15"/>
  <c r="J182" i="15"/>
  <c r="K182" i="15"/>
  <c r="F9" i="15"/>
  <c r="F8" i="15"/>
  <c r="K181" i="15"/>
  <c r="J181" i="15"/>
  <c r="J185" i="15"/>
  <c r="F12" i="15"/>
  <c r="K185" i="15"/>
  <c r="J187" i="15"/>
  <c r="F14" i="15"/>
  <c r="K187" i="15"/>
  <c r="G149" i="15"/>
  <c r="G150" i="15" s="1"/>
  <c r="G148" i="15"/>
  <c r="F12" i="20"/>
  <c r="K185" i="20"/>
  <c r="J185" i="20"/>
  <c r="F13" i="20"/>
  <c r="K186" i="20"/>
  <c r="J186" i="20"/>
  <c r="F9" i="20"/>
  <c r="J182" i="20"/>
  <c r="K182" i="20"/>
  <c r="F6" i="20"/>
  <c r="K179" i="20"/>
  <c r="J179" i="20"/>
  <c r="F11" i="20"/>
  <c r="K184" i="20"/>
  <c r="J184" i="20"/>
  <c r="F7" i="20"/>
  <c r="K180" i="20"/>
  <c r="J180" i="20"/>
  <c r="F32" i="14"/>
  <c r="D48" i="20"/>
  <c r="D32" i="14"/>
  <c r="B48" i="20"/>
  <c r="F10" i="20"/>
  <c r="J183" i="20"/>
  <c r="K183" i="20"/>
  <c r="F15" i="20"/>
  <c r="K188" i="20"/>
  <c r="J188" i="20"/>
  <c r="F8" i="20"/>
  <c r="K181" i="20"/>
  <c r="J181" i="20"/>
  <c r="F5" i="20"/>
  <c r="J178" i="20"/>
  <c r="K178" i="20"/>
  <c r="I177" i="20"/>
  <c r="G190" i="20" s="1"/>
  <c r="F39" i="20" s="1"/>
  <c r="E32" i="14"/>
  <c r="C48" i="20"/>
  <c r="E48" i="20"/>
  <c r="G32" i="14"/>
  <c r="F14" i="20"/>
  <c r="J187" i="20"/>
  <c r="K187" i="20"/>
  <c r="B158" i="19"/>
  <c r="I158" i="19"/>
  <c r="E21" i="19" s="1"/>
  <c r="B156" i="19"/>
  <c r="I156" i="19"/>
  <c r="E19" i="19" s="1"/>
  <c r="B46" i="19" s="1"/>
  <c r="B154" i="19"/>
  <c r="I172" i="19"/>
  <c r="E35" i="19" s="1"/>
  <c r="I147" i="19"/>
  <c r="I149" i="19"/>
  <c r="I142" i="19"/>
  <c r="I174" i="19"/>
  <c r="E37" i="19" s="1"/>
  <c r="B157" i="19"/>
  <c r="I157" i="19"/>
  <c r="E20" i="19" s="1"/>
  <c r="I143" i="19"/>
  <c r="B173" i="19"/>
  <c r="I146" i="19"/>
  <c r="I154" i="19"/>
  <c r="E17" i="19" s="1"/>
  <c r="I155" i="19"/>
  <c r="E18" i="19" s="1"/>
  <c r="I153" i="19"/>
  <c r="E16" i="19" s="1"/>
  <c r="I152" i="19"/>
  <c r="I150" i="19"/>
  <c r="B155" i="19"/>
  <c r="I145" i="19"/>
  <c r="I148" i="19"/>
  <c r="B174" i="19"/>
  <c r="I151" i="19"/>
  <c r="I173" i="19"/>
  <c r="E36" i="19" s="1"/>
  <c r="B172" i="19"/>
  <c r="I144" i="19"/>
  <c r="B153" i="19"/>
  <c r="B189" i="19" s="1"/>
  <c r="B157" i="21"/>
  <c r="I157" i="21"/>
  <c r="E20" i="21" s="1"/>
  <c r="I152" i="21"/>
  <c r="I148" i="21"/>
  <c r="I155" i="21"/>
  <c r="E18" i="21" s="1"/>
  <c r="I174" i="21"/>
  <c r="E37" i="21" s="1"/>
  <c r="B153" i="21"/>
  <c r="B189" i="21" s="1"/>
  <c r="I149" i="21"/>
  <c r="B156" i="21"/>
  <c r="B158" i="21"/>
  <c r="I145" i="21"/>
  <c r="I151" i="21"/>
  <c r="I142" i="21"/>
  <c r="I143" i="21"/>
  <c r="I146" i="21"/>
  <c r="B173" i="21"/>
  <c r="I172" i="21"/>
  <c r="E35" i="21" s="1"/>
  <c r="I144" i="21"/>
  <c r="I154" i="21"/>
  <c r="E17" i="21" s="1"/>
  <c r="I150" i="21"/>
  <c r="I173" i="21"/>
  <c r="E36" i="21" s="1"/>
  <c r="B155" i="21"/>
  <c r="B172" i="21"/>
  <c r="I153" i="21"/>
  <c r="E16" i="21" s="1"/>
  <c r="I147" i="21"/>
  <c r="B154" i="21"/>
  <c r="B174" i="21"/>
  <c r="I156" i="21"/>
  <c r="E19" i="21" s="1"/>
  <c r="B46" i="21" s="1"/>
  <c r="I158" i="21"/>
  <c r="E21" i="21" s="1"/>
  <c r="I159" i="21"/>
  <c r="E22" i="21" s="1"/>
  <c r="G149" i="23"/>
  <c r="G150" i="23" s="1"/>
  <c r="G148" i="23"/>
  <c r="A83" i="20"/>
  <c r="A121" i="20"/>
  <c r="A159" i="20" s="1"/>
  <c r="A195" i="20" s="1"/>
  <c r="L82" i="20"/>
  <c r="D29" i="14"/>
  <c r="B160" i="21"/>
  <c r="I160" i="21"/>
  <c r="E23" i="21" s="1"/>
  <c r="B159" i="18"/>
  <c r="I159" i="18"/>
  <c r="E22" i="18" s="1"/>
  <c r="D160" i="17"/>
  <c r="C84" i="17"/>
  <c r="B83" i="17"/>
  <c r="I83" i="17"/>
  <c r="A121" i="23"/>
  <c r="A159" i="23" s="1"/>
  <c r="A195" i="23" s="1"/>
  <c r="A83" i="23"/>
  <c r="D160" i="20"/>
  <c r="C84" i="20"/>
  <c r="I83" i="20"/>
  <c r="C23" i="20" s="1"/>
  <c r="B83" i="20"/>
  <c r="L82" i="18"/>
  <c r="C22" i="18"/>
  <c r="L82" i="19"/>
  <c r="C22" i="19"/>
  <c r="A121" i="22"/>
  <c r="A159" i="22" s="1"/>
  <c r="A195" i="22" s="1"/>
  <c r="A83" i="22"/>
  <c r="L82" i="17"/>
  <c r="C22" i="17"/>
  <c r="D14" i="14" s="1"/>
  <c r="D160" i="15"/>
  <c r="C84" i="15"/>
  <c r="I83" i="15"/>
  <c r="B83" i="15"/>
  <c r="A122" i="19"/>
  <c r="A160" i="19" s="1"/>
  <c r="A196" i="19" s="1"/>
  <c r="A84" i="19"/>
  <c r="D161" i="21"/>
  <c r="C85" i="21"/>
  <c r="B84" i="21"/>
  <c r="I84" i="21"/>
  <c r="C22" i="23"/>
  <c r="D54" i="14" s="1"/>
  <c r="L82" i="23"/>
  <c r="C22" i="22"/>
  <c r="D39" i="14" s="1"/>
  <c r="L82" i="22"/>
  <c r="D160" i="18"/>
  <c r="C84" i="18"/>
  <c r="I83" i="18"/>
  <c r="B83" i="18"/>
  <c r="A121" i="21"/>
  <c r="A159" i="21" s="1"/>
  <c r="A195" i="21" s="1"/>
  <c r="A83" i="21"/>
  <c r="B159" i="19"/>
  <c r="I159" i="19"/>
  <c r="E22" i="19" s="1"/>
  <c r="L82" i="15"/>
  <c r="C22" i="15"/>
  <c r="D4" i="14" s="1"/>
  <c r="A122" i="18"/>
  <c r="A160" i="18" s="1"/>
  <c r="A196" i="18" s="1"/>
  <c r="A84" i="18"/>
  <c r="D160" i="19"/>
  <c r="C84" i="19"/>
  <c r="B83" i="19"/>
  <c r="I83" i="19"/>
  <c r="L83" i="21"/>
  <c r="C23" i="21"/>
  <c r="C84" i="23"/>
  <c r="D160" i="23"/>
  <c r="B83" i="23"/>
  <c r="I83" i="23"/>
  <c r="C84" i="22"/>
  <c r="D160" i="22"/>
  <c r="B83" i="22"/>
  <c r="I83" i="22"/>
  <c r="A122" i="17"/>
  <c r="A160" i="17" s="1"/>
  <c r="A196" i="17" s="1"/>
  <c r="A84" i="17"/>
  <c r="A123" i="15"/>
  <c r="A161" i="15" s="1"/>
  <c r="A197" i="15" s="1"/>
  <c r="A85" i="15"/>
  <c r="E22" i="14" l="1"/>
  <c r="F22" i="14"/>
  <c r="K187" i="23"/>
  <c r="F14" i="23"/>
  <c r="B48" i="23"/>
  <c r="D57" i="14"/>
  <c r="J187" i="23"/>
  <c r="K179" i="23"/>
  <c r="F6" i="23"/>
  <c r="J179" i="23"/>
  <c r="J184" i="23"/>
  <c r="F11" i="23"/>
  <c r="K184" i="23"/>
  <c r="E48" i="23"/>
  <c r="G57" i="14"/>
  <c r="K188" i="23"/>
  <c r="J188" i="23"/>
  <c r="F15" i="23"/>
  <c r="C48" i="23"/>
  <c r="E57" i="14"/>
  <c r="J178" i="23"/>
  <c r="I177" i="23"/>
  <c r="G190" i="23" s="1"/>
  <c r="F39" i="23" s="1"/>
  <c r="F5" i="23"/>
  <c r="K178" i="23"/>
  <c r="J180" i="23"/>
  <c r="K180" i="23"/>
  <c r="F7" i="23"/>
  <c r="F9" i="23"/>
  <c r="J182" i="23"/>
  <c r="K182" i="23"/>
  <c r="F57" i="14"/>
  <c r="D48" i="23"/>
  <c r="K181" i="23"/>
  <c r="F8" i="23"/>
  <c r="J181" i="23"/>
  <c r="J186" i="23"/>
  <c r="K186" i="23"/>
  <c r="F13" i="23"/>
  <c r="F12" i="23"/>
  <c r="K185" i="23"/>
  <c r="J185" i="23"/>
  <c r="I159" i="22"/>
  <c r="E22" i="22" s="1"/>
  <c r="B159" i="22"/>
  <c r="B158" i="20"/>
  <c r="I159" i="20"/>
  <c r="E22" i="20" s="1"/>
  <c r="B173" i="20"/>
  <c r="I146" i="20"/>
  <c r="K146" i="20" s="1"/>
  <c r="B159" i="20"/>
  <c r="I157" i="20"/>
  <c r="E20" i="20" s="1"/>
  <c r="I153" i="20"/>
  <c r="E16" i="20" s="1"/>
  <c r="I143" i="20"/>
  <c r="E6" i="20" s="1"/>
  <c r="B174" i="20"/>
  <c r="I154" i="20"/>
  <c r="E17" i="20" s="1"/>
  <c r="I173" i="20"/>
  <c r="E36" i="20" s="1"/>
  <c r="I172" i="20"/>
  <c r="E35" i="20" s="1"/>
  <c r="B157" i="20"/>
  <c r="B155" i="20"/>
  <c r="I144" i="20"/>
  <c r="I147" i="20"/>
  <c r="K147" i="20" s="1"/>
  <c r="I145" i="20"/>
  <c r="I155" i="20"/>
  <c r="E18" i="20" s="1"/>
  <c r="I142" i="20"/>
  <c r="I148" i="20"/>
  <c r="E11" i="20" s="1"/>
  <c r="B156" i="20"/>
  <c r="I158" i="20"/>
  <c r="E21" i="20" s="1"/>
  <c r="I149" i="20"/>
  <c r="I151" i="20"/>
  <c r="J151" i="20" s="1"/>
  <c r="B153" i="20"/>
  <c r="B189" i="20" s="1"/>
  <c r="I152" i="20"/>
  <c r="I174" i="20"/>
  <c r="E37" i="20" s="1"/>
  <c r="B154" i="20"/>
  <c r="I150" i="20"/>
  <c r="B172" i="20"/>
  <c r="I156" i="20"/>
  <c r="E19" i="20" s="1"/>
  <c r="B46" i="20" s="1"/>
  <c r="G191" i="19"/>
  <c r="F40" i="19" s="1"/>
  <c r="G192" i="19"/>
  <c r="F41" i="19" s="1"/>
  <c r="G22" i="14"/>
  <c r="D22" i="14"/>
  <c r="I157" i="22"/>
  <c r="E20" i="22" s="1"/>
  <c r="B157" i="22"/>
  <c r="I145" i="22"/>
  <c r="I155" i="22"/>
  <c r="E18" i="22" s="1"/>
  <c r="B154" i="22"/>
  <c r="I174" i="22"/>
  <c r="E37" i="22" s="1"/>
  <c r="B153" i="22"/>
  <c r="B189" i="22" s="1"/>
  <c r="I148" i="22"/>
  <c r="I172" i="22"/>
  <c r="E35" i="22" s="1"/>
  <c r="I151" i="22"/>
  <c r="I142" i="22"/>
  <c r="B155" i="22"/>
  <c r="I146" i="22"/>
  <c r="B174" i="22"/>
  <c r="I158" i="22"/>
  <c r="E21" i="22" s="1"/>
  <c r="B173" i="22"/>
  <c r="I144" i="22"/>
  <c r="I154" i="22"/>
  <c r="E17" i="22" s="1"/>
  <c r="B172" i="22"/>
  <c r="I173" i="22"/>
  <c r="E36" i="22" s="1"/>
  <c r="B156" i="22"/>
  <c r="I152" i="22"/>
  <c r="I150" i="22"/>
  <c r="I153" i="22"/>
  <c r="E16" i="22" s="1"/>
  <c r="I147" i="22"/>
  <c r="I149" i="22"/>
  <c r="I143" i="22"/>
  <c r="I156" i="22"/>
  <c r="E19" i="22" s="1"/>
  <c r="B46" i="22" s="1"/>
  <c r="B158" i="22"/>
  <c r="E12" i="20"/>
  <c r="K149" i="20"/>
  <c r="J149" i="20"/>
  <c r="E9" i="20"/>
  <c r="E7" i="20"/>
  <c r="K144" i="20"/>
  <c r="J144" i="20"/>
  <c r="J147" i="20"/>
  <c r="E8" i="20"/>
  <c r="K145" i="20"/>
  <c r="J145" i="20"/>
  <c r="E5" i="20"/>
  <c r="J142" i="20"/>
  <c r="K142" i="20"/>
  <c r="E15" i="20"/>
  <c r="K152" i="20"/>
  <c r="J152" i="20"/>
  <c r="E13" i="20"/>
  <c r="J150" i="20"/>
  <c r="K150" i="20"/>
  <c r="F9" i="18"/>
  <c r="J182" i="18"/>
  <c r="K182" i="18"/>
  <c r="F12" i="18"/>
  <c r="K185" i="18"/>
  <c r="J185" i="18"/>
  <c r="F7" i="18"/>
  <c r="K180" i="18"/>
  <c r="J180" i="18"/>
  <c r="J186" i="18"/>
  <c r="K186" i="18"/>
  <c r="F13" i="18"/>
  <c r="K179" i="18"/>
  <c r="J179" i="18"/>
  <c r="F6" i="18"/>
  <c r="K143" i="18"/>
  <c r="E6" i="18"/>
  <c r="J143" i="18"/>
  <c r="E14" i="18"/>
  <c r="K151" i="18"/>
  <c r="J151" i="18"/>
  <c r="E9" i="18"/>
  <c r="J146" i="18"/>
  <c r="K146" i="18"/>
  <c r="F14" i="18"/>
  <c r="J187" i="18"/>
  <c r="K187" i="18"/>
  <c r="K145" i="18"/>
  <c r="E8" i="18"/>
  <c r="J145" i="18"/>
  <c r="F15" i="18"/>
  <c r="J188" i="18"/>
  <c r="K188" i="18"/>
  <c r="K181" i="18"/>
  <c r="F8" i="18"/>
  <c r="J181" i="18"/>
  <c r="E7" i="18"/>
  <c r="J144" i="18"/>
  <c r="K144" i="18"/>
  <c r="K152" i="18"/>
  <c r="J152" i="18"/>
  <c r="E15" i="18"/>
  <c r="J147" i="18"/>
  <c r="E10" i="18"/>
  <c r="K147" i="18"/>
  <c r="F11" i="18"/>
  <c r="J184" i="18"/>
  <c r="K184" i="18"/>
  <c r="J183" i="18"/>
  <c r="K183" i="18"/>
  <c r="F10" i="18"/>
  <c r="F5" i="18"/>
  <c r="I177" i="18"/>
  <c r="G190" i="18" s="1"/>
  <c r="F39" i="18" s="1"/>
  <c r="J178" i="18"/>
  <c r="K178" i="18"/>
  <c r="K148" i="18"/>
  <c r="J148" i="18"/>
  <c r="E11" i="18"/>
  <c r="K149" i="18"/>
  <c r="E12" i="18"/>
  <c r="J149" i="18"/>
  <c r="J142" i="18"/>
  <c r="I141" i="18"/>
  <c r="H153" i="18" s="1"/>
  <c r="E39" i="18" s="1"/>
  <c r="E5" i="18"/>
  <c r="K142" i="18"/>
  <c r="E13" i="18"/>
  <c r="K150" i="18"/>
  <c r="J150" i="18"/>
  <c r="B159" i="17"/>
  <c r="B157" i="17"/>
  <c r="I157" i="17"/>
  <c r="E20" i="17" s="1"/>
  <c r="I147" i="17"/>
  <c r="I149" i="17"/>
  <c r="B174" i="17"/>
  <c r="I153" i="17"/>
  <c r="E16" i="17" s="1"/>
  <c r="I148" i="17"/>
  <c r="B156" i="17"/>
  <c r="I158" i="17"/>
  <c r="E21" i="17" s="1"/>
  <c r="B172" i="17"/>
  <c r="I152" i="17"/>
  <c r="B173" i="17"/>
  <c r="I173" i="17"/>
  <c r="E36" i="17" s="1"/>
  <c r="I146" i="17"/>
  <c r="B154" i="17"/>
  <c r="I174" i="17"/>
  <c r="E37" i="17" s="1"/>
  <c r="I144" i="17"/>
  <c r="I156" i="17"/>
  <c r="E19" i="17" s="1"/>
  <c r="B46" i="17" s="1"/>
  <c r="I155" i="17"/>
  <c r="E18" i="17" s="1"/>
  <c r="I150" i="17"/>
  <c r="B155" i="17"/>
  <c r="I145" i="17"/>
  <c r="I143" i="17"/>
  <c r="I142" i="17"/>
  <c r="I172" i="17"/>
  <c r="E35" i="17" s="1"/>
  <c r="I151" i="17"/>
  <c r="I154" i="17"/>
  <c r="E17" i="17" s="1"/>
  <c r="B153" i="17"/>
  <c r="B189" i="17" s="1"/>
  <c r="B158" i="17"/>
  <c r="G192" i="17"/>
  <c r="F41" i="17" s="1"/>
  <c r="E49" i="17"/>
  <c r="G18" i="14"/>
  <c r="I159" i="17"/>
  <c r="E22" i="17" s="1"/>
  <c r="G191" i="17"/>
  <c r="F40" i="17" s="1"/>
  <c r="I157" i="15"/>
  <c r="E20" i="15" s="1"/>
  <c r="B157" i="15"/>
  <c r="I150" i="15"/>
  <c r="B173" i="15"/>
  <c r="I144" i="15"/>
  <c r="I145" i="15"/>
  <c r="I143" i="15"/>
  <c r="B155" i="15"/>
  <c r="I158" i="15"/>
  <c r="E21" i="15" s="1"/>
  <c r="I174" i="15"/>
  <c r="E37" i="15" s="1"/>
  <c r="I149" i="15"/>
  <c r="B172" i="15"/>
  <c r="I153" i="15"/>
  <c r="E16" i="15" s="1"/>
  <c r="B153" i="15"/>
  <c r="B189" i="15" s="1"/>
  <c r="I155" i="15"/>
  <c r="E18" i="15" s="1"/>
  <c r="I152" i="15"/>
  <c r="I173" i="15"/>
  <c r="E36" i="15" s="1"/>
  <c r="I148" i="15"/>
  <c r="I142" i="15"/>
  <c r="I172" i="15"/>
  <c r="E35" i="15" s="1"/>
  <c r="I156" i="15"/>
  <c r="E19" i="15" s="1"/>
  <c r="B46" i="15" s="1"/>
  <c r="B174" i="15"/>
  <c r="I146" i="15"/>
  <c r="I147" i="15"/>
  <c r="I154" i="15"/>
  <c r="E17" i="15" s="1"/>
  <c r="B154" i="15"/>
  <c r="I151" i="15"/>
  <c r="B156" i="15"/>
  <c r="B158" i="15"/>
  <c r="G192" i="15"/>
  <c r="F41" i="15" s="1"/>
  <c r="G191" i="15"/>
  <c r="F40" i="15" s="1"/>
  <c r="I159" i="15"/>
  <c r="E22" i="15" s="1"/>
  <c r="B159" i="15"/>
  <c r="G33" i="14"/>
  <c r="E49" i="20"/>
  <c r="G191" i="20"/>
  <c r="F40" i="20" s="1"/>
  <c r="G192" i="20"/>
  <c r="F41" i="20" s="1"/>
  <c r="E14" i="19"/>
  <c r="K151" i="19"/>
  <c r="J151" i="19"/>
  <c r="E6" i="19"/>
  <c r="J143" i="19"/>
  <c r="K143" i="19"/>
  <c r="J142" i="19"/>
  <c r="K142" i="19"/>
  <c r="E5" i="19"/>
  <c r="I141" i="19"/>
  <c r="H153" i="19" s="1"/>
  <c r="E39" i="19" s="1"/>
  <c r="K150" i="19"/>
  <c r="J150" i="19"/>
  <c r="E13" i="19"/>
  <c r="K149" i="19"/>
  <c r="J149" i="19"/>
  <c r="E12" i="19"/>
  <c r="E7" i="19"/>
  <c r="K144" i="19"/>
  <c r="J144" i="19"/>
  <c r="K148" i="19"/>
  <c r="E11" i="19"/>
  <c r="J148" i="19"/>
  <c r="E15" i="19"/>
  <c r="J152" i="19"/>
  <c r="K152" i="19"/>
  <c r="E9" i="19"/>
  <c r="K146" i="19"/>
  <c r="J146" i="19"/>
  <c r="K147" i="19"/>
  <c r="E10" i="19"/>
  <c r="J147" i="19"/>
  <c r="E8" i="19"/>
  <c r="K145" i="19"/>
  <c r="J145" i="19"/>
  <c r="E9" i="21"/>
  <c r="K146" i="21"/>
  <c r="J146" i="21"/>
  <c r="E8" i="21"/>
  <c r="K145" i="21"/>
  <c r="J145" i="21"/>
  <c r="E15" i="21"/>
  <c r="K152" i="21"/>
  <c r="J152" i="21"/>
  <c r="E13" i="21"/>
  <c r="J150" i="21"/>
  <c r="K150" i="21"/>
  <c r="K151" i="21"/>
  <c r="J151" i="21"/>
  <c r="E14" i="21"/>
  <c r="K149" i="21"/>
  <c r="E12" i="21"/>
  <c r="J149" i="21"/>
  <c r="E7" i="21"/>
  <c r="J144" i="21"/>
  <c r="K144" i="21"/>
  <c r="E6" i="21"/>
  <c r="J143" i="21"/>
  <c r="K143" i="21"/>
  <c r="E11" i="21"/>
  <c r="K148" i="21"/>
  <c r="J148" i="21"/>
  <c r="K147" i="21"/>
  <c r="J147" i="21"/>
  <c r="E10" i="21"/>
  <c r="E5" i="21"/>
  <c r="I141" i="21"/>
  <c r="H153" i="21" s="1"/>
  <c r="E39" i="21" s="1"/>
  <c r="K142" i="21"/>
  <c r="J142" i="21"/>
  <c r="B159" i="23"/>
  <c r="I159" i="23"/>
  <c r="E22" i="23" s="1"/>
  <c r="B157" i="23"/>
  <c r="I157" i="23"/>
  <c r="E20" i="23" s="1"/>
  <c r="I147" i="23"/>
  <c r="I149" i="23"/>
  <c r="I173" i="23"/>
  <c r="E36" i="23" s="1"/>
  <c r="I151" i="23"/>
  <c r="I145" i="23"/>
  <c r="I142" i="23"/>
  <c r="I174" i="23"/>
  <c r="E37" i="23" s="1"/>
  <c r="I144" i="23"/>
  <c r="I143" i="23"/>
  <c r="B172" i="23"/>
  <c r="I172" i="23"/>
  <c r="E35" i="23" s="1"/>
  <c r="E46" i="23" s="1"/>
  <c r="G56" i="14" s="1"/>
  <c r="I153" i="23"/>
  <c r="E16" i="23" s="1"/>
  <c r="B158" i="23"/>
  <c r="I154" i="23"/>
  <c r="E17" i="23" s="1"/>
  <c r="I150" i="23"/>
  <c r="I155" i="23"/>
  <c r="E18" i="23" s="1"/>
  <c r="I158" i="23"/>
  <c r="E21" i="23" s="1"/>
  <c r="B155" i="23"/>
  <c r="B153" i="23"/>
  <c r="B189" i="23" s="1"/>
  <c r="B174" i="23"/>
  <c r="I148" i="23"/>
  <c r="B173" i="23"/>
  <c r="B156" i="23"/>
  <c r="B154" i="23"/>
  <c r="I146" i="23"/>
  <c r="I152" i="23"/>
  <c r="I156" i="23"/>
  <c r="E19" i="23" s="1"/>
  <c r="B46" i="23" s="1"/>
  <c r="D24" i="14"/>
  <c r="B48" i="19"/>
  <c r="D19" i="14"/>
  <c r="B48" i="18"/>
  <c r="A84" i="20"/>
  <c r="A122" i="20"/>
  <c r="A160" i="20" s="1"/>
  <c r="A196" i="20" s="1"/>
  <c r="A124" i="15"/>
  <c r="A162" i="15" s="1"/>
  <c r="A198" i="15" s="1"/>
  <c r="A86" i="15"/>
  <c r="A123" i="17"/>
  <c r="A161" i="17" s="1"/>
  <c r="A197" i="17" s="1"/>
  <c r="A85" i="17"/>
  <c r="L83" i="23"/>
  <c r="C23" i="23"/>
  <c r="C86" i="21"/>
  <c r="D162" i="21"/>
  <c r="I85" i="21"/>
  <c r="B85" i="21"/>
  <c r="L83" i="15"/>
  <c r="C23" i="15"/>
  <c r="L83" i="22"/>
  <c r="C23" i="22"/>
  <c r="L83" i="19"/>
  <c r="C23" i="19"/>
  <c r="A123" i="18"/>
  <c r="A161" i="18" s="1"/>
  <c r="A197" i="18" s="1"/>
  <c r="A85" i="18"/>
  <c r="D161" i="20"/>
  <c r="C85" i="20"/>
  <c r="I84" i="20"/>
  <c r="C24" i="20" s="1"/>
  <c r="C44" i="20" s="1"/>
  <c r="B84" i="20"/>
  <c r="C85" i="17"/>
  <c r="D161" i="17"/>
  <c r="B84" i="17"/>
  <c r="I84" i="17"/>
  <c r="L83" i="18"/>
  <c r="C23" i="18"/>
  <c r="I161" i="21"/>
  <c r="E24" i="21" s="1"/>
  <c r="C46" i="21" s="1"/>
  <c r="B161" i="21"/>
  <c r="B160" i="20"/>
  <c r="I160" i="20"/>
  <c r="B160" i="17"/>
  <c r="I160" i="17"/>
  <c r="E23" i="17" s="1"/>
  <c r="B160" i="22"/>
  <c r="I160" i="22"/>
  <c r="E23" i="22" s="1"/>
  <c r="I160" i="23"/>
  <c r="E23" i="23" s="1"/>
  <c r="B160" i="23"/>
  <c r="C85" i="19"/>
  <c r="D161" i="19"/>
  <c r="I84" i="19"/>
  <c r="B84" i="19"/>
  <c r="A122" i="21"/>
  <c r="A160" i="21" s="1"/>
  <c r="A196" i="21" s="1"/>
  <c r="A84" i="21"/>
  <c r="C85" i="18"/>
  <c r="D161" i="18"/>
  <c r="I84" i="18"/>
  <c r="B84" i="18"/>
  <c r="L84" i="21"/>
  <c r="C24" i="21"/>
  <c r="C44" i="21" s="1"/>
  <c r="A123" i="19"/>
  <c r="A161" i="19" s="1"/>
  <c r="A197" i="19" s="1"/>
  <c r="A85" i="19"/>
  <c r="C85" i="15"/>
  <c r="D161" i="15"/>
  <c r="I84" i="15"/>
  <c r="B84" i="15"/>
  <c r="A122" i="22"/>
  <c r="A160" i="22" s="1"/>
  <c r="A196" i="22" s="1"/>
  <c r="A84" i="22"/>
  <c r="A122" i="23"/>
  <c r="A160" i="23" s="1"/>
  <c r="A196" i="23" s="1"/>
  <c r="A84" i="23"/>
  <c r="L83" i="17"/>
  <c r="C23" i="17"/>
  <c r="B48" i="15"/>
  <c r="B48" i="21"/>
  <c r="D36" i="14"/>
  <c r="D161" i="22"/>
  <c r="C85" i="22"/>
  <c r="B84" i="22"/>
  <c r="I84" i="22"/>
  <c r="D161" i="23"/>
  <c r="C85" i="23"/>
  <c r="B84" i="23"/>
  <c r="I84" i="23"/>
  <c r="I160" i="19"/>
  <c r="E23" i="19" s="1"/>
  <c r="B160" i="19"/>
  <c r="B160" i="18"/>
  <c r="I160" i="18"/>
  <c r="E23" i="18" s="1"/>
  <c r="I160" i="15"/>
  <c r="E23" i="15" s="1"/>
  <c r="B160" i="15"/>
  <c r="L83" i="20"/>
  <c r="G191" i="18" l="1"/>
  <c r="F40" i="18" s="1"/>
  <c r="E49" i="23"/>
  <c r="G58" i="14"/>
  <c r="G192" i="23"/>
  <c r="F41" i="23" s="1"/>
  <c r="G191" i="23"/>
  <c r="F40" i="23" s="1"/>
  <c r="I141" i="20"/>
  <c r="H153" i="20" s="1"/>
  <c r="E39" i="20" s="1"/>
  <c r="F42" i="20" s="1"/>
  <c r="F38" i="20" s="1"/>
  <c r="F47" i="20" s="1"/>
  <c r="H32" i="14" s="1"/>
  <c r="K151" i="20"/>
  <c r="J148" i="20"/>
  <c r="E10" i="20"/>
  <c r="K143" i="20"/>
  <c r="E14" i="20"/>
  <c r="K148" i="20"/>
  <c r="J143" i="20"/>
  <c r="J146" i="20"/>
  <c r="H154" i="18"/>
  <c r="E40" i="18" s="1"/>
  <c r="E11" i="22"/>
  <c r="K148" i="22"/>
  <c r="J148" i="22"/>
  <c r="E6" i="22"/>
  <c r="K143" i="22"/>
  <c r="J143" i="22"/>
  <c r="J150" i="22"/>
  <c r="K150" i="22"/>
  <c r="E13" i="22"/>
  <c r="J142" i="22"/>
  <c r="I141" i="22"/>
  <c r="H153" i="22" s="1"/>
  <c r="E39" i="22" s="1"/>
  <c r="E5" i="22"/>
  <c r="K142" i="22"/>
  <c r="J145" i="22"/>
  <c r="E8" i="22"/>
  <c r="K145" i="22"/>
  <c r="J149" i="22"/>
  <c r="K149" i="22"/>
  <c r="E12" i="22"/>
  <c r="E15" i="22"/>
  <c r="K152" i="22"/>
  <c r="J152" i="22"/>
  <c r="J151" i="22"/>
  <c r="E14" i="22"/>
  <c r="K151" i="22"/>
  <c r="K147" i="22"/>
  <c r="J147" i="22"/>
  <c r="E10" i="22"/>
  <c r="J144" i="22"/>
  <c r="K144" i="22"/>
  <c r="E7" i="22"/>
  <c r="E9" i="22"/>
  <c r="J146" i="22"/>
  <c r="K146" i="22"/>
  <c r="H155" i="18"/>
  <c r="E41" i="18" s="1"/>
  <c r="G192" i="18"/>
  <c r="F41" i="18" s="1"/>
  <c r="D42" i="18"/>
  <c r="D38" i="18" s="1"/>
  <c r="F45" i="18" s="1"/>
  <c r="H20" i="14" s="1"/>
  <c r="E42" i="18"/>
  <c r="E38" i="18" s="1"/>
  <c r="F46" i="18" s="1"/>
  <c r="H21" i="14" s="1"/>
  <c r="C42" i="18"/>
  <c r="C38" i="18" s="1"/>
  <c r="F42" i="18"/>
  <c r="F38" i="18" s="1"/>
  <c r="F47" i="18" s="1"/>
  <c r="H22" i="14" s="1"/>
  <c r="E5" i="17"/>
  <c r="K142" i="17"/>
  <c r="J142" i="17"/>
  <c r="I141" i="17"/>
  <c r="H153" i="17" s="1"/>
  <c r="E39" i="17" s="1"/>
  <c r="E13" i="17"/>
  <c r="J150" i="17"/>
  <c r="K150" i="17"/>
  <c r="E12" i="17"/>
  <c r="K149" i="17"/>
  <c r="J149" i="17"/>
  <c r="E6" i="17"/>
  <c r="K143" i="17"/>
  <c r="J143" i="17"/>
  <c r="J152" i="17"/>
  <c r="E15" i="17"/>
  <c r="K152" i="17"/>
  <c r="E11" i="17"/>
  <c r="J148" i="17"/>
  <c r="K148" i="17"/>
  <c r="K147" i="17"/>
  <c r="E10" i="17"/>
  <c r="J147" i="17"/>
  <c r="J151" i="17"/>
  <c r="E14" i="17"/>
  <c r="K151" i="17"/>
  <c r="J145" i="17"/>
  <c r="E8" i="17"/>
  <c r="K145" i="17"/>
  <c r="E9" i="17"/>
  <c r="J146" i="17"/>
  <c r="K146" i="17"/>
  <c r="K144" i="17"/>
  <c r="J144" i="17"/>
  <c r="E7" i="17"/>
  <c r="E10" i="15"/>
  <c r="J147" i="15"/>
  <c r="K147" i="15"/>
  <c r="J152" i="15"/>
  <c r="E15" i="15"/>
  <c r="K152" i="15"/>
  <c r="E14" i="15"/>
  <c r="K151" i="15"/>
  <c r="J151" i="15"/>
  <c r="K146" i="15"/>
  <c r="J146" i="15"/>
  <c r="E9" i="15"/>
  <c r="I141" i="15"/>
  <c r="H153" i="15" s="1"/>
  <c r="E39" i="15" s="1"/>
  <c r="J142" i="15"/>
  <c r="K142" i="15"/>
  <c r="E5" i="15"/>
  <c r="E12" i="15"/>
  <c r="J149" i="15"/>
  <c r="K149" i="15"/>
  <c r="E6" i="15"/>
  <c r="J143" i="15"/>
  <c r="K143" i="15"/>
  <c r="J150" i="15"/>
  <c r="K150" i="15"/>
  <c r="E13" i="15"/>
  <c r="K148" i="15"/>
  <c r="J148" i="15"/>
  <c r="E11" i="15"/>
  <c r="K145" i="15"/>
  <c r="J145" i="15"/>
  <c r="E8" i="15"/>
  <c r="E7" i="15"/>
  <c r="K144" i="15"/>
  <c r="J144" i="15"/>
  <c r="H155" i="21"/>
  <c r="E41" i="21" s="1"/>
  <c r="H154" i="21"/>
  <c r="E40" i="21" s="1"/>
  <c r="H154" i="19"/>
  <c r="E40" i="19" s="1"/>
  <c r="H155" i="19"/>
  <c r="E41" i="19" s="1"/>
  <c r="C42" i="19"/>
  <c r="C38" i="19" s="1"/>
  <c r="E42" i="19"/>
  <c r="E38" i="19" s="1"/>
  <c r="F46" i="19" s="1"/>
  <c r="H26" i="14" s="1"/>
  <c r="F42" i="19"/>
  <c r="F38" i="19" s="1"/>
  <c r="F47" i="19" s="1"/>
  <c r="H27" i="14" s="1"/>
  <c r="D42" i="19"/>
  <c r="D38" i="19" s="1"/>
  <c r="F45" i="19" s="1"/>
  <c r="H25" i="14" s="1"/>
  <c r="D42" i="21"/>
  <c r="D38" i="21" s="1"/>
  <c r="F45" i="21" s="1"/>
  <c r="H35" i="14" s="1"/>
  <c r="F42" i="21"/>
  <c r="F38" i="21" s="1"/>
  <c r="F47" i="21" s="1"/>
  <c r="H37" i="14" s="1"/>
  <c r="E42" i="21"/>
  <c r="E38" i="21" s="1"/>
  <c r="F46" i="21" s="1"/>
  <c r="H36" i="14" s="1"/>
  <c r="C42" i="21"/>
  <c r="C38" i="21" s="1"/>
  <c r="J146" i="23"/>
  <c r="K146" i="23"/>
  <c r="E9" i="23"/>
  <c r="E11" i="23"/>
  <c r="K148" i="23"/>
  <c r="J148" i="23"/>
  <c r="E6" i="23"/>
  <c r="K143" i="23"/>
  <c r="J143" i="23"/>
  <c r="K145" i="23"/>
  <c r="J145" i="23"/>
  <c r="E8" i="23"/>
  <c r="E10" i="23"/>
  <c r="J147" i="23"/>
  <c r="K147" i="23"/>
  <c r="E7" i="23"/>
  <c r="K144" i="23"/>
  <c r="J144" i="23"/>
  <c r="E14" i="23"/>
  <c r="J151" i="23"/>
  <c r="K151" i="23"/>
  <c r="J150" i="23"/>
  <c r="E13" i="23"/>
  <c r="K150" i="23"/>
  <c r="E15" i="23"/>
  <c r="K152" i="23"/>
  <c r="J152" i="23"/>
  <c r="J142" i="23"/>
  <c r="I141" i="23"/>
  <c r="H153" i="23" s="1"/>
  <c r="E39" i="23" s="1"/>
  <c r="K142" i="23"/>
  <c r="E5" i="23"/>
  <c r="J149" i="23"/>
  <c r="E12" i="23"/>
  <c r="K149" i="23"/>
  <c r="E23" i="20"/>
  <c r="G23" i="19"/>
  <c r="A123" i="20"/>
  <c r="A161" i="20" s="1"/>
  <c r="A197" i="20" s="1"/>
  <c r="A85" i="20"/>
  <c r="D16" i="14"/>
  <c r="L84" i="23"/>
  <c r="C24" i="23"/>
  <c r="C44" i="23" s="1"/>
  <c r="L84" i="22"/>
  <c r="C24" i="22"/>
  <c r="C44" i="22" s="1"/>
  <c r="A85" i="23"/>
  <c r="A123" i="23"/>
  <c r="A161" i="23" s="1"/>
  <c r="A197" i="23" s="1"/>
  <c r="A85" i="22"/>
  <c r="A123" i="22"/>
  <c r="A161" i="22" s="1"/>
  <c r="A197" i="22" s="1"/>
  <c r="B161" i="15"/>
  <c r="I161" i="15"/>
  <c r="E24" i="15" s="1"/>
  <c r="C46" i="15" s="1"/>
  <c r="I161" i="17"/>
  <c r="E24" i="17" s="1"/>
  <c r="C46" i="17" s="1"/>
  <c r="B161" i="17"/>
  <c r="D162" i="20"/>
  <c r="C86" i="20"/>
  <c r="B85" i="20"/>
  <c r="I85" i="20"/>
  <c r="C25" i="20" s="1"/>
  <c r="A124" i="18"/>
  <c r="A162" i="18" s="1"/>
  <c r="A198" i="18" s="1"/>
  <c r="A86" i="18"/>
  <c r="B48" i="22"/>
  <c r="D41" i="14"/>
  <c r="D6" i="14"/>
  <c r="D162" i="15"/>
  <c r="C86" i="15"/>
  <c r="I85" i="15"/>
  <c r="B85" i="15"/>
  <c r="L85" i="21"/>
  <c r="C25" i="21"/>
  <c r="A124" i="19"/>
  <c r="A162" i="19" s="1"/>
  <c r="A198" i="19" s="1"/>
  <c r="A86" i="19"/>
  <c r="B161" i="18"/>
  <c r="I161" i="18"/>
  <c r="E24" i="18" s="1"/>
  <c r="C46" i="18" s="1"/>
  <c r="B161" i="19"/>
  <c r="I161" i="19"/>
  <c r="E24" i="19" s="1"/>
  <c r="C46" i="19" s="1"/>
  <c r="C24" i="17"/>
  <c r="C44" i="17" s="1"/>
  <c r="L84" i="17"/>
  <c r="I162" i="21"/>
  <c r="E25" i="21" s="1"/>
  <c r="B162" i="21"/>
  <c r="A124" i="17"/>
  <c r="A162" i="17" s="1"/>
  <c r="A198" i="17" s="1"/>
  <c r="A86" i="17"/>
  <c r="A87" i="15"/>
  <c r="A125" i="15"/>
  <c r="A163" i="15" s="1"/>
  <c r="A199" i="15" s="1"/>
  <c r="A85" i="21"/>
  <c r="A123" i="21"/>
  <c r="A161" i="21" s="1"/>
  <c r="A197" i="21" s="1"/>
  <c r="D31" i="14"/>
  <c r="B49" i="21"/>
  <c r="D38" i="14"/>
  <c r="L84" i="18"/>
  <c r="C24" i="18"/>
  <c r="C44" i="18" s="1"/>
  <c r="C24" i="19"/>
  <c r="C44" i="19" s="1"/>
  <c r="L84" i="19"/>
  <c r="D162" i="17"/>
  <c r="C86" i="17"/>
  <c r="B85" i="17"/>
  <c r="I85" i="17"/>
  <c r="B161" i="20"/>
  <c r="I161" i="20"/>
  <c r="D56" i="14"/>
  <c r="C86" i="23"/>
  <c r="D162" i="23"/>
  <c r="B85" i="23"/>
  <c r="I85" i="23"/>
  <c r="C86" i="22"/>
  <c r="D162" i="22"/>
  <c r="I85" i="22"/>
  <c r="B85" i="22"/>
  <c r="I161" i="23"/>
  <c r="E24" i="23" s="1"/>
  <c r="C46" i="23" s="1"/>
  <c r="B161" i="23"/>
  <c r="B161" i="22"/>
  <c r="I161" i="22"/>
  <c r="E24" i="22" s="1"/>
  <c r="C46" i="22" s="1"/>
  <c r="D21" i="14"/>
  <c r="C24" i="15"/>
  <c r="C44" i="15" s="1"/>
  <c r="L84" i="15"/>
  <c r="D162" i="18"/>
  <c r="C86" i="18"/>
  <c r="I85" i="18"/>
  <c r="B85" i="18"/>
  <c r="D26" i="14"/>
  <c r="D162" i="19"/>
  <c r="C86" i="19"/>
  <c r="B85" i="19"/>
  <c r="I85" i="19"/>
  <c r="L84" i="20"/>
  <c r="D163" i="21"/>
  <c r="C87" i="21"/>
  <c r="B86" i="21"/>
  <c r="I86" i="21"/>
  <c r="G23" i="18" l="1"/>
  <c r="E42" i="20"/>
  <c r="E38" i="20" s="1"/>
  <c r="F46" i="20" s="1"/>
  <c r="H31" i="14" s="1"/>
  <c r="D42" i="20"/>
  <c r="F45" i="20" s="1"/>
  <c r="H30" i="14" s="1"/>
  <c r="C42" i="20"/>
  <c r="C38" i="20" s="1"/>
  <c r="G16" i="20" s="1"/>
  <c r="H155" i="20"/>
  <c r="E41" i="20" s="1"/>
  <c r="H154" i="20"/>
  <c r="E40" i="20" s="1"/>
  <c r="G11" i="20"/>
  <c r="E42" i="22"/>
  <c r="E38" i="22" s="1"/>
  <c r="F46" i="22" s="1"/>
  <c r="H41" i="14" s="1"/>
  <c r="C42" i="22"/>
  <c r="C38" i="22" s="1"/>
  <c r="D42" i="22"/>
  <c r="D38" i="22" s="1"/>
  <c r="F45" i="22" s="1"/>
  <c r="H40" i="14" s="1"/>
  <c r="F42" i="22"/>
  <c r="F38" i="22" s="1"/>
  <c r="F47" i="22" s="1"/>
  <c r="H42" i="14" s="1"/>
  <c r="H155" i="22"/>
  <c r="E41" i="22" s="1"/>
  <c r="H154" i="22"/>
  <c r="E40" i="22" s="1"/>
  <c r="G24" i="22"/>
  <c r="G9" i="18"/>
  <c r="G6" i="18"/>
  <c r="G14" i="18"/>
  <c r="G11" i="18"/>
  <c r="G10" i="18"/>
  <c r="G16" i="18"/>
  <c r="G15" i="18"/>
  <c r="G13" i="18"/>
  <c r="G18" i="18"/>
  <c r="G17" i="18"/>
  <c r="G12" i="18"/>
  <c r="G5" i="18"/>
  <c r="G8" i="18"/>
  <c r="F44" i="18"/>
  <c r="H19" i="14" s="1"/>
  <c r="G7" i="18"/>
  <c r="G20" i="18"/>
  <c r="G21" i="18"/>
  <c r="G19" i="18"/>
  <c r="G22" i="18"/>
  <c r="E42" i="17"/>
  <c r="E38" i="17" s="1"/>
  <c r="F46" i="17" s="1"/>
  <c r="H16" i="14" s="1"/>
  <c r="D42" i="17"/>
  <c r="D38" i="17" s="1"/>
  <c r="F45" i="17" s="1"/>
  <c r="H15" i="14" s="1"/>
  <c r="C42" i="17"/>
  <c r="C38" i="17" s="1"/>
  <c r="F42" i="17"/>
  <c r="F38" i="17" s="1"/>
  <c r="F47" i="17" s="1"/>
  <c r="H17" i="14" s="1"/>
  <c r="H155" i="17"/>
  <c r="E41" i="17" s="1"/>
  <c r="G24" i="17"/>
  <c r="H154" i="17"/>
  <c r="E40" i="17" s="1"/>
  <c r="F42" i="15"/>
  <c r="F38" i="15" s="1"/>
  <c r="F47" i="15" s="1"/>
  <c r="H7" i="14" s="1"/>
  <c r="E42" i="15"/>
  <c r="E38" i="15" s="1"/>
  <c r="F46" i="15" s="1"/>
  <c r="H6" i="14" s="1"/>
  <c r="D42" i="15"/>
  <c r="D38" i="15" s="1"/>
  <c r="F45" i="15" s="1"/>
  <c r="H5" i="14" s="1"/>
  <c r="C42" i="15"/>
  <c r="C38" i="15" s="1"/>
  <c r="H154" i="15"/>
  <c r="E40" i="15" s="1"/>
  <c r="H155" i="15"/>
  <c r="E41" i="15" s="1"/>
  <c r="G24" i="21"/>
  <c r="G12" i="19"/>
  <c r="G10" i="19"/>
  <c r="F44" i="19"/>
  <c r="H24" i="14" s="1"/>
  <c r="G9" i="19"/>
  <c r="G13" i="19"/>
  <c r="G7" i="19"/>
  <c r="G16" i="19"/>
  <c r="G11" i="19"/>
  <c r="G15" i="19"/>
  <c r="G14" i="19"/>
  <c r="G8" i="19"/>
  <c r="G17" i="19"/>
  <c r="G5" i="19"/>
  <c r="G18" i="19"/>
  <c r="G6" i="19"/>
  <c r="G20" i="19"/>
  <c r="G21" i="19"/>
  <c r="G19" i="19"/>
  <c r="G22" i="19"/>
  <c r="G11" i="21"/>
  <c r="G5" i="21"/>
  <c r="G14" i="21"/>
  <c r="G15" i="21"/>
  <c r="G7" i="21"/>
  <c r="G12" i="21"/>
  <c r="G6" i="21"/>
  <c r="G9" i="21"/>
  <c r="G13" i="21"/>
  <c r="G8" i="21"/>
  <c r="G10" i="21"/>
  <c r="G16" i="21"/>
  <c r="F44" i="21"/>
  <c r="H34" i="14" s="1"/>
  <c r="G17" i="21"/>
  <c r="G18" i="21"/>
  <c r="G20" i="21"/>
  <c r="G21" i="21"/>
  <c r="G22" i="21"/>
  <c r="G23" i="21"/>
  <c r="G19" i="21"/>
  <c r="H155" i="23"/>
  <c r="E41" i="23" s="1"/>
  <c r="H154" i="23"/>
  <c r="E40" i="23" s="1"/>
  <c r="D42" i="23"/>
  <c r="D38" i="23" s="1"/>
  <c r="F45" i="23" s="1"/>
  <c r="H55" i="14" s="1"/>
  <c r="E42" i="23"/>
  <c r="E38" i="23" s="1"/>
  <c r="F46" i="23" s="1"/>
  <c r="H56" i="14" s="1"/>
  <c r="F42" i="23"/>
  <c r="F38" i="23" s="1"/>
  <c r="F47" i="23" s="1"/>
  <c r="H57" i="14" s="1"/>
  <c r="C42" i="23"/>
  <c r="C38" i="23" s="1"/>
  <c r="G25" i="21"/>
  <c r="E24" i="20"/>
  <c r="C46" i="20" s="1"/>
  <c r="G24" i="19"/>
  <c r="G24" i="18"/>
  <c r="A86" i="20"/>
  <c r="A124" i="20"/>
  <c r="A162" i="20" s="1"/>
  <c r="A198" i="20" s="1"/>
  <c r="D18" i="14"/>
  <c r="B49" i="17"/>
  <c r="D164" i="21"/>
  <c r="C88" i="21"/>
  <c r="I87" i="21"/>
  <c r="B87" i="21"/>
  <c r="D163" i="17"/>
  <c r="C87" i="17"/>
  <c r="B86" i="17"/>
  <c r="I86" i="17"/>
  <c r="B49" i="20"/>
  <c r="D33" i="14"/>
  <c r="A87" i="17"/>
  <c r="A125" i="17"/>
  <c r="A163" i="17" s="1"/>
  <c r="A199" i="17" s="1"/>
  <c r="B162" i="17"/>
  <c r="I162" i="17"/>
  <c r="E25" i="17" s="1"/>
  <c r="A86" i="21"/>
  <c r="A124" i="21"/>
  <c r="A162" i="21" s="1"/>
  <c r="A198" i="21" s="1"/>
  <c r="B49" i="15"/>
  <c r="D8" i="14"/>
  <c r="I162" i="20"/>
  <c r="B162" i="20"/>
  <c r="A86" i="23"/>
  <c r="A124" i="23"/>
  <c r="A162" i="23" s="1"/>
  <c r="A198" i="23" s="1"/>
  <c r="C26" i="21"/>
  <c r="L86" i="21"/>
  <c r="C87" i="19"/>
  <c r="D163" i="19"/>
  <c r="B86" i="19"/>
  <c r="I86" i="19"/>
  <c r="L85" i="23"/>
  <c r="C25" i="23"/>
  <c r="C25" i="17"/>
  <c r="L85" i="17"/>
  <c r="A87" i="19"/>
  <c r="A125" i="19"/>
  <c r="A163" i="19" s="1"/>
  <c r="A199" i="19" s="1"/>
  <c r="C87" i="15"/>
  <c r="D163" i="15"/>
  <c r="I86" i="15"/>
  <c r="B86" i="15"/>
  <c r="L85" i="20"/>
  <c r="C25" i="19"/>
  <c r="L85" i="19"/>
  <c r="D163" i="18"/>
  <c r="C87" i="18"/>
  <c r="I86" i="18"/>
  <c r="B86" i="18"/>
  <c r="B162" i="22"/>
  <c r="I162" i="22"/>
  <c r="E25" i="22" s="1"/>
  <c r="B162" i="23"/>
  <c r="I162" i="23"/>
  <c r="E25" i="23" s="1"/>
  <c r="A87" i="18"/>
  <c r="A125" i="18"/>
  <c r="A163" i="18" s="1"/>
  <c r="A199" i="18" s="1"/>
  <c r="D163" i="20"/>
  <c r="C87" i="20"/>
  <c r="B86" i="20"/>
  <c r="I86" i="20"/>
  <c r="C26" i="20" s="1"/>
  <c r="B163" i="21"/>
  <c r="I163" i="21"/>
  <c r="E26" i="21" s="1"/>
  <c r="B49" i="19"/>
  <c r="D28" i="14"/>
  <c r="B162" i="18"/>
  <c r="I162" i="18"/>
  <c r="E25" i="18" s="1"/>
  <c r="D163" i="22"/>
  <c r="C87" i="22"/>
  <c r="I86" i="22"/>
  <c r="B86" i="22"/>
  <c r="D163" i="23"/>
  <c r="C87" i="23"/>
  <c r="I86" i="23"/>
  <c r="B86" i="23"/>
  <c r="C25" i="15"/>
  <c r="L85" i="15"/>
  <c r="I162" i="19"/>
  <c r="E25" i="19" s="1"/>
  <c r="B162" i="19"/>
  <c r="C25" i="18"/>
  <c r="L85" i="18"/>
  <c r="D23" i="14"/>
  <c r="B49" i="18"/>
  <c r="L85" i="22"/>
  <c r="C25" i="22"/>
  <c r="B49" i="23"/>
  <c r="D58" i="14"/>
  <c r="A126" i="15"/>
  <c r="A164" i="15" s="1"/>
  <c r="A200" i="15" s="1"/>
  <c r="A88" i="15"/>
  <c r="B162" i="15"/>
  <c r="I162" i="15"/>
  <c r="E25" i="15" s="1"/>
  <c r="B49" i="22"/>
  <c r="D43" i="14"/>
  <c r="A86" i="22"/>
  <c r="A124" i="22"/>
  <c r="A162" i="22" s="1"/>
  <c r="A198" i="22" s="1"/>
  <c r="G24" i="15" l="1"/>
  <c r="G21" i="20"/>
  <c r="G14" i="20"/>
  <c r="G8" i="20"/>
  <c r="G15" i="20"/>
  <c r="G18" i="20"/>
  <c r="G5" i="20"/>
  <c r="G24" i="20"/>
  <c r="F44" i="20"/>
  <c r="H29" i="14" s="1"/>
  <c r="G13" i="20"/>
  <c r="G10" i="20"/>
  <c r="G19" i="20"/>
  <c r="G20" i="20"/>
  <c r="G22" i="20"/>
  <c r="G17" i="20"/>
  <c r="G6" i="20"/>
  <c r="G7" i="20"/>
  <c r="G12" i="20"/>
  <c r="G9" i="20"/>
  <c r="G23" i="20"/>
  <c r="G11" i="22"/>
  <c r="G13" i="22"/>
  <c r="G5" i="22"/>
  <c r="G8" i="22"/>
  <c r="G12" i="22"/>
  <c r="G7" i="22"/>
  <c r="G14" i="22"/>
  <c r="G6" i="22"/>
  <c r="G9" i="22"/>
  <c r="G10" i="22"/>
  <c r="G15" i="22"/>
  <c r="G16" i="22"/>
  <c r="G18" i="22"/>
  <c r="F44" i="22"/>
  <c r="H39" i="14" s="1"/>
  <c r="G17" i="22"/>
  <c r="G20" i="22"/>
  <c r="G21" i="22"/>
  <c r="G22" i="22"/>
  <c r="G19" i="22"/>
  <c r="G23" i="22"/>
  <c r="G11" i="17"/>
  <c r="G17" i="17"/>
  <c r="G18" i="17"/>
  <c r="G14" i="17"/>
  <c r="G8" i="17"/>
  <c r="G13" i="17"/>
  <c r="F44" i="17"/>
  <c r="H14" i="14" s="1"/>
  <c r="G6" i="17"/>
  <c r="G7" i="17"/>
  <c r="G5" i="17"/>
  <c r="G16" i="17"/>
  <c r="G9" i="17"/>
  <c r="G15" i="17"/>
  <c r="G12" i="17"/>
  <c r="G10" i="17"/>
  <c r="G20" i="17"/>
  <c r="G21" i="17"/>
  <c r="G22" i="17"/>
  <c r="G19" i="17"/>
  <c r="G23" i="17"/>
  <c r="G8" i="15"/>
  <c r="G9" i="15"/>
  <c r="G14" i="15"/>
  <c r="G10" i="15"/>
  <c r="G15" i="15"/>
  <c r="G13" i="15"/>
  <c r="G12" i="15"/>
  <c r="G5" i="15"/>
  <c r="G17" i="15"/>
  <c r="G7" i="15"/>
  <c r="G6" i="15"/>
  <c r="G11" i="15"/>
  <c r="G16" i="15"/>
  <c r="F44" i="15"/>
  <c r="H4" i="14" s="1"/>
  <c r="G18" i="15"/>
  <c r="G20" i="15"/>
  <c r="G22" i="15"/>
  <c r="G23" i="15"/>
  <c r="G19" i="15"/>
  <c r="G21" i="15"/>
  <c r="G25" i="15"/>
  <c r="G7" i="23"/>
  <c r="G5" i="23"/>
  <c r="G13" i="23"/>
  <c r="F44" i="23"/>
  <c r="H54" i="14" s="1"/>
  <c r="G8" i="23"/>
  <c r="G10" i="23"/>
  <c r="G12" i="23"/>
  <c r="G11" i="23"/>
  <c r="G16" i="23"/>
  <c r="G6" i="23"/>
  <c r="G15" i="23"/>
  <c r="G17" i="23"/>
  <c r="G19" i="23"/>
  <c r="G18" i="23"/>
  <c r="G9" i="23"/>
  <c r="G14" i="23"/>
  <c r="G20" i="23"/>
  <c r="G21" i="23"/>
  <c r="G22" i="23"/>
  <c r="G23" i="23"/>
  <c r="G24" i="23"/>
  <c r="G25" i="23"/>
  <c r="G25" i="22"/>
  <c r="G25" i="19"/>
  <c r="G25" i="18"/>
  <c r="G25" i="17"/>
  <c r="G26" i="21"/>
  <c r="E25" i="20"/>
  <c r="D62" i="14"/>
  <c r="D59" i="14"/>
  <c r="A87" i="20"/>
  <c r="A125" i="20"/>
  <c r="A163" i="20" s="1"/>
  <c r="A199" i="20" s="1"/>
  <c r="A127" i="15"/>
  <c r="A165" i="15" s="1"/>
  <c r="A201" i="15" s="1"/>
  <c r="A89" i="15"/>
  <c r="L86" i="19"/>
  <c r="C26" i="19"/>
  <c r="L86" i="17"/>
  <c r="C26" i="17"/>
  <c r="A125" i="22"/>
  <c r="A163" i="22" s="1"/>
  <c r="A199" i="22" s="1"/>
  <c r="A87" i="22"/>
  <c r="A126" i="17"/>
  <c r="A164" i="17" s="1"/>
  <c r="A200" i="17" s="1"/>
  <c r="A88" i="17"/>
  <c r="L87" i="21"/>
  <c r="C27" i="21"/>
  <c r="E34" i="14" s="1"/>
  <c r="L86" i="20"/>
  <c r="D164" i="18"/>
  <c r="C88" i="18"/>
  <c r="I87" i="18"/>
  <c r="B87" i="18"/>
  <c r="B163" i="15"/>
  <c r="I163" i="15"/>
  <c r="E26" i="15" s="1"/>
  <c r="G26" i="15" s="1"/>
  <c r="B163" i="19"/>
  <c r="I163" i="19"/>
  <c r="E26" i="19" s="1"/>
  <c r="D164" i="17"/>
  <c r="C88" i="17"/>
  <c r="B87" i="17"/>
  <c r="I87" i="17"/>
  <c r="D165" i="21"/>
  <c r="C89" i="21"/>
  <c r="I88" i="21"/>
  <c r="B88" i="21"/>
  <c r="C88" i="23"/>
  <c r="D164" i="23"/>
  <c r="I87" i="23"/>
  <c r="B87" i="23"/>
  <c r="D164" i="22"/>
  <c r="C88" i="22"/>
  <c r="I87" i="22"/>
  <c r="B87" i="22"/>
  <c r="C88" i="20"/>
  <c r="D164" i="20"/>
  <c r="B87" i="20"/>
  <c r="I87" i="20"/>
  <c r="C27" i="20" s="1"/>
  <c r="B163" i="23"/>
  <c r="I163" i="23"/>
  <c r="E26" i="23" s="1"/>
  <c r="I163" i="22"/>
  <c r="E26" i="22" s="1"/>
  <c r="B163" i="22"/>
  <c r="B163" i="20"/>
  <c r="I163" i="20"/>
  <c r="L86" i="18"/>
  <c r="C26" i="18"/>
  <c r="L86" i="15"/>
  <c r="C26" i="15"/>
  <c r="A126" i="19"/>
  <c r="A164" i="19" s="1"/>
  <c r="A200" i="19" s="1"/>
  <c r="A88" i="19"/>
  <c r="C26" i="23"/>
  <c r="L86" i="23"/>
  <c r="C26" i="22"/>
  <c r="L86" i="22"/>
  <c r="A88" i="18"/>
  <c r="A126" i="18"/>
  <c r="A164" i="18" s="1"/>
  <c r="A200" i="18" s="1"/>
  <c r="B163" i="18"/>
  <c r="I163" i="18"/>
  <c r="E26" i="18" s="1"/>
  <c r="D164" i="15"/>
  <c r="C88" i="15"/>
  <c r="I87" i="15"/>
  <c r="B87" i="15"/>
  <c r="D164" i="19"/>
  <c r="C88" i="19"/>
  <c r="I87" i="19"/>
  <c r="B87" i="19"/>
  <c r="A125" i="23"/>
  <c r="A163" i="23" s="1"/>
  <c r="A199" i="23" s="1"/>
  <c r="A87" i="23"/>
  <c r="A125" i="21"/>
  <c r="A163" i="21" s="1"/>
  <c r="A199" i="21" s="1"/>
  <c r="A87" i="21"/>
  <c r="I163" i="17"/>
  <c r="E26" i="17" s="1"/>
  <c r="B163" i="17"/>
  <c r="I164" i="21"/>
  <c r="E27" i="21" s="1"/>
  <c r="B164" i="21"/>
  <c r="G25" i="20" l="1"/>
  <c r="G26" i="23"/>
  <c r="G26" i="22"/>
  <c r="E26" i="20"/>
  <c r="G26" i="20" s="1"/>
  <c r="G26" i="18"/>
  <c r="G26" i="17"/>
  <c r="G26" i="19"/>
  <c r="A88" i="20"/>
  <c r="A126" i="20"/>
  <c r="A164" i="20" s="1"/>
  <c r="A200" i="20" s="1"/>
  <c r="L87" i="15"/>
  <c r="C27" i="15"/>
  <c r="E4" i="14" s="1"/>
  <c r="L87" i="22"/>
  <c r="C27" i="22"/>
  <c r="E39" i="14" s="1"/>
  <c r="C89" i="15"/>
  <c r="D165" i="15"/>
  <c r="I88" i="15"/>
  <c r="B88" i="15"/>
  <c r="C89" i="18"/>
  <c r="D165" i="18"/>
  <c r="I88" i="18"/>
  <c r="B88" i="18"/>
  <c r="A127" i="17"/>
  <c r="A165" i="17" s="1"/>
  <c r="A201" i="17" s="1"/>
  <c r="A89" i="17"/>
  <c r="A126" i="22"/>
  <c r="A164" i="22" s="1"/>
  <c r="A200" i="22" s="1"/>
  <c r="A88" i="22"/>
  <c r="A128" i="15"/>
  <c r="A166" i="15" s="1"/>
  <c r="A202" i="15" s="1"/>
  <c r="A90" i="15"/>
  <c r="L87" i="19"/>
  <c r="C27" i="19"/>
  <c r="I164" i="15"/>
  <c r="E27" i="15" s="1"/>
  <c r="B164" i="15"/>
  <c r="A127" i="18"/>
  <c r="A165" i="18" s="1"/>
  <c r="A201" i="18" s="1"/>
  <c r="A89" i="18"/>
  <c r="A126" i="23"/>
  <c r="A164" i="23" s="1"/>
  <c r="A200" i="23" s="1"/>
  <c r="A88" i="23"/>
  <c r="C89" i="19"/>
  <c r="D165" i="19"/>
  <c r="B88" i="19"/>
  <c r="I88" i="19"/>
  <c r="A127" i="19"/>
  <c r="A165" i="19" s="1"/>
  <c r="A201" i="19" s="1"/>
  <c r="A89" i="19"/>
  <c r="L87" i="20"/>
  <c r="E29" i="14"/>
  <c r="L87" i="17"/>
  <c r="C27" i="17"/>
  <c r="E14" i="14" s="1"/>
  <c r="I164" i="19"/>
  <c r="E27" i="19" s="1"/>
  <c r="B164" i="19"/>
  <c r="L87" i="23"/>
  <c r="C27" i="23"/>
  <c r="E54" i="14" s="1"/>
  <c r="L88" i="21"/>
  <c r="C28" i="21"/>
  <c r="L87" i="18"/>
  <c r="C27" i="18"/>
  <c r="A126" i="21"/>
  <c r="A164" i="21" s="1"/>
  <c r="A200" i="21" s="1"/>
  <c r="A88" i="21"/>
  <c r="I164" i="20"/>
  <c r="E27" i="20" s="1"/>
  <c r="B164" i="20"/>
  <c r="D165" i="22"/>
  <c r="C89" i="22"/>
  <c r="B88" i="22"/>
  <c r="I88" i="22"/>
  <c r="I164" i="23"/>
  <c r="E27" i="23" s="1"/>
  <c r="B164" i="23"/>
  <c r="C90" i="21"/>
  <c r="D166" i="21"/>
  <c r="I89" i="21"/>
  <c r="B89" i="21"/>
  <c r="C89" i="17"/>
  <c r="D165" i="17"/>
  <c r="I88" i="17"/>
  <c r="B88" i="17"/>
  <c r="C48" i="21"/>
  <c r="G27" i="21"/>
  <c r="F60" i="14"/>
  <c r="D165" i="20"/>
  <c r="C89" i="20"/>
  <c r="B88" i="20"/>
  <c r="I88" i="20"/>
  <c r="C28" i="20" s="1"/>
  <c r="I164" i="22"/>
  <c r="E27" i="22" s="1"/>
  <c r="B164" i="22"/>
  <c r="D165" i="23"/>
  <c r="C89" i="23"/>
  <c r="I88" i="23"/>
  <c r="B88" i="23"/>
  <c r="B165" i="21"/>
  <c r="I165" i="21"/>
  <c r="E28" i="21" s="1"/>
  <c r="G28" i="21" s="1"/>
  <c r="B164" i="17"/>
  <c r="I164" i="17"/>
  <c r="E27" i="17" s="1"/>
  <c r="I164" i="18"/>
  <c r="E27" i="18" s="1"/>
  <c r="B164" i="18"/>
  <c r="E19" i="14" l="1"/>
  <c r="C48" i="18"/>
  <c r="E24" i="14"/>
  <c r="C48" i="19"/>
  <c r="A89" i="20"/>
  <c r="A127" i="20"/>
  <c r="A165" i="20" s="1"/>
  <c r="A201" i="20" s="1"/>
  <c r="G27" i="17"/>
  <c r="C48" i="22"/>
  <c r="G27" i="22"/>
  <c r="B165" i="20"/>
  <c r="I165" i="20"/>
  <c r="E36" i="14"/>
  <c r="C28" i="17"/>
  <c r="L88" i="17"/>
  <c r="L89" i="21"/>
  <c r="C29" i="21"/>
  <c r="D44" i="21" s="1"/>
  <c r="G27" i="20"/>
  <c r="D166" i="19"/>
  <c r="C90" i="19"/>
  <c r="B89" i="19"/>
  <c r="I89" i="19"/>
  <c r="D166" i="18"/>
  <c r="C90" i="18"/>
  <c r="B89" i="18"/>
  <c r="I89" i="18"/>
  <c r="L88" i="15"/>
  <c r="C28" i="15"/>
  <c r="L88" i="20"/>
  <c r="A89" i="21"/>
  <c r="A127" i="21"/>
  <c r="A165" i="21" s="1"/>
  <c r="A201" i="21" s="1"/>
  <c r="A128" i="19"/>
  <c r="A166" i="19" s="1"/>
  <c r="A202" i="19" s="1"/>
  <c r="A90" i="19"/>
  <c r="A89" i="23"/>
  <c r="A127" i="23"/>
  <c r="A165" i="23" s="1"/>
  <c r="A201" i="23" s="1"/>
  <c r="A128" i="17"/>
  <c r="A166" i="17" s="1"/>
  <c r="A202" i="17" s="1"/>
  <c r="A90" i="17"/>
  <c r="D166" i="20"/>
  <c r="C90" i="20"/>
  <c r="I89" i="20"/>
  <c r="C29" i="20" s="1"/>
  <c r="D44" i="20" s="1"/>
  <c r="B89" i="20"/>
  <c r="L88" i="22"/>
  <c r="C28" i="22"/>
  <c r="B165" i="19"/>
  <c r="I165" i="19"/>
  <c r="E28" i="19" s="1"/>
  <c r="A128" i="18"/>
  <c r="A166" i="18" s="1"/>
  <c r="A202" i="18" s="1"/>
  <c r="A90" i="18"/>
  <c r="A91" i="15"/>
  <c r="A129" i="15"/>
  <c r="A167" i="15" s="1"/>
  <c r="A203" i="15" s="1"/>
  <c r="A89" i="22"/>
  <c r="A127" i="22"/>
  <c r="A165" i="22" s="1"/>
  <c r="A201" i="22" s="1"/>
  <c r="B165" i="18"/>
  <c r="I165" i="18"/>
  <c r="E28" i="18" s="1"/>
  <c r="L88" i="23"/>
  <c r="C28" i="23"/>
  <c r="C90" i="23"/>
  <c r="D166" i="23"/>
  <c r="B89" i="23"/>
  <c r="I89" i="23"/>
  <c r="I165" i="17"/>
  <c r="E28" i="17" s="1"/>
  <c r="G28" i="17" s="1"/>
  <c r="B165" i="17"/>
  <c r="B166" i="21"/>
  <c r="I166" i="21"/>
  <c r="E29" i="21" s="1"/>
  <c r="C90" i="22"/>
  <c r="D166" i="22"/>
  <c r="B89" i="22"/>
  <c r="I89" i="22"/>
  <c r="L88" i="19"/>
  <c r="C28" i="19"/>
  <c r="B165" i="15"/>
  <c r="I165" i="15"/>
  <c r="E28" i="15" s="1"/>
  <c r="G28" i="15" s="1"/>
  <c r="G27" i="18"/>
  <c r="I165" i="23"/>
  <c r="E28" i="23" s="1"/>
  <c r="G28" i="23" s="1"/>
  <c r="B165" i="23"/>
  <c r="D166" i="17"/>
  <c r="C90" i="17"/>
  <c r="B89" i="17"/>
  <c r="I89" i="17"/>
  <c r="D167" i="21"/>
  <c r="C91" i="21"/>
  <c r="B90" i="21"/>
  <c r="I90" i="21"/>
  <c r="G27" i="23"/>
  <c r="B165" i="22"/>
  <c r="I165" i="22"/>
  <c r="E28" i="22" s="1"/>
  <c r="G28" i="22" s="1"/>
  <c r="G27" i="19"/>
  <c r="G27" i="15"/>
  <c r="C48" i="15"/>
  <c r="L88" i="18"/>
  <c r="C28" i="18"/>
  <c r="D166" i="15"/>
  <c r="C90" i="15"/>
  <c r="B89" i="15"/>
  <c r="I89" i="15"/>
  <c r="G29" i="21" l="1"/>
  <c r="D46" i="21"/>
  <c r="G28" i="20"/>
  <c r="E28" i="20"/>
  <c r="G28" i="18"/>
  <c r="G28" i="19"/>
  <c r="A128" i="20"/>
  <c r="A166" i="20" s="1"/>
  <c r="A202" i="20" s="1"/>
  <c r="A90" i="20"/>
  <c r="E16" i="14"/>
  <c r="C29" i="17"/>
  <c r="D44" i="17" s="1"/>
  <c r="L89" i="17"/>
  <c r="B166" i="20"/>
  <c r="I166" i="20"/>
  <c r="A128" i="23"/>
  <c r="A166" i="23" s="1"/>
  <c r="A202" i="23" s="1"/>
  <c r="A90" i="23"/>
  <c r="D167" i="22"/>
  <c r="C91" i="22"/>
  <c r="B90" i="22"/>
  <c r="I90" i="22"/>
  <c r="A91" i="19"/>
  <c r="A129" i="19"/>
  <c r="A167" i="19" s="1"/>
  <c r="A203" i="19" s="1"/>
  <c r="E31" i="14"/>
  <c r="C29" i="15"/>
  <c r="D44" i="15" s="1"/>
  <c r="L89" i="15"/>
  <c r="E26" i="14"/>
  <c r="D168" i="21"/>
  <c r="C92" i="21"/>
  <c r="I91" i="21"/>
  <c r="B91" i="21"/>
  <c r="C91" i="17"/>
  <c r="D167" i="17"/>
  <c r="B90" i="17"/>
  <c r="I90" i="17"/>
  <c r="E21" i="14"/>
  <c r="L89" i="22"/>
  <c r="C29" i="22"/>
  <c r="D44" i="22" s="1"/>
  <c r="E56" i="14"/>
  <c r="B167" i="21"/>
  <c r="I167" i="21"/>
  <c r="E30" i="21" s="1"/>
  <c r="B166" i="17"/>
  <c r="I166" i="17"/>
  <c r="E29" i="17" s="1"/>
  <c r="D167" i="23"/>
  <c r="C91" i="23"/>
  <c r="B90" i="23"/>
  <c r="I90" i="23"/>
  <c r="D167" i="20"/>
  <c r="C91" i="20"/>
  <c r="B90" i="20"/>
  <c r="I90" i="20"/>
  <c r="C30" i="20" s="1"/>
  <c r="A91" i="17"/>
  <c r="A129" i="17"/>
  <c r="A167" i="17" s="1"/>
  <c r="A203" i="17" s="1"/>
  <c r="C29" i="18"/>
  <c r="D44" i="18" s="1"/>
  <c r="L89" i="18"/>
  <c r="C29" i="19"/>
  <c r="D44" i="19" s="1"/>
  <c r="L89" i="19"/>
  <c r="C91" i="15"/>
  <c r="D167" i="15"/>
  <c r="B90" i="15"/>
  <c r="I90" i="15"/>
  <c r="E6" i="14"/>
  <c r="C30" i="21"/>
  <c r="L90" i="21"/>
  <c r="B166" i="22"/>
  <c r="I166" i="22"/>
  <c r="E29" i="22" s="1"/>
  <c r="L89" i="23"/>
  <c r="C29" i="23"/>
  <c r="A92" i="15"/>
  <c r="A130" i="15"/>
  <c r="A168" i="15" s="1"/>
  <c r="A204" i="15" s="1"/>
  <c r="A128" i="21"/>
  <c r="A166" i="21" s="1"/>
  <c r="A202" i="21" s="1"/>
  <c r="A90" i="21"/>
  <c r="B166" i="15"/>
  <c r="I166" i="15"/>
  <c r="E29" i="15" s="1"/>
  <c r="A91" i="18"/>
  <c r="A129" i="18"/>
  <c r="A167" i="18" s="1"/>
  <c r="A203" i="18" s="1"/>
  <c r="D167" i="18"/>
  <c r="C91" i="18"/>
  <c r="I90" i="18"/>
  <c r="B90" i="18"/>
  <c r="C91" i="19"/>
  <c r="D167" i="19"/>
  <c r="B90" i="19"/>
  <c r="I90" i="19"/>
  <c r="I166" i="23"/>
  <c r="E29" i="23" s="1"/>
  <c r="G29" i="23" s="1"/>
  <c r="B166" i="23"/>
  <c r="A128" i="22"/>
  <c r="A166" i="22" s="1"/>
  <c r="A202" i="22" s="1"/>
  <c r="A90" i="22"/>
  <c r="L89" i="20"/>
  <c r="B166" i="18"/>
  <c r="I166" i="18"/>
  <c r="E29" i="18" s="1"/>
  <c r="D46" i="18" s="1"/>
  <c r="I166" i="19"/>
  <c r="E29" i="19" s="1"/>
  <c r="B166" i="19"/>
  <c r="C49" i="21"/>
  <c r="C50" i="21"/>
  <c r="C51" i="21"/>
  <c r="E38" i="14"/>
  <c r="E41" i="14"/>
  <c r="G29" i="17" l="1"/>
  <c r="D46" i="17"/>
  <c r="G29" i="15"/>
  <c r="D46" i="15"/>
  <c r="G29" i="22"/>
  <c r="D46" i="22"/>
  <c r="G29" i="19"/>
  <c r="D46" i="19"/>
  <c r="G30" i="21"/>
  <c r="E29" i="20"/>
  <c r="G29" i="18"/>
  <c r="A129" i="20"/>
  <c r="A167" i="20" s="1"/>
  <c r="A203" i="20" s="1"/>
  <c r="A91" i="20"/>
  <c r="C51" i="17"/>
  <c r="C50" i="17"/>
  <c r="C49" i="17"/>
  <c r="E18" i="14"/>
  <c r="A130" i="18"/>
  <c r="A168" i="18" s="1"/>
  <c r="A204" i="18" s="1"/>
  <c r="A92" i="18"/>
  <c r="D168" i="15"/>
  <c r="C92" i="15"/>
  <c r="I91" i="15"/>
  <c r="B91" i="15"/>
  <c r="B167" i="23"/>
  <c r="I167" i="23"/>
  <c r="E30" i="23" s="1"/>
  <c r="C51" i="18"/>
  <c r="E23" i="14"/>
  <c r="C50" i="18"/>
  <c r="C49" i="18"/>
  <c r="B168" i="21"/>
  <c r="I168" i="21"/>
  <c r="E31" i="21" s="1"/>
  <c r="A130" i="19"/>
  <c r="A168" i="19" s="1"/>
  <c r="A204" i="19" s="1"/>
  <c r="A92" i="19"/>
  <c r="I167" i="22"/>
  <c r="E30" i="22" s="1"/>
  <c r="B167" i="22"/>
  <c r="B167" i="19"/>
  <c r="I167" i="19"/>
  <c r="E30" i="19" s="1"/>
  <c r="D168" i="18"/>
  <c r="C92" i="18"/>
  <c r="I91" i="18"/>
  <c r="B91" i="18"/>
  <c r="D168" i="19"/>
  <c r="C92" i="19"/>
  <c r="B91" i="19"/>
  <c r="I91" i="19"/>
  <c r="A129" i="22"/>
  <c r="A167" i="22" s="1"/>
  <c r="A203" i="22" s="1"/>
  <c r="A91" i="22"/>
  <c r="L90" i="19"/>
  <c r="C30" i="19"/>
  <c r="A129" i="21"/>
  <c r="A167" i="21" s="1"/>
  <c r="A203" i="21" s="1"/>
  <c r="A91" i="21"/>
  <c r="I167" i="15"/>
  <c r="E30" i="15" s="1"/>
  <c r="B167" i="15"/>
  <c r="L90" i="20"/>
  <c r="C92" i="23"/>
  <c r="D168" i="23"/>
  <c r="B91" i="23"/>
  <c r="I91" i="23"/>
  <c r="I167" i="17"/>
  <c r="E30" i="17" s="1"/>
  <c r="B167" i="17"/>
  <c r="D169" i="21"/>
  <c r="C93" i="21"/>
  <c r="B92" i="21"/>
  <c r="I92" i="21"/>
  <c r="C92" i="22"/>
  <c r="D168" i="22"/>
  <c r="B91" i="22"/>
  <c r="I91" i="22"/>
  <c r="A129" i="23"/>
  <c r="A167" i="23" s="1"/>
  <c r="A203" i="23" s="1"/>
  <c r="A91" i="23"/>
  <c r="C49" i="22"/>
  <c r="C50" i="22"/>
  <c r="C51" i="22"/>
  <c r="E43" i="14"/>
  <c r="L90" i="18"/>
  <c r="C30" i="18"/>
  <c r="C51" i="15"/>
  <c r="C49" i="15"/>
  <c r="C50" i="15"/>
  <c r="E8" i="14"/>
  <c r="A130" i="17"/>
  <c r="A168" i="17" s="1"/>
  <c r="A204" i="17" s="1"/>
  <c r="A92" i="17"/>
  <c r="D168" i="17"/>
  <c r="C92" i="17"/>
  <c r="B91" i="17"/>
  <c r="I91" i="17"/>
  <c r="L90" i="15"/>
  <c r="C30" i="15"/>
  <c r="C92" i="20"/>
  <c r="D168" i="20"/>
  <c r="B91" i="20"/>
  <c r="I91" i="20"/>
  <c r="C31" i="20" s="1"/>
  <c r="C30" i="23"/>
  <c r="D44" i="23" s="1"/>
  <c r="L90" i="23"/>
  <c r="L90" i="17"/>
  <c r="C30" i="17"/>
  <c r="C51" i="20"/>
  <c r="C49" i="20"/>
  <c r="E33" i="14"/>
  <c r="C50" i="20"/>
  <c r="C30" i="22"/>
  <c r="L90" i="22"/>
  <c r="B167" i="18"/>
  <c r="I167" i="18"/>
  <c r="E30" i="18" s="1"/>
  <c r="A131" i="15"/>
  <c r="A169" i="15" s="1"/>
  <c r="A205" i="15" s="1"/>
  <c r="A93" i="15"/>
  <c r="B167" i="20"/>
  <c r="I167" i="20"/>
  <c r="C49" i="23"/>
  <c r="C50" i="23"/>
  <c r="C51" i="23"/>
  <c r="E58" i="14"/>
  <c r="L91" i="21"/>
  <c r="C31" i="21"/>
  <c r="C51" i="19"/>
  <c r="C50" i="19"/>
  <c r="C49" i="19"/>
  <c r="E28" i="14"/>
  <c r="G29" i="20" l="1"/>
  <c r="D46" i="20"/>
  <c r="G30" i="15"/>
  <c r="G30" i="23"/>
  <c r="D46" i="23"/>
  <c r="G30" i="22"/>
  <c r="G30" i="18"/>
  <c r="G30" i="17"/>
  <c r="G31" i="21"/>
  <c r="E30" i="20"/>
  <c r="G30" i="19"/>
  <c r="E62" i="14"/>
  <c r="E59" i="14"/>
  <c r="A92" i="20"/>
  <c r="A130" i="20"/>
  <c r="A168" i="20" s="1"/>
  <c r="A204" i="20" s="1"/>
  <c r="D169" i="20"/>
  <c r="C93" i="20"/>
  <c r="I92" i="20"/>
  <c r="C32" i="20" s="1"/>
  <c r="B92" i="20"/>
  <c r="I168" i="19"/>
  <c r="E31" i="19" s="1"/>
  <c r="B168" i="19"/>
  <c r="L91" i="18"/>
  <c r="C31" i="18"/>
  <c r="I168" i="15"/>
  <c r="E31" i="15" s="1"/>
  <c r="G31" i="15" s="1"/>
  <c r="B168" i="15"/>
  <c r="A132" i="15"/>
  <c r="A170" i="15" s="1"/>
  <c r="A206" i="15" s="1"/>
  <c r="A94" i="15"/>
  <c r="L91" i="17"/>
  <c r="C31" i="17"/>
  <c r="A130" i="23"/>
  <c r="A168" i="23" s="1"/>
  <c r="A204" i="23" s="1"/>
  <c r="A92" i="23"/>
  <c r="I168" i="22"/>
  <c r="E31" i="22" s="1"/>
  <c r="B168" i="22"/>
  <c r="C94" i="21"/>
  <c r="D170" i="21"/>
  <c r="B93" i="21"/>
  <c r="I93" i="21"/>
  <c r="C31" i="23"/>
  <c r="L91" i="23"/>
  <c r="L91" i="19"/>
  <c r="C31" i="19"/>
  <c r="C93" i="18"/>
  <c r="D169" i="18"/>
  <c r="I92" i="18"/>
  <c r="B92" i="18"/>
  <c r="D169" i="22"/>
  <c r="C93" i="22"/>
  <c r="I92" i="22"/>
  <c r="B92" i="22"/>
  <c r="B169" i="21"/>
  <c r="I169" i="21"/>
  <c r="E32" i="21" s="1"/>
  <c r="I168" i="20"/>
  <c r="B168" i="20"/>
  <c r="C93" i="17"/>
  <c r="D169" i="17"/>
  <c r="B92" i="17"/>
  <c r="I92" i="17"/>
  <c r="C31" i="22"/>
  <c r="L91" i="22"/>
  <c r="L92" i="21"/>
  <c r="C32" i="21"/>
  <c r="F34" i="14" s="1"/>
  <c r="I168" i="23"/>
  <c r="E31" i="23" s="1"/>
  <c r="B168" i="23"/>
  <c r="A130" i="21"/>
  <c r="A168" i="21" s="1"/>
  <c r="A204" i="21" s="1"/>
  <c r="A92" i="21"/>
  <c r="A130" i="22"/>
  <c r="A168" i="22" s="1"/>
  <c r="A204" i="22" s="1"/>
  <c r="A92" i="22"/>
  <c r="C93" i="19"/>
  <c r="D169" i="19"/>
  <c r="B92" i="19"/>
  <c r="I92" i="19"/>
  <c r="A131" i="19"/>
  <c r="A169" i="19" s="1"/>
  <c r="A205" i="19" s="1"/>
  <c r="A93" i="19"/>
  <c r="C93" i="15"/>
  <c r="D169" i="15"/>
  <c r="I92" i="15"/>
  <c r="B92" i="15"/>
  <c r="A131" i="18"/>
  <c r="A169" i="18" s="1"/>
  <c r="A205" i="18" s="1"/>
  <c r="A93" i="18"/>
  <c r="B168" i="17"/>
  <c r="I168" i="17"/>
  <c r="E31" i="17" s="1"/>
  <c r="D169" i="23"/>
  <c r="C93" i="23"/>
  <c r="I92" i="23"/>
  <c r="B92" i="23"/>
  <c r="L91" i="20"/>
  <c r="A131" i="17"/>
  <c r="A169" i="17" s="1"/>
  <c r="A205" i="17" s="1"/>
  <c r="A93" i="17"/>
  <c r="B168" i="18"/>
  <c r="I168" i="18"/>
  <c r="E31" i="18" s="1"/>
  <c r="L91" i="15"/>
  <c r="C31" i="15"/>
  <c r="G30" i="20" l="1"/>
  <c r="G31" i="23"/>
  <c r="G31" i="22"/>
  <c r="G31" i="20"/>
  <c r="E31" i="20"/>
  <c r="G31" i="18"/>
  <c r="G31" i="17"/>
  <c r="G31" i="19"/>
  <c r="A131" i="20"/>
  <c r="A169" i="20" s="1"/>
  <c r="A205" i="20" s="1"/>
  <c r="A93" i="20"/>
  <c r="L92" i="20"/>
  <c r="F29" i="14"/>
  <c r="I169" i="19"/>
  <c r="E32" i="19" s="1"/>
  <c r="B169" i="19"/>
  <c r="A93" i="21"/>
  <c r="A131" i="21"/>
  <c r="A169" i="21" s="1"/>
  <c r="A205" i="21" s="1"/>
  <c r="C32" i="17"/>
  <c r="F14" i="14" s="1"/>
  <c r="L92" i="17"/>
  <c r="G32" i="21"/>
  <c r="D48" i="21"/>
  <c r="A95" i="15"/>
  <c r="A133" i="15"/>
  <c r="A171" i="15" s="1"/>
  <c r="A207" i="15" s="1"/>
  <c r="D170" i="20"/>
  <c r="C94" i="20"/>
  <c r="B93" i="20"/>
  <c r="I93" i="20"/>
  <c r="C33" i="20" s="1"/>
  <c r="I169" i="23"/>
  <c r="E32" i="23" s="1"/>
  <c r="B169" i="23"/>
  <c r="C32" i="15"/>
  <c r="F4" i="14" s="1"/>
  <c r="L92" i="15"/>
  <c r="D170" i="19"/>
  <c r="C94" i="19"/>
  <c r="I93" i="19"/>
  <c r="B93" i="19"/>
  <c r="A132" i="18"/>
  <c r="A170" i="18" s="1"/>
  <c r="A206" i="18" s="1"/>
  <c r="A94" i="18"/>
  <c r="B169" i="15"/>
  <c r="I169" i="15"/>
  <c r="E32" i="15" s="1"/>
  <c r="A132" i="19"/>
  <c r="A170" i="19" s="1"/>
  <c r="A206" i="19" s="1"/>
  <c r="A94" i="19"/>
  <c r="C32" i="19"/>
  <c r="L92" i="19"/>
  <c r="A93" i="22"/>
  <c r="A131" i="22"/>
  <c r="A169" i="22" s="1"/>
  <c r="A205" i="22" s="1"/>
  <c r="I169" i="17"/>
  <c r="E32" i="17" s="1"/>
  <c r="B169" i="17"/>
  <c r="C94" i="22"/>
  <c r="D170" i="22"/>
  <c r="I93" i="22"/>
  <c r="B93" i="22"/>
  <c r="B169" i="18"/>
  <c r="I169" i="18"/>
  <c r="E32" i="18" s="1"/>
  <c r="L93" i="21"/>
  <c r="C33" i="21"/>
  <c r="L92" i="23"/>
  <c r="C32" i="23"/>
  <c r="F54" i="14" s="1"/>
  <c r="D170" i="15"/>
  <c r="C94" i="15"/>
  <c r="I93" i="15"/>
  <c r="B93" i="15"/>
  <c r="D170" i="17"/>
  <c r="C94" i="17"/>
  <c r="B93" i="17"/>
  <c r="I93" i="17"/>
  <c r="B169" i="22"/>
  <c r="I169" i="22"/>
  <c r="E32" i="22" s="1"/>
  <c r="D170" i="18"/>
  <c r="C94" i="18"/>
  <c r="B93" i="18"/>
  <c r="I93" i="18"/>
  <c r="A132" i="17"/>
  <c r="A170" i="17" s="1"/>
  <c r="A206" i="17" s="1"/>
  <c r="A94" i="17"/>
  <c r="C94" i="23"/>
  <c r="D170" i="23"/>
  <c r="B93" i="23"/>
  <c r="I93" i="23"/>
  <c r="I170" i="21"/>
  <c r="E33" i="21" s="1"/>
  <c r="G33" i="21" s="1"/>
  <c r="B170" i="21"/>
  <c r="A93" i="23"/>
  <c r="A131" i="23"/>
  <c r="A169" i="23" s="1"/>
  <c r="A205" i="23" s="1"/>
  <c r="L92" i="22"/>
  <c r="C32" i="22"/>
  <c r="F39" i="14" s="1"/>
  <c r="L92" i="18"/>
  <c r="C32" i="18"/>
  <c r="D171" i="21"/>
  <c r="B94" i="21"/>
  <c r="I94" i="21"/>
  <c r="I169" i="20"/>
  <c r="E32" i="20" s="1"/>
  <c r="B169" i="20"/>
  <c r="F19" i="14" l="1"/>
  <c r="D48" i="18"/>
  <c r="F24" i="14"/>
  <c r="D48" i="19"/>
  <c r="A132" i="20"/>
  <c r="A170" i="20" s="1"/>
  <c r="A206" i="20" s="1"/>
  <c r="A94" i="20"/>
  <c r="G60" i="14"/>
  <c r="G32" i="17"/>
  <c r="B170" i="18"/>
  <c r="I170" i="18"/>
  <c r="E33" i="18" s="1"/>
  <c r="C33" i="15"/>
  <c r="L93" i="15"/>
  <c r="L93" i="22"/>
  <c r="C33" i="22"/>
  <c r="A95" i="19"/>
  <c r="A133" i="19"/>
  <c r="A171" i="19" s="1"/>
  <c r="A207" i="19" s="1"/>
  <c r="A95" i="18"/>
  <c r="A133" i="18"/>
  <c r="A171" i="18" s="1"/>
  <c r="A207" i="18" s="1"/>
  <c r="G32" i="23"/>
  <c r="A96" i="15"/>
  <c r="A134" i="15"/>
  <c r="A172" i="15" s="1"/>
  <c r="A208" i="15" s="1"/>
  <c r="G32" i="19"/>
  <c r="G32" i="18"/>
  <c r="B170" i="22"/>
  <c r="I170" i="22"/>
  <c r="E33" i="22" s="1"/>
  <c r="G33" i="22" s="1"/>
  <c r="A94" i="22"/>
  <c r="A132" i="22"/>
  <c r="A170" i="22" s="1"/>
  <c r="A206" i="22" s="1"/>
  <c r="D171" i="20"/>
  <c r="B94" i="20"/>
  <c r="I94" i="20"/>
  <c r="C34" i="20" s="1"/>
  <c r="E44" i="20" s="1"/>
  <c r="G29" i="14" s="1"/>
  <c r="F36" i="14"/>
  <c r="C34" i="21"/>
  <c r="E44" i="21" s="1"/>
  <c r="G34" i="14" s="1"/>
  <c r="L94" i="21"/>
  <c r="L95" i="21"/>
  <c r="A94" i="23"/>
  <c r="A132" i="23"/>
  <c r="A170" i="23" s="1"/>
  <c r="A206" i="23" s="1"/>
  <c r="B170" i="17"/>
  <c r="I170" i="17"/>
  <c r="E33" i="17" s="1"/>
  <c r="D48" i="15"/>
  <c r="G32" i="15"/>
  <c r="I170" i="20"/>
  <c r="B170" i="20"/>
  <c r="L93" i="23"/>
  <c r="C33" i="23"/>
  <c r="A95" i="17"/>
  <c r="A133" i="17"/>
  <c r="A171" i="17" s="1"/>
  <c r="A207" i="17" s="1"/>
  <c r="D171" i="18"/>
  <c r="I94" i="18"/>
  <c r="B94" i="18"/>
  <c r="C33" i="17"/>
  <c r="L93" i="17"/>
  <c r="D171" i="19"/>
  <c r="B94" i="19"/>
  <c r="I94" i="19"/>
  <c r="L93" i="20"/>
  <c r="B171" i="21"/>
  <c r="I171" i="21"/>
  <c r="E34" i="21" s="1"/>
  <c r="I170" i="19"/>
  <c r="E33" i="19" s="1"/>
  <c r="B170" i="19"/>
  <c r="G32" i="20"/>
  <c r="I170" i="23"/>
  <c r="E33" i="23" s="1"/>
  <c r="G33" i="23" s="1"/>
  <c r="B170" i="23"/>
  <c r="C33" i="18"/>
  <c r="L93" i="18"/>
  <c r="G32" i="22"/>
  <c r="D48" i="22"/>
  <c r="D171" i="17"/>
  <c r="I94" i="17"/>
  <c r="B94" i="17"/>
  <c r="D171" i="15"/>
  <c r="I94" i="15"/>
  <c r="B94" i="15"/>
  <c r="D171" i="23"/>
  <c r="I94" i="23"/>
  <c r="B94" i="23"/>
  <c r="B170" i="15"/>
  <c r="I170" i="15"/>
  <c r="E33" i="15" s="1"/>
  <c r="G33" i="15" s="1"/>
  <c r="D171" i="22"/>
  <c r="B94" i="22"/>
  <c r="I94" i="22"/>
  <c r="C33" i="19"/>
  <c r="L93" i="19"/>
  <c r="A94" i="21"/>
  <c r="A132" i="21"/>
  <c r="A170" i="21" s="1"/>
  <c r="A206" i="21" s="1"/>
  <c r="G34" i="21" l="1"/>
  <c r="E46" i="21"/>
  <c r="G33" i="17"/>
  <c r="G33" i="20"/>
  <c r="E33" i="20"/>
  <c r="G33" i="18"/>
  <c r="G33" i="19"/>
  <c r="A95" i="20"/>
  <c r="A133" i="20"/>
  <c r="A171" i="20" s="1"/>
  <c r="A207" i="20" s="1"/>
  <c r="F16" i="14"/>
  <c r="F31" i="14"/>
  <c r="B171" i="23"/>
  <c r="I171" i="23"/>
  <c r="E34" i="23" s="1"/>
  <c r="B171" i="15"/>
  <c r="I171" i="15"/>
  <c r="E34" i="15" s="1"/>
  <c r="F41" i="14"/>
  <c r="L94" i="20"/>
  <c r="L95" i="20"/>
  <c r="A96" i="19"/>
  <c r="A134" i="19"/>
  <c r="A172" i="19" s="1"/>
  <c r="A208" i="19" s="1"/>
  <c r="C34" i="22"/>
  <c r="E44" i="22" s="1"/>
  <c r="G39" i="14" s="1"/>
  <c r="L94" i="22"/>
  <c r="L95" i="22"/>
  <c r="A96" i="17"/>
  <c r="A134" i="17"/>
  <c r="A172" i="17" s="1"/>
  <c r="A208" i="17" s="1"/>
  <c r="F56" i="14"/>
  <c r="I171" i="22"/>
  <c r="E34" i="22" s="1"/>
  <c r="B171" i="22"/>
  <c r="C34" i="23"/>
  <c r="L94" i="23"/>
  <c r="L95" i="23"/>
  <c r="L94" i="15"/>
  <c r="C34" i="15"/>
  <c r="E44" i="15" s="1"/>
  <c r="G4" i="14" s="1"/>
  <c r="L95" i="15"/>
  <c r="I171" i="17"/>
  <c r="E34" i="17" s="1"/>
  <c r="B171" i="17"/>
  <c r="I171" i="18"/>
  <c r="E34" i="18" s="1"/>
  <c r="E46" i="18" s="1"/>
  <c r="G21" i="14" s="1"/>
  <c r="B171" i="18"/>
  <c r="D50" i="21"/>
  <c r="D51" i="21"/>
  <c r="D49" i="21"/>
  <c r="F38" i="14"/>
  <c r="B171" i="19"/>
  <c r="I171" i="19"/>
  <c r="E34" i="19" s="1"/>
  <c r="E46" i="19" s="1"/>
  <c r="G26" i="14" s="1"/>
  <c r="F6" i="14"/>
  <c r="F21" i="14"/>
  <c r="A97" i="15"/>
  <c r="A136" i="15" s="1"/>
  <c r="A174" i="15" s="1"/>
  <c r="A210" i="15" s="1"/>
  <c r="A135" i="15"/>
  <c r="A173" i="15" s="1"/>
  <c r="A209" i="15" s="1"/>
  <c r="A133" i="21"/>
  <c r="A171" i="21" s="1"/>
  <c r="A207" i="21" s="1"/>
  <c r="A95" i="21"/>
  <c r="L94" i="17"/>
  <c r="C34" i="17"/>
  <c r="E44" i="17" s="1"/>
  <c r="G14" i="14" s="1"/>
  <c r="L95" i="17"/>
  <c r="L94" i="19"/>
  <c r="C34" i="19"/>
  <c r="E44" i="19" s="1"/>
  <c r="L95" i="19"/>
  <c r="L94" i="18"/>
  <c r="C34" i="18"/>
  <c r="E44" i="18" s="1"/>
  <c r="L95" i="18"/>
  <c r="A133" i="23"/>
  <c r="A171" i="23" s="1"/>
  <c r="A207" i="23" s="1"/>
  <c r="A95" i="23"/>
  <c r="B171" i="20"/>
  <c r="I171" i="20"/>
  <c r="A133" i="22"/>
  <c r="A171" i="22" s="1"/>
  <c r="A207" i="22" s="1"/>
  <c r="A95" i="22"/>
  <c r="F26" i="14"/>
  <c r="A96" i="18"/>
  <c r="A134" i="18"/>
  <c r="A172" i="18" s="1"/>
  <c r="A208" i="18" s="1"/>
  <c r="G19" i="14" l="1"/>
  <c r="E48" i="18"/>
  <c r="G34" i="17"/>
  <c r="E46" i="17"/>
  <c r="G16" i="14" s="1"/>
  <c r="G34" i="22"/>
  <c r="E46" i="22"/>
  <c r="G34" i="15"/>
  <c r="E46" i="15"/>
  <c r="G36" i="14"/>
  <c r="E48" i="21"/>
  <c r="G24" i="14"/>
  <c r="E48" i="19"/>
  <c r="G34" i="20"/>
  <c r="E34" i="20"/>
  <c r="E46" i="20" s="1"/>
  <c r="G31" i="14" s="1"/>
  <c r="G34" i="23"/>
  <c r="G34" i="18"/>
  <c r="G34" i="19"/>
  <c r="A96" i="20"/>
  <c r="A134" i="20"/>
  <c r="A172" i="20" s="1"/>
  <c r="A208" i="20" s="1"/>
  <c r="E51" i="17"/>
  <c r="D51" i="17"/>
  <c r="D50" i="17"/>
  <c r="F18" i="14"/>
  <c r="D49" i="17"/>
  <c r="E50" i="17"/>
  <c r="D49" i="19"/>
  <c r="D51" i="19"/>
  <c r="F28" i="14"/>
  <c r="D50" i="19"/>
  <c r="E50" i="19"/>
  <c r="E51" i="19"/>
  <c r="A134" i="23"/>
  <c r="A172" i="23" s="1"/>
  <c r="A208" i="23" s="1"/>
  <c r="A96" i="23"/>
  <c r="D50" i="23"/>
  <c r="D51" i="23"/>
  <c r="D49" i="23"/>
  <c r="F58" i="14"/>
  <c r="E51" i="23"/>
  <c r="E50" i="23"/>
  <c r="D50" i="22"/>
  <c r="D51" i="22"/>
  <c r="D49" i="22"/>
  <c r="F43" i="14"/>
  <c r="A97" i="18"/>
  <c r="A136" i="18" s="1"/>
  <c r="A174" i="18" s="1"/>
  <c r="A210" i="18" s="1"/>
  <c r="A135" i="18"/>
  <c r="A173" i="18" s="1"/>
  <c r="A209" i="18" s="1"/>
  <c r="A134" i="21"/>
  <c r="A172" i="21" s="1"/>
  <c r="A208" i="21" s="1"/>
  <c r="A96" i="21"/>
  <c r="A97" i="17"/>
  <c r="A136" i="17" s="1"/>
  <c r="A174" i="17" s="1"/>
  <c r="A210" i="17" s="1"/>
  <c r="A135" i="17"/>
  <c r="A173" i="17" s="1"/>
  <c r="A209" i="17" s="1"/>
  <c r="A97" i="19"/>
  <c r="A136" i="19" s="1"/>
  <c r="A174" i="19" s="1"/>
  <c r="A210" i="19" s="1"/>
  <c r="A135" i="19"/>
  <c r="A173" i="19" s="1"/>
  <c r="A209" i="19" s="1"/>
  <c r="A134" i="22"/>
  <c r="A172" i="22" s="1"/>
  <c r="A208" i="22" s="1"/>
  <c r="A96" i="22"/>
  <c r="D49" i="15"/>
  <c r="F8" i="14"/>
  <c r="D51" i="15"/>
  <c r="D50" i="15"/>
  <c r="D49" i="18"/>
  <c r="D50" i="18"/>
  <c r="D51" i="18"/>
  <c r="F23" i="14"/>
  <c r="E51" i="18"/>
  <c r="E50" i="18"/>
  <c r="D49" i="20"/>
  <c r="D50" i="20"/>
  <c r="D51" i="20"/>
  <c r="F33" i="14"/>
  <c r="E51" i="20"/>
  <c r="E50" i="20"/>
  <c r="E49" i="19" l="1"/>
  <c r="G28" i="14"/>
  <c r="G6" i="14"/>
  <c r="E48" i="15"/>
  <c r="E49" i="21"/>
  <c r="G38" i="14"/>
  <c r="E50" i="21"/>
  <c r="E51" i="21"/>
  <c r="E48" i="22"/>
  <c r="G41" i="14"/>
  <c r="E49" i="18"/>
  <c r="G23" i="14"/>
  <c r="F62" i="14"/>
  <c r="F59" i="14"/>
  <c r="A97" i="20"/>
  <c r="A136" i="20" s="1"/>
  <c r="A174" i="20" s="1"/>
  <c r="A210" i="20" s="1"/>
  <c r="A135" i="20"/>
  <c r="A173" i="20" s="1"/>
  <c r="A209" i="20" s="1"/>
  <c r="A135" i="22"/>
  <c r="A173" i="22" s="1"/>
  <c r="A209" i="22" s="1"/>
  <c r="A97" i="22"/>
  <c r="A136" i="22" s="1"/>
  <c r="A174" i="22" s="1"/>
  <c r="A210" i="22" s="1"/>
  <c r="A135" i="21"/>
  <c r="A173" i="21" s="1"/>
  <c r="A209" i="21" s="1"/>
  <c r="A97" i="21"/>
  <c r="A136" i="21" s="1"/>
  <c r="A174" i="21" s="1"/>
  <c r="A210" i="21" s="1"/>
  <c r="A135" i="23"/>
  <c r="A173" i="23" s="1"/>
  <c r="A209" i="23" s="1"/>
  <c r="A97" i="23"/>
  <c r="A136" i="23" s="1"/>
  <c r="A174" i="23" s="1"/>
  <c r="A210" i="23" s="1"/>
  <c r="E49" i="15" l="1"/>
  <c r="G8" i="14"/>
  <c r="E50" i="15"/>
  <c r="E51" i="15"/>
  <c r="G43" i="14"/>
  <c r="E49" i="22"/>
  <c r="E50" i="22"/>
  <c r="E51" i="22"/>
  <c r="V4" i="10"/>
  <c r="G62" i="14" l="1"/>
  <c r="G59" i="14"/>
  <c r="G4" i="2"/>
  <c r="B47" i="11" l="1"/>
  <c r="B35" i="11"/>
  <c r="E75" i="11" l="1"/>
  <c r="O9" i="11"/>
  <c r="E50" i="11"/>
  <c r="O8" i="11"/>
  <c r="O10" i="11"/>
  <c r="E62" i="11"/>
  <c r="E63" i="11"/>
  <c r="E86" i="11"/>
  <c r="E87" i="11"/>
  <c r="E74" i="11"/>
  <c r="E13" i="11"/>
  <c r="E25" i="11"/>
  <c r="E14" i="11"/>
  <c r="E26" i="11"/>
  <c r="E38" i="11"/>
  <c r="O7" i="11"/>
  <c r="O11" i="11"/>
  <c r="O14" i="11"/>
  <c r="O6" i="11"/>
  <c r="AH13" i="8"/>
  <c r="O5" i="11" l="1"/>
  <c r="B7" i="11"/>
  <c r="U147" i="11" l="1"/>
  <c r="Q147" i="11"/>
  <c r="M147" i="11"/>
  <c r="I147" i="11"/>
  <c r="C147" i="11"/>
  <c r="V147" i="11"/>
  <c r="S147" i="11"/>
  <c r="L147" i="11"/>
  <c r="J147" i="11"/>
  <c r="W147" i="11"/>
  <c r="P147" i="11"/>
  <c r="N147" i="11"/>
  <c r="K147" i="11"/>
  <c r="D147" i="11"/>
  <c r="D148" i="11" s="1"/>
  <c r="T147" i="11"/>
  <c r="R147" i="11"/>
  <c r="O147" i="11"/>
  <c r="X147" i="11"/>
  <c r="AH6" i="8" l="1"/>
  <c r="F2" i="4"/>
  <c r="G2" i="4"/>
  <c r="H2" i="4"/>
  <c r="I2" i="4"/>
  <c r="J2" i="4"/>
  <c r="K2" i="4"/>
  <c r="L2" i="4"/>
  <c r="M2" i="4"/>
  <c r="N2" i="4"/>
  <c r="O2" i="4"/>
  <c r="P2" i="4"/>
  <c r="Q2" i="4"/>
  <c r="R2" i="4"/>
  <c r="S2" i="4"/>
  <c r="T2" i="4"/>
  <c r="U2" i="4"/>
  <c r="V2" i="4"/>
  <c r="C68" i="9" l="1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AH77" i="3"/>
  <c r="AG77" i="3"/>
  <c r="AI77" i="3" s="1"/>
  <c r="AH76" i="3"/>
  <c r="AG76" i="3"/>
  <c r="AH75" i="3"/>
  <c r="AJ75" i="3"/>
  <c r="BE5" i="8"/>
  <c r="BE4" i="8"/>
  <c r="AN76" i="4"/>
  <c r="AJ76" i="4"/>
  <c r="AF76" i="4"/>
  <c r="AF75" i="4"/>
  <c r="AJ68" i="4"/>
  <c r="AF68" i="4"/>
  <c r="AE68" i="4"/>
  <c r="AD64" i="4"/>
  <c r="BL44" i="5"/>
  <c r="AE61" i="4"/>
  <c r="W61" i="9"/>
  <c r="M61" i="9"/>
  <c r="H61" i="9"/>
  <c r="C61" i="9"/>
  <c r="W40" i="9"/>
  <c r="R40" i="9"/>
  <c r="M40" i="9"/>
  <c r="H40" i="9"/>
  <c r="C40" i="9"/>
  <c r="W32" i="9"/>
  <c r="M25" i="9"/>
  <c r="W18" i="9"/>
  <c r="R18" i="9"/>
  <c r="M18" i="9"/>
  <c r="H18" i="9"/>
  <c r="C18" i="9"/>
  <c r="R11" i="9"/>
  <c r="M11" i="9"/>
  <c r="H11" i="9"/>
  <c r="W4" i="9"/>
  <c r="R4" i="9"/>
  <c r="C4" i="9"/>
  <c r="AF65" i="4" l="1"/>
  <c r="AL65" i="4"/>
  <c r="AK65" i="4"/>
  <c r="AM65" i="4"/>
  <c r="BJ44" i="5"/>
  <c r="AA74" i="3"/>
  <c r="AI76" i="3"/>
  <c r="AJ76" i="3" s="1"/>
  <c r="W25" i="9"/>
  <c r="C25" i="9"/>
  <c r="H25" i="9"/>
  <c r="R32" i="9"/>
  <c r="R61" i="9"/>
  <c r="H4" i="9"/>
  <c r="D32" i="9"/>
  <c r="C32" i="9"/>
  <c r="M4" i="9"/>
  <c r="R25" i="9"/>
  <c r="H32" i="9"/>
  <c r="C11" i="9"/>
  <c r="W11" i="9"/>
  <c r="M32" i="9"/>
  <c r="AG61" i="4"/>
  <c r="AD74" i="4"/>
  <c r="AD76" i="4"/>
  <c r="AD73" i="4"/>
  <c r="S11" i="9"/>
  <c r="E25" i="9"/>
  <c r="I11" i="9"/>
  <c r="N11" i="9"/>
  <c r="S4" i="9"/>
  <c r="D18" i="9"/>
  <c r="S18" i="9"/>
  <c r="I25" i="9"/>
  <c r="N40" i="9"/>
  <c r="D61" i="9"/>
  <c r="N4" i="9"/>
  <c r="I61" i="9"/>
  <c r="D11" i="9"/>
  <c r="I18" i="9"/>
  <c r="AD68" i="4"/>
  <c r="AD75" i="4"/>
  <c r="AD69" i="4"/>
  <c r="AI65" i="4"/>
  <c r="AE65" i="4"/>
  <c r="AH65" i="4"/>
  <c r="AN65" i="4"/>
  <c r="AG65" i="4"/>
  <c r="AJ65" i="4"/>
  <c r="AN61" i="4"/>
  <c r="AF61" i="4"/>
  <c r="AI61" i="4"/>
  <c r="AJ61" i="4"/>
  <c r="I40" i="9"/>
  <c r="N25" i="9"/>
  <c r="D4" i="9"/>
  <c r="I4" i="9"/>
  <c r="C74" i="9" l="1"/>
  <c r="R74" i="9"/>
  <c r="H74" i="9"/>
  <c r="W74" i="9"/>
  <c r="M74" i="9"/>
  <c r="AM82" i="4"/>
  <c r="AK82" i="4"/>
  <c r="AL82" i="4"/>
  <c r="AN87" i="4"/>
  <c r="AM87" i="4"/>
  <c r="AK87" i="4"/>
  <c r="AL87" i="4"/>
  <c r="AL85" i="4"/>
  <c r="AM85" i="4"/>
  <c r="AK85" i="4"/>
  <c r="AE83" i="4"/>
  <c r="AM83" i="4"/>
  <c r="AK83" i="4"/>
  <c r="AL83" i="4"/>
  <c r="AF86" i="4"/>
  <c r="AM86" i="4"/>
  <c r="AK86" i="4"/>
  <c r="AL86" i="4"/>
  <c r="AL84" i="4"/>
  <c r="AK84" i="4"/>
  <c r="AM84" i="4"/>
  <c r="E32" i="9"/>
  <c r="AN86" i="4"/>
  <c r="AJ83" i="4"/>
  <c r="AF87" i="4"/>
  <c r="AI83" i="4"/>
  <c r="AN83" i="4"/>
  <c r="AH83" i="4"/>
  <c r="AG83" i="4"/>
  <c r="AI87" i="4"/>
  <c r="AG87" i="4"/>
  <c r="AH87" i="4"/>
  <c r="AE87" i="4"/>
  <c r="AJ87" i="4"/>
  <c r="AG86" i="4"/>
  <c r="AH86" i="4"/>
  <c r="AI86" i="4"/>
  <c r="AF83" i="4"/>
  <c r="AE86" i="4"/>
  <c r="AJ86" i="4"/>
  <c r="AH85" i="4"/>
  <c r="AI85" i="4"/>
  <c r="AF85" i="4"/>
  <c r="AJ85" i="4"/>
  <c r="AG85" i="4"/>
  <c r="AN85" i="4"/>
  <c r="AE85" i="4"/>
  <c r="AG84" i="4"/>
  <c r="AN84" i="4"/>
  <c r="AI84" i="4"/>
  <c r="AE84" i="4"/>
  <c r="AF84" i="4"/>
  <c r="AH84" i="4"/>
  <c r="AJ84" i="4"/>
  <c r="AH82" i="4"/>
  <c r="AI82" i="4"/>
  <c r="AJ82" i="4"/>
  <c r="AE82" i="4"/>
  <c r="AG82" i="4"/>
  <c r="AF82" i="4"/>
  <c r="AN82" i="4"/>
  <c r="T40" i="9"/>
  <c r="S40" i="9"/>
  <c r="S32" i="9"/>
  <c r="N18" i="9"/>
  <c r="S25" i="9"/>
  <c r="N61" i="9"/>
  <c r="D25" i="9"/>
  <c r="T61" i="9"/>
  <c r="S61" i="9"/>
  <c r="I32" i="9"/>
  <c r="I74" i="9" s="1"/>
  <c r="E40" i="9"/>
  <c r="D40" i="9"/>
  <c r="O32" i="9"/>
  <c r="N32" i="9"/>
  <c r="E4" i="9"/>
  <c r="O4" i="9"/>
  <c r="AD61" i="4"/>
  <c r="J40" i="9"/>
  <c r="J18" i="9"/>
  <c r="F32" i="9"/>
  <c r="T4" i="9"/>
  <c r="E11" i="9"/>
  <c r="F25" i="9"/>
  <c r="E18" i="9"/>
  <c r="O11" i="9"/>
  <c r="O25" i="9"/>
  <c r="J61" i="9"/>
  <c r="E61" i="9"/>
  <c r="O40" i="9"/>
  <c r="J25" i="9"/>
  <c r="J11" i="9"/>
  <c r="T18" i="9"/>
  <c r="AD65" i="4"/>
  <c r="J4" i="9"/>
  <c r="S74" i="9" l="1"/>
  <c r="N74" i="9"/>
  <c r="D74" i="9"/>
  <c r="E74" i="9"/>
  <c r="AB146" i="5"/>
  <c r="AB147" i="5" s="1"/>
  <c r="AB148" i="5" s="1"/>
  <c r="AB149" i="5" s="1"/>
  <c r="AD147" i="5"/>
  <c r="AD148" i="5" s="1"/>
  <c r="AD149" i="5" s="1"/>
  <c r="AE147" i="5"/>
  <c r="AE148" i="5" s="1"/>
  <c r="AE149" i="5" s="1"/>
  <c r="AC146" i="5"/>
  <c r="AC147" i="5" s="1"/>
  <c r="AC148" i="5" s="1"/>
  <c r="AC149" i="5" s="1"/>
  <c r="AF147" i="5"/>
  <c r="AF148" i="5" s="1"/>
  <c r="AF149" i="5" s="1"/>
  <c r="AG147" i="5"/>
  <c r="AG148" i="5" s="1"/>
  <c r="AG149" i="5" s="1"/>
  <c r="AH147" i="5"/>
  <c r="AI147" i="5"/>
  <c r="AI148" i="5" s="1"/>
  <c r="AI149" i="5" s="1"/>
  <c r="AJ147" i="5"/>
  <c r="AJ148" i="5" s="1"/>
  <c r="AJ149" i="5" s="1"/>
  <c r="AK147" i="5"/>
  <c r="AK148" i="5" s="1"/>
  <c r="AK149" i="5" s="1"/>
  <c r="AL147" i="5"/>
  <c r="AL148" i="5" s="1"/>
  <c r="AL149" i="5" s="1"/>
  <c r="AM147" i="5"/>
  <c r="AM148" i="5" s="1"/>
  <c r="AM149" i="5" s="1"/>
  <c r="AN147" i="5"/>
  <c r="AN148" i="5" s="1"/>
  <c r="AN149" i="5" s="1"/>
  <c r="AO147" i="5"/>
  <c r="AO148" i="5" s="1"/>
  <c r="AO149" i="5" s="1"/>
  <c r="AP147" i="5"/>
  <c r="AP148" i="5" s="1"/>
  <c r="AP149" i="5" s="1"/>
  <c r="AQ147" i="5"/>
  <c r="AQ148" i="5" s="1"/>
  <c r="AQ149" i="5" s="1"/>
  <c r="AR147" i="5"/>
  <c r="AR148" i="5" s="1"/>
  <c r="AR149" i="5" s="1"/>
  <c r="AS147" i="5"/>
  <c r="AS148" i="5" s="1"/>
  <c r="AS149" i="5" s="1"/>
  <c r="AT147" i="5"/>
  <c r="AT148" i="5" s="1"/>
  <c r="AT149" i="5" s="1"/>
  <c r="AU147" i="5"/>
  <c r="AU148" i="5" s="1"/>
  <c r="AU149" i="5" s="1"/>
  <c r="AV147" i="5"/>
  <c r="AV148" i="5" s="1"/>
  <c r="AV149" i="5" s="1"/>
  <c r="AW147" i="5"/>
  <c r="AW148" i="5" s="1"/>
  <c r="AW149" i="5" s="1"/>
  <c r="F4" i="9"/>
  <c r="U40" i="9"/>
  <c r="T25" i="9"/>
  <c r="U61" i="9"/>
  <c r="J32" i="9"/>
  <c r="J74" i="9" s="1"/>
  <c r="U11" i="9"/>
  <c r="T11" i="9"/>
  <c r="T32" i="9"/>
  <c r="P32" i="9"/>
  <c r="O61" i="9"/>
  <c r="O18" i="9"/>
  <c r="P4" i="9"/>
  <c r="K11" i="9"/>
  <c r="K25" i="9"/>
  <c r="F61" i="9"/>
  <c r="P25" i="9"/>
  <c r="K40" i="9"/>
  <c r="P40" i="9"/>
  <c r="K61" i="9"/>
  <c r="P11" i="9"/>
  <c r="F18" i="9"/>
  <c r="U4" i="9"/>
  <c r="U18" i="9"/>
  <c r="K18" i="9"/>
  <c r="G4" i="9"/>
  <c r="AH148" i="5" l="1"/>
  <c r="AH149" i="5" s="1"/>
  <c r="Q49" i="3"/>
  <c r="R49" i="3" s="1"/>
  <c r="S49" i="3" s="1"/>
  <c r="T49" i="3" s="1"/>
  <c r="P49" i="3"/>
  <c r="O74" i="9"/>
  <c r="T74" i="9"/>
  <c r="AB92" i="5"/>
  <c r="AB93" i="5" s="1"/>
  <c r="AB94" i="5" s="1"/>
  <c r="AB95" i="5" s="1"/>
  <c r="AB51" i="5"/>
  <c r="AB52" i="5" s="1"/>
  <c r="AB45" i="5"/>
  <c r="AB46" i="5" s="1"/>
  <c r="V40" i="9"/>
  <c r="Q4" i="9"/>
  <c r="V61" i="9"/>
  <c r="V11" i="9"/>
  <c r="F40" i="9"/>
  <c r="G40" i="9"/>
  <c r="Q32" i="9"/>
  <c r="U32" i="9"/>
  <c r="U25" i="9"/>
  <c r="K4" i="9"/>
  <c r="F11" i="9"/>
  <c r="P18" i="9"/>
  <c r="G25" i="9"/>
  <c r="G32" i="9"/>
  <c r="Q61" i="9"/>
  <c r="P61" i="9"/>
  <c r="K32" i="9"/>
  <c r="G11" i="9"/>
  <c r="L40" i="9"/>
  <c r="G61" i="9"/>
  <c r="L11" i="9"/>
  <c r="L61" i="9"/>
  <c r="Q40" i="9"/>
  <c r="L4" i="9"/>
  <c r="K74" i="9" l="1"/>
  <c r="P74" i="9"/>
  <c r="U74" i="9"/>
  <c r="F74" i="9"/>
  <c r="V4" i="9"/>
  <c r="G18" i="9"/>
  <c r="G74" i="9" s="1"/>
  <c r="V25" i="9"/>
  <c r="Q25" i="9"/>
  <c r="Q18" i="9"/>
  <c r="L18" i="9"/>
  <c r="V18" i="9"/>
  <c r="V32" i="9"/>
  <c r="Q11" i="9"/>
  <c r="L25" i="9"/>
  <c r="L32" i="9"/>
  <c r="L74" i="9" l="1"/>
  <c r="V74" i="9"/>
  <c r="Q74" i="9"/>
  <c r="AA42" i="5"/>
  <c r="AB6" i="5"/>
  <c r="AB7" i="5"/>
  <c r="AH5" i="8"/>
  <c r="AA6" i="5"/>
  <c r="AA7" i="5"/>
  <c r="AA10" i="5"/>
  <c r="Z5" i="5"/>
  <c r="AJ77" i="3"/>
  <c r="M77" i="3" s="1"/>
  <c r="Y19" i="3"/>
  <c r="Z19" i="3"/>
  <c r="AC10" i="5" l="1"/>
  <c r="M35" i="3"/>
  <c r="AA35" i="3" s="1"/>
  <c r="M19" i="3"/>
  <c r="AA19" i="3" s="1"/>
  <c r="F40" i="5" s="1"/>
  <c r="G40" i="5" s="1"/>
  <c r="H40" i="5" s="1"/>
  <c r="I40" i="5" s="1"/>
  <c r="J40" i="5" s="1"/>
  <c r="K40" i="5" s="1"/>
  <c r="L40" i="5" s="1"/>
  <c r="M40" i="5" s="1"/>
  <c r="N40" i="5" s="1"/>
  <c r="O40" i="5" s="1"/>
  <c r="P40" i="5" s="1"/>
  <c r="Q40" i="5" s="1"/>
  <c r="R40" i="5" s="1"/>
  <c r="S40" i="5" s="1"/>
  <c r="T40" i="5" s="1"/>
  <c r="U40" i="5" s="1"/>
  <c r="V40" i="5" s="1"/>
  <c r="W40" i="5" s="1"/>
  <c r="X40" i="5" s="1"/>
  <c r="D108" i="5"/>
  <c r="C108" i="5"/>
  <c r="C154" i="48" s="1"/>
  <c r="AA38" i="3"/>
  <c r="N125" i="5" s="1"/>
  <c r="AA37" i="3"/>
  <c r="N107" i="5" s="1"/>
  <c r="O107" i="5" s="1"/>
  <c r="P107" i="5" s="1"/>
  <c r="Q107" i="5" s="1"/>
  <c r="R107" i="5" s="1"/>
  <c r="S107" i="5" s="1"/>
  <c r="T107" i="5" s="1"/>
  <c r="U107" i="5" s="1"/>
  <c r="V107" i="5" s="1"/>
  <c r="W107" i="5" s="1"/>
  <c r="X107" i="5" s="1"/>
  <c r="AA36" i="3"/>
  <c r="N155" i="5" s="1"/>
  <c r="AA29" i="3"/>
  <c r="I9" i="5" s="1"/>
  <c r="AB54" i="5"/>
  <c r="AB53" i="5"/>
  <c r="D43" i="5"/>
  <c r="D138" i="48" s="1"/>
  <c r="C43" i="5"/>
  <c r="C138" i="48" s="1"/>
  <c r="AH8" i="8"/>
  <c r="AD10" i="8" s="1"/>
  <c r="C11" i="5"/>
  <c r="C134" i="48" s="1"/>
  <c r="AB42" i="5"/>
  <c r="AE42" i="5"/>
  <c r="AG42" i="5"/>
  <c r="AD42" i="5"/>
  <c r="AC42" i="5"/>
  <c r="AF42" i="5"/>
  <c r="AB10" i="5"/>
  <c r="D149" i="11" l="1"/>
  <c r="D154" i="48"/>
  <c r="D137" i="11"/>
  <c r="D66" i="5"/>
  <c r="C137" i="11"/>
  <c r="C66" i="5"/>
  <c r="K10" i="10"/>
  <c r="AB55" i="5"/>
  <c r="AB65" i="5" s="1"/>
  <c r="I42" i="5"/>
  <c r="O125" i="5"/>
  <c r="N126" i="5"/>
  <c r="N158" i="48" s="1"/>
  <c r="AM125" i="5"/>
  <c r="AH9" i="5"/>
  <c r="J9" i="5"/>
  <c r="O155" i="5"/>
  <c r="AM155" i="5"/>
  <c r="C34" i="5"/>
  <c r="C134" i="11"/>
  <c r="AC53" i="5"/>
  <c r="AF107" i="5"/>
  <c r="AF104" i="5"/>
  <c r="AF105" i="5"/>
  <c r="M39" i="3"/>
  <c r="D11" i="5"/>
  <c r="AC6" i="5"/>
  <c r="AC7" i="5"/>
  <c r="R38" i="3" l="1"/>
  <c r="S38" i="3" s="1"/>
  <c r="T38" i="3" s="1"/>
  <c r="P38" i="3"/>
  <c r="P36" i="3"/>
  <c r="Q36" i="3"/>
  <c r="R36" i="3" s="1"/>
  <c r="S36" i="3" s="1"/>
  <c r="T36" i="3" s="1"/>
  <c r="P29" i="3"/>
  <c r="Q29" i="3"/>
  <c r="R29" i="3" s="1"/>
  <c r="S29" i="3" s="1"/>
  <c r="T29" i="3" s="1"/>
  <c r="D134" i="11"/>
  <c r="D134" i="48"/>
  <c r="AM126" i="5"/>
  <c r="AM137" i="5" s="1"/>
  <c r="AC55" i="5"/>
  <c r="AC65" i="5" s="1"/>
  <c r="N137" i="5"/>
  <c r="N152" i="11"/>
  <c r="K9" i="5"/>
  <c r="AI9" i="5"/>
  <c r="P125" i="5"/>
  <c r="O126" i="5"/>
  <c r="O158" i="48" s="1"/>
  <c r="AN125" i="5"/>
  <c r="P155" i="5"/>
  <c r="AN155" i="5"/>
  <c r="J42" i="5"/>
  <c r="K42" i="5" s="1"/>
  <c r="L42" i="5" s="1"/>
  <c r="M42" i="5" s="1"/>
  <c r="N42" i="5" s="1"/>
  <c r="O42" i="5" s="1"/>
  <c r="P42" i="5" s="1"/>
  <c r="Q42" i="5" s="1"/>
  <c r="R42" i="5" s="1"/>
  <c r="S42" i="5" s="1"/>
  <c r="T42" i="5" s="1"/>
  <c r="U42" i="5" s="1"/>
  <c r="V42" i="5" s="1"/>
  <c r="W42" i="5" s="1"/>
  <c r="X42" i="5" s="1"/>
  <c r="AH42" i="5"/>
  <c r="I156" i="5"/>
  <c r="D34" i="5"/>
  <c r="AG104" i="5"/>
  <c r="AG107" i="5"/>
  <c r="E43" i="5"/>
  <c r="E138" i="48" s="1"/>
  <c r="Q35" i="3" l="1"/>
  <c r="R35" i="3" s="1"/>
  <c r="S35" i="3" s="1"/>
  <c r="T35" i="3" s="1"/>
  <c r="P35" i="3"/>
  <c r="I158" i="11"/>
  <c r="I166" i="48"/>
  <c r="AH156" i="5"/>
  <c r="AH167" i="5" s="1"/>
  <c r="AN126" i="5"/>
  <c r="AN137" i="5" s="1"/>
  <c r="O137" i="5"/>
  <c r="O152" i="11"/>
  <c r="E137" i="11"/>
  <c r="E66" i="5"/>
  <c r="J156" i="5"/>
  <c r="Q155" i="5"/>
  <c r="AO155" i="5"/>
  <c r="L9" i="5"/>
  <c r="AJ9" i="5"/>
  <c r="I167" i="5"/>
  <c r="Q125" i="5"/>
  <c r="P126" i="5"/>
  <c r="P158" i="48" s="1"/>
  <c r="AO125" i="5"/>
  <c r="AD53" i="5"/>
  <c r="AH107" i="5"/>
  <c r="AD7" i="5"/>
  <c r="AI156" i="5" l="1"/>
  <c r="AI167" i="5" s="1"/>
  <c r="J158" i="11"/>
  <c r="J166" i="48"/>
  <c r="AO126" i="5"/>
  <c r="AO137" i="5" s="1"/>
  <c r="AD55" i="5"/>
  <c r="AD65" i="5" s="1"/>
  <c r="P137" i="5"/>
  <c r="P152" i="11"/>
  <c r="R125" i="5"/>
  <c r="Q126" i="5"/>
  <c r="Q158" i="48" s="1"/>
  <c r="AP125" i="5"/>
  <c r="J167" i="5"/>
  <c r="R155" i="5"/>
  <c r="AP155" i="5"/>
  <c r="M9" i="5"/>
  <c r="AK9" i="5"/>
  <c r="K156" i="5"/>
  <c r="AI107" i="5"/>
  <c r="AJ156" i="5" l="1"/>
  <c r="AJ167" i="5" s="1"/>
  <c r="K158" i="11"/>
  <c r="K166" i="48"/>
  <c r="AP126" i="5"/>
  <c r="AP137" i="5" s="1"/>
  <c r="Q137" i="5"/>
  <c r="Q152" i="11"/>
  <c r="N9" i="5"/>
  <c r="AL9" i="5"/>
  <c r="L156" i="5"/>
  <c r="K167" i="5"/>
  <c r="S155" i="5"/>
  <c r="AQ155" i="5"/>
  <c r="S125" i="5"/>
  <c r="AQ125" i="5"/>
  <c r="R126" i="5"/>
  <c r="R158" i="48" s="1"/>
  <c r="AJ107" i="5"/>
  <c r="L158" i="11" l="1"/>
  <c r="L166" i="48"/>
  <c r="AK156" i="5"/>
  <c r="AK167" i="5" s="1"/>
  <c r="AQ126" i="5"/>
  <c r="AQ137" i="5" s="1"/>
  <c r="R137" i="5"/>
  <c r="R152" i="11"/>
  <c r="M156" i="5"/>
  <c r="T155" i="5"/>
  <c r="AR155" i="5"/>
  <c r="T125" i="5"/>
  <c r="S126" i="5"/>
  <c r="S158" i="48" s="1"/>
  <c r="AR125" i="5"/>
  <c r="L167" i="5"/>
  <c r="O9" i="5"/>
  <c r="AM9" i="5"/>
  <c r="AK107" i="5"/>
  <c r="Y158" i="48" l="1"/>
  <c r="S159" i="48" s="1"/>
  <c r="M158" i="11"/>
  <c r="M166" i="48"/>
  <c r="AL156" i="5"/>
  <c r="AL167" i="5" s="1"/>
  <c r="AR126" i="5"/>
  <c r="AR137" i="5" s="1"/>
  <c r="S137" i="5"/>
  <c r="S152" i="11"/>
  <c r="U125" i="5"/>
  <c r="T126" i="5"/>
  <c r="T158" i="48" s="1"/>
  <c r="AS125" i="5"/>
  <c r="U155" i="5"/>
  <c r="AS155" i="5"/>
  <c r="M167" i="5"/>
  <c r="P9" i="5"/>
  <c r="AN9" i="5"/>
  <c r="N156" i="5"/>
  <c r="AL107" i="5"/>
  <c r="T159" i="48" l="1"/>
  <c r="C159" i="48"/>
  <c r="D159" i="48"/>
  <c r="D161" i="48" s="1"/>
  <c r="E159" i="48"/>
  <c r="E161" i="48" s="1"/>
  <c r="F159" i="48"/>
  <c r="G159" i="48"/>
  <c r="H159" i="48"/>
  <c r="I159" i="48"/>
  <c r="J159" i="48"/>
  <c r="K159" i="48"/>
  <c r="L159" i="48"/>
  <c r="M159" i="48"/>
  <c r="N159" i="48"/>
  <c r="O159" i="48"/>
  <c r="P159" i="48"/>
  <c r="Q159" i="48"/>
  <c r="R159" i="48"/>
  <c r="N158" i="11"/>
  <c r="N166" i="48"/>
  <c r="AM156" i="5"/>
  <c r="AM167" i="5" s="1"/>
  <c r="AS126" i="5"/>
  <c r="AS137" i="5" s="1"/>
  <c r="Y152" i="11"/>
  <c r="S153" i="11" s="1"/>
  <c r="T137" i="5"/>
  <c r="T152" i="11"/>
  <c r="Q9" i="5"/>
  <c r="AO9" i="5"/>
  <c r="O156" i="5"/>
  <c r="V155" i="5"/>
  <c r="AT155" i="5"/>
  <c r="N167" i="5"/>
  <c r="V125" i="5"/>
  <c r="AT125" i="5"/>
  <c r="U126" i="5"/>
  <c r="U158" i="48" s="1"/>
  <c r="U159" i="48" s="1"/>
  <c r="AM107" i="5"/>
  <c r="P37" i="3" l="1"/>
  <c r="R37" i="3"/>
  <c r="S37" i="3" s="1"/>
  <c r="T37" i="3" s="1"/>
  <c r="O158" i="11"/>
  <c r="O166" i="48"/>
  <c r="AN156" i="5"/>
  <c r="AN167" i="5" s="1"/>
  <c r="AT126" i="5"/>
  <c r="AT137" i="5" s="1"/>
  <c r="T153" i="11"/>
  <c r="U137" i="5"/>
  <c r="U152" i="11"/>
  <c r="U153" i="11" s="1"/>
  <c r="C153" i="11"/>
  <c r="I153" i="11"/>
  <c r="D153" i="11"/>
  <c r="D154" i="11" s="1"/>
  <c r="H153" i="11"/>
  <c r="E153" i="11"/>
  <c r="E154" i="11" s="1"/>
  <c r="O153" i="11"/>
  <c r="N153" i="11"/>
  <c r="F153" i="11"/>
  <c r="L153" i="11"/>
  <c r="M153" i="11"/>
  <c r="J153" i="11"/>
  <c r="K153" i="11"/>
  <c r="G153" i="11"/>
  <c r="P153" i="11"/>
  <c r="Q153" i="11"/>
  <c r="R153" i="11"/>
  <c r="P156" i="5"/>
  <c r="W125" i="5"/>
  <c r="V126" i="5"/>
  <c r="V158" i="48" s="1"/>
  <c r="V159" i="48" s="1"/>
  <c r="AU125" i="5"/>
  <c r="W155" i="5"/>
  <c r="AU155" i="5"/>
  <c r="O167" i="5"/>
  <c r="R9" i="5"/>
  <c r="AP9" i="5"/>
  <c r="AN107" i="5"/>
  <c r="AO156" i="5" l="1"/>
  <c r="AO167" i="5" s="1"/>
  <c r="P158" i="11"/>
  <c r="P166" i="48"/>
  <c r="AU126" i="5"/>
  <c r="AU137" i="5" s="1"/>
  <c r="V137" i="5"/>
  <c r="V152" i="11"/>
  <c r="V153" i="11" s="1"/>
  <c r="X125" i="5"/>
  <c r="AV125" i="5"/>
  <c r="W126" i="5"/>
  <c r="W158" i="48" s="1"/>
  <c r="W159" i="48" s="1"/>
  <c r="P167" i="5"/>
  <c r="S9" i="5"/>
  <c r="AQ9" i="5"/>
  <c r="X155" i="5"/>
  <c r="AW155" i="5" s="1"/>
  <c r="AV155" i="5"/>
  <c r="Q156" i="5"/>
  <c r="AO107" i="5"/>
  <c r="AP156" i="5" l="1"/>
  <c r="AP167" i="5" s="1"/>
  <c r="Q158" i="11"/>
  <c r="Q166" i="48"/>
  <c r="AV126" i="5"/>
  <c r="AV137" i="5" s="1"/>
  <c r="W137" i="5"/>
  <c r="W152" i="11"/>
  <c r="W153" i="11" s="1"/>
  <c r="R156" i="5"/>
  <c r="Q167" i="5"/>
  <c r="T9" i="5"/>
  <c r="AR9" i="5"/>
  <c r="AW125" i="5"/>
  <c r="X126" i="5"/>
  <c r="AP107" i="5"/>
  <c r="X158" i="48" l="1"/>
  <c r="X159" i="48" s="1"/>
  <c r="I3" i="48"/>
  <c r="I5" i="48" s="1"/>
  <c r="B83" i="48" s="1"/>
  <c r="R158" i="11"/>
  <c r="R166" i="48"/>
  <c r="AQ156" i="5"/>
  <c r="AQ167" i="5" s="1"/>
  <c r="AW126" i="5"/>
  <c r="AW137" i="5" s="1"/>
  <c r="X137" i="5"/>
  <c r="X152" i="11"/>
  <c r="X153" i="11" s="1"/>
  <c r="I3" i="11"/>
  <c r="I5" i="11" s="1"/>
  <c r="S156" i="5"/>
  <c r="U9" i="5"/>
  <c r="AS9" i="5"/>
  <c r="R167" i="5"/>
  <c r="AQ107" i="5"/>
  <c r="V160" i="48" l="1"/>
  <c r="R160" i="48"/>
  <c r="N160" i="48"/>
  <c r="J160" i="48"/>
  <c r="F160" i="48"/>
  <c r="U160" i="48"/>
  <c r="Q160" i="48"/>
  <c r="M160" i="48"/>
  <c r="I160" i="48"/>
  <c r="E160" i="48"/>
  <c r="X160" i="48"/>
  <c r="T160" i="48"/>
  <c r="P160" i="48"/>
  <c r="L160" i="48"/>
  <c r="H160" i="48"/>
  <c r="D160" i="48"/>
  <c r="W160" i="48"/>
  <c r="S160" i="48"/>
  <c r="O160" i="48"/>
  <c r="K160" i="48"/>
  <c r="G160" i="48"/>
  <c r="C160" i="48"/>
  <c r="B87" i="48"/>
  <c r="C53" i="48" s="1"/>
  <c r="B91" i="48"/>
  <c r="C114" i="48" s="1"/>
  <c r="B89" i="48"/>
  <c r="C77" i="48" s="1"/>
  <c r="B84" i="48"/>
  <c r="B85" i="48"/>
  <c r="C29" i="48" s="1"/>
  <c r="B88" i="48"/>
  <c r="C65" i="48" s="1"/>
  <c r="B90" i="48"/>
  <c r="C102" i="48" s="1"/>
  <c r="B86" i="48"/>
  <c r="C41" i="48" s="1"/>
  <c r="S158" i="11"/>
  <c r="Y158" i="11" s="1"/>
  <c r="S159" i="11" s="1"/>
  <c r="S166" i="48"/>
  <c r="AR156" i="5"/>
  <c r="AR167" i="5" s="1"/>
  <c r="B83" i="11"/>
  <c r="E65" i="11"/>
  <c r="E29" i="11"/>
  <c r="E114" i="11"/>
  <c r="E53" i="11"/>
  <c r="E102" i="11"/>
  <c r="E41" i="11"/>
  <c r="E77" i="11"/>
  <c r="E17" i="11"/>
  <c r="V9" i="5"/>
  <c r="AT9" i="5"/>
  <c r="S167" i="5"/>
  <c r="T156" i="5"/>
  <c r="AR107" i="5"/>
  <c r="C17" i="48" l="1"/>
  <c r="B92" i="48"/>
  <c r="C128" i="48" s="1"/>
  <c r="AS156" i="5"/>
  <c r="AS167" i="5" s="1"/>
  <c r="Y166" i="48"/>
  <c r="S167" i="48" s="1"/>
  <c r="T158" i="11"/>
  <c r="T166" i="48"/>
  <c r="T159" i="11"/>
  <c r="M159" i="11"/>
  <c r="N159" i="11"/>
  <c r="J159" i="11"/>
  <c r="I159" i="11"/>
  <c r="F159" i="11"/>
  <c r="K159" i="11"/>
  <c r="O159" i="11"/>
  <c r="E159" i="11"/>
  <c r="E160" i="11" s="1"/>
  <c r="C159" i="11"/>
  <c r="D159" i="11"/>
  <c r="H159" i="11"/>
  <c r="L159" i="11"/>
  <c r="G159" i="11"/>
  <c r="P159" i="11"/>
  <c r="Q159" i="11"/>
  <c r="R159" i="11"/>
  <c r="T167" i="5"/>
  <c r="U156" i="5"/>
  <c r="W9" i="5"/>
  <c r="AU9" i="5"/>
  <c r="AS107" i="5"/>
  <c r="T167" i="48" l="1"/>
  <c r="AT156" i="5"/>
  <c r="AT167" i="5" s="1"/>
  <c r="U158" i="11"/>
  <c r="U159" i="11" s="1"/>
  <c r="U166" i="48"/>
  <c r="U167" i="48" s="1"/>
  <c r="C167" i="48"/>
  <c r="D167" i="48"/>
  <c r="E167" i="48"/>
  <c r="F167" i="48"/>
  <c r="G167" i="48"/>
  <c r="H167" i="48"/>
  <c r="I167" i="48"/>
  <c r="J167" i="48"/>
  <c r="K167" i="48"/>
  <c r="L167" i="48"/>
  <c r="M167" i="48"/>
  <c r="N167" i="48"/>
  <c r="O167" i="48"/>
  <c r="P167" i="48"/>
  <c r="Q167" i="48"/>
  <c r="R167" i="48"/>
  <c r="D160" i="11"/>
  <c r="V156" i="5"/>
  <c r="X9" i="5"/>
  <c r="AV9" i="5"/>
  <c r="U167" i="5"/>
  <c r="AT107" i="5"/>
  <c r="AU156" i="5" l="1"/>
  <c r="AU167" i="5" s="1"/>
  <c r="E169" i="48"/>
  <c r="D169" i="48"/>
  <c r="V158" i="11"/>
  <c r="V159" i="11" s="1"/>
  <c r="V166" i="48"/>
  <c r="V167" i="48" s="1"/>
  <c r="AY9" i="5"/>
  <c r="AW9" i="5"/>
  <c r="V167" i="5"/>
  <c r="W156" i="5"/>
  <c r="AU107" i="5"/>
  <c r="W158" i="11" l="1"/>
  <c r="W159" i="11" s="1"/>
  <c r="W166" i="48"/>
  <c r="W167" i="48" s="1"/>
  <c r="AV156" i="5"/>
  <c r="AV167" i="5" s="1"/>
  <c r="W167" i="5"/>
  <c r="X156" i="5"/>
  <c r="AV107" i="5"/>
  <c r="AW156" i="5" l="1"/>
  <c r="AW167" i="5" s="1"/>
  <c r="K3" i="48"/>
  <c r="K5" i="48" s="1"/>
  <c r="B107" i="48" s="1"/>
  <c r="X166" i="48"/>
  <c r="X167" i="48" s="1"/>
  <c r="X158" i="11"/>
  <c r="X159" i="11" s="1"/>
  <c r="K3" i="11"/>
  <c r="K5" i="11" s="1"/>
  <c r="X167" i="5"/>
  <c r="AW107" i="5"/>
  <c r="U168" i="48" l="1"/>
  <c r="Q168" i="48"/>
  <c r="M168" i="48"/>
  <c r="I168" i="48"/>
  <c r="E168" i="48"/>
  <c r="X168" i="48"/>
  <c r="T168" i="48"/>
  <c r="P168" i="48"/>
  <c r="L168" i="48"/>
  <c r="H168" i="48"/>
  <c r="D168" i="48"/>
  <c r="W168" i="48"/>
  <c r="S168" i="48"/>
  <c r="O168" i="48"/>
  <c r="K168" i="48"/>
  <c r="G168" i="48"/>
  <c r="C168" i="48"/>
  <c r="V168" i="48"/>
  <c r="R168" i="48"/>
  <c r="N168" i="48"/>
  <c r="J168" i="48"/>
  <c r="F168" i="48"/>
  <c r="B111" i="48"/>
  <c r="C55" i="48" s="1"/>
  <c r="B115" i="48"/>
  <c r="C103" i="48" s="1"/>
  <c r="B110" i="48"/>
  <c r="C43" i="48" s="1"/>
  <c r="B113" i="48"/>
  <c r="C79" i="48" s="1"/>
  <c r="B108" i="48"/>
  <c r="B109" i="48"/>
  <c r="C31" i="48" s="1"/>
  <c r="B114" i="48"/>
  <c r="C91" i="48" s="1"/>
  <c r="B112" i="48"/>
  <c r="C67" i="48" s="1"/>
  <c r="B129" i="11"/>
  <c r="C104" i="11" s="1"/>
  <c r="B125" i="11"/>
  <c r="C56" i="11" s="1"/>
  <c r="B128" i="11"/>
  <c r="C92" i="11" s="1"/>
  <c r="B124" i="11"/>
  <c r="C44" i="11" s="1"/>
  <c r="B127" i="11"/>
  <c r="C80" i="11" s="1"/>
  <c r="B123" i="11"/>
  <c r="C32" i="11" s="1"/>
  <c r="B126" i="11"/>
  <c r="C68" i="11" s="1"/>
  <c r="B122" i="11"/>
  <c r="B107" i="11"/>
  <c r="E103" i="11"/>
  <c r="E19" i="11"/>
  <c r="E91" i="11"/>
  <c r="E55" i="11"/>
  <c r="E79" i="11"/>
  <c r="E43" i="11"/>
  <c r="E67" i="11"/>
  <c r="E31" i="11"/>
  <c r="B116" i="48" l="1"/>
  <c r="C130" i="48" s="1"/>
  <c r="C19" i="48"/>
  <c r="B130" i="11"/>
  <c r="C116" i="11" s="1"/>
  <c r="C20" i="11"/>
  <c r="X13" i="3"/>
  <c r="Y13" i="3"/>
  <c r="Z7" i="3"/>
  <c r="AA103" i="5"/>
  <c r="AA102" i="5"/>
  <c r="Z102" i="5"/>
  <c r="AA99" i="5"/>
  <c r="Z99" i="5"/>
  <c r="AA40" i="5"/>
  <c r="Z40" i="5"/>
  <c r="AA5" i="5"/>
  <c r="Z76" i="3"/>
  <c r="AA76" i="3"/>
  <c r="Z75" i="3"/>
  <c r="AA75" i="3"/>
  <c r="Z28" i="3"/>
  <c r="Y28" i="3"/>
  <c r="Z27" i="3"/>
  <c r="Y27" i="3"/>
  <c r="Z26" i="3"/>
  <c r="Y26" i="3"/>
  <c r="Z25" i="3"/>
  <c r="Y25" i="3"/>
  <c r="Z24" i="3"/>
  <c r="Z23" i="3"/>
  <c r="Y23" i="3"/>
  <c r="AA23" i="3" s="1"/>
  <c r="F89" i="5" s="1"/>
  <c r="Z22" i="3"/>
  <c r="Y22" i="3"/>
  <c r="Z21" i="3"/>
  <c r="Y21" i="3"/>
  <c r="Z18" i="3"/>
  <c r="Y18" i="3"/>
  <c r="L13" i="3"/>
  <c r="Z6" i="3"/>
  <c r="R62" i="4" l="1"/>
  <c r="AW68" i="8" s="1"/>
  <c r="J62" i="4"/>
  <c r="AO68" i="8" s="1"/>
  <c r="Q61" i="4"/>
  <c r="AV67" i="8" s="1"/>
  <c r="M61" i="4"/>
  <c r="AR67" i="8" s="1"/>
  <c r="I61" i="4"/>
  <c r="AN67" i="8" s="1"/>
  <c r="E61" i="4"/>
  <c r="AJ67" i="8" s="1"/>
  <c r="P61" i="4"/>
  <c r="AU67" i="8" s="1"/>
  <c r="H61" i="4"/>
  <c r="AM67" i="8" s="1"/>
  <c r="N62" i="4"/>
  <c r="AS68" i="8" s="1"/>
  <c r="S61" i="4"/>
  <c r="AX67" i="8" s="1"/>
  <c r="G61" i="4"/>
  <c r="AL67" i="8" s="1"/>
  <c r="W62" i="4"/>
  <c r="BB68" i="8" s="1"/>
  <c r="O62" i="4"/>
  <c r="AT68" i="8" s="1"/>
  <c r="G62" i="4"/>
  <c r="AL68" i="8" s="1"/>
  <c r="D61" i="4"/>
  <c r="AI67" i="8" s="1"/>
  <c r="F62" i="4"/>
  <c r="AK68" i="8" s="1"/>
  <c r="O61" i="4"/>
  <c r="AT67" i="8" s="1"/>
  <c r="S62" i="4"/>
  <c r="AX68" i="8" s="1"/>
  <c r="K62" i="4"/>
  <c r="AP68" i="8" s="1"/>
  <c r="R61" i="4"/>
  <c r="AW67" i="8" s="1"/>
  <c r="N61" i="4"/>
  <c r="AS67" i="8" s="1"/>
  <c r="J61" i="4"/>
  <c r="AO67" i="8" s="1"/>
  <c r="F61" i="4"/>
  <c r="AK67" i="8" s="1"/>
  <c r="L61" i="4"/>
  <c r="AQ67" i="8" s="1"/>
  <c r="V62" i="4"/>
  <c r="BA68" i="8" s="1"/>
  <c r="K61" i="4"/>
  <c r="AP67" i="8" s="1"/>
  <c r="Y62" i="4"/>
  <c r="BD68" i="8" s="1"/>
  <c r="P62" i="4"/>
  <c r="AU68" i="8" s="1"/>
  <c r="I62" i="4"/>
  <c r="AN68" i="8" s="1"/>
  <c r="X62" i="4"/>
  <c r="BC68" i="8" s="1"/>
  <c r="L62" i="4"/>
  <c r="AQ68" i="8" s="1"/>
  <c r="U62" i="4"/>
  <c r="AZ68" i="8" s="1"/>
  <c r="D62" i="4"/>
  <c r="AI68" i="8" s="1"/>
  <c r="T62" i="4"/>
  <c r="AY68" i="8" s="1"/>
  <c r="M62" i="4"/>
  <c r="AR68" i="8" s="1"/>
  <c r="H62" i="4"/>
  <c r="AM68" i="8" s="1"/>
  <c r="Q62" i="4"/>
  <c r="AV68" i="8" s="1"/>
  <c r="E62" i="4"/>
  <c r="AJ68" i="8" s="1"/>
  <c r="J89" i="37"/>
  <c r="O69" i="37"/>
  <c r="T67" i="37"/>
  <c r="E67" i="37"/>
  <c r="T45" i="37"/>
  <c r="T46" i="37" s="1"/>
  <c r="M45" i="37"/>
  <c r="M46" i="37" s="1"/>
  <c r="E45" i="37"/>
  <c r="E46" i="37" s="1"/>
  <c r="T42" i="37"/>
  <c r="T43" i="37" s="1"/>
  <c r="T44" i="37" s="1"/>
  <c r="D49" i="4"/>
  <c r="AI55" i="8" s="1"/>
  <c r="V48" i="4"/>
  <c r="BA54" i="8" s="1"/>
  <c r="R48" i="4"/>
  <c r="AW54" i="8" s="1"/>
  <c r="N48" i="4"/>
  <c r="AS54" i="8" s="1"/>
  <c r="J48" i="4"/>
  <c r="AO54" i="8" s="1"/>
  <c r="F48" i="4"/>
  <c r="AK54" i="8" s="1"/>
  <c r="X47" i="4"/>
  <c r="BC53" i="8" s="1"/>
  <c r="T47" i="4"/>
  <c r="AY53" i="8" s="1"/>
  <c r="P47" i="4"/>
  <c r="AU53" i="8" s="1"/>
  <c r="L47" i="4"/>
  <c r="AQ53" i="8" s="1"/>
  <c r="H47" i="4"/>
  <c r="AM53" i="8" s="1"/>
  <c r="D47" i="4"/>
  <c r="AI53" i="8" s="1"/>
  <c r="D16" i="4"/>
  <c r="AI19" i="8" s="1"/>
  <c r="D12" i="4"/>
  <c r="AI15" i="8" s="1"/>
  <c r="U89" i="37"/>
  <c r="F89" i="37"/>
  <c r="F70" i="37"/>
  <c r="K69" i="37"/>
  <c r="P67" i="37"/>
  <c r="Y45" i="37"/>
  <c r="Y46" i="37" s="1"/>
  <c r="R45" i="37"/>
  <c r="R46" i="37" s="1"/>
  <c r="J45" i="37"/>
  <c r="J46" i="37" s="1"/>
  <c r="D45" i="37"/>
  <c r="D46" i="37" s="1"/>
  <c r="N42" i="37"/>
  <c r="N43" i="37" s="1"/>
  <c r="N44" i="37" s="1"/>
  <c r="D89" i="4"/>
  <c r="AI96" i="8" s="1"/>
  <c r="Y48" i="4"/>
  <c r="BD54" i="8" s="1"/>
  <c r="U48" i="4"/>
  <c r="AZ54" i="8" s="1"/>
  <c r="Q48" i="4"/>
  <c r="AV54" i="8" s="1"/>
  <c r="M48" i="4"/>
  <c r="AR54" i="8" s="1"/>
  <c r="I48" i="4"/>
  <c r="AN54" i="8" s="1"/>
  <c r="E48" i="4"/>
  <c r="AJ54" i="8" s="1"/>
  <c r="W47" i="4"/>
  <c r="BB53" i="8" s="1"/>
  <c r="S47" i="4"/>
  <c r="AX53" i="8" s="1"/>
  <c r="O47" i="4"/>
  <c r="AT53" i="8" s="1"/>
  <c r="K47" i="4"/>
  <c r="AP53" i="8" s="1"/>
  <c r="G47" i="4"/>
  <c r="AL53" i="8" s="1"/>
  <c r="D42" i="4"/>
  <c r="AI48" i="8" s="1"/>
  <c r="D15" i="4"/>
  <c r="AI18" i="8" s="1"/>
  <c r="D36" i="4"/>
  <c r="AI42" i="8" s="1"/>
  <c r="R89" i="37"/>
  <c r="E89" i="37"/>
  <c r="D70" i="37"/>
  <c r="F69" i="37"/>
  <c r="M67" i="37"/>
  <c r="X45" i="37"/>
  <c r="X46" i="37" s="1"/>
  <c r="P45" i="37"/>
  <c r="P46" i="37" s="1"/>
  <c r="I45" i="37"/>
  <c r="I46" i="37" s="1"/>
  <c r="M42" i="37"/>
  <c r="M43" i="37" s="1"/>
  <c r="M44" i="37" s="1"/>
  <c r="D52" i="4"/>
  <c r="AI58" i="8" s="1"/>
  <c r="X48" i="4"/>
  <c r="BC54" i="8" s="1"/>
  <c r="T48" i="4"/>
  <c r="AY54" i="8" s="1"/>
  <c r="P48" i="4"/>
  <c r="AU54" i="8" s="1"/>
  <c r="L48" i="4"/>
  <c r="AQ54" i="8" s="1"/>
  <c r="H48" i="4"/>
  <c r="AM54" i="8" s="1"/>
  <c r="D48" i="4"/>
  <c r="AI54" i="8" s="1"/>
  <c r="V47" i="4"/>
  <c r="BA53" i="8" s="1"/>
  <c r="R47" i="4"/>
  <c r="AW53" i="8" s="1"/>
  <c r="N47" i="4"/>
  <c r="AS53" i="8" s="1"/>
  <c r="J47" i="4"/>
  <c r="AO53" i="8" s="1"/>
  <c r="F47" i="4"/>
  <c r="AK53" i="8" s="1"/>
  <c r="D39" i="4"/>
  <c r="AI45" i="8" s="1"/>
  <c r="D14" i="4"/>
  <c r="AI17" i="8" s="1"/>
  <c r="D35" i="4"/>
  <c r="AI41" i="8" s="1"/>
  <c r="V102" i="37"/>
  <c r="N89" i="37"/>
  <c r="U69" i="37"/>
  <c r="X67" i="37"/>
  <c r="I67" i="37"/>
  <c r="U45" i="37"/>
  <c r="U46" i="37" s="1"/>
  <c r="N45" i="37"/>
  <c r="N46" i="37" s="1"/>
  <c r="H45" i="37"/>
  <c r="H46" i="37" s="1"/>
  <c r="E42" i="37"/>
  <c r="E43" i="37" s="1"/>
  <c r="E44" i="37" s="1"/>
  <c r="D51" i="4"/>
  <c r="AI57" i="8" s="1"/>
  <c r="W48" i="4"/>
  <c r="BB54" i="8" s="1"/>
  <c r="S48" i="4"/>
  <c r="AX54" i="8" s="1"/>
  <c r="O48" i="4"/>
  <c r="AT54" i="8" s="1"/>
  <c r="K48" i="4"/>
  <c r="AP54" i="8" s="1"/>
  <c r="G48" i="4"/>
  <c r="AL54" i="8" s="1"/>
  <c r="Y47" i="4"/>
  <c r="BD53" i="8" s="1"/>
  <c r="U47" i="4"/>
  <c r="AZ53" i="8" s="1"/>
  <c r="Q47" i="4"/>
  <c r="AV53" i="8" s="1"/>
  <c r="M47" i="4"/>
  <c r="AR53" i="8" s="1"/>
  <c r="I47" i="4"/>
  <c r="AN53" i="8" s="1"/>
  <c r="E47" i="4"/>
  <c r="AJ53" i="8" s="1"/>
  <c r="D17" i="4"/>
  <c r="AI20" i="8" s="1"/>
  <c r="D13" i="4"/>
  <c r="AI16" i="8" s="1"/>
  <c r="D34" i="4"/>
  <c r="AI40" i="8" s="1"/>
  <c r="U42" i="37"/>
  <c r="U43" i="37" s="1"/>
  <c r="U44" i="37" s="1"/>
  <c r="J102" i="37"/>
  <c r="Y13" i="37"/>
  <c r="N15" i="37"/>
  <c r="L15" i="37"/>
  <c r="M26" i="37"/>
  <c r="K34" i="37"/>
  <c r="T47" i="37"/>
  <c r="J32" i="37"/>
  <c r="D13" i="37"/>
  <c r="D47" i="37"/>
  <c r="W26" i="37"/>
  <c r="P26" i="37"/>
  <c r="J13" i="37"/>
  <c r="L13" i="37"/>
  <c r="K13" i="37"/>
  <c r="O15" i="37"/>
  <c r="S13" i="37"/>
  <c r="T26" i="37"/>
  <c r="W36" i="37"/>
  <c r="P36" i="37"/>
  <c r="J47" i="37"/>
  <c r="J12" i="37"/>
  <c r="R14" i="37"/>
  <c r="S14" i="37"/>
  <c r="J16" i="37"/>
  <c r="R27" i="37"/>
  <c r="X27" i="37"/>
  <c r="M48" i="37"/>
  <c r="R48" i="37"/>
  <c r="W65" i="37"/>
  <c r="H12" i="37"/>
  <c r="S16" i="37"/>
  <c r="F35" i="37"/>
  <c r="O42" i="37"/>
  <c r="O43" i="37" s="1"/>
  <c r="O44" i="37" s="1"/>
  <c r="Q42" i="37"/>
  <c r="Q43" i="37" s="1"/>
  <c r="Q44" i="37" s="1"/>
  <c r="P42" i="37"/>
  <c r="P43" i="37" s="1"/>
  <c r="P44" i="37" s="1"/>
  <c r="D14" i="37"/>
  <c r="Y14" i="37"/>
  <c r="Y16" i="37"/>
  <c r="I27" i="37"/>
  <c r="Y31" i="37"/>
  <c r="V39" i="37"/>
  <c r="V40" i="37" s="1"/>
  <c r="V41" i="37" s="1"/>
  <c r="D42" i="37"/>
  <c r="D43" i="37" s="1"/>
  <c r="D44" i="37" s="1"/>
  <c r="V45" i="37"/>
  <c r="V46" i="37" s="1"/>
  <c r="L48" i="37"/>
  <c r="U65" i="37"/>
  <c r="J66" i="37"/>
  <c r="W66" i="37"/>
  <c r="L66" i="37"/>
  <c r="L67" i="37"/>
  <c r="H67" i="37"/>
  <c r="D67" i="37"/>
  <c r="Q47" i="37"/>
  <c r="H47" i="37"/>
  <c r="E49" i="37"/>
  <c r="Q69" i="37"/>
  <c r="K45" i="37"/>
  <c r="K46" i="37" s="1"/>
  <c r="J52" i="37"/>
  <c r="J70" i="37"/>
  <c r="O67" i="37"/>
  <c r="P69" i="37"/>
  <c r="M69" i="37"/>
  <c r="X89" i="37"/>
  <c r="I89" i="37"/>
  <c r="G89" i="37"/>
  <c r="W89" i="37"/>
  <c r="P89" i="37"/>
  <c r="L102" i="37"/>
  <c r="E102" i="37"/>
  <c r="E103" i="37" s="1"/>
  <c r="E104" i="37" s="1"/>
  <c r="Y102" i="37"/>
  <c r="K102" i="37"/>
  <c r="W67" i="37"/>
  <c r="S26" i="37"/>
  <c r="J15" i="37"/>
  <c r="U15" i="37"/>
  <c r="V47" i="37"/>
  <c r="L47" i="37"/>
  <c r="Y15" i="37"/>
  <c r="F32" i="37"/>
  <c r="H15" i="37"/>
  <c r="R47" i="37"/>
  <c r="R26" i="37"/>
  <c r="Q26" i="37"/>
  <c r="E26" i="37"/>
  <c r="V13" i="37"/>
  <c r="F13" i="37"/>
  <c r="G13" i="37"/>
  <c r="E13" i="37"/>
  <c r="I15" i="37"/>
  <c r="R36" i="37"/>
  <c r="Q36" i="37"/>
  <c r="K36" i="37"/>
  <c r="W47" i="37"/>
  <c r="F12" i="37"/>
  <c r="N14" i="37"/>
  <c r="M16" i="37"/>
  <c r="N27" i="37"/>
  <c r="V48" i="37"/>
  <c r="H14" i="37"/>
  <c r="H27" i="37"/>
  <c r="X35" i="37"/>
  <c r="K42" i="37"/>
  <c r="K43" i="37" s="1"/>
  <c r="K44" i="37" s="1"/>
  <c r="L42" i="37"/>
  <c r="L43" i="37" s="1"/>
  <c r="L44" i="37" s="1"/>
  <c r="X42" i="37"/>
  <c r="X43" i="37" s="1"/>
  <c r="X44" i="37" s="1"/>
  <c r="D12" i="37"/>
  <c r="I14" i="37"/>
  <c r="D16" i="37"/>
  <c r="O27" i="37"/>
  <c r="I35" i="37"/>
  <c r="F39" i="37"/>
  <c r="F40" i="37" s="1"/>
  <c r="F41" i="37" s="1"/>
  <c r="J42" i="37"/>
  <c r="J43" i="37" s="1"/>
  <c r="J44" i="37" s="1"/>
  <c r="Q45" i="37"/>
  <c r="Q46" i="37" s="1"/>
  <c r="S48" i="37"/>
  <c r="U66" i="37"/>
  <c r="O66" i="37"/>
  <c r="D66" i="37"/>
  <c r="F67" i="37"/>
  <c r="Y67" i="37"/>
  <c r="I69" i="37"/>
  <c r="M47" i="37"/>
  <c r="N47" i="37"/>
  <c r="U49" i="37"/>
  <c r="H49" i="37"/>
  <c r="E69" i="37"/>
  <c r="J69" i="37"/>
  <c r="O45" i="37"/>
  <c r="O46" i="37" s="1"/>
  <c r="F52" i="37"/>
  <c r="S67" i="37"/>
  <c r="L69" i="37"/>
  <c r="R69" i="37"/>
  <c r="M89" i="37"/>
  <c r="K89" i="37"/>
  <c r="D89" i="37"/>
  <c r="T89" i="37"/>
  <c r="P102" i="37"/>
  <c r="M102" i="37"/>
  <c r="T102" i="37"/>
  <c r="W45" i="37"/>
  <c r="W46" i="37" s="1"/>
  <c r="V89" i="37"/>
  <c r="W15" i="37"/>
  <c r="P15" i="37"/>
  <c r="J34" i="37"/>
  <c r="O47" i="37"/>
  <c r="F47" i="37"/>
  <c r="P47" i="37"/>
  <c r="S15" i="37"/>
  <c r="H34" i="37"/>
  <c r="M15" i="37"/>
  <c r="N26" i="37"/>
  <c r="L26" i="37"/>
  <c r="X26" i="37"/>
  <c r="R13" i="37"/>
  <c r="W13" i="37"/>
  <c r="U13" i="37"/>
  <c r="X13" i="37"/>
  <c r="D34" i="37"/>
  <c r="T15" i="37"/>
  <c r="N36" i="37"/>
  <c r="L36" i="37"/>
  <c r="M36" i="37"/>
  <c r="J14" i="37"/>
  <c r="R16" i="37"/>
  <c r="X16" i="37"/>
  <c r="J27" i="37"/>
  <c r="P48" i="37"/>
  <c r="P65" i="37"/>
  <c r="S65" i="37"/>
  <c r="M14" i="37"/>
  <c r="S27" i="37"/>
  <c r="V35" i="37"/>
  <c r="W42" i="37"/>
  <c r="W43" i="37" s="1"/>
  <c r="W44" i="37" s="1"/>
  <c r="G42" i="37"/>
  <c r="G43" i="37" s="1"/>
  <c r="G44" i="37" s="1"/>
  <c r="F42" i="37"/>
  <c r="F43" i="37" s="1"/>
  <c r="F44" i="37" s="1"/>
  <c r="I12" i="37"/>
  <c r="O14" i="37"/>
  <c r="O16" i="37"/>
  <c r="T27" i="37"/>
  <c r="O35" i="37"/>
  <c r="S39" i="37"/>
  <c r="S40" i="37" s="1"/>
  <c r="S41" i="37" s="1"/>
  <c r="R42" i="37"/>
  <c r="R43" i="37" s="1"/>
  <c r="R44" i="37" s="1"/>
  <c r="L45" i="37"/>
  <c r="L46" i="37" s="1"/>
  <c r="R66" i="37"/>
  <c r="P66" i="37"/>
  <c r="H66" i="37"/>
  <c r="V67" i="37"/>
  <c r="U67" i="37"/>
  <c r="R67" i="37"/>
  <c r="S69" i="37"/>
  <c r="Y47" i="37"/>
  <c r="I47" i="37"/>
  <c r="S47" i="37"/>
  <c r="Q49" i="37"/>
  <c r="N49" i="37"/>
  <c r="N69" i="37"/>
  <c r="D69" i="37"/>
  <c r="S45" i="37"/>
  <c r="S46" i="37" s="1"/>
  <c r="I70" i="37"/>
  <c r="G67" i="37"/>
  <c r="X69" i="37"/>
  <c r="H69" i="37"/>
  <c r="W69" i="37"/>
  <c r="Y89" i="37"/>
  <c r="R102" i="37"/>
  <c r="O89" i="37"/>
  <c r="H89" i="37"/>
  <c r="W102" i="37"/>
  <c r="O102" i="37"/>
  <c r="V69" i="37"/>
  <c r="T36" i="37"/>
  <c r="R15" i="37"/>
  <c r="Q15" i="37"/>
  <c r="K15" i="37"/>
  <c r="L34" i="37"/>
  <c r="G47" i="37"/>
  <c r="H26" i="37"/>
  <c r="H42" i="37"/>
  <c r="H43" i="37" s="1"/>
  <c r="H44" i="37" s="1"/>
  <c r="X15" i="37"/>
  <c r="J26" i="37"/>
  <c r="U26" i="37"/>
  <c r="K47" i="37"/>
  <c r="N13" i="37"/>
  <c r="Q13" i="37"/>
  <c r="P13" i="37"/>
  <c r="D15" i="37"/>
  <c r="H13" i="37"/>
  <c r="T34" i="37"/>
  <c r="J36" i="37"/>
  <c r="U36" i="37"/>
  <c r="X36" i="37"/>
  <c r="V12" i="37"/>
  <c r="V14" i="37"/>
  <c r="F14" i="37"/>
  <c r="N16" i="37"/>
  <c r="M27" i="37"/>
  <c r="Q48" i="37"/>
  <c r="J48" i="37"/>
  <c r="V65" i="37"/>
  <c r="R65" i="37"/>
  <c r="X14" i="37"/>
  <c r="H31" i="37"/>
  <c r="J35" i="37"/>
  <c r="S42" i="37"/>
  <c r="S43" i="37" s="1"/>
  <c r="S44" i="37" s="1"/>
  <c r="V42" i="37"/>
  <c r="V43" i="37" s="1"/>
  <c r="V44" i="37" s="1"/>
  <c r="I42" i="37"/>
  <c r="I43" i="37" s="1"/>
  <c r="I44" i="37" s="1"/>
  <c r="Y12" i="37"/>
  <c r="T14" i="37"/>
  <c r="T16" i="37"/>
  <c r="D31" i="37"/>
  <c r="X39" i="37"/>
  <c r="X40" i="37" s="1"/>
  <c r="X41" i="37" s="1"/>
  <c r="Y42" i="37"/>
  <c r="Y43" i="37" s="1"/>
  <c r="Y44" i="37" s="1"/>
  <c r="F45" i="37"/>
  <c r="F46" i="37" s="1"/>
  <c r="G65" i="37"/>
  <c r="N66" i="37"/>
  <c r="K66" i="37"/>
  <c r="S66" i="37"/>
  <c r="Q67" i="37"/>
  <c r="N67" i="37"/>
  <c r="J67" i="37"/>
  <c r="U47" i="37"/>
  <c r="E47" i="37"/>
  <c r="X47" i="37"/>
  <c r="M49" i="37"/>
  <c r="Y49" i="37"/>
  <c r="Y69" i="37"/>
  <c r="G45" i="37"/>
  <c r="G46" i="37" s="1"/>
  <c r="E70" i="37"/>
  <c r="K67" i="37"/>
  <c r="T69" i="37"/>
  <c r="G69" i="37"/>
  <c r="Q89" i="37"/>
  <c r="N102" i="37"/>
  <c r="S89" i="37"/>
  <c r="L89" i="37"/>
  <c r="D102" i="37"/>
  <c r="D103" i="37" s="1"/>
  <c r="X102" i="37"/>
  <c r="U102" i="37"/>
  <c r="S102" i="37"/>
  <c r="Q102" i="37"/>
  <c r="V27" i="37"/>
  <c r="N31" i="37"/>
  <c r="V34" i="37"/>
  <c r="S28" i="37"/>
  <c r="I17" i="37"/>
  <c r="I11" i="37"/>
  <c r="Q39" i="37"/>
  <c r="Q40" i="37" s="1"/>
  <c r="Q41" i="37" s="1"/>
  <c r="E39" i="37"/>
  <c r="E40" i="37" s="1"/>
  <c r="E41" i="37" s="1"/>
  <c r="D39" i="37"/>
  <c r="D40" i="37" s="1"/>
  <c r="D41" i="37" s="1"/>
  <c r="M35" i="37"/>
  <c r="W35" i="37"/>
  <c r="G35" i="37"/>
  <c r="F65" i="37"/>
  <c r="U12" i="37"/>
  <c r="Q12" i="37"/>
  <c r="I34" i="37"/>
  <c r="N28" i="37"/>
  <c r="N17" i="37"/>
  <c r="N11" i="37"/>
  <c r="O51" i="37"/>
  <c r="X34" i="37"/>
  <c r="U31" i="37"/>
  <c r="W31" i="37"/>
  <c r="E28" i="37"/>
  <c r="L17" i="37"/>
  <c r="S49" i="37"/>
  <c r="E66" i="37"/>
  <c r="N39" i="37"/>
  <c r="N40" i="37" s="1"/>
  <c r="N41" i="37" s="1"/>
  <c r="Y27" i="37"/>
  <c r="S35" i="37"/>
  <c r="E65" i="37"/>
  <c r="X65" i="37"/>
  <c r="R31" i="37"/>
  <c r="L14" i="37"/>
  <c r="U14" i="37"/>
  <c r="E36" i="37"/>
  <c r="M28" i="37"/>
  <c r="I26" i="37"/>
  <c r="Y26" i="37"/>
  <c r="G26" i="37"/>
  <c r="R11" i="37"/>
  <c r="X51" i="37"/>
  <c r="R51" i="37"/>
  <c r="R34" i="37"/>
  <c r="T28" i="37"/>
  <c r="O17" i="37"/>
  <c r="K11" i="37"/>
  <c r="L51" i="37"/>
  <c r="F49" i="37"/>
  <c r="G49" i="37"/>
  <c r="D49" i="37"/>
  <c r="T66" i="37"/>
  <c r="N48" i="37"/>
  <c r="H39" i="37"/>
  <c r="H40" i="37" s="1"/>
  <c r="H41" i="37" s="1"/>
  <c r="O12" i="37"/>
  <c r="M12" i="37"/>
  <c r="L65" i="37"/>
  <c r="Y48" i="37"/>
  <c r="E27" i="37"/>
  <c r="L27" i="37"/>
  <c r="E16" i="37"/>
  <c r="L16" i="37"/>
  <c r="R12" i="37"/>
  <c r="Y36" i="37"/>
  <c r="K28" i="37"/>
  <c r="K17" i="37"/>
  <c r="Y34" i="37"/>
  <c r="E11" i="37"/>
  <c r="M51" i="37"/>
  <c r="E34" i="37"/>
  <c r="R17" i="37"/>
  <c r="V15" i="37"/>
  <c r="V49" i="37"/>
  <c r="Y28" i="37"/>
  <c r="Y11" i="37"/>
  <c r="H11" i="37"/>
  <c r="L39" i="37"/>
  <c r="L40" i="37" s="1"/>
  <c r="L41" i="37" s="1"/>
  <c r="K39" i="37"/>
  <c r="K40" i="37" s="1"/>
  <c r="K41" i="37" s="1"/>
  <c r="U39" i="37"/>
  <c r="U40" i="37" s="1"/>
  <c r="U41" i="37" s="1"/>
  <c r="P35" i="37"/>
  <c r="L35" i="37"/>
  <c r="N65" i="37"/>
  <c r="D65" i="37"/>
  <c r="K12" i="37"/>
  <c r="G12" i="37"/>
  <c r="X28" i="37"/>
  <c r="X17" i="37"/>
  <c r="X11" i="37"/>
  <c r="S51" i="37"/>
  <c r="P34" i="37"/>
  <c r="K31" i="37"/>
  <c r="Q31" i="37"/>
  <c r="L28" i="37"/>
  <c r="J17" i="37"/>
  <c r="D52" i="37"/>
  <c r="I52" i="37"/>
  <c r="I49" i="37"/>
  <c r="F66" i="37"/>
  <c r="Y35" i="37"/>
  <c r="D27" i="37"/>
  <c r="N35" i="37"/>
  <c r="I65" i="37"/>
  <c r="F48" i="37"/>
  <c r="F27" i="37"/>
  <c r="G14" i="37"/>
  <c r="K14" i="37"/>
  <c r="G36" i="37"/>
  <c r="U28" i="37"/>
  <c r="M17" i="37"/>
  <c r="I13" i="37"/>
  <c r="F26" i="37"/>
  <c r="M11" i="37"/>
  <c r="G51" i="37"/>
  <c r="W51" i="37"/>
  <c r="M34" i="37"/>
  <c r="E15" i="37"/>
  <c r="S17" i="37"/>
  <c r="L11" i="37"/>
  <c r="K51" i="37"/>
  <c r="W49" i="37"/>
  <c r="T49" i="37"/>
  <c r="O49" i="37"/>
  <c r="X66" i="37"/>
  <c r="G66" i="37"/>
  <c r="T48" i="37"/>
  <c r="R39" i="37"/>
  <c r="R40" i="37" s="1"/>
  <c r="R41" i="37" s="1"/>
  <c r="H35" i="37"/>
  <c r="M65" i="37"/>
  <c r="X48" i="37"/>
  <c r="F31" i="37"/>
  <c r="K27" i="37"/>
  <c r="U27" i="37"/>
  <c r="K16" i="37"/>
  <c r="U16" i="37"/>
  <c r="T51" i="37"/>
  <c r="O36" i="37"/>
  <c r="V51" i="37"/>
  <c r="V66" i="37"/>
  <c r="I36" i="37"/>
  <c r="H28" i="37"/>
  <c r="D28" i="37"/>
  <c r="O11" i="37"/>
  <c r="T11" i="37"/>
  <c r="G39" i="37"/>
  <c r="G40" i="37" s="1"/>
  <c r="G41" i="37" s="1"/>
  <c r="Y39" i="37"/>
  <c r="Y40" i="37" s="1"/>
  <c r="Y41" i="37" s="1"/>
  <c r="T39" i="37"/>
  <c r="T40" i="37" s="1"/>
  <c r="T41" i="37" s="1"/>
  <c r="E35" i="37"/>
  <c r="K35" i="37"/>
  <c r="Y65" i="37"/>
  <c r="T65" i="37"/>
  <c r="E12" i="37"/>
  <c r="P12" i="37"/>
  <c r="P28" i="37"/>
  <c r="E17" i="37"/>
  <c r="P11" i="37"/>
  <c r="I32" i="37"/>
  <c r="P51" i="37"/>
  <c r="Q34" i="37"/>
  <c r="P31" i="37"/>
  <c r="G31" i="37"/>
  <c r="J28" i="37"/>
  <c r="J39" i="37"/>
  <c r="J40" i="37" s="1"/>
  <c r="J41" i="37" s="1"/>
  <c r="E52" i="37"/>
  <c r="Q66" i="37"/>
  <c r="D48" i="37"/>
  <c r="D35" i="37"/>
  <c r="I16" i="37"/>
  <c r="H16" i="37"/>
  <c r="K65" i="37"/>
  <c r="E48" i="37"/>
  <c r="F16" i="37"/>
  <c r="P14" i="37"/>
  <c r="Q14" i="37"/>
  <c r="F36" i="37"/>
  <c r="W28" i="37"/>
  <c r="P17" i="37"/>
  <c r="T13" i="37"/>
  <c r="V26" i="37"/>
  <c r="U11" i="37"/>
  <c r="O34" i="37"/>
  <c r="O26" i="37"/>
  <c r="Y51" i="37"/>
  <c r="U34" i="37"/>
  <c r="G15" i="37"/>
  <c r="J31" i="37"/>
  <c r="Y17" i="37"/>
  <c r="J11" i="37"/>
  <c r="J51" i="37"/>
  <c r="P49" i="37"/>
  <c r="J49" i="37"/>
  <c r="X49" i="37"/>
  <c r="I66" i="37"/>
  <c r="W48" i="37"/>
  <c r="G48" i="37"/>
  <c r="T35" i="37"/>
  <c r="R35" i="37"/>
  <c r="O65" i="37"/>
  <c r="K48" i="37"/>
  <c r="V31" i="37"/>
  <c r="Q27" i="37"/>
  <c r="G27" i="37"/>
  <c r="Q16" i="37"/>
  <c r="G16" i="37"/>
  <c r="S36" i="37"/>
  <c r="D36" i="37"/>
  <c r="U48" i="37"/>
  <c r="V16" i="37"/>
  <c r="D26" i="37"/>
  <c r="O28" i="37"/>
  <c r="I28" i="37"/>
  <c r="D11" i="37"/>
  <c r="S11" i="37"/>
  <c r="W39" i="37"/>
  <c r="W40" i="37" s="1"/>
  <c r="W41" i="37" s="1"/>
  <c r="P39" i="37"/>
  <c r="P40" i="37" s="1"/>
  <c r="P41" i="37" s="1"/>
  <c r="O39" i="37"/>
  <c r="O40" i="37" s="1"/>
  <c r="O41" i="37" s="1"/>
  <c r="I39" i="37"/>
  <c r="I40" i="37" s="1"/>
  <c r="I41" i="37" s="1"/>
  <c r="U35" i="37"/>
  <c r="Q35" i="37"/>
  <c r="J65" i="37"/>
  <c r="X31" i="37"/>
  <c r="L12" i="37"/>
  <c r="W12" i="37"/>
  <c r="Q28" i="37"/>
  <c r="Q17" i="37"/>
  <c r="Q11" i="37"/>
  <c r="I51" i="37"/>
  <c r="N51" i="37"/>
  <c r="N34" i="37"/>
  <c r="E31" i="37"/>
  <c r="L31" i="37"/>
  <c r="U17" i="37"/>
  <c r="T31" i="37"/>
  <c r="Y66" i="37"/>
  <c r="M39" i="37"/>
  <c r="M40" i="37" s="1"/>
  <c r="M41" i="37" s="1"/>
  <c r="O31" i="37"/>
  <c r="T12" i="37"/>
  <c r="X12" i="37"/>
  <c r="H65" i="37"/>
  <c r="M31" i="37"/>
  <c r="W14" i="37"/>
  <c r="E14" i="37"/>
  <c r="N12" i="37"/>
  <c r="V36" i="37"/>
  <c r="R28" i="37"/>
  <c r="W17" i="37"/>
  <c r="K26" i="37"/>
  <c r="Q51" i="37"/>
  <c r="W11" i="37"/>
  <c r="E32" i="37"/>
  <c r="M13" i="37"/>
  <c r="U51" i="37"/>
  <c r="W34" i="37"/>
  <c r="F15" i="37"/>
  <c r="H17" i="37"/>
  <c r="D17" i="37"/>
  <c r="H51" i="37"/>
  <c r="K49" i="37"/>
  <c r="R49" i="37"/>
  <c r="L49" i="37"/>
  <c r="M66" i="37"/>
  <c r="H48" i="37"/>
  <c r="O48" i="37"/>
  <c r="I31" i="37"/>
  <c r="S31" i="37"/>
  <c r="Q65" i="37"/>
  <c r="I48" i="37"/>
  <c r="P27" i="37"/>
  <c r="W27" i="37"/>
  <c r="P16" i="37"/>
  <c r="W16" i="37"/>
  <c r="S12" i="37"/>
  <c r="H36" i="37"/>
  <c r="G28" i="37"/>
  <c r="F17" i="37"/>
  <c r="O13" i="37"/>
  <c r="E51" i="37"/>
  <c r="T17" i="37"/>
  <c r="F28" i="37"/>
  <c r="V17" i="37"/>
  <c r="G11" i="37"/>
  <c r="F51" i="37"/>
  <c r="V28" i="37"/>
  <c r="S34" i="37"/>
  <c r="F11" i="37"/>
  <c r="G34" i="37"/>
  <c r="G17" i="37"/>
  <c r="D32" i="37"/>
  <c r="V11" i="37"/>
  <c r="D51" i="37"/>
  <c r="F34" i="37"/>
  <c r="I49" i="4"/>
  <c r="AN55" i="8" s="1"/>
  <c r="U17" i="4"/>
  <c r="AZ20" i="8" s="1"/>
  <c r="T17" i="4"/>
  <c r="AY20" i="8" s="1"/>
  <c r="J49" i="4"/>
  <c r="AO55" i="8" s="1"/>
  <c r="J52" i="4"/>
  <c r="AO58" i="8" s="1"/>
  <c r="J51" i="4"/>
  <c r="AO57" i="8" s="1"/>
  <c r="I51" i="4"/>
  <c r="AN57" i="8" s="1"/>
  <c r="U39" i="4"/>
  <c r="AZ45" i="8" s="1"/>
  <c r="K89" i="4"/>
  <c r="AP96" i="8" s="1"/>
  <c r="T16" i="4"/>
  <c r="AY19" i="8" s="1"/>
  <c r="I52" i="4"/>
  <c r="AN58" i="8" s="1"/>
  <c r="U16" i="4"/>
  <c r="AZ19" i="8" s="1"/>
  <c r="T39" i="4"/>
  <c r="AY45" i="8" s="1"/>
  <c r="J89" i="4"/>
  <c r="AO96" i="8" s="1"/>
  <c r="U42" i="4"/>
  <c r="AZ48" i="8" s="1"/>
  <c r="T42" i="4"/>
  <c r="AY48" i="8" s="1"/>
  <c r="E42" i="4"/>
  <c r="AJ48" i="8" s="1"/>
  <c r="E17" i="4"/>
  <c r="AJ20" i="8" s="1"/>
  <c r="E39" i="4"/>
  <c r="AJ45" i="8" s="1"/>
  <c r="E16" i="4"/>
  <c r="AJ19" i="8" s="1"/>
  <c r="I39" i="4"/>
  <c r="AN45" i="8" s="1"/>
  <c r="X17" i="4"/>
  <c r="BC20" i="8" s="1"/>
  <c r="X16" i="4"/>
  <c r="BC19" i="8" s="1"/>
  <c r="W42" i="4"/>
  <c r="BB48" i="8" s="1"/>
  <c r="H16" i="4"/>
  <c r="AM19" i="8" s="1"/>
  <c r="F39" i="4"/>
  <c r="AK45" i="8" s="1"/>
  <c r="W39" i="4"/>
  <c r="BB45" i="8" s="1"/>
  <c r="F17" i="4"/>
  <c r="AK20" i="8" s="1"/>
  <c r="I16" i="4"/>
  <c r="AN19" i="8" s="1"/>
  <c r="X42" i="4"/>
  <c r="BC48" i="8" s="1"/>
  <c r="X39" i="4"/>
  <c r="BC45" i="8" s="1"/>
  <c r="W17" i="4"/>
  <c r="BB20" i="8" s="1"/>
  <c r="H39" i="4"/>
  <c r="AM45" i="8" s="1"/>
  <c r="F16" i="4"/>
  <c r="AK19" i="8" s="1"/>
  <c r="W16" i="4"/>
  <c r="BB19" i="8" s="1"/>
  <c r="F42" i="4"/>
  <c r="AK48" i="8" s="1"/>
  <c r="V39" i="4"/>
  <c r="BA45" i="8" s="1"/>
  <c r="G39" i="4"/>
  <c r="AL45" i="8" s="1"/>
  <c r="V42" i="4"/>
  <c r="BA48" i="8" s="1"/>
  <c r="J39" i="4"/>
  <c r="AO45" i="8" s="1"/>
  <c r="Y42" i="4"/>
  <c r="BD48" i="8" s="1"/>
  <c r="M39" i="4"/>
  <c r="AR45" i="8" s="1"/>
  <c r="Y39" i="4"/>
  <c r="BD45" i="8" s="1"/>
  <c r="V16" i="4"/>
  <c r="BA19" i="8" s="1"/>
  <c r="G16" i="4"/>
  <c r="AL19" i="8" s="1"/>
  <c r="V17" i="4"/>
  <c r="BA20" i="8" s="1"/>
  <c r="J16" i="4"/>
  <c r="AO19" i="8" s="1"/>
  <c r="Y17" i="4"/>
  <c r="BD20" i="8" s="1"/>
  <c r="M16" i="4"/>
  <c r="AR19" i="8" s="1"/>
  <c r="Y16" i="4"/>
  <c r="BD19" i="8" s="1"/>
  <c r="G42" i="4"/>
  <c r="AL48" i="8" s="1"/>
  <c r="P16" i="4"/>
  <c r="AU19" i="8" s="1"/>
  <c r="R39" i="4"/>
  <c r="AW45" i="8" s="1"/>
  <c r="L39" i="4"/>
  <c r="AQ45" i="8" s="1"/>
  <c r="S39" i="4"/>
  <c r="AX45" i="8" s="1"/>
  <c r="G17" i="4"/>
  <c r="AL20" i="8" s="1"/>
  <c r="P39" i="4"/>
  <c r="AU45" i="8" s="1"/>
  <c r="S16" i="4"/>
  <c r="AX19" i="8" s="1"/>
  <c r="N39" i="4"/>
  <c r="AS45" i="8" s="1"/>
  <c r="Q39" i="4"/>
  <c r="AV45" i="8" s="1"/>
  <c r="K39" i="4"/>
  <c r="AP45" i="8" s="1"/>
  <c r="O16" i="4"/>
  <c r="AT19" i="8" s="1"/>
  <c r="R16" i="4"/>
  <c r="AW19" i="8" s="1"/>
  <c r="N16" i="4"/>
  <c r="AS19" i="8" s="1"/>
  <c r="Q16" i="4"/>
  <c r="AV19" i="8" s="1"/>
  <c r="K16" i="4"/>
  <c r="AP19" i="8" s="1"/>
  <c r="L16" i="4"/>
  <c r="AQ19" i="8" s="1"/>
  <c r="O39" i="4"/>
  <c r="AT45" i="8" s="1"/>
  <c r="H42" i="4"/>
  <c r="AM48" i="8" s="1"/>
  <c r="H17" i="4"/>
  <c r="AM20" i="8" s="1"/>
  <c r="I42" i="4"/>
  <c r="AN48" i="8" s="1"/>
  <c r="I17" i="4"/>
  <c r="AN20" i="8" s="1"/>
  <c r="J42" i="4"/>
  <c r="AO48" i="8" s="1"/>
  <c r="J17" i="4"/>
  <c r="AO20" i="8" s="1"/>
  <c r="K17" i="4"/>
  <c r="AP20" i="8" s="1"/>
  <c r="K42" i="4"/>
  <c r="AP48" i="8" s="1"/>
  <c r="L42" i="4"/>
  <c r="AQ48" i="8" s="1"/>
  <c r="L17" i="4"/>
  <c r="AQ20" i="8" s="1"/>
  <c r="M42" i="4"/>
  <c r="AR48" i="8" s="1"/>
  <c r="M17" i="4"/>
  <c r="AR20" i="8" s="1"/>
  <c r="N17" i="4"/>
  <c r="AS20" i="8" s="1"/>
  <c r="N42" i="4"/>
  <c r="AS48" i="8" s="1"/>
  <c r="O42" i="4"/>
  <c r="AT48" i="8" s="1"/>
  <c r="O17" i="4"/>
  <c r="AT20" i="8" s="1"/>
  <c r="P42" i="4"/>
  <c r="AU48" i="8" s="1"/>
  <c r="P17" i="4"/>
  <c r="AU20" i="8" s="1"/>
  <c r="Q42" i="4"/>
  <c r="AV48" i="8" s="1"/>
  <c r="Q17" i="4"/>
  <c r="AV20" i="8" s="1"/>
  <c r="R17" i="4"/>
  <c r="AW20" i="8" s="1"/>
  <c r="R42" i="4"/>
  <c r="AW48" i="8" s="1"/>
  <c r="S42" i="4"/>
  <c r="AX48" i="8" s="1"/>
  <c r="S17" i="4"/>
  <c r="AX20" i="8" s="1"/>
  <c r="E13" i="4"/>
  <c r="AJ16" i="8" s="1"/>
  <c r="D20" i="37"/>
  <c r="D21" i="37" s="1"/>
  <c r="T12" i="4"/>
  <c r="AY15" i="8" s="1"/>
  <c r="F15" i="4"/>
  <c r="AK18" i="8" s="1"/>
  <c r="F13" i="4"/>
  <c r="AK16" i="8" s="1"/>
  <c r="E12" i="4"/>
  <c r="AJ15" i="8" s="1"/>
  <c r="E14" i="4"/>
  <c r="AJ17" i="8" s="1"/>
  <c r="T36" i="4"/>
  <c r="AY42" i="8" s="1"/>
  <c r="E15" i="4"/>
  <c r="AJ18" i="8" s="1"/>
  <c r="U20" i="37"/>
  <c r="U21" i="37" s="1"/>
  <c r="H15" i="4"/>
  <c r="AM18" i="8" s="1"/>
  <c r="T35" i="4"/>
  <c r="AY41" i="8" s="1"/>
  <c r="F14" i="4"/>
  <c r="AK17" i="8" s="1"/>
  <c r="T14" i="4"/>
  <c r="AY17" i="8" s="1"/>
  <c r="T15" i="4"/>
  <c r="AY18" i="8" s="1"/>
  <c r="T13" i="4"/>
  <c r="AY16" i="8" s="1"/>
  <c r="T20" i="37"/>
  <c r="T21" i="37" s="1"/>
  <c r="G13" i="4"/>
  <c r="AL16" i="8" s="1"/>
  <c r="J12" i="4"/>
  <c r="AO15" i="8" s="1"/>
  <c r="I35" i="4"/>
  <c r="AN41" i="8" s="1"/>
  <c r="G14" i="4"/>
  <c r="AL17" i="8" s="1"/>
  <c r="H12" i="4"/>
  <c r="AM15" i="8" s="1"/>
  <c r="G15" i="4"/>
  <c r="AL18" i="8" s="1"/>
  <c r="F12" i="4"/>
  <c r="AK15" i="8" s="1"/>
  <c r="E36" i="4"/>
  <c r="AJ42" i="8" s="1"/>
  <c r="U13" i="4"/>
  <c r="AZ16" i="8" s="1"/>
  <c r="U15" i="4"/>
  <c r="AZ18" i="8" s="1"/>
  <c r="W20" i="37"/>
  <c r="W21" i="37" s="1"/>
  <c r="E20" i="37"/>
  <c r="E21" i="37" s="1"/>
  <c r="I12" i="4"/>
  <c r="AN15" i="8" s="1"/>
  <c r="K35" i="4"/>
  <c r="AP41" i="8" s="1"/>
  <c r="G12" i="4"/>
  <c r="AL15" i="8" s="1"/>
  <c r="J35" i="4"/>
  <c r="AO41" i="8" s="1"/>
  <c r="U14" i="4"/>
  <c r="AZ17" i="8" s="1"/>
  <c r="U36" i="4"/>
  <c r="AZ42" i="8" s="1"/>
  <c r="E35" i="4"/>
  <c r="AJ41" i="8" s="1"/>
  <c r="F36" i="4"/>
  <c r="AK42" i="8" s="1"/>
  <c r="J15" i="4"/>
  <c r="AO18" i="8" s="1"/>
  <c r="I13" i="4"/>
  <c r="AN16" i="8" s="1"/>
  <c r="U35" i="4"/>
  <c r="AZ41" i="8" s="1"/>
  <c r="V20" i="37"/>
  <c r="V21" i="37" s="1"/>
  <c r="H13" i="4"/>
  <c r="AM16" i="8" s="1"/>
  <c r="I15" i="4"/>
  <c r="AN18" i="8" s="1"/>
  <c r="F35" i="4"/>
  <c r="AK41" i="8" s="1"/>
  <c r="I36" i="4"/>
  <c r="AN42" i="8" s="1"/>
  <c r="G36" i="4"/>
  <c r="AL42" i="8" s="1"/>
  <c r="K15" i="4"/>
  <c r="AP18" i="8" s="1"/>
  <c r="H36" i="4"/>
  <c r="AM42" i="8" s="1"/>
  <c r="K12" i="4"/>
  <c r="AP15" i="8" s="1"/>
  <c r="X20" i="37"/>
  <c r="X21" i="37" s="1"/>
  <c r="H14" i="4"/>
  <c r="AM17" i="8" s="1"/>
  <c r="V14" i="4"/>
  <c r="BA17" i="8" s="1"/>
  <c r="J13" i="4"/>
  <c r="AO16" i="8" s="1"/>
  <c r="L35" i="4"/>
  <c r="AQ41" i="8" s="1"/>
  <c r="F20" i="37"/>
  <c r="F21" i="37" s="1"/>
  <c r="D23" i="37"/>
  <c r="K13" i="4"/>
  <c r="AP16" i="8" s="1"/>
  <c r="G35" i="4"/>
  <c r="AL41" i="8" s="1"/>
  <c r="M35" i="4"/>
  <c r="AR41" i="8" s="1"/>
  <c r="G20" i="37"/>
  <c r="G21" i="37" s="1"/>
  <c r="J36" i="4"/>
  <c r="AO42" i="8" s="1"/>
  <c r="I14" i="4"/>
  <c r="AN17" i="8" s="1"/>
  <c r="L12" i="4"/>
  <c r="AQ15" i="8" s="1"/>
  <c r="Y20" i="37"/>
  <c r="Y21" i="37" s="1"/>
  <c r="L15" i="4"/>
  <c r="AQ18" i="8" s="1"/>
  <c r="W14" i="4"/>
  <c r="BB17" i="8" s="1"/>
  <c r="M15" i="4"/>
  <c r="AR18" i="8" s="1"/>
  <c r="X14" i="4"/>
  <c r="BC17" i="8" s="1"/>
  <c r="H35" i="4"/>
  <c r="AM41" i="8" s="1"/>
  <c r="P23" i="37"/>
  <c r="M12" i="4"/>
  <c r="AR15" i="8" s="1"/>
  <c r="N35" i="4"/>
  <c r="AS41" i="8" s="1"/>
  <c r="L13" i="4"/>
  <c r="AQ16" i="8" s="1"/>
  <c r="H20" i="37"/>
  <c r="H21" i="37" s="1"/>
  <c r="J14" i="4"/>
  <c r="AO17" i="8" s="1"/>
  <c r="K36" i="4"/>
  <c r="AP42" i="8" s="1"/>
  <c r="Q23" i="37"/>
  <c r="K14" i="4"/>
  <c r="AP17" i="8" s="1"/>
  <c r="N12" i="4"/>
  <c r="AS15" i="8" s="1"/>
  <c r="I20" i="37"/>
  <c r="I21" i="37" s="1"/>
  <c r="N15" i="4"/>
  <c r="AS18" i="8" s="1"/>
  <c r="L36" i="4"/>
  <c r="AQ42" i="8" s="1"/>
  <c r="E23" i="37"/>
  <c r="O35" i="4"/>
  <c r="AT41" i="8" s="1"/>
  <c r="Y14" i="4"/>
  <c r="BD17" i="8" s="1"/>
  <c r="O23" i="37"/>
  <c r="M13" i="4"/>
  <c r="AR16" i="8" s="1"/>
  <c r="P35" i="4"/>
  <c r="AU41" i="8" s="1"/>
  <c r="L14" i="4"/>
  <c r="AQ17" i="8" s="1"/>
  <c r="J20" i="37"/>
  <c r="J21" i="37" s="1"/>
  <c r="N13" i="4"/>
  <c r="AS16" i="8" s="1"/>
  <c r="F23" i="37"/>
  <c r="M36" i="4"/>
  <c r="AR42" i="8" s="1"/>
  <c r="O12" i="4"/>
  <c r="AT15" i="8" s="1"/>
  <c r="O15" i="4"/>
  <c r="AT18" i="8" s="1"/>
  <c r="N36" i="4"/>
  <c r="AS42" i="8" s="1"/>
  <c r="G23" i="37"/>
  <c r="M14" i="4"/>
  <c r="AR17" i="8" s="1"/>
  <c r="P15" i="4"/>
  <c r="AU18" i="8" s="1"/>
  <c r="P12" i="4"/>
  <c r="AU15" i="8" s="1"/>
  <c r="Q35" i="4"/>
  <c r="AV41" i="8" s="1"/>
  <c r="R23" i="37"/>
  <c r="S23" i="37"/>
  <c r="O13" i="4"/>
  <c r="AT16" i="8" s="1"/>
  <c r="K20" i="37"/>
  <c r="K21" i="37" s="1"/>
  <c r="R35" i="4"/>
  <c r="AW41" i="8" s="1"/>
  <c r="P13" i="4"/>
  <c r="AU16" i="8" s="1"/>
  <c r="T23" i="37"/>
  <c r="O36" i="4"/>
  <c r="AT42" i="8" s="1"/>
  <c r="Q15" i="4"/>
  <c r="AV18" i="8" s="1"/>
  <c r="L20" i="37"/>
  <c r="L21" i="37" s="1"/>
  <c r="N14" i="4"/>
  <c r="AS17" i="8" s="1"/>
  <c r="H23" i="37"/>
  <c r="Q12" i="4"/>
  <c r="AV15" i="8" s="1"/>
  <c r="O14" i="4"/>
  <c r="AT17" i="8" s="1"/>
  <c r="P36" i="4"/>
  <c r="AU42" i="8" s="1"/>
  <c r="S35" i="4"/>
  <c r="AX41" i="8" s="1"/>
  <c r="R15" i="4"/>
  <c r="AW18" i="8" s="1"/>
  <c r="R12" i="4"/>
  <c r="AW15" i="8" s="1"/>
  <c r="I23" i="37"/>
  <c r="M20" i="37"/>
  <c r="M21" i="37" s="1"/>
  <c r="U23" i="37"/>
  <c r="Q13" i="4"/>
  <c r="AV16" i="8" s="1"/>
  <c r="J23" i="37"/>
  <c r="P14" i="4"/>
  <c r="AU17" i="8" s="1"/>
  <c r="Q36" i="4"/>
  <c r="AV42" i="8" s="1"/>
  <c r="V23" i="37"/>
  <c r="S15" i="4"/>
  <c r="AX18" i="8" s="1"/>
  <c r="S12" i="4"/>
  <c r="AX15" i="8" s="1"/>
  <c r="N20" i="37"/>
  <c r="N21" i="37" s="1"/>
  <c r="R13" i="4"/>
  <c r="AW16" i="8" s="1"/>
  <c r="R36" i="4"/>
  <c r="AW42" i="8" s="1"/>
  <c r="W23" i="37"/>
  <c r="O20" i="37"/>
  <c r="O21" i="37" s="1"/>
  <c r="S13" i="4"/>
  <c r="AX16" i="8" s="1"/>
  <c r="K23" i="37"/>
  <c r="V36" i="4"/>
  <c r="BA42" i="8" s="1"/>
  <c r="U12" i="4"/>
  <c r="AZ15" i="8" s="1"/>
  <c r="Q14" i="4"/>
  <c r="AV17" i="8" s="1"/>
  <c r="X23" i="37"/>
  <c r="Y23" i="37"/>
  <c r="P20" i="37"/>
  <c r="P21" i="37" s="1"/>
  <c r="W36" i="4"/>
  <c r="BB42" i="8" s="1"/>
  <c r="S36" i="4"/>
  <c r="AX42" i="8" s="1"/>
  <c r="L23" i="37"/>
  <c r="R14" i="4"/>
  <c r="AW17" i="8" s="1"/>
  <c r="V35" i="4"/>
  <c r="BA41" i="8" s="1"/>
  <c r="V12" i="4"/>
  <c r="BA15" i="8" s="1"/>
  <c r="V15" i="4"/>
  <c r="BA18" i="8" s="1"/>
  <c r="S14" i="4"/>
  <c r="AX17" i="8" s="1"/>
  <c r="M23" i="37"/>
  <c r="N23" i="37"/>
  <c r="Q20" i="37"/>
  <c r="Q21" i="37" s="1"/>
  <c r="W35" i="4"/>
  <c r="BB41" i="8" s="1"/>
  <c r="X36" i="4"/>
  <c r="BC42" i="8" s="1"/>
  <c r="W15" i="4"/>
  <c r="BB18" i="8" s="1"/>
  <c r="V13" i="4"/>
  <c r="BA16" i="8" s="1"/>
  <c r="X35" i="4"/>
  <c r="BC41" i="8" s="1"/>
  <c r="Y36" i="4"/>
  <c r="BD42" i="8" s="1"/>
  <c r="R20" i="37"/>
  <c r="R21" i="37" s="1"/>
  <c r="W12" i="4"/>
  <c r="BB15" i="8" s="1"/>
  <c r="Y35" i="4"/>
  <c r="BD41" i="8" s="1"/>
  <c r="X15" i="4"/>
  <c r="BC18" i="8" s="1"/>
  <c r="S20" i="37"/>
  <c r="S21" i="37" s="1"/>
  <c r="X12" i="4"/>
  <c r="BC15" i="8" s="1"/>
  <c r="E89" i="4"/>
  <c r="AJ96" i="8" s="1"/>
  <c r="W13" i="4"/>
  <c r="BB16" i="8" s="1"/>
  <c r="E34" i="4"/>
  <c r="AJ40" i="8" s="1"/>
  <c r="Y12" i="4"/>
  <c r="BD15" i="8" s="1"/>
  <c r="Y15" i="4"/>
  <c r="BD18" i="8" s="1"/>
  <c r="F89" i="4"/>
  <c r="AK96" i="8" s="1"/>
  <c r="X13" i="4"/>
  <c r="BC16" i="8" s="1"/>
  <c r="F34" i="4"/>
  <c r="AK40" i="8" s="1"/>
  <c r="G34" i="4"/>
  <c r="AL40" i="8" s="1"/>
  <c r="Y13" i="4"/>
  <c r="BD16" i="8" s="1"/>
  <c r="G89" i="4"/>
  <c r="AL96" i="8" s="1"/>
  <c r="H34" i="4"/>
  <c r="AM40" i="8" s="1"/>
  <c r="L89" i="4"/>
  <c r="AQ96" i="8" s="1"/>
  <c r="H89" i="4"/>
  <c r="AM96" i="8" s="1"/>
  <c r="M89" i="4"/>
  <c r="AR96" i="8" s="1"/>
  <c r="N89" i="4"/>
  <c r="AS96" i="8" s="1"/>
  <c r="O89" i="4"/>
  <c r="AT96" i="8" s="1"/>
  <c r="P89" i="4"/>
  <c r="AU96" i="8" s="1"/>
  <c r="Q89" i="4"/>
  <c r="AV96" i="8" s="1"/>
  <c r="R89" i="4"/>
  <c r="AW96" i="8" s="1"/>
  <c r="S89" i="4"/>
  <c r="AX96" i="8" s="1"/>
  <c r="T89" i="4"/>
  <c r="AY96" i="8" s="1"/>
  <c r="U89" i="4"/>
  <c r="AZ96" i="8" s="1"/>
  <c r="V89" i="4"/>
  <c r="BA96" i="8" s="1"/>
  <c r="W89" i="4"/>
  <c r="BB96" i="8" s="1"/>
  <c r="D8" i="37"/>
  <c r="X89" i="4"/>
  <c r="BC96" i="8" s="1"/>
  <c r="Y89" i="4"/>
  <c r="BD96" i="8" s="1"/>
  <c r="E8" i="37"/>
  <c r="F8" i="37"/>
  <c r="G8" i="37"/>
  <c r="D7" i="37"/>
  <c r="E7" i="37"/>
  <c r="I8" i="37"/>
  <c r="F7" i="37"/>
  <c r="H8" i="37"/>
  <c r="E51" i="4"/>
  <c r="AJ57" i="8" s="1"/>
  <c r="F51" i="4"/>
  <c r="AK57" i="8" s="1"/>
  <c r="E49" i="4"/>
  <c r="AJ55" i="8" s="1"/>
  <c r="G51" i="4"/>
  <c r="AL57" i="8" s="1"/>
  <c r="F49" i="4"/>
  <c r="AK55" i="8" s="1"/>
  <c r="G49" i="4"/>
  <c r="AL55" i="8" s="1"/>
  <c r="H51" i="4"/>
  <c r="AM57" i="8" s="1"/>
  <c r="H49" i="4"/>
  <c r="AM55" i="8" s="1"/>
  <c r="I89" i="4"/>
  <c r="AN96" i="8" s="1"/>
  <c r="I34" i="4"/>
  <c r="AN40" i="8" s="1"/>
  <c r="K51" i="4"/>
  <c r="AP57" i="8" s="1"/>
  <c r="K49" i="4"/>
  <c r="AP55" i="8" s="1"/>
  <c r="L51" i="4"/>
  <c r="AQ57" i="8" s="1"/>
  <c r="M51" i="4"/>
  <c r="AR57" i="8" s="1"/>
  <c r="L49" i="4"/>
  <c r="AQ55" i="8" s="1"/>
  <c r="M49" i="4"/>
  <c r="AR55" i="8" s="1"/>
  <c r="N51" i="4"/>
  <c r="AS57" i="8" s="1"/>
  <c r="O51" i="4"/>
  <c r="AT57" i="8" s="1"/>
  <c r="N49" i="4"/>
  <c r="AS55" i="8" s="1"/>
  <c r="P51" i="4"/>
  <c r="AU57" i="8" s="1"/>
  <c r="O49" i="4"/>
  <c r="AT55" i="8" s="1"/>
  <c r="P49" i="4"/>
  <c r="AU55" i="8" s="1"/>
  <c r="Q51" i="4"/>
  <c r="AV57" i="8" s="1"/>
  <c r="Q49" i="4"/>
  <c r="AV55" i="8" s="1"/>
  <c r="R51" i="4"/>
  <c r="AW57" i="8" s="1"/>
  <c r="S51" i="4"/>
  <c r="AX57" i="8" s="1"/>
  <c r="R49" i="4"/>
  <c r="AW55" i="8" s="1"/>
  <c r="S49" i="4"/>
  <c r="AX55" i="8" s="1"/>
  <c r="T51" i="4"/>
  <c r="AY57" i="8" s="1"/>
  <c r="U51" i="4"/>
  <c r="AZ57" i="8" s="1"/>
  <c r="T49" i="4"/>
  <c r="AY55" i="8" s="1"/>
  <c r="U49" i="4"/>
  <c r="AZ55" i="8" s="1"/>
  <c r="V51" i="4"/>
  <c r="BA57" i="8" s="1"/>
  <c r="W51" i="4"/>
  <c r="BB57" i="8" s="1"/>
  <c r="V49" i="4"/>
  <c r="BA55" i="8" s="1"/>
  <c r="X51" i="4"/>
  <c r="BC57" i="8" s="1"/>
  <c r="W49" i="4"/>
  <c r="BB55" i="8" s="1"/>
  <c r="Y51" i="4"/>
  <c r="BD57" i="8" s="1"/>
  <c r="X49" i="4"/>
  <c r="BC55" i="8" s="1"/>
  <c r="Y49" i="4"/>
  <c r="BD55" i="8" s="1"/>
  <c r="D5" i="37"/>
  <c r="D6" i="37"/>
  <c r="D9" i="37"/>
  <c r="E24" i="37"/>
  <c r="H24" i="37"/>
  <c r="E9" i="37"/>
  <c r="D24" i="37"/>
  <c r="G24" i="37"/>
  <c r="F24" i="37"/>
  <c r="I24" i="37"/>
  <c r="E6" i="37"/>
  <c r="E5" i="37"/>
  <c r="J8" i="37"/>
  <c r="E52" i="4"/>
  <c r="AJ58" i="8" s="1"/>
  <c r="J24" i="37"/>
  <c r="K8" i="37"/>
  <c r="L8" i="37"/>
  <c r="F52" i="4"/>
  <c r="AK58" i="8" s="1"/>
  <c r="F5" i="37"/>
  <c r="M8" i="37"/>
  <c r="N8" i="37"/>
  <c r="O8" i="37"/>
  <c r="P8" i="37"/>
  <c r="Q8" i="37"/>
  <c r="R8" i="37"/>
  <c r="S8" i="37"/>
  <c r="T8" i="37"/>
  <c r="U8" i="37"/>
  <c r="V8" i="37"/>
  <c r="W8" i="37"/>
  <c r="X8" i="37"/>
  <c r="Y8" i="37"/>
  <c r="G60" i="37"/>
  <c r="E60" i="37"/>
  <c r="R56" i="37"/>
  <c r="W56" i="37"/>
  <c r="U56" i="37"/>
  <c r="S56" i="37"/>
  <c r="F63" i="37"/>
  <c r="E63" i="37"/>
  <c r="T56" i="37"/>
  <c r="F60" i="37"/>
  <c r="N56" i="37"/>
  <c r="Q56" i="37"/>
  <c r="O56" i="37"/>
  <c r="K56" i="37"/>
  <c r="O63" i="37"/>
  <c r="H63" i="37"/>
  <c r="H60" i="37"/>
  <c r="J56" i="37"/>
  <c r="L56" i="37"/>
  <c r="H56" i="37"/>
  <c r="D56" i="37"/>
  <c r="V63" i="37"/>
  <c r="I63" i="37"/>
  <c r="Q63" i="37"/>
  <c r="D60" i="37"/>
  <c r="V56" i="37"/>
  <c r="F56" i="37"/>
  <c r="G56" i="37"/>
  <c r="Y56" i="37"/>
  <c r="P56" i="37"/>
  <c r="J63" i="37"/>
  <c r="L63" i="37"/>
  <c r="E56" i="37"/>
  <c r="I60" i="37"/>
  <c r="M63" i="37"/>
  <c r="S63" i="37"/>
  <c r="X56" i="37"/>
  <c r="K63" i="37"/>
  <c r="R63" i="37"/>
  <c r="U63" i="37"/>
  <c r="X63" i="37"/>
  <c r="T63" i="37"/>
  <c r="M56" i="37"/>
  <c r="W63" i="37"/>
  <c r="G63" i="37"/>
  <c r="N63" i="37"/>
  <c r="I56" i="37"/>
  <c r="D63" i="37"/>
  <c r="P63" i="37"/>
  <c r="Y63" i="37"/>
  <c r="J93" i="37"/>
  <c r="W84" i="37"/>
  <c r="W85" i="37" s="1"/>
  <c r="I81" i="37"/>
  <c r="O96" i="4"/>
  <c r="AT106" i="8" s="1"/>
  <c r="Q95" i="37"/>
  <c r="N92" i="37"/>
  <c r="G84" i="37"/>
  <c r="G85" i="37" s="1"/>
  <c r="V96" i="4"/>
  <c r="BA106" i="8" s="1"/>
  <c r="F96" i="4"/>
  <c r="AK106" i="8" s="1"/>
  <c r="N95" i="37"/>
  <c r="T84" i="37"/>
  <c r="T85" i="37" s="1"/>
  <c r="N81" i="37"/>
  <c r="Y96" i="4"/>
  <c r="BD106" i="8" s="1"/>
  <c r="I96" i="4"/>
  <c r="AN106" i="8" s="1"/>
  <c r="E50" i="4"/>
  <c r="AJ56" i="8" s="1"/>
  <c r="R92" i="37"/>
  <c r="D84" i="37"/>
  <c r="D85" i="37" s="1"/>
  <c r="D98" i="4"/>
  <c r="AI108" i="8" s="1"/>
  <c r="L96" i="4"/>
  <c r="AQ106" i="8" s="1"/>
  <c r="D68" i="4"/>
  <c r="AI75" i="8" s="1"/>
  <c r="N29" i="37"/>
  <c r="I33" i="37"/>
  <c r="T75" i="37"/>
  <c r="T76" i="37" s="1"/>
  <c r="S80" i="37"/>
  <c r="K79" i="37"/>
  <c r="I80" i="37"/>
  <c r="U84" i="37"/>
  <c r="U85" i="37" s="1"/>
  <c r="N93" i="37"/>
  <c r="M98" i="37"/>
  <c r="K93" i="37"/>
  <c r="T93" i="37"/>
  <c r="J33" i="37"/>
  <c r="I71" i="37"/>
  <c r="Q75" i="37"/>
  <c r="Q76" i="37" s="1"/>
  <c r="X72" i="37"/>
  <c r="T80" i="37"/>
  <c r="N80" i="37"/>
  <c r="H84" i="37"/>
  <c r="H85" i="37" s="1"/>
  <c r="G98" i="37"/>
  <c r="K98" i="37"/>
  <c r="W95" i="37"/>
  <c r="P95" i="37"/>
  <c r="V33" i="37"/>
  <c r="G80" i="37"/>
  <c r="L75" i="37"/>
  <c r="L76" i="37" s="1"/>
  <c r="T72" i="37"/>
  <c r="P80" i="37"/>
  <c r="Y80" i="37"/>
  <c r="N84" i="37"/>
  <c r="N85" i="37" s="1"/>
  <c r="D98" i="37"/>
  <c r="V98" i="37"/>
  <c r="K95" i="37"/>
  <c r="T95" i="37"/>
  <c r="X93" i="37"/>
  <c r="M33" i="37"/>
  <c r="R80" i="37"/>
  <c r="D75" i="37"/>
  <c r="D76" i="37" s="1"/>
  <c r="S79" i="37"/>
  <c r="O80" i="37"/>
  <c r="I84" i="37"/>
  <c r="I85" i="37" s="1"/>
  <c r="V93" i="37"/>
  <c r="J97" i="37"/>
  <c r="K92" i="37"/>
  <c r="H95" i="37"/>
  <c r="T99" i="37"/>
  <c r="D88" i="37"/>
  <c r="D90" i="37" s="1"/>
  <c r="Y97" i="37"/>
  <c r="Q72" i="37"/>
  <c r="T29" i="37"/>
  <c r="X97" i="37"/>
  <c r="O99" i="37"/>
  <c r="S71" i="37"/>
  <c r="U29" i="37"/>
  <c r="N97" i="37"/>
  <c r="Y88" i="37"/>
  <c r="Y90" i="37" s="1"/>
  <c r="X98" i="37"/>
  <c r="H79" i="37"/>
  <c r="H75" i="37"/>
  <c r="H76" i="37" s="1"/>
  <c r="E30" i="37"/>
  <c r="V97" i="37"/>
  <c r="I79" i="37"/>
  <c r="G29" i="37"/>
  <c r="N88" i="37"/>
  <c r="K88" i="37"/>
  <c r="O97" i="37"/>
  <c r="I88" i="4"/>
  <c r="AN95" i="8" s="1"/>
  <c r="Y92" i="37"/>
  <c r="P84" i="37"/>
  <c r="P85" i="37" s="1"/>
  <c r="E97" i="4"/>
  <c r="AJ107" i="8" s="1"/>
  <c r="K96" i="4"/>
  <c r="AP106" i="8" s="1"/>
  <c r="F95" i="37"/>
  <c r="F92" i="37"/>
  <c r="P81" i="37"/>
  <c r="R96" i="4"/>
  <c r="AW106" i="8" s="1"/>
  <c r="G88" i="4"/>
  <c r="AL95" i="8" s="1"/>
  <c r="U92" i="37"/>
  <c r="L84" i="37"/>
  <c r="L85" i="37" s="1"/>
  <c r="E81" i="37"/>
  <c r="U96" i="4"/>
  <c r="AZ106" i="8" s="1"/>
  <c r="E96" i="4"/>
  <c r="AJ106" i="8" s="1"/>
  <c r="V95" i="37"/>
  <c r="J92" i="37"/>
  <c r="U81" i="37"/>
  <c r="X96" i="4"/>
  <c r="BC106" i="8" s="1"/>
  <c r="H96" i="4"/>
  <c r="AM106" i="8" s="1"/>
  <c r="D50" i="4"/>
  <c r="AI56" i="8" s="1"/>
  <c r="N33" i="37"/>
  <c r="U71" i="37"/>
  <c r="V75" i="37"/>
  <c r="V76" i="37" s="1"/>
  <c r="D72" i="37"/>
  <c r="X80" i="37"/>
  <c r="E80" i="37"/>
  <c r="E84" i="37"/>
  <c r="E85" i="37" s="1"/>
  <c r="G81" i="37"/>
  <c r="J98" i="37"/>
  <c r="S95" i="37"/>
  <c r="L95" i="37"/>
  <c r="X33" i="37"/>
  <c r="J71" i="37"/>
  <c r="S75" i="37"/>
  <c r="S76" i="37" s="1"/>
  <c r="K72" i="37"/>
  <c r="D80" i="37"/>
  <c r="L81" i="37"/>
  <c r="Q93" i="37"/>
  <c r="K97" i="37"/>
  <c r="S92" i="37"/>
  <c r="L92" i="37"/>
  <c r="U95" i="37"/>
  <c r="F33" i="37"/>
  <c r="E71" i="37"/>
  <c r="F75" i="37"/>
  <c r="F76" i="37" s="1"/>
  <c r="F72" i="37"/>
  <c r="V80" i="37"/>
  <c r="F81" i="37"/>
  <c r="X88" i="37"/>
  <c r="O81" i="37"/>
  <c r="G92" i="37"/>
  <c r="P92" i="37"/>
  <c r="O95" i="37"/>
  <c r="R29" i="37"/>
  <c r="O29" i="37"/>
  <c r="Y71" i="37"/>
  <c r="U75" i="37"/>
  <c r="U76" i="37" s="1"/>
  <c r="J80" i="37"/>
  <c r="V81" i="37"/>
  <c r="S84" i="37"/>
  <c r="S85" i="37" s="1"/>
  <c r="E94" i="37"/>
  <c r="Q98" i="37"/>
  <c r="G93" i="37"/>
  <c r="Q99" i="37"/>
  <c r="U88" i="37"/>
  <c r="G88" i="37"/>
  <c r="G99" i="37"/>
  <c r="M75" i="37"/>
  <c r="M76" i="37" s="1"/>
  <c r="W33" i="37"/>
  <c r="J99" i="37"/>
  <c r="W97" i="37"/>
  <c r="F71" i="37"/>
  <c r="J72" i="37"/>
  <c r="M99" i="37"/>
  <c r="Q88" i="37"/>
  <c r="R97" i="37"/>
  <c r="U79" i="37"/>
  <c r="T71" i="37"/>
  <c r="P97" i="37"/>
  <c r="D77" i="37"/>
  <c r="D78" i="37" s="1"/>
  <c r="R95" i="37"/>
  <c r="Q92" i="37"/>
  <c r="J84" i="37"/>
  <c r="J85" i="37" s="1"/>
  <c r="W96" i="4"/>
  <c r="BB106" i="8" s="1"/>
  <c r="G96" i="4"/>
  <c r="AL106" i="8" s="1"/>
  <c r="E93" i="37"/>
  <c r="V84" i="37"/>
  <c r="V85" i="37" s="1"/>
  <c r="H81" i="37"/>
  <c r="N96" i="4"/>
  <c r="AS106" i="8" s="1"/>
  <c r="D72" i="4"/>
  <c r="AI79" i="8" s="1"/>
  <c r="M92" i="37"/>
  <c r="F84" i="37"/>
  <c r="F85" i="37" s="1"/>
  <c r="E68" i="37"/>
  <c r="Q96" i="4"/>
  <c r="AV106" i="8" s="1"/>
  <c r="F88" i="4"/>
  <c r="AK95" i="8" s="1"/>
  <c r="J95" i="37"/>
  <c r="R84" i="37"/>
  <c r="R85" i="37" s="1"/>
  <c r="M81" i="37"/>
  <c r="T96" i="4"/>
  <c r="AY106" i="8" s="1"/>
  <c r="D96" i="4"/>
  <c r="AI106" i="8" s="1"/>
  <c r="W81" i="37"/>
  <c r="S33" i="37"/>
  <c r="O71" i="37"/>
  <c r="N75" i="37"/>
  <c r="N76" i="37" s="1"/>
  <c r="M72" i="37"/>
  <c r="H80" i="37"/>
  <c r="Q81" i="37"/>
  <c r="X84" i="37"/>
  <c r="X85" i="37" s="1"/>
  <c r="M95" i="37"/>
  <c r="E98" i="37"/>
  <c r="H92" i="37"/>
  <c r="X92" i="37"/>
  <c r="D29" i="37"/>
  <c r="L71" i="37"/>
  <c r="G71" i="37"/>
  <c r="E72" i="37"/>
  <c r="F80" i="37"/>
  <c r="J81" i="37"/>
  <c r="F93" i="37"/>
  <c r="T98" i="37"/>
  <c r="O93" i="37"/>
  <c r="H93" i="37"/>
  <c r="M29" i="37"/>
  <c r="I29" i="37"/>
  <c r="D71" i="37"/>
  <c r="J75" i="37"/>
  <c r="J76" i="37" s="1"/>
  <c r="N72" i="37"/>
  <c r="W80" i="37"/>
  <c r="D81" i="37"/>
  <c r="U93" i="37"/>
  <c r="U98" i="37"/>
  <c r="W92" i="37"/>
  <c r="L93" i="37"/>
  <c r="D92" i="37"/>
  <c r="X29" i="37"/>
  <c r="D33" i="37"/>
  <c r="P71" i="37"/>
  <c r="O75" i="37"/>
  <c r="O76" i="37" s="1"/>
  <c r="L80" i="37"/>
  <c r="Y81" i="37"/>
  <c r="E88" i="37"/>
  <c r="S81" i="37"/>
  <c r="W98" i="37"/>
  <c r="W93" i="37"/>
  <c r="V29" i="37"/>
  <c r="Q79" i="37"/>
  <c r="V79" i="37"/>
  <c r="V82" i="37" s="1"/>
  <c r="R98" i="37"/>
  <c r="K75" i="37"/>
  <c r="K76" i="37" s="1"/>
  <c r="U33" i="37"/>
  <c r="Y99" i="37"/>
  <c r="O79" i="37"/>
  <c r="U72" i="37"/>
  <c r="D50" i="37"/>
  <c r="I88" i="37"/>
  <c r="D79" i="37"/>
  <c r="H99" i="37"/>
  <c r="L72" i="37"/>
  <c r="L33" i="37"/>
  <c r="K99" i="37"/>
  <c r="H88" i="37"/>
  <c r="K71" i="37"/>
  <c r="L29" i="37"/>
  <c r="I95" i="37"/>
  <c r="I92" i="37"/>
  <c r="T81" i="37"/>
  <c r="S96" i="4"/>
  <c r="AX106" i="8" s="1"/>
  <c r="D88" i="4"/>
  <c r="AI95" i="8" s="1"/>
  <c r="V92" i="37"/>
  <c r="O84" i="37"/>
  <c r="O85" i="37" s="1"/>
  <c r="D97" i="4"/>
  <c r="AI107" i="8" s="1"/>
  <c r="J96" i="4"/>
  <c r="AO106" i="8" s="1"/>
  <c r="Y95" i="37"/>
  <c r="E92" i="37"/>
  <c r="X81" i="37"/>
  <c r="E98" i="4"/>
  <c r="AJ108" i="8" s="1"/>
  <c r="M96" i="4"/>
  <c r="AR106" i="8" s="1"/>
  <c r="E68" i="4"/>
  <c r="AJ75" i="8" s="1"/>
  <c r="R93" i="37"/>
  <c r="K84" i="37"/>
  <c r="K85" i="37" s="1"/>
  <c r="D68" i="37"/>
  <c r="P96" i="4"/>
  <c r="AU106" i="8" s="1"/>
  <c r="E88" i="4"/>
  <c r="AJ95" i="8" s="1"/>
  <c r="X95" i="37"/>
  <c r="Y29" i="37"/>
  <c r="H71" i="37"/>
  <c r="I75" i="37"/>
  <c r="I76" i="37" s="1"/>
  <c r="M79" i="37"/>
  <c r="K80" i="37"/>
  <c r="R81" i="37"/>
  <c r="Y93" i="37"/>
  <c r="Q97" i="37"/>
  <c r="O92" i="37"/>
  <c r="D93" i="37"/>
  <c r="J29" i="37"/>
  <c r="O33" i="37"/>
  <c r="P75" i="37"/>
  <c r="P76" i="37" s="1"/>
  <c r="W75" i="37"/>
  <c r="W76" i="37" s="1"/>
  <c r="P79" i="37"/>
  <c r="M80" i="37"/>
  <c r="Q84" i="37"/>
  <c r="Q85" i="37" s="1"/>
  <c r="K81" i="37"/>
  <c r="F98" i="37"/>
  <c r="G95" i="37"/>
  <c r="D94" i="37"/>
  <c r="H29" i="37"/>
  <c r="T33" i="37"/>
  <c r="G72" i="37"/>
  <c r="R71" i="37"/>
  <c r="T79" i="37"/>
  <c r="T82" i="37" s="1"/>
  <c r="U80" i="37"/>
  <c r="M84" i="37"/>
  <c r="M85" i="37" s="1"/>
  <c r="I93" i="37"/>
  <c r="P98" i="37"/>
  <c r="S93" i="37"/>
  <c r="D95" i="37"/>
  <c r="P93" i="37"/>
  <c r="R33" i="37"/>
  <c r="Y33" i="37"/>
  <c r="O72" i="37"/>
  <c r="H72" i="37"/>
  <c r="Q80" i="37"/>
  <c r="Y84" i="37"/>
  <c r="Y85" i="37" s="1"/>
  <c r="M93" i="37"/>
  <c r="E95" i="37"/>
  <c r="I98" i="37"/>
  <c r="T92" i="37"/>
  <c r="U97" i="37"/>
  <c r="N99" i="37"/>
  <c r="O98" i="37"/>
  <c r="E79" i="37"/>
  <c r="W71" i="37"/>
  <c r="S29" i="37"/>
  <c r="F97" i="37"/>
  <c r="I72" i="37"/>
  <c r="Q29" i="37"/>
  <c r="E50" i="37"/>
  <c r="W88" i="37"/>
  <c r="S98" i="37"/>
  <c r="O88" i="37"/>
  <c r="R75" i="37"/>
  <c r="R76" i="37" s="1"/>
  <c r="K33" i="37"/>
  <c r="T97" i="37"/>
  <c r="G79" i="37"/>
  <c r="Q71" i="37"/>
  <c r="M71" i="37"/>
  <c r="P88" i="37"/>
  <c r="L99" i="37"/>
  <c r="W99" i="37"/>
  <c r="X99" i="37"/>
  <c r="E75" i="37"/>
  <c r="E76" i="37" s="1"/>
  <c r="H97" i="37"/>
  <c r="E99" i="37"/>
  <c r="P72" i="37"/>
  <c r="D30" i="37"/>
  <c r="W79" i="37"/>
  <c r="N79" i="37"/>
  <c r="X79" i="37"/>
  <c r="L98" i="37"/>
  <c r="Y75" i="37"/>
  <c r="Y76" i="37" s="1"/>
  <c r="E33" i="37"/>
  <c r="I99" i="37"/>
  <c r="V88" i="37"/>
  <c r="T97" i="4"/>
  <c r="AY107" i="8" s="1"/>
  <c r="U97" i="4"/>
  <c r="AZ107" i="8" s="1"/>
  <c r="I98" i="4"/>
  <c r="AN108" i="8" s="1"/>
  <c r="K97" i="4"/>
  <c r="AP107" i="8" s="1"/>
  <c r="F97" i="4"/>
  <c r="AK107" i="8" s="1"/>
  <c r="G72" i="4"/>
  <c r="AL79" i="8" s="1"/>
  <c r="G97" i="4"/>
  <c r="AL107" i="8" s="1"/>
  <c r="Y72" i="4"/>
  <c r="BD79" i="8" s="1"/>
  <c r="H98" i="4"/>
  <c r="AM108" i="8" s="1"/>
  <c r="P98" i="4"/>
  <c r="AU108" i="8" s="1"/>
  <c r="Q97" i="4"/>
  <c r="AV107" i="8" s="1"/>
  <c r="M72" i="4"/>
  <c r="AR79" i="8" s="1"/>
  <c r="O72" i="4"/>
  <c r="AT79" i="8" s="1"/>
  <c r="V97" i="4"/>
  <c r="BA107" i="8" s="1"/>
  <c r="W97" i="4"/>
  <c r="BB107" i="8" s="1"/>
  <c r="Y97" i="4"/>
  <c r="BD107" i="8" s="1"/>
  <c r="V72" i="37"/>
  <c r="F88" i="37"/>
  <c r="M88" i="37"/>
  <c r="X75" i="37"/>
  <c r="X76" i="37" s="1"/>
  <c r="P99" i="37"/>
  <c r="S88" i="37"/>
  <c r="X71" i="37"/>
  <c r="N71" i="37"/>
  <c r="E97" i="37"/>
  <c r="J88" i="37"/>
  <c r="N98" i="37"/>
  <c r="R88" i="37"/>
  <c r="G75" i="37"/>
  <c r="G76" i="37" s="1"/>
  <c r="F29" i="37"/>
  <c r="M97" i="37"/>
  <c r="L79" i="37"/>
  <c r="U72" i="4"/>
  <c r="AZ79" i="8" s="1"/>
  <c r="T98" i="4"/>
  <c r="AY108" i="8" s="1"/>
  <c r="L98" i="4"/>
  <c r="AQ108" i="8" s="1"/>
  <c r="J98" i="4"/>
  <c r="AO108" i="8" s="1"/>
  <c r="M98" i="4"/>
  <c r="AR108" i="8" s="1"/>
  <c r="L97" i="4"/>
  <c r="AQ107" i="8" s="1"/>
  <c r="H72" i="4"/>
  <c r="AM79" i="8" s="1"/>
  <c r="I72" i="4"/>
  <c r="AN79" i="8" s="1"/>
  <c r="O98" i="4"/>
  <c r="AT108" i="8" s="1"/>
  <c r="Q98" i="4"/>
  <c r="AV108" i="8" s="1"/>
  <c r="R98" i="4"/>
  <c r="AW108" i="8" s="1"/>
  <c r="R97" i="4"/>
  <c r="AW107" i="8" s="1"/>
  <c r="V98" i="4"/>
  <c r="BA108" i="8" s="1"/>
  <c r="Q72" i="4"/>
  <c r="AV79" i="8" s="1"/>
  <c r="X97" i="4"/>
  <c r="BC107" i="8" s="1"/>
  <c r="K29" i="37"/>
  <c r="H98" i="37"/>
  <c r="F79" i="37"/>
  <c r="G33" i="37"/>
  <c r="S97" i="37"/>
  <c r="R79" i="37"/>
  <c r="W29" i="37"/>
  <c r="E29" i="37"/>
  <c r="D99" i="37"/>
  <c r="T88" i="37"/>
  <c r="I97" i="37"/>
  <c r="J79" i="37"/>
  <c r="J82" i="37" s="1"/>
  <c r="V71" i="37"/>
  <c r="H33" i="37"/>
  <c r="F99" i="37"/>
  <c r="R72" i="37"/>
  <c r="T72" i="4"/>
  <c r="AY79" i="8" s="1"/>
  <c r="E72" i="4"/>
  <c r="AJ79" i="8" s="1"/>
  <c r="J97" i="4"/>
  <c r="AO107" i="8" s="1"/>
  <c r="V72" i="4"/>
  <c r="BA79" i="8" s="1"/>
  <c r="F98" i="4"/>
  <c r="AK108" i="8" s="1"/>
  <c r="N98" i="4"/>
  <c r="AS108" i="8" s="1"/>
  <c r="X72" i="4"/>
  <c r="BC79" i="8" s="1"/>
  <c r="H97" i="4"/>
  <c r="AM107" i="8" s="1"/>
  <c r="J72" i="4"/>
  <c r="AO79" i="8" s="1"/>
  <c r="K72" i="4"/>
  <c r="AP79" i="8" s="1"/>
  <c r="L72" i="4"/>
  <c r="AQ79" i="8" s="1"/>
  <c r="S97" i="4"/>
  <c r="AX107" i="8" s="1"/>
  <c r="P72" i="4"/>
  <c r="AU79" i="8" s="1"/>
  <c r="X98" i="4"/>
  <c r="BC108" i="8" s="1"/>
  <c r="Y98" i="4"/>
  <c r="BD108" i="8" s="1"/>
  <c r="E86" i="37"/>
  <c r="E87" i="37" s="1"/>
  <c r="V99" i="37"/>
  <c r="Y98" i="37"/>
  <c r="W72" i="37"/>
  <c r="Q33" i="37"/>
  <c r="G97" i="37"/>
  <c r="Y79" i="37"/>
  <c r="P29" i="37"/>
  <c r="D97" i="37"/>
  <c r="L97" i="37"/>
  <c r="L88" i="37"/>
  <c r="L90" i="37" s="1"/>
  <c r="S99" i="37"/>
  <c r="S72" i="37"/>
  <c r="P33" i="37"/>
  <c r="R99" i="37"/>
  <c r="U99" i="37"/>
  <c r="Y72" i="37"/>
  <c r="U98" i="4"/>
  <c r="AZ108" i="8" s="1"/>
  <c r="K98" i="4"/>
  <c r="AP108" i="8" s="1"/>
  <c r="F72" i="4"/>
  <c r="AK79" i="8" s="1"/>
  <c r="I97" i="4"/>
  <c r="AN107" i="8" s="1"/>
  <c r="W72" i="4"/>
  <c r="BB79" i="8" s="1"/>
  <c r="M97" i="4"/>
  <c r="AR107" i="8" s="1"/>
  <c r="G98" i="4"/>
  <c r="AL108" i="8" s="1"/>
  <c r="N97" i="4"/>
  <c r="AS107" i="8" s="1"/>
  <c r="O97" i="4"/>
  <c r="AT107" i="8" s="1"/>
  <c r="P97" i="4"/>
  <c r="AU107" i="8" s="1"/>
  <c r="S98" i="4"/>
  <c r="AX108" i="8" s="1"/>
  <c r="N72" i="4"/>
  <c r="AS79" i="8" s="1"/>
  <c r="W98" i="4"/>
  <c r="BB108" i="8" s="1"/>
  <c r="R72" i="4"/>
  <c r="AW79" i="8" s="1"/>
  <c r="S72" i="4"/>
  <c r="AX79" i="8" s="1"/>
  <c r="D86" i="37"/>
  <c r="D87" i="37" s="1"/>
  <c r="F94" i="37"/>
  <c r="E77" i="37"/>
  <c r="E78" i="37" s="1"/>
  <c r="G94" i="37"/>
  <c r="F30" i="37"/>
  <c r="F50" i="37"/>
  <c r="G86" i="37"/>
  <c r="G87" i="37" s="1"/>
  <c r="F68" i="37"/>
  <c r="F68" i="4"/>
  <c r="AK75" i="8" s="1"/>
  <c r="F86" i="37"/>
  <c r="F87" i="37" s="1"/>
  <c r="F50" i="4"/>
  <c r="AK56" i="8" s="1"/>
  <c r="H86" i="37"/>
  <c r="H87" i="37" s="1"/>
  <c r="G30" i="37"/>
  <c r="H94" i="37"/>
  <c r="G68" i="4"/>
  <c r="AL75" i="8" s="1"/>
  <c r="G68" i="37"/>
  <c r="G50" i="4"/>
  <c r="AL56" i="8" s="1"/>
  <c r="G50" i="37"/>
  <c r="F77" i="37"/>
  <c r="F78" i="37" s="1"/>
  <c r="I94" i="37"/>
  <c r="H50" i="4"/>
  <c r="AM56" i="8" s="1"/>
  <c r="H30" i="37"/>
  <c r="H68" i="37"/>
  <c r="H68" i="4"/>
  <c r="AM75" i="8" s="1"/>
  <c r="G77" i="37"/>
  <c r="G78" i="37" s="1"/>
  <c r="H50" i="37"/>
  <c r="H77" i="37"/>
  <c r="H78" i="37" s="1"/>
  <c r="I77" i="37"/>
  <c r="I78" i="37" s="1"/>
  <c r="J77" i="37"/>
  <c r="J78" i="37" s="1"/>
  <c r="J83" i="37" s="1"/>
  <c r="K77" i="37"/>
  <c r="K78" i="37" s="1"/>
  <c r="L77" i="37"/>
  <c r="L78" i="37" s="1"/>
  <c r="M77" i="37"/>
  <c r="M78" i="37" s="1"/>
  <c r="N77" i="37"/>
  <c r="N78" i="37" s="1"/>
  <c r="I68" i="37"/>
  <c r="I50" i="37"/>
  <c r="I50" i="4"/>
  <c r="AN56" i="8" s="1"/>
  <c r="I30" i="37"/>
  <c r="I68" i="4"/>
  <c r="AN75" i="8" s="1"/>
  <c r="J68" i="4"/>
  <c r="AO75" i="8" s="1"/>
  <c r="J50" i="37"/>
  <c r="J30" i="37"/>
  <c r="J68" i="37"/>
  <c r="J50" i="4"/>
  <c r="AO56" i="8" s="1"/>
  <c r="K30" i="37"/>
  <c r="K50" i="4"/>
  <c r="AP56" i="8" s="1"/>
  <c r="K68" i="4"/>
  <c r="AP75" i="8" s="1"/>
  <c r="K68" i="37"/>
  <c r="K50" i="37"/>
  <c r="L30" i="37"/>
  <c r="L50" i="37"/>
  <c r="L50" i="4"/>
  <c r="AQ56" i="8" s="1"/>
  <c r="L68" i="4"/>
  <c r="AQ75" i="8" s="1"/>
  <c r="L68" i="37"/>
  <c r="M68" i="4"/>
  <c r="AR75" i="8" s="1"/>
  <c r="M50" i="4"/>
  <c r="AR56" i="8" s="1"/>
  <c r="M50" i="37"/>
  <c r="M30" i="37"/>
  <c r="M68" i="37"/>
  <c r="I86" i="37"/>
  <c r="I87" i="37" s="1"/>
  <c r="N50" i="4"/>
  <c r="AS56" i="8" s="1"/>
  <c r="N68" i="37"/>
  <c r="N50" i="37"/>
  <c r="J86" i="37"/>
  <c r="J87" i="37" s="1"/>
  <c r="N68" i="4"/>
  <c r="AS75" i="8" s="1"/>
  <c r="N30" i="37"/>
  <c r="O68" i="37"/>
  <c r="O50" i="37"/>
  <c r="K86" i="37"/>
  <c r="K87" i="37" s="1"/>
  <c r="O30" i="37"/>
  <c r="O68" i="4"/>
  <c r="AT75" i="8" s="1"/>
  <c r="O50" i="4"/>
  <c r="AT56" i="8" s="1"/>
  <c r="P30" i="37"/>
  <c r="P50" i="37"/>
  <c r="P50" i="4"/>
  <c r="AU56" i="8" s="1"/>
  <c r="P68" i="37"/>
  <c r="L86" i="37"/>
  <c r="L87" i="37" s="1"/>
  <c r="P68" i="4"/>
  <c r="AU75" i="8" s="1"/>
  <c r="Q68" i="4"/>
  <c r="AV75" i="8" s="1"/>
  <c r="Q50" i="37"/>
  <c r="M86" i="37"/>
  <c r="M87" i="37" s="1"/>
  <c r="Q50" i="4"/>
  <c r="AV56" i="8" s="1"/>
  <c r="Q68" i="37"/>
  <c r="Q30" i="37"/>
  <c r="R50" i="37"/>
  <c r="R30" i="37"/>
  <c r="N86" i="37"/>
  <c r="N87" i="37" s="1"/>
  <c r="R50" i="4"/>
  <c r="AW56" i="8" s="1"/>
  <c r="R68" i="4"/>
  <c r="AW75" i="8" s="1"/>
  <c r="R68" i="37"/>
  <c r="S68" i="37"/>
  <c r="S50" i="37"/>
  <c r="O86" i="37"/>
  <c r="O87" i="37" s="1"/>
  <c r="S50" i="4"/>
  <c r="AX56" i="8" s="1"/>
  <c r="S68" i="4"/>
  <c r="AX75" i="8" s="1"/>
  <c r="S30" i="37"/>
  <c r="T50" i="4"/>
  <c r="AY56" i="8" s="1"/>
  <c r="T30" i="37"/>
  <c r="T68" i="37"/>
  <c r="T68" i="4"/>
  <c r="AY75" i="8" s="1"/>
  <c r="T50" i="37"/>
  <c r="P86" i="37"/>
  <c r="P87" i="37" s="1"/>
  <c r="U68" i="4"/>
  <c r="AZ75" i="8" s="1"/>
  <c r="U30" i="37"/>
  <c r="U50" i="37"/>
  <c r="U50" i="4"/>
  <c r="AZ56" i="8" s="1"/>
  <c r="Q86" i="37"/>
  <c r="Q87" i="37" s="1"/>
  <c r="U68" i="37"/>
  <c r="V30" i="37"/>
  <c r="R86" i="37"/>
  <c r="R87" i="37" s="1"/>
  <c r="V68" i="4"/>
  <c r="BA75" i="8" s="1"/>
  <c r="V68" i="37"/>
  <c r="V50" i="4"/>
  <c r="BA56" i="8" s="1"/>
  <c r="V50" i="37"/>
  <c r="W68" i="4"/>
  <c r="BB75" i="8" s="1"/>
  <c r="W50" i="37"/>
  <c r="S86" i="37"/>
  <c r="S87" i="37" s="1"/>
  <c r="W50" i="4"/>
  <c r="BB56" i="8" s="1"/>
  <c r="W68" i="37"/>
  <c r="W30" i="37"/>
  <c r="X50" i="37"/>
  <c r="X30" i="37"/>
  <c r="X68" i="4"/>
  <c r="BC75" i="8" s="1"/>
  <c r="T86" i="37"/>
  <c r="T87" i="37" s="1"/>
  <c r="X68" i="37"/>
  <c r="X50" i="4"/>
  <c r="BC56" i="8" s="1"/>
  <c r="Y50" i="37"/>
  <c r="Y68" i="37"/>
  <c r="Y68" i="4"/>
  <c r="BD75" i="8" s="1"/>
  <c r="Y30" i="37"/>
  <c r="Y50" i="4"/>
  <c r="BD56" i="8" s="1"/>
  <c r="U86" i="37"/>
  <c r="U87" i="37" s="1"/>
  <c r="V86" i="37"/>
  <c r="V87" i="37" s="1"/>
  <c r="W86" i="37"/>
  <c r="W87" i="37" s="1"/>
  <c r="X86" i="37"/>
  <c r="X87" i="37" s="1"/>
  <c r="Y86" i="37"/>
  <c r="Y87" i="37" s="1"/>
  <c r="O77" i="37"/>
  <c r="O78" i="37" s="1"/>
  <c r="P77" i="37"/>
  <c r="P78" i="37" s="1"/>
  <c r="J94" i="37"/>
  <c r="K94" i="37"/>
  <c r="Q77" i="37"/>
  <c r="Q78" i="37" s="1"/>
  <c r="L94" i="37"/>
  <c r="R77" i="37"/>
  <c r="R78" i="37" s="1"/>
  <c r="S77" i="37"/>
  <c r="S78" i="37" s="1"/>
  <c r="M94" i="37"/>
  <c r="T77" i="37"/>
  <c r="T78" i="37" s="1"/>
  <c r="N94" i="37"/>
  <c r="U77" i="37"/>
  <c r="U78" i="37" s="1"/>
  <c r="O94" i="37"/>
  <c r="O96" i="37" s="1"/>
  <c r="V77" i="37"/>
  <c r="V78" i="37" s="1"/>
  <c r="P94" i="37"/>
  <c r="Q94" i="37"/>
  <c r="W77" i="37"/>
  <c r="W78" i="37" s="1"/>
  <c r="R94" i="37"/>
  <c r="X77" i="37"/>
  <c r="X78" i="37" s="1"/>
  <c r="Y77" i="37"/>
  <c r="Y78" i="37" s="1"/>
  <c r="S94" i="37"/>
  <c r="T94" i="37"/>
  <c r="U94" i="37"/>
  <c r="V94" i="37"/>
  <c r="W94" i="37"/>
  <c r="X94" i="37"/>
  <c r="Y94" i="37"/>
  <c r="O45" i="4"/>
  <c r="AT51" i="8" s="1"/>
  <c r="L45" i="4"/>
  <c r="AQ51" i="8" s="1"/>
  <c r="Q45" i="4"/>
  <c r="AV51" i="8" s="1"/>
  <c r="S84" i="4"/>
  <c r="AX91" i="8" s="1"/>
  <c r="L84" i="4"/>
  <c r="AQ91" i="8" s="1"/>
  <c r="E84" i="4"/>
  <c r="AJ91" i="8" s="1"/>
  <c r="U84" i="4"/>
  <c r="AZ91" i="8" s="1"/>
  <c r="N84" i="4"/>
  <c r="AS91" i="8" s="1"/>
  <c r="N75" i="4"/>
  <c r="AS82" i="8" s="1"/>
  <c r="S75" i="4"/>
  <c r="AX82" i="8" s="1"/>
  <c r="P75" i="4"/>
  <c r="AU82" i="8" s="1"/>
  <c r="K56" i="4"/>
  <c r="AP62" i="8" s="1"/>
  <c r="F56" i="4"/>
  <c r="AK62" i="8" s="1"/>
  <c r="V56" i="4"/>
  <c r="BA62" i="8" s="1"/>
  <c r="P56" i="4"/>
  <c r="AU62" i="8" s="1"/>
  <c r="I56" i="4"/>
  <c r="AN62" i="8" s="1"/>
  <c r="I20" i="4"/>
  <c r="AN25" i="8" s="1"/>
  <c r="Y20" i="4"/>
  <c r="BD25" i="8" s="1"/>
  <c r="R20" i="4"/>
  <c r="AW25" i="8" s="1"/>
  <c r="O20" i="4"/>
  <c r="AT25" i="8" s="1"/>
  <c r="H20" i="4"/>
  <c r="AM25" i="8" s="1"/>
  <c r="J45" i="4"/>
  <c r="AO51" i="8" s="1"/>
  <c r="S45" i="4"/>
  <c r="AX51" i="8" s="1"/>
  <c r="P45" i="4"/>
  <c r="AU51" i="8" s="1"/>
  <c r="E45" i="4"/>
  <c r="AJ51" i="8" s="1"/>
  <c r="U45" i="4"/>
  <c r="AZ51" i="8" s="1"/>
  <c r="G84" i="4"/>
  <c r="AL91" i="8" s="1"/>
  <c r="W84" i="4"/>
  <c r="BB91" i="8" s="1"/>
  <c r="P84" i="4"/>
  <c r="AU91" i="8" s="1"/>
  <c r="I84" i="4"/>
  <c r="AN91" i="8" s="1"/>
  <c r="Y84" i="4"/>
  <c r="BD91" i="8" s="1"/>
  <c r="R84" i="4"/>
  <c r="AW91" i="8" s="1"/>
  <c r="R75" i="4"/>
  <c r="AW82" i="8" s="1"/>
  <c r="W75" i="4"/>
  <c r="BB82" i="8" s="1"/>
  <c r="T75" i="4"/>
  <c r="AY82" i="8" s="1"/>
  <c r="O56" i="4"/>
  <c r="AT62" i="8" s="1"/>
  <c r="J56" i="4"/>
  <c r="AO62" i="8" s="1"/>
  <c r="D56" i="4"/>
  <c r="AI62" i="8" s="1"/>
  <c r="T56" i="4"/>
  <c r="AY62" i="8" s="1"/>
  <c r="M56" i="4"/>
  <c r="AR62" i="8" s="1"/>
  <c r="M20" i="4"/>
  <c r="AR25" i="8" s="1"/>
  <c r="F20" i="4"/>
  <c r="AK25" i="8" s="1"/>
  <c r="V20" i="4"/>
  <c r="BA25" i="8" s="1"/>
  <c r="S20" i="4"/>
  <c r="AX25" i="8" s="1"/>
  <c r="L20" i="4"/>
  <c r="AQ25" i="8" s="1"/>
  <c r="Y56" i="4"/>
  <c r="BD62" i="8" s="1"/>
  <c r="R45" i="4"/>
  <c r="AW51" i="8" s="1"/>
  <c r="G45" i="4"/>
  <c r="AL51" i="8" s="1"/>
  <c r="W45" i="4"/>
  <c r="BB51" i="8" s="1"/>
  <c r="F45" i="4"/>
  <c r="AK51" i="8" s="1"/>
  <c r="D45" i="4"/>
  <c r="AI51" i="8" s="1"/>
  <c r="T45" i="4"/>
  <c r="AY51" i="8" s="1"/>
  <c r="I45" i="4"/>
  <c r="AN51" i="8" s="1"/>
  <c r="K84" i="4"/>
  <c r="AP91" i="8" s="1"/>
  <c r="D84" i="4"/>
  <c r="AI91" i="8" s="1"/>
  <c r="T84" i="4"/>
  <c r="AY91" i="8" s="1"/>
  <c r="M84" i="4"/>
  <c r="AR91" i="8" s="1"/>
  <c r="F84" i="4"/>
  <c r="AK91" i="8" s="1"/>
  <c r="V84" i="4"/>
  <c r="BA91" i="8" s="1"/>
  <c r="G75" i="4"/>
  <c r="AL82" i="8" s="1"/>
  <c r="D75" i="4"/>
  <c r="AI82" i="8" s="1"/>
  <c r="S56" i="4"/>
  <c r="AX62" i="8" s="1"/>
  <c r="N56" i="4"/>
  <c r="AS62" i="8" s="1"/>
  <c r="H56" i="4"/>
  <c r="AM62" i="8" s="1"/>
  <c r="X56" i="4"/>
  <c r="BC62" i="8" s="1"/>
  <c r="Q56" i="4"/>
  <c r="AV62" i="8" s="1"/>
  <c r="X20" i="4"/>
  <c r="BC25" i="8" s="1"/>
  <c r="Q20" i="4"/>
  <c r="AV25" i="8" s="1"/>
  <c r="J20" i="4"/>
  <c r="AO25" i="8" s="1"/>
  <c r="G20" i="4"/>
  <c r="AL25" i="8" s="1"/>
  <c r="W20" i="4"/>
  <c r="BB25" i="8" s="1"/>
  <c r="P20" i="4"/>
  <c r="AU25" i="8" s="1"/>
  <c r="V45" i="4"/>
  <c r="BA51" i="8" s="1"/>
  <c r="Y45" i="4"/>
  <c r="BD51" i="8" s="1"/>
  <c r="K45" i="4"/>
  <c r="AP51" i="8" s="1"/>
  <c r="N45" i="4"/>
  <c r="AS51" i="8" s="1"/>
  <c r="H45" i="4"/>
  <c r="AM51" i="8" s="1"/>
  <c r="X45" i="4"/>
  <c r="BC51" i="8" s="1"/>
  <c r="M45" i="4"/>
  <c r="AR51" i="8" s="1"/>
  <c r="O84" i="4"/>
  <c r="AT91" i="8" s="1"/>
  <c r="H84" i="4"/>
  <c r="AM91" i="8" s="1"/>
  <c r="X84" i="4"/>
  <c r="BC91" i="8" s="1"/>
  <c r="Q84" i="4"/>
  <c r="AV91" i="8" s="1"/>
  <c r="J84" i="4"/>
  <c r="AO91" i="8" s="1"/>
  <c r="X75" i="4"/>
  <c r="BC82" i="8" s="1"/>
  <c r="K75" i="4"/>
  <c r="AP82" i="8" s="1"/>
  <c r="L75" i="4"/>
  <c r="AQ82" i="8" s="1"/>
  <c r="G56" i="4"/>
  <c r="AL62" i="8" s="1"/>
  <c r="W56" i="4"/>
  <c r="BB62" i="8" s="1"/>
  <c r="R56" i="4"/>
  <c r="AW62" i="8" s="1"/>
  <c r="L56" i="4"/>
  <c r="AQ62" i="8" s="1"/>
  <c r="E56" i="4"/>
  <c r="AJ62" i="8" s="1"/>
  <c r="U56" i="4"/>
  <c r="AZ62" i="8" s="1"/>
  <c r="E20" i="4"/>
  <c r="AJ25" i="8" s="1"/>
  <c r="U20" i="4"/>
  <c r="AZ25" i="8" s="1"/>
  <c r="N20" i="4"/>
  <c r="AS25" i="8" s="1"/>
  <c r="K20" i="4"/>
  <c r="AP25" i="8" s="1"/>
  <c r="D20" i="4"/>
  <c r="AI25" i="8" s="1"/>
  <c r="T20" i="4"/>
  <c r="AY25" i="8" s="1"/>
  <c r="E75" i="4"/>
  <c r="AJ82" i="8" s="1"/>
  <c r="I75" i="4"/>
  <c r="AN82" i="8" s="1"/>
  <c r="V75" i="4"/>
  <c r="BA82" i="8" s="1"/>
  <c r="Y75" i="4"/>
  <c r="BD82" i="8" s="1"/>
  <c r="J75" i="4"/>
  <c r="AO82" i="8" s="1"/>
  <c r="F75" i="4"/>
  <c r="AK82" i="8" s="1"/>
  <c r="M75" i="4"/>
  <c r="AR82" i="8" s="1"/>
  <c r="H75" i="4"/>
  <c r="AM82" i="8" s="1"/>
  <c r="Q75" i="4"/>
  <c r="AV82" i="8" s="1"/>
  <c r="U75" i="4"/>
  <c r="AZ82" i="8" s="1"/>
  <c r="O75" i="4"/>
  <c r="AT82" i="8" s="1"/>
  <c r="J23" i="4"/>
  <c r="AO28" i="8" s="1"/>
  <c r="M23" i="4"/>
  <c r="AR28" i="8" s="1"/>
  <c r="L23" i="4"/>
  <c r="AQ28" i="8" s="1"/>
  <c r="R23" i="4"/>
  <c r="AW28" i="8" s="1"/>
  <c r="U23" i="4"/>
  <c r="AZ28" i="8" s="1"/>
  <c r="P23" i="4"/>
  <c r="AU28" i="8" s="1"/>
  <c r="E23" i="4"/>
  <c r="AJ28" i="8" s="1"/>
  <c r="X23" i="4"/>
  <c r="BC28" i="8" s="1"/>
  <c r="I23" i="4"/>
  <c r="AN28" i="8" s="1"/>
  <c r="O23" i="4"/>
  <c r="AT28" i="8" s="1"/>
  <c r="Q23" i="4"/>
  <c r="AV28" i="8" s="1"/>
  <c r="W23" i="4"/>
  <c r="BB28" i="8" s="1"/>
  <c r="S23" i="4"/>
  <c r="AX28" i="8" s="1"/>
  <c r="Y23" i="4"/>
  <c r="BD28" i="8" s="1"/>
  <c r="H23" i="4"/>
  <c r="AM28" i="8" s="1"/>
  <c r="V23" i="4"/>
  <c r="BA28" i="8" s="1"/>
  <c r="G23" i="4"/>
  <c r="AL28" i="8" s="1"/>
  <c r="T23" i="4"/>
  <c r="AY28" i="8" s="1"/>
  <c r="F23" i="4"/>
  <c r="AK28" i="8" s="1"/>
  <c r="N23" i="4"/>
  <c r="AS28" i="8" s="1"/>
  <c r="K23" i="4"/>
  <c r="AP28" i="8" s="1"/>
  <c r="D23" i="4"/>
  <c r="AI28" i="8" s="1"/>
  <c r="X8" i="4"/>
  <c r="BC11" i="8" s="1"/>
  <c r="Q8" i="4"/>
  <c r="AV11" i="8" s="1"/>
  <c r="L8" i="4"/>
  <c r="AQ11" i="8" s="1"/>
  <c r="G8" i="4"/>
  <c r="AL11" i="8" s="1"/>
  <c r="U8" i="4"/>
  <c r="AZ11" i="8" s="1"/>
  <c r="P8" i="4"/>
  <c r="AU11" i="8" s="1"/>
  <c r="K8" i="4"/>
  <c r="AP11" i="8" s="1"/>
  <c r="T8" i="4"/>
  <c r="AY11" i="8" s="1"/>
  <c r="O8" i="4"/>
  <c r="AT11" i="8" s="1"/>
  <c r="I8" i="4"/>
  <c r="AN11" i="8" s="1"/>
  <c r="E8" i="4"/>
  <c r="AJ11" i="8" s="1"/>
  <c r="Y8" i="4"/>
  <c r="BD11" i="8" s="1"/>
  <c r="S8" i="4"/>
  <c r="AX11" i="8" s="1"/>
  <c r="M8" i="4"/>
  <c r="AR11" i="8" s="1"/>
  <c r="H8" i="4"/>
  <c r="AM11" i="8" s="1"/>
  <c r="J8" i="4"/>
  <c r="AO11" i="8" s="1"/>
  <c r="H24" i="4"/>
  <c r="AM29" i="8" s="1"/>
  <c r="J24" i="4"/>
  <c r="AO29" i="8" s="1"/>
  <c r="G24" i="4"/>
  <c r="AL29" i="8" s="1"/>
  <c r="E24" i="4"/>
  <c r="AJ29" i="8" s="1"/>
  <c r="I24" i="4"/>
  <c r="AN29" i="8" s="1"/>
  <c r="D24" i="4"/>
  <c r="AI29" i="8" s="1"/>
  <c r="F24" i="4"/>
  <c r="AK29" i="8" s="1"/>
  <c r="W8" i="4"/>
  <c r="BB11" i="8" s="1"/>
  <c r="N8" i="4"/>
  <c r="AS11" i="8" s="1"/>
  <c r="V8" i="4"/>
  <c r="BA11" i="8" s="1"/>
  <c r="R8" i="4"/>
  <c r="AW11" i="8" s="1"/>
  <c r="Y101" i="4"/>
  <c r="BD111" i="8" s="1"/>
  <c r="P101" i="4"/>
  <c r="AU111" i="8" s="1"/>
  <c r="W101" i="4"/>
  <c r="BB111" i="8" s="1"/>
  <c r="J101" i="4"/>
  <c r="AO111" i="8" s="1"/>
  <c r="U101" i="4"/>
  <c r="AZ111" i="8" s="1"/>
  <c r="E101" i="4"/>
  <c r="AJ111" i="8" s="1"/>
  <c r="L101" i="4"/>
  <c r="AQ111" i="8" s="1"/>
  <c r="S101" i="4"/>
  <c r="AX111" i="8" s="1"/>
  <c r="V101" i="4"/>
  <c r="BA111" i="8" s="1"/>
  <c r="Q101" i="4"/>
  <c r="AV111" i="8" s="1"/>
  <c r="X101" i="4"/>
  <c r="BC111" i="8" s="1"/>
  <c r="O101" i="4"/>
  <c r="AT111" i="8" s="1"/>
  <c r="R101" i="4"/>
  <c r="AW111" i="8" s="1"/>
  <c r="M101" i="4"/>
  <c r="AR111" i="8" s="1"/>
  <c r="T101" i="4"/>
  <c r="AY111" i="8" s="1"/>
  <c r="D101" i="4"/>
  <c r="AI111" i="8" s="1"/>
  <c r="K101" i="4"/>
  <c r="AP111" i="8" s="1"/>
  <c r="N101" i="4"/>
  <c r="AS111" i="8" s="1"/>
  <c r="F8" i="4"/>
  <c r="AK11" i="8" s="1"/>
  <c r="E7" i="4"/>
  <c r="AJ10" i="8" s="1"/>
  <c r="F7" i="4"/>
  <c r="AK10" i="8" s="1"/>
  <c r="E6" i="4"/>
  <c r="AJ9" i="8" s="1"/>
  <c r="E5" i="4"/>
  <c r="AJ8" i="8" s="1"/>
  <c r="F5" i="4"/>
  <c r="AK8" i="8" s="1"/>
  <c r="AE89" i="5"/>
  <c r="AE90" i="5" s="1"/>
  <c r="G89" i="5"/>
  <c r="F90" i="5"/>
  <c r="D5" i="4"/>
  <c r="AI8" i="8" s="1"/>
  <c r="D6" i="4"/>
  <c r="AI9" i="8" s="1"/>
  <c r="D9" i="4"/>
  <c r="AI12" i="8" s="1"/>
  <c r="D7" i="4"/>
  <c r="AI10" i="8" s="1"/>
  <c r="E9" i="4"/>
  <c r="AJ12" i="8" s="1"/>
  <c r="Z77" i="3"/>
  <c r="AE53" i="5"/>
  <c r="AA77" i="3"/>
  <c r="Y39" i="3"/>
  <c r="Z39" i="3"/>
  <c r="AD10" i="5"/>
  <c r="AH7" i="8"/>
  <c r="AD28" i="8" s="1"/>
  <c r="AH4" i="8"/>
  <c r="AB5" i="5"/>
  <c r="AD99" i="5"/>
  <c r="AB102" i="5"/>
  <c r="D58" i="37" s="1"/>
  <c r="Z13" i="3"/>
  <c r="AA6" i="3"/>
  <c r="AA21" i="3"/>
  <c r="G103" i="5" s="1"/>
  <c r="H103" i="5" s="1"/>
  <c r="I103" i="5" s="1"/>
  <c r="J103" i="5" s="1"/>
  <c r="K103" i="5" s="1"/>
  <c r="L103" i="5" s="1"/>
  <c r="M103" i="5" s="1"/>
  <c r="N103" i="5" s="1"/>
  <c r="O103" i="5" s="1"/>
  <c r="P103" i="5" s="1"/>
  <c r="Q103" i="5" s="1"/>
  <c r="R103" i="5" s="1"/>
  <c r="S103" i="5" s="1"/>
  <c r="T103" i="5" s="1"/>
  <c r="U103" i="5" s="1"/>
  <c r="V103" i="5" s="1"/>
  <c r="W103" i="5" s="1"/>
  <c r="X103" i="5" s="1"/>
  <c r="AA24" i="3"/>
  <c r="F6" i="5" s="1"/>
  <c r="G6" i="5" s="1"/>
  <c r="H6" i="5" s="1"/>
  <c r="I6" i="5" s="1"/>
  <c r="J6" i="5" s="1"/>
  <c r="K6" i="5" s="1"/>
  <c r="L6" i="5" s="1"/>
  <c r="M6" i="5" s="1"/>
  <c r="N6" i="5" s="1"/>
  <c r="O6" i="5" s="1"/>
  <c r="P6" i="5" s="1"/>
  <c r="Q6" i="5" s="1"/>
  <c r="R6" i="5" s="1"/>
  <c r="S6" i="5" s="1"/>
  <c r="T6" i="5" s="1"/>
  <c r="U6" i="5" s="1"/>
  <c r="V6" i="5" s="1"/>
  <c r="W6" i="5" s="1"/>
  <c r="X6" i="5" s="1"/>
  <c r="AY6" i="5" s="1"/>
  <c r="AA26" i="3"/>
  <c r="F8" i="5" s="1"/>
  <c r="AA27" i="3"/>
  <c r="I104" i="5" s="1"/>
  <c r="AC5" i="5"/>
  <c r="C149" i="11"/>
  <c r="AB99" i="5"/>
  <c r="AB40" i="5"/>
  <c r="AC102" i="5"/>
  <c r="E58" i="37" s="1"/>
  <c r="AC99" i="5"/>
  <c r="AB103" i="5"/>
  <c r="AA28" i="3"/>
  <c r="H105" i="5" s="1"/>
  <c r="AA18" i="3"/>
  <c r="H102" i="5" s="1"/>
  <c r="I102" i="5" s="1"/>
  <c r="J102" i="5" s="1"/>
  <c r="K102" i="5" s="1"/>
  <c r="L102" i="5" s="1"/>
  <c r="M102" i="5" s="1"/>
  <c r="N102" i="5" s="1"/>
  <c r="O102" i="5" s="1"/>
  <c r="P102" i="5" s="1"/>
  <c r="Q102" i="5" s="1"/>
  <c r="R102" i="5" s="1"/>
  <c r="S102" i="5" s="1"/>
  <c r="T102" i="5" s="1"/>
  <c r="U102" i="5" s="1"/>
  <c r="V102" i="5" s="1"/>
  <c r="W102" i="5" s="1"/>
  <c r="X102" i="5" s="1"/>
  <c r="AA22" i="3"/>
  <c r="F5" i="5" s="1"/>
  <c r="G5" i="5" s="1"/>
  <c r="H5" i="5" s="1"/>
  <c r="I5" i="5" s="1"/>
  <c r="J5" i="5" s="1"/>
  <c r="K5" i="5" s="1"/>
  <c r="L5" i="5" s="1"/>
  <c r="M5" i="5" s="1"/>
  <c r="N5" i="5" s="1"/>
  <c r="O5" i="5" s="1"/>
  <c r="P5" i="5" s="1"/>
  <c r="Q5" i="5" s="1"/>
  <c r="R5" i="5" s="1"/>
  <c r="S5" i="5" s="1"/>
  <c r="T5" i="5" s="1"/>
  <c r="U5" i="5" s="1"/>
  <c r="V5" i="5" s="1"/>
  <c r="W5" i="5" s="1"/>
  <c r="X5" i="5" s="1"/>
  <c r="AY5" i="5" s="1"/>
  <c r="AA25" i="3"/>
  <c r="G7" i="5" s="1"/>
  <c r="H7" i="5" s="1"/>
  <c r="I7" i="5" s="1"/>
  <c r="J7" i="5" s="1"/>
  <c r="K7" i="5" s="1"/>
  <c r="L7" i="5" s="1"/>
  <c r="M7" i="5" s="1"/>
  <c r="N7" i="5" s="1"/>
  <c r="O7" i="5" s="1"/>
  <c r="P7" i="5" s="1"/>
  <c r="Q7" i="5" s="1"/>
  <c r="R7" i="5" s="1"/>
  <c r="S7" i="5" s="1"/>
  <c r="T7" i="5" s="1"/>
  <c r="U7" i="5" s="1"/>
  <c r="V7" i="5" s="1"/>
  <c r="W7" i="5" s="1"/>
  <c r="X7" i="5" s="1"/>
  <c r="AY7" i="5" s="1"/>
  <c r="J90" i="37" l="1"/>
  <c r="H90" i="37"/>
  <c r="H91" i="37" s="1"/>
  <c r="N90" i="37"/>
  <c r="N91" i="37" s="1"/>
  <c r="G90" i="37"/>
  <c r="G91" i="37" s="1"/>
  <c r="H18" i="8"/>
  <c r="F18" i="10" s="1"/>
  <c r="P48" i="8"/>
  <c r="H29" i="8"/>
  <c r="F29" i="10" s="1"/>
  <c r="G65" i="8"/>
  <c r="L18" i="8"/>
  <c r="G18" i="10" s="1"/>
  <c r="V18" i="8"/>
  <c r="I18" i="10" s="1"/>
  <c r="I18" i="8"/>
  <c r="V48" i="8"/>
  <c r="I48" i="10" s="1"/>
  <c r="Q48" i="8"/>
  <c r="H48" i="10" s="1"/>
  <c r="R48" i="8"/>
  <c r="O48" i="8"/>
  <c r="G107" i="8"/>
  <c r="J107" i="8"/>
  <c r="O107" i="8"/>
  <c r="Q107" i="8"/>
  <c r="H107" i="10" s="1"/>
  <c r="K107" i="8"/>
  <c r="M107" i="8"/>
  <c r="X48" i="8"/>
  <c r="T107" i="8"/>
  <c r="S107" i="8"/>
  <c r="Y18" i="8"/>
  <c r="AA18" i="8"/>
  <c r="J18" i="10" s="1"/>
  <c r="AA48" i="8"/>
  <c r="J48" i="10" s="1"/>
  <c r="I107" i="8"/>
  <c r="G12" i="8"/>
  <c r="G29" i="8"/>
  <c r="T18" i="8"/>
  <c r="H65" i="8"/>
  <c r="F65" i="10" s="1"/>
  <c r="I65" i="8"/>
  <c r="J18" i="8"/>
  <c r="G18" i="8"/>
  <c r="M18" i="8"/>
  <c r="N18" i="8"/>
  <c r="M48" i="8"/>
  <c r="I48" i="8"/>
  <c r="U48" i="8"/>
  <c r="K48" i="8"/>
  <c r="W48" i="8"/>
  <c r="L48" i="8"/>
  <c r="G48" i="10" s="1"/>
  <c r="N107" i="8"/>
  <c r="P107" i="8"/>
  <c r="V107" i="8"/>
  <c r="I107" i="10" s="1"/>
  <c r="R107" i="8"/>
  <c r="G10" i="8"/>
  <c r="X18" i="8"/>
  <c r="O18" i="8"/>
  <c r="R18" i="8"/>
  <c r="U107" i="8"/>
  <c r="AA107" i="8"/>
  <c r="J107" i="10" s="1"/>
  <c r="L65" i="8"/>
  <c r="G65" i="10" s="1"/>
  <c r="K18" i="8"/>
  <c r="S18" i="8"/>
  <c r="Y48" i="8"/>
  <c r="Z48" i="8"/>
  <c r="T48" i="8"/>
  <c r="X107" i="8"/>
  <c r="P18" i="8"/>
  <c r="K65" i="8"/>
  <c r="J65" i="8"/>
  <c r="U18" i="8"/>
  <c r="Q18" i="8"/>
  <c r="H18" i="10" s="1"/>
  <c r="W18" i="8"/>
  <c r="Z18" i="8"/>
  <c r="H48" i="8"/>
  <c r="F48" i="10" s="1"/>
  <c r="J48" i="8"/>
  <c r="S48" i="8"/>
  <c r="G48" i="8"/>
  <c r="N48" i="8"/>
  <c r="W107" i="8"/>
  <c r="Y107" i="8"/>
  <c r="Z107" i="8"/>
  <c r="L107" i="8"/>
  <c r="G107" i="10" s="1"/>
  <c r="H107" i="8"/>
  <c r="F107" i="10" s="1"/>
  <c r="R90" i="37"/>
  <c r="R91" i="37" s="1"/>
  <c r="I90" i="37"/>
  <c r="I91" i="37" s="1"/>
  <c r="M90" i="37"/>
  <c r="M91" i="37" s="1"/>
  <c r="X96" i="37"/>
  <c r="F82" i="37"/>
  <c r="F83" i="37" s="1"/>
  <c r="J96" i="37"/>
  <c r="V90" i="37"/>
  <c r="V91" i="37" s="1"/>
  <c r="U90" i="37"/>
  <c r="U91" i="37" s="1"/>
  <c r="Q90" i="37"/>
  <c r="Q91" i="37" s="1"/>
  <c r="W90" i="37"/>
  <c r="W91" i="37" s="1"/>
  <c r="D53" i="37"/>
  <c r="D54" i="37" s="1"/>
  <c r="V83" i="37"/>
  <c r="I37" i="37"/>
  <c r="D91" i="37"/>
  <c r="M100" i="37"/>
  <c r="K90" i="37"/>
  <c r="K91" i="37" s="1"/>
  <c r="W96" i="37"/>
  <c r="M96" i="37"/>
  <c r="F90" i="37"/>
  <c r="F91" i="37" s="1"/>
  <c r="I53" i="37"/>
  <c r="I54" i="37" s="1"/>
  <c r="O90" i="37"/>
  <c r="O91" i="37" s="1"/>
  <c r="J37" i="37"/>
  <c r="X18" i="37"/>
  <c r="H18" i="37"/>
  <c r="D18" i="37"/>
  <c r="J18" i="37"/>
  <c r="AD101" i="5"/>
  <c r="F55" i="37"/>
  <c r="F57" i="37" s="1"/>
  <c r="G32" i="37"/>
  <c r="G37" i="37" s="1"/>
  <c r="G70" i="37"/>
  <c r="G73" i="37" s="1"/>
  <c r="V117" i="37"/>
  <c r="V103" i="37"/>
  <c r="V104" i="37" s="1"/>
  <c r="AC101" i="5"/>
  <c r="E55" i="37"/>
  <c r="E57" i="37" s="1"/>
  <c r="Y82" i="37"/>
  <c r="Y83" i="37" s="1"/>
  <c r="U18" i="37"/>
  <c r="K103" i="37"/>
  <c r="K104" i="37" s="1"/>
  <c r="K117" i="37"/>
  <c r="Q96" i="37"/>
  <c r="D59" i="4"/>
  <c r="AI65" i="8" s="1"/>
  <c r="D59" i="37"/>
  <c r="D64" i="37" s="1"/>
  <c r="AB101" i="5"/>
  <c r="D55" i="37"/>
  <c r="D57" i="37" s="1"/>
  <c r="O117" i="37"/>
  <c r="O103" i="37"/>
  <c r="O104" i="37" s="1"/>
  <c r="R117" i="37"/>
  <c r="R103" i="37"/>
  <c r="R104" i="37" s="1"/>
  <c r="G52" i="37"/>
  <c r="G53" i="37" s="1"/>
  <c r="G54" i="37" s="1"/>
  <c r="I18" i="37"/>
  <c r="U103" i="37"/>
  <c r="U104" i="37" s="1"/>
  <c r="U117" i="37"/>
  <c r="S96" i="37"/>
  <c r="J53" i="37"/>
  <c r="J54" i="37" s="1"/>
  <c r="I96" i="37"/>
  <c r="F73" i="37"/>
  <c r="G96" i="37"/>
  <c r="I100" i="37"/>
  <c r="S90" i="37"/>
  <c r="S91" i="37" s="1"/>
  <c r="N82" i="37"/>
  <c r="N83" i="37" s="1"/>
  <c r="E53" i="37"/>
  <c r="E54" i="37" s="1"/>
  <c r="D73" i="37"/>
  <c r="E90" i="37"/>
  <c r="E91" i="37" s="1"/>
  <c r="X90" i="37"/>
  <c r="X91" i="37" s="1"/>
  <c r="F18" i="37"/>
  <c r="Y18" i="37"/>
  <c r="E18" i="37"/>
  <c r="R18" i="37"/>
  <c r="X117" i="37"/>
  <c r="X103" i="37"/>
  <c r="X104" i="37" s="1"/>
  <c r="N103" i="37"/>
  <c r="N104" i="37" s="1"/>
  <c r="N117" i="37"/>
  <c r="W117" i="37"/>
  <c r="W103" i="37"/>
  <c r="W104" i="37" s="1"/>
  <c r="T103" i="37"/>
  <c r="T104" i="37" s="1"/>
  <c r="T117" i="37"/>
  <c r="Y103" i="37"/>
  <c r="Y104" i="37" s="1"/>
  <c r="Y117" i="37"/>
  <c r="T90" i="37"/>
  <c r="T91" i="37" s="1"/>
  <c r="R82" i="37"/>
  <c r="R83" i="37" s="1"/>
  <c r="G82" i="37"/>
  <c r="G83" i="37" s="1"/>
  <c r="Q100" i="37"/>
  <c r="G18" i="37"/>
  <c r="Q18" i="37"/>
  <c r="P18" i="37"/>
  <c r="T18" i="37"/>
  <c r="M18" i="37"/>
  <c r="K18" i="37"/>
  <c r="Q103" i="37"/>
  <c r="Q104" i="37" s="1"/>
  <c r="Q117" i="37"/>
  <c r="M103" i="37"/>
  <c r="M104" i="37" s="1"/>
  <c r="M117" i="37"/>
  <c r="J103" i="37"/>
  <c r="J104" i="37" s="1"/>
  <c r="J117" i="37"/>
  <c r="U96" i="37"/>
  <c r="N96" i="37"/>
  <c r="I73" i="37"/>
  <c r="H96" i="37"/>
  <c r="F53" i="37"/>
  <c r="F54" i="37" s="1"/>
  <c r="L100" i="37"/>
  <c r="P90" i="37"/>
  <c r="P91" i="37" s="1"/>
  <c r="T100" i="37"/>
  <c r="E82" i="37"/>
  <c r="E83" i="37" s="1"/>
  <c r="V18" i="37"/>
  <c r="W18" i="37"/>
  <c r="S18" i="37"/>
  <c r="O18" i="37"/>
  <c r="L18" i="37"/>
  <c r="N18" i="37"/>
  <c r="S117" i="37"/>
  <c r="S103" i="37"/>
  <c r="S104" i="37" s="1"/>
  <c r="P103" i="37"/>
  <c r="P104" i="37" s="1"/>
  <c r="P117" i="37"/>
  <c r="L103" i="37"/>
  <c r="L104" i="37" s="1"/>
  <c r="L117" i="37"/>
  <c r="D100" i="37"/>
  <c r="L91" i="37"/>
  <c r="T96" i="37"/>
  <c r="R96" i="37"/>
  <c r="T83" i="37"/>
  <c r="L96" i="37"/>
  <c r="F37" i="37"/>
  <c r="E37" i="37"/>
  <c r="X82" i="37"/>
  <c r="X83" i="37" s="1"/>
  <c r="V96" i="37"/>
  <c r="K96" i="37"/>
  <c r="Y91" i="37"/>
  <c r="J91" i="37"/>
  <c r="E100" i="37"/>
  <c r="W82" i="37"/>
  <c r="W83" i="37" s="1"/>
  <c r="D82" i="37"/>
  <c r="D83" i="37" s="1"/>
  <c r="O82" i="37"/>
  <c r="O83" i="37" s="1"/>
  <c r="Y96" i="37"/>
  <c r="P96" i="37"/>
  <c r="J73" i="37"/>
  <c r="G100" i="37"/>
  <c r="L82" i="37"/>
  <c r="L83" i="37" s="1"/>
  <c r="P82" i="37"/>
  <c r="P83" i="37" s="1"/>
  <c r="I82" i="37"/>
  <c r="I83" i="37" s="1"/>
  <c r="F100" i="37"/>
  <c r="E96" i="37"/>
  <c r="Q82" i="37"/>
  <c r="Q83" i="37" s="1"/>
  <c r="D96" i="37"/>
  <c r="F96" i="37"/>
  <c r="F101" i="37" s="1"/>
  <c r="V100" i="37"/>
  <c r="D37" i="37"/>
  <c r="E73" i="37"/>
  <c r="U82" i="37"/>
  <c r="U83" i="37" s="1"/>
  <c r="Y100" i="37"/>
  <c r="H100" i="37"/>
  <c r="U100" i="37"/>
  <c r="M82" i="37"/>
  <c r="M83" i="37" s="1"/>
  <c r="R100" i="37"/>
  <c r="N100" i="37"/>
  <c r="X100" i="37"/>
  <c r="J100" i="37"/>
  <c r="S82" i="37"/>
  <c r="S83" i="37" s="1"/>
  <c r="S100" i="37"/>
  <c r="P100" i="37"/>
  <c r="W100" i="37"/>
  <c r="K100" i="37"/>
  <c r="O100" i="37"/>
  <c r="H82" i="37"/>
  <c r="H83" i="37" s="1"/>
  <c r="K82" i="37"/>
  <c r="K83" i="37" s="1"/>
  <c r="E4" i="4"/>
  <c r="AJ7" i="8" s="1"/>
  <c r="E4" i="37"/>
  <c r="E10" i="37" s="1"/>
  <c r="F9" i="4"/>
  <c r="AK12" i="8" s="1"/>
  <c r="F9" i="37"/>
  <c r="D4" i="4"/>
  <c r="AI7" i="8" s="1"/>
  <c r="D4" i="37"/>
  <c r="D10" i="37" s="1"/>
  <c r="AB43" i="5"/>
  <c r="AB66" i="5" s="1"/>
  <c r="D22" i="37"/>
  <c r="D25" i="37" s="1"/>
  <c r="AE55" i="5"/>
  <c r="AE65" i="5" s="1"/>
  <c r="G52" i="4"/>
  <c r="AL58" i="8" s="1"/>
  <c r="H18" i="4"/>
  <c r="AM21" i="8" s="1"/>
  <c r="F18" i="4"/>
  <c r="AK21" i="8" s="1"/>
  <c r="V18" i="4"/>
  <c r="BA21" i="8" s="1"/>
  <c r="P18" i="4"/>
  <c r="AU21" i="8" s="1"/>
  <c r="G18" i="4"/>
  <c r="AL21" i="8" s="1"/>
  <c r="X18" i="4"/>
  <c r="BC21" i="8" s="1"/>
  <c r="T18" i="4"/>
  <c r="AY21" i="8" s="1"/>
  <c r="Q18" i="4"/>
  <c r="AV21" i="8" s="1"/>
  <c r="I18" i="4"/>
  <c r="AN21" i="8" s="1"/>
  <c r="D18" i="4"/>
  <c r="AI21" i="8" s="1"/>
  <c r="U18" i="4"/>
  <c r="AZ21" i="8" s="1"/>
  <c r="J18" i="4"/>
  <c r="AO21" i="8" s="1"/>
  <c r="R18" i="4"/>
  <c r="AW21" i="8" s="1"/>
  <c r="O18" i="4"/>
  <c r="AT21" i="8" s="1"/>
  <c r="W18" i="4"/>
  <c r="BB21" i="8" s="1"/>
  <c r="N18" i="4"/>
  <c r="AS21" i="8" s="1"/>
  <c r="L18" i="4"/>
  <c r="AQ21" i="8" s="1"/>
  <c r="Y18" i="4"/>
  <c r="BD21" i="8" s="1"/>
  <c r="M18" i="4"/>
  <c r="AR21" i="8" s="1"/>
  <c r="E18" i="4"/>
  <c r="AJ21" i="8" s="1"/>
  <c r="S18" i="4"/>
  <c r="AX21" i="8" s="1"/>
  <c r="K18" i="4"/>
  <c r="AP21" i="8" s="1"/>
  <c r="U76" i="4"/>
  <c r="AZ83" i="8" s="1"/>
  <c r="W143" i="8"/>
  <c r="H76" i="4"/>
  <c r="AM83" i="8" s="1"/>
  <c r="J143" i="8"/>
  <c r="P82" i="4"/>
  <c r="AU89" i="8" s="1"/>
  <c r="E76" i="4"/>
  <c r="AJ83" i="8" s="1"/>
  <c r="G143" i="8"/>
  <c r="V82" i="4"/>
  <c r="BA89" i="8" s="1"/>
  <c r="S82" i="4"/>
  <c r="AX89" i="8" s="1"/>
  <c r="R40" i="4"/>
  <c r="AW46" i="8" s="1"/>
  <c r="L99" i="4"/>
  <c r="AQ109" i="8" s="1"/>
  <c r="H82" i="4"/>
  <c r="AM89" i="8" s="1"/>
  <c r="J82" i="4"/>
  <c r="AO89" i="8" s="1"/>
  <c r="P40" i="4"/>
  <c r="AU46" i="8" s="1"/>
  <c r="Q82" i="4"/>
  <c r="AV89" i="8" s="1"/>
  <c r="H99" i="4"/>
  <c r="AM109" i="8" s="1"/>
  <c r="K21" i="4"/>
  <c r="AP26" i="8" s="1"/>
  <c r="M66" i="8"/>
  <c r="H85" i="4"/>
  <c r="AM92" i="8" s="1"/>
  <c r="J187" i="8"/>
  <c r="F99" i="4"/>
  <c r="AK109" i="8" s="1"/>
  <c r="M99" i="4"/>
  <c r="AR109" i="8" s="1"/>
  <c r="J196" i="8"/>
  <c r="H46" i="4"/>
  <c r="AM52" i="8" s="1"/>
  <c r="X40" i="4"/>
  <c r="BC46" i="8" s="1"/>
  <c r="V46" i="4"/>
  <c r="BA52" i="8" s="1"/>
  <c r="X196" i="8"/>
  <c r="W43" i="4"/>
  <c r="BB49" i="8" s="1"/>
  <c r="P21" i="4"/>
  <c r="AU26" i="8" s="1"/>
  <c r="R66" i="8"/>
  <c r="Q21" i="4"/>
  <c r="AV26" i="8" s="1"/>
  <c r="S66" i="8"/>
  <c r="G76" i="4"/>
  <c r="AL83" i="8" s="1"/>
  <c r="I143" i="8"/>
  <c r="F85" i="4"/>
  <c r="AK92" i="8" s="1"/>
  <c r="H187" i="8"/>
  <c r="K85" i="4"/>
  <c r="AP92" i="8" s="1"/>
  <c r="M187" i="8"/>
  <c r="G99" i="4"/>
  <c r="AL109" i="8" s="1"/>
  <c r="H196" i="8"/>
  <c r="F46" i="4"/>
  <c r="AK52" i="8" s="1"/>
  <c r="I196" i="8"/>
  <c r="G46" i="4"/>
  <c r="AL52" i="8" s="1"/>
  <c r="S40" i="4"/>
  <c r="AX46" i="8" s="1"/>
  <c r="V43" i="4"/>
  <c r="BA49" i="8" s="1"/>
  <c r="M43" i="4"/>
  <c r="AR49" i="8" s="1"/>
  <c r="E53" i="4"/>
  <c r="AJ59" i="8" s="1"/>
  <c r="F21" i="4"/>
  <c r="AK26" i="8" s="1"/>
  <c r="H66" i="8"/>
  <c r="W76" i="4"/>
  <c r="BB83" i="8" s="1"/>
  <c r="Y143" i="8"/>
  <c r="R85" i="4"/>
  <c r="AW92" i="8" s="1"/>
  <c r="T187" i="8"/>
  <c r="W85" i="4"/>
  <c r="BB92" i="8" s="1"/>
  <c r="Y187" i="8"/>
  <c r="N99" i="4"/>
  <c r="AS109" i="8" s="1"/>
  <c r="E99" i="4"/>
  <c r="AJ109" i="8" s="1"/>
  <c r="G40" i="4"/>
  <c r="AL46" i="8" s="1"/>
  <c r="X43" i="4"/>
  <c r="BC49" i="8" s="1"/>
  <c r="U43" i="4"/>
  <c r="AZ49" i="8" s="1"/>
  <c r="Y21" i="4"/>
  <c r="BD26" i="8" s="1"/>
  <c r="AA66" i="8"/>
  <c r="S76" i="4"/>
  <c r="AX83" i="8" s="1"/>
  <c r="U143" i="8"/>
  <c r="U85" i="4"/>
  <c r="AZ92" i="8" s="1"/>
  <c r="W187" i="8"/>
  <c r="L46" i="4"/>
  <c r="AQ52" i="8" s="1"/>
  <c r="N196" i="8"/>
  <c r="M40" i="4"/>
  <c r="AR46" i="8" s="1"/>
  <c r="D43" i="4"/>
  <c r="AI49" i="8" s="1"/>
  <c r="F53" i="4"/>
  <c r="AK59" i="8" s="1"/>
  <c r="S143" i="8"/>
  <c r="Q76" i="4"/>
  <c r="AV83" i="8" s="1"/>
  <c r="O143" i="8"/>
  <c r="M76" i="4"/>
  <c r="AR83" i="8" s="1"/>
  <c r="F76" i="4"/>
  <c r="AK83" i="8" s="1"/>
  <c r="H143" i="8"/>
  <c r="O40" i="4"/>
  <c r="AT46" i="8" s="1"/>
  <c r="Y82" i="4"/>
  <c r="BD89" i="8" s="1"/>
  <c r="D99" i="4"/>
  <c r="AI109" i="8" s="1"/>
  <c r="E40" i="4"/>
  <c r="AJ46" i="8" s="1"/>
  <c r="X82" i="4"/>
  <c r="BC89" i="8" s="1"/>
  <c r="I40" i="4"/>
  <c r="AN46" i="8" s="1"/>
  <c r="N21" i="4"/>
  <c r="AS26" i="8" s="1"/>
  <c r="P66" i="8"/>
  <c r="L76" i="4"/>
  <c r="AQ83" i="8" s="1"/>
  <c r="N143" i="8"/>
  <c r="J85" i="4"/>
  <c r="AO92" i="8" s="1"/>
  <c r="L187" i="8"/>
  <c r="O85" i="4"/>
  <c r="AT92" i="8" s="1"/>
  <c r="Q187" i="8"/>
  <c r="K99" i="4"/>
  <c r="AP109" i="8" s="1"/>
  <c r="N46" i="4"/>
  <c r="AS52" i="8" s="1"/>
  <c r="P196" i="8"/>
  <c r="M196" i="8"/>
  <c r="K46" i="4"/>
  <c r="AP52" i="8" s="1"/>
  <c r="W40" i="4"/>
  <c r="BB46" i="8" s="1"/>
  <c r="G43" i="4"/>
  <c r="AL49" i="8" s="1"/>
  <c r="W21" i="4"/>
  <c r="BB26" i="8" s="1"/>
  <c r="Y66" i="8"/>
  <c r="X21" i="4"/>
  <c r="BC26" i="8" s="1"/>
  <c r="Z66" i="8"/>
  <c r="M85" i="4"/>
  <c r="AR92" i="8" s="1"/>
  <c r="O187" i="8"/>
  <c r="P99" i="4"/>
  <c r="AU109" i="8" s="1"/>
  <c r="R46" i="4"/>
  <c r="AW52" i="8" s="1"/>
  <c r="T196" i="8"/>
  <c r="F43" i="4"/>
  <c r="AK49" i="8" s="1"/>
  <c r="E43" i="4"/>
  <c r="AJ49" i="8" s="1"/>
  <c r="L21" i="4"/>
  <c r="AQ26" i="8" s="1"/>
  <c r="N66" i="8"/>
  <c r="M21" i="4"/>
  <c r="AR26" i="8" s="1"/>
  <c r="O66" i="8"/>
  <c r="R76" i="4"/>
  <c r="AW83" i="8" s="1"/>
  <c r="T143" i="8"/>
  <c r="Y85" i="4"/>
  <c r="BD92" i="8" s="1"/>
  <c r="AA187" i="8"/>
  <c r="G85" i="4"/>
  <c r="AL92" i="8" s="1"/>
  <c r="I187" i="8"/>
  <c r="S99" i="4"/>
  <c r="AX109" i="8" s="1"/>
  <c r="U46" i="4"/>
  <c r="AZ52" i="8" s="1"/>
  <c r="W196" i="8"/>
  <c r="J46" i="4"/>
  <c r="AO52" i="8" s="1"/>
  <c r="L196" i="8"/>
  <c r="H43" i="4"/>
  <c r="AM49" i="8" s="1"/>
  <c r="H21" i="4"/>
  <c r="AM26" i="8" s="1"/>
  <c r="J66" i="8"/>
  <c r="I21" i="4"/>
  <c r="AN26" i="8" s="1"/>
  <c r="K66" i="8"/>
  <c r="N76" i="4"/>
  <c r="AS83" i="8" s="1"/>
  <c r="P143" i="8"/>
  <c r="E85" i="4"/>
  <c r="AJ92" i="8" s="1"/>
  <c r="G187" i="8"/>
  <c r="Q99" i="4"/>
  <c r="AV109" i="8" s="1"/>
  <c r="Q196" i="8"/>
  <c r="O46" i="4"/>
  <c r="AT52" i="8" s="1"/>
  <c r="D40" i="4"/>
  <c r="AI46" i="8" s="1"/>
  <c r="K43" i="4"/>
  <c r="AP49" i="8" s="1"/>
  <c r="D82" i="4"/>
  <c r="AI89" i="8" s="1"/>
  <c r="L82" i="4"/>
  <c r="AQ89" i="8" s="1"/>
  <c r="L143" i="8"/>
  <c r="J76" i="4"/>
  <c r="AO83" i="8" s="1"/>
  <c r="V76" i="4"/>
  <c r="BA83" i="8" s="1"/>
  <c r="X143" i="8"/>
  <c r="N82" i="4"/>
  <c r="AS89" i="8" s="1"/>
  <c r="Y40" i="4"/>
  <c r="BD46" i="8" s="1"/>
  <c r="I82" i="4"/>
  <c r="AN89" i="8" s="1"/>
  <c r="G82" i="4"/>
  <c r="AL89" i="8" s="1"/>
  <c r="L40" i="4"/>
  <c r="AQ46" i="8" s="1"/>
  <c r="M82" i="4"/>
  <c r="AR89" i="8" s="1"/>
  <c r="R82" i="4"/>
  <c r="AW89" i="8" s="1"/>
  <c r="U82" i="4"/>
  <c r="AZ89" i="8" s="1"/>
  <c r="W82" i="4"/>
  <c r="BB89" i="8" s="1"/>
  <c r="U40" i="4"/>
  <c r="AZ46" i="8" s="1"/>
  <c r="T21" i="4"/>
  <c r="AY26" i="8" s="1"/>
  <c r="V66" i="8"/>
  <c r="U21" i="4"/>
  <c r="AZ26" i="8" s="1"/>
  <c r="W66" i="8"/>
  <c r="K76" i="4"/>
  <c r="AP83" i="8" s="1"/>
  <c r="M143" i="8"/>
  <c r="Q85" i="4"/>
  <c r="AV92" i="8" s="1"/>
  <c r="S187" i="8"/>
  <c r="AA196" i="8"/>
  <c r="Y46" i="4"/>
  <c r="BD52" i="8" s="1"/>
  <c r="J43" i="4"/>
  <c r="AO49" i="8" s="1"/>
  <c r="Y43" i="4"/>
  <c r="BD49" i="8" s="1"/>
  <c r="G21" i="4"/>
  <c r="AL26" i="8" s="1"/>
  <c r="I66" i="8"/>
  <c r="T85" i="4"/>
  <c r="AY92" i="8" s="1"/>
  <c r="V187" i="8"/>
  <c r="R99" i="4"/>
  <c r="AW109" i="8" s="1"/>
  <c r="Y99" i="4"/>
  <c r="BD109" i="8" s="1"/>
  <c r="I46" i="4"/>
  <c r="AN52" i="8" s="1"/>
  <c r="K196" i="8"/>
  <c r="V196" i="8"/>
  <c r="T46" i="4"/>
  <c r="AY52" i="8" s="1"/>
  <c r="F40" i="4"/>
  <c r="AK46" i="8" s="1"/>
  <c r="L43" i="4"/>
  <c r="AQ49" i="8" s="1"/>
  <c r="S21" i="4"/>
  <c r="AX26" i="8" s="1"/>
  <c r="U66" i="8"/>
  <c r="I85" i="4"/>
  <c r="AN92" i="8" s="1"/>
  <c r="K187" i="8"/>
  <c r="G196" i="8"/>
  <c r="G191" i="8" s="1"/>
  <c r="E46" i="4"/>
  <c r="AJ52" i="8" s="1"/>
  <c r="P46" i="4"/>
  <c r="AU52" i="8" s="1"/>
  <c r="R196" i="8"/>
  <c r="Q40" i="4"/>
  <c r="AV46" i="8" s="1"/>
  <c r="O43" i="4"/>
  <c r="AT49" i="8" s="1"/>
  <c r="O21" i="4"/>
  <c r="AT26" i="8" s="1"/>
  <c r="Q66" i="8"/>
  <c r="L85" i="4"/>
  <c r="AQ92" i="8" s="1"/>
  <c r="N187" i="8"/>
  <c r="J99" i="4"/>
  <c r="AO109" i="8" s="1"/>
  <c r="V40" i="4"/>
  <c r="BA46" i="8" s="1"/>
  <c r="N43" i="4"/>
  <c r="AS49" i="8" s="1"/>
  <c r="Q43" i="4"/>
  <c r="AV49" i="8" s="1"/>
  <c r="Q143" i="8"/>
  <c r="O76" i="4"/>
  <c r="AT83" i="8" s="1"/>
  <c r="T82" i="4"/>
  <c r="AY89" i="8" s="1"/>
  <c r="Y76" i="4"/>
  <c r="BD83" i="8" s="1"/>
  <c r="AA143" i="8"/>
  <c r="K143" i="8"/>
  <c r="I76" i="4"/>
  <c r="AN83" i="8" s="1"/>
  <c r="E82" i="4"/>
  <c r="AJ89" i="8" s="1"/>
  <c r="X99" i="4"/>
  <c r="BC109" i="8" s="1"/>
  <c r="K40" i="4"/>
  <c r="AP46" i="8" s="1"/>
  <c r="O82" i="4"/>
  <c r="AT89" i="8" s="1"/>
  <c r="F82" i="4"/>
  <c r="AK89" i="8" s="1"/>
  <c r="K82" i="4"/>
  <c r="AP89" i="8" s="1"/>
  <c r="T99" i="4"/>
  <c r="AY109" i="8" s="1"/>
  <c r="D21" i="4"/>
  <c r="AI26" i="8" s="1"/>
  <c r="E21" i="4"/>
  <c r="AJ26" i="8" s="1"/>
  <c r="G66" i="8"/>
  <c r="X76" i="4"/>
  <c r="BC83" i="8" s="1"/>
  <c r="Z143" i="8"/>
  <c r="X85" i="4"/>
  <c r="BC92" i="8" s="1"/>
  <c r="Z187" i="8"/>
  <c r="V99" i="4"/>
  <c r="BA109" i="8" s="1"/>
  <c r="O196" i="8"/>
  <c r="M46" i="4"/>
  <c r="AR52" i="8" s="1"/>
  <c r="X46" i="4"/>
  <c r="BC52" i="8" s="1"/>
  <c r="Z196" i="8"/>
  <c r="J40" i="4"/>
  <c r="AO46" i="8" s="1"/>
  <c r="P43" i="4"/>
  <c r="AU49" i="8" s="1"/>
  <c r="J21" i="4"/>
  <c r="AO26" i="8" s="1"/>
  <c r="L66" i="8"/>
  <c r="D76" i="4"/>
  <c r="AI83" i="8" s="1"/>
  <c r="V85" i="4"/>
  <c r="BA92" i="8" s="1"/>
  <c r="X187" i="8"/>
  <c r="D85" i="4"/>
  <c r="AI92" i="8" s="1"/>
  <c r="W99" i="4"/>
  <c r="BB109" i="8" s="1"/>
  <c r="I99" i="4"/>
  <c r="AN109" i="8" s="1"/>
  <c r="D46" i="4"/>
  <c r="AI52" i="8" s="1"/>
  <c r="W46" i="4"/>
  <c r="BB52" i="8" s="1"/>
  <c r="Y196" i="8"/>
  <c r="T40" i="4"/>
  <c r="AY46" i="8" s="1"/>
  <c r="S43" i="4"/>
  <c r="AX49" i="8" s="1"/>
  <c r="V21" i="4"/>
  <c r="BA26" i="8" s="1"/>
  <c r="X66" i="8"/>
  <c r="T76" i="4"/>
  <c r="AY83" i="8" s="1"/>
  <c r="V143" i="8"/>
  <c r="P85" i="4"/>
  <c r="AU92" i="8" s="1"/>
  <c r="R187" i="8"/>
  <c r="U99" i="4"/>
  <c r="AZ109" i="8" s="1"/>
  <c r="U196" i="8"/>
  <c r="S46" i="4"/>
  <c r="AX52" i="8" s="1"/>
  <c r="H40" i="4"/>
  <c r="AM46" i="8" s="1"/>
  <c r="R43" i="4"/>
  <c r="AW49" i="8" s="1"/>
  <c r="I43" i="4"/>
  <c r="AN49" i="8" s="1"/>
  <c r="R21" i="4"/>
  <c r="AW26" i="8" s="1"/>
  <c r="T66" i="8"/>
  <c r="P76" i="4"/>
  <c r="AU83" i="8" s="1"/>
  <c r="R143" i="8"/>
  <c r="N85" i="4"/>
  <c r="AS92" i="8" s="1"/>
  <c r="P187" i="8"/>
  <c r="S85" i="4"/>
  <c r="AX92" i="8" s="1"/>
  <c r="U187" i="8"/>
  <c r="O99" i="4"/>
  <c r="AT109" i="8" s="1"/>
  <c r="S196" i="8"/>
  <c r="Q46" i="4"/>
  <c r="AV52" i="8" s="1"/>
  <c r="N40" i="4"/>
  <c r="AS46" i="8" s="1"/>
  <c r="T43" i="4"/>
  <c r="AY49" i="8" s="1"/>
  <c r="D53" i="4"/>
  <c r="AI59" i="8" s="1"/>
  <c r="I99" i="5"/>
  <c r="I101" i="5" s="1"/>
  <c r="AA13" i="3"/>
  <c r="D90" i="4"/>
  <c r="AI97" i="8" s="1"/>
  <c r="K28" i="10"/>
  <c r="J90" i="4"/>
  <c r="AO97" i="8" s="1"/>
  <c r="G86" i="4"/>
  <c r="AL93" i="8" s="1"/>
  <c r="J86" i="4"/>
  <c r="AO93" i="8" s="1"/>
  <c r="R86" i="4"/>
  <c r="AW93" i="8" s="1"/>
  <c r="D86" i="4"/>
  <c r="AI93" i="8" s="1"/>
  <c r="T86" i="4"/>
  <c r="AY93" i="8" s="1"/>
  <c r="X86" i="4"/>
  <c r="BC93" i="8" s="1"/>
  <c r="Q86" i="4"/>
  <c r="AV93" i="8" s="1"/>
  <c r="E86" i="4"/>
  <c r="AJ93" i="8" s="1"/>
  <c r="W86" i="4"/>
  <c r="BB93" i="8" s="1"/>
  <c r="S86" i="4"/>
  <c r="AX93" i="8" s="1"/>
  <c r="N86" i="4"/>
  <c r="AS93" i="8" s="1"/>
  <c r="P86" i="4"/>
  <c r="AU93" i="8" s="1"/>
  <c r="F86" i="4"/>
  <c r="AK93" i="8" s="1"/>
  <c r="M86" i="4"/>
  <c r="AR93" i="8" s="1"/>
  <c r="Y86" i="4"/>
  <c r="BD93" i="8" s="1"/>
  <c r="O86" i="4"/>
  <c r="AT93" i="8" s="1"/>
  <c r="L86" i="4"/>
  <c r="AQ93" i="8" s="1"/>
  <c r="V86" i="4"/>
  <c r="BA93" i="8" s="1"/>
  <c r="K86" i="4"/>
  <c r="AP93" i="8" s="1"/>
  <c r="H86" i="4"/>
  <c r="AM93" i="8" s="1"/>
  <c r="I86" i="4"/>
  <c r="AN93" i="8" s="1"/>
  <c r="U86" i="4"/>
  <c r="AZ93" i="8" s="1"/>
  <c r="E55" i="4"/>
  <c r="AJ61" i="8" s="1"/>
  <c r="U94" i="4"/>
  <c r="AZ102" i="8" s="1"/>
  <c r="D55" i="4"/>
  <c r="AI61" i="8" s="1"/>
  <c r="J104" i="5"/>
  <c r="AH104" i="5"/>
  <c r="Y77" i="4"/>
  <c r="BD84" i="8" s="1"/>
  <c r="M77" i="4"/>
  <c r="AR84" i="8" s="1"/>
  <c r="Q77" i="4"/>
  <c r="AV84" i="8" s="1"/>
  <c r="H77" i="4"/>
  <c r="AM84" i="8" s="1"/>
  <c r="G77" i="4"/>
  <c r="AL84" i="8" s="1"/>
  <c r="O77" i="4"/>
  <c r="AT84" i="8" s="1"/>
  <c r="D77" i="4"/>
  <c r="AI84" i="8" s="1"/>
  <c r="N77" i="4"/>
  <c r="AS84" i="8" s="1"/>
  <c r="K77" i="4"/>
  <c r="AP84" i="8" s="1"/>
  <c r="P77" i="4"/>
  <c r="AU84" i="8" s="1"/>
  <c r="I77" i="4"/>
  <c r="AN84" i="8" s="1"/>
  <c r="W77" i="4"/>
  <c r="BB84" i="8" s="1"/>
  <c r="R77" i="4"/>
  <c r="AW84" i="8" s="1"/>
  <c r="V77" i="4"/>
  <c r="BA84" i="8" s="1"/>
  <c r="S77" i="4"/>
  <c r="AX84" i="8" s="1"/>
  <c r="T77" i="4"/>
  <c r="AY84" i="8" s="1"/>
  <c r="E77" i="4"/>
  <c r="AJ84" i="8" s="1"/>
  <c r="U77" i="4"/>
  <c r="AZ84" i="8" s="1"/>
  <c r="F77" i="4"/>
  <c r="AK84" i="8" s="1"/>
  <c r="L77" i="4"/>
  <c r="AQ84" i="8" s="1"/>
  <c r="J77" i="4"/>
  <c r="AO84" i="8" s="1"/>
  <c r="X77" i="4"/>
  <c r="BC84" i="8" s="1"/>
  <c r="AU5" i="5"/>
  <c r="F55" i="4"/>
  <c r="AK61" i="8" s="1"/>
  <c r="AW5" i="5"/>
  <c r="H95" i="8"/>
  <c r="D92" i="4"/>
  <c r="AI99" i="8" s="1"/>
  <c r="BC101" i="8"/>
  <c r="O63" i="4"/>
  <c r="AT69" i="8" s="1"/>
  <c r="AR101" i="8"/>
  <c r="X96" i="8"/>
  <c r="T93" i="4"/>
  <c r="AY100" i="8" s="1"/>
  <c r="I96" i="8"/>
  <c r="E93" i="4"/>
  <c r="AJ100" i="8" s="1"/>
  <c r="Y94" i="4"/>
  <c r="BD102" i="8" s="1"/>
  <c r="H92" i="4"/>
  <c r="AM99" i="8" s="1"/>
  <c r="F94" i="4"/>
  <c r="AK102" i="8" s="1"/>
  <c r="E60" i="4"/>
  <c r="AJ66" i="8" s="1"/>
  <c r="AA96" i="8"/>
  <c r="W93" i="4"/>
  <c r="BB100" i="8" s="1"/>
  <c r="N92" i="4"/>
  <c r="AS99" i="8" s="1"/>
  <c r="L94" i="4"/>
  <c r="AQ102" i="8" s="1"/>
  <c r="G60" i="4"/>
  <c r="AL66" i="8" s="1"/>
  <c r="E63" i="4"/>
  <c r="AJ69" i="8" s="1"/>
  <c r="Y93" i="4"/>
  <c r="BD100" i="8" s="1"/>
  <c r="L92" i="4"/>
  <c r="AQ99" i="8" s="1"/>
  <c r="J94" i="4"/>
  <c r="AO102" i="8" s="1"/>
  <c r="O96" i="8"/>
  <c r="K93" i="4"/>
  <c r="AP100" i="8" s="1"/>
  <c r="H63" i="4"/>
  <c r="AM69" i="8" s="1"/>
  <c r="AK101" i="8"/>
  <c r="S92" i="4"/>
  <c r="AX99" i="8" s="1"/>
  <c r="Q94" i="4"/>
  <c r="AV102" i="8" s="1"/>
  <c r="H60" i="4"/>
  <c r="AM66" i="8" s="1"/>
  <c r="F63" i="4"/>
  <c r="AK69" i="8" s="1"/>
  <c r="AI101" i="8"/>
  <c r="I95" i="8"/>
  <c r="E92" i="4"/>
  <c r="AJ99" i="8" s="1"/>
  <c r="BD101" i="8"/>
  <c r="L63" i="4"/>
  <c r="AQ69" i="8" s="1"/>
  <c r="AO101" i="8"/>
  <c r="U96" i="8"/>
  <c r="Q93" i="4"/>
  <c r="AV100" i="8" s="1"/>
  <c r="AV5" i="5"/>
  <c r="T92" i="4"/>
  <c r="AY99" i="8" s="1"/>
  <c r="R94" i="4"/>
  <c r="AW102" i="8" s="1"/>
  <c r="I92" i="4"/>
  <c r="AN99" i="8" s="1"/>
  <c r="G94" i="4"/>
  <c r="AL102" i="8" s="1"/>
  <c r="P63" i="4"/>
  <c r="AU69" i="8" s="1"/>
  <c r="AS101" i="8"/>
  <c r="Y96" i="8"/>
  <c r="U93" i="4"/>
  <c r="AZ100" i="8" s="1"/>
  <c r="X92" i="4"/>
  <c r="BC99" i="8" s="1"/>
  <c r="V94" i="4"/>
  <c r="BA102" i="8" s="1"/>
  <c r="S63" i="4"/>
  <c r="AX69" i="8" s="1"/>
  <c r="AV101" i="8"/>
  <c r="L96" i="8"/>
  <c r="H93" i="4"/>
  <c r="AM100" i="8" s="1"/>
  <c r="U63" i="4"/>
  <c r="AZ69" i="8" s="1"/>
  <c r="AX101" i="8"/>
  <c r="J96" i="8"/>
  <c r="F93" i="4"/>
  <c r="AK100" i="8" s="1"/>
  <c r="I60" i="4"/>
  <c r="AN66" i="8" s="1"/>
  <c r="G63" i="4"/>
  <c r="AL69" i="8" s="1"/>
  <c r="AJ101" i="8"/>
  <c r="X63" i="4"/>
  <c r="BC69" i="8" s="1"/>
  <c r="BA101" i="8"/>
  <c r="Q96" i="8"/>
  <c r="M93" i="4"/>
  <c r="AR100" i="8" s="1"/>
  <c r="V63" i="4"/>
  <c r="BA69" i="8" s="1"/>
  <c r="AY101" i="8"/>
  <c r="U92" i="4"/>
  <c r="AZ99" i="8" s="1"/>
  <c r="S94" i="4"/>
  <c r="AX102" i="8" s="1"/>
  <c r="J95" i="8"/>
  <c r="F92" i="4"/>
  <c r="AK99" i="8" s="1"/>
  <c r="D94" i="4"/>
  <c r="AI102" i="8" s="1"/>
  <c r="M63" i="4"/>
  <c r="AR69" i="8" s="1"/>
  <c r="AP101" i="8"/>
  <c r="D22" i="4"/>
  <c r="AI27" i="8" s="1"/>
  <c r="AE8" i="5"/>
  <c r="G8" i="5"/>
  <c r="R96" i="8"/>
  <c r="N93" i="4"/>
  <c r="AS100" i="8" s="1"/>
  <c r="G96" i="8"/>
  <c r="Y92" i="4"/>
  <c r="BD99" i="8" s="1"/>
  <c r="W94" i="4"/>
  <c r="BB102" i="8" s="1"/>
  <c r="J92" i="4"/>
  <c r="AO99" i="8" s="1"/>
  <c r="H94" i="4"/>
  <c r="AM102" i="8" s="1"/>
  <c r="Q63" i="4"/>
  <c r="AV69" i="8" s="1"/>
  <c r="AT101" i="8"/>
  <c r="V96" i="8"/>
  <c r="R93" i="4"/>
  <c r="AW100" i="8" s="1"/>
  <c r="M92" i="4"/>
  <c r="AR99" i="8" s="1"/>
  <c r="K94" i="4"/>
  <c r="AP102" i="8" s="1"/>
  <c r="F60" i="4"/>
  <c r="AK66" i="8" s="1"/>
  <c r="D63" i="4"/>
  <c r="AI69" i="8" s="1"/>
  <c r="X93" i="4"/>
  <c r="BC100" i="8" s="1"/>
  <c r="O92" i="4"/>
  <c r="AT99" i="8" s="1"/>
  <c r="M94" i="4"/>
  <c r="AR102" i="8" s="1"/>
  <c r="D60" i="4"/>
  <c r="AI66" i="8" s="1"/>
  <c r="Z96" i="8"/>
  <c r="V93" i="4"/>
  <c r="BA100" i="8" s="1"/>
  <c r="W63" i="4"/>
  <c r="BB69" i="8" s="1"/>
  <c r="AZ101" i="8"/>
  <c r="R92" i="4"/>
  <c r="AW99" i="8" s="1"/>
  <c r="P94" i="4"/>
  <c r="AU102" i="8" s="1"/>
  <c r="I63" i="4"/>
  <c r="AN69" i="8" s="1"/>
  <c r="AL101" i="8"/>
  <c r="D58" i="4"/>
  <c r="AI64" i="8" s="1"/>
  <c r="P92" i="4"/>
  <c r="AU99" i="8" s="1"/>
  <c r="N94" i="4"/>
  <c r="AS102" i="8" s="1"/>
  <c r="S96" i="8"/>
  <c r="O93" i="4"/>
  <c r="AT100" i="8" s="1"/>
  <c r="V92" i="4"/>
  <c r="BA99" i="8" s="1"/>
  <c r="T94" i="4"/>
  <c r="AY102" i="8" s="1"/>
  <c r="G92" i="4"/>
  <c r="AL99" i="8" s="1"/>
  <c r="E94" i="4"/>
  <c r="AJ102" i="8" s="1"/>
  <c r="H89" i="5"/>
  <c r="AF89" i="5"/>
  <c r="AF90" i="5" s="1"/>
  <c r="G90" i="5"/>
  <c r="I105" i="5"/>
  <c r="K95" i="8"/>
  <c r="J63" i="4"/>
  <c r="AO69" i="8" s="1"/>
  <c r="AM101" i="8"/>
  <c r="W96" i="8"/>
  <c r="S93" i="4"/>
  <c r="AX100" i="8" s="1"/>
  <c r="H96" i="8"/>
  <c r="D93" i="4"/>
  <c r="AI100" i="8" s="1"/>
  <c r="X94" i="4"/>
  <c r="BC102" i="8" s="1"/>
  <c r="K92" i="4"/>
  <c r="AP99" i="8" s="1"/>
  <c r="I94" i="4"/>
  <c r="AN102" i="8" s="1"/>
  <c r="N63" i="4"/>
  <c r="AS69" i="8" s="1"/>
  <c r="AQ101" i="8"/>
  <c r="K96" i="8"/>
  <c r="G93" i="4"/>
  <c r="AL100" i="8" s="1"/>
  <c r="T63" i="4"/>
  <c r="AY69" i="8" s="1"/>
  <c r="AW101" i="8"/>
  <c r="M96" i="8"/>
  <c r="I93" i="4"/>
  <c r="AN100" i="8" s="1"/>
  <c r="R63" i="4"/>
  <c r="AW69" i="8" s="1"/>
  <c r="AU101" i="8"/>
  <c r="E58" i="4"/>
  <c r="AJ64" i="8" s="1"/>
  <c r="Q92" i="4"/>
  <c r="AV99" i="8" s="1"/>
  <c r="O94" i="4"/>
  <c r="AT102" i="8" s="1"/>
  <c r="P96" i="8"/>
  <c r="L93" i="4"/>
  <c r="AQ100" i="8" s="1"/>
  <c r="G95" i="8"/>
  <c r="Y63" i="4"/>
  <c r="BD69" i="8" s="1"/>
  <c r="BB101" i="8"/>
  <c r="N96" i="8"/>
  <c r="J93" i="4"/>
  <c r="AO100" i="8" s="1"/>
  <c r="K63" i="4"/>
  <c r="AP69" i="8" s="1"/>
  <c r="AN101" i="8"/>
  <c r="T96" i="8"/>
  <c r="P93" i="4"/>
  <c r="AU100" i="8" s="1"/>
  <c r="W92" i="4"/>
  <c r="BB99" i="8" s="1"/>
  <c r="D8" i="4"/>
  <c r="AI11" i="8" s="1"/>
  <c r="F43" i="5"/>
  <c r="F138" i="48" s="1"/>
  <c r="AF53" i="5"/>
  <c r="AB108" i="5"/>
  <c r="AA39" i="3"/>
  <c r="AE7" i="5"/>
  <c r="AI42" i="5"/>
  <c r="AD6" i="5"/>
  <c r="E11" i="5"/>
  <c r="E134" i="48" s="1"/>
  <c r="E108" i="5"/>
  <c r="AE10" i="5"/>
  <c r="AF7" i="10"/>
  <c r="E102" i="4"/>
  <c r="AJ112" i="8" s="1"/>
  <c r="D102" i="4"/>
  <c r="AI112" i="8" s="1"/>
  <c r="AH14" i="8"/>
  <c r="AB11" i="5"/>
  <c r="AB34" i="5" s="1"/>
  <c r="AC11" i="5"/>
  <c r="AC34" i="5" s="1"/>
  <c r="AD40" i="5"/>
  <c r="F22" i="37" s="1"/>
  <c r="F25" i="37" s="1"/>
  <c r="AE99" i="5"/>
  <c r="G55" i="37" s="1"/>
  <c r="G57" i="37" s="1"/>
  <c r="AC40" i="5"/>
  <c r="E22" i="37" s="1"/>
  <c r="E25" i="37" s="1"/>
  <c r="AC103" i="5"/>
  <c r="C119" i="5"/>
  <c r="C3" i="5" s="1"/>
  <c r="Y157" i="8" l="1"/>
  <c r="I157" i="8"/>
  <c r="W157" i="8"/>
  <c r="U157" i="8"/>
  <c r="J157" i="8"/>
  <c r="F57" i="4"/>
  <c r="AK63" i="8" s="1"/>
  <c r="H105" i="8"/>
  <c r="S157" i="8"/>
  <c r="L157" i="8"/>
  <c r="G157" i="10" s="1"/>
  <c r="H157" i="8"/>
  <c r="F157" i="10" s="1"/>
  <c r="K157" i="8"/>
  <c r="G28" i="8"/>
  <c r="M157" i="8"/>
  <c r="X157" i="8"/>
  <c r="R157" i="8"/>
  <c r="Q157" i="8"/>
  <c r="H157" i="10" s="1"/>
  <c r="G157" i="8"/>
  <c r="N157" i="8"/>
  <c r="T157" i="8"/>
  <c r="O157" i="8"/>
  <c r="AA157" i="8"/>
  <c r="J157" i="10" s="1"/>
  <c r="Z157" i="8"/>
  <c r="V157" i="8"/>
  <c r="I157" i="10" s="1"/>
  <c r="P157" i="8"/>
  <c r="W159" i="8"/>
  <c r="H12" i="8"/>
  <c r="F12" i="10" s="1"/>
  <c r="F187" i="10"/>
  <c r="I196" i="10"/>
  <c r="H196" i="10"/>
  <c r="G66" i="10"/>
  <c r="H66" i="10"/>
  <c r="I187" i="10"/>
  <c r="J66" i="10"/>
  <c r="I66" i="10"/>
  <c r="G196" i="10"/>
  <c r="J196" i="10"/>
  <c r="H187" i="10"/>
  <c r="I143" i="10"/>
  <c r="J143" i="10"/>
  <c r="H143" i="10"/>
  <c r="G143" i="10"/>
  <c r="J187" i="10"/>
  <c r="G187" i="10"/>
  <c r="F143" i="10"/>
  <c r="F66" i="10"/>
  <c r="F56" i="10" s="1"/>
  <c r="X101" i="37"/>
  <c r="Q27" i="3"/>
  <c r="E38" i="37"/>
  <c r="W101" i="37"/>
  <c r="D19" i="37"/>
  <c r="Y101" i="37"/>
  <c r="M101" i="37"/>
  <c r="E19" i="37"/>
  <c r="H101" i="37"/>
  <c r="T101" i="37"/>
  <c r="L101" i="37"/>
  <c r="S101" i="37"/>
  <c r="D74" i="37"/>
  <c r="E149" i="11"/>
  <c r="E154" i="48"/>
  <c r="E59" i="4"/>
  <c r="AJ65" i="8" s="1"/>
  <c r="E59" i="37"/>
  <c r="E64" i="37" s="1"/>
  <c r="E74" i="37" s="1"/>
  <c r="J99" i="5"/>
  <c r="J101" i="5" s="1"/>
  <c r="J60" i="4"/>
  <c r="AO66" i="8" s="1"/>
  <c r="J60" i="37"/>
  <c r="I101" i="37"/>
  <c r="H32" i="37"/>
  <c r="H37" i="37" s="1"/>
  <c r="H52" i="37"/>
  <c r="H53" i="37" s="1"/>
  <c r="H54" i="37" s="1"/>
  <c r="H70" i="37"/>
  <c r="H73" i="37" s="1"/>
  <c r="G101" i="37"/>
  <c r="Q101" i="37"/>
  <c r="K101" i="37"/>
  <c r="D38" i="37"/>
  <c r="F38" i="37"/>
  <c r="J109" i="37"/>
  <c r="AA79" i="37" s="1"/>
  <c r="N101" i="37"/>
  <c r="E101" i="37"/>
  <c r="V101" i="37"/>
  <c r="U101" i="37"/>
  <c r="J101" i="37"/>
  <c r="J116" i="37"/>
  <c r="O101" i="37"/>
  <c r="R101" i="37"/>
  <c r="P101" i="37"/>
  <c r="D101" i="37"/>
  <c r="D104" i="37"/>
  <c r="F6" i="4"/>
  <c r="AK9" i="8" s="1"/>
  <c r="F6" i="37"/>
  <c r="G7" i="4"/>
  <c r="AL10" i="8" s="1"/>
  <c r="G7" i="37"/>
  <c r="X4" i="4"/>
  <c r="BC7" i="8" s="1"/>
  <c r="X4" i="37"/>
  <c r="Y4" i="4"/>
  <c r="BD7" i="8" s="1"/>
  <c r="Y4" i="37"/>
  <c r="G9" i="4"/>
  <c r="AL12" i="8" s="1"/>
  <c r="G9" i="37"/>
  <c r="G5" i="4"/>
  <c r="AL8" i="8" s="1"/>
  <c r="G5" i="37"/>
  <c r="W4" i="4"/>
  <c r="BB7" i="8" s="1"/>
  <c r="W4" i="37"/>
  <c r="K24" i="4"/>
  <c r="AP29" i="8" s="1"/>
  <c r="K24" i="37"/>
  <c r="AF55" i="5"/>
  <c r="AF65" i="5" s="1"/>
  <c r="H52" i="4"/>
  <c r="AM58" i="8" s="1"/>
  <c r="R90" i="4"/>
  <c r="AW97" i="8" s="1"/>
  <c r="P90" i="4"/>
  <c r="AU97" i="8" s="1"/>
  <c r="Q90" i="4"/>
  <c r="AV97" i="8" s="1"/>
  <c r="M97" i="8"/>
  <c r="AA97" i="8"/>
  <c r="T97" i="8"/>
  <c r="V97" i="8"/>
  <c r="P97" i="8"/>
  <c r="I97" i="8"/>
  <c r="Q97" i="8"/>
  <c r="L97" i="8"/>
  <c r="K97" i="8"/>
  <c r="Y97" i="8"/>
  <c r="H116" i="8"/>
  <c r="K116" i="8"/>
  <c r="W97" i="8"/>
  <c r="U97" i="8"/>
  <c r="N97" i="8"/>
  <c r="G97" i="8"/>
  <c r="X97" i="8"/>
  <c r="Z97" i="8"/>
  <c r="H97" i="8"/>
  <c r="I116" i="8"/>
  <c r="S97" i="8"/>
  <c r="O97" i="8"/>
  <c r="R97" i="8"/>
  <c r="J116" i="8"/>
  <c r="J97" i="8"/>
  <c r="G116" i="8"/>
  <c r="H191" i="8"/>
  <c r="F196" i="10"/>
  <c r="T44" i="4"/>
  <c r="AY50" i="8" s="1"/>
  <c r="P44" i="4"/>
  <c r="AU50" i="8" s="1"/>
  <c r="O44" i="4"/>
  <c r="AT50" i="8" s="1"/>
  <c r="L44" i="4"/>
  <c r="AQ50" i="8" s="1"/>
  <c r="D41" i="4"/>
  <c r="AI47" i="8" s="1"/>
  <c r="F44" i="4"/>
  <c r="AK50" i="8" s="1"/>
  <c r="W41" i="4"/>
  <c r="BB47" i="8" s="1"/>
  <c r="E41" i="4"/>
  <c r="AJ47" i="8" s="1"/>
  <c r="M41" i="4"/>
  <c r="AR47" i="8" s="1"/>
  <c r="G41" i="4"/>
  <c r="AL47" i="8" s="1"/>
  <c r="S41" i="4"/>
  <c r="AX47" i="8" s="1"/>
  <c r="F54" i="4"/>
  <c r="AK60" i="8" s="1"/>
  <c r="F137" i="11"/>
  <c r="F66" i="5"/>
  <c r="N41" i="4"/>
  <c r="AS47" i="8" s="1"/>
  <c r="I44" i="4"/>
  <c r="AN50" i="8" s="1"/>
  <c r="H41" i="4"/>
  <c r="AM47" i="8" s="1"/>
  <c r="T41" i="4"/>
  <c r="AY47" i="8" s="1"/>
  <c r="Q44" i="4"/>
  <c r="AV50" i="8" s="1"/>
  <c r="Q41" i="4"/>
  <c r="AV47" i="8" s="1"/>
  <c r="E54" i="4"/>
  <c r="AJ60" i="8" s="1"/>
  <c r="F41" i="4"/>
  <c r="AK47" i="8" s="1"/>
  <c r="Y44" i="4"/>
  <c r="BD50" i="8" s="1"/>
  <c r="U41" i="4"/>
  <c r="AZ47" i="8" s="1"/>
  <c r="Y41" i="4"/>
  <c r="BD47" i="8" s="1"/>
  <c r="I41" i="4"/>
  <c r="AN47" i="8" s="1"/>
  <c r="U44" i="4"/>
  <c r="AZ50" i="8" s="1"/>
  <c r="M44" i="4"/>
  <c r="AR50" i="8" s="1"/>
  <c r="D54" i="4"/>
  <c r="AI60" i="8" s="1"/>
  <c r="J41" i="4"/>
  <c r="AO47" i="8" s="1"/>
  <c r="K41" i="4"/>
  <c r="AP47" i="8" s="1"/>
  <c r="V41" i="4"/>
  <c r="BA47" i="8" s="1"/>
  <c r="H44" i="4"/>
  <c r="AM50" i="8" s="1"/>
  <c r="E44" i="4"/>
  <c r="AJ50" i="8" s="1"/>
  <c r="O41" i="4"/>
  <c r="AT47" i="8" s="1"/>
  <c r="D44" i="4"/>
  <c r="AI50" i="8" s="1"/>
  <c r="G53" i="4"/>
  <c r="AL59" i="8" s="1"/>
  <c r="W44" i="4"/>
  <c r="BB50" i="8" s="1"/>
  <c r="X41" i="4"/>
  <c r="BC47" i="8" s="1"/>
  <c r="R44" i="4"/>
  <c r="AW50" i="8" s="1"/>
  <c r="S44" i="4"/>
  <c r="AX50" i="8" s="1"/>
  <c r="N44" i="4"/>
  <c r="AS50" i="8" s="1"/>
  <c r="J44" i="4"/>
  <c r="AO50" i="8" s="1"/>
  <c r="L41" i="4"/>
  <c r="AQ47" i="8" s="1"/>
  <c r="K44" i="4"/>
  <c r="AP50" i="8" s="1"/>
  <c r="G44" i="4"/>
  <c r="AL50" i="8" s="1"/>
  <c r="X44" i="4"/>
  <c r="BC50" i="8" s="1"/>
  <c r="V44" i="4"/>
  <c r="BA50" i="8" s="1"/>
  <c r="P41" i="4"/>
  <c r="AU47" i="8" s="1"/>
  <c r="R41" i="4"/>
  <c r="AW47" i="8" s="1"/>
  <c r="G105" i="8"/>
  <c r="E57" i="4"/>
  <c r="AJ63" i="8" s="1"/>
  <c r="D57" i="4"/>
  <c r="AI63" i="8" s="1"/>
  <c r="G55" i="4"/>
  <c r="AL61" i="8" s="1"/>
  <c r="AE101" i="5"/>
  <c r="F95" i="10"/>
  <c r="I96" i="10"/>
  <c r="F96" i="10"/>
  <c r="G96" i="10"/>
  <c r="J96" i="10"/>
  <c r="H96" i="10"/>
  <c r="S90" i="4"/>
  <c r="AX97" i="8" s="1"/>
  <c r="T90" i="4"/>
  <c r="AY97" i="8" s="1"/>
  <c r="E90" i="4"/>
  <c r="AJ97" i="8" s="1"/>
  <c r="F90" i="4"/>
  <c r="AK97" i="8" s="1"/>
  <c r="U90" i="4"/>
  <c r="AZ97" i="8" s="1"/>
  <c r="N90" i="4"/>
  <c r="AS97" i="8" s="1"/>
  <c r="G90" i="4"/>
  <c r="AL97" i="8" s="1"/>
  <c r="W90" i="4"/>
  <c r="BB97" i="8" s="1"/>
  <c r="H90" i="4"/>
  <c r="AM97" i="8" s="1"/>
  <c r="X90" i="4"/>
  <c r="BC97" i="8" s="1"/>
  <c r="V90" i="4"/>
  <c r="BA97" i="8" s="1"/>
  <c r="I90" i="4"/>
  <c r="AN97" i="8" s="1"/>
  <c r="Y90" i="4"/>
  <c r="BD97" i="8" s="1"/>
  <c r="K90" i="4"/>
  <c r="AP97" i="8" s="1"/>
  <c r="L90" i="4"/>
  <c r="AQ97" i="8" s="1"/>
  <c r="M90" i="4"/>
  <c r="AR97" i="8" s="1"/>
  <c r="O90" i="4"/>
  <c r="AT97" i="8" s="1"/>
  <c r="U87" i="4"/>
  <c r="AZ94" i="8" s="1"/>
  <c r="W177" i="8"/>
  <c r="V87" i="4"/>
  <c r="BA94" i="8" s="1"/>
  <c r="X177" i="8"/>
  <c r="M87" i="4"/>
  <c r="AR94" i="8" s="1"/>
  <c r="O177" i="8"/>
  <c r="S87" i="4"/>
  <c r="AX94" i="8" s="1"/>
  <c r="U177" i="8"/>
  <c r="T87" i="4"/>
  <c r="AY94" i="8" s="1"/>
  <c r="V177" i="8"/>
  <c r="I87" i="4"/>
  <c r="AN94" i="8" s="1"/>
  <c r="K177" i="8"/>
  <c r="L87" i="4"/>
  <c r="AQ94" i="8" s="1"/>
  <c r="N177" i="8"/>
  <c r="F87" i="4"/>
  <c r="AK94" i="8" s="1"/>
  <c r="H177" i="8"/>
  <c r="W87" i="4"/>
  <c r="BB94" i="8" s="1"/>
  <c r="Y177" i="8"/>
  <c r="D87" i="4"/>
  <c r="AI94" i="8" s="1"/>
  <c r="H87" i="4"/>
  <c r="AM94" i="8" s="1"/>
  <c r="J177" i="8"/>
  <c r="O87" i="4"/>
  <c r="AT94" i="8" s="1"/>
  <c r="Q177" i="8"/>
  <c r="P87" i="4"/>
  <c r="AU94" i="8" s="1"/>
  <c r="R177" i="8"/>
  <c r="E87" i="4"/>
  <c r="AJ94" i="8" s="1"/>
  <c r="G177" i="8"/>
  <c r="G172" i="8" s="1"/>
  <c r="Q87" i="4"/>
  <c r="AV94" i="8" s="1"/>
  <c r="S177" i="8"/>
  <c r="R87" i="4"/>
  <c r="AW94" i="8" s="1"/>
  <c r="T177" i="8"/>
  <c r="G87" i="4"/>
  <c r="AL94" i="8" s="1"/>
  <c r="I177" i="8"/>
  <c r="K87" i="4"/>
  <c r="AP94" i="8" s="1"/>
  <c r="M177" i="8"/>
  <c r="Y87" i="4"/>
  <c r="BD94" i="8" s="1"/>
  <c r="AA177" i="8"/>
  <c r="N87" i="4"/>
  <c r="AS94" i="8" s="1"/>
  <c r="P177" i="8"/>
  <c r="X87" i="4"/>
  <c r="BC94" i="8" s="1"/>
  <c r="Z177" i="8"/>
  <c r="J87" i="4"/>
  <c r="AO94" i="8" s="1"/>
  <c r="L177" i="8"/>
  <c r="J78" i="4"/>
  <c r="AO85" i="8" s="1"/>
  <c r="L132" i="8"/>
  <c r="E78" i="4"/>
  <c r="AJ85" i="8" s="1"/>
  <c r="G132" i="8"/>
  <c r="G121" i="8" s="1"/>
  <c r="R78" i="4"/>
  <c r="AW85" i="8" s="1"/>
  <c r="T132" i="8"/>
  <c r="K78" i="4"/>
  <c r="AP85" i="8" s="1"/>
  <c r="M132" i="8"/>
  <c r="M78" i="4"/>
  <c r="AR85" i="8" s="1"/>
  <c r="O132" i="8"/>
  <c r="L78" i="4"/>
  <c r="AQ85" i="8" s="1"/>
  <c r="N132" i="8"/>
  <c r="T78" i="4"/>
  <c r="AY85" i="8" s="1"/>
  <c r="V132" i="8"/>
  <c r="W78" i="4"/>
  <c r="BB85" i="8" s="1"/>
  <c r="Y132" i="8"/>
  <c r="N78" i="4"/>
  <c r="AS85" i="8" s="1"/>
  <c r="P132" i="8"/>
  <c r="G78" i="4"/>
  <c r="AL85" i="8" s="1"/>
  <c r="I132" i="8"/>
  <c r="Y78" i="4"/>
  <c r="BD85" i="8" s="1"/>
  <c r="AA132" i="8"/>
  <c r="F78" i="4"/>
  <c r="AK85" i="8" s="1"/>
  <c r="H132" i="8"/>
  <c r="S78" i="4"/>
  <c r="AX85" i="8" s="1"/>
  <c r="U132" i="8"/>
  <c r="I78" i="4"/>
  <c r="AN85" i="8" s="1"/>
  <c r="K132" i="8"/>
  <c r="D78" i="4"/>
  <c r="AI85" i="8" s="1"/>
  <c r="H78" i="4"/>
  <c r="AM85" i="8" s="1"/>
  <c r="J132" i="8"/>
  <c r="X78" i="4"/>
  <c r="BC85" i="8" s="1"/>
  <c r="Z132" i="8"/>
  <c r="U78" i="4"/>
  <c r="AZ85" i="8" s="1"/>
  <c r="W132" i="8"/>
  <c r="V78" i="4"/>
  <c r="BA85" i="8" s="1"/>
  <c r="X132" i="8"/>
  <c r="P78" i="4"/>
  <c r="AU85" i="8" s="1"/>
  <c r="R132" i="8"/>
  <c r="O78" i="4"/>
  <c r="AT85" i="8" s="1"/>
  <c r="Q132" i="8"/>
  <c r="Q78" i="4"/>
  <c r="AV85" i="8" s="1"/>
  <c r="S132" i="8"/>
  <c r="K104" i="5"/>
  <c r="AI104" i="5"/>
  <c r="Q159" i="8"/>
  <c r="X159" i="8"/>
  <c r="N158" i="8"/>
  <c r="Z158" i="8"/>
  <c r="J159" i="8"/>
  <c r="U159" i="8"/>
  <c r="S158" i="8"/>
  <c r="M158" i="8"/>
  <c r="Y158" i="8"/>
  <c r="O158" i="8"/>
  <c r="T159" i="8"/>
  <c r="L158" i="8"/>
  <c r="I158" i="8"/>
  <c r="Z159" i="8"/>
  <c r="U158" i="8"/>
  <c r="P159" i="8"/>
  <c r="O159" i="8"/>
  <c r="J158" i="8"/>
  <c r="I159" i="8"/>
  <c r="S159" i="8"/>
  <c r="N159" i="8"/>
  <c r="AA159" i="8"/>
  <c r="V158" i="8"/>
  <c r="K159" i="8"/>
  <c r="V159" i="8"/>
  <c r="R159" i="8"/>
  <c r="M159" i="8"/>
  <c r="W158" i="8"/>
  <c r="L159" i="8"/>
  <c r="H159" i="8"/>
  <c r="R158" i="8"/>
  <c r="K158" i="8"/>
  <c r="Q158" i="8"/>
  <c r="X158" i="8"/>
  <c r="T158" i="8"/>
  <c r="Y159" i="8"/>
  <c r="P158" i="8"/>
  <c r="H158" i="8"/>
  <c r="AA158" i="8"/>
  <c r="G158" i="8"/>
  <c r="G115" i="8"/>
  <c r="G159" i="8"/>
  <c r="AD43" i="5"/>
  <c r="AD66" i="5" s="1"/>
  <c r="F22" i="4"/>
  <c r="AK27" i="8" s="1"/>
  <c r="AC43" i="5"/>
  <c r="AC66" i="5" s="1"/>
  <c r="E22" i="4"/>
  <c r="AJ27" i="8" s="1"/>
  <c r="I89" i="5"/>
  <c r="H90" i="5"/>
  <c r="AG89" i="5"/>
  <c r="AG90" i="5" s="1"/>
  <c r="H8" i="5"/>
  <c r="AF8" i="5"/>
  <c r="J105" i="5"/>
  <c r="E103" i="4"/>
  <c r="AJ113" i="8" s="1"/>
  <c r="H10" i="8"/>
  <c r="E34" i="5"/>
  <c r="E134" i="11"/>
  <c r="E95" i="4"/>
  <c r="AJ103" i="8" s="1"/>
  <c r="AG55" i="5"/>
  <c r="AC108" i="5"/>
  <c r="D95" i="4"/>
  <c r="AI103" i="8" s="1"/>
  <c r="D64" i="4"/>
  <c r="AI70" i="8" s="1"/>
  <c r="D25" i="4"/>
  <c r="AI31" i="8" s="1"/>
  <c r="AE6" i="5"/>
  <c r="G6" i="37" s="1"/>
  <c r="F11" i="5"/>
  <c r="F134" i="48" s="1"/>
  <c r="F108" i="5"/>
  <c r="E119" i="5"/>
  <c r="AF10" i="5"/>
  <c r="AJ42" i="5"/>
  <c r="AF7" i="5"/>
  <c r="H5" i="37" s="1"/>
  <c r="D10" i="4"/>
  <c r="AI13" i="8" s="1"/>
  <c r="AB119" i="5"/>
  <c r="AE40" i="5"/>
  <c r="G22" i="37" s="1"/>
  <c r="G25" i="37" s="1"/>
  <c r="G38" i="37" s="1"/>
  <c r="D119" i="5"/>
  <c r="D3" i="5" s="1"/>
  <c r="AF99" i="5"/>
  <c r="H55" i="37" s="1"/>
  <c r="H57" i="37" s="1"/>
  <c r="AC95" i="5"/>
  <c r="AF40" i="5"/>
  <c r="H22" i="37" s="1"/>
  <c r="H25" i="37" s="1"/>
  <c r="AD5" i="5"/>
  <c r="AD102" i="5"/>
  <c r="Q83" i="4" l="1"/>
  <c r="AV90" i="8" s="1"/>
  <c r="G47" i="8"/>
  <c r="O83" i="4"/>
  <c r="AT90" i="8" s="1"/>
  <c r="V83" i="4"/>
  <c r="BA90" i="8" s="1"/>
  <c r="X83" i="4"/>
  <c r="BC90" i="8" s="1"/>
  <c r="I12" i="8"/>
  <c r="Z28" i="8"/>
  <c r="H11" i="8"/>
  <c r="F11" i="10" s="1"/>
  <c r="D19" i="4"/>
  <c r="AI22" i="8" s="1"/>
  <c r="I83" i="4"/>
  <c r="AN90" i="8" s="1"/>
  <c r="F83" i="4"/>
  <c r="AK90" i="8" s="1"/>
  <c r="G83" i="4"/>
  <c r="AL90" i="8" s="1"/>
  <c r="W83" i="4"/>
  <c r="BB90" i="8" s="1"/>
  <c r="L83" i="4"/>
  <c r="AQ90" i="8" s="1"/>
  <c r="K83" i="4"/>
  <c r="AP90" i="8" s="1"/>
  <c r="E83" i="4"/>
  <c r="AJ90" i="8" s="1"/>
  <c r="U83" i="4"/>
  <c r="AZ90" i="8" s="1"/>
  <c r="H83" i="4"/>
  <c r="AM90" i="8" s="1"/>
  <c r="M65" i="8"/>
  <c r="AA28" i="8"/>
  <c r="J28" i="10" s="1"/>
  <c r="I29" i="8"/>
  <c r="G93" i="8"/>
  <c r="H47" i="8"/>
  <c r="P83" i="4"/>
  <c r="AU90" i="8" s="1"/>
  <c r="D83" i="4"/>
  <c r="AI90" i="8" s="1"/>
  <c r="S83" i="4"/>
  <c r="AX90" i="8" s="1"/>
  <c r="Y83" i="4"/>
  <c r="BD90" i="8" s="1"/>
  <c r="N83" i="4"/>
  <c r="AS90" i="8" s="1"/>
  <c r="T83" i="4"/>
  <c r="AY90" i="8" s="1"/>
  <c r="M83" i="4"/>
  <c r="AR90" i="8" s="1"/>
  <c r="R83" i="4"/>
  <c r="AW90" i="8" s="1"/>
  <c r="J83" i="4"/>
  <c r="AO90" i="8" s="1"/>
  <c r="L116" i="8"/>
  <c r="J97" i="10"/>
  <c r="H121" i="8"/>
  <c r="AE121" i="8" s="1"/>
  <c r="H172" i="8"/>
  <c r="AE172" i="8" s="1"/>
  <c r="G97" i="10"/>
  <c r="I97" i="10"/>
  <c r="F97" i="10"/>
  <c r="F116" i="10"/>
  <c r="H97" i="10"/>
  <c r="L95" i="8"/>
  <c r="P28" i="3"/>
  <c r="Q28" i="3"/>
  <c r="R28" i="3" s="1"/>
  <c r="S28" i="3" s="1"/>
  <c r="T28" i="3" s="1"/>
  <c r="H38" i="37"/>
  <c r="K99" i="5"/>
  <c r="K101" i="5" s="1"/>
  <c r="K60" i="4"/>
  <c r="AP66" i="8" s="1"/>
  <c r="K60" i="37"/>
  <c r="F149" i="11"/>
  <c r="F154" i="48"/>
  <c r="F58" i="4"/>
  <c r="AK64" i="8" s="1"/>
  <c r="F58" i="37"/>
  <c r="H9" i="4"/>
  <c r="AM12" i="8" s="1"/>
  <c r="H9" i="37"/>
  <c r="H7" i="4"/>
  <c r="AM10" i="8" s="1"/>
  <c r="H7" i="37"/>
  <c r="F4" i="4"/>
  <c r="AK7" i="8" s="1"/>
  <c r="F4" i="37"/>
  <c r="F10" i="37" s="1"/>
  <c r="F19" i="37" s="1"/>
  <c r="L24" i="4"/>
  <c r="AQ29" i="8" s="1"/>
  <c r="L24" i="37"/>
  <c r="P91" i="4"/>
  <c r="AU98" i="8" s="1"/>
  <c r="G54" i="4"/>
  <c r="AL60" i="8" s="1"/>
  <c r="AG65" i="5"/>
  <c r="N11" i="6"/>
  <c r="V14" i="6"/>
  <c r="E14" i="6"/>
  <c r="J11" i="6"/>
  <c r="Q14" i="6"/>
  <c r="P14" i="6"/>
  <c r="F14" i="6"/>
  <c r="I11" i="6"/>
  <c r="S11" i="6"/>
  <c r="C17" i="6"/>
  <c r="D17" i="6"/>
  <c r="C11" i="6"/>
  <c r="V11" i="6"/>
  <c r="K14" i="6"/>
  <c r="G11" i="6"/>
  <c r="W14" i="6"/>
  <c r="O14" i="6"/>
  <c r="R11" i="6"/>
  <c r="G14" i="6"/>
  <c r="E11" i="6"/>
  <c r="D14" i="6"/>
  <c r="J14" i="6"/>
  <c r="M14" i="6"/>
  <c r="N14" i="6"/>
  <c r="R14" i="6"/>
  <c r="P11" i="6"/>
  <c r="T14" i="6"/>
  <c r="I14" i="6"/>
  <c r="H14" i="6"/>
  <c r="L14" i="6"/>
  <c r="M11" i="6"/>
  <c r="C14" i="6"/>
  <c r="T11" i="6"/>
  <c r="H11" i="6"/>
  <c r="H53" i="4"/>
  <c r="AM59" i="8" s="1"/>
  <c r="U14" i="6"/>
  <c r="S14" i="6"/>
  <c r="W11" i="6"/>
  <c r="D11" i="6"/>
  <c r="O11" i="6"/>
  <c r="F11" i="6"/>
  <c r="L11" i="6"/>
  <c r="Q11" i="6"/>
  <c r="K11" i="6"/>
  <c r="U11" i="6"/>
  <c r="S23" i="6"/>
  <c r="J91" i="4"/>
  <c r="AO98" i="8" s="1"/>
  <c r="N91" i="4"/>
  <c r="AS98" i="8" s="1"/>
  <c r="K91" i="4"/>
  <c r="AP98" i="8" s="1"/>
  <c r="G91" i="4"/>
  <c r="AL98" i="8" s="1"/>
  <c r="Q91" i="4"/>
  <c r="AV98" i="8" s="1"/>
  <c r="H91" i="4"/>
  <c r="AM98" i="8" s="1"/>
  <c r="W91" i="4"/>
  <c r="BB98" i="8" s="1"/>
  <c r="L91" i="4"/>
  <c r="AQ98" i="8" s="1"/>
  <c r="T91" i="4"/>
  <c r="AY98" i="8" s="1"/>
  <c r="M91" i="4"/>
  <c r="AR98" i="8" s="1"/>
  <c r="U91" i="4"/>
  <c r="AZ98" i="8" s="1"/>
  <c r="X91" i="4"/>
  <c r="BC98" i="8" s="1"/>
  <c r="Y91" i="4"/>
  <c r="BD98" i="8" s="1"/>
  <c r="R91" i="4"/>
  <c r="AW98" i="8" s="1"/>
  <c r="E91" i="4"/>
  <c r="AJ98" i="8" s="1"/>
  <c r="O91" i="4"/>
  <c r="AT98" i="8" s="1"/>
  <c r="D91" i="4"/>
  <c r="AI98" i="8" s="1"/>
  <c r="F91" i="4"/>
  <c r="AK98" i="8" s="1"/>
  <c r="I91" i="4"/>
  <c r="AN98" i="8" s="1"/>
  <c r="S91" i="4"/>
  <c r="AX98" i="8" s="1"/>
  <c r="V91" i="4"/>
  <c r="BA98" i="8" s="1"/>
  <c r="G57" i="4"/>
  <c r="AL63" i="8" s="1"/>
  <c r="I105" i="8"/>
  <c r="H55" i="4"/>
  <c r="AM61" i="8" s="1"/>
  <c r="AF101" i="5"/>
  <c r="J158" i="10"/>
  <c r="F158" i="10"/>
  <c r="I158" i="10"/>
  <c r="J132" i="10"/>
  <c r="I132" i="10"/>
  <c r="G132" i="10"/>
  <c r="J177" i="10"/>
  <c r="F105" i="10"/>
  <c r="H177" i="10"/>
  <c r="I177" i="10"/>
  <c r="H158" i="10"/>
  <c r="F159" i="10"/>
  <c r="J159" i="10"/>
  <c r="F10" i="10"/>
  <c r="G159" i="10"/>
  <c r="I159" i="10"/>
  <c r="H159" i="10"/>
  <c r="G177" i="10"/>
  <c r="G158" i="10"/>
  <c r="H132" i="10"/>
  <c r="F177" i="10"/>
  <c r="F132" i="10"/>
  <c r="H148" i="8"/>
  <c r="L104" i="5"/>
  <c r="AJ104" i="5"/>
  <c r="E25" i="4"/>
  <c r="AJ31" i="8" s="1"/>
  <c r="K105" i="5"/>
  <c r="M95" i="8"/>
  <c r="J89" i="5"/>
  <c r="I90" i="5"/>
  <c r="I95" i="5" s="1"/>
  <c r="AH89" i="5"/>
  <c r="AH90" i="5" s="1"/>
  <c r="AE43" i="5"/>
  <c r="AE66" i="5" s="1"/>
  <c r="G22" i="4"/>
  <c r="AL27" i="8" s="1"/>
  <c r="I8" i="5"/>
  <c r="AG8" i="5"/>
  <c r="AF43" i="5"/>
  <c r="AF66" i="5" s="1"/>
  <c r="H22" i="4"/>
  <c r="AM27" i="8" s="1"/>
  <c r="H5" i="4"/>
  <c r="AM8" i="8" s="1"/>
  <c r="I10" i="8"/>
  <c r="G6" i="4"/>
  <c r="AL9" i="8" s="1"/>
  <c r="C32" i="6"/>
  <c r="C72" i="9" s="1"/>
  <c r="F25" i="4"/>
  <c r="AK31" i="8" s="1"/>
  <c r="D103" i="4"/>
  <c r="AI113" i="8" s="1"/>
  <c r="F34" i="5"/>
  <c r="F134" i="11"/>
  <c r="E64" i="4"/>
  <c r="AJ70" i="8" s="1"/>
  <c r="G43" i="5"/>
  <c r="G138" i="48" s="1"/>
  <c r="AH55" i="5"/>
  <c r="Q52" i="3" s="1"/>
  <c r="C76" i="9"/>
  <c r="C79" i="9"/>
  <c r="AC119" i="5"/>
  <c r="AK42" i="5"/>
  <c r="G108" i="5"/>
  <c r="F119" i="5"/>
  <c r="AG10" i="5"/>
  <c r="AG7" i="5"/>
  <c r="AF6" i="5"/>
  <c r="G11" i="5"/>
  <c r="G134" i="48" s="1"/>
  <c r="AF119" i="10"/>
  <c r="AF14" i="10"/>
  <c r="AF86" i="10"/>
  <c r="E10" i="4"/>
  <c r="AJ13" i="8" s="1"/>
  <c r="AD11" i="5"/>
  <c r="AD34" i="5" s="1"/>
  <c r="AG99" i="5"/>
  <c r="I55" i="37" s="1"/>
  <c r="I57" i="37" s="1"/>
  <c r="AE102" i="5"/>
  <c r="AD103" i="5"/>
  <c r="AE5" i="5"/>
  <c r="E2" i="4"/>
  <c r="V23" i="6" l="1"/>
  <c r="T23" i="6"/>
  <c r="T52" i="9" s="1"/>
  <c r="D23" i="6"/>
  <c r="D52" i="9" s="1"/>
  <c r="W23" i="6"/>
  <c r="W52" i="9" s="1"/>
  <c r="N23" i="6"/>
  <c r="N52" i="9" s="1"/>
  <c r="I23" i="6"/>
  <c r="I52" i="9" s="1"/>
  <c r="J23" i="6"/>
  <c r="J52" i="9" s="1"/>
  <c r="C23" i="6"/>
  <c r="C59" i="9" s="1"/>
  <c r="AB30" i="9" s="1"/>
  <c r="F23" i="6"/>
  <c r="F52" i="9" s="1"/>
  <c r="M23" i="6"/>
  <c r="M24" i="6" s="1"/>
  <c r="K23" i="6"/>
  <c r="K52" i="9" s="1"/>
  <c r="L23" i="6"/>
  <c r="L52" i="9" s="1"/>
  <c r="R23" i="6"/>
  <c r="R24" i="6" s="1"/>
  <c r="H42" i="8"/>
  <c r="F47" i="10"/>
  <c r="F42" i="10" s="1"/>
  <c r="G23" i="6"/>
  <c r="G52" i="9" s="1"/>
  <c r="O23" i="6"/>
  <c r="O59" i="9" s="1"/>
  <c r="AN30" i="9" s="1"/>
  <c r="H5" i="8"/>
  <c r="AC185" i="8"/>
  <c r="E23" i="6"/>
  <c r="E52" i="9" s="1"/>
  <c r="J47" i="8"/>
  <c r="N65" i="8"/>
  <c r="J29" i="8"/>
  <c r="H115" i="8"/>
  <c r="M116" i="8"/>
  <c r="I47" i="8"/>
  <c r="E19" i="4"/>
  <c r="AJ22" i="8" s="1"/>
  <c r="I11" i="8"/>
  <c r="P23" i="6"/>
  <c r="P52" i="9" s="1"/>
  <c r="U23" i="6"/>
  <c r="U24" i="6" s="1"/>
  <c r="H23" i="6"/>
  <c r="H24" i="6" s="1"/>
  <c r="Q23" i="6"/>
  <c r="Q52" i="9" s="1"/>
  <c r="N26" i="6"/>
  <c r="J12" i="8"/>
  <c r="F5" i="10"/>
  <c r="G95" i="10"/>
  <c r="AC141" i="8"/>
  <c r="AC133" i="8"/>
  <c r="L99" i="5"/>
  <c r="L101" i="5" s="1"/>
  <c r="F59" i="4"/>
  <c r="AK65" i="8" s="1"/>
  <c r="F59" i="37"/>
  <c r="F64" i="37" s="1"/>
  <c r="F74" i="37" s="1"/>
  <c r="G149" i="11"/>
  <c r="G154" i="48"/>
  <c r="L60" i="4"/>
  <c r="AQ66" i="8" s="1"/>
  <c r="L60" i="37"/>
  <c r="G58" i="4"/>
  <c r="AL64" i="8" s="1"/>
  <c r="G58" i="37"/>
  <c r="S24" i="6"/>
  <c r="S52" i="9"/>
  <c r="V52" i="9"/>
  <c r="I5" i="4"/>
  <c r="AN8" i="8" s="1"/>
  <c r="I5" i="37"/>
  <c r="H6" i="4"/>
  <c r="AM9" i="8" s="1"/>
  <c r="H6" i="37"/>
  <c r="I9" i="4"/>
  <c r="AN12" i="8" s="1"/>
  <c r="I9" i="37"/>
  <c r="I7" i="4"/>
  <c r="AN10" i="8" s="1"/>
  <c r="I7" i="37"/>
  <c r="G4" i="4"/>
  <c r="AL7" i="8" s="1"/>
  <c r="G4" i="37"/>
  <c r="G10" i="37" s="1"/>
  <c r="G19" i="37" s="1"/>
  <c r="M24" i="4"/>
  <c r="AR29" i="8" s="1"/>
  <c r="M24" i="37"/>
  <c r="E17" i="6"/>
  <c r="E18" i="6" s="1"/>
  <c r="G137" i="11"/>
  <c r="G66" i="5"/>
  <c r="D23" i="9"/>
  <c r="AC15" i="9" s="1"/>
  <c r="AZ15" i="9" s="1"/>
  <c r="D12" i="6"/>
  <c r="H54" i="4"/>
  <c r="AM60" i="8" s="1"/>
  <c r="T23" i="9"/>
  <c r="AS15" i="9" s="1"/>
  <c r="T12" i="6"/>
  <c r="M23" i="9"/>
  <c r="AL15" i="9" s="1"/>
  <c r="BB15" i="9" s="1"/>
  <c r="M12" i="6"/>
  <c r="H30" i="9"/>
  <c r="AG18" i="9" s="1"/>
  <c r="BA18" i="9" s="1"/>
  <c r="H15" i="6"/>
  <c r="T30" i="9"/>
  <c r="AS18" i="9" s="1"/>
  <c r="T15" i="6"/>
  <c r="R30" i="9"/>
  <c r="AQ18" i="9" s="1"/>
  <c r="BC18" i="9" s="1"/>
  <c r="R15" i="6"/>
  <c r="D30" i="9"/>
  <c r="AC18" i="9" s="1"/>
  <c r="AZ18" i="9" s="1"/>
  <c r="D15" i="6"/>
  <c r="W30" i="9"/>
  <c r="AV18" i="9" s="1"/>
  <c r="BD18" i="9" s="1"/>
  <c r="W15" i="6"/>
  <c r="V23" i="9"/>
  <c r="AU15" i="9" s="1"/>
  <c r="V12" i="6"/>
  <c r="F30" i="9"/>
  <c r="AE18" i="9" s="1"/>
  <c r="F15" i="6"/>
  <c r="N23" i="9"/>
  <c r="AM15" i="9" s="1"/>
  <c r="N12" i="6"/>
  <c r="K23" i="9"/>
  <c r="AJ15" i="9" s="1"/>
  <c r="K12" i="6"/>
  <c r="W23" i="9"/>
  <c r="AV15" i="9" s="1"/>
  <c r="BD15" i="9" s="1"/>
  <c r="W12" i="6"/>
  <c r="M30" i="9"/>
  <c r="AL18" i="9" s="1"/>
  <c r="BB18" i="9" s="1"/>
  <c r="M15" i="6"/>
  <c r="G30" i="9"/>
  <c r="AF18" i="9" s="1"/>
  <c r="G15" i="6"/>
  <c r="O30" i="9"/>
  <c r="AN18" i="9" s="1"/>
  <c r="O15" i="6"/>
  <c r="P30" i="9"/>
  <c r="AO18" i="9" s="1"/>
  <c r="P15" i="6"/>
  <c r="J23" i="9"/>
  <c r="AI15" i="9" s="1"/>
  <c r="J12" i="6"/>
  <c r="V30" i="9"/>
  <c r="AU18" i="9" s="1"/>
  <c r="V15" i="6"/>
  <c r="I53" i="4"/>
  <c r="AN59" i="8" s="1"/>
  <c r="L23" i="9"/>
  <c r="AK15" i="9" s="1"/>
  <c r="L12" i="6"/>
  <c r="O23" i="9"/>
  <c r="AN15" i="9" s="1"/>
  <c r="O12" i="6"/>
  <c r="U30" i="9"/>
  <c r="AT18" i="9" s="1"/>
  <c r="U15" i="6"/>
  <c r="H23" i="9"/>
  <c r="AG15" i="9" s="1"/>
  <c r="BA15" i="9" s="1"/>
  <c r="H12" i="6"/>
  <c r="C15" i="6"/>
  <c r="Y15" i="6" s="1"/>
  <c r="C30" i="9"/>
  <c r="AB18" i="9" s="1"/>
  <c r="L30" i="9"/>
  <c r="AK18" i="9" s="1"/>
  <c r="L15" i="6"/>
  <c r="I30" i="9"/>
  <c r="AH18" i="9" s="1"/>
  <c r="I15" i="6"/>
  <c r="N30" i="9"/>
  <c r="AM18" i="9" s="1"/>
  <c r="N15" i="6"/>
  <c r="E23" i="9"/>
  <c r="AD15" i="9" s="1"/>
  <c r="E12" i="6"/>
  <c r="G23" i="9"/>
  <c r="AF15" i="9" s="1"/>
  <c r="G12" i="6"/>
  <c r="C23" i="9"/>
  <c r="AB15" i="9" s="1"/>
  <c r="C12" i="6"/>
  <c r="Y12" i="6" s="1"/>
  <c r="C37" i="9"/>
  <c r="AB21" i="9" s="1"/>
  <c r="C18" i="6"/>
  <c r="Y18" i="6" s="1"/>
  <c r="I23" i="9"/>
  <c r="AH15" i="9" s="1"/>
  <c r="I12" i="6"/>
  <c r="AH65" i="5"/>
  <c r="U23" i="9"/>
  <c r="AT15" i="9" s="1"/>
  <c r="U12" i="6"/>
  <c r="Q23" i="9"/>
  <c r="AP15" i="9" s="1"/>
  <c r="Q12" i="6"/>
  <c r="F23" i="9"/>
  <c r="AE15" i="9" s="1"/>
  <c r="F12" i="6"/>
  <c r="S30" i="9"/>
  <c r="AR18" i="9" s="1"/>
  <c r="S15" i="6"/>
  <c r="P23" i="9"/>
  <c r="AO15" i="9" s="1"/>
  <c r="P12" i="6"/>
  <c r="J30" i="9"/>
  <c r="AI18" i="9" s="1"/>
  <c r="J15" i="6"/>
  <c r="R23" i="9"/>
  <c r="AQ15" i="9" s="1"/>
  <c r="BC15" i="9" s="1"/>
  <c r="R12" i="6"/>
  <c r="K30" i="9"/>
  <c r="AJ18" i="9" s="1"/>
  <c r="K15" i="6"/>
  <c r="D37" i="9"/>
  <c r="AC21" i="9" s="1"/>
  <c r="AZ21" i="9" s="1"/>
  <c r="D18" i="6"/>
  <c r="S23" i="9"/>
  <c r="AR15" i="9" s="1"/>
  <c r="S12" i="6"/>
  <c r="Q30" i="9"/>
  <c r="AP18" i="9" s="1"/>
  <c r="Q15" i="6"/>
  <c r="E30" i="9"/>
  <c r="AD18" i="9" s="1"/>
  <c r="E15" i="6"/>
  <c r="W24" i="6"/>
  <c r="V24" i="6"/>
  <c r="T26" i="6"/>
  <c r="T59" i="9" s="1"/>
  <c r="AS30" i="9" s="1"/>
  <c r="G26" i="6"/>
  <c r="G59" i="9" s="1"/>
  <c r="C26" i="6"/>
  <c r="C27" i="6" s="1"/>
  <c r="Y27" i="6" s="1"/>
  <c r="W26" i="6"/>
  <c r="S26" i="6"/>
  <c r="S59" i="9" s="1"/>
  <c r="AR30" i="9" s="1"/>
  <c r="R26" i="6"/>
  <c r="R59" i="9" s="1"/>
  <c r="AQ30" i="9" s="1"/>
  <c r="U26" i="6"/>
  <c r="U59" i="9" s="1"/>
  <c r="AT30" i="9" s="1"/>
  <c r="O26" i="6"/>
  <c r="I26" i="6"/>
  <c r="I59" i="9" s="1"/>
  <c r="AH30" i="9" s="1"/>
  <c r="H26" i="6"/>
  <c r="H59" i="9" s="1"/>
  <c r="AG30" i="9" s="1"/>
  <c r="T24" i="6"/>
  <c r="Q26" i="6"/>
  <c r="D26" i="6"/>
  <c r="M26" i="6"/>
  <c r="M59" i="9" s="1"/>
  <c r="AL30" i="9" s="1"/>
  <c r="P26" i="6"/>
  <c r="V26" i="6"/>
  <c r="V59" i="9" s="1"/>
  <c r="AU30" i="9" s="1"/>
  <c r="K26" i="6"/>
  <c r="K59" i="9" s="1"/>
  <c r="AJ30" i="9" s="1"/>
  <c r="J26" i="6"/>
  <c r="J59" i="9" s="1"/>
  <c r="AI30" i="9" s="1"/>
  <c r="F26" i="6"/>
  <c r="F59" i="9" s="1"/>
  <c r="E26" i="6"/>
  <c r="E59" i="9" s="1"/>
  <c r="L26" i="6"/>
  <c r="L59" i="9" s="1"/>
  <c r="AK30" i="9" s="1"/>
  <c r="D24" i="6"/>
  <c r="H57" i="4"/>
  <c r="AM63" i="8" s="1"/>
  <c r="J105" i="8"/>
  <c r="I55" i="4"/>
  <c r="AN61" i="8" s="1"/>
  <c r="AG101" i="5"/>
  <c r="AC178" i="8"/>
  <c r="AC186" i="8"/>
  <c r="AC175" i="8"/>
  <c r="AC183" i="8"/>
  <c r="AC179" i="8"/>
  <c r="AC180" i="8"/>
  <c r="AC181" i="8"/>
  <c r="AC184" i="8"/>
  <c r="AC173" i="8"/>
  <c r="AC176" i="8"/>
  <c r="AC174" i="8"/>
  <c r="AC182" i="8"/>
  <c r="AC137" i="8"/>
  <c r="AC140" i="8"/>
  <c r="AC129" i="8"/>
  <c r="AC131" i="8"/>
  <c r="AC136" i="8"/>
  <c r="AC123" i="8"/>
  <c r="AC142" i="8"/>
  <c r="AC135" i="8"/>
  <c r="AC127" i="8"/>
  <c r="AC128" i="8"/>
  <c r="AC124" i="8"/>
  <c r="AC126" i="8"/>
  <c r="AC125" i="8"/>
  <c r="AC130" i="8"/>
  <c r="AC138" i="8"/>
  <c r="AC139" i="8"/>
  <c r="AC122" i="8"/>
  <c r="AC134" i="8"/>
  <c r="M104" i="5"/>
  <c r="AK104" i="5"/>
  <c r="G25" i="4"/>
  <c r="AL31" i="8" s="1"/>
  <c r="M99" i="5"/>
  <c r="M101" i="5" s="1"/>
  <c r="K89" i="5"/>
  <c r="J90" i="5"/>
  <c r="J95" i="5" s="1"/>
  <c r="AI89" i="5"/>
  <c r="AI90" i="5" s="1"/>
  <c r="J8" i="5"/>
  <c r="AH8" i="5"/>
  <c r="L105" i="5"/>
  <c r="N95" i="8"/>
  <c r="E100" i="4"/>
  <c r="AJ110" i="8" s="1"/>
  <c r="D100" i="4"/>
  <c r="AI110" i="8" s="1"/>
  <c r="J10" i="8"/>
  <c r="H28" i="8"/>
  <c r="G34" i="5"/>
  <c r="G134" i="11"/>
  <c r="F95" i="4"/>
  <c r="AK103" i="8" s="1"/>
  <c r="AG40" i="5"/>
  <c r="H43" i="5"/>
  <c r="H138" i="48" s="1"/>
  <c r="AI53" i="5"/>
  <c r="C70" i="9"/>
  <c r="AD108" i="5"/>
  <c r="AH7" i="5"/>
  <c r="H108" i="5"/>
  <c r="G119" i="5"/>
  <c r="AL42" i="5"/>
  <c r="AG6" i="5"/>
  <c r="H11" i="5"/>
  <c r="H134" i="48" s="1"/>
  <c r="AH10" i="5"/>
  <c r="F10" i="4"/>
  <c r="AK13" i="8" s="1"/>
  <c r="AE11" i="5"/>
  <c r="AE34" i="5" s="1"/>
  <c r="AH99" i="5"/>
  <c r="AF5" i="5"/>
  <c r="AF102" i="5"/>
  <c r="AE103" i="5"/>
  <c r="I24" i="6" l="1"/>
  <c r="K24" i="6"/>
  <c r="P59" i="9"/>
  <c r="AO30" i="9" s="1"/>
  <c r="N24" i="6"/>
  <c r="P24" i="6"/>
  <c r="N59" i="9"/>
  <c r="AM30" i="9" s="1"/>
  <c r="U52" i="9"/>
  <c r="C24" i="6"/>
  <c r="Y24" i="6" s="1"/>
  <c r="H52" i="9"/>
  <c r="C52" i="9"/>
  <c r="AB27" i="9" s="1"/>
  <c r="Q24" i="6"/>
  <c r="M52" i="9"/>
  <c r="J24" i="6"/>
  <c r="R52" i="9"/>
  <c r="Q59" i="9"/>
  <c r="AP30" i="9" s="1"/>
  <c r="O52" i="9"/>
  <c r="O24" i="6"/>
  <c r="F24" i="6"/>
  <c r="E24" i="6"/>
  <c r="L24" i="6"/>
  <c r="G24" i="6"/>
  <c r="F115" i="10"/>
  <c r="F108" i="10" s="1"/>
  <c r="H108" i="8"/>
  <c r="N116" i="8"/>
  <c r="H93" i="8"/>
  <c r="O65" i="8"/>
  <c r="K29" i="8"/>
  <c r="J11" i="8"/>
  <c r="I115" i="8"/>
  <c r="F19" i="4"/>
  <c r="AK22" i="8" s="1"/>
  <c r="K12" i="8"/>
  <c r="H22" i="8"/>
  <c r="AE4" i="8" s="1"/>
  <c r="Q25" i="3"/>
  <c r="R25" i="3" s="1"/>
  <c r="S25" i="3" s="1"/>
  <c r="T25" i="3" s="1"/>
  <c r="P25" i="3"/>
  <c r="J55" i="37"/>
  <c r="J57" i="37" s="1"/>
  <c r="J106" i="37" s="1"/>
  <c r="Q6" i="3"/>
  <c r="R6" i="3" s="1"/>
  <c r="S6" i="3" s="1"/>
  <c r="T6" i="3" s="1"/>
  <c r="Q26" i="3"/>
  <c r="R26" i="3" s="1"/>
  <c r="S26" i="3" s="1"/>
  <c r="T26" i="3" s="1"/>
  <c r="P26" i="3"/>
  <c r="Q30" i="3"/>
  <c r="R30" i="3" s="1"/>
  <c r="S30" i="3" s="1"/>
  <c r="T30" i="3" s="1"/>
  <c r="P30" i="3"/>
  <c r="H58" i="4"/>
  <c r="AM64" i="8" s="1"/>
  <c r="H58" i="37"/>
  <c r="M60" i="4"/>
  <c r="AR66" i="8" s="1"/>
  <c r="M60" i="37"/>
  <c r="G59" i="4"/>
  <c r="AL65" i="8" s="1"/>
  <c r="G59" i="37"/>
  <c r="G64" i="37" s="1"/>
  <c r="G74" i="37" s="1"/>
  <c r="H149" i="11"/>
  <c r="H154" i="48"/>
  <c r="K52" i="37"/>
  <c r="K53" i="37" s="1"/>
  <c r="K54" i="37" s="1"/>
  <c r="K32" i="37"/>
  <c r="K37" i="37" s="1"/>
  <c r="K70" i="37"/>
  <c r="K73" i="37" s="1"/>
  <c r="K109" i="37" s="1"/>
  <c r="W59" i="9"/>
  <c r="AV30" i="9" s="1"/>
  <c r="J9" i="4"/>
  <c r="AO12" i="8" s="1"/>
  <c r="J9" i="37"/>
  <c r="J7" i="4"/>
  <c r="AO10" i="8" s="1"/>
  <c r="J7" i="37"/>
  <c r="I6" i="4"/>
  <c r="AN9" i="8" s="1"/>
  <c r="I6" i="37"/>
  <c r="J5" i="4"/>
  <c r="AO8" i="8" s="1"/>
  <c r="J5" i="37"/>
  <c r="H4" i="4"/>
  <c r="AM7" i="8" s="1"/>
  <c r="H4" i="37"/>
  <c r="H10" i="37" s="1"/>
  <c r="H19" i="37" s="1"/>
  <c r="N24" i="4"/>
  <c r="AS29" i="8" s="1"/>
  <c r="N24" i="37"/>
  <c r="I22" i="4"/>
  <c r="AN27" i="8" s="1"/>
  <c r="I22" i="37"/>
  <c r="I25" i="37" s="1"/>
  <c r="I38" i="37" s="1"/>
  <c r="AI55" i="5"/>
  <c r="AI65" i="5" s="1"/>
  <c r="K52" i="4"/>
  <c r="AP58" i="8" s="1"/>
  <c r="D27" i="6"/>
  <c r="D59" i="9"/>
  <c r="E37" i="9"/>
  <c r="AD21" i="9" s="1"/>
  <c r="I54" i="4"/>
  <c r="AN60" i="8" s="1"/>
  <c r="F17" i="6"/>
  <c r="H137" i="11"/>
  <c r="H66" i="5"/>
  <c r="J53" i="4"/>
  <c r="AO59" i="8" s="1"/>
  <c r="I57" i="4"/>
  <c r="AN63" i="8" s="1"/>
  <c r="K105" i="8"/>
  <c r="J55" i="4"/>
  <c r="AO61" i="8" s="1"/>
  <c r="AH101" i="5"/>
  <c r="F28" i="10"/>
  <c r="F22" i="10" s="1"/>
  <c r="N104" i="5"/>
  <c r="AL104" i="5"/>
  <c r="M105" i="5"/>
  <c r="O95" i="8"/>
  <c r="L89" i="5"/>
  <c r="AJ89" i="5"/>
  <c r="AJ90" i="5" s="1"/>
  <c r="K90" i="5"/>
  <c r="K95" i="5" s="1"/>
  <c r="K8" i="5"/>
  <c r="AI8" i="5"/>
  <c r="N99" i="5"/>
  <c r="N101" i="5" s="1"/>
  <c r="C29" i="6"/>
  <c r="K10" i="8"/>
  <c r="AG43" i="5"/>
  <c r="AG66" i="5" s="1"/>
  <c r="H34" i="5"/>
  <c r="H134" i="11"/>
  <c r="F64" i="4"/>
  <c r="AK70" i="8" s="1"/>
  <c r="G95" i="4"/>
  <c r="AL103" i="8" s="1"/>
  <c r="AH40" i="5"/>
  <c r="I43" i="5"/>
  <c r="I138" i="48" s="1"/>
  <c r="AI40" i="5"/>
  <c r="K22" i="37" s="1"/>
  <c r="K25" i="37" s="1"/>
  <c r="AJ53" i="5"/>
  <c r="AE108" i="5"/>
  <c r="I108" i="5"/>
  <c r="H119" i="5"/>
  <c r="AI10" i="5"/>
  <c r="AM42" i="5"/>
  <c r="AH6" i="5"/>
  <c r="I11" i="5"/>
  <c r="I134" i="48" s="1"/>
  <c r="AI7" i="5"/>
  <c r="E27" i="6"/>
  <c r="G10" i="4"/>
  <c r="AL13" i="8" s="1"/>
  <c r="I28" i="8"/>
  <c r="AB36" i="9"/>
  <c r="C33" i="6"/>
  <c r="AD119" i="5"/>
  <c r="AF11" i="5"/>
  <c r="AF34" i="5" s="1"/>
  <c r="AI99" i="5"/>
  <c r="K55" i="37" s="1"/>
  <c r="K57" i="37" s="1"/>
  <c r="AG102" i="5"/>
  <c r="AG5" i="5"/>
  <c r="AF103" i="5"/>
  <c r="H59" i="37" s="1"/>
  <c r="AC19" i="8" l="1"/>
  <c r="F93" i="10"/>
  <c r="F78" i="10" s="1"/>
  <c r="H78" i="8"/>
  <c r="AE77" i="8" s="1"/>
  <c r="AC91" i="8" s="1"/>
  <c r="I93" i="8"/>
  <c r="J115" i="8"/>
  <c r="K47" i="8"/>
  <c r="K11" i="8"/>
  <c r="L12" i="8"/>
  <c r="G12" i="10" s="1"/>
  <c r="G19" i="4"/>
  <c r="AL22" i="8" s="1"/>
  <c r="P65" i="8"/>
  <c r="L29" i="8"/>
  <c r="G29" i="10" s="1"/>
  <c r="O116" i="8"/>
  <c r="J22" i="37"/>
  <c r="J25" i="37" s="1"/>
  <c r="J38" i="37" s="1"/>
  <c r="Q19" i="3"/>
  <c r="R19" i="3" s="1"/>
  <c r="S19" i="3" s="1"/>
  <c r="T19" i="3" s="1"/>
  <c r="P19" i="3"/>
  <c r="J114" i="37"/>
  <c r="P24" i="3"/>
  <c r="Q24" i="3"/>
  <c r="R24" i="3" s="1"/>
  <c r="S24" i="3" s="1"/>
  <c r="T24" i="3" s="1"/>
  <c r="I58" i="4"/>
  <c r="AN64" i="8" s="1"/>
  <c r="I58" i="37"/>
  <c r="L70" i="37"/>
  <c r="L73" i="37" s="1"/>
  <c r="L109" i="37" s="1"/>
  <c r="L32" i="37"/>
  <c r="L37" i="37" s="1"/>
  <c r="L52" i="37"/>
  <c r="L53" i="37" s="1"/>
  <c r="L54" i="37" s="1"/>
  <c r="K116" i="37"/>
  <c r="H64" i="37"/>
  <c r="H74" i="37" s="1"/>
  <c r="K114" i="37"/>
  <c r="K106" i="37"/>
  <c r="K110" i="37" s="1"/>
  <c r="J110" i="37"/>
  <c r="AA80" i="37" s="1"/>
  <c r="AA77" i="37"/>
  <c r="N60" i="4"/>
  <c r="AS66" i="8" s="1"/>
  <c r="N60" i="37"/>
  <c r="I149" i="11"/>
  <c r="I154" i="48"/>
  <c r="K7" i="4"/>
  <c r="AP10" i="8" s="1"/>
  <c r="K7" i="37"/>
  <c r="K9" i="4"/>
  <c r="AP12" i="8" s="1"/>
  <c r="K9" i="37"/>
  <c r="I4" i="4"/>
  <c r="AN7" i="8" s="1"/>
  <c r="I4" i="37"/>
  <c r="I10" i="37" s="1"/>
  <c r="I19" i="37" s="1"/>
  <c r="J6" i="4"/>
  <c r="AO9" i="8" s="1"/>
  <c r="J6" i="37"/>
  <c r="K5" i="4"/>
  <c r="AP8" i="8" s="1"/>
  <c r="K5" i="37"/>
  <c r="K38" i="37"/>
  <c r="O24" i="4"/>
  <c r="AT29" i="8" s="1"/>
  <c r="O24" i="37"/>
  <c r="AJ55" i="5"/>
  <c r="AJ65" i="5" s="1"/>
  <c r="L52" i="4"/>
  <c r="AQ58" i="8" s="1"/>
  <c r="J54" i="4"/>
  <c r="AO60" i="8" s="1"/>
  <c r="K53" i="4"/>
  <c r="AP59" i="8" s="1"/>
  <c r="F37" i="9"/>
  <c r="AE21" i="9" s="1"/>
  <c r="F18" i="6"/>
  <c r="I137" i="11"/>
  <c r="I66" i="5"/>
  <c r="G17" i="6"/>
  <c r="L105" i="8"/>
  <c r="J57" i="4"/>
  <c r="AO63" i="8" s="1"/>
  <c r="K55" i="4"/>
  <c r="AP61" i="8" s="1"/>
  <c r="AI101" i="5"/>
  <c r="O104" i="5"/>
  <c r="AM104" i="5"/>
  <c r="O99" i="5"/>
  <c r="O101" i="5" s="1"/>
  <c r="AI43" i="5"/>
  <c r="AI66" i="5" s="1"/>
  <c r="K22" i="4"/>
  <c r="AP27" i="8" s="1"/>
  <c r="M89" i="5"/>
  <c r="AK89" i="5"/>
  <c r="AK90" i="5" s="1"/>
  <c r="L90" i="5"/>
  <c r="L95" i="5" s="1"/>
  <c r="L8" i="5"/>
  <c r="AJ8" i="5"/>
  <c r="AH43" i="5"/>
  <c r="AH66" i="5" s="1"/>
  <c r="J22" i="4"/>
  <c r="AO27" i="8" s="1"/>
  <c r="N105" i="5"/>
  <c r="P95" i="8"/>
  <c r="G64" i="4"/>
  <c r="AL70" i="8" s="1"/>
  <c r="H59" i="4"/>
  <c r="AM65" i="8" s="1"/>
  <c r="F100" i="4"/>
  <c r="AK110" i="8" s="1"/>
  <c r="I25" i="4"/>
  <c r="AN31" i="8" s="1"/>
  <c r="H25" i="4"/>
  <c r="AM31" i="8" s="1"/>
  <c r="L10" i="8"/>
  <c r="I34" i="5"/>
  <c r="I134" i="11"/>
  <c r="H95" i="4"/>
  <c r="AM103" i="8" s="1"/>
  <c r="J43" i="5"/>
  <c r="J138" i="48" s="1"/>
  <c r="AK53" i="5"/>
  <c r="C73" i="9"/>
  <c r="AF108" i="5"/>
  <c r="AJ7" i="5"/>
  <c r="AE119" i="5"/>
  <c r="AJ10" i="5"/>
  <c r="AI6" i="5"/>
  <c r="J11" i="5"/>
  <c r="J134" i="48" s="1"/>
  <c r="AN42" i="5"/>
  <c r="J108" i="5"/>
  <c r="I119" i="5"/>
  <c r="F27" i="6"/>
  <c r="H10" i="4"/>
  <c r="AM13" i="8" s="1"/>
  <c r="J28" i="8"/>
  <c r="AG11" i="5"/>
  <c r="AG34" i="5" s="1"/>
  <c r="AJ99" i="5"/>
  <c r="L55" i="37" s="1"/>
  <c r="L57" i="37" s="1"/>
  <c r="J116" i="4"/>
  <c r="E94" i="9" s="1"/>
  <c r="AH102" i="5"/>
  <c r="AH5" i="5"/>
  <c r="AG103" i="5"/>
  <c r="I59" i="37" s="1"/>
  <c r="AJ40" i="5"/>
  <c r="L22" i="37" s="1"/>
  <c r="L25" i="37" s="1"/>
  <c r="AC82" i="8" l="1"/>
  <c r="AC80" i="8"/>
  <c r="AC112" i="8"/>
  <c r="AC85" i="8"/>
  <c r="AC120" i="8"/>
  <c r="AC84" i="8"/>
  <c r="AC118" i="8"/>
  <c r="AC90" i="8"/>
  <c r="AC100" i="8"/>
  <c r="AC106" i="8"/>
  <c r="AC101" i="8"/>
  <c r="AC113" i="8"/>
  <c r="AC103" i="8"/>
  <c r="AC102" i="8"/>
  <c r="AC111" i="8"/>
  <c r="AC94" i="8"/>
  <c r="AC92" i="8"/>
  <c r="AC88" i="8"/>
  <c r="AC110" i="8"/>
  <c r="AC117" i="8"/>
  <c r="AC104" i="8"/>
  <c r="AC89" i="8"/>
  <c r="AC83" i="8"/>
  <c r="AC79" i="8"/>
  <c r="AC81" i="8"/>
  <c r="AC109" i="8"/>
  <c r="AC99" i="8"/>
  <c r="AC98" i="8"/>
  <c r="AC87" i="8"/>
  <c r="AC86" i="8"/>
  <c r="AC114" i="8"/>
  <c r="AC119" i="8"/>
  <c r="L11" i="8"/>
  <c r="G11" i="10" s="1"/>
  <c r="M12" i="8"/>
  <c r="K115" i="8"/>
  <c r="M29" i="8"/>
  <c r="P116" i="8"/>
  <c r="H19" i="4"/>
  <c r="AM22" i="8" s="1"/>
  <c r="M47" i="8"/>
  <c r="Q65" i="8"/>
  <c r="H65" i="10" s="1"/>
  <c r="G105" i="10"/>
  <c r="Q18" i="3"/>
  <c r="R18" i="3" s="1"/>
  <c r="S18" i="3" s="1"/>
  <c r="T18" i="3" s="1"/>
  <c r="P18" i="3"/>
  <c r="Q22" i="3"/>
  <c r="R22" i="3" s="1"/>
  <c r="S22" i="3" s="1"/>
  <c r="T22" i="3" s="1"/>
  <c r="P22" i="3"/>
  <c r="R27" i="3"/>
  <c r="S27" i="3" s="1"/>
  <c r="L116" i="37"/>
  <c r="J58" i="4"/>
  <c r="AO64" i="8" s="1"/>
  <c r="J58" i="37"/>
  <c r="J149" i="11"/>
  <c r="J154" i="48"/>
  <c r="O60" i="4"/>
  <c r="AT66" i="8" s="1"/>
  <c r="O60" i="37"/>
  <c r="M32" i="37"/>
  <c r="M37" i="37" s="1"/>
  <c r="M70" i="37"/>
  <c r="M73" i="37" s="1"/>
  <c r="M109" i="37" s="1"/>
  <c r="M52" i="37"/>
  <c r="M53" i="37" s="1"/>
  <c r="M54" i="37" s="1"/>
  <c r="L114" i="37"/>
  <c r="L106" i="37"/>
  <c r="L110" i="37" s="1"/>
  <c r="I64" i="37"/>
  <c r="I74" i="37" s="1"/>
  <c r="J4" i="4"/>
  <c r="AO7" i="8" s="1"/>
  <c r="J4" i="37"/>
  <c r="J10" i="37" s="1"/>
  <c r="K6" i="4"/>
  <c r="AP9" i="8" s="1"/>
  <c r="K6" i="37"/>
  <c r="L7" i="4"/>
  <c r="AQ10" i="8" s="1"/>
  <c r="L7" i="37"/>
  <c r="L9" i="4"/>
  <c r="AQ12" i="8" s="1"/>
  <c r="L9" i="37"/>
  <c r="L5" i="4"/>
  <c r="AQ8" i="8" s="1"/>
  <c r="L5" i="37"/>
  <c r="P24" i="4"/>
  <c r="AU29" i="8" s="1"/>
  <c r="P24" i="37"/>
  <c r="L38" i="37"/>
  <c r="AK55" i="5"/>
  <c r="AK65" i="5" s="1"/>
  <c r="M52" i="4"/>
  <c r="AR58" i="8" s="1"/>
  <c r="J93" i="8"/>
  <c r="L53" i="4"/>
  <c r="AQ59" i="8" s="1"/>
  <c r="H17" i="6"/>
  <c r="G37" i="9"/>
  <c r="AF21" i="9" s="1"/>
  <c r="G18" i="6"/>
  <c r="K54" i="4"/>
  <c r="AP60" i="8" s="1"/>
  <c r="J137" i="11"/>
  <c r="J66" i="5"/>
  <c r="K57" i="4"/>
  <c r="AP63" i="8" s="1"/>
  <c r="M105" i="8"/>
  <c r="L55" i="4"/>
  <c r="AQ61" i="8" s="1"/>
  <c r="AJ101" i="5"/>
  <c r="G10" i="10"/>
  <c r="P104" i="5"/>
  <c r="AN104" i="5"/>
  <c r="O105" i="5"/>
  <c r="Q95" i="8"/>
  <c r="L47" i="8"/>
  <c r="J25" i="4"/>
  <c r="AO31" i="8" s="1"/>
  <c r="M8" i="5"/>
  <c r="AK8" i="5"/>
  <c r="AJ43" i="5"/>
  <c r="AJ66" i="5" s="1"/>
  <c r="L22" i="4"/>
  <c r="AQ27" i="8" s="1"/>
  <c r="N89" i="5"/>
  <c r="AL89" i="5"/>
  <c r="AL90" i="5" s="1"/>
  <c r="M90" i="5"/>
  <c r="M95" i="5" s="1"/>
  <c r="P99" i="5"/>
  <c r="P101" i="5" s="1"/>
  <c r="H64" i="4"/>
  <c r="AM70" i="8" s="1"/>
  <c r="I59" i="4"/>
  <c r="AN65" i="8" s="1"/>
  <c r="G100" i="4"/>
  <c r="AL110" i="8" s="1"/>
  <c r="K25" i="4"/>
  <c r="AP31" i="8" s="1"/>
  <c r="M10" i="8"/>
  <c r="J34" i="5"/>
  <c r="J134" i="11"/>
  <c r="I3" i="5"/>
  <c r="I95" i="4"/>
  <c r="AN103" i="8" s="1"/>
  <c r="K43" i="5"/>
  <c r="K138" i="48" s="1"/>
  <c r="AL53" i="5"/>
  <c r="AG108" i="5"/>
  <c r="K108" i="5"/>
  <c r="J119" i="5"/>
  <c r="AJ6" i="5"/>
  <c r="K11" i="5"/>
  <c r="K134" i="48" s="1"/>
  <c r="AK10" i="5"/>
  <c r="AO42" i="5"/>
  <c r="AK7" i="5"/>
  <c r="G27" i="6"/>
  <c r="AF119" i="5"/>
  <c r="AG119" i="10"/>
  <c r="C30" i="6"/>
  <c r="Y30" i="6" s="1"/>
  <c r="C66" i="9"/>
  <c r="D29" i="6"/>
  <c r="I10" i="4"/>
  <c r="AN13" i="8" s="1"/>
  <c r="K28" i="8"/>
  <c r="J102" i="4"/>
  <c r="AO112" i="8" s="1"/>
  <c r="AH11" i="5"/>
  <c r="AH34" i="5" s="1"/>
  <c r="AJ102" i="5"/>
  <c r="AJ5" i="5"/>
  <c r="AK99" i="5"/>
  <c r="M55" i="37" s="1"/>
  <c r="M57" i="37" s="1"/>
  <c r="AI102" i="5"/>
  <c r="AK40" i="5"/>
  <c r="M22" i="37" s="1"/>
  <c r="M25" i="37" s="1"/>
  <c r="AH103" i="5"/>
  <c r="K116" i="4"/>
  <c r="AI5" i="5"/>
  <c r="I19" i="4" l="1"/>
  <c r="AN22" i="8" s="1"/>
  <c r="R65" i="8"/>
  <c r="N12" i="8"/>
  <c r="M11" i="8"/>
  <c r="N47" i="8"/>
  <c r="N29" i="8"/>
  <c r="Q116" i="8"/>
  <c r="L115" i="8"/>
  <c r="J59" i="37"/>
  <c r="J64" i="37" s="1"/>
  <c r="J74" i="37" s="1"/>
  <c r="Q21" i="3"/>
  <c r="R21" i="3" s="1"/>
  <c r="S21" i="3" s="1"/>
  <c r="T21" i="3" s="1"/>
  <c r="P21" i="3"/>
  <c r="P60" i="4"/>
  <c r="AU66" i="8" s="1"/>
  <c r="P60" i="37"/>
  <c r="K149" i="11"/>
  <c r="K154" i="48"/>
  <c r="M116" i="37"/>
  <c r="K58" i="4"/>
  <c r="AP64" i="8" s="1"/>
  <c r="K58" i="37"/>
  <c r="M106" i="37"/>
  <c r="M110" i="37" s="1"/>
  <c r="M114" i="37"/>
  <c r="L58" i="4"/>
  <c r="AQ64" i="8" s="1"/>
  <c r="L58" i="37"/>
  <c r="N70" i="37"/>
  <c r="N73" i="37" s="1"/>
  <c r="N109" i="37" s="1"/>
  <c r="N52" i="37"/>
  <c r="N53" i="37" s="1"/>
  <c r="N54" i="37" s="1"/>
  <c r="N32" i="37"/>
  <c r="N37" i="37" s="1"/>
  <c r="L4" i="4"/>
  <c r="AQ7" i="8" s="1"/>
  <c r="L4" i="37"/>
  <c r="M5" i="4"/>
  <c r="AR8" i="8" s="1"/>
  <c r="M5" i="37"/>
  <c r="L6" i="4"/>
  <c r="AQ9" i="8" s="1"/>
  <c r="L6" i="37"/>
  <c r="M7" i="4"/>
  <c r="AR10" i="8" s="1"/>
  <c r="M7" i="37"/>
  <c r="K4" i="4"/>
  <c r="AP7" i="8" s="1"/>
  <c r="K4" i="37"/>
  <c r="K10" i="37" s="1"/>
  <c r="M9" i="4"/>
  <c r="AR12" i="8" s="1"/>
  <c r="M9" i="37"/>
  <c r="J19" i="37"/>
  <c r="M38" i="37"/>
  <c r="Q24" i="4"/>
  <c r="AV29" i="8" s="1"/>
  <c r="Q24" i="37"/>
  <c r="AL55" i="5"/>
  <c r="AL65" i="5" s="1"/>
  <c r="N52" i="4"/>
  <c r="AS58" i="8" s="1"/>
  <c r="K93" i="8"/>
  <c r="M53" i="4"/>
  <c r="AR59" i="8" s="1"/>
  <c r="K137" i="11"/>
  <c r="K66" i="5"/>
  <c r="L54" i="4"/>
  <c r="AQ60" i="8" s="1"/>
  <c r="I17" i="6"/>
  <c r="AG27" i="9"/>
  <c r="H37" i="9"/>
  <c r="AG21" i="9" s="1"/>
  <c r="BA21" i="9" s="1"/>
  <c r="H18" i="6"/>
  <c r="L57" i="4"/>
  <c r="AQ63" i="8" s="1"/>
  <c r="N105" i="8"/>
  <c r="M55" i="4"/>
  <c r="AR61" i="8" s="1"/>
  <c r="AK101" i="5"/>
  <c r="H95" i="10"/>
  <c r="Q104" i="5"/>
  <c r="AO104" i="5"/>
  <c r="AK43" i="5"/>
  <c r="AK66" i="5" s="1"/>
  <c r="M22" i="4"/>
  <c r="AR27" i="8" s="1"/>
  <c r="Q99" i="5"/>
  <c r="Q101" i="5" s="1"/>
  <c r="O89" i="5"/>
  <c r="N90" i="5"/>
  <c r="N95" i="5" s="1"/>
  <c r="AM89" i="5"/>
  <c r="AM90" i="5" s="1"/>
  <c r="N8" i="5"/>
  <c r="AL8" i="5"/>
  <c r="P105" i="5"/>
  <c r="R95" i="8"/>
  <c r="I64" i="4"/>
  <c r="AN70" i="8" s="1"/>
  <c r="J59" i="4"/>
  <c r="AO65" i="8" s="1"/>
  <c r="J103" i="4"/>
  <c r="AO113" i="8" s="1"/>
  <c r="H100" i="4"/>
  <c r="AM110" i="8" s="1"/>
  <c r="N10" i="8"/>
  <c r="L28" i="8"/>
  <c r="L25" i="4"/>
  <c r="AQ31" i="8" s="1"/>
  <c r="K34" i="5"/>
  <c r="K134" i="11"/>
  <c r="J3" i="5"/>
  <c r="J95" i="4"/>
  <c r="AO103" i="8" s="1"/>
  <c r="L43" i="5"/>
  <c r="L138" i="48" s="1"/>
  <c r="AB33" i="9"/>
  <c r="AM53" i="5"/>
  <c r="H79" i="9"/>
  <c r="AH108" i="5"/>
  <c r="AL7" i="5"/>
  <c r="AG119" i="5"/>
  <c r="AL10" i="5"/>
  <c r="AP42" i="5"/>
  <c r="AK6" i="5"/>
  <c r="L11" i="5"/>
  <c r="L134" i="48" s="1"/>
  <c r="L108" i="5"/>
  <c r="K119" i="5"/>
  <c r="H27" i="6"/>
  <c r="E29" i="6"/>
  <c r="E66" i="9" s="1"/>
  <c r="AG86" i="10"/>
  <c r="D30" i="6"/>
  <c r="D66" i="9"/>
  <c r="J10" i="4"/>
  <c r="AO13" i="8" s="1"/>
  <c r="K102" i="4"/>
  <c r="AP112" i="8" s="1"/>
  <c r="AI11" i="5"/>
  <c r="AI34" i="5" s="1"/>
  <c r="AJ11" i="5"/>
  <c r="AJ34" i="5" s="1"/>
  <c r="AI103" i="5"/>
  <c r="K59" i="37" s="1"/>
  <c r="AK102" i="5"/>
  <c r="AH95" i="5"/>
  <c r="AK5" i="5"/>
  <c r="AL99" i="5"/>
  <c r="N55" i="37" s="1"/>
  <c r="N57" i="37" s="1"/>
  <c r="AL40" i="5"/>
  <c r="N22" i="37" s="1"/>
  <c r="N25" i="37" s="1"/>
  <c r="L116" i="4"/>
  <c r="N115" i="8" l="1"/>
  <c r="S65" i="8"/>
  <c r="O12" i="8"/>
  <c r="O29" i="8"/>
  <c r="R116" i="8"/>
  <c r="O47" i="8"/>
  <c r="J19" i="4"/>
  <c r="AO22" i="8" s="1"/>
  <c r="N11" i="8"/>
  <c r="M115" i="8"/>
  <c r="J115" i="37"/>
  <c r="J119" i="37" s="1"/>
  <c r="J108" i="37"/>
  <c r="AA78" i="37" s="1"/>
  <c r="N106" i="37"/>
  <c r="N110" i="37" s="1"/>
  <c r="N114" i="37"/>
  <c r="L149" i="11"/>
  <c r="L154" i="48"/>
  <c r="Q60" i="4"/>
  <c r="AV66" i="8" s="1"/>
  <c r="Q60" i="37"/>
  <c r="M58" i="4"/>
  <c r="AR64" i="8" s="1"/>
  <c r="M58" i="37"/>
  <c r="N116" i="37"/>
  <c r="O70" i="37"/>
  <c r="O73" i="37" s="1"/>
  <c r="O32" i="37"/>
  <c r="O37" i="37" s="1"/>
  <c r="O52" i="37"/>
  <c r="O53" i="37" s="1"/>
  <c r="O54" i="37" s="1"/>
  <c r="K64" i="37"/>
  <c r="K74" i="37" s="1"/>
  <c r="M6" i="4"/>
  <c r="AR9" i="8" s="1"/>
  <c r="M6" i="37"/>
  <c r="N5" i="4"/>
  <c r="AS8" i="8" s="1"/>
  <c r="N5" i="37"/>
  <c r="N9" i="4"/>
  <c r="AS12" i="8" s="1"/>
  <c r="N9" i="37"/>
  <c r="N7" i="4"/>
  <c r="AS10" i="8" s="1"/>
  <c r="N7" i="37"/>
  <c r="M4" i="4"/>
  <c r="AR7" i="8" s="1"/>
  <c r="M4" i="37"/>
  <c r="K19" i="37"/>
  <c r="L10" i="37"/>
  <c r="J126" i="37"/>
  <c r="J129" i="37"/>
  <c r="N38" i="37"/>
  <c r="R24" i="4"/>
  <c r="AW29" i="8" s="1"/>
  <c r="R24" i="37"/>
  <c r="AM55" i="5"/>
  <c r="O52" i="4"/>
  <c r="AT58" i="8" s="1"/>
  <c r="L93" i="8"/>
  <c r="L137" i="11"/>
  <c r="L66" i="5"/>
  <c r="M54" i="4"/>
  <c r="AR60" i="8" s="1"/>
  <c r="N53" i="4"/>
  <c r="AS59" i="8" s="1"/>
  <c r="AH27" i="9"/>
  <c r="I37" i="9"/>
  <c r="AH21" i="9" s="1"/>
  <c r="I18" i="6"/>
  <c r="J17" i="6"/>
  <c r="O105" i="8"/>
  <c r="M57" i="4"/>
  <c r="AR63" i="8" s="1"/>
  <c r="N55" i="4"/>
  <c r="AS61" i="8" s="1"/>
  <c r="AL101" i="5"/>
  <c r="G28" i="10"/>
  <c r="R104" i="5"/>
  <c r="AP104" i="5"/>
  <c r="AL43" i="5"/>
  <c r="AL66" i="5" s="1"/>
  <c r="N22" i="4"/>
  <c r="AS27" i="8" s="1"/>
  <c r="R99" i="5"/>
  <c r="R101" i="5" s="1"/>
  <c r="O8" i="5"/>
  <c r="AM8" i="5"/>
  <c r="Q105" i="5"/>
  <c r="S95" i="8"/>
  <c r="P89" i="5"/>
  <c r="O90" i="5"/>
  <c r="O95" i="5" s="1"/>
  <c r="AN89" i="5"/>
  <c r="AN90" i="5" s="1"/>
  <c r="J64" i="4"/>
  <c r="AO70" i="8" s="1"/>
  <c r="K59" i="4"/>
  <c r="AP65" i="8" s="1"/>
  <c r="K103" i="4"/>
  <c r="AP113" i="8" s="1"/>
  <c r="H32" i="6"/>
  <c r="H72" i="9" s="1"/>
  <c r="I100" i="4"/>
  <c r="AN110" i="8" s="1"/>
  <c r="O10" i="8"/>
  <c r="M25" i="4"/>
  <c r="AR31" i="8" s="1"/>
  <c r="L34" i="5"/>
  <c r="L134" i="11"/>
  <c r="K3" i="5"/>
  <c r="K95" i="4"/>
  <c r="AP103" i="8" s="1"/>
  <c r="M43" i="5"/>
  <c r="M138" i="48" s="1"/>
  <c r="AC33" i="9"/>
  <c r="AZ33" i="9" s="1"/>
  <c r="AC30" i="9"/>
  <c r="AZ30" i="9" s="1"/>
  <c r="AD33" i="9"/>
  <c r="AD30" i="9"/>
  <c r="AN53" i="5"/>
  <c r="H70" i="9"/>
  <c r="I79" i="9"/>
  <c r="AI108" i="5"/>
  <c r="AH119" i="5"/>
  <c r="M108" i="5"/>
  <c r="L119" i="5"/>
  <c r="AM10" i="5"/>
  <c r="AQ42" i="5"/>
  <c r="AM7" i="5"/>
  <c r="AL6" i="5"/>
  <c r="M11" i="5"/>
  <c r="M134" i="48" s="1"/>
  <c r="J27" i="6"/>
  <c r="I27" i="6"/>
  <c r="E30" i="6"/>
  <c r="L10" i="4"/>
  <c r="AQ13" i="8" s="1"/>
  <c r="N28" i="8"/>
  <c r="F29" i="6"/>
  <c r="K10" i="4"/>
  <c r="AP13" i="8" s="1"/>
  <c r="M28" i="8"/>
  <c r="L102" i="4"/>
  <c r="AQ112" i="8" s="1"/>
  <c r="AK11" i="5"/>
  <c r="AK34" i="5" s="1"/>
  <c r="AI95" i="5"/>
  <c r="AL102" i="5"/>
  <c r="AJ103" i="5"/>
  <c r="AL5" i="5"/>
  <c r="AM99" i="5"/>
  <c r="O55" i="37" s="1"/>
  <c r="O57" i="37" s="1"/>
  <c r="M116" i="4"/>
  <c r="AM40" i="5"/>
  <c r="O22" i="37" s="1"/>
  <c r="O25" i="37" s="1"/>
  <c r="M10" i="37" l="1"/>
  <c r="P29" i="8"/>
  <c r="K19" i="4"/>
  <c r="AP22" i="8" s="1"/>
  <c r="O115" i="8"/>
  <c r="L19" i="4"/>
  <c r="AQ22" i="8" s="1"/>
  <c r="P12" i="8"/>
  <c r="O11" i="8"/>
  <c r="P47" i="8"/>
  <c r="T65" i="8"/>
  <c r="S116" i="8"/>
  <c r="G93" i="10"/>
  <c r="AM65" i="5"/>
  <c r="P52" i="3"/>
  <c r="R52" i="3"/>
  <c r="S52" i="3" s="1"/>
  <c r="T52" i="3" s="1"/>
  <c r="M149" i="11"/>
  <c r="M154" i="48"/>
  <c r="O114" i="37"/>
  <c r="O106" i="37"/>
  <c r="N58" i="4"/>
  <c r="AS64" i="8" s="1"/>
  <c r="N58" i="37"/>
  <c r="P70" i="37"/>
  <c r="P73" i="37" s="1"/>
  <c r="P32" i="37"/>
  <c r="P37" i="37" s="1"/>
  <c r="P52" i="37"/>
  <c r="P53" i="37" s="1"/>
  <c r="P54" i="37" s="1"/>
  <c r="R60" i="4"/>
  <c r="AW66" i="8" s="1"/>
  <c r="R60" i="37"/>
  <c r="K115" i="37"/>
  <c r="K119" i="37" s="1"/>
  <c r="L59" i="4"/>
  <c r="AQ65" i="8" s="1"/>
  <c r="L59" i="37"/>
  <c r="L64" i="37" s="1"/>
  <c r="L74" i="37" s="1"/>
  <c r="K108" i="37"/>
  <c r="O109" i="37"/>
  <c r="AB113" i="37" s="1"/>
  <c r="O116" i="37"/>
  <c r="K129" i="37"/>
  <c r="K126" i="37"/>
  <c r="N4" i="4"/>
  <c r="AS7" i="8" s="1"/>
  <c r="N4" i="37"/>
  <c r="N6" i="4"/>
  <c r="AS9" i="8" s="1"/>
  <c r="N6" i="37"/>
  <c r="O7" i="4"/>
  <c r="AT10" i="8" s="1"/>
  <c r="O7" i="37"/>
  <c r="O9" i="4"/>
  <c r="AT12" i="8" s="1"/>
  <c r="O9" i="37"/>
  <c r="L19" i="37"/>
  <c r="M19" i="37"/>
  <c r="O5" i="4"/>
  <c r="AT8" i="8" s="1"/>
  <c r="O5" i="37"/>
  <c r="S24" i="4"/>
  <c r="AX29" i="8" s="1"/>
  <c r="S24" i="37"/>
  <c r="O38" i="37"/>
  <c r="AN55" i="5"/>
  <c r="AN65" i="5" s="1"/>
  <c r="P52" i="4"/>
  <c r="AU58" i="8" s="1"/>
  <c r="M93" i="8"/>
  <c r="N54" i="4"/>
  <c r="AS60" i="8" s="1"/>
  <c r="O53" i="4"/>
  <c r="AT59" i="8" s="1"/>
  <c r="M137" i="11"/>
  <c r="M66" i="5"/>
  <c r="AI27" i="9"/>
  <c r="J37" i="9"/>
  <c r="AI21" i="9" s="1"/>
  <c r="J18" i="6"/>
  <c r="K17" i="6"/>
  <c r="N57" i="4"/>
  <c r="AS63" i="8" s="1"/>
  <c r="P105" i="8"/>
  <c r="O55" i="4"/>
  <c r="AT61" i="8" s="1"/>
  <c r="AM101" i="5"/>
  <c r="S104" i="5"/>
  <c r="AQ104" i="5"/>
  <c r="J114" i="4"/>
  <c r="E92" i="9" s="1"/>
  <c r="AM43" i="5"/>
  <c r="O22" i="4"/>
  <c r="AT27" i="8" s="1"/>
  <c r="R105" i="5"/>
  <c r="T95" i="8"/>
  <c r="S99" i="5"/>
  <c r="S101" i="5" s="1"/>
  <c r="Q89" i="5"/>
  <c r="AO89" i="5"/>
  <c r="AO90" i="5" s="1"/>
  <c r="P90" i="5"/>
  <c r="P95" i="5" s="1"/>
  <c r="P8" i="5"/>
  <c r="AN8" i="5"/>
  <c r="L103" i="4"/>
  <c r="AQ113" i="8" s="1"/>
  <c r="J113" i="4"/>
  <c r="E91" i="9" s="1"/>
  <c r="J105" i="4"/>
  <c r="AA77" i="4" s="1"/>
  <c r="I32" i="6"/>
  <c r="I72" i="9" s="1"/>
  <c r="J100" i="4"/>
  <c r="AO110" i="8" s="1"/>
  <c r="P10" i="8"/>
  <c r="N25" i="4"/>
  <c r="AS31" i="8" s="1"/>
  <c r="K64" i="4"/>
  <c r="AP70" i="8" s="1"/>
  <c r="M34" i="5"/>
  <c r="M134" i="11"/>
  <c r="L3" i="5"/>
  <c r="AN40" i="5"/>
  <c r="P22" i="37" s="1"/>
  <c r="P25" i="37" s="1"/>
  <c r="N43" i="5"/>
  <c r="N138" i="48" s="1"/>
  <c r="AO53" i="5"/>
  <c r="I70" i="9"/>
  <c r="L95" i="4"/>
  <c r="AQ103" i="8" s="1"/>
  <c r="AJ108" i="5"/>
  <c r="AJ119" i="5" s="1"/>
  <c r="J79" i="9"/>
  <c r="AN10" i="5"/>
  <c r="J107" i="4"/>
  <c r="AR42" i="5"/>
  <c r="AM6" i="5"/>
  <c r="N11" i="5"/>
  <c r="N134" i="48" s="1"/>
  <c r="AN7" i="5"/>
  <c r="N108" i="5"/>
  <c r="M119" i="5"/>
  <c r="K27" i="6"/>
  <c r="AI119" i="5"/>
  <c r="F30" i="6"/>
  <c r="F66" i="9"/>
  <c r="M10" i="4"/>
  <c r="AR13" i="8" s="1"/>
  <c r="O28" i="8"/>
  <c r="G29" i="6"/>
  <c r="H33" i="6"/>
  <c r="M102" i="4"/>
  <c r="AR112" i="8" s="1"/>
  <c r="AL11" i="5"/>
  <c r="AL34" i="5" s="1"/>
  <c r="AJ95" i="5"/>
  <c r="AM102" i="5"/>
  <c r="AK103" i="5"/>
  <c r="AM5" i="5"/>
  <c r="AN99" i="5"/>
  <c r="P55" i="37" s="1"/>
  <c r="P57" i="37" s="1"/>
  <c r="N116" i="4"/>
  <c r="AM66" i="5" l="1"/>
  <c r="Q47" i="8"/>
  <c r="Q12" i="8"/>
  <c r="H12" i="10" s="1"/>
  <c r="P11" i="8"/>
  <c r="T116" i="8"/>
  <c r="N93" i="8"/>
  <c r="P115" i="8"/>
  <c r="U65" i="8"/>
  <c r="Q29" i="8"/>
  <c r="H29" i="10" s="1"/>
  <c r="M19" i="4"/>
  <c r="AR22" i="8" s="1"/>
  <c r="P116" i="37"/>
  <c r="S60" i="4"/>
  <c r="AX66" i="8" s="1"/>
  <c r="S60" i="37"/>
  <c r="Q70" i="37"/>
  <c r="Q73" i="37" s="1"/>
  <c r="Q109" i="37" s="1"/>
  <c r="Q52" i="37"/>
  <c r="Q53" i="37" s="1"/>
  <c r="Q54" i="37" s="1"/>
  <c r="Q32" i="37"/>
  <c r="Q37" i="37" s="1"/>
  <c r="P109" i="37"/>
  <c r="O110" i="37"/>
  <c r="AB114" i="37" s="1"/>
  <c r="AB111" i="37"/>
  <c r="M59" i="4"/>
  <c r="AR65" i="8" s="1"/>
  <c r="M59" i="37"/>
  <c r="M64" i="37" s="1"/>
  <c r="N149" i="11"/>
  <c r="N154" i="48"/>
  <c r="O58" i="4"/>
  <c r="AT64" i="8" s="1"/>
  <c r="O58" i="37"/>
  <c r="P106" i="37"/>
  <c r="P110" i="37" s="1"/>
  <c r="P114" i="37"/>
  <c r="L108" i="37"/>
  <c r="L115" i="37"/>
  <c r="L119" i="37" s="1"/>
  <c r="N10" i="37"/>
  <c r="N19" i="37" s="1"/>
  <c r="O4" i="4"/>
  <c r="AT7" i="8" s="1"/>
  <c r="O4" i="37"/>
  <c r="O6" i="4"/>
  <c r="AT9" i="8" s="1"/>
  <c r="O6" i="37"/>
  <c r="L129" i="37"/>
  <c r="L126" i="37"/>
  <c r="P5" i="4"/>
  <c r="AU8" i="8" s="1"/>
  <c r="P5" i="37"/>
  <c r="P9" i="4"/>
  <c r="AU12" i="8" s="1"/>
  <c r="P9" i="37"/>
  <c r="P7" i="4"/>
  <c r="AU10" i="8" s="1"/>
  <c r="P7" i="37"/>
  <c r="P38" i="37"/>
  <c r="T24" i="4"/>
  <c r="AY29" i="8" s="1"/>
  <c r="T24" i="37"/>
  <c r="AO55" i="5"/>
  <c r="AO65" i="5" s="1"/>
  <c r="Q52" i="4"/>
  <c r="AV58" i="8" s="1"/>
  <c r="U116" i="8"/>
  <c r="L17" i="6"/>
  <c r="N137" i="11"/>
  <c r="N66" i="5"/>
  <c r="AJ27" i="9"/>
  <c r="K37" i="9"/>
  <c r="AJ21" i="9" s="1"/>
  <c r="K18" i="6"/>
  <c r="O54" i="4"/>
  <c r="AT60" i="8" s="1"/>
  <c r="P53" i="4"/>
  <c r="AU59" i="8" s="1"/>
  <c r="Q105" i="8"/>
  <c r="O57" i="4"/>
  <c r="AT63" i="8" s="1"/>
  <c r="P55" i="4"/>
  <c r="AU61" i="8" s="1"/>
  <c r="AN101" i="5"/>
  <c r="T104" i="5"/>
  <c r="AR104" i="5"/>
  <c r="O25" i="4"/>
  <c r="AT31" i="8" s="1"/>
  <c r="R89" i="5"/>
  <c r="Q90" i="5"/>
  <c r="Q95" i="5" s="1"/>
  <c r="AP89" i="5"/>
  <c r="AP90" i="5" s="1"/>
  <c r="S105" i="5"/>
  <c r="U95" i="8"/>
  <c r="AN43" i="5"/>
  <c r="AN66" i="5" s="1"/>
  <c r="P22" i="4"/>
  <c r="AU27" i="8" s="1"/>
  <c r="Q8" i="5"/>
  <c r="AO8" i="5"/>
  <c r="T99" i="5"/>
  <c r="T101" i="5" s="1"/>
  <c r="K113" i="4"/>
  <c r="K105" i="4"/>
  <c r="K100" i="4"/>
  <c r="AP110" i="8" s="1"/>
  <c r="L113" i="4"/>
  <c r="L105" i="4"/>
  <c r="M103" i="4"/>
  <c r="AR113" i="8" s="1"/>
  <c r="K114" i="4"/>
  <c r="J32" i="6"/>
  <c r="J72" i="9" s="1"/>
  <c r="K107" i="4"/>
  <c r="Q10" i="8"/>
  <c r="N10" i="4"/>
  <c r="AS13" i="8" s="1"/>
  <c r="L64" i="4"/>
  <c r="AQ70" i="8" s="1"/>
  <c r="N34" i="5"/>
  <c r="N134" i="11"/>
  <c r="M3" i="5"/>
  <c r="L100" i="4"/>
  <c r="AQ110" i="8" s="1"/>
  <c r="O43" i="5"/>
  <c r="O138" i="48" s="1"/>
  <c r="AE33" i="9"/>
  <c r="AE30" i="9"/>
  <c r="AP53" i="5"/>
  <c r="AG36" i="9"/>
  <c r="BA36" i="9" s="1"/>
  <c r="AA78" i="4"/>
  <c r="J70" i="9"/>
  <c r="H73" i="9"/>
  <c r="M95" i="4"/>
  <c r="AR103" i="8" s="1"/>
  <c r="AK108" i="5"/>
  <c r="AK119" i="5" s="1"/>
  <c r="K79" i="9"/>
  <c r="AO10" i="5"/>
  <c r="AS42" i="5"/>
  <c r="O108" i="5"/>
  <c r="N119" i="5"/>
  <c r="AO7" i="5"/>
  <c r="AN6" i="5"/>
  <c r="O11" i="5"/>
  <c r="O134" i="48" s="1"/>
  <c r="L27" i="6"/>
  <c r="H29" i="6"/>
  <c r="G30" i="6"/>
  <c r="G66" i="9"/>
  <c r="I33" i="6"/>
  <c r="AH36" i="9"/>
  <c r="N102" i="4"/>
  <c r="AS112" i="8" s="1"/>
  <c r="AM11" i="5"/>
  <c r="AM34" i="5" s="1"/>
  <c r="AK95" i="5"/>
  <c r="AN102" i="5"/>
  <c r="AL103" i="5"/>
  <c r="N59" i="37" s="1"/>
  <c r="N64" i="37" s="1"/>
  <c r="N74" i="37" s="1"/>
  <c r="AN5" i="5"/>
  <c r="AO99" i="5"/>
  <c r="Q55" i="37" s="1"/>
  <c r="Q57" i="37" s="1"/>
  <c r="AO40" i="5"/>
  <c r="Q22" i="37" s="1"/>
  <c r="Q25" i="37" s="1"/>
  <c r="O116" i="4"/>
  <c r="F94" i="9" s="1"/>
  <c r="V65" i="8" l="1"/>
  <c r="I65" i="10" s="1"/>
  <c r="R47" i="8"/>
  <c r="N19" i="4"/>
  <c r="AS22" i="8" s="1"/>
  <c r="R29" i="8"/>
  <c r="Q11" i="8"/>
  <c r="H11" i="10" s="1"/>
  <c r="O93" i="8"/>
  <c r="Q115" i="8"/>
  <c r="R12" i="8"/>
  <c r="H105" i="10"/>
  <c r="P27" i="3"/>
  <c r="T27" i="3"/>
  <c r="Q116" i="37"/>
  <c r="P58" i="4"/>
  <c r="AU64" i="8" s="1"/>
  <c r="P58" i="37"/>
  <c r="R52" i="37"/>
  <c r="R53" i="37" s="1"/>
  <c r="R54" i="37" s="1"/>
  <c r="R70" i="37"/>
  <c r="R73" i="37" s="1"/>
  <c r="R32" i="37"/>
  <c r="R37" i="37" s="1"/>
  <c r="T60" i="4"/>
  <c r="AY66" i="8" s="1"/>
  <c r="T60" i="37"/>
  <c r="Q114" i="37"/>
  <c r="Q106" i="37"/>
  <c r="Q110" i="37" s="1"/>
  <c r="O149" i="11"/>
  <c r="O154" i="48"/>
  <c r="M74" i="37"/>
  <c r="M115" i="37"/>
  <c r="M119" i="37" s="1"/>
  <c r="M108" i="37"/>
  <c r="N115" i="37"/>
  <c r="N119" i="37" s="1"/>
  <c r="N108" i="37"/>
  <c r="P4" i="4"/>
  <c r="AU7" i="8" s="1"/>
  <c r="P4" i="37"/>
  <c r="P6" i="4"/>
  <c r="AU9" i="8" s="1"/>
  <c r="P6" i="37"/>
  <c r="N129" i="37"/>
  <c r="N126" i="37"/>
  <c r="O10" i="37"/>
  <c r="Q5" i="4"/>
  <c r="AV8" i="8" s="1"/>
  <c r="Q5" i="37"/>
  <c r="Q7" i="4"/>
  <c r="AV10" i="8" s="1"/>
  <c r="Q7" i="37"/>
  <c r="Q9" i="4"/>
  <c r="AV12" i="8" s="1"/>
  <c r="Q9" i="37"/>
  <c r="Q38" i="37"/>
  <c r="U24" i="4"/>
  <c r="AZ29" i="8" s="1"/>
  <c r="U24" i="37"/>
  <c r="AP55" i="5"/>
  <c r="AP65" i="5" s="1"/>
  <c r="R52" i="4"/>
  <c r="AW58" i="8" s="1"/>
  <c r="AK27" i="9"/>
  <c r="L37" i="9"/>
  <c r="AK21" i="9" s="1"/>
  <c r="L18" i="6"/>
  <c r="Q53" i="4"/>
  <c r="AV59" i="8" s="1"/>
  <c r="M17" i="6"/>
  <c r="P54" i="4"/>
  <c r="AU60" i="8" s="1"/>
  <c r="O137" i="11"/>
  <c r="O66" i="5"/>
  <c r="P57" i="4"/>
  <c r="AU63" i="8" s="1"/>
  <c r="R105" i="8"/>
  <c r="Q55" i="4"/>
  <c r="AV61" i="8" s="1"/>
  <c r="AO101" i="5"/>
  <c r="H10" i="10"/>
  <c r="U104" i="5"/>
  <c r="AS104" i="5"/>
  <c r="R8" i="5"/>
  <c r="AP8" i="5"/>
  <c r="U99" i="5"/>
  <c r="U101" i="5" s="1"/>
  <c r="T105" i="5"/>
  <c r="AR105" i="5"/>
  <c r="AO43" i="5"/>
  <c r="AO66" i="5" s="1"/>
  <c r="Q22" i="4"/>
  <c r="AV27" i="8" s="1"/>
  <c r="S89" i="5"/>
  <c r="R90" i="5"/>
  <c r="R95" i="5" s="1"/>
  <c r="AQ89" i="5"/>
  <c r="AQ90" i="5" s="1"/>
  <c r="M64" i="4"/>
  <c r="AR70" i="8" s="1"/>
  <c r="N59" i="4"/>
  <c r="AS65" i="8" s="1"/>
  <c r="M113" i="4"/>
  <c r="M105" i="4"/>
  <c r="K32" i="6"/>
  <c r="K72" i="9" s="1"/>
  <c r="N103" i="4"/>
  <c r="AS113" i="8" s="1"/>
  <c r="L107" i="4"/>
  <c r="P28" i="8"/>
  <c r="P25" i="4"/>
  <c r="AU31" i="8" s="1"/>
  <c r="L114" i="4"/>
  <c r="Q28" i="8"/>
  <c r="R10" i="8"/>
  <c r="O34" i="5"/>
  <c r="O134" i="11"/>
  <c r="N3" i="5"/>
  <c r="M100" i="4"/>
  <c r="AR110" i="8" s="1"/>
  <c r="P43" i="5"/>
  <c r="P138" i="48" s="1"/>
  <c r="AF33" i="9"/>
  <c r="AF30" i="9"/>
  <c r="AQ53" i="5"/>
  <c r="K70" i="9"/>
  <c r="I73" i="9"/>
  <c r="L79" i="9"/>
  <c r="N95" i="4"/>
  <c r="AS103" i="8" s="1"/>
  <c r="AL108" i="5"/>
  <c r="AL119" i="5" s="1"/>
  <c r="AT42" i="5"/>
  <c r="AP10" i="5"/>
  <c r="AO6" i="5"/>
  <c r="P11" i="5"/>
  <c r="P134" i="48" s="1"/>
  <c r="AP7" i="5"/>
  <c r="P108" i="5"/>
  <c r="O119" i="5"/>
  <c r="M27" i="6"/>
  <c r="I29" i="6"/>
  <c r="I30" i="6" s="1"/>
  <c r="AH119" i="10"/>
  <c r="H30" i="6"/>
  <c r="H66" i="9"/>
  <c r="O102" i="4"/>
  <c r="AT112" i="8" s="1"/>
  <c r="AI36" i="9"/>
  <c r="J33" i="6"/>
  <c r="AN11" i="5"/>
  <c r="AN34" i="5" s="1"/>
  <c r="AM103" i="5"/>
  <c r="O59" i="37" s="1"/>
  <c r="O64" i="37" s="1"/>
  <c r="O74" i="37" s="1"/>
  <c r="AO102" i="5"/>
  <c r="AL95" i="5"/>
  <c r="AO5" i="5"/>
  <c r="AP99" i="5"/>
  <c r="R55" i="37" s="1"/>
  <c r="R57" i="37" s="1"/>
  <c r="P116" i="4"/>
  <c r="AP40" i="5"/>
  <c r="R22" i="37" s="1"/>
  <c r="R25" i="37" s="1"/>
  <c r="T61" i="4" l="1"/>
  <c r="AY67" i="8" s="1"/>
  <c r="V95" i="8" s="1"/>
  <c r="I95" i="10" s="1"/>
  <c r="W65" i="8"/>
  <c r="S29" i="8"/>
  <c r="V116" i="8"/>
  <c r="R115" i="8"/>
  <c r="S47" i="8"/>
  <c r="S12" i="8"/>
  <c r="R11" i="8"/>
  <c r="R116" i="37"/>
  <c r="P149" i="11"/>
  <c r="P154" i="48"/>
  <c r="Q58" i="4"/>
  <c r="AV64" i="8" s="1"/>
  <c r="Q58" i="37"/>
  <c r="R109" i="37"/>
  <c r="R106" i="37"/>
  <c r="R110" i="37" s="1"/>
  <c r="R114" i="37"/>
  <c r="M129" i="37"/>
  <c r="M126" i="37"/>
  <c r="U60" i="4"/>
  <c r="AZ66" i="8" s="1"/>
  <c r="U60" i="37"/>
  <c r="S52" i="37"/>
  <c r="S53" i="37" s="1"/>
  <c r="S54" i="37" s="1"/>
  <c r="S32" i="37"/>
  <c r="S37" i="37" s="1"/>
  <c r="S70" i="37"/>
  <c r="S73" i="37" s="1"/>
  <c r="S109" i="37" s="1"/>
  <c r="R5" i="4"/>
  <c r="AW8" i="8" s="1"/>
  <c r="R5" i="37"/>
  <c r="R9" i="4"/>
  <c r="AW12" i="8" s="1"/>
  <c r="R9" i="37"/>
  <c r="R7" i="4"/>
  <c r="AW10" i="8" s="1"/>
  <c r="R7" i="37"/>
  <c r="O19" i="37"/>
  <c r="O115" i="37"/>
  <c r="O119" i="37" s="1"/>
  <c r="O108" i="37"/>
  <c r="AB112" i="37" s="1"/>
  <c r="Q4" i="4"/>
  <c r="AV7" i="8" s="1"/>
  <c r="Q4" i="37"/>
  <c r="Q6" i="4"/>
  <c r="AV9" i="8" s="1"/>
  <c r="Q6" i="37"/>
  <c r="P10" i="37"/>
  <c r="R38" i="37"/>
  <c r="V24" i="4"/>
  <c r="BA29" i="8" s="1"/>
  <c r="V24" i="37"/>
  <c r="AQ55" i="5"/>
  <c r="AQ65" i="5" s="1"/>
  <c r="S52" i="4"/>
  <c r="AX58" i="8" s="1"/>
  <c r="P93" i="8"/>
  <c r="R53" i="4"/>
  <c r="AW59" i="8" s="1"/>
  <c r="P137" i="11"/>
  <c r="P66" i="5"/>
  <c r="N17" i="6"/>
  <c r="AL27" i="9"/>
  <c r="M37" i="9"/>
  <c r="AL21" i="9" s="1"/>
  <c r="BB21" i="9" s="1"/>
  <c r="M18" i="6"/>
  <c r="Q54" i="4"/>
  <c r="AV60" i="8" s="1"/>
  <c r="Q57" i="4"/>
  <c r="AV63" i="8" s="1"/>
  <c r="S105" i="8"/>
  <c r="R55" i="4"/>
  <c r="AW61" i="8" s="1"/>
  <c r="AP101" i="5"/>
  <c r="H28" i="10"/>
  <c r="V104" i="5"/>
  <c r="AT104" i="5"/>
  <c r="M107" i="4"/>
  <c r="V99" i="5"/>
  <c r="V101" i="5" s="1"/>
  <c r="AT99" i="5"/>
  <c r="AP43" i="5"/>
  <c r="AP66" i="5" s="1"/>
  <c r="R22" i="4"/>
  <c r="AW27" i="8" s="1"/>
  <c r="T89" i="5"/>
  <c r="S90" i="5"/>
  <c r="S95" i="5" s="1"/>
  <c r="AR89" i="5"/>
  <c r="AR90" i="5" s="1"/>
  <c r="U105" i="5"/>
  <c r="AS105" i="5"/>
  <c r="S8" i="5"/>
  <c r="AQ8" i="5"/>
  <c r="M114" i="4"/>
  <c r="N64" i="4"/>
  <c r="AS70" i="8" s="1"/>
  <c r="O59" i="4"/>
  <c r="AT65" i="8" s="1"/>
  <c r="O103" i="4"/>
  <c r="AT113" i="8" s="1"/>
  <c r="N113" i="4"/>
  <c r="N105" i="4"/>
  <c r="L32" i="6"/>
  <c r="L72" i="9" s="1"/>
  <c r="O10" i="4"/>
  <c r="AT13" i="8" s="1"/>
  <c r="Q25" i="4"/>
  <c r="AV31" i="8" s="1"/>
  <c r="S10" i="8"/>
  <c r="P10" i="4"/>
  <c r="AU13" i="8" s="1"/>
  <c r="P34" i="5"/>
  <c r="P134" i="11"/>
  <c r="O3" i="5"/>
  <c r="N100" i="4"/>
  <c r="AS110" i="8" s="1"/>
  <c r="Q43" i="5"/>
  <c r="Q138" i="48" s="1"/>
  <c r="AG33" i="9"/>
  <c r="BA33" i="9" s="1"/>
  <c r="BA30" i="9"/>
  <c r="AR53" i="5"/>
  <c r="J73" i="9"/>
  <c r="L70" i="9"/>
  <c r="O95" i="4"/>
  <c r="AT103" i="8" s="1"/>
  <c r="AM108" i="5"/>
  <c r="AM119" i="5" s="1"/>
  <c r="M79" i="9"/>
  <c r="Q108" i="5"/>
  <c r="P119" i="5"/>
  <c r="AP6" i="5"/>
  <c r="Q11" i="5"/>
  <c r="Q134" i="48" s="1"/>
  <c r="AQ10" i="5"/>
  <c r="AQ7" i="5"/>
  <c r="AU42" i="5"/>
  <c r="N27" i="6"/>
  <c r="I66" i="9"/>
  <c r="J29" i="6"/>
  <c r="P102" i="4"/>
  <c r="AU112" i="8" s="1"/>
  <c r="AJ36" i="9"/>
  <c r="K33" i="6"/>
  <c r="AO11" i="5"/>
  <c r="AO34" i="5" s="1"/>
  <c r="AM95" i="5"/>
  <c r="AN103" i="5"/>
  <c r="P59" i="37" s="1"/>
  <c r="P64" i="37" s="1"/>
  <c r="P74" i="37" s="1"/>
  <c r="AP102" i="5"/>
  <c r="AP5" i="5"/>
  <c r="AQ99" i="5"/>
  <c r="S55" i="37" s="1"/>
  <c r="S57" i="37" s="1"/>
  <c r="Q116" i="4"/>
  <c r="AQ40" i="5"/>
  <c r="S22" i="37" s="1"/>
  <c r="S25" i="37" s="1"/>
  <c r="U61" i="4" l="1"/>
  <c r="AZ67" i="8" s="1"/>
  <c r="W95" i="8" s="1"/>
  <c r="O19" i="4"/>
  <c r="AT22" i="8" s="1"/>
  <c r="P19" i="4"/>
  <c r="AU22" i="8" s="1"/>
  <c r="T12" i="8"/>
  <c r="T47" i="8"/>
  <c r="T29" i="8"/>
  <c r="S115" i="8"/>
  <c r="X65" i="8"/>
  <c r="S11" i="8"/>
  <c r="W116" i="8"/>
  <c r="AT101" i="5"/>
  <c r="V55" i="37"/>
  <c r="V57" i="37" s="1"/>
  <c r="V60" i="4"/>
  <c r="BA66" i="8" s="1"/>
  <c r="V60" i="37"/>
  <c r="S114" i="37"/>
  <c r="S106" i="37"/>
  <c r="S110" i="37" s="1"/>
  <c r="S116" i="37"/>
  <c r="Q149" i="11"/>
  <c r="Q154" i="48"/>
  <c r="T70" i="37"/>
  <c r="T73" i="37" s="1"/>
  <c r="T32" i="37"/>
  <c r="T37" i="37" s="1"/>
  <c r="T52" i="37"/>
  <c r="T53" i="37" s="1"/>
  <c r="T54" i="37" s="1"/>
  <c r="R58" i="4"/>
  <c r="AW64" i="8" s="1"/>
  <c r="R58" i="37"/>
  <c r="Q10" i="37"/>
  <c r="Q19" i="37" s="1"/>
  <c r="O129" i="37"/>
  <c r="O126" i="37"/>
  <c r="P19" i="37"/>
  <c r="P115" i="37"/>
  <c r="P119" i="37" s="1"/>
  <c r="P108" i="37"/>
  <c r="R4" i="4"/>
  <c r="AW7" i="8" s="1"/>
  <c r="R4" i="37"/>
  <c r="S9" i="4"/>
  <c r="AX12" i="8" s="1"/>
  <c r="S9" i="37"/>
  <c r="R6" i="4"/>
  <c r="AW9" i="8" s="1"/>
  <c r="R6" i="37"/>
  <c r="S5" i="4"/>
  <c r="AX8" i="8" s="1"/>
  <c r="S5" i="37"/>
  <c r="S7" i="4"/>
  <c r="AX10" i="8" s="1"/>
  <c r="S7" i="37"/>
  <c r="W24" i="4"/>
  <c r="BB29" i="8" s="1"/>
  <c r="W24" i="37"/>
  <c r="S38" i="37"/>
  <c r="AR55" i="5"/>
  <c r="AR65" i="5" s="1"/>
  <c r="T52" i="4"/>
  <c r="AY58" i="8" s="1"/>
  <c r="Q93" i="8"/>
  <c r="S53" i="4"/>
  <c r="AX59" i="8" s="1"/>
  <c r="Q137" i="11"/>
  <c r="Q66" i="5"/>
  <c r="AM27" i="9"/>
  <c r="N37" i="9"/>
  <c r="AM21" i="9" s="1"/>
  <c r="N18" i="6"/>
  <c r="R54" i="4"/>
  <c r="AW60" i="8" s="1"/>
  <c r="O17" i="6"/>
  <c r="R57" i="4"/>
  <c r="AW63" i="8" s="1"/>
  <c r="T105" i="8"/>
  <c r="S55" i="4"/>
  <c r="AX61" i="8" s="1"/>
  <c r="AQ101" i="5"/>
  <c r="W104" i="5"/>
  <c r="AU104" i="5"/>
  <c r="N107" i="4"/>
  <c r="T8" i="5"/>
  <c r="AR8" i="5"/>
  <c r="V55" i="4"/>
  <c r="BA61" i="8" s="1"/>
  <c r="AQ43" i="5"/>
  <c r="AQ66" i="5" s="1"/>
  <c r="S22" i="4"/>
  <c r="AX27" i="8" s="1"/>
  <c r="U89" i="5"/>
  <c r="AS89" i="5"/>
  <c r="AS90" i="5" s="1"/>
  <c r="T90" i="5"/>
  <c r="T95" i="5" s="1"/>
  <c r="W99" i="5"/>
  <c r="W101" i="5" s="1"/>
  <c r="AU99" i="5"/>
  <c r="V105" i="5"/>
  <c r="AT105" i="5"/>
  <c r="N114" i="4"/>
  <c r="O64" i="4"/>
  <c r="AT70" i="8" s="1"/>
  <c r="P59" i="4"/>
  <c r="AU65" i="8" s="1"/>
  <c r="P103" i="4"/>
  <c r="AU113" i="8" s="1"/>
  <c r="O113" i="4"/>
  <c r="F91" i="9" s="1"/>
  <c r="O105" i="4"/>
  <c r="AB109" i="4" s="1"/>
  <c r="M32" i="6"/>
  <c r="M72" i="9" s="1"/>
  <c r="R28" i="8"/>
  <c r="R25" i="4"/>
  <c r="AW31" i="8" s="1"/>
  <c r="T10" i="8"/>
  <c r="Q34" i="5"/>
  <c r="Q134" i="11"/>
  <c r="P3" i="5"/>
  <c r="O100" i="4"/>
  <c r="AT110" i="8" s="1"/>
  <c r="R43" i="5"/>
  <c r="R138" i="48" s="1"/>
  <c r="AR40" i="5"/>
  <c r="T22" i="37" s="1"/>
  <c r="T25" i="37" s="1"/>
  <c r="AH33" i="9"/>
  <c r="AS53" i="5"/>
  <c r="K73" i="9"/>
  <c r="M70" i="9"/>
  <c r="N79" i="9"/>
  <c r="P95" i="4"/>
  <c r="AU103" i="8" s="1"/>
  <c r="AN108" i="5"/>
  <c r="AN119" i="5" s="1"/>
  <c r="AH86" i="10"/>
  <c r="AR7" i="5"/>
  <c r="AQ6" i="5"/>
  <c r="R11" i="5"/>
  <c r="R134" i="48" s="1"/>
  <c r="R108" i="5"/>
  <c r="Q119" i="5"/>
  <c r="AY44" i="5"/>
  <c r="AV42" i="5"/>
  <c r="AR10" i="5"/>
  <c r="O27" i="6"/>
  <c r="Q10" i="4"/>
  <c r="AV13" i="8" s="1"/>
  <c r="S28" i="8"/>
  <c r="J30" i="6"/>
  <c r="J66" i="9"/>
  <c r="K29" i="6"/>
  <c r="Q102" i="4"/>
  <c r="AV112" i="8" s="1"/>
  <c r="L33" i="6"/>
  <c r="AK36" i="9"/>
  <c r="AP11" i="5"/>
  <c r="AP34" i="5" s="1"/>
  <c r="AN95" i="5"/>
  <c r="AQ102" i="5"/>
  <c r="AO103" i="5"/>
  <c r="Q59" i="37" s="1"/>
  <c r="Q64" i="37" s="1"/>
  <c r="Q74" i="37" s="1"/>
  <c r="AQ5" i="5"/>
  <c r="AR99" i="5"/>
  <c r="T55" i="37" s="1"/>
  <c r="T57" i="37" s="1"/>
  <c r="R116" i="4"/>
  <c r="V61" i="4" l="1"/>
  <c r="BA67" i="8" s="1"/>
  <c r="X95" i="8" s="1"/>
  <c r="V57" i="4"/>
  <c r="BA63" i="8" s="1"/>
  <c r="Q19" i="4"/>
  <c r="AV22" i="8" s="1"/>
  <c r="U29" i="8"/>
  <c r="T11" i="8"/>
  <c r="T115" i="8"/>
  <c r="U47" i="8"/>
  <c r="Y65" i="8"/>
  <c r="U12" i="8"/>
  <c r="X116" i="8"/>
  <c r="H93" i="10"/>
  <c r="U32" i="37"/>
  <c r="U37" i="37" s="1"/>
  <c r="U52" i="37"/>
  <c r="U53" i="37" s="1"/>
  <c r="U54" i="37" s="1"/>
  <c r="U70" i="37"/>
  <c r="U73" i="37" s="1"/>
  <c r="U109" i="37" s="1"/>
  <c r="R149" i="11"/>
  <c r="R154" i="48"/>
  <c r="AU101" i="5"/>
  <c r="W55" i="37"/>
  <c r="W57" i="37" s="1"/>
  <c r="W60" i="4"/>
  <c r="BB66" i="8" s="1"/>
  <c r="W60" i="37"/>
  <c r="T109" i="37"/>
  <c r="AC113" i="37" s="1"/>
  <c r="T116" i="37"/>
  <c r="V106" i="37"/>
  <c r="V110" i="37" s="1"/>
  <c r="V114" i="37"/>
  <c r="T114" i="37"/>
  <c r="T106" i="37"/>
  <c r="S58" i="4"/>
  <c r="AX64" i="8" s="1"/>
  <c r="S58" i="37"/>
  <c r="Q108" i="37"/>
  <c r="Q115" i="37"/>
  <c r="Q119" i="37" s="1"/>
  <c r="S6" i="4"/>
  <c r="AX9" i="8" s="1"/>
  <c r="S6" i="37"/>
  <c r="T5" i="4"/>
  <c r="AY8" i="8" s="1"/>
  <c r="T5" i="37"/>
  <c r="S4" i="4"/>
  <c r="AX7" i="8" s="1"/>
  <c r="S4" i="37"/>
  <c r="T9" i="4"/>
  <c r="AY12" i="8" s="1"/>
  <c r="T9" i="37"/>
  <c r="T7" i="4"/>
  <c r="AY10" i="8" s="1"/>
  <c r="T7" i="37"/>
  <c r="R10" i="37"/>
  <c r="P129" i="37"/>
  <c r="P126" i="37"/>
  <c r="Q129" i="37"/>
  <c r="Q126" i="37"/>
  <c r="X24" i="4"/>
  <c r="BC29" i="8" s="1"/>
  <c r="X24" i="37"/>
  <c r="T38" i="37"/>
  <c r="AS55" i="5"/>
  <c r="AS65" i="5" s="1"/>
  <c r="U52" i="4"/>
  <c r="AZ58" i="8" s="1"/>
  <c r="R93" i="8"/>
  <c r="R137" i="11"/>
  <c r="R66" i="5"/>
  <c r="AN27" i="9"/>
  <c r="O37" i="9"/>
  <c r="AN21" i="9" s="1"/>
  <c r="O18" i="6"/>
  <c r="T53" i="4"/>
  <c r="AY59" i="8" s="1"/>
  <c r="P17" i="6"/>
  <c r="S54" i="4"/>
  <c r="AX60" i="8" s="1"/>
  <c r="U105" i="8"/>
  <c r="S57" i="4"/>
  <c r="AX63" i="8" s="1"/>
  <c r="T55" i="4"/>
  <c r="AY61" i="8" s="1"/>
  <c r="AR101" i="5"/>
  <c r="X105" i="8"/>
  <c r="X104" i="5"/>
  <c r="AW104" i="5" s="1"/>
  <c r="AV104" i="5"/>
  <c r="S25" i="4"/>
  <c r="AX31" i="8" s="1"/>
  <c r="X99" i="5"/>
  <c r="X101" i="5" s="1"/>
  <c r="AV99" i="5"/>
  <c r="V89" i="5"/>
  <c r="U90" i="5"/>
  <c r="U95" i="5" s="1"/>
  <c r="AT89" i="5"/>
  <c r="AT90" i="5" s="1"/>
  <c r="AR43" i="5"/>
  <c r="AR66" i="5" s="1"/>
  <c r="T22" i="4"/>
  <c r="AY27" i="8" s="1"/>
  <c r="W105" i="5"/>
  <c r="AU105" i="5"/>
  <c r="U8" i="5"/>
  <c r="AS8" i="5"/>
  <c r="W55" i="4"/>
  <c r="BB61" i="8" s="1"/>
  <c r="O114" i="4"/>
  <c r="F92" i="9" s="1"/>
  <c r="O107" i="4"/>
  <c r="AB110" i="4" s="1"/>
  <c r="P64" i="4"/>
  <c r="AU70" i="8" s="1"/>
  <c r="Q59" i="4"/>
  <c r="AV65" i="8" s="1"/>
  <c r="N32" i="6"/>
  <c r="N72" i="9" s="1"/>
  <c r="Q103" i="4"/>
  <c r="AV113" i="8" s="1"/>
  <c r="P113" i="4"/>
  <c r="P105" i="4"/>
  <c r="U10" i="8"/>
  <c r="R10" i="4"/>
  <c r="AW13" i="8" s="1"/>
  <c r="R34" i="5"/>
  <c r="R134" i="11"/>
  <c r="Q3" i="5"/>
  <c r="P100" i="4"/>
  <c r="AU110" i="8" s="1"/>
  <c r="S43" i="5"/>
  <c r="S138" i="48" s="1"/>
  <c r="AI33" i="9"/>
  <c r="AT53" i="5"/>
  <c r="L73" i="9"/>
  <c r="N70" i="9"/>
  <c r="Q95" i="4"/>
  <c r="AV103" i="8" s="1"/>
  <c r="AO108" i="5"/>
  <c r="AO119" i="5" s="1"/>
  <c r="O79" i="9"/>
  <c r="AS10" i="5"/>
  <c r="AR6" i="5"/>
  <c r="S11" i="5"/>
  <c r="S134" i="48" s="1"/>
  <c r="AS7" i="5"/>
  <c r="S108" i="5"/>
  <c r="R119" i="5"/>
  <c r="AW42" i="5"/>
  <c r="P27" i="6"/>
  <c r="T28" i="8"/>
  <c r="K30" i="6"/>
  <c r="K66" i="9"/>
  <c r="L29" i="6"/>
  <c r="R102" i="4"/>
  <c r="AW112" i="8" s="1"/>
  <c r="M33" i="6"/>
  <c r="AQ11" i="5"/>
  <c r="AQ34" i="5" s="1"/>
  <c r="AP103" i="5"/>
  <c r="AR102" i="5"/>
  <c r="AO95" i="5"/>
  <c r="AR5" i="5"/>
  <c r="AS99" i="5"/>
  <c r="U55" i="37" s="1"/>
  <c r="U57" i="37" s="1"/>
  <c r="S116" i="4"/>
  <c r="AS40" i="5"/>
  <c r="U22" i="37" s="1"/>
  <c r="U25" i="37" s="1"/>
  <c r="W61" i="4" l="1"/>
  <c r="BB67" i="8" s="1"/>
  <c r="Y95" i="8" s="1"/>
  <c r="V29" i="8"/>
  <c r="I29" i="10" s="1"/>
  <c r="U11" i="8"/>
  <c r="U115" i="8"/>
  <c r="Y116" i="8"/>
  <c r="W57" i="4"/>
  <c r="BB63" i="8" s="1"/>
  <c r="Y105" i="8"/>
  <c r="Z65" i="8"/>
  <c r="V47" i="8"/>
  <c r="R19" i="4"/>
  <c r="AW22" i="8" s="1"/>
  <c r="V12" i="8"/>
  <c r="I12" i="10" s="1"/>
  <c r="S10" i="37"/>
  <c r="S19" i="37" s="1"/>
  <c r="U116" i="37"/>
  <c r="Y60" i="4"/>
  <c r="BD66" i="8" s="1"/>
  <c r="Y60" i="37"/>
  <c r="Y134" i="48"/>
  <c r="S135" i="48" s="1"/>
  <c r="V70" i="37"/>
  <c r="V73" i="37" s="1"/>
  <c r="V109" i="37" s="1"/>
  <c r="V32" i="37"/>
  <c r="V37" i="37" s="1"/>
  <c r="V52" i="37"/>
  <c r="V53" i="37" s="1"/>
  <c r="V54" i="37" s="1"/>
  <c r="S149" i="11"/>
  <c r="Y149" i="11" s="1"/>
  <c r="S150" i="11" s="1"/>
  <c r="S154" i="48"/>
  <c r="AC111" i="37"/>
  <c r="T110" i="37"/>
  <c r="AC114" i="37" s="1"/>
  <c r="W114" i="37"/>
  <c r="W106" i="37"/>
  <c r="W110" i="37" s="1"/>
  <c r="U114" i="37"/>
  <c r="U106" i="37"/>
  <c r="U110" i="37" s="1"/>
  <c r="AV101" i="5"/>
  <c r="X55" i="37"/>
  <c r="X57" i="37" s="1"/>
  <c r="R59" i="4"/>
  <c r="AW65" i="8" s="1"/>
  <c r="R59" i="37"/>
  <c r="R64" i="37" s="1"/>
  <c r="R74" i="37" s="1"/>
  <c r="T58" i="4"/>
  <c r="AY64" i="8" s="1"/>
  <c r="T58" i="37"/>
  <c r="Y138" i="48"/>
  <c r="S139" i="48" s="1"/>
  <c r="X60" i="4"/>
  <c r="BC66" i="8" s="1"/>
  <c r="X60" i="37"/>
  <c r="U5" i="4"/>
  <c r="AZ8" i="8" s="1"/>
  <c r="U5" i="37"/>
  <c r="R19" i="37"/>
  <c r="T4" i="4"/>
  <c r="AY7" i="8" s="1"/>
  <c r="T4" i="37"/>
  <c r="U9" i="4"/>
  <c r="AZ12" i="8" s="1"/>
  <c r="U9" i="37"/>
  <c r="U7" i="4"/>
  <c r="AZ10" i="8" s="1"/>
  <c r="U7" i="37"/>
  <c r="T6" i="4"/>
  <c r="AY9" i="8" s="1"/>
  <c r="T6" i="37"/>
  <c r="U38" i="37"/>
  <c r="Y24" i="4"/>
  <c r="BD29" i="8" s="1"/>
  <c r="Y24" i="37"/>
  <c r="AT55" i="5"/>
  <c r="AT65" i="5" s="1"/>
  <c r="V52" i="4"/>
  <c r="BA58" i="8" s="1"/>
  <c r="S93" i="8"/>
  <c r="Q17" i="6"/>
  <c r="AY120" i="5"/>
  <c r="U53" i="4"/>
  <c r="AZ59" i="8" s="1"/>
  <c r="S137" i="11"/>
  <c r="S66" i="5"/>
  <c r="AO27" i="9"/>
  <c r="P37" i="9"/>
  <c r="AO21" i="9" s="1"/>
  <c r="P18" i="6"/>
  <c r="T54" i="4"/>
  <c r="AY60" i="8" s="1"/>
  <c r="P114" i="4"/>
  <c r="T57" i="4"/>
  <c r="AY63" i="8" s="1"/>
  <c r="V105" i="8"/>
  <c r="U55" i="4"/>
  <c r="AZ61" i="8" s="1"/>
  <c r="AS101" i="5"/>
  <c r="P107" i="4"/>
  <c r="AS43" i="5"/>
  <c r="AS66" i="5" s="1"/>
  <c r="U22" i="4"/>
  <c r="AZ27" i="8" s="1"/>
  <c r="W89" i="5"/>
  <c r="V90" i="5"/>
  <c r="V95" i="5" s="1"/>
  <c r="AU89" i="5"/>
  <c r="AU90" i="5" s="1"/>
  <c r="V8" i="5"/>
  <c r="AT8" i="5"/>
  <c r="X55" i="4"/>
  <c r="BC61" i="8" s="1"/>
  <c r="X105" i="5"/>
  <c r="AW105" i="5" s="1"/>
  <c r="AV105" i="5"/>
  <c r="AW99" i="5"/>
  <c r="Q113" i="4"/>
  <c r="Q105" i="4"/>
  <c r="O32" i="6"/>
  <c r="O72" i="9" s="1"/>
  <c r="R103" i="4"/>
  <c r="AW113" i="8" s="1"/>
  <c r="V10" i="8"/>
  <c r="T25" i="4"/>
  <c r="AY31" i="8" s="1"/>
  <c r="Q64" i="4"/>
  <c r="AV70" i="8" s="1"/>
  <c r="S34" i="5"/>
  <c r="S134" i="11"/>
  <c r="R3" i="5"/>
  <c r="Q100" i="4"/>
  <c r="AV110" i="8" s="1"/>
  <c r="T43" i="5"/>
  <c r="T138" i="48" s="1"/>
  <c r="AJ33" i="9"/>
  <c r="AU53" i="5"/>
  <c r="AL36" i="9"/>
  <c r="BB36" i="9" s="1"/>
  <c r="M73" i="9"/>
  <c r="O70" i="9"/>
  <c r="R95" i="4"/>
  <c r="AW103" i="8" s="1"/>
  <c r="AP108" i="5"/>
  <c r="AP119" i="5" s="1"/>
  <c r="P79" i="9"/>
  <c r="AJ119" i="10"/>
  <c r="T108" i="5"/>
  <c r="S119" i="5"/>
  <c r="AS6" i="5"/>
  <c r="T11" i="5"/>
  <c r="T134" i="48" s="1"/>
  <c r="AT7" i="5"/>
  <c r="AT10" i="5"/>
  <c r="Q27" i="6"/>
  <c r="S10" i="4"/>
  <c r="AX13" i="8" s="1"/>
  <c r="U28" i="8"/>
  <c r="L30" i="6"/>
  <c r="L66" i="9"/>
  <c r="M29" i="6"/>
  <c r="S102" i="4"/>
  <c r="AX112" i="8" s="1"/>
  <c r="AM36" i="9"/>
  <c r="N33" i="6"/>
  <c r="AR11" i="5"/>
  <c r="AR34" i="5" s="1"/>
  <c r="AP95" i="5"/>
  <c r="AS102" i="5"/>
  <c r="AQ103" i="5"/>
  <c r="AS5" i="5"/>
  <c r="AT40" i="5"/>
  <c r="V22" i="37" s="1"/>
  <c r="V25" i="37" s="1"/>
  <c r="T116" i="4"/>
  <c r="G94" i="9" s="1"/>
  <c r="Y61" i="4" l="1"/>
  <c r="BD67" i="8" s="1"/>
  <c r="AA95" i="8" s="1"/>
  <c r="J95" i="10" s="1"/>
  <c r="X61" i="4"/>
  <c r="BC67" i="8" s="1"/>
  <c r="Z95" i="8" s="1"/>
  <c r="W47" i="8"/>
  <c r="Z116" i="8"/>
  <c r="V11" i="8"/>
  <c r="I11" i="10" s="1"/>
  <c r="W12" i="8"/>
  <c r="T93" i="8"/>
  <c r="AA116" i="8"/>
  <c r="S19" i="4"/>
  <c r="AX22" i="8" s="1"/>
  <c r="AA65" i="8"/>
  <c r="J65" i="10" s="1"/>
  <c r="X57" i="4"/>
  <c r="BC63" i="8" s="1"/>
  <c r="Z105" i="8"/>
  <c r="W29" i="8"/>
  <c r="V115" i="8"/>
  <c r="I105" i="10"/>
  <c r="T139" i="48"/>
  <c r="T135" i="48"/>
  <c r="R115" i="37"/>
  <c r="R119" i="37" s="1"/>
  <c r="R108" i="37"/>
  <c r="X114" i="37"/>
  <c r="X106" i="37"/>
  <c r="X110" i="37" s="1"/>
  <c r="Y154" i="48"/>
  <c r="S155" i="48" s="1"/>
  <c r="S173" i="48" s="1"/>
  <c r="C135" i="48"/>
  <c r="D135" i="48"/>
  <c r="E135" i="48"/>
  <c r="E137" i="48" s="1"/>
  <c r="F135" i="48"/>
  <c r="G135" i="48"/>
  <c r="H135" i="48"/>
  <c r="I135" i="48"/>
  <c r="J135" i="48"/>
  <c r="K135" i="48"/>
  <c r="L135" i="48"/>
  <c r="M135" i="48"/>
  <c r="N135" i="48"/>
  <c r="O135" i="48"/>
  <c r="P135" i="48"/>
  <c r="Q135" i="48"/>
  <c r="R135" i="48"/>
  <c r="S59" i="4"/>
  <c r="S59" i="37"/>
  <c r="S64" i="37" s="1"/>
  <c r="AW101" i="5"/>
  <c r="Y55" i="37"/>
  <c r="Y57" i="37" s="1"/>
  <c r="U58" i="4"/>
  <c r="AZ64" i="8" s="1"/>
  <c r="U58" i="37"/>
  <c r="T149" i="11"/>
  <c r="T154" i="48"/>
  <c r="T155" i="48" s="1"/>
  <c r="W52" i="37"/>
  <c r="W53" i="37" s="1"/>
  <c r="W54" i="37" s="1"/>
  <c r="W70" i="37"/>
  <c r="W73" i="37" s="1"/>
  <c r="W109" i="37" s="1"/>
  <c r="W32" i="37"/>
  <c r="W37" i="37" s="1"/>
  <c r="V116" i="37"/>
  <c r="D139" i="48"/>
  <c r="D141" i="48" s="1"/>
  <c r="C139" i="48"/>
  <c r="E139" i="48"/>
  <c r="E141" i="48" s="1"/>
  <c r="F139" i="48"/>
  <c r="G139" i="48"/>
  <c r="H139" i="48"/>
  <c r="I139" i="48"/>
  <c r="J139" i="48"/>
  <c r="K139" i="48"/>
  <c r="L139" i="48"/>
  <c r="M139" i="48"/>
  <c r="N139" i="48"/>
  <c r="O139" i="48"/>
  <c r="P139" i="48"/>
  <c r="Q139" i="48"/>
  <c r="R139" i="48"/>
  <c r="T10" i="37"/>
  <c r="T19" i="37" s="1"/>
  <c r="V7" i="4"/>
  <c r="BA10" i="8" s="1"/>
  <c r="V7" i="37"/>
  <c r="U4" i="4"/>
  <c r="AZ7" i="8" s="1"/>
  <c r="U4" i="37"/>
  <c r="U6" i="4"/>
  <c r="AZ9" i="8" s="1"/>
  <c r="U6" i="37"/>
  <c r="V9" i="4"/>
  <c r="BA12" i="8" s="1"/>
  <c r="V9" i="37"/>
  <c r="R126" i="37"/>
  <c r="R129" i="37"/>
  <c r="V5" i="4"/>
  <c r="BA8" i="8" s="1"/>
  <c r="V5" i="37"/>
  <c r="V38" i="37"/>
  <c r="AU55" i="5"/>
  <c r="AU65" i="5" s="1"/>
  <c r="W52" i="4"/>
  <c r="BB58" i="8" s="1"/>
  <c r="T150" i="11"/>
  <c r="V53" i="4"/>
  <c r="BA59" i="8" s="1"/>
  <c r="Y137" i="11"/>
  <c r="AP27" i="9"/>
  <c r="Q37" i="9"/>
  <c r="AP21" i="9" s="1"/>
  <c r="Q18" i="6"/>
  <c r="U54" i="4"/>
  <c r="AZ60" i="8" s="1"/>
  <c r="T137" i="11"/>
  <c r="T66" i="5"/>
  <c r="Y134" i="11"/>
  <c r="S135" i="11" s="1"/>
  <c r="R17" i="6"/>
  <c r="M150" i="11"/>
  <c r="J150" i="11"/>
  <c r="N150" i="11"/>
  <c r="F150" i="11"/>
  <c r="I150" i="11"/>
  <c r="C150" i="11"/>
  <c r="L150" i="11"/>
  <c r="G150" i="11"/>
  <c r="E150" i="11"/>
  <c r="E151" i="11" s="1"/>
  <c r="H150" i="11"/>
  <c r="D150" i="11"/>
  <c r="D151" i="11" s="1"/>
  <c r="K150" i="11"/>
  <c r="O150" i="11"/>
  <c r="P150" i="11"/>
  <c r="Q150" i="11"/>
  <c r="R150" i="11"/>
  <c r="W105" i="8"/>
  <c r="U57" i="4"/>
  <c r="AZ63" i="8" s="1"/>
  <c r="I10" i="10"/>
  <c r="AU95" i="5"/>
  <c r="X89" i="5"/>
  <c r="W90" i="5"/>
  <c r="W95" i="5" s="1"/>
  <c r="AV89" i="5"/>
  <c r="AV90" i="5" s="1"/>
  <c r="W8" i="5"/>
  <c r="AU8" i="5"/>
  <c r="AT43" i="5"/>
  <c r="AT66" i="5" s="1"/>
  <c r="V22" i="4"/>
  <c r="BA27" i="8" s="1"/>
  <c r="Y55" i="4"/>
  <c r="BD61" i="8" s="1"/>
  <c r="S103" i="4"/>
  <c r="AX113" i="8" s="1"/>
  <c r="P32" i="6"/>
  <c r="P72" i="9" s="1"/>
  <c r="Q114" i="4"/>
  <c r="R113" i="4"/>
  <c r="R105" i="4"/>
  <c r="W10" i="8"/>
  <c r="Q107" i="4"/>
  <c r="U25" i="4"/>
  <c r="AZ31" i="8" s="1"/>
  <c r="V28" i="8"/>
  <c r="R64" i="4"/>
  <c r="AW70" i="8" s="1"/>
  <c r="T34" i="5"/>
  <c r="T134" i="11"/>
  <c r="S3" i="5"/>
  <c r="R100" i="4"/>
  <c r="AW110" i="8" s="1"/>
  <c r="U43" i="5"/>
  <c r="U138" i="48" s="1"/>
  <c r="U139" i="48" s="1"/>
  <c r="AT102" i="5"/>
  <c r="AK33" i="9"/>
  <c r="AV53" i="5"/>
  <c r="P70" i="9"/>
  <c r="N73" i="9"/>
  <c r="S95" i="4"/>
  <c r="AX103" i="8" s="1"/>
  <c r="AQ108" i="5"/>
  <c r="AQ119" i="5" s="1"/>
  <c r="Q79" i="9"/>
  <c r="BH48" i="5"/>
  <c r="AU10" i="5"/>
  <c r="U108" i="5"/>
  <c r="T119" i="5"/>
  <c r="AT6" i="5"/>
  <c r="U11" i="5"/>
  <c r="U134" i="48" s="1"/>
  <c r="U135" i="48" s="1"/>
  <c r="AY45" i="5"/>
  <c r="AU7" i="5"/>
  <c r="R27" i="6"/>
  <c r="AI119" i="10"/>
  <c r="M30" i="6"/>
  <c r="M66" i="9"/>
  <c r="N29" i="6"/>
  <c r="T102" i="4"/>
  <c r="AY112" i="8" s="1"/>
  <c r="AN36" i="9"/>
  <c r="O33" i="6"/>
  <c r="AS11" i="5"/>
  <c r="AS34" i="5" s="1"/>
  <c r="AQ95" i="5"/>
  <c r="AR103" i="5"/>
  <c r="AT5" i="5"/>
  <c r="U116" i="4"/>
  <c r="AX65" i="8" l="1"/>
  <c r="U93" i="8" s="1"/>
  <c r="X47" i="8"/>
  <c r="X29" i="8"/>
  <c r="X12" i="8"/>
  <c r="Y57" i="4"/>
  <c r="BD63" i="8" s="1"/>
  <c r="AA105" i="8"/>
  <c r="W11" i="8"/>
  <c r="W115" i="8"/>
  <c r="T173" i="48"/>
  <c r="T147" i="48" s="1"/>
  <c r="S144" i="48"/>
  <c r="S148" i="48"/>
  <c r="S147" i="48"/>
  <c r="S143" i="48"/>
  <c r="V58" i="4"/>
  <c r="BA64" i="8" s="1"/>
  <c r="V58" i="37"/>
  <c r="T59" i="4"/>
  <c r="AY65" i="8" s="1"/>
  <c r="T59" i="37"/>
  <c r="T64" i="37" s="1"/>
  <c r="T74" i="37" s="1"/>
  <c r="T126" i="37" s="1"/>
  <c r="U149" i="11"/>
  <c r="U150" i="11" s="1"/>
  <c r="U154" i="48"/>
  <c r="U155" i="48" s="1"/>
  <c r="U173" i="48" s="1"/>
  <c r="X52" i="37"/>
  <c r="X53" i="37" s="1"/>
  <c r="X54" i="37" s="1"/>
  <c r="X70" i="37"/>
  <c r="X73" i="37" s="1"/>
  <c r="X109" i="37" s="1"/>
  <c r="X32" i="37"/>
  <c r="X37" i="37" s="1"/>
  <c r="W116" i="37"/>
  <c r="Y106" i="37"/>
  <c r="Y114" i="37"/>
  <c r="C155" i="48"/>
  <c r="C173" i="48" s="1"/>
  <c r="D155" i="48"/>
  <c r="D157" i="48" s="1"/>
  <c r="E155" i="48"/>
  <c r="E157" i="48" s="1"/>
  <c r="F155" i="48"/>
  <c r="G155" i="48"/>
  <c r="H155" i="48"/>
  <c r="I155" i="48"/>
  <c r="I173" i="48" s="1"/>
  <c r="J155" i="48"/>
  <c r="J173" i="48" s="1"/>
  <c r="K155" i="48"/>
  <c r="K173" i="48" s="1"/>
  <c r="L155" i="48"/>
  <c r="L173" i="48" s="1"/>
  <c r="M155" i="48"/>
  <c r="M173" i="48" s="1"/>
  <c r="N155" i="48"/>
  <c r="N173" i="48" s="1"/>
  <c r="O155" i="48"/>
  <c r="O173" i="48" s="1"/>
  <c r="P155" i="48"/>
  <c r="P173" i="48" s="1"/>
  <c r="Q155" i="48"/>
  <c r="Q173" i="48" s="1"/>
  <c r="R155" i="48"/>
  <c r="R173" i="48" s="1"/>
  <c r="S74" i="37"/>
  <c r="S108" i="37"/>
  <c r="S115" i="37"/>
  <c r="S119" i="37" s="1"/>
  <c r="U10" i="37"/>
  <c r="V4" i="4"/>
  <c r="BA7" i="8" s="1"/>
  <c r="V4" i="37"/>
  <c r="V6" i="4"/>
  <c r="BA9" i="8" s="1"/>
  <c r="V6" i="37"/>
  <c r="W9" i="4"/>
  <c r="BB12" i="8" s="1"/>
  <c r="W9" i="37"/>
  <c r="W7" i="4"/>
  <c r="BB10" i="8" s="1"/>
  <c r="W7" i="37"/>
  <c r="W5" i="4"/>
  <c r="BB8" i="8" s="1"/>
  <c r="W5" i="37"/>
  <c r="AV55" i="5"/>
  <c r="AV65" i="5" s="1"/>
  <c r="X52" i="4"/>
  <c r="BC58" i="8" s="1"/>
  <c r="T135" i="11"/>
  <c r="AQ27" i="9"/>
  <c r="R37" i="9"/>
  <c r="AQ21" i="9" s="1"/>
  <c r="BC21" i="9" s="1"/>
  <c r="R18" i="6"/>
  <c r="T138" i="11"/>
  <c r="V54" i="4"/>
  <c r="BA60" i="8" s="1"/>
  <c r="U137" i="11"/>
  <c r="U138" i="11" s="1"/>
  <c r="U66" i="5"/>
  <c r="C135" i="11"/>
  <c r="D135" i="11"/>
  <c r="E135" i="11"/>
  <c r="E136" i="11" s="1"/>
  <c r="F135" i="11"/>
  <c r="G135" i="11"/>
  <c r="H135" i="11"/>
  <c r="I135" i="11"/>
  <c r="J135" i="11"/>
  <c r="K135" i="11"/>
  <c r="L135" i="11"/>
  <c r="M135" i="11"/>
  <c r="N135" i="11"/>
  <c r="O135" i="11"/>
  <c r="P135" i="11"/>
  <c r="Q135" i="11"/>
  <c r="R135" i="11"/>
  <c r="S17" i="6"/>
  <c r="C138" i="11"/>
  <c r="D138" i="11"/>
  <c r="E138" i="11"/>
  <c r="E139" i="11" s="1"/>
  <c r="F138" i="11"/>
  <c r="G138" i="11"/>
  <c r="H138" i="11"/>
  <c r="I138" i="11"/>
  <c r="J138" i="11"/>
  <c r="K138" i="11"/>
  <c r="L138" i="11"/>
  <c r="M138" i="11"/>
  <c r="N138" i="11"/>
  <c r="O138" i="11"/>
  <c r="P138" i="11"/>
  <c r="Q138" i="11"/>
  <c r="R138" i="11"/>
  <c r="W53" i="4"/>
  <c r="BB59" i="8" s="1"/>
  <c r="S138" i="11"/>
  <c r="I28" i="10"/>
  <c r="AV95" i="5"/>
  <c r="X8" i="5"/>
  <c r="AV8" i="5"/>
  <c r="AW89" i="5"/>
  <c r="AW90" i="5" s="1"/>
  <c r="X90" i="5"/>
  <c r="S113" i="4"/>
  <c r="S105" i="4"/>
  <c r="R107" i="4"/>
  <c r="T103" i="4"/>
  <c r="AY113" i="8" s="1"/>
  <c r="Q32" i="6"/>
  <c r="Q72" i="9" s="1"/>
  <c r="X10" i="8"/>
  <c r="T10" i="4"/>
  <c r="AY13" i="8" s="1"/>
  <c r="R114" i="4"/>
  <c r="S64" i="4"/>
  <c r="AX70" i="8" s="1"/>
  <c r="U34" i="5"/>
  <c r="U134" i="11"/>
  <c r="U135" i="11" s="1"/>
  <c r="T3" i="5"/>
  <c r="S100" i="4"/>
  <c r="AX110" i="8" s="1"/>
  <c r="V43" i="5"/>
  <c r="V138" i="48" s="1"/>
  <c r="V139" i="48" s="1"/>
  <c r="AU40" i="5"/>
  <c r="W22" i="37" s="1"/>
  <c r="W25" i="37" s="1"/>
  <c r="AU102" i="5"/>
  <c r="T27" i="6"/>
  <c r="AL33" i="9"/>
  <c r="BB33" i="9" s="1"/>
  <c r="BB30" i="9"/>
  <c r="AW53" i="5"/>
  <c r="Q70" i="9"/>
  <c r="O73" i="9"/>
  <c r="T95" i="4"/>
  <c r="AY103" i="8" s="1"/>
  <c r="AR108" i="5"/>
  <c r="AR119" i="5" s="1"/>
  <c r="R79" i="9"/>
  <c r="Y28" i="8"/>
  <c r="AV7" i="5"/>
  <c r="V108" i="5"/>
  <c r="AT103" i="5"/>
  <c r="U119" i="5"/>
  <c r="AU6" i="5"/>
  <c r="V11" i="5"/>
  <c r="V134" i="48" s="1"/>
  <c r="V135" i="48" s="1"/>
  <c r="AV10" i="5"/>
  <c r="S27" i="6"/>
  <c r="U10" i="4"/>
  <c r="AZ13" i="8" s="1"/>
  <c r="W28" i="8"/>
  <c r="O29" i="6"/>
  <c r="N30" i="6"/>
  <c r="N66" i="9"/>
  <c r="P33" i="6"/>
  <c r="AO36" i="9"/>
  <c r="U102" i="4"/>
  <c r="AZ112" i="8" s="1"/>
  <c r="X116" i="4"/>
  <c r="U79" i="9"/>
  <c r="AT11" i="5"/>
  <c r="AT34" i="5" s="1"/>
  <c r="AS103" i="5"/>
  <c r="AR95" i="5"/>
  <c r="V116" i="4"/>
  <c r="U19" i="4" l="1"/>
  <c r="AZ22" i="8" s="1"/>
  <c r="Y29" i="8"/>
  <c r="X11" i="8"/>
  <c r="V93" i="8"/>
  <c r="I93" i="10" s="1"/>
  <c r="T19" i="4"/>
  <c r="AY22" i="8" s="1"/>
  <c r="Y12" i="8"/>
  <c r="X115" i="8"/>
  <c r="D173" i="48"/>
  <c r="D149" i="48" s="1"/>
  <c r="T143" i="48"/>
  <c r="T144" i="48"/>
  <c r="T148" i="48"/>
  <c r="T129" i="37"/>
  <c r="T115" i="37"/>
  <c r="T119" i="37" s="1"/>
  <c r="T108" i="37"/>
  <c r="AC112" i="37" s="1"/>
  <c r="D164" i="11"/>
  <c r="X116" i="37"/>
  <c r="Q144" i="48"/>
  <c r="Q148" i="48"/>
  <c r="Q143" i="48"/>
  <c r="Q147" i="48"/>
  <c r="I144" i="48"/>
  <c r="I143" i="48"/>
  <c r="I148" i="48"/>
  <c r="I147" i="48"/>
  <c r="M148" i="48"/>
  <c r="M143" i="48"/>
  <c r="M147" i="48"/>
  <c r="M144" i="48"/>
  <c r="O147" i="48"/>
  <c r="O143" i="48"/>
  <c r="O144" i="48"/>
  <c r="O148" i="48"/>
  <c r="K144" i="48"/>
  <c r="K147" i="48"/>
  <c r="K143" i="48"/>
  <c r="K148" i="48"/>
  <c r="C144" i="48"/>
  <c r="C143" i="48"/>
  <c r="C147" i="48"/>
  <c r="C148" i="48"/>
  <c r="U148" i="48"/>
  <c r="U147" i="48"/>
  <c r="U144" i="48"/>
  <c r="U143" i="48"/>
  <c r="R147" i="48"/>
  <c r="R143" i="48"/>
  <c r="R148" i="48"/>
  <c r="R144" i="48"/>
  <c r="J147" i="48"/>
  <c r="J148" i="48"/>
  <c r="J143" i="48"/>
  <c r="J144" i="48"/>
  <c r="P148" i="48"/>
  <c r="P147" i="48"/>
  <c r="P143" i="48"/>
  <c r="P144" i="48"/>
  <c r="V59" i="4"/>
  <c r="BA65" i="8" s="1"/>
  <c r="V59" i="37"/>
  <c r="V64" i="37" s="1"/>
  <c r="V74" i="37" s="1"/>
  <c r="L148" i="48"/>
  <c r="L143" i="48"/>
  <c r="L147" i="48"/>
  <c r="L144" i="48"/>
  <c r="U59" i="4"/>
  <c r="AZ65" i="8" s="1"/>
  <c r="U59" i="37"/>
  <c r="U64" i="37" s="1"/>
  <c r="U74" i="37" s="1"/>
  <c r="Y52" i="37"/>
  <c r="Y53" i="37" s="1"/>
  <c r="Y54" i="37" s="1"/>
  <c r="Y70" i="37"/>
  <c r="Y73" i="37" s="1"/>
  <c r="Y32" i="37"/>
  <c r="Y37" i="37" s="1"/>
  <c r="W58" i="4"/>
  <c r="BB64" i="8" s="1"/>
  <c r="W58" i="37"/>
  <c r="D144" i="48"/>
  <c r="D147" i="48"/>
  <c r="N148" i="48"/>
  <c r="N144" i="48"/>
  <c r="N147" i="48"/>
  <c r="N143" i="48"/>
  <c r="V149" i="11"/>
  <c r="V150" i="11" s="1"/>
  <c r="V154" i="48"/>
  <c r="V155" i="48" s="1"/>
  <c r="V173" i="48" s="1"/>
  <c r="S129" i="37"/>
  <c r="S126" i="37"/>
  <c r="Y110" i="37"/>
  <c r="AD114" i="37" s="1"/>
  <c r="AD111" i="37"/>
  <c r="U19" i="37"/>
  <c r="X9" i="4"/>
  <c r="BC12" i="8" s="1"/>
  <c r="X9" i="37"/>
  <c r="X5" i="4"/>
  <c r="BC8" i="8" s="1"/>
  <c r="X5" i="37"/>
  <c r="V10" i="37"/>
  <c r="W6" i="4"/>
  <c r="BB9" i="8" s="1"/>
  <c r="W6" i="37"/>
  <c r="W10" i="37" s="1"/>
  <c r="X7" i="4"/>
  <c r="BC10" i="8" s="1"/>
  <c r="X7" i="37"/>
  <c r="W38" i="37"/>
  <c r="AW55" i="5"/>
  <c r="AW65" i="5" s="1"/>
  <c r="Y52" i="4"/>
  <c r="BD58" i="8" s="1"/>
  <c r="D139" i="11"/>
  <c r="N164" i="11"/>
  <c r="N141" i="11" s="1"/>
  <c r="I164" i="11"/>
  <c r="I141" i="11" s="1"/>
  <c r="M164" i="11"/>
  <c r="M144" i="11" s="1"/>
  <c r="O164" i="11"/>
  <c r="K164" i="11"/>
  <c r="C164" i="11"/>
  <c r="X53" i="4"/>
  <c r="BC59" i="8" s="1"/>
  <c r="V137" i="11"/>
  <c r="V138" i="11" s="1"/>
  <c r="V66" i="5"/>
  <c r="W54" i="4"/>
  <c r="BB60" i="8" s="1"/>
  <c r="J164" i="11"/>
  <c r="T17" i="6"/>
  <c r="AR27" i="9"/>
  <c r="S37" i="9"/>
  <c r="AR21" i="9" s="1"/>
  <c r="S18" i="6"/>
  <c r="P164" i="11"/>
  <c r="L164" i="11"/>
  <c r="Q164" i="11"/>
  <c r="J105" i="10"/>
  <c r="AW95" i="5"/>
  <c r="V25" i="4"/>
  <c r="BA31" i="8" s="1"/>
  <c r="W22" i="4"/>
  <c r="BB27" i="8" s="1"/>
  <c r="X95" i="5"/>
  <c r="AY8" i="5"/>
  <c r="AW8" i="5"/>
  <c r="R32" i="6"/>
  <c r="R72" i="9" s="1"/>
  <c r="S114" i="4"/>
  <c r="U103" i="4"/>
  <c r="AZ113" i="8" s="1"/>
  <c r="T113" i="4"/>
  <c r="G91" i="9" s="1"/>
  <c r="T105" i="4"/>
  <c r="AC109" i="4" s="1"/>
  <c r="S107" i="4"/>
  <c r="T64" i="4"/>
  <c r="AY70" i="8" s="1"/>
  <c r="V34" i="5"/>
  <c r="V134" i="11"/>
  <c r="V135" i="11" s="1"/>
  <c r="U3" i="5"/>
  <c r="AT108" i="5"/>
  <c r="AT119" i="5" s="1"/>
  <c r="T100" i="4"/>
  <c r="AY110" i="8" s="1"/>
  <c r="AU43" i="5"/>
  <c r="AU66" i="5" s="1"/>
  <c r="W43" i="5"/>
  <c r="W138" i="48" s="1"/>
  <c r="W139" i="48" s="1"/>
  <c r="AV40" i="5"/>
  <c r="AV102" i="5"/>
  <c r="U27" i="6"/>
  <c r="AM33" i="9"/>
  <c r="AW10" i="5"/>
  <c r="AY35" i="5"/>
  <c r="AW7" i="5"/>
  <c r="W116" i="4"/>
  <c r="R70" i="9"/>
  <c r="P73" i="9"/>
  <c r="S79" i="9"/>
  <c r="U95" i="4"/>
  <c r="AZ103" i="8" s="1"/>
  <c r="AS108" i="5"/>
  <c r="AS119" i="5" s="1"/>
  <c r="W102" i="4"/>
  <c r="BB112" i="8" s="1"/>
  <c r="AI86" i="10"/>
  <c r="AV6" i="5"/>
  <c r="W11" i="5"/>
  <c r="W134" i="48" s="1"/>
  <c r="W135" i="48" s="1"/>
  <c r="W108" i="5"/>
  <c r="AU103" i="5"/>
  <c r="V119" i="5"/>
  <c r="AU11" i="5"/>
  <c r="AU34" i="5" s="1"/>
  <c r="V10" i="4"/>
  <c r="BA13" i="8" s="1"/>
  <c r="X28" i="8"/>
  <c r="P29" i="6"/>
  <c r="O30" i="6"/>
  <c r="O66" i="9"/>
  <c r="Q33" i="6"/>
  <c r="AP36" i="9"/>
  <c r="V102" i="4"/>
  <c r="BA112" i="8" s="1"/>
  <c r="X102" i="4"/>
  <c r="BC112" i="8" s="1"/>
  <c r="Y116" i="4"/>
  <c r="H94" i="9" s="1"/>
  <c r="AS95" i="5"/>
  <c r="D143" i="48" l="1"/>
  <c r="D145" i="48"/>
  <c r="D170" i="48" s="1"/>
  <c r="D148" i="48"/>
  <c r="Y47" i="8"/>
  <c r="Y11" i="8"/>
  <c r="Y115" i="8"/>
  <c r="Z12" i="8"/>
  <c r="U64" i="4"/>
  <c r="AZ70" i="8" s="1"/>
  <c r="W93" i="8"/>
  <c r="Z29" i="8"/>
  <c r="V19" i="4"/>
  <c r="BA22" i="8" s="1"/>
  <c r="X93" i="8"/>
  <c r="U115" i="37"/>
  <c r="U119" i="37" s="1"/>
  <c r="U126" i="37"/>
  <c r="U108" i="37"/>
  <c r="V147" i="48"/>
  <c r="V148" i="48"/>
  <c r="V144" i="48"/>
  <c r="V143" i="48"/>
  <c r="W59" i="4"/>
  <c r="BB65" i="8" s="1"/>
  <c r="W59" i="37"/>
  <c r="W64" i="37" s="1"/>
  <c r="W149" i="11"/>
  <c r="W150" i="11" s="1"/>
  <c r="W154" i="48"/>
  <c r="W155" i="48" s="1"/>
  <c r="Y109" i="37"/>
  <c r="AD113" i="37" s="1"/>
  <c r="Y116" i="37"/>
  <c r="X58" i="4"/>
  <c r="BC64" i="8" s="1"/>
  <c r="X58" i="37"/>
  <c r="W173" i="48"/>
  <c r="U129" i="37"/>
  <c r="W19" i="37"/>
  <c r="X6" i="4"/>
  <c r="BC9" i="8" s="1"/>
  <c r="X6" i="37"/>
  <c r="X10" i="37" s="1"/>
  <c r="X19" i="37" s="1"/>
  <c r="Y9" i="4"/>
  <c r="BD12" i="8" s="1"/>
  <c r="Y9" i="37"/>
  <c r="Y7" i="4"/>
  <c r="BD10" i="8" s="1"/>
  <c r="Y7" i="37"/>
  <c r="Y5" i="4"/>
  <c r="BD8" i="8" s="1"/>
  <c r="Y5" i="37"/>
  <c r="V19" i="37"/>
  <c r="V115" i="37"/>
  <c r="V119" i="37" s="1"/>
  <c r="V108" i="37"/>
  <c r="X22" i="4"/>
  <c r="BC27" i="8" s="1"/>
  <c r="X22" i="37"/>
  <c r="X25" i="37" s="1"/>
  <c r="D145" i="11"/>
  <c r="D142" i="11"/>
  <c r="N144" i="11"/>
  <c r="I144" i="11"/>
  <c r="M141" i="11"/>
  <c r="D144" i="11"/>
  <c r="D141" i="11"/>
  <c r="K144" i="11"/>
  <c r="K141" i="11"/>
  <c r="L144" i="11"/>
  <c r="L141" i="11"/>
  <c r="X54" i="4"/>
  <c r="BC60" i="8" s="1"/>
  <c r="O141" i="11"/>
  <c r="O144" i="11"/>
  <c r="P144" i="11"/>
  <c r="P141" i="11"/>
  <c r="J141" i="11"/>
  <c r="J144" i="11"/>
  <c r="W137" i="11"/>
  <c r="W138" i="11" s="1"/>
  <c r="W66" i="5"/>
  <c r="AS27" i="9"/>
  <c r="T37" i="9"/>
  <c r="AS21" i="9" s="1"/>
  <c r="T18" i="6"/>
  <c r="U17" i="6"/>
  <c r="Y53" i="4"/>
  <c r="BD59" i="8" s="1"/>
  <c r="C141" i="11"/>
  <c r="C144" i="11"/>
  <c r="Q144" i="11"/>
  <c r="Q141" i="11"/>
  <c r="R164" i="11"/>
  <c r="X103" i="4"/>
  <c r="BC113" i="8" s="1"/>
  <c r="S32" i="6"/>
  <c r="S72" i="9" s="1"/>
  <c r="V103" i="4"/>
  <c r="BA113" i="8" s="1"/>
  <c r="T114" i="4"/>
  <c r="G92" i="9" s="1"/>
  <c r="U113" i="4"/>
  <c r="U105" i="4"/>
  <c r="W103" i="4"/>
  <c r="BB113" i="8" s="1"/>
  <c r="T107" i="4"/>
  <c r="AC110" i="4" s="1"/>
  <c r="V64" i="4"/>
  <c r="BA70" i="8" s="1"/>
  <c r="V3" i="5"/>
  <c r="W34" i="5"/>
  <c r="W134" i="11"/>
  <c r="W135" i="11" s="1"/>
  <c r="AU108" i="5"/>
  <c r="AU119" i="5" s="1"/>
  <c r="U100" i="4"/>
  <c r="AZ110" i="8" s="1"/>
  <c r="X43" i="5"/>
  <c r="AW40" i="5"/>
  <c r="W25" i="4"/>
  <c r="BB31" i="8" s="1"/>
  <c r="AV43" i="5"/>
  <c r="AV66" i="5" s="1"/>
  <c r="AW102" i="5"/>
  <c r="V27" i="6"/>
  <c r="AN33" i="9"/>
  <c r="U70" i="9"/>
  <c r="S70" i="9"/>
  <c r="V70" i="9"/>
  <c r="Q73" i="9"/>
  <c r="T79" i="9"/>
  <c r="AJ86" i="10"/>
  <c r="V79" i="9"/>
  <c r="V95" i="4"/>
  <c r="BA103" i="8" s="1"/>
  <c r="BI46" i="5"/>
  <c r="Y10" i="8"/>
  <c r="W10" i="4"/>
  <c r="BB13" i="8" s="1"/>
  <c r="AV11" i="5"/>
  <c r="AV34" i="5" s="1"/>
  <c r="AW6" i="5"/>
  <c r="X11" i="5"/>
  <c r="AV103" i="5"/>
  <c r="W119" i="5"/>
  <c r="Q29" i="6"/>
  <c r="P30" i="6"/>
  <c r="P66" i="9"/>
  <c r="R33" i="6"/>
  <c r="Y102" i="4"/>
  <c r="BD112" i="8" s="1"/>
  <c r="AT95" i="5"/>
  <c r="W79" i="9"/>
  <c r="U114" i="4" l="1"/>
  <c r="U107" i="4"/>
  <c r="Z47" i="8"/>
  <c r="Z115" i="8"/>
  <c r="AA12" i="8"/>
  <c r="J12" i="10" s="1"/>
  <c r="Y93" i="8"/>
  <c r="W19" i="4"/>
  <c r="BB22" i="8" s="1"/>
  <c r="AA29" i="8"/>
  <c r="J29" i="10" s="1"/>
  <c r="Z11" i="8"/>
  <c r="W64" i="4"/>
  <c r="BB70" i="8" s="1"/>
  <c r="W74" i="37"/>
  <c r="W129" i="37" s="1"/>
  <c r="W115" i="37"/>
  <c r="W119" i="37" s="1"/>
  <c r="W108" i="37"/>
  <c r="C3" i="48"/>
  <c r="C5" i="48" s="1"/>
  <c r="B11" i="48" s="1"/>
  <c r="X134" i="48"/>
  <c r="X135" i="48" s="1"/>
  <c r="W143" i="48"/>
  <c r="W148" i="48"/>
  <c r="W144" i="48"/>
  <c r="W147" i="48"/>
  <c r="X138" i="48"/>
  <c r="X139" i="48" s="1"/>
  <c r="D3" i="48"/>
  <c r="D5" i="48" s="1"/>
  <c r="B23" i="48" s="1"/>
  <c r="X59" i="4"/>
  <c r="BC65" i="8" s="1"/>
  <c r="X59" i="37"/>
  <c r="X64" i="37" s="1"/>
  <c r="Y58" i="4"/>
  <c r="BD64" i="8" s="1"/>
  <c r="Y58" i="37"/>
  <c r="Y6" i="4"/>
  <c r="BD9" i="8" s="1"/>
  <c r="Y6" i="37"/>
  <c r="Y10" i="37" s="1"/>
  <c r="Y19" i="37" s="1"/>
  <c r="V129" i="37"/>
  <c r="V126" i="37"/>
  <c r="Y22" i="4"/>
  <c r="BD27" i="8" s="1"/>
  <c r="Y22" i="37"/>
  <c r="Y25" i="37" s="1"/>
  <c r="X38" i="37"/>
  <c r="AT27" i="9"/>
  <c r="U37" i="9"/>
  <c r="AT21" i="9" s="1"/>
  <c r="U18" i="6"/>
  <c r="V17" i="6"/>
  <c r="X137" i="11"/>
  <c r="X138" i="11" s="1"/>
  <c r="D3" i="11"/>
  <c r="D5" i="11" s="1"/>
  <c r="X66" i="5"/>
  <c r="Y54" i="4"/>
  <c r="BD60" i="8" s="1"/>
  <c r="X134" i="11"/>
  <c r="X135" i="11" s="1"/>
  <c r="C3" i="11"/>
  <c r="R141" i="11"/>
  <c r="R144" i="11"/>
  <c r="S164" i="11"/>
  <c r="T32" i="6"/>
  <c r="T72" i="9" s="1"/>
  <c r="V107" i="4"/>
  <c r="U32" i="6"/>
  <c r="U72" i="9" s="1"/>
  <c r="AT36" i="9" s="1"/>
  <c r="V113" i="4"/>
  <c r="V105" i="4"/>
  <c r="Y103" i="4"/>
  <c r="BD113" i="8" s="1"/>
  <c r="V100" i="4"/>
  <c r="BA110" i="8" s="1"/>
  <c r="V32" i="6"/>
  <c r="V72" i="9" s="1"/>
  <c r="W3" i="5"/>
  <c r="X34" i="5"/>
  <c r="AV108" i="5"/>
  <c r="AV119" i="5" s="1"/>
  <c r="X25" i="4"/>
  <c r="BC31" i="8" s="1"/>
  <c r="AW43" i="5"/>
  <c r="AW66" i="5" s="1"/>
  <c r="AO33" i="9"/>
  <c r="X108" i="5"/>
  <c r="AQ36" i="9"/>
  <c r="BC36" i="9" s="1"/>
  <c r="R73" i="9"/>
  <c r="V114" i="4"/>
  <c r="T70" i="9"/>
  <c r="W95" i="4"/>
  <c r="BB103" i="8" s="1"/>
  <c r="AW11" i="5"/>
  <c r="AW34" i="5" s="1"/>
  <c r="AW103" i="5"/>
  <c r="Y59" i="37" s="1"/>
  <c r="Z10" i="8"/>
  <c r="X10" i="4"/>
  <c r="BC13" i="8" s="1"/>
  <c r="Q30" i="6"/>
  <c r="Q66" i="9"/>
  <c r="R29" i="6"/>
  <c r="AR36" i="9"/>
  <c r="S33" i="6"/>
  <c r="W107" i="4" l="1"/>
  <c r="X19" i="4"/>
  <c r="BC22" i="8" s="1"/>
  <c r="W17" i="6"/>
  <c r="W18" i="6" s="1"/>
  <c r="AA115" i="8"/>
  <c r="AA47" i="8"/>
  <c r="AA11" i="8"/>
  <c r="J11" i="10" s="1"/>
  <c r="Z93" i="8"/>
  <c r="W126" i="37"/>
  <c r="X74" i="37"/>
  <c r="X129" i="37" s="1"/>
  <c r="X108" i="37"/>
  <c r="X115" i="37"/>
  <c r="X119" i="37" s="1"/>
  <c r="H3" i="48"/>
  <c r="H5" i="48" s="1"/>
  <c r="B71" i="48" s="1"/>
  <c r="H3" i="11"/>
  <c r="H5" i="11" s="1"/>
  <c r="X154" i="48"/>
  <c r="X155" i="48" s="1"/>
  <c r="X173" i="48" s="1"/>
  <c r="E136" i="48"/>
  <c r="B14" i="48"/>
  <c r="C48" i="48" s="1"/>
  <c r="B15" i="48"/>
  <c r="C60" i="48" s="1"/>
  <c r="B16" i="48"/>
  <c r="C72" i="48" s="1"/>
  <c r="B12" i="48"/>
  <c r="B18" i="48"/>
  <c r="C96" i="48" s="1"/>
  <c r="B13" i="48"/>
  <c r="C36" i="48" s="1"/>
  <c r="B17" i="48"/>
  <c r="C84" i="48" s="1"/>
  <c r="B19" i="48"/>
  <c r="C108" i="48" s="1"/>
  <c r="S136" i="48"/>
  <c r="T136" i="48"/>
  <c r="U136" i="48"/>
  <c r="O136" i="48"/>
  <c r="G136" i="48"/>
  <c r="N136" i="48"/>
  <c r="F136" i="48"/>
  <c r="M136" i="48"/>
  <c r="D136" i="48"/>
  <c r="C136" i="48"/>
  <c r="L136" i="48"/>
  <c r="K136" i="48"/>
  <c r="R136" i="48"/>
  <c r="J136" i="48"/>
  <c r="Q136" i="48"/>
  <c r="I136" i="48"/>
  <c r="P136" i="48"/>
  <c r="H136" i="48"/>
  <c r="V136" i="48"/>
  <c r="W136" i="48"/>
  <c r="Y64" i="37"/>
  <c r="Y74" i="37" s="1"/>
  <c r="O140" i="48"/>
  <c r="T140" i="48"/>
  <c r="E140" i="48"/>
  <c r="L140" i="48"/>
  <c r="J140" i="48"/>
  <c r="B27" i="48"/>
  <c r="C61" i="48" s="1"/>
  <c r="B25" i="48"/>
  <c r="C37" i="48" s="1"/>
  <c r="H140" i="48"/>
  <c r="N140" i="48"/>
  <c r="B30" i="48"/>
  <c r="C97" i="48" s="1"/>
  <c r="S140" i="48"/>
  <c r="U140" i="48"/>
  <c r="V140" i="48"/>
  <c r="I140" i="48"/>
  <c r="F140" i="48"/>
  <c r="B29" i="48"/>
  <c r="C85" i="48" s="1"/>
  <c r="B31" i="48"/>
  <c r="C109" i="48" s="1"/>
  <c r="M140" i="48"/>
  <c r="W140" i="48"/>
  <c r="P140" i="48"/>
  <c r="B26" i="48"/>
  <c r="C49" i="48" s="1"/>
  <c r="C140" i="48"/>
  <c r="X140" i="48"/>
  <c r="G140" i="48"/>
  <c r="Q140" i="48"/>
  <c r="R140" i="48"/>
  <c r="K140" i="48"/>
  <c r="D140" i="48"/>
  <c r="B28" i="48"/>
  <c r="C73" i="48" s="1"/>
  <c r="B24" i="48"/>
  <c r="X136" i="48"/>
  <c r="Y38" i="37"/>
  <c r="B23" i="11"/>
  <c r="E109" i="11"/>
  <c r="E61" i="11"/>
  <c r="E97" i="11"/>
  <c r="E49" i="11"/>
  <c r="E85" i="11"/>
  <c r="E37" i="11"/>
  <c r="E73" i="11"/>
  <c r="X149" i="11"/>
  <c r="X150" i="11" s="1"/>
  <c r="AU27" i="9"/>
  <c r="V37" i="9"/>
  <c r="AU21" i="9" s="1"/>
  <c r="V18" i="6"/>
  <c r="S144" i="11"/>
  <c r="S141" i="11"/>
  <c r="T164" i="11"/>
  <c r="U33" i="6"/>
  <c r="X64" i="4"/>
  <c r="BC70" i="8" s="1"/>
  <c r="Y59" i="4"/>
  <c r="BD65" i="8" s="1"/>
  <c r="W100" i="4"/>
  <c r="BB110" i="8" s="1"/>
  <c r="W113" i="4"/>
  <c r="W105" i="4"/>
  <c r="W32" i="6"/>
  <c r="W72" i="9" s="1"/>
  <c r="AW108" i="5"/>
  <c r="AW119" i="5" s="1"/>
  <c r="Y25" i="4"/>
  <c r="BD31" i="8" s="1"/>
  <c r="W27" i="6"/>
  <c r="AP33" i="9"/>
  <c r="W70" i="9"/>
  <c r="W114" i="4"/>
  <c r="T29" i="6"/>
  <c r="T30" i="6" s="1"/>
  <c r="U73" i="9"/>
  <c r="S73" i="9"/>
  <c r="X95" i="4"/>
  <c r="BC103" i="8" s="1"/>
  <c r="X119" i="5"/>
  <c r="AA10" i="8"/>
  <c r="Y10" i="4"/>
  <c r="BD13" i="8" s="1"/>
  <c r="C5" i="11"/>
  <c r="R30" i="6"/>
  <c r="R66" i="9"/>
  <c r="S29" i="6"/>
  <c r="T33" i="6"/>
  <c r="AS36" i="9"/>
  <c r="AU36" i="9"/>
  <c r="V33" i="6"/>
  <c r="Y19" i="4" l="1"/>
  <c r="BD22" i="8" s="1"/>
  <c r="X126" i="37"/>
  <c r="Y123" i="37"/>
  <c r="Y108" i="37"/>
  <c r="AD112" i="37" s="1"/>
  <c r="Y115" i="37"/>
  <c r="Y119" i="37" s="1"/>
  <c r="X147" i="48"/>
  <c r="X144" i="48"/>
  <c r="X148" i="48"/>
  <c r="X143" i="48"/>
  <c r="X156" i="48"/>
  <c r="T156" i="48"/>
  <c r="P156" i="48"/>
  <c r="L156" i="48"/>
  <c r="H156" i="48"/>
  <c r="D156" i="48"/>
  <c r="W156" i="48"/>
  <c r="S156" i="48"/>
  <c r="O156" i="48"/>
  <c r="K156" i="48"/>
  <c r="G156" i="48"/>
  <c r="C156" i="48"/>
  <c r="V156" i="48"/>
  <c r="R156" i="48"/>
  <c r="N156" i="48"/>
  <c r="J156" i="48"/>
  <c r="F156" i="48"/>
  <c r="U156" i="48"/>
  <c r="Q156" i="48"/>
  <c r="M156" i="48"/>
  <c r="I156" i="48"/>
  <c r="E156" i="48"/>
  <c r="B75" i="48"/>
  <c r="C52" i="48" s="1"/>
  <c r="B77" i="48"/>
  <c r="C89" i="48" s="1"/>
  <c r="B73" i="48"/>
  <c r="C28" i="48" s="1"/>
  <c r="B74" i="48"/>
  <c r="C40" i="48" s="1"/>
  <c r="B76" i="48"/>
  <c r="C64" i="48" s="1"/>
  <c r="C59" i="48" s="1"/>
  <c r="K59" i="48" s="1"/>
  <c r="B78" i="48"/>
  <c r="C101" i="48" s="1"/>
  <c r="B79" i="48"/>
  <c r="C113" i="48" s="1"/>
  <c r="B72" i="48"/>
  <c r="C24" i="48"/>
  <c r="B20" i="48"/>
  <c r="C122" i="48" s="1"/>
  <c r="C12" i="48"/>
  <c r="B32" i="48"/>
  <c r="C123" i="48" s="1"/>
  <c r="Y126" i="37"/>
  <c r="Y129" i="37"/>
  <c r="AA93" i="8"/>
  <c r="E113" i="11"/>
  <c r="E16" i="11"/>
  <c r="E101" i="11"/>
  <c r="E52" i="11"/>
  <c r="E89" i="11"/>
  <c r="E40" i="11"/>
  <c r="E64" i="11"/>
  <c r="E28" i="11"/>
  <c r="E12" i="11"/>
  <c r="F20" i="11" s="1"/>
  <c r="B11" i="11"/>
  <c r="X3" i="5"/>
  <c r="AY138" i="5"/>
  <c r="AV27" i="9"/>
  <c r="W37" i="9"/>
  <c r="AV21" i="9" s="1"/>
  <c r="BD21" i="9" s="1"/>
  <c r="T144" i="11"/>
  <c r="T141" i="11"/>
  <c r="U164" i="11"/>
  <c r="J10" i="10"/>
  <c r="X107" i="4"/>
  <c r="Y64" i="4"/>
  <c r="BD70" i="8" s="1"/>
  <c r="U29" i="6"/>
  <c r="U30" i="6" s="1"/>
  <c r="X113" i="4"/>
  <c r="X105" i="4"/>
  <c r="X100" i="4"/>
  <c r="BC110" i="8" s="1"/>
  <c r="B71" i="11"/>
  <c r="AQ33" i="9"/>
  <c r="BC33" i="9" s="1"/>
  <c r="BC30" i="9"/>
  <c r="X114" i="4"/>
  <c r="T66" i="9"/>
  <c r="T73" i="9"/>
  <c r="V73" i="9"/>
  <c r="Y95" i="4"/>
  <c r="BD103" i="8" s="1"/>
  <c r="S30" i="6"/>
  <c r="S66" i="9"/>
  <c r="AV36" i="9"/>
  <c r="W33" i="6"/>
  <c r="J93" i="10" l="1"/>
  <c r="K153" i="48"/>
  <c r="S153" i="48"/>
  <c r="O153" i="48"/>
  <c r="X153" i="48"/>
  <c r="M153" i="48"/>
  <c r="I153" i="48"/>
  <c r="W153" i="48"/>
  <c r="N153" i="48"/>
  <c r="C153" i="48"/>
  <c r="J153" i="48"/>
  <c r="U153" i="48"/>
  <c r="V153" i="48"/>
  <c r="R153" i="48"/>
  <c r="L153" i="48"/>
  <c r="T153" i="48"/>
  <c r="Q153" i="48"/>
  <c r="P153" i="48"/>
  <c r="C16" i="48"/>
  <c r="B80" i="48"/>
  <c r="C127" i="48" s="1"/>
  <c r="E48" i="11"/>
  <c r="F56" i="11" s="1"/>
  <c r="E24" i="11"/>
  <c r="F32" i="11" s="1"/>
  <c r="E84" i="11"/>
  <c r="F92" i="11" s="1"/>
  <c r="E36" i="11"/>
  <c r="F44" i="11" s="1"/>
  <c r="E96" i="11"/>
  <c r="F104" i="11" s="1"/>
  <c r="E72" i="11"/>
  <c r="F80" i="11" s="1"/>
  <c r="F64" i="11"/>
  <c r="E60" i="11"/>
  <c r="F68" i="11" s="1"/>
  <c r="E108" i="11"/>
  <c r="F116" i="11" s="1"/>
  <c r="U144" i="11"/>
  <c r="U141" i="11"/>
  <c r="V164" i="11"/>
  <c r="U66" i="9"/>
  <c r="AT33" i="9" s="1"/>
  <c r="Y100" i="4"/>
  <c r="BD110" i="8" s="1"/>
  <c r="Y113" i="4"/>
  <c r="H91" i="9" s="1"/>
  <c r="Y105" i="4"/>
  <c r="AD109" i="4" s="1"/>
  <c r="AR33" i="9"/>
  <c r="AS33" i="9"/>
  <c r="Y114" i="4"/>
  <c r="H92" i="9" s="1"/>
  <c r="V29" i="6"/>
  <c r="V66" i="9" s="1"/>
  <c r="BD36" i="9"/>
  <c r="W73" i="9"/>
  <c r="Y107" i="4"/>
  <c r="AD110" i="4" s="1"/>
  <c r="Y122" i="4"/>
  <c r="F60" i="11" l="1"/>
  <c r="F62" i="11"/>
  <c r="F63" i="11"/>
  <c r="F66" i="11"/>
  <c r="F65" i="11"/>
  <c r="F67" i="11"/>
  <c r="F61" i="11"/>
  <c r="V141" i="11"/>
  <c r="V144" i="11"/>
  <c r="W29" i="6"/>
  <c r="W30" i="6" s="1"/>
  <c r="M210" i="10"/>
  <c r="M191" i="10" s="1"/>
  <c r="AU33" i="9"/>
  <c r="V30" i="6"/>
  <c r="F59" i="11" l="1"/>
  <c r="W164" i="11"/>
  <c r="W66" i="9"/>
  <c r="AV33" i="9" s="1"/>
  <c r="BD30" i="9"/>
  <c r="AG78" i="10"/>
  <c r="AJ78" i="10"/>
  <c r="W141" i="11" l="1"/>
  <c r="W144" i="11"/>
  <c r="X164" i="11"/>
  <c r="D58" i="9"/>
  <c r="AB185" i="8" s="1"/>
  <c r="BG12" i="9"/>
  <c r="D35" i="9"/>
  <c r="BD33" i="9"/>
  <c r="AI78" i="10"/>
  <c r="AH78" i="10"/>
  <c r="AC232" i="8" l="1"/>
  <c r="AB55" i="8"/>
  <c r="AB54" i="8"/>
  <c r="AB53" i="8"/>
  <c r="X144" i="11"/>
  <c r="X141" i="11"/>
  <c r="AB186" i="8"/>
  <c r="AB232" i="8"/>
  <c r="AB181" i="8"/>
  <c r="AB176" i="8"/>
  <c r="AB184" i="8"/>
  <c r="AB180" i="8"/>
  <c r="AB175" i="8"/>
  <c r="AB183" i="8"/>
  <c r="AB179" i="8"/>
  <c r="AB174" i="8"/>
  <c r="AB182" i="8"/>
  <c r="AB178" i="8"/>
  <c r="AB173" i="8"/>
  <c r="D60" i="9"/>
  <c r="D12" i="24" s="1"/>
  <c r="AC29" i="9"/>
  <c r="AZ29" i="9" s="1"/>
  <c r="D36" i="9"/>
  <c r="BG9" i="9"/>
  <c r="BC27" i="9"/>
  <c r="BB27" i="9"/>
  <c r="D39" i="9" l="1"/>
  <c r="AC40" i="9" s="1"/>
  <c r="AC251" i="8"/>
  <c r="AC194" i="8"/>
  <c r="AC192" i="8"/>
  <c r="AC195" i="8"/>
  <c r="AC193" i="8"/>
  <c r="AB194" i="8"/>
  <c r="AB251" i="8"/>
  <c r="AC28" i="9"/>
  <c r="AZ28" i="9" s="1"/>
  <c r="BG26" i="9"/>
  <c r="AC20" i="9"/>
  <c r="AC19" i="9" s="1"/>
  <c r="AZ19" i="9" s="1"/>
  <c r="AB193" i="8"/>
  <c r="AB195" i="8"/>
  <c r="AB192" i="8"/>
  <c r="F213" i="10"/>
  <c r="F173" i="10"/>
  <c r="F180" i="10"/>
  <c r="F174" i="10"/>
  <c r="F176" i="10"/>
  <c r="BD27" i="9"/>
  <c r="F232" i="10"/>
  <c r="F231" i="10" s="1"/>
  <c r="F234" i="10"/>
  <c r="G235" i="8"/>
  <c r="V173" i="2"/>
  <c r="V169" i="2"/>
  <c r="D9" i="24" l="1"/>
  <c r="AZ20" i="9"/>
  <c r="BG23" i="9" s="1"/>
  <c r="AF40" i="10"/>
  <c r="AF128" i="10"/>
  <c r="G211" i="8"/>
  <c r="G224" i="8"/>
  <c r="AF41" i="10"/>
  <c r="F236" i="10"/>
  <c r="F235" i="10" s="1"/>
  <c r="G205" i="8"/>
  <c r="G206" i="8"/>
  <c r="G208" i="8"/>
  <c r="G212" i="8"/>
  <c r="G209" i="8"/>
  <c r="V172" i="2"/>
  <c r="G210" i="8" l="1"/>
  <c r="F230" i="10"/>
  <c r="F229" i="10"/>
  <c r="F195" i="10"/>
  <c r="F216" i="10"/>
  <c r="F214" i="10" s="1"/>
  <c r="F121" i="10"/>
  <c r="AF108" i="10"/>
  <c r="AF80" i="10"/>
  <c r="AH128" i="10"/>
  <c r="F226" i="10"/>
  <c r="AF121" i="10"/>
  <c r="AJ128" i="10"/>
  <c r="F225" i="10"/>
  <c r="AG128" i="10"/>
  <c r="AF122" i="10"/>
  <c r="F227" i="10"/>
  <c r="AF123" i="10"/>
  <c r="AI128" i="10"/>
  <c r="G217" i="8"/>
  <c r="G207" i="8"/>
  <c r="G204" i="8"/>
  <c r="F228" i="10" l="1"/>
  <c r="F224" i="10"/>
  <c r="AG75" i="10"/>
  <c r="AG79" i="10" s="1"/>
  <c r="AH75" i="10"/>
  <c r="AI75" i="10"/>
  <c r="AF75" i="10"/>
  <c r="AJ75" i="10"/>
  <c r="F193" i="10"/>
  <c r="AF61" i="10" s="1"/>
  <c r="AF113" i="10"/>
  <c r="F211" i="10"/>
  <c r="AO13" i="10"/>
  <c r="AF114" i="10"/>
  <c r="AF81" i="10"/>
  <c r="F183" i="10"/>
  <c r="F182" i="10"/>
  <c r="AJ80" i="10"/>
  <c r="AI80" i="10"/>
  <c r="AG80" i="10"/>
  <c r="AG82" i="10" s="1"/>
  <c r="AH80" i="10"/>
  <c r="F179" i="10"/>
  <c r="F184" i="10"/>
  <c r="F178" i="10"/>
  <c r="F181" i="10"/>
  <c r="F212" i="10"/>
  <c r="F209" i="10"/>
  <c r="F217" i="10"/>
  <c r="F206" i="10"/>
  <c r="F208" i="10"/>
  <c r="F192" i="10"/>
  <c r="F191" i="10" l="1"/>
  <c r="F172" i="10"/>
  <c r="F210" i="10"/>
  <c r="F207" i="10"/>
  <c r="F204" i="10"/>
  <c r="AF83" i="10"/>
  <c r="AF84" i="10" s="1"/>
  <c r="AF77" i="10"/>
  <c r="AF79" i="10" s="1"/>
  <c r="AG113" i="10"/>
  <c r="AF53" i="10"/>
  <c r="AF82" i="10"/>
  <c r="AR13" i="10"/>
  <c r="AP13" i="10"/>
  <c r="AS13" i="10"/>
  <c r="AQ13" i="10"/>
  <c r="AF30" i="10"/>
  <c r="AF27" i="10"/>
  <c r="AG81" i="10"/>
  <c r="AI114" i="10"/>
  <c r="AJ114" i="10"/>
  <c r="AI81" i="10"/>
  <c r="AH114" i="10"/>
  <c r="AJ81" i="10"/>
  <c r="AG114" i="10"/>
  <c r="AH81" i="10"/>
  <c r="AF151" i="10" l="1"/>
  <c r="AJ53" i="10"/>
  <c r="AH53" i="10"/>
  <c r="AI53" i="10"/>
  <c r="AJ83" i="10"/>
  <c r="AJ84" i="10" s="1"/>
  <c r="AI83" i="10"/>
  <c r="AI84" i="10" s="1"/>
  <c r="AH83" i="10"/>
  <c r="AH84" i="10" s="1"/>
  <c r="AG83" i="10"/>
  <c r="AG84" i="10" s="1"/>
  <c r="AI82" i="10"/>
  <c r="AG53" i="10"/>
  <c r="AG77" i="10"/>
  <c r="AH82" i="10"/>
  <c r="AJ82" i="10"/>
  <c r="AH113" i="10"/>
  <c r="AG151" i="10" l="1"/>
  <c r="AG147" i="10"/>
  <c r="AH77" i="10"/>
  <c r="AH151" i="10" s="1"/>
  <c r="G71" i="2"/>
  <c r="G23" i="8"/>
  <c r="G22" i="8" s="1"/>
  <c r="F71" i="2"/>
  <c r="AG74" i="10" l="1"/>
  <c r="G131" i="2"/>
  <c r="F131" i="2"/>
  <c r="G37" i="2"/>
  <c r="AH79" i="10"/>
  <c r="AJ113" i="10"/>
  <c r="AI113" i="10"/>
  <c r="AI77" i="10"/>
  <c r="AJ77" i="10"/>
  <c r="G43" i="8"/>
  <c r="G42" i="8" s="1"/>
  <c r="G108" i="8"/>
  <c r="G79" i="8"/>
  <c r="G78" i="8" s="1"/>
  <c r="G149" i="8"/>
  <c r="G6" i="8"/>
  <c r="G9" i="8"/>
  <c r="G5" i="8" l="1"/>
  <c r="F4" i="10"/>
  <c r="F41" i="10"/>
  <c r="AI151" i="10"/>
  <c r="AJ151" i="10"/>
  <c r="AJ79" i="10"/>
  <c r="AI79" i="10"/>
  <c r="G148" i="8"/>
  <c r="AF102" i="10"/>
  <c r="AF88" i="10"/>
  <c r="AF72" i="10"/>
  <c r="AF120" i="10"/>
  <c r="AF71" i="10"/>
  <c r="AF60" i="10"/>
  <c r="AF103" i="10"/>
  <c r="AF59" i="10"/>
  <c r="AF90" i="10"/>
  <c r="AF62" i="10"/>
  <c r="AF98" i="10"/>
  <c r="AF63" i="10"/>
  <c r="AF64" i="10"/>
  <c r="AF58" i="10"/>
  <c r="AF100" i="10"/>
  <c r="AF94" i="10"/>
  <c r="AF70" i="10"/>
  <c r="AF87" i="10"/>
  <c r="AF73" i="10"/>
  <c r="AF89" i="10"/>
  <c r="AF99" i="10"/>
  <c r="AF92" i="10"/>
  <c r="AF91" i="10"/>
  <c r="G56" i="8"/>
  <c r="AF39" i="10"/>
  <c r="AF37" i="10"/>
  <c r="AF26" i="10"/>
  <c r="AF22" i="10"/>
  <c r="AF24" i="10"/>
  <c r="AF34" i="10"/>
  <c r="AF36" i="10"/>
  <c r="AF23" i="10"/>
  <c r="AF38" i="10"/>
  <c r="F77" i="10" l="1"/>
  <c r="AF19" i="10"/>
  <c r="G147" i="8"/>
  <c r="G77" i="8"/>
  <c r="G41" i="8"/>
  <c r="G4" i="8"/>
  <c r="AF8" i="10"/>
  <c r="AF32" i="10"/>
  <c r="F233" i="10"/>
  <c r="AF16" i="10"/>
  <c r="AF68" i="10"/>
  <c r="AF69" i="10"/>
  <c r="AF13" i="10"/>
  <c r="AF35" i="10"/>
  <c r="AF25" i="10"/>
  <c r="AF33" i="10"/>
  <c r="AF9" i="10"/>
  <c r="AF17" i="10"/>
  <c r="G2" i="8" l="1"/>
  <c r="AO9" i="10"/>
  <c r="AO6" i="10"/>
  <c r="AO14" i="10"/>
  <c r="AF57" i="10"/>
  <c r="AF85" i="10"/>
  <c r="AF5" i="10"/>
  <c r="AO15" i="10"/>
  <c r="AF118" i="10"/>
  <c r="AF127" i="10" s="1"/>
  <c r="AF104" i="10"/>
  <c r="AF109" i="10" l="1"/>
  <c r="AF117" i="10" s="1"/>
  <c r="AF74" i="10"/>
  <c r="AF130" i="10"/>
  <c r="AF149" i="10"/>
  <c r="F37" i="2"/>
  <c r="AJ108" i="10" l="1"/>
  <c r="AH108" i="10"/>
  <c r="AG108" i="10"/>
  <c r="AI108" i="10"/>
  <c r="AF147" i="10"/>
  <c r="AF148" i="10"/>
  <c r="AH123" i="10"/>
  <c r="AG121" i="10"/>
  <c r="AJ122" i="10"/>
  <c r="AI120" i="10"/>
  <c r="AJ123" i="10"/>
  <c r="AG122" i="10"/>
  <c r="AH122" i="10"/>
  <c r="AI122" i="10"/>
  <c r="AH120" i="10"/>
  <c r="AJ121" i="10"/>
  <c r="AI121" i="10"/>
  <c r="AG123" i="10"/>
  <c r="AG120" i="10"/>
  <c r="AJ120" i="10"/>
  <c r="AI123" i="10"/>
  <c r="AH121" i="10"/>
  <c r="F4" i="2"/>
  <c r="AJ118" i="10" l="1"/>
  <c r="AJ127" i="10" s="1"/>
  <c r="AG118" i="10"/>
  <c r="AG127" i="10" s="1"/>
  <c r="AH118" i="10"/>
  <c r="AH127" i="10" s="1"/>
  <c r="AI118" i="10"/>
  <c r="AI127" i="10" s="1"/>
  <c r="AG149" i="10" l="1"/>
  <c r="AG130" i="10"/>
  <c r="AJ130" i="10"/>
  <c r="AJ149" i="10"/>
  <c r="AI130" i="10"/>
  <c r="AI149" i="10"/>
  <c r="AH130" i="10"/>
  <c r="AH149" i="10"/>
  <c r="AR3" i="5" l="1"/>
  <c r="AL3" i="5"/>
  <c r="AV3" i="5"/>
  <c r="AQ3" i="5"/>
  <c r="AO3" i="5"/>
  <c r="AU3" i="5"/>
  <c r="AB3" i="5"/>
  <c r="AH3" i="5"/>
  <c r="AJ3" i="5"/>
  <c r="AC3" i="5"/>
  <c r="AT3" i="5"/>
  <c r="AS3" i="5"/>
  <c r="AK3" i="5"/>
  <c r="AN3" i="5"/>
  <c r="AI3" i="5"/>
  <c r="AP3" i="5"/>
  <c r="AM3" i="5"/>
  <c r="AW3" i="5"/>
  <c r="D73" i="4" l="1"/>
  <c r="AI80" i="8" s="1"/>
  <c r="U73" i="4"/>
  <c r="AZ80" i="8" s="1"/>
  <c r="X73" i="4"/>
  <c r="BC80" i="8" s="1"/>
  <c r="G73" i="4"/>
  <c r="AL80" i="8" s="1"/>
  <c r="L73" i="4"/>
  <c r="AQ80" i="8" s="1"/>
  <c r="Q73" i="4"/>
  <c r="AV80" i="8" s="1"/>
  <c r="I73" i="4"/>
  <c r="AN80" i="8" s="1"/>
  <c r="R73" i="4"/>
  <c r="AW80" i="8" s="1"/>
  <c r="O73" i="4"/>
  <c r="AT80" i="8" s="1"/>
  <c r="S73" i="4"/>
  <c r="AX80" i="8" s="1"/>
  <c r="W73" i="4"/>
  <c r="BB80" i="8" s="1"/>
  <c r="K73" i="4"/>
  <c r="AP80" i="8" s="1"/>
  <c r="Y73" i="4"/>
  <c r="BD80" i="8" s="1"/>
  <c r="V73" i="4"/>
  <c r="BA80" i="8" s="1"/>
  <c r="P73" i="4"/>
  <c r="AU80" i="8" s="1"/>
  <c r="J73" i="4"/>
  <c r="AO80" i="8" s="1"/>
  <c r="M73" i="4"/>
  <c r="AR80" i="8" s="1"/>
  <c r="E73" i="4"/>
  <c r="AJ80" i="8" s="1"/>
  <c r="N73" i="4"/>
  <c r="AS80" i="8" s="1"/>
  <c r="T73" i="4"/>
  <c r="AY80" i="8" s="1"/>
  <c r="H73" i="4"/>
  <c r="AM80" i="8" s="1"/>
  <c r="F73" i="4"/>
  <c r="AK80" i="8" s="1"/>
  <c r="L37" i="4"/>
  <c r="AQ43" i="8" s="1"/>
  <c r="Q37" i="4"/>
  <c r="AV43" i="8" s="1"/>
  <c r="P37" i="4"/>
  <c r="AU43" i="8" s="1"/>
  <c r="G37" i="4"/>
  <c r="AL43" i="8" s="1"/>
  <c r="V37" i="4"/>
  <c r="BA43" i="8" s="1"/>
  <c r="I37" i="4"/>
  <c r="AN43" i="8" s="1"/>
  <c r="X37" i="4"/>
  <c r="BC43" i="8" s="1"/>
  <c r="J37" i="4"/>
  <c r="AO43" i="8" s="1"/>
  <c r="M37" i="4"/>
  <c r="AR43" i="8" s="1"/>
  <c r="E37" i="4"/>
  <c r="AJ43" i="8" s="1"/>
  <c r="N37" i="4"/>
  <c r="AS43" i="8" s="1"/>
  <c r="T37" i="4"/>
  <c r="AY43" i="8" s="1"/>
  <c r="H37" i="4"/>
  <c r="AM43" i="8" s="1"/>
  <c r="F37" i="4"/>
  <c r="AK43" i="8" s="1"/>
  <c r="Y37" i="4"/>
  <c r="BD43" i="8" s="1"/>
  <c r="D37" i="4"/>
  <c r="AI43" i="8" s="1"/>
  <c r="U37" i="4"/>
  <c r="AZ43" i="8" s="1"/>
  <c r="R37" i="4"/>
  <c r="AW43" i="8" s="1"/>
  <c r="O37" i="4"/>
  <c r="AT43" i="8" s="1"/>
  <c r="S37" i="4"/>
  <c r="AX43" i="8" s="1"/>
  <c r="W37" i="4"/>
  <c r="BB43" i="8" s="1"/>
  <c r="K37" i="4"/>
  <c r="AP43" i="8" s="1"/>
  <c r="X38" i="4" l="1"/>
  <c r="BC44" i="8" s="1"/>
  <c r="E74" i="4"/>
  <c r="AJ81" i="8" s="1"/>
  <c r="K74" i="4"/>
  <c r="AP81" i="8" s="1"/>
  <c r="G74" i="4"/>
  <c r="AL81" i="8" s="1"/>
  <c r="S38" i="4"/>
  <c r="AX44" i="8" s="1"/>
  <c r="D38" i="4"/>
  <c r="AI44" i="8" s="1"/>
  <c r="T38" i="4"/>
  <c r="AY44" i="8" s="1"/>
  <c r="J38" i="4"/>
  <c r="AO44" i="8" s="1"/>
  <c r="G38" i="4"/>
  <c r="AL44" i="8" s="1"/>
  <c r="Y38" i="4"/>
  <c r="BD44" i="8" s="1"/>
  <c r="P38" i="4"/>
  <c r="AU44" i="8" s="1"/>
  <c r="T74" i="4"/>
  <c r="AY81" i="8" s="1"/>
  <c r="V74" i="4"/>
  <c r="BA81" i="8" s="1"/>
  <c r="U74" i="4"/>
  <c r="AZ81" i="8" s="1"/>
  <c r="K38" i="4"/>
  <c r="AP44" i="8" s="1"/>
  <c r="R38" i="4"/>
  <c r="AW44" i="8" s="1"/>
  <c r="F38" i="4"/>
  <c r="AK44" i="8" s="1"/>
  <c r="E38" i="4"/>
  <c r="AJ44" i="8" s="1"/>
  <c r="I38" i="4"/>
  <c r="AN44" i="8" s="1"/>
  <c r="Q38" i="4"/>
  <c r="AV44" i="8" s="1"/>
  <c r="O38" i="4"/>
  <c r="AT44" i="8" s="1"/>
  <c r="N38" i="4"/>
  <c r="AS44" i="8" s="1"/>
  <c r="F74" i="4"/>
  <c r="AK81" i="8" s="1"/>
  <c r="J74" i="4"/>
  <c r="AO81" i="8" s="1"/>
  <c r="S74" i="4"/>
  <c r="AX81" i="8" s="1"/>
  <c r="R74" i="4"/>
  <c r="AW81" i="8" s="1"/>
  <c r="Q74" i="4"/>
  <c r="AV81" i="8" s="1"/>
  <c r="W38" i="4"/>
  <c r="BB44" i="8" s="1"/>
  <c r="U38" i="4"/>
  <c r="AZ44" i="8" s="1"/>
  <c r="H38" i="4"/>
  <c r="AM44" i="8" s="1"/>
  <c r="M38" i="4"/>
  <c r="AR44" i="8" s="1"/>
  <c r="V38" i="4"/>
  <c r="BA44" i="8" s="1"/>
  <c r="L38" i="4"/>
  <c r="AQ44" i="8" s="1"/>
  <c r="H74" i="4"/>
  <c r="AM81" i="8" s="1"/>
  <c r="N74" i="4"/>
  <c r="AS81" i="8" s="1"/>
  <c r="M74" i="4"/>
  <c r="AR81" i="8" s="1"/>
  <c r="P74" i="4"/>
  <c r="AU81" i="8" s="1"/>
  <c r="Y74" i="4"/>
  <c r="BD81" i="8" s="1"/>
  <c r="W74" i="4"/>
  <c r="BB81" i="8" s="1"/>
  <c r="O74" i="4"/>
  <c r="AT81" i="8" s="1"/>
  <c r="I74" i="4"/>
  <c r="AN81" i="8" s="1"/>
  <c r="L74" i="4"/>
  <c r="AQ81" i="8" s="1"/>
  <c r="X74" i="4"/>
  <c r="BC81" i="8" s="1"/>
  <c r="D74" i="4"/>
  <c r="AI81" i="8" s="1"/>
  <c r="O115" i="4"/>
  <c r="T115" i="4"/>
  <c r="Y115" i="4"/>
  <c r="N108" i="4"/>
  <c r="N109" i="4" s="1"/>
  <c r="N115" i="4"/>
  <c r="N118" i="4" s="1"/>
  <c r="P108" i="4"/>
  <c r="P109" i="4" s="1"/>
  <c r="P115" i="4"/>
  <c r="P118" i="4" s="1"/>
  <c r="X108" i="4"/>
  <c r="X109" i="4" s="1"/>
  <c r="X115" i="4"/>
  <c r="X118" i="4" s="1"/>
  <c r="W108" i="4"/>
  <c r="W109" i="4" s="1"/>
  <c r="W115" i="4"/>
  <c r="W118" i="4" s="1"/>
  <c r="L108" i="4"/>
  <c r="L109" i="4" s="1"/>
  <c r="L115" i="4"/>
  <c r="L118" i="4" s="1"/>
  <c r="R108" i="4"/>
  <c r="R109" i="4" s="1"/>
  <c r="R115" i="4"/>
  <c r="R118" i="4" s="1"/>
  <c r="U108" i="4"/>
  <c r="U109" i="4" s="1"/>
  <c r="U115" i="4"/>
  <c r="U118" i="4" s="1"/>
  <c r="V108" i="4"/>
  <c r="V109" i="4" s="1"/>
  <c r="V115" i="4"/>
  <c r="V118" i="4" s="1"/>
  <c r="S108" i="4"/>
  <c r="S109" i="4" s="1"/>
  <c r="S115" i="4"/>
  <c r="S118" i="4" s="1"/>
  <c r="M108" i="4"/>
  <c r="M109" i="4" s="1"/>
  <c r="M115" i="4"/>
  <c r="M118" i="4" s="1"/>
  <c r="Q108" i="4"/>
  <c r="Q109" i="4" s="1"/>
  <c r="Q115" i="4"/>
  <c r="Q118" i="4" s="1"/>
  <c r="J115" i="4"/>
  <c r="K108" i="4"/>
  <c r="K115" i="4"/>
  <c r="K118" i="4" s="1"/>
  <c r="O108" i="4"/>
  <c r="T108" i="4"/>
  <c r="Y108" i="4"/>
  <c r="J108" i="4"/>
  <c r="C5" i="6"/>
  <c r="C8" i="6" l="1"/>
  <c r="C20" i="6"/>
  <c r="E93" i="9"/>
  <c r="E95" i="9" s="1"/>
  <c r="J118" i="4"/>
  <c r="T118" i="4"/>
  <c r="G93" i="9"/>
  <c r="G95" i="9" s="1"/>
  <c r="H93" i="9"/>
  <c r="H95" i="9" s="1"/>
  <c r="Y118" i="4"/>
  <c r="O118" i="4"/>
  <c r="F93" i="9"/>
  <c r="F95" i="9" s="1"/>
  <c r="K109" i="4"/>
  <c r="V128" i="4"/>
  <c r="O128" i="4"/>
  <c r="P125" i="4"/>
  <c r="P128" i="4"/>
  <c r="Y128" i="4"/>
  <c r="N125" i="4"/>
  <c r="N128" i="4"/>
  <c r="U125" i="4"/>
  <c r="U128" i="4"/>
  <c r="K125" i="4"/>
  <c r="K128" i="4"/>
  <c r="Q128" i="4"/>
  <c r="R128" i="4"/>
  <c r="X128" i="4"/>
  <c r="M128" i="4"/>
  <c r="J125" i="4"/>
  <c r="J128" i="4"/>
  <c r="W128" i="4"/>
  <c r="T125" i="4"/>
  <c r="T128" i="4"/>
  <c r="L128" i="4"/>
  <c r="S125" i="4"/>
  <c r="S128" i="4"/>
  <c r="L125" i="4"/>
  <c r="R125" i="4"/>
  <c r="W125" i="4"/>
  <c r="V125" i="4"/>
  <c r="O125" i="4"/>
  <c r="Q125" i="4"/>
  <c r="X125" i="4"/>
  <c r="M125" i="4"/>
  <c r="Y125" i="4"/>
  <c r="J109" i="4"/>
  <c r="AA80" i="4" s="1"/>
  <c r="AA79" i="4"/>
  <c r="Y109" i="4"/>
  <c r="AD112" i="4" s="1"/>
  <c r="AD111" i="4"/>
  <c r="T109" i="4"/>
  <c r="AC112" i="4" s="1"/>
  <c r="AC111" i="4"/>
  <c r="O109" i="4"/>
  <c r="AB112" i="4" s="1"/>
  <c r="AB111" i="4"/>
  <c r="U4" i="10"/>
  <c r="P8" i="6"/>
  <c r="E20" i="6"/>
  <c r="O8" i="6"/>
  <c r="R5" i="6"/>
  <c r="Q5" i="6"/>
  <c r="I8" i="6"/>
  <c r="H8" i="6"/>
  <c r="W20" i="6"/>
  <c r="H5" i="6"/>
  <c r="T20" i="6"/>
  <c r="V8" i="6"/>
  <c r="N5" i="6"/>
  <c r="S8" i="6"/>
  <c r="Q8" i="6"/>
  <c r="I5" i="6"/>
  <c r="M20" i="6"/>
  <c r="M8" i="6"/>
  <c r="D20" i="6"/>
  <c r="W8" i="6"/>
  <c r="G8" i="6"/>
  <c r="D8" i="6"/>
  <c r="L20" i="6"/>
  <c r="S20" i="6"/>
  <c r="J5" i="6"/>
  <c r="U5" i="6"/>
  <c r="J20" i="6"/>
  <c r="I20" i="6"/>
  <c r="E5" i="6"/>
  <c r="J8" i="6"/>
  <c r="M5" i="6"/>
  <c r="Q20" i="6"/>
  <c r="O20" i="6"/>
  <c r="H20" i="6"/>
  <c r="N20" i="6"/>
  <c r="W5" i="6"/>
  <c r="K5" i="6"/>
  <c r="U8" i="6"/>
  <c r="N8" i="6"/>
  <c r="U20" i="6"/>
  <c r="G20" i="6"/>
  <c r="F20" i="6"/>
  <c r="R8" i="6"/>
  <c r="G5" i="6"/>
  <c r="L5" i="6"/>
  <c r="R20" i="6"/>
  <c r="F8" i="6"/>
  <c r="P5" i="6"/>
  <c r="V5" i="6"/>
  <c r="L8" i="6"/>
  <c r="O5" i="6"/>
  <c r="E8" i="6"/>
  <c r="P20" i="6"/>
  <c r="K8" i="6"/>
  <c r="V20" i="6"/>
  <c r="T5" i="6"/>
  <c r="S5" i="6"/>
  <c r="K20" i="6"/>
  <c r="T8" i="6"/>
  <c r="F5" i="6"/>
  <c r="D5" i="6"/>
  <c r="O35" i="6" l="1"/>
  <c r="M35" i="6"/>
  <c r="M36" i="6" s="1"/>
  <c r="K35" i="6"/>
  <c r="K36" i="6" s="1"/>
  <c r="I35" i="6"/>
  <c r="I36" i="6" s="1"/>
  <c r="S35" i="6"/>
  <c r="S36" i="6" s="1"/>
  <c r="C35" i="6"/>
  <c r="C36" i="6" s="1"/>
  <c r="W35" i="6"/>
  <c r="W36" i="6" s="1"/>
  <c r="N35" i="6"/>
  <c r="N36" i="6" s="1"/>
  <c r="T35" i="6"/>
  <c r="T36" i="6" s="1"/>
  <c r="U35" i="6"/>
  <c r="U36" i="6" s="1"/>
  <c r="H35" i="6"/>
  <c r="H36" i="6" s="1"/>
  <c r="R9" i="9"/>
  <c r="R35" i="6"/>
  <c r="R36" i="6" s="1"/>
  <c r="V35" i="6"/>
  <c r="V36" i="6" s="1"/>
  <c r="P35" i="6"/>
  <c r="P36" i="6" s="1"/>
  <c r="L35" i="6"/>
  <c r="L36" i="6" s="1"/>
  <c r="J35" i="6"/>
  <c r="J36" i="6" s="1"/>
  <c r="Q35" i="6"/>
  <c r="Q36" i="6" s="1"/>
  <c r="H56" i="8"/>
  <c r="AE41" i="8" s="1"/>
  <c r="AH41" i="10"/>
  <c r="AH40" i="10"/>
  <c r="AI40" i="10"/>
  <c r="AJ41" i="10"/>
  <c r="AI41" i="10"/>
  <c r="AJ40" i="10"/>
  <c r="K21" i="6"/>
  <c r="K45" i="9"/>
  <c r="T9" i="9"/>
  <c r="T6" i="6"/>
  <c r="O9" i="9"/>
  <c r="O36" i="6"/>
  <c r="O6" i="6"/>
  <c r="P9" i="9"/>
  <c r="P6" i="6"/>
  <c r="R45" i="9"/>
  <c r="R21" i="6"/>
  <c r="F21" i="6"/>
  <c r="F45" i="9"/>
  <c r="U21" i="6"/>
  <c r="U45" i="9"/>
  <c r="W9" i="9"/>
  <c r="W6" i="6"/>
  <c r="H45" i="9"/>
  <c r="H21" i="6"/>
  <c r="C9" i="9"/>
  <c r="AB9" i="9" s="1"/>
  <c r="C6" i="6"/>
  <c r="Y6" i="6" s="1"/>
  <c r="J9" i="6"/>
  <c r="J16" i="9"/>
  <c r="I21" i="6"/>
  <c r="I45" i="9"/>
  <c r="S21" i="6"/>
  <c r="S45" i="9"/>
  <c r="D21" i="6"/>
  <c r="D45" i="9"/>
  <c r="M21" i="6"/>
  <c r="M45" i="9"/>
  <c r="Q9" i="6"/>
  <c r="Q16" i="9"/>
  <c r="V9" i="6"/>
  <c r="V16" i="9"/>
  <c r="H9" i="9"/>
  <c r="H6" i="6"/>
  <c r="I9" i="6"/>
  <c r="I16" i="9"/>
  <c r="R6" i="6"/>
  <c r="C9" i="6"/>
  <c r="Y9" i="6" s="1"/>
  <c r="C16" i="9"/>
  <c r="D9" i="9"/>
  <c r="D6" i="6"/>
  <c r="S9" i="9"/>
  <c r="S6" i="6"/>
  <c r="V21" i="6"/>
  <c r="V45" i="9"/>
  <c r="P21" i="6"/>
  <c r="P45" i="9"/>
  <c r="L9" i="6"/>
  <c r="L16" i="9"/>
  <c r="V9" i="9"/>
  <c r="V6" i="6"/>
  <c r="F9" i="6"/>
  <c r="F16" i="9"/>
  <c r="R9" i="6"/>
  <c r="R16" i="9"/>
  <c r="G21" i="6"/>
  <c r="G45" i="9"/>
  <c r="N9" i="6"/>
  <c r="N16" i="9"/>
  <c r="N21" i="6"/>
  <c r="N45" i="9"/>
  <c r="O21" i="6"/>
  <c r="O45" i="9"/>
  <c r="M9" i="9"/>
  <c r="M6" i="6"/>
  <c r="J21" i="6"/>
  <c r="J45" i="9"/>
  <c r="F9" i="9"/>
  <c r="F6" i="6"/>
  <c r="K9" i="6"/>
  <c r="K16" i="9"/>
  <c r="C21" i="6"/>
  <c r="Y21" i="6" s="1"/>
  <c r="C45" i="9"/>
  <c r="G9" i="9"/>
  <c r="G6" i="6"/>
  <c r="U9" i="6"/>
  <c r="U16" i="9"/>
  <c r="Q21" i="6"/>
  <c r="Q45" i="9"/>
  <c r="U9" i="9"/>
  <c r="U6" i="6"/>
  <c r="G9" i="6"/>
  <c r="G16" i="9"/>
  <c r="T9" i="6"/>
  <c r="T16" i="9"/>
  <c r="E9" i="6"/>
  <c r="E16" i="9"/>
  <c r="L9" i="9"/>
  <c r="L6" i="6"/>
  <c r="K9" i="9"/>
  <c r="K6" i="6"/>
  <c r="E9" i="9"/>
  <c r="E6" i="6"/>
  <c r="J9" i="9"/>
  <c r="J6" i="6"/>
  <c r="L21" i="6"/>
  <c r="L45" i="9"/>
  <c r="D9" i="6"/>
  <c r="D16" i="9"/>
  <c r="W9" i="6"/>
  <c r="W16" i="9"/>
  <c r="M9" i="6"/>
  <c r="M16" i="9"/>
  <c r="I9" i="9"/>
  <c r="I6" i="6"/>
  <c r="S9" i="6"/>
  <c r="S16" i="9"/>
  <c r="N9" i="9"/>
  <c r="N6" i="6"/>
  <c r="T21" i="6"/>
  <c r="T45" i="9"/>
  <c r="W45" i="9"/>
  <c r="W21" i="6"/>
  <c r="H16" i="9"/>
  <c r="H9" i="6"/>
  <c r="Q9" i="9"/>
  <c r="Q6" i="6"/>
  <c r="O9" i="6"/>
  <c r="O16" i="9"/>
  <c r="E21" i="6"/>
  <c r="E45" i="9"/>
  <c r="P9" i="6"/>
  <c r="P16" i="9"/>
  <c r="K80" i="9" l="1"/>
  <c r="G80" i="9"/>
  <c r="J80" i="9"/>
  <c r="N80" i="9"/>
  <c r="I80" i="9"/>
  <c r="Q80" i="9"/>
  <c r="V80" i="9"/>
  <c r="S80" i="9"/>
  <c r="O80" i="9"/>
  <c r="H80" i="9"/>
  <c r="H83" i="9" s="1"/>
  <c r="W80" i="9"/>
  <c r="W83" i="9" s="1"/>
  <c r="P80" i="9"/>
  <c r="R80" i="9"/>
  <c r="R83" i="9" s="1"/>
  <c r="L80" i="9"/>
  <c r="U80" i="9"/>
  <c r="F80" i="9"/>
  <c r="M80" i="9"/>
  <c r="M83" i="9" s="1"/>
  <c r="T80" i="9"/>
  <c r="E80" i="9"/>
  <c r="AC9" i="9"/>
  <c r="AZ9" i="9" s="1"/>
  <c r="D80" i="9"/>
  <c r="AF9" i="9"/>
  <c r="AH9" i="9"/>
  <c r="AD9" i="9"/>
  <c r="AK9" i="9"/>
  <c r="AT9" i="9"/>
  <c r="AU9" i="9"/>
  <c r="AR9" i="9"/>
  <c r="AN9" i="9"/>
  <c r="AQ9" i="9"/>
  <c r="AP9" i="9"/>
  <c r="AM9" i="9"/>
  <c r="AE9" i="9"/>
  <c r="AG9" i="9"/>
  <c r="BA9" i="9" s="1"/>
  <c r="AV9" i="9"/>
  <c r="AO9" i="9"/>
  <c r="AI9" i="9"/>
  <c r="AJ9" i="9"/>
  <c r="AL9" i="9"/>
  <c r="AS9" i="9"/>
  <c r="H41" i="8"/>
  <c r="AI17" i="10"/>
  <c r="AJ17" i="10"/>
  <c r="AH13" i="10"/>
  <c r="AH17" i="10"/>
  <c r="AJ13" i="10"/>
  <c r="AI13" i="10"/>
  <c r="AO12" i="9"/>
  <c r="AV24" i="9"/>
  <c r="AM24" i="9"/>
  <c r="AS24" i="9"/>
  <c r="AV12" i="9"/>
  <c r="AK24" i="9"/>
  <c r="AH12" i="9"/>
  <c r="AL24" i="9"/>
  <c r="AG24" i="9"/>
  <c r="AT24" i="9"/>
  <c r="AJ12" i="9"/>
  <c r="AE12" i="9"/>
  <c r="AT12" i="9"/>
  <c r="AI24" i="9"/>
  <c r="AK12" i="9"/>
  <c r="AU24" i="9"/>
  <c r="AB12" i="9"/>
  <c r="AU12" i="9"/>
  <c r="AR12" i="9"/>
  <c r="AD12" i="9"/>
  <c r="AF12" i="9"/>
  <c r="AN12" i="9"/>
  <c r="AS12" i="9"/>
  <c r="AF24" i="9"/>
  <c r="AH24" i="9"/>
  <c r="AD24" i="9"/>
  <c r="AG12" i="9"/>
  <c r="AB24" i="9"/>
  <c r="AN24" i="9"/>
  <c r="AM12" i="9"/>
  <c r="AQ12" i="9"/>
  <c r="AQ24" i="9"/>
  <c r="AJ24" i="9"/>
  <c r="AL12" i="9"/>
  <c r="AC12" i="9"/>
  <c r="AP24" i="9"/>
  <c r="AO24" i="9"/>
  <c r="AP12" i="9"/>
  <c r="AC24" i="9"/>
  <c r="AR24" i="9"/>
  <c r="AI12" i="9"/>
  <c r="AE24" i="9"/>
  <c r="C80" i="9"/>
  <c r="AB6" i="9" s="1"/>
  <c r="AP6" i="9" l="1"/>
  <c r="Q83" i="9"/>
  <c r="AN6" i="9"/>
  <c r="O83" i="9"/>
  <c r="AU6" i="9"/>
  <c r="V83" i="9"/>
  <c r="AK6" i="9"/>
  <c r="L83" i="9"/>
  <c r="AI6" i="9"/>
  <c r="J83" i="9"/>
  <c r="AM6" i="9"/>
  <c r="N83" i="9"/>
  <c r="AR6" i="9"/>
  <c r="S83" i="9"/>
  <c r="AT6" i="9"/>
  <c r="U83" i="9"/>
  <c r="AS6" i="9"/>
  <c r="T83" i="9"/>
  <c r="AJ6" i="9"/>
  <c r="K83" i="9"/>
  <c r="AO6" i="9"/>
  <c r="P83" i="9"/>
  <c r="AH6" i="9"/>
  <c r="I83" i="9"/>
  <c r="AC67" i="8"/>
  <c r="AC62" i="8"/>
  <c r="AC68" i="8"/>
  <c r="AC63" i="8"/>
  <c r="AC69" i="8"/>
  <c r="AC72" i="8"/>
  <c r="AC46" i="8"/>
  <c r="AC51" i="8"/>
  <c r="AC50" i="8"/>
  <c r="AC52" i="8"/>
  <c r="AC71" i="8"/>
  <c r="AC49" i="8"/>
  <c r="AC57" i="8"/>
  <c r="AC64" i="8"/>
  <c r="AC43" i="8"/>
  <c r="AC45" i="8"/>
  <c r="AC70" i="8"/>
  <c r="AC44" i="8"/>
  <c r="AC73" i="8"/>
  <c r="AC60" i="8"/>
  <c r="AC58" i="8"/>
  <c r="AC59" i="8"/>
  <c r="AC61" i="8"/>
  <c r="AZ24" i="9"/>
  <c r="AZ12" i="9"/>
  <c r="BC9" i="9"/>
  <c r="BD9" i="9"/>
  <c r="BB9" i="9"/>
  <c r="AQ6" i="9"/>
  <c r="BC6" i="9" s="1"/>
  <c r="AV6" i="9"/>
  <c r="BD6" i="9" s="1"/>
  <c r="AL6" i="9"/>
  <c r="BB6" i="9" s="1"/>
  <c r="AG6" i="9"/>
  <c r="BA6" i="9" s="1"/>
  <c r="AJ57" i="10"/>
  <c r="AI57" i="10"/>
  <c r="AH57" i="10"/>
  <c r="BB12" i="9"/>
  <c r="BA24" i="9"/>
  <c r="BD12" i="9"/>
  <c r="BD24" i="9"/>
  <c r="BC24" i="9"/>
  <c r="BC12" i="9"/>
  <c r="BB24" i="9"/>
  <c r="BA12" i="9"/>
  <c r="AI74" i="10" l="1"/>
  <c r="AJ74" i="10"/>
  <c r="N204" i="10" l="1"/>
  <c r="N191" i="10" s="1"/>
  <c r="AH147" i="10"/>
  <c r="AH74" i="10"/>
  <c r="AJ147" i="10"/>
  <c r="AI147" i="10"/>
  <c r="H77" i="8" l="1"/>
  <c r="AG92" i="10"/>
  <c r="AH87" i="10"/>
  <c r="AG87" i="10"/>
  <c r="AH91" i="10"/>
  <c r="AG94" i="10"/>
  <c r="AH90" i="10"/>
  <c r="AG100" i="10"/>
  <c r="AG90" i="10"/>
  <c r="AI100" i="10"/>
  <c r="AJ92" i="10"/>
  <c r="AI92" i="10"/>
  <c r="AG103" i="10"/>
  <c r="AH89" i="10"/>
  <c r="AJ98" i="10"/>
  <c r="AI91" i="10"/>
  <c r="AI88" i="10"/>
  <c r="AH94" i="10"/>
  <c r="AH100" i="10"/>
  <c r="AI87" i="10"/>
  <c r="AG98" i="10"/>
  <c r="AI94" i="10"/>
  <c r="AJ100" i="10"/>
  <c r="AI99" i="10"/>
  <c r="AG99" i="10"/>
  <c r="AH99" i="10"/>
  <c r="AH92" i="10"/>
  <c r="AJ103" i="10"/>
  <c r="AI103" i="10"/>
  <c r="AJ104" i="10"/>
  <c r="AI89" i="10"/>
  <c r="AJ89" i="10"/>
  <c r="AJ87" i="10"/>
  <c r="AG91" i="10"/>
  <c r="AJ90" i="10"/>
  <c r="AI90" i="10"/>
  <c r="AG88" i="10"/>
  <c r="AJ88" i="10"/>
  <c r="AJ99" i="10"/>
  <c r="AR15" i="10"/>
  <c r="AS15" i="10"/>
  <c r="AH103" i="10"/>
  <c r="AG89" i="10"/>
  <c r="AI98" i="10"/>
  <c r="AH98" i="10"/>
  <c r="AJ91" i="10"/>
  <c r="AH88" i="10"/>
  <c r="AJ94" i="10"/>
  <c r="AQ15" i="10" l="1"/>
  <c r="AP15" i="10"/>
  <c r="AG102" i="10"/>
  <c r="AI104" i="10"/>
  <c r="AI102" i="10"/>
  <c r="AH102" i="10"/>
  <c r="AJ102" i="10"/>
  <c r="AH104" i="10" l="1"/>
  <c r="AG104" i="10"/>
  <c r="D90" i="9" l="1"/>
  <c r="D96" i="9" s="1"/>
  <c r="C78" i="9" l="1"/>
  <c r="AB5" i="9" s="1"/>
  <c r="AB4" i="9" l="1"/>
  <c r="AV35" i="9" l="1"/>
  <c r="AV34" i="9" s="1"/>
  <c r="W14" i="24" l="1"/>
  <c r="BD34" i="9"/>
  <c r="AA200" i="8"/>
  <c r="J200" i="10" s="1"/>
  <c r="BD35" i="9"/>
  <c r="AJ134" i="10" l="1"/>
  <c r="AJ136" i="10" s="1"/>
  <c r="AJ150" i="10" l="1"/>
  <c r="AS16" i="10"/>
  <c r="AB35" i="9" l="1"/>
  <c r="AG35" i="9"/>
  <c r="BA35" i="9" s="1"/>
  <c r="AH35" i="9"/>
  <c r="AH34" i="9" s="1"/>
  <c r="AI35" i="9"/>
  <c r="AI34" i="9" s="1"/>
  <c r="AJ35" i="9"/>
  <c r="AJ34" i="9" s="1"/>
  <c r="AK35" i="9"/>
  <c r="AK34" i="9" s="1"/>
  <c r="AL35" i="9"/>
  <c r="BB35" i="9" s="1"/>
  <c r="AM35" i="9"/>
  <c r="AM34" i="9" s="1"/>
  <c r="AN35" i="9"/>
  <c r="AN34" i="9" s="1"/>
  <c r="AO35" i="9"/>
  <c r="AO34" i="9" s="1"/>
  <c r="AP35" i="9"/>
  <c r="AP34" i="9" s="1"/>
  <c r="AQ35" i="9"/>
  <c r="AQ34" i="9" s="1"/>
  <c r="AR35" i="9"/>
  <c r="AR34" i="9" s="1"/>
  <c r="AS35" i="9"/>
  <c r="AS34" i="9" s="1"/>
  <c r="AT35" i="9"/>
  <c r="AT34" i="9" s="1"/>
  <c r="AU35" i="9"/>
  <c r="AU34" i="9" s="1"/>
  <c r="H14" i="24"/>
  <c r="I14" i="24"/>
  <c r="L14" i="24"/>
  <c r="M14" i="24"/>
  <c r="P14" i="24"/>
  <c r="Q14" i="24"/>
  <c r="T14" i="24"/>
  <c r="U14" i="24"/>
  <c r="C14" i="24"/>
  <c r="J14" i="24"/>
  <c r="K14" i="24"/>
  <c r="N14" i="24"/>
  <c r="O14" i="24"/>
  <c r="R14" i="24"/>
  <c r="S14" i="24"/>
  <c r="V14" i="24"/>
  <c r="F200" i="10"/>
  <c r="E86" i="5" s="1"/>
  <c r="E88" i="5" s="1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Z200" i="8"/>
  <c r="E150" i="48" l="1"/>
  <c r="E151" i="48" s="1"/>
  <c r="G3" i="48"/>
  <c r="G5" i="48" s="1"/>
  <c r="B59" i="48" s="1"/>
  <c r="E146" i="11"/>
  <c r="E147" i="11" s="1"/>
  <c r="E148" i="11" s="1"/>
  <c r="G3" i="11"/>
  <c r="G5" i="11" s="1"/>
  <c r="G200" i="10"/>
  <c r="AP7" i="10" s="1"/>
  <c r="H200" i="10"/>
  <c r="AQ7" i="10" s="1"/>
  <c r="I200" i="10"/>
  <c r="AR7" i="10" s="1"/>
  <c r="AD86" i="5"/>
  <c r="Q7" i="3" s="1"/>
  <c r="F84" i="5"/>
  <c r="F86" i="5"/>
  <c r="AO7" i="10"/>
  <c r="AB34" i="9"/>
  <c r="AF134" i="10"/>
  <c r="AF136" i="10" s="1"/>
  <c r="AO16" i="10" s="1"/>
  <c r="BC35" i="9"/>
  <c r="AG134" i="10"/>
  <c r="AG136" i="10" s="1"/>
  <c r="BC34" i="9"/>
  <c r="AL34" i="9"/>
  <c r="AG34" i="9"/>
  <c r="V152" i="48" l="1"/>
  <c r="R152" i="48"/>
  <c r="N152" i="48"/>
  <c r="J152" i="48"/>
  <c r="U152" i="48"/>
  <c r="Q152" i="48"/>
  <c r="M152" i="48"/>
  <c r="I152" i="48"/>
  <c r="E152" i="48"/>
  <c r="X152" i="48"/>
  <c r="P152" i="48"/>
  <c r="W152" i="48"/>
  <c r="S152" i="48"/>
  <c r="O152" i="48"/>
  <c r="K152" i="48"/>
  <c r="C152" i="48"/>
  <c r="T152" i="48"/>
  <c r="L152" i="48"/>
  <c r="D152" i="48"/>
  <c r="B63" i="48"/>
  <c r="C51" i="48" s="1"/>
  <c r="C47" i="48" s="1"/>
  <c r="K47" i="48" s="1"/>
  <c r="B67" i="48"/>
  <c r="C112" i="48" s="1"/>
  <c r="C107" i="48" s="1"/>
  <c r="K107" i="48" s="1"/>
  <c r="B62" i="48"/>
  <c r="C39" i="48" s="1"/>
  <c r="C35" i="48" s="1"/>
  <c r="K35" i="48" s="1"/>
  <c r="B61" i="48"/>
  <c r="C27" i="48" s="1"/>
  <c r="C23" i="48" s="1"/>
  <c r="K23" i="48" s="1"/>
  <c r="B65" i="48"/>
  <c r="C88" i="48" s="1"/>
  <c r="C83" i="48" s="1"/>
  <c r="K83" i="48" s="1"/>
  <c r="B60" i="48"/>
  <c r="B66" i="48"/>
  <c r="C100" i="48" s="1"/>
  <c r="C95" i="48" s="1"/>
  <c r="K95" i="48" s="1"/>
  <c r="B64" i="48"/>
  <c r="C76" i="48" s="1"/>
  <c r="C71" i="48" s="1"/>
  <c r="K71" i="48" s="1"/>
  <c r="E153" i="48"/>
  <c r="E173" i="48"/>
  <c r="AD88" i="5"/>
  <c r="AD95" i="5" s="1"/>
  <c r="AD3" i="5" s="1"/>
  <c r="F102" i="37"/>
  <c r="F103" i="37" s="1"/>
  <c r="F104" i="37" s="1"/>
  <c r="B59" i="11"/>
  <c r="B61" i="11" s="1"/>
  <c r="E164" i="11"/>
  <c r="G86" i="5"/>
  <c r="F88" i="5"/>
  <c r="AG150" i="10"/>
  <c r="AP16" i="10"/>
  <c r="E95" i="5"/>
  <c r="E3" i="5" s="1"/>
  <c r="F101" i="4"/>
  <c r="AK111" i="8" s="1"/>
  <c r="AF150" i="10"/>
  <c r="AO5" i="10"/>
  <c r="AI134" i="10"/>
  <c r="AI136" i="10" s="1"/>
  <c r="BA34" i="9"/>
  <c r="AH134" i="10"/>
  <c r="AH136" i="10" s="1"/>
  <c r="BB34" i="9"/>
  <c r="B66" i="11" l="1"/>
  <c r="E145" i="48"/>
  <c r="E149" i="48"/>
  <c r="E144" i="48"/>
  <c r="E147" i="48"/>
  <c r="E148" i="48"/>
  <c r="E143" i="48"/>
  <c r="B68" i="48"/>
  <c r="C126" i="48" s="1"/>
  <c r="C121" i="48" s="1"/>
  <c r="K121" i="48" s="1"/>
  <c r="C15" i="48"/>
  <c r="C11" i="48" s="1"/>
  <c r="K11" i="48" s="1"/>
  <c r="S169" i="48"/>
  <c r="T169" i="48"/>
  <c r="N169" i="48"/>
  <c r="F169" i="48"/>
  <c r="Q169" i="48"/>
  <c r="I169" i="48"/>
  <c r="P169" i="48"/>
  <c r="H169" i="48"/>
  <c r="K169" i="48"/>
  <c r="C169" i="48"/>
  <c r="M169" i="48"/>
  <c r="L169" i="48"/>
  <c r="O169" i="48"/>
  <c r="G169" i="48"/>
  <c r="R169" i="48"/>
  <c r="J169" i="48"/>
  <c r="U169" i="48"/>
  <c r="V169" i="48"/>
  <c r="W169" i="48"/>
  <c r="X169" i="48"/>
  <c r="F146" i="11"/>
  <c r="F147" i="11" s="1"/>
  <c r="F164" i="11" s="1"/>
  <c r="F150" i="48"/>
  <c r="F151" i="48" s="1"/>
  <c r="L161" i="48"/>
  <c r="P161" i="48"/>
  <c r="M161" i="48"/>
  <c r="N161" i="48"/>
  <c r="K161" i="48"/>
  <c r="O161" i="48"/>
  <c r="V161" i="48"/>
  <c r="I161" i="48"/>
  <c r="F161" i="48"/>
  <c r="R161" i="48"/>
  <c r="U161" i="48"/>
  <c r="Q161" i="48"/>
  <c r="G161" i="48"/>
  <c r="S161" i="48"/>
  <c r="W161" i="48"/>
  <c r="H161" i="48"/>
  <c r="T161" i="48"/>
  <c r="J161" i="48"/>
  <c r="C161" i="48"/>
  <c r="X161" i="48"/>
  <c r="R149" i="48"/>
  <c r="I149" i="48"/>
  <c r="X149" i="48"/>
  <c r="V149" i="48"/>
  <c r="Q149" i="48"/>
  <c r="M149" i="48"/>
  <c r="T149" i="48"/>
  <c r="U149" i="48"/>
  <c r="P149" i="48"/>
  <c r="O149" i="48"/>
  <c r="K149" i="48"/>
  <c r="C149" i="48"/>
  <c r="S149" i="48"/>
  <c r="N149" i="48"/>
  <c r="L149" i="48"/>
  <c r="J149" i="48"/>
  <c r="W149" i="48"/>
  <c r="I157" i="48"/>
  <c r="F157" i="48"/>
  <c r="Q157" i="48"/>
  <c r="S157" i="48"/>
  <c r="T157" i="48"/>
  <c r="G157" i="48"/>
  <c r="C157" i="48"/>
  <c r="V157" i="48"/>
  <c r="W157" i="48"/>
  <c r="H157" i="48"/>
  <c r="R157" i="48"/>
  <c r="N157" i="48"/>
  <c r="J157" i="48"/>
  <c r="X157" i="48"/>
  <c r="M157" i="48"/>
  <c r="O157" i="48"/>
  <c r="U157" i="48"/>
  <c r="P157" i="48"/>
  <c r="L157" i="48"/>
  <c r="K157" i="48"/>
  <c r="M141" i="48"/>
  <c r="P141" i="48"/>
  <c r="N141" i="48"/>
  <c r="C141" i="48"/>
  <c r="K141" i="48"/>
  <c r="O141" i="48"/>
  <c r="U141" i="48"/>
  <c r="H141" i="48"/>
  <c r="J141" i="48"/>
  <c r="R141" i="48"/>
  <c r="V141" i="48"/>
  <c r="W141" i="48"/>
  <c r="Q141" i="48"/>
  <c r="T141" i="48"/>
  <c r="X141" i="48"/>
  <c r="F141" i="48"/>
  <c r="G141" i="48"/>
  <c r="S141" i="48"/>
  <c r="I141" i="48"/>
  <c r="L141" i="48"/>
  <c r="L165" i="48"/>
  <c r="O165" i="48"/>
  <c r="K165" i="48"/>
  <c r="T165" i="48"/>
  <c r="V165" i="48"/>
  <c r="S165" i="48"/>
  <c r="H165" i="48"/>
  <c r="U165" i="48"/>
  <c r="C165" i="48"/>
  <c r="W165" i="48"/>
  <c r="P165" i="48"/>
  <c r="N165" i="48"/>
  <c r="G165" i="48"/>
  <c r="M165" i="48"/>
  <c r="R165" i="48"/>
  <c r="X165" i="48"/>
  <c r="F165" i="48"/>
  <c r="Q165" i="48"/>
  <c r="I165" i="48"/>
  <c r="J165" i="48"/>
  <c r="M145" i="48"/>
  <c r="V145" i="48"/>
  <c r="W145" i="48"/>
  <c r="U145" i="48"/>
  <c r="T145" i="48"/>
  <c r="O145" i="48"/>
  <c r="X145" i="48"/>
  <c r="C145" i="48"/>
  <c r="Q145" i="48"/>
  <c r="J145" i="48"/>
  <c r="K145" i="48"/>
  <c r="I145" i="48"/>
  <c r="P145" i="48"/>
  <c r="R145" i="48"/>
  <c r="S145" i="48"/>
  <c r="N145" i="48"/>
  <c r="L145" i="48"/>
  <c r="B65" i="11"/>
  <c r="C88" i="11" s="1"/>
  <c r="B67" i="11"/>
  <c r="C112" i="11" s="1"/>
  <c r="B63" i="11"/>
  <c r="C51" i="11" s="1"/>
  <c r="B62" i="11"/>
  <c r="C39" i="11" s="1"/>
  <c r="B64" i="11"/>
  <c r="C76" i="11" s="1"/>
  <c r="B60" i="11"/>
  <c r="B68" i="11" s="1"/>
  <c r="C126" i="11" s="1"/>
  <c r="E145" i="11"/>
  <c r="E142" i="11"/>
  <c r="E76" i="11"/>
  <c r="E100" i="11"/>
  <c r="E39" i="11"/>
  <c r="E15" i="11"/>
  <c r="E11" i="11"/>
  <c r="E88" i="11"/>
  <c r="E112" i="11"/>
  <c r="E27" i="11"/>
  <c r="E51" i="11"/>
  <c r="E144" i="11"/>
  <c r="E141" i="11"/>
  <c r="H86" i="5"/>
  <c r="H88" i="5" s="1"/>
  <c r="G88" i="5"/>
  <c r="C27" i="11"/>
  <c r="C100" i="11"/>
  <c r="F102" i="4"/>
  <c r="AK112" i="8" s="1"/>
  <c r="AQ16" i="10"/>
  <c r="AH150" i="10"/>
  <c r="AI150" i="10"/>
  <c r="AR16" i="10"/>
  <c r="G146" i="11" l="1"/>
  <c r="G147" i="11" s="1"/>
  <c r="G150" i="48"/>
  <c r="G151" i="48" s="1"/>
  <c r="I137" i="48"/>
  <c r="I170" i="48" s="1"/>
  <c r="T137" i="48"/>
  <c r="T170" i="48" s="1"/>
  <c r="M137" i="48"/>
  <c r="M170" i="48" s="1"/>
  <c r="Q137" i="48"/>
  <c r="Q170" i="48" s="1"/>
  <c r="H137" i="48"/>
  <c r="N137" i="48"/>
  <c r="N170" i="48" s="1"/>
  <c r="K137" i="48"/>
  <c r="K170" i="48" s="1"/>
  <c r="X137" i="48"/>
  <c r="L137" i="48"/>
  <c r="L170" i="48" s="1"/>
  <c r="R137" i="48"/>
  <c r="R170" i="48" s="1"/>
  <c r="J137" i="48"/>
  <c r="J170" i="48" s="1"/>
  <c r="C137" i="48"/>
  <c r="C170" i="48" s="1"/>
  <c r="F137" i="48"/>
  <c r="G137" i="48"/>
  <c r="S137" i="48"/>
  <c r="S170" i="48" s="1"/>
  <c r="U137" i="48"/>
  <c r="U170" i="48" s="1"/>
  <c r="O137" i="48"/>
  <c r="O170" i="48" s="1"/>
  <c r="V137" i="48"/>
  <c r="V170" i="48" s="1"/>
  <c r="L87" i="48"/>
  <c r="W137" i="48"/>
  <c r="W170" i="48" s="1"/>
  <c r="P137" i="48"/>
  <c r="P170" i="48" s="1"/>
  <c r="H146" i="11"/>
  <c r="H147" i="11" s="1"/>
  <c r="H150" i="48"/>
  <c r="H151" i="48" s="1"/>
  <c r="F173" i="48"/>
  <c r="F153" i="48"/>
  <c r="F152" i="48"/>
  <c r="E170" i="48"/>
  <c r="C15" i="11"/>
  <c r="F51" i="11"/>
  <c r="B51" i="11" s="1"/>
  <c r="C63" i="11" s="1"/>
  <c r="F15" i="11"/>
  <c r="B15" i="11" s="1"/>
  <c r="C60" i="11" s="1"/>
  <c r="F100" i="11"/>
  <c r="B100" i="11" s="1"/>
  <c r="C66" i="11" s="1"/>
  <c r="F54" i="11"/>
  <c r="B54" i="11" s="1"/>
  <c r="C99" i="11" s="1"/>
  <c r="F50" i="11"/>
  <c r="B50" i="11" s="1"/>
  <c r="C38" i="11" s="1"/>
  <c r="F53" i="11"/>
  <c r="B53" i="11" s="1"/>
  <c r="C87" i="11" s="1"/>
  <c r="F55" i="11"/>
  <c r="B55" i="11" s="1"/>
  <c r="C111" i="11" s="1"/>
  <c r="F49" i="11"/>
  <c r="B49" i="11" s="1"/>
  <c r="F52" i="11"/>
  <c r="B52" i="11" s="1"/>
  <c r="C75" i="11" s="1"/>
  <c r="F48" i="11"/>
  <c r="B48" i="11" s="1"/>
  <c r="F98" i="11"/>
  <c r="B98" i="11" s="1"/>
  <c r="C42" i="11" s="1"/>
  <c r="F99" i="11"/>
  <c r="B99" i="11" s="1"/>
  <c r="C54" i="11" s="1"/>
  <c r="F102" i="11"/>
  <c r="B102" i="11" s="1"/>
  <c r="C90" i="11" s="1"/>
  <c r="F103" i="11"/>
  <c r="B103" i="11" s="1"/>
  <c r="C115" i="11" s="1"/>
  <c r="F97" i="11"/>
  <c r="B97" i="11" s="1"/>
  <c r="F101" i="11"/>
  <c r="B101" i="11" s="1"/>
  <c r="C78" i="11" s="1"/>
  <c r="F96" i="11"/>
  <c r="F90" i="11"/>
  <c r="B90" i="11" s="1"/>
  <c r="C102" i="11" s="1"/>
  <c r="F86" i="11"/>
  <c r="B86" i="11" s="1"/>
  <c r="C41" i="11" s="1"/>
  <c r="F87" i="11"/>
  <c r="B87" i="11" s="1"/>
  <c r="C53" i="11" s="1"/>
  <c r="F91" i="11"/>
  <c r="B91" i="11" s="1"/>
  <c r="C114" i="11" s="1"/>
  <c r="F85" i="11"/>
  <c r="B85" i="11" s="1"/>
  <c r="F89" i="11"/>
  <c r="B89" i="11" s="1"/>
  <c r="C77" i="11" s="1"/>
  <c r="F84" i="11"/>
  <c r="F38" i="11"/>
  <c r="B38" i="11" s="1"/>
  <c r="C50" i="11" s="1"/>
  <c r="F42" i="11"/>
  <c r="B42" i="11" s="1"/>
  <c r="C98" i="11" s="1"/>
  <c r="F41" i="11"/>
  <c r="B41" i="11" s="1"/>
  <c r="C86" i="11" s="1"/>
  <c r="F43" i="11"/>
  <c r="B43" i="11" s="1"/>
  <c r="C110" i="11" s="1"/>
  <c r="F37" i="11"/>
  <c r="B37" i="11" s="1"/>
  <c r="F40" i="11"/>
  <c r="B40" i="11" s="1"/>
  <c r="C74" i="11" s="1"/>
  <c r="F36" i="11"/>
  <c r="F25" i="11"/>
  <c r="B25" i="11" s="1"/>
  <c r="C37" i="11" s="1"/>
  <c r="F26" i="11"/>
  <c r="B26" i="11" s="1"/>
  <c r="C49" i="11" s="1"/>
  <c r="F30" i="11"/>
  <c r="B30" i="11" s="1"/>
  <c r="C97" i="11" s="1"/>
  <c r="F29" i="11"/>
  <c r="B29" i="11" s="1"/>
  <c r="C85" i="11" s="1"/>
  <c r="F31" i="11"/>
  <c r="B31" i="11" s="1"/>
  <c r="C109" i="11" s="1"/>
  <c r="F28" i="11"/>
  <c r="B28" i="11" s="1"/>
  <c r="C73" i="11" s="1"/>
  <c r="F24" i="11"/>
  <c r="F88" i="11"/>
  <c r="B88" i="11" s="1"/>
  <c r="C65" i="11" s="1"/>
  <c r="F39" i="11"/>
  <c r="B39" i="11" s="1"/>
  <c r="C62" i="11" s="1"/>
  <c r="F78" i="11"/>
  <c r="B78" i="11" s="1"/>
  <c r="C101" i="11" s="1"/>
  <c r="F74" i="11"/>
  <c r="B74" i="11" s="1"/>
  <c r="C40" i="11" s="1"/>
  <c r="F75" i="11"/>
  <c r="B75" i="11" s="1"/>
  <c r="C52" i="11" s="1"/>
  <c r="F77" i="11"/>
  <c r="B77" i="11" s="1"/>
  <c r="C89" i="11" s="1"/>
  <c r="F79" i="11"/>
  <c r="B79" i="11" s="1"/>
  <c r="C113" i="11" s="1"/>
  <c r="F73" i="11"/>
  <c r="B73" i="11" s="1"/>
  <c r="F72" i="11"/>
  <c r="F27" i="11"/>
  <c r="B27" i="11" s="1"/>
  <c r="C61" i="11" s="1"/>
  <c r="F112" i="11"/>
  <c r="B112" i="11" s="1"/>
  <c r="C67" i="11" s="1"/>
  <c r="F115" i="11"/>
  <c r="B115" i="11" s="1"/>
  <c r="C103" i="11" s="1"/>
  <c r="F110" i="11"/>
  <c r="B110" i="11" s="1"/>
  <c r="C43" i="11" s="1"/>
  <c r="F111" i="11"/>
  <c r="B111" i="11" s="1"/>
  <c r="C55" i="11" s="1"/>
  <c r="F114" i="11"/>
  <c r="B114" i="11" s="1"/>
  <c r="C91" i="11" s="1"/>
  <c r="F109" i="11"/>
  <c r="B109" i="11" s="1"/>
  <c r="F113" i="11"/>
  <c r="B113" i="11" s="1"/>
  <c r="C79" i="11" s="1"/>
  <c r="F108" i="11"/>
  <c r="F13" i="11"/>
  <c r="B13" i="11" s="1"/>
  <c r="C36" i="11" s="1"/>
  <c r="F18" i="11"/>
  <c r="B18" i="11" s="1"/>
  <c r="C96" i="11" s="1"/>
  <c r="F14" i="11"/>
  <c r="B14" i="11" s="1"/>
  <c r="C48" i="11" s="1"/>
  <c r="F17" i="11"/>
  <c r="B17" i="11" s="1"/>
  <c r="C84" i="11" s="1"/>
  <c r="F19" i="11"/>
  <c r="B19" i="11" s="1"/>
  <c r="C108" i="11" s="1"/>
  <c r="F12" i="11"/>
  <c r="F16" i="11"/>
  <c r="B16" i="11" s="1"/>
  <c r="C72" i="11" s="1"/>
  <c r="F76" i="11"/>
  <c r="B76" i="11" s="1"/>
  <c r="C64" i="11" s="1"/>
  <c r="G164" i="11"/>
  <c r="H164" i="11"/>
  <c r="F141" i="11"/>
  <c r="F144" i="11"/>
  <c r="D50" i="9"/>
  <c r="D21" i="9"/>
  <c r="BG10" i="9"/>
  <c r="D44" i="9"/>
  <c r="D29" i="9"/>
  <c r="BG8" i="9"/>
  <c r="D70" i="9"/>
  <c r="F103" i="4"/>
  <c r="AK113" i="8" s="1"/>
  <c r="D79" i="9"/>
  <c r="AB261" i="8" l="1"/>
  <c r="AC261" i="8"/>
  <c r="F143" i="48"/>
  <c r="F148" i="48"/>
  <c r="F144" i="48"/>
  <c r="F147" i="48"/>
  <c r="F149" i="48"/>
  <c r="F145" i="48"/>
  <c r="AA127" i="48"/>
  <c r="X170" i="48"/>
  <c r="G173" i="48"/>
  <c r="G153" i="48"/>
  <c r="G152" i="48"/>
  <c r="H173" i="48"/>
  <c r="H153" i="48"/>
  <c r="H152" i="48"/>
  <c r="C47" i="11"/>
  <c r="K47" i="11" s="1"/>
  <c r="H145" i="11" s="1"/>
  <c r="G26" i="9" s="1"/>
  <c r="G28" i="9" s="1"/>
  <c r="C71" i="11"/>
  <c r="K71" i="11" s="1"/>
  <c r="O151" i="11" s="1"/>
  <c r="N41" i="9" s="1"/>
  <c r="AC36" i="8"/>
  <c r="AC32" i="8"/>
  <c r="AC26" i="8"/>
  <c r="AC35" i="8"/>
  <c r="AC31" i="8"/>
  <c r="AC25" i="8"/>
  <c r="AC34" i="8"/>
  <c r="AC30" i="8"/>
  <c r="AC24" i="8"/>
  <c r="AC37" i="8"/>
  <c r="AC33" i="8"/>
  <c r="AC27" i="8"/>
  <c r="AC23" i="8"/>
  <c r="F107" i="11"/>
  <c r="F71" i="11"/>
  <c r="F35" i="11"/>
  <c r="F11" i="11"/>
  <c r="F95" i="11"/>
  <c r="F83" i="11"/>
  <c r="F47" i="11"/>
  <c r="C83" i="11"/>
  <c r="K83" i="11" s="1"/>
  <c r="C154" i="11" s="1"/>
  <c r="F23" i="11"/>
  <c r="C59" i="11"/>
  <c r="K59" i="11" s="1"/>
  <c r="J148" i="11" s="1"/>
  <c r="C107" i="11"/>
  <c r="K107" i="11" s="1"/>
  <c r="O160" i="11" s="1"/>
  <c r="N62" i="9" s="1"/>
  <c r="C35" i="11"/>
  <c r="K35" i="11" s="1"/>
  <c r="F142" i="11" s="1"/>
  <c r="C95" i="11"/>
  <c r="K95" i="11" s="1"/>
  <c r="C26" i="11"/>
  <c r="C30" i="11"/>
  <c r="C31" i="11"/>
  <c r="C28" i="11"/>
  <c r="C29" i="11"/>
  <c r="C25" i="11"/>
  <c r="B12" i="11"/>
  <c r="B72" i="11"/>
  <c r="B96" i="11"/>
  <c r="B24" i="11"/>
  <c r="B84" i="11"/>
  <c r="B108" i="11"/>
  <c r="B36" i="11"/>
  <c r="C41" i="9"/>
  <c r="C44" i="9" s="1"/>
  <c r="D43" i="9"/>
  <c r="AC262" i="8"/>
  <c r="AC213" i="8"/>
  <c r="AC211" i="8"/>
  <c r="AC212" i="8"/>
  <c r="G115" i="10"/>
  <c r="G116" i="10"/>
  <c r="J116" i="10"/>
  <c r="J115" i="10"/>
  <c r="H116" i="10"/>
  <c r="H115" i="10"/>
  <c r="I116" i="10"/>
  <c r="I115" i="10"/>
  <c r="AC21" i="8"/>
  <c r="H144" i="11"/>
  <c r="H141" i="11"/>
  <c r="G141" i="11"/>
  <c r="G144" i="11"/>
  <c r="D78" i="9"/>
  <c r="D77" i="9"/>
  <c r="AB262" i="8"/>
  <c r="D22" i="9"/>
  <c r="BG7" i="9"/>
  <c r="D51" i="9"/>
  <c r="BG11" i="9"/>
  <c r="BA27" i="9"/>
  <c r="AC23" i="9"/>
  <c r="AB104" i="8"/>
  <c r="AB84" i="8"/>
  <c r="AB114" i="8"/>
  <c r="AB91" i="8"/>
  <c r="AB226" i="8"/>
  <c r="AB102" i="8"/>
  <c r="AB82" i="8"/>
  <c r="AB112" i="8"/>
  <c r="AB89" i="8"/>
  <c r="AB229" i="8"/>
  <c r="AB100" i="8"/>
  <c r="AB80" i="8"/>
  <c r="AB110" i="8"/>
  <c r="AB87" i="8"/>
  <c r="AB119" i="8"/>
  <c r="AB98" i="8"/>
  <c r="AB230" i="8"/>
  <c r="AB106" i="8"/>
  <c r="AB85" i="8"/>
  <c r="AB117" i="8"/>
  <c r="AB92" i="8"/>
  <c r="AB227" i="8"/>
  <c r="AB103" i="8"/>
  <c r="AB83" i="8"/>
  <c r="AB113" i="8"/>
  <c r="AB90" i="8"/>
  <c r="AB225" i="8"/>
  <c r="AB101" i="8"/>
  <c r="AB81" i="8"/>
  <c r="AB111" i="8"/>
  <c r="AB88" i="8"/>
  <c r="AB120" i="8"/>
  <c r="AB99" i="8"/>
  <c r="AB79" i="8"/>
  <c r="AB109" i="8"/>
  <c r="AB86" i="8"/>
  <c r="AB118" i="8"/>
  <c r="AB94" i="8"/>
  <c r="D46" i="9"/>
  <c r="D10" i="24" s="1"/>
  <c r="D31" i="9"/>
  <c r="D8" i="24" s="1"/>
  <c r="AC17" i="9"/>
  <c r="AB211" i="8"/>
  <c r="AB213" i="8"/>
  <c r="AB212" i="8"/>
  <c r="D32" i="6"/>
  <c r="AC35" i="9"/>
  <c r="AC16" i="8"/>
  <c r="AC7" i="8"/>
  <c r="AC17" i="8"/>
  <c r="AC13" i="8"/>
  <c r="AC8" i="8"/>
  <c r="AC6" i="8"/>
  <c r="AC15" i="8"/>
  <c r="AC9" i="8"/>
  <c r="AC20" i="8"/>
  <c r="AC14" i="8"/>
  <c r="H4" i="8"/>
  <c r="AB133" i="8" l="1"/>
  <c r="AB246" i="8"/>
  <c r="AB253" i="8"/>
  <c r="AC253" i="8"/>
  <c r="AB256" i="8"/>
  <c r="AC256" i="8"/>
  <c r="F170" i="48"/>
  <c r="G144" i="48"/>
  <c r="G143" i="48"/>
  <c r="G147" i="48"/>
  <c r="G148" i="48"/>
  <c r="G149" i="48"/>
  <c r="G145" i="48"/>
  <c r="H143" i="48"/>
  <c r="H147" i="48"/>
  <c r="H144" i="48"/>
  <c r="H148" i="48"/>
  <c r="H149" i="48"/>
  <c r="H145" i="48"/>
  <c r="H151" i="11"/>
  <c r="G41" i="9" s="1"/>
  <c r="G43" i="9" s="1"/>
  <c r="V151" i="11"/>
  <c r="U41" i="9" s="1"/>
  <c r="U44" i="9" s="1"/>
  <c r="K151" i="11"/>
  <c r="J41" i="9" s="1"/>
  <c r="J44" i="9" s="1"/>
  <c r="L151" i="11"/>
  <c r="K41" i="9" s="1"/>
  <c r="K44" i="9" s="1"/>
  <c r="O225" i="8" s="1"/>
  <c r="N154" i="11"/>
  <c r="N151" i="11"/>
  <c r="M41" i="9" s="1"/>
  <c r="M43" i="9" s="1"/>
  <c r="E48" i="9"/>
  <c r="E51" i="9" s="1"/>
  <c r="E19" i="9"/>
  <c r="E21" i="9" s="1"/>
  <c r="K154" i="11"/>
  <c r="S151" i="11"/>
  <c r="R41" i="9" s="1"/>
  <c r="R44" i="9" s="1"/>
  <c r="I151" i="11"/>
  <c r="H41" i="9" s="1"/>
  <c r="H43" i="9" s="1"/>
  <c r="W151" i="11"/>
  <c r="V41" i="9" s="1"/>
  <c r="V43" i="9" s="1"/>
  <c r="X151" i="11"/>
  <c r="W41" i="9" s="1"/>
  <c r="W43" i="9" s="1"/>
  <c r="J151" i="11"/>
  <c r="I41" i="9" s="1"/>
  <c r="I43" i="9" s="1"/>
  <c r="U151" i="11"/>
  <c r="T41" i="9" s="1"/>
  <c r="T44" i="9" s="1"/>
  <c r="M151" i="11"/>
  <c r="L41" i="9" s="1"/>
  <c r="P154" i="11"/>
  <c r="O154" i="11"/>
  <c r="G151" i="11"/>
  <c r="F41" i="9" s="1"/>
  <c r="F43" i="9" s="1"/>
  <c r="C151" i="11"/>
  <c r="T160" i="11"/>
  <c r="S62" i="9" s="1"/>
  <c r="S64" i="9" s="1"/>
  <c r="T151" i="11"/>
  <c r="S41" i="9" s="1"/>
  <c r="S44" i="9" s="1"/>
  <c r="P151" i="11"/>
  <c r="O41" i="9" s="1"/>
  <c r="Q151" i="11"/>
  <c r="P41" i="9" s="1"/>
  <c r="P44" i="9" s="1"/>
  <c r="R151" i="11"/>
  <c r="Q41" i="9" s="1"/>
  <c r="Q43" i="9" s="1"/>
  <c r="M154" i="11"/>
  <c r="F151" i="11"/>
  <c r="E41" i="9" s="1"/>
  <c r="E44" i="9" s="1"/>
  <c r="Q157" i="11"/>
  <c r="R157" i="11"/>
  <c r="I157" i="11"/>
  <c r="H157" i="11"/>
  <c r="V157" i="11"/>
  <c r="J157" i="11"/>
  <c r="U157" i="11"/>
  <c r="W157" i="11"/>
  <c r="N157" i="11"/>
  <c r="G157" i="11"/>
  <c r="M157" i="11"/>
  <c r="L157" i="11"/>
  <c r="K157" i="11"/>
  <c r="S157" i="11"/>
  <c r="P157" i="11"/>
  <c r="F157" i="11"/>
  <c r="O157" i="11"/>
  <c r="N44" i="9" s="1"/>
  <c r="C157" i="11"/>
  <c r="X157" i="11"/>
  <c r="T157" i="11"/>
  <c r="G154" i="11"/>
  <c r="J154" i="11"/>
  <c r="R154" i="11"/>
  <c r="I154" i="11"/>
  <c r="U154" i="11"/>
  <c r="W154" i="11"/>
  <c r="S154" i="11"/>
  <c r="V154" i="11"/>
  <c r="L154" i="11"/>
  <c r="Q154" i="11"/>
  <c r="X154" i="11"/>
  <c r="T154" i="11"/>
  <c r="H154" i="11"/>
  <c r="F154" i="11"/>
  <c r="F148" i="11"/>
  <c r="E33" i="9" s="1"/>
  <c r="I148" i="11"/>
  <c r="H33" i="9" s="1"/>
  <c r="U148" i="11"/>
  <c r="T33" i="9" s="1"/>
  <c r="T148" i="11"/>
  <c r="S55" i="9" s="1"/>
  <c r="C19" i="11"/>
  <c r="B116" i="11"/>
  <c r="C130" i="11" s="1"/>
  <c r="C12" i="11"/>
  <c r="B32" i="11"/>
  <c r="C14" i="11"/>
  <c r="B56" i="11"/>
  <c r="C24" i="11"/>
  <c r="B20" i="11"/>
  <c r="C17" i="11"/>
  <c r="B92" i="11"/>
  <c r="C18" i="11"/>
  <c r="B104" i="11"/>
  <c r="C13" i="11"/>
  <c r="B44" i="11"/>
  <c r="C16" i="11"/>
  <c r="B80" i="11"/>
  <c r="G145" i="11"/>
  <c r="F26" i="9" s="1"/>
  <c r="I142" i="11"/>
  <c r="H48" i="9" s="1"/>
  <c r="V142" i="11"/>
  <c r="U48" i="9" s="1"/>
  <c r="T142" i="11"/>
  <c r="S48" i="9" s="1"/>
  <c r="D57" i="9"/>
  <c r="X148" i="11"/>
  <c r="W33" i="9" s="1"/>
  <c r="N148" i="11"/>
  <c r="M55" i="9" s="1"/>
  <c r="V148" i="11"/>
  <c r="U33" i="9" s="1"/>
  <c r="M148" i="11"/>
  <c r="L55" i="9" s="1"/>
  <c r="H148" i="11"/>
  <c r="G55" i="9" s="1"/>
  <c r="G58" i="9" s="1"/>
  <c r="Q148" i="11"/>
  <c r="P55" i="9" s="1"/>
  <c r="C148" i="11"/>
  <c r="W148" i="11"/>
  <c r="V55" i="9" s="1"/>
  <c r="K148" i="11"/>
  <c r="J33" i="9" s="1"/>
  <c r="S148" i="11"/>
  <c r="R33" i="9" s="1"/>
  <c r="G148" i="11"/>
  <c r="R148" i="11"/>
  <c r="Q55" i="9" s="1"/>
  <c r="L148" i="11"/>
  <c r="K55" i="9" s="1"/>
  <c r="P148" i="11"/>
  <c r="O55" i="9" s="1"/>
  <c r="O148" i="11"/>
  <c r="N33" i="9" s="1"/>
  <c r="G142" i="11"/>
  <c r="F48" i="9" s="1"/>
  <c r="H142" i="11"/>
  <c r="G19" i="9" s="1"/>
  <c r="N142" i="11"/>
  <c r="M48" i="9" s="1"/>
  <c r="P142" i="11"/>
  <c r="O19" i="9" s="1"/>
  <c r="W142" i="11"/>
  <c r="V48" i="9" s="1"/>
  <c r="K142" i="11"/>
  <c r="J19" i="9" s="1"/>
  <c r="U142" i="11"/>
  <c r="T19" i="9" s="1"/>
  <c r="O142" i="11"/>
  <c r="N19" i="9" s="1"/>
  <c r="J142" i="11"/>
  <c r="I19" i="9" s="1"/>
  <c r="M142" i="11"/>
  <c r="L48" i="9" s="1"/>
  <c r="C142" i="11"/>
  <c r="X142" i="11"/>
  <c r="W19" i="9" s="1"/>
  <c r="L142" i="11"/>
  <c r="K48" i="9" s="1"/>
  <c r="S142" i="11"/>
  <c r="R19" i="9" s="1"/>
  <c r="R142" i="11"/>
  <c r="Q48" i="9" s="1"/>
  <c r="Q142" i="11"/>
  <c r="P19" i="9" s="1"/>
  <c r="C160" i="11"/>
  <c r="H160" i="11"/>
  <c r="G62" i="9" s="1"/>
  <c r="AF27" i="9" s="1"/>
  <c r="N160" i="11"/>
  <c r="M62" i="9" s="1"/>
  <c r="K160" i="11"/>
  <c r="J62" i="9" s="1"/>
  <c r="J64" i="9" s="1"/>
  <c r="N64" i="9"/>
  <c r="N65" i="9"/>
  <c r="U160" i="11"/>
  <c r="T62" i="9" s="1"/>
  <c r="G160" i="11"/>
  <c r="F62" i="9" s="1"/>
  <c r="C62" i="9"/>
  <c r="C65" i="9" s="1"/>
  <c r="S160" i="11"/>
  <c r="R62" i="9" s="1"/>
  <c r="I160" i="11"/>
  <c r="H62" i="9" s="1"/>
  <c r="J160" i="11"/>
  <c r="I62" i="9" s="1"/>
  <c r="R160" i="11"/>
  <c r="Q62" i="9" s="1"/>
  <c r="X160" i="11"/>
  <c r="W62" i="9" s="1"/>
  <c r="M160" i="11"/>
  <c r="L62" i="9" s="1"/>
  <c r="P160" i="11"/>
  <c r="O62" i="9" s="1"/>
  <c r="V160" i="11"/>
  <c r="U62" i="9" s="1"/>
  <c r="F160" i="11"/>
  <c r="E62" i="9" s="1"/>
  <c r="D62" i="9"/>
  <c r="Q160" i="11"/>
  <c r="P62" i="9" s="1"/>
  <c r="W160" i="11"/>
  <c r="V62" i="9" s="1"/>
  <c r="L160" i="11"/>
  <c r="K62" i="9" s="1"/>
  <c r="C48" i="9"/>
  <c r="C51" i="9" s="1"/>
  <c r="C19" i="9"/>
  <c r="C22" i="9" s="1"/>
  <c r="C12" i="9"/>
  <c r="C15" i="9" s="1"/>
  <c r="D12" i="9"/>
  <c r="C55" i="9"/>
  <c r="C58" i="9" s="1"/>
  <c r="C33" i="9"/>
  <c r="C36" i="9" s="1"/>
  <c r="R145" i="11"/>
  <c r="Q26" i="9" s="1"/>
  <c r="Q28" i="9" s="1"/>
  <c r="S145" i="11"/>
  <c r="R26" i="9" s="1"/>
  <c r="R28" i="9" s="1"/>
  <c r="Q145" i="11"/>
  <c r="P26" i="9" s="1"/>
  <c r="P28" i="9" s="1"/>
  <c r="X145" i="11"/>
  <c r="W26" i="9" s="1"/>
  <c r="W28" i="9" s="1"/>
  <c r="C26" i="9"/>
  <c r="C29" i="9" s="1"/>
  <c r="N145" i="11"/>
  <c r="M26" i="9" s="1"/>
  <c r="M28" i="9" s="1"/>
  <c r="K145" i="11"/>
  <c r="J26" i="9" s="1"/>
  <c r="J28" i="9" s="1"/>
  <c r="M145" i="11"/>
  <c r="L26" i="9" s="1"/>
  <c r="L28" i="9" s="1"/>
  <c r="T145" i="11"/>
  <c r="S26" i="9" s="1"/>
  <c r="S28" i="9" s="1"/>
  <c r="W145" i="11"/>
  <c r="V26" i="9" s="1"/>
  <c r="V28" i="9" s="1"/>
  <c r="J145" i="11"/>
  <c r="I26" i="9" s="1"/>
  <c r="I28" i="9" s="1"/>
  <c r="C145" i="11"/>
  <c r="I145" i="11"/>
  <c r="H26" i="9" s="1"/>
  <c r="H28" i="9" s="1"/>
  <c r="P145" i="11"/>
  <c r="O26" i="9" s="1"/>
  <c r="O28" i="9" s="1"/>
  <c r="O145" i="11"/>
  <c r="N26" i="9" s="1"/>
  <c r="N28" i="9" s="1"/>
  <c r="V145" i="11"/>
  <c r="U26" i="9" s="1"/>
  <c r="U28" i="9" s="1"/>
  <c r="F145" i="11"/>
  <c r="E26" i="9" s="1"/>
  <c r="E28" i="9" s="1"/>
  <c r="U145" i="11"/>
  <c r="T26" i="9" s="1"/>
  <c r="T28" i="9" s="1"/>
  <c r="L145" i="11"/>
  <c r="K26" i="9" s="1"/>
  <c r="K28" i="9" s="1"/>
  <c r="AB23" i="9"/>
  <c r="AB22" i="9" s="1"/>
  <c r="C46" i="9"/>
  <c r="C10" i="24" s="1"/>
  <c r="I55" i="9"/>
  <c r="I33" i="9"/>
  <c r="AC254" i="8"/>
  <c r="AC257" i="8"/>
  <c r="AC259" i="8"/>
  <c r="AC208" i="8"/>
  <c r="AC209" i="8"/>
  <c r="AC5" i="9"/>
  <c r="AZ5" i="9" s="1"/>
  <c r="D82" i="9"/>
  <c r="G29" i="9"/>
  <c r="K261" i="8" s="1"/>
  <c r="AB247" i="8"/>
  <c r="AB259" i="8"/>
  <c r="AB254" i="8"/>
  <c r="AB257" i="8"/>
  <c r="AC16" i="9"/>
  <c r="AZ16" i="9" s="1"/>
  <c r="AZ17" i="9"/>
  <c r="BG22" i="9" s="1"/>
  <c r="AC14" i="9"/>
  <c r="D24" i="9"/>
  <c r="D7" i="24" s="1"/>
  <c r="AB208" i="8"/>
  <c r="AB209" i="8"/>
  <c r="AZ23" i="9"/>
  <c r="BG24" i="9" s="1"/>
  <c r="AC22" i="9"/>
  <c r="AZ22" i="9" s="1"/>
  <c r="AB141" i="8"/>
  <c r="AB129" i="8"/>
  <c r="AB130" i="8"/>
  <c r="AB128" i="8"/>
  <c r="AB135" i="8"/>
  <c r="AB122" i="8"/>
  <c r="AB131" i="8"/>
  <c r="AB125" i="8"/>
  <c r="AB124" i="8"/>
  <c r="AB127" i="8"/>
  <c r="D53" i="9"/>
  <c r="D11" i="24" s="1"/>
  <c r="AB137" i="8"/>
  <c r="AB134" i="8"/>
  <c r="AB139" i="8"/>
  <c r="AB123" i="8"/>
  <c r="AC26" i="9"/>
  <c r="AB140" i="8"/>
  <c r="AB138" i="8"/>
  <c r="AB136" i="8"/>
  <c r="AB142" i="8"/>
  <c r="AB126" i="8"/>
  <c r="AZ35" i="9"/>
  <c r="D72" i="9"/>
  <c r="D33" i="6"/>
  <c r="D35" i="6"/>
  <c r="D36" i="6" s="1"/>
  <c r="F29" i="9" l="1"/>
  <c r="J261" i="8" s="1"/>
  <c r="F28" i="9"/>
  <c r="AD26" i="9"/>
  <c r="I246" i="8"/>
  <c r="AM32" i="9"/>
  <c r="AM31" i="9" s="1"/>
  <c r="G44" i="9"/>
  <c r="K227" i="8" s="1"/>
  <c r="W44" i="9"/>
  <c r="AA230" i="8" s="1"/>
  <c r="S19" i="9"/>
  <c r="S22" i="9" s="1"/>
  <c r="W256" i="8" s="1"/>
  <c r="G170" i="48"/>
  <c r="R43" i="9"/>
  <c r="V120" i="8" s="1"/>
  <c r="L43" i="9"/>
  <c r="P118" i="8" s="1"/>
  <c r="H170" i="48"/>
  <c r="O44" i="9"/>
  <c r="S227" i="8" s="1"/>
  <c r="I44" i="9"/>
  <c r="M230" i="8" s="1"/>
  <c r="U43" i="9"/>
  <c r="Y118" i="8" s="1"/>
  <c r="BJ10" i="9"/>
  <c r="O43" i="9"/>
  <c r="S120" i="8" s="1"/>
  <c r="S43" i="9"/>
  <c r="W117" i="8" s="1"/>
  <c r="BI10" i="9"/>
  <c r="BG18" i="9"/>
  <c r="K43" i="9"/>
  <c r="O114" i="8" s="1"/>
  <c r="T48" i="9"/>
  <c r="T50" i="9" s="1"/>
  <c r="X133" i="8" s="1"/>
  <c r="F44" i="9"/>
  <c r="J230" i="8" s="1"/>
  <c r="H55" i="9"/>
  <c r="H58" i="9" s="1"/>
  <c r="E53" i="9"/>
  <c r="E11" i="24" s="1"/>
  <c r="J43" i="9"/>
  <c r="N118" i="8" s="1"/>
  <c r="BH10" i="9"/>
  <c r="E50" i="9"/>
  <c r="E43" i="9"/>
  <c r="I104" i="8" s="1"/>
  <c r="H19" i="9"/>
  <c r="H22" i="9" s="1"/>
  <c r="L256" i="8" s="1"/>
  <c r="P43" i="9"/>
  <c r="T90" i="8" s="1"/>
  <c r="E22" i="9"/>
  <c r="I256" i="8" s="1"/>
  <c r="K114" i="8"/>
  <c r="K120" i="8"/>
  <c r="K119" i="8"/>
  <c r="K98" i="8"/>
  <c r="K117" i="8"/>
  <c r="K118" i="8"/>
  <c r="K102" i="8"/>
  <c r="K110" i="8"/>
  <c r="K109" i="8"/>
  <c r="K90" i="8"/>
  <c r="K113" i="8"/>
  <c r="K89" i="8"/>
  <c r="K99" i="8"/>
  <c r="K111" i="8"/>
  <c r="K103" i="8"/>
  <c r="K104" i="8"/>
  <c r="K106" i="8"/>
  <c r="K85" i="8"/>
  <c r="K112" i="8"/>
  <c r="K88" i="8"/>
  <c r="K82" i="8"/>
  <c r="K91" i="8"/>
  <c r="K92" i="8"/>
  <c r="K80" i="8"/>
  <c r="K86" i="8"/>
  <c r="K100" i="8"/>
  <c r="K101" i="8"/>
  <c r="K84" i="8"/>
  <c r="K81" i="8"/>
  <c r="K87" i="8"/>
  <c r="K79" i="8"/>
  <c r="K94" i="8"/>
  <c r="K83" i="8"/>
  <c r="U118" i="8"/>
  <c r="U114" i="8"/>
  <c r="U100" i="8"/>
  <c r="U120" i="8"/>
  <c r="U104" i="8"/>
  <c r="U112" i="8"/>
  <c r="U88" i="8"/>
  <c r="U119" i="8"/>
  <c r="U111" i="8"/>
  <c r="U87" i="8"/>
  <c r="U92" i="8"/>
  <c r="U113" i="8"/>
  <c r="U117" i="8"/>
  <c r="U91" i="8"/>
  <c r="U101" i="8"/>
  <c r="U109" i="8"/>
  <c r="U110" i="8"/>
  <c r="U80" i="8"/>
  <c r="U106" i="8"/>
  <c r="U89" i="8"/>
  <c r="U90" i="8"/>
  <c r="U84" i="8"/>
  <c r="U98" i="8"/>
  <c r="U99" i="8"/>
  <c r="U82" i="8"/>
  <c r="U79" i="8"/>
  <c r="U102" i="8"/>
  <c r="U103" i="8"/>
  <c r="U83" i="8"/>
  <c r="U94" i="8"/>
  <c r="U81" i="8"/>
  <c r="U86" i="8"/>
  <c r="U85" i="8"/>
  <c r="AA114" i="8"/>
  <c r="AA120" i="8"/>
  <c r="AA117" i="8"/>
  <c r="AA119" i="8"/>
  <c r="AA98" i="8"/>
  <c r="AA118" i="8"/>
  <c r="AA102" i="8"/>
  <c r="AA110" i="8"/>
  <c r="AA86" i="8"/>
  <c r="AA109" i="8"/>
  <c r="AA90" i="8"/>
  <c r="AA113" i="8"/>
  <c r="AA89" i="8"/>
  <c r="AA99" i="8"/>
  <c r="AA111" i="8"/>
  <c r="AA104" i="8"/>
  <c r="AA106" i="8"/>
  <c r="AA85" i="8"/>
  <c r="AA87" i="8"/>
  <c r="AA112" i="8"/>
  <c r="AA88" i="8"/>
  <c r="AA82" i="8"/>
  <c r="AA91" i="8"/>
  <c r="AA92" i="8"/>
  <c r="AA80" i="8"/>
  <c r="AA103" i="8"/>
  <c r="AA100" i="8"/>
  <c r="AA101" i="8"/>
  <c r="AA84" i="8"/>
  <c r="AA81" i="8"/>
  <c r="AA79" i="8"/>
  <c r="AA94" i="8"/>
  <c r="AA83" i="8"/>
  <c r="Z114" i="8"/>
  <c r="Z120" i="8"/>
  <c r="Z113" i="8"/>
  <c r="Z119" i="8"/>
  <c r="Z112" i="8"/>
  <c r="Z88" i="8"/>
  <c r="Z118" i="8"/>
  <c r="Z92" i="8"/>
  <c r="Z102" i="8"/>
  <c r="Z117" i="8"/>
  <c r="Z101" i="8"/>
  <c r="Z109" i="8"/>
  <c r="Z106" i="8"/>
  <c r="Z89" i="8"/>
  <c r="Z99" i="8"/>
  <c r="Z100" i="8"/>
  <c r="Z83" i="8"/>
  <c r="Z94" i="8"/>
  <c r="Z80" i="8"/>
  <c r="Z98" i="8"/>
  <c r="Z110" i="8"/>
  <c r="Z103" i="8"/>
  <c r="Z104" i="8"/>
  <c r="Z84" i="8"/>
  <c r="Z111" i="8"/>
  <c r="Z87" i="8"/>
  <c r="Z81" i="8"/>
  <c r="Z90" i="8"/>
  <c r="Z91" i="8"/>
  <c r="Z86" i="8"/>
  <c r="Z79" i="8"/>
  <c r="Z85" i="8"/>
  <c r="Z82" i="8"/>
  <c r="Q119" i="8"/>
  <c r="Q118" i="8"/>
  <c r="Q113" i="8"/>
  <c r="Q117" i="8"/>
  <c r="Q91" i="8"/>
  <c r="Q114" i="8"/>
  <c r="Q100" i="8"/>
  <c r="Q106" i="8"/>
  <c r="Q120" i="8"/>
  <c r="Q104" i="8"/>
  <c r="Q112" i="8"/>
  <c r="Q88" i="8"/>
  <c r="Q111" i="8"/>
  <c r="Q87" i="8"/>
  <c r="Q92" i="8"/>
  <c r="Q102" i="8"/>
  <c r="Q103" i="8"/>
  <c r="Q83" i="8"/>
  <c r="Q109" i="8"/>
  <c r="Q110" i="8"/>
  <c r="Q80" i="8"/>
  <c r="Q101" i="8"/>
  <c r="Q89" i="8"/>
  <c r="Q90" i="8"/>
  <c r="Q86" i="8"/>
  <c r="Q84" i="8"/>
  <c r="Q98" i="8"/>
  <c r="Q99" i="8"/>
  <c r="Q82" i="8"/>
  <c r="Q79" i="8"/>
  <c r="Q85" i="8"/>
  <c r="Q94" i="8"/>
  <c r="Q81" i="8"/>
  <c r="M119" i="8"/>
  <c r="M111" i="8"/>
  <c r="M117" i="8"/>
  <c r="M91" i="8"/>
  <c r="M101" i="8"/>
  <c r="M113" i="8"/>
  <c r="M118" i="8"/>
  <c r="M114" i="8"/>
  <c r="M100" i="8"/>
  <c r="M106" i="8"/>
  <c r="M120" i="8"/>
  <c r="M104" i="8"/>
  <c r="M112" i="8"/>
  <c r="M88" i="8"/>
  <c r="M98" i="8"/>
  <c r="M99" i="8"/>
  <c r="M82" i="8"/>
  <c r="M79" i="8"/>
  <c r="M102" i="8"/>
  <c r="M103" i="8"/>
  <c r="M86" i="8"/>
  <c r="M83" i="8"/>
  <c r="M87" i="8"/>
  <c r="M109" i="8"/>
  <c r="M110" i="8"/>
  <c r="M80" i="8"/>
  <c r="M92" i="8"/>
  <c r="M89" i="8"/>
  <c r="M90" i="8"/>
  <c r="M84" i="8"/>
  <c r="M81" i="8"/>
  <c r="M94" i="8"/>
  <c r="M85" i="8"/>
  <c r="J114" i="8"/>
  <c r="J120" i="8"/>
  <c r="J112" i="8"/>
  <c r="J88" i="8"/>
  <c r="J119" i="8"/>
  <c r="J118" i="8"/>
  <c r="J92" i="8"/>
  <c r="J102" i="8"/>
  <c r="J117" i="8"/>
  <c r="J101" i="8"/>
  <c r="J109" i="8"/>
  <c r="J106" i="8"/>
  <c r="J113" i="8"/>
  <c r="J89" i="8"/>
  <c r="J99" i="8"/>
  <c r="J100" i="8"/>
  <c r="J83" i="8"/>
  <c r="J80" i="8"/>
  <c r="J103" i="8"/>
  <c r="J104" i="8"/>
  <c r="J84" i="8"/>
  <c r="J98" i="8"/>
  <c r="J110" i="8"/>
  <c r="J111" i="8"/>
  <c r="J81" i="8"/>
  <c r="J90" i="8"/>
  <c r="J91" i="8"/>
  <c r="J79" i="8"/>
  <c r="J85" i="8"/>
  <c r="J82" i="8"/>
  <c r="J86" i="8"/>
  <c r="J94" i="8"/>
  <c r="J87" i="8"/>
  <c r="L117" i="8"/>
  <c r="L118" i="8"/>
  <c r="L119" i="8"/>
  <c r="L103" i="8"/>
  <c r="L110" i="8"/>
  <c r="L91" i="8"/>
  <c r="L114" i="8"/>
  <c r="L90" i="8"/>
  <c r="L100" i="8"/>
  <c r="L112" i="8"/>
  <c r="L120" i="8"/>
  <c r="L99" i="8"/>
  <c r="L104" i="8"/>
  <c r="L88" i="8"/>
  <c r="L113" i="8"/>
  <c r="L89" i="8"/>
  <c r="L83" i="8"/>
  <c r="L87" i="8"/>
  <c r="L92" i="8"/>
  <c r="L98" i="8"/>
  <c r="L81" i="8"/>
  <c r="L111" i="8"/>
  <c r="L101" i="8"/>
  <c r="L102" i="8"/>
  <c r="L85" i="8"/>
  <c r="L82" i="8"/>
  <c r="L106" i="8"/>
  <c r="L109" i="8"/>
  <c r="L86" i="8"/>
  <c r="L79" i="8"/>
  <c r="L80" i="8"/>
  <c r="L84" i="8"/>
  <c r="L94" i="8"/>
  <c r="BK10" i="9"/>
  <c r="U19" i="9"/>
  <c r="U21" i="9" s="1"/>
  <c r="P33" i="9"/>
  <c r="P36" i="9" s="1"/>
  <c r="Q44" i="9"/>
  <c r="R55" i="9"/>
  <c r="R58" i="9" s="1"/>
  <c r="S65" i="9"/>
  <c r="O33" i="9"/>
  <c r="O35" i="9" s="1"/>
  <c r="T55" i="9"/>
  <c r="T58" i="9" s="1"/>
  <c r="T43" i="9"/>
  <c r="Q19" i="9"/>
  <c r="Q21" i="9" s="1"/>
  <c r="M19" i="9"/>
  <c r="M21" i="9" s="1"/>
  <c r="H44" i="9"/>
  <c r="L225" i="8" s="1"/>
  <c r="C11" i="11"/>
  <c r="K11" i="11" s="1"/>
  <c r="W225" i="8"/>
  <c r="W226" i="8"/>
  <c r="W229" i="8"/>
  <c r="W230" i="8"/>
  <c r="G57" i="9"/>
  <c r="N225" i="8"/>
  <c r="M44" i="9"/>
  <c r="Q229" i="8" s="1"/>
  <c r="W55" i="9"/>
  <c r="BK12" i="9" s="1"/>
  <c r="N43" i="9"/>
  <c r="L44" i="9"/>
  <c r="P226" i="8" s="1"/>
  <c r="N67" i="9"/>
  <c r="N13" i="24" s="1"/>
  <c r="V44" i="9"/>
  <c r="C23" i="11"/>
  <c r="K23" i="11" s="1"/>
  <c r="R48" i="9"/>
  <c r="R50" i="9" s="1"/>
  <c r="V133" i="8" s="1"/>
  <c r="X225" i="8"/>
  <c r="K33" i="9"/>
  <c r="K36" i="9" s="1"/>
  <c r="O48" i="9"/>
  <c r="O51" i="9" s="1"/>
  <c r="S246" i="8" s="1"/>
  <c r="C122" i="11"/>
  <c r="V225" i="8"/>
  <c r="Q33" i="9"/>
  <c r="Q35" i="9" s="1"/>
  <c r="J55" i="9"/>
  <c r="J57" i="9" s="1"/>
  <c r="L33" i="9"/>
  <c r="L35" i="9" s="1"/>
  <c r="C123" i="11"/>
  <c r="N229" i="8"/>
  <c r="T226" i="8"/>
  <c r="T230" i="8"/>
  <c r="E55" i="9"/>
  <c r="E58" i="9" s="1"/>
  <c r="T229" i="8"/>
  <c r="T227" i="8"/>
  <c r="N226" i="8"/>
  <c r="T225" i="8"/>
  <c r="V33" i="9"/>
  <c r="V36" i="9" s="1"/>
  <c r="N227" i="8"/>
  <c r="N230" i="8"/>
  <c r="C124" i="11"/>
  <c r="I225" i="8"/>
  <c r="Y226" i="8"/>
  <c r="I230" i="8"/>
  <c r="M33" i="9"/>
  <c r="BI9" i="9" s="1"/>
  <c r="I227" i="8"/>
  <c r="I48" i="9"/>
  <c r="I50" i="9" s="1"/>
  <c r="M133" i="8" s="1"/>
  <c r="W227" i="8"/>
  <c r="C125" i="11"/>
  <c r="Y229" i="8"/>
  <c r="I229" i="8"/>
  <c r="I226" i="8"/>
  <c r="C127" i="11"/>
  <c r="Y227" i="8"/>
  <c r="Y225" i="8"/>
  <c r="O230" i="8"/>
  <c r="O229" i="8"/>
  <c r="J48" i="9"/>
  <c r="J50" i="9" s="1"/>
  <c r="N133" i="8" s="1"/>
  <c r="S33" i="9"/>
  <c r="S35" i="9" s="1"/>
  <c r="O227" i="8"/>
  <c r="O226" i="8"/>
  <c r="Y230" i="8"/>
  <c r="U55" i="9"/>
  <c r="U57" i="9" s="1"/>
  <c r="L19" i="9"/>
  <c r="L22" i="9" s="1"/>
  <c r="P256" i="8" s="1"/>
  <c r="C128" i="11"/>
  <c r="C129" i="11"/>
  <c r="P48" i="9"/>
  <c r="P51" i="9" s="1"/>
  <c r="T246" i="8" s="1"/>
  <c r="W48" i="9"/>
  <c r="BK11" i="9" s="1"/>
  <c r="N48" i="9"/>
  <c r="N51" i="9" s="1"/>
  <c r="R246" i="8" s="1"/>
  <c r="R226" i="8"/>
  <c r="G33" i="9"/>
  <c r="V226" i="8"/>
  <c r="V230" i="8"/>
  <c r="G48" i="9"/>
  <c r="G51" i="9" s="1"/>
  <c r="K246" i="8" s="1"/>
  <c r="V229" i="8"/>
  <c r="V227" i="8"/>
  <c r="N55" i="9"/>
  <c r="N57" i="9" s="1"/>
  <c r="F55" i="9"/>
  <c r="F33" i="9"/>
  <c r="R227" i="8"/>
  <c r="R225" i="8"/>
  <c r="F19" i="9"/>
  <c r="F22" i="9" s="1"/>
  <c r="J256" i="8" s="1"/>
  <c r="R229" i="8"/>
  <c r="X227" i="8"/>
  <c r="X226" i="8"/>
  <c r="X230" i="8"/>
  <c r="V19" i="9"/>
  <c r="V22" i="9" s="1"/>
  <c r="Z256" i="8" s="1"/>
  <c r="K19" i="9"/>
  <c r="K22" i="9" s="1"/>
  <c r="O256" i="8" s="1"/>
  <c r="X229" i="8"/>
  <c r="R230" i="8"/>
  <c r="G64" i="9"/>
  <c r="G65" i="9"/>
  <c r="J65" i="9"/>
  <c r="M64" i="9"/>
  <c r="M65" i="9"/>
  <c r="BI13" i="9"/>
  <c r="V64" i="9"/>
  <c r="V65" i="9"/>
  <c r="E64" i="9"/>
  <c r="AD27" i="9"/>
  <c r="E65" i="9"/>
  <c r="W64" i="9"/>
  <c r="W65" i="9"/>
  <c r="BK13" i="9"/>
  <c r="R64" i="9"/>
  <c r="R65" i="9"/>
  <c r="BJ13" i="9"/>
  <c r="P64" i="9"/>
  <c r="P65" i="9"/>
  <c r="U64" i="9"/>
  <c r="U65" i="9"/>
  <c r="Q64" i="9"/>
  <c r="Q65" i="9"/>
  <c r="AB32" i="9"/>
  <c r="C67" i="9"/>
  <c r="C13" i="24" s="1"/>
  <c r="AB31" i="9"/>
  <c r="D64" i="9"/>
  <c r="D65" i="9"/>
  <c r="AC27" i="9"/>
  <c r="AZ27" i="9" s="1"/>
  <c r="BG13" i="9"/>
  <c r="O64" i="9"/>
  <c r="O65" i="9"/>
  <c r="I64" i="9"/>
  <c r="I65" i="9"/>
  <c r="F64" i="9"/>
  <c r="AE27" i="9"/>
  <c r="F65" i="9"/>
  <c r="AD25" i="9"/>
  <c r="K64" i="9"/>
  <c r="K65" i="9"/>
  <c r="L65" i="9"/>
  <c r="L64" i="9"/>
  <c r="H64" i="9"/>
  <c r="H65" i="9"/>
  <c r="BH13" i="9"/>
  <c r="T64" i="9"/>
  <c r="T65" i="9"/>
  <c r="T22" i="9"/>
  <c r="X256" i="8" s="1"/>
  <c r="T21" i="9"/>
  <c r="M50" i="9"/>
  <c r="Q133" i="8" s="1"/>
  <c r="M51" i="9"/>
  <c r="Q246" i="8" s="1"/>
  <c r="BI11" i="9"/>
  <c r="V58" i="9"/>
  <c r="V57" i="9"/>
  <c r="P22" i="9"/>
  <c r="T256" i="8" s="1"/>
  <c r="P21" i="9"/>
  <c r="R21" i="9"/>
  <c r="BJ7" i="9"/>
  <c r="R22" i="9"/>
  <c r="V256" i="8" s="1"/>
  <c r="N29" i="9"/>
  <c r="R261" i="8" s="1"/>
  <c r="I29" i="9"/>
  <c r="M261" i="8" s="1"/>
  <c r="J29" i="9"/>
  <c r="N261" i="8" s="1"/>
  <c r="P29" i="9"/>
  <c r="T261" i="8" s="1"/>
  <c r="W21" i="9"/>
  <c r="BK7" i="9"/>
  <c r="W22" i="9"/>
  <c r="AA256" i="8" s="1"/>
  <c r="T36" i="9"/>
  <c r="T35" i="9"/>
  <c r="D14" i="9"/>
  <c r="BG6" i="9"/>
  <c r="D15" i="9"/>
  <c r="S51" i="9"/>
  <c r="W246" i="8" s="1"/>
  <c r="S50" i="9"/>
  <c r="W133" i="8" s="1"/>
  <c r="H50" i="9"/>
  <c r="L133" i="8" s="1"/>
  <c r="H51" i="9"/>
  <c r="L246" i="8" s="1"/>
  <c r="BH11" i="9"/>
  <c r="N36" i="9"/>
  <c r="N35" i="9"/>
  <c r="K58" i="9"/>
  <c r="K57" i="9"/>
  <c r="V51" i="9"/>
  <c r="V50" i="9"/>
  <c r="Z133" i="8" s="1"/>
  <c r="J36" i="9"/>
  <c r="J35" i="9"/>
  <c r="T29" i="9"/>
  <c r="X261" i="8" s="1"/>
  <c r="O29" i="9"/>
  <c r="S261" i="8" s="1"/>
  <c r="V29" i="9"/>
  <c r="Z261" i="8" s="1"/>
  <c r="BI8" i="9"/>
  <c r="M29" i="9"/>
  <c r="Q261" i="8" s="1"/>
  <c r="BJ8" i="9"/>
  <c r="R29" i="9"/>
  <c r="V261" i="8" s="1"/>
  <c r="W36" i="9"/>
  <c r="W35" i="9"/>
  <c r="BK9" i="9"/>
  <c r="BH9" i="9"/>
  <c r="H35" i="9"/>
  <c r="AO23" i="9"/>
  <c r="AO22" i="9" s="1"/>
  <c r="P46" i="9"/>
  <c r="P10" i="24" s="1"/>
  <c r="I36" i="9"/>
  <c r="I35" i="9"/>
  <c r="O58" i="9"/>
  <c r="O57" i="9"/>
  <c r="Q58" i="9"/>
  <c r="Q57" i="9"/>
  <c r="O22" i="9"/>
  <c r="S256" i="8" s="1"/>
  <c r="O21" i="9"/>
  <c r="P58" i="9"/>
  <c r="P57" i="9"/>
  <c r="Q51" i="9"/>
  <c r="Q50" i="9"/>
  <c r="U133" i="8" s="1"/>
  <c r="K51" i="9"/>
  <c r="O246" i="8" s="1"/>
  <c r="K50" i="9"/>
  <c r="O133" i="8" s="1"/>
  <c r="K46" i="9"/>
  <c r="K10" i="24" s="1"/>
  <c r="AJ23" i="9"/>
  <c r="AJ22" i="9" s="1"/>
  <c r="U46" i="9"/>
  <c r="U10" i="24" s="1"/>
  <c r="AT23" i="9"/>
  <c r="AT22" i="9" s="1"/>
  <c r="E29" i="9"/>
  <c r="I261" i="8" s="1"/>
  <c r="BH8" i="9"/>
  <c r="H29" i="9"/>
  <c r="L261" i="8" s="1"/>
  <c r="S29" i="9"/>
  <c r="W261" i="8" s="1"/>
  <c r="AB17" i="9"/>
  <c r="AB16" i="9" s="1"/>
  <c r="C31" i="9"/>
  <c r="C8" i="24" s="1"/>
  <c r="Q29" i="9"/>
  <c r="U261" i="8" s="1"/>
  <c r="U36" i="9"/>
  <c r="U35" i="9"/>
  <c r="L51" i="9"/>
  <c r="P246" i="8" s="1"/>
  <c r="L50" i="9"/>
  <c r="P133" i="8" s="1"/>
  <c r="N22" i="9"/>
  <c r="R256" i="8" s="1"/>
  <c r="N21" i="9"/>
  <c r="R46" i="9"/>
  <c r="R10" i="24" s="1"/>
  <c r="AQ23" i="9"/>
  <c r="N46" i="9"/>
  <c r="N10" i="24" s="1"/>
  <c r="AM23" i="9"/>
  <c r="AM22" i="9" s="1"/>
  <c r="C39" i="9"/>
  <c r="C9" i="24" s="1"/>
  <c r="AB20" i="9"/>
  <c r="AB19" i="9" s="1"/>
  <c r="AB11" i="9"/>
  <c r="AB10" i="9" s="1"/>
  <c r="C17" i="9"/>
  <c r="C6" i="24" s="1"/>
  <c r="AB14" i="9"/>
  <c r="AB13" i="9" s="1"/>
  <c r="C24" i="9"/>
  <c r="C7" i="24" s="1"/>
  <c r="I58" i="9"/>
  <c r="I57" i="9"/>
  <c r="J22" i="9"/>
  <c r="N256" i="8" s="1"/>
  <c r="J21" i="9"/>
  <c r="T46" i="9"/>
  <c r="T10" i="24" s="1"/>
  <c r="AS23" i="9"/>
  <c r="AS22" i="9" s="1"/>
  <c r="BJ9" i="9"/>
  <c r="R36" i="9"/>
  <c r="R35" i="9"/>
  <c r="J46" i="9"/>
  <c r="J10" i="24" s="1"/>
  <c r="AI23" i="9"/>
  <c r="AI22" i="9" s="1"/>
  <c r="K29" i="9"/>
  <c r="O261" i="8" s="1"/>
  <c r="U29" i="9"/>
  <c r="Y261" i="8" s="1"/>
  <c r="L29" i="9"/>
  <c r="P261" i="8" s="1"/>
  <c r="W29" i="9"/>
  <c r="AA261" i="8" s="1"/>
  <c r="BK8" i="9"/>
  <c r="L57" i="9"/>
  <c r="L58" i="9"/>
  <c r="BI12" i="9"/>
  <c r="M58" i="9"/>
  <c r="M57" i="9"/>
  <c r="I22" i="9"/>
  <c r="M256" i="8" s="1"/>
  <c r="I21" i="9"/>
  <c r="C60" i="9"/>
  <c r="C12" i="24" s="1"/>
  <c r="AB29" i="9"/>
  <c r="AB28" i="9" s="1"/>
  <c r="S58" i="9"/>
  <c r="S57" i="9"/>
  <c r="E36" i="9"/>
  <c r="E35" i="9"/>
  <c r="C53" i="9"/>
  <c r="C11" i="24" s="1"/>
  <c r="AB26" i="9"/>
  <c r="AB25" i="9" s="1"/>
  <c r="U51" i="9"/>
  <c r="U50" i="9"/>
  <c r="Y133" i="8" s="1"/>
  <c r="AD23" i="9"/>
  <c r="AD22" i="9" s="1"/>
  <c r="E46" i="9"/>
  <c r="E10" i="24" s="1"/>
  <c r="S46" i="9"/>
  <c r="S10" i="24" s="1"/>
  <c r="AR23" i="9"/>
  <c r="AR22" i="9" s="1"/>
  <c r="I247" i="8"/>
  <c r="K232" i="8"/>
  <c r="K231" i="8" s="1"/>
  <c r="J213" i="8"/>
  <c r="J211" i="8"/>
  <c r="J262" i="8"/>
  <c r="J260" i="8" s="1"/>
  <c r="J212" i="8"/>
  <c r="K262" i="8"/>
  <c r="K260" i="8" s="1"/>
  <c r="K211" i="8"/>
  <c r="K212" i="8"/>
  <c r="K213" i="8"/>
  <c r="AF17" i="9"/>
  <c r="AF16" i="9" s="1"/>
  <c r="G31" i="9"/>
  <c r="G8" i="24" s="1"/>
  <c r="AF29" i="9"/>
  <c r="AF28" i="9" s="1"/>
  <c r="G60" i="9"/>
  <c r="G12" i="24" s="1"/>
  <c r="F50" i="9"/>
  <c r="J133" i="8" s="1"/>
  <c r="F51" i="9"/>
  <c r="J246" i="8" s="1"/>
  <c r="G21" i="9"/>
  <c r="G22" i="9"/>
  <c r="K256" i="8" s="1"/>
  <c r="AE17" i="9"/>
  <c r="AE16" i="9" s="1"/>
  <c r="F31" i="9"/>
  <c r="F8" i="24" s="1"/>
  <c r="AZ26" i="9"/>
  <c r="BG25" i="9" s="1"/>
  <c r="AC13" i="9"/>
  <c r="AZ13" i="9" s="1"/>
  <c r="AZ14" i="9"/>
  <c r="BG21" i="9" s="1"/>
  <c r="AC36" i="9"/>
  <c r="D73" i="9"/>
  <c r="G133" i="10" l="1"/>
  <c r="J256" i="10"/>
  <c r="I226" i="10"/>
  <c r="AI72" i="10" s="1"/>
  <c r="J82" i="10"/>
  <c r="J109" i="10"/>
  <c r="AJ30" i="10" s="1"/>
  <c r="G261" i="10"/>
  <c r="G246" i="10"/>
  <c r="I256" i="10"/>
  <c r="H246" i="10"/>
  <c r="I230" i="10"/>
  <c r="G111" i="10"/>
  <c r="G118" i="10"/>
  <c r="J79" i="10"/>
  <c r="AJ19" i="10" s="1"/>
  <c r="J100" i="10"/>
  <c r="J91" i="10"/>
  <c r="J87" i="10"/>
  <c r="AJ25" i="10" s="1"/>
  <c r="J111" i="10"/>
  <c r="J90" i="10"/>
  <c r="J102" i="10"/>
  <c r="J117" i="10"/>
  <c r="G256" i="10"/>
  <c r="I120" i="10"/>
  <c r="H133" i="10"/>
  <c r="I227" i="10"/>
  <c r="G100" i="10"/>
  <c r="J103" i="10"/>
  <c r="J99" i="10"/>
  <c r="AJ27" i="10" s="1"/>
  <c r="J120" i="10"/>
  <c r="H261" i="10"/>
  <c r="I229" i="10"/>
  <c r="I133" i="10"/>
  <c r="G90" i="10"/>
  <c r="J83" i="10"/>
  <c r="AJ23" i="10" s="1"/>
  <c r="J84" i="10"/>
  <c r="J88" i="10"/>
  <c r="J106" i="10"/>
  <c r="J89" i="10"/>
  <c r="J86" i="10"/>
  <c r="J98" i="10"/>
  <c r="J114" i="10"/>
  <c r="AJ33" i="10" s="1"/>
  <c r="H229" i="10"/>
  <c r="J81" i="10"/>
  <c r="AJ22" i="10" s="1"/>
  <c r="J85" i="10"/>
  <c r="AJ24" i="10" s="1"/>
  <c r="J118" i="10"/>
  <c r="J261" i="10"/>
  <c r="I261" i="10"/>
  <c r="H87" i="10"/>
  <c r="AH25" i="10" s="1"/>
  <c r="J94" i="10"/>
  <c r="AJ26" i="10" s="1"/>
  <c r="J101" i="10"/>
  <c r="J92" i="10"/>
  <c r="J112" i="10"/>
  <c r="AJ32" i="10" s="1"/>
  <c r="J104" i="10"/>
  <c r="J113" i="10"/>
  <c r="J110" i="10"/>
  <c r="J119" i="10"/>
  <c r="J230" i="10"/>
  <c r="AB219" i="8"/>
  <c r="R219" i="8" s="1"/>
  <c r="AB220" i="8"/>
  <c r="R220" i="8" s="1"/>
  <c r="AB215" i="8"/>
  <c r="AB243" i="8"/>
  <c r="Y247" i="8"/>
  <c r="Y246" i="8"/>
  <c r="Z247" i="8"/>
  <c r="Z246" i="8"/>
  <c r="U247" i="8"/>
  <c r="U246" i="8"/>
  <c r="I245" i="8"/>
  <c r="K230" i="8"/>
  <c r="K229" i="8"/>
  <c r="V89" i="8"/>
  <c r="N254" i="8"/>
  <c r="N253" i="8"/>
  <c r="X253" i="8"/>
  <c r="J253" i="8"/>
  <c r="L259" i="8"/>
  <c r="L253" i="8"/>
  <c r="K253" i="8"/>
  <c r="M257" i="8"/>
  <c r="M255" i="8" s="1"/>
  <c r="M253" i="8"/>
  <c r="S259" i="8"/>
  <c r="S258" i="8" s="1"/>
  <c r="S253" i="8"/>
  <c r="V259" i="8"/>
  <c r="V253" i="8"/>
  <c r="T257" i="8"/>
  <c r="T255" i="8" s="1"/>
  <c r="T253" i="8"/>
  <c r="R253" i="8"/>
  <c r="AA253" i="8"/>
  <c r="O253" i="8"/>
  <c r="I208" i="8"/>
  <c r="I253" i="8"/>
  <c r="W209" i="8"/>
  <c r="W253" i="8"/>
  <c r="Z253" i="8"/>
  <c r="P254" i="8"/>
  <c r="P253" i="8"/>
  <c r="AH23" i="9"/>
  <c r="AH22" i="9" s="1"/>
  <c r="AF23" i="9"/>
  <c r="AF22" i="9" s="1"/>
  <c r="K226" i="8"/>
  <c r="V79" i="8"/>
  <c r="G46" i="9"/>
  <c r="G10" i="24" s="1"/>
  <c r="K225" i="8"/>
  <c r="V118" i="8"/>
  <c r="V114" i="8"/>
  <c r="M219" i="8"/>
  <c r="K219" i="8"/>
  <c r="P219" i="8"/>
  <c r="J219" i="8"/>
  <c r="Y219" i="8"/>
  <c r="AA219" i="8"/>
  <c r="Q219" i="8"/>
  <c r="L219" i="8"/>
  <c r="O219" i="8"/>
  <c r="S219" i="8"/>
  <c r="V219" i="8"/>
  <c r="Z219" i="8"/>
  <c r="S67" i="9"/>
  <c r="S13" i="24" s="1"/>
  <c r="W219" i="8"/>
  <c r="X219" i="8"/>
  <c r="U219" i="8"/>
  <c r="U220" i="8"/>
  <c r="T219" i="8"/>
  <c r="I219" i="8"/>
  <c r="N219" i="8"/>
  <c r="I139" i="8"/>
  <c r="I133" i="8"/>
  <c r="AV23" i="9"/>
  <c r="AV22" i="9" s="1"/>
  <c r="BD22" i="9" s="1"/>
  <c r="P119" i="8"/>
  <c r="P88" i="8"/>
  <c r="P101" i="8"/>
  <c r="AA226" i="8"/>
  <c r="P114" i="8"/>
  <c r="AA227" i="8"/>
  <c r="P80" i="8"/>
  <c r="P106" i="8"/>
  <c r="P91" i="8"/>
  <c r="P120" i="8"/>
  <c r="AA229" i="8"/>
  <c r="P83" i="8"/>
  <c r="P82" i="8"/>
  <c r="P87" i="8"/>
  <c r="P112" i="8"/>
  <c r="W46" i="9"/>
  <c r="W10" i="24" s="1"/>
  <c r="AA225" i="8"/>
  <c r="P86" i="8"/>
  <c r="P81" i="8"/>
  <c r="P117" i="8"/>
  <c r="P110" i="8"/>
  <c r="S21" i="9"/>
  <c r="S230" i="8"/>
  <c r="Y112" i="8"/>
  <c r="S226" i="8"/>
  <c r="AN23" i="9"/>
  <c r="AN22" i="9" s="1"/>
  <c r="J229" i="8"/>
  <c r="J228" i="8" s="1"/>
  <c r="Y101" i="8"/>
  <c r="O46" i="9"/>
  <c r="O10" i="24" s="1"/>
  <c r="S229" i="8"/>
  <c r="S225" i="8"/>
  <c r="Y80" i="8"/>
  <c r="Y94" i="8"/>
  <c r="M226" i="8"/>
  <c r="M229" i="8"/>
  <c r="M228" i="8" s="1"/>
  <c r="T114" i="8"/>
  <c r="I128" i="8"/>
  <c r="V111" i="8"/>
  <c r="V100" i="8"/>
  <c r="V101" i="8"/>
  <c r="V112" i="8"/>
  <c r="I46" i="9"/>
  <c r="I10" i="24" s="1"/>
  <c r="M225" i="8"/>
  <c r="V104" i="8"/>
  <c r="V85" i="8"/>
  <c r="V102" i="8"/>
  <c r="V106" i="8"/>
  <c r="AC25" i="9"/>
  <c r="AZ25" i="9" s="1"/>
  <c r="M227" i="8"/>
  <c r="T82" i="8"/>
  <c r="V81" i="8"/>
  <c r="V94" i="8"/>
  <c r="V90" i="8"/>
  <c r="V98" i="8"/>
  <c r="O94" i="8"/>
  <c r="P84" i="8"/>
  <c r="P113" i="8"/>
  <c r="P109" i="8"/>
  <c r="P102" i="8"/>
  <c r="P92" i="8"/>
  <c r="P103" i="8"/>
  <c r="P99" i="8"/>
  <c r="P90" i="8"/>
  <c r="S100" i="8"/>
  <c r="P94" i="8"/>
  <c r="P89" i="8"/>
  <c r="P79" i="8"/>
  <c r="P85" i="8"/>
  <c r="P98" i="8"/>
  <c r="P111" i="8"/>
  <c r="P104" i="8"/>
  <c r="P100" i="8"/>
  <c r="Y79" i="8"/>
  <c r="Y87" i="8"/>
  <c r="Y98" i="8"/>
  <c r="Y119" i="8"/>
  <c r="V82" i="8"/>
  <c r="V84" i="8"/>
  <c r="V80" i="8"/>
  <c r="V99" i="8"/>
  <c r="V91" i="8"/>
  <c r="V117" i="8"/>
  <c r="V110" i="8"/>
  <c r="V113" i="8"/>
  <c r="V119" i="8"/>
  <c r="V87" i="8"/>
  <c r="V103" i="8"/>
  <c r="V83" i="8"/>
  <c r="V86" i="8"/>
  <c r="V109" i="8"/>
  <c r="V92" i="8"/>
  <c r="V88" i="8"/>
  <c r="W91" i="8"/>
  <c r="W120" i="8"/>
  <c r="W81" i="8"/>
  <c r="W89" i="8"/>
  <c r="W94" i="8"/>
  <c r="W111" i="8"/>
  <c r="I81" i="8"/>
  <c r="W87" i="8"/>
  <c r="W118" i="8"/>
  <c r="Y81" i="8"/>
  <c r="Y88" i="8"/>
  <c r="Y102" i="8"/>
  <c r="Y99" i="8"/>
  <c r="Y89" i="8"/>
  <c r="Y114" i="8"/>
  <c r="Y92" i="8"/>
  <c r="Y120" i="8"/>
  <c r="H21" i="9"/>
  <c r="Y110" i="8"/>
  <c r="Y83" i="8"/>
  <c r="Y86" i="8"/>
  <c r="Y84" i="8"/>
  <c r="Y106" i="8"/>
  <c r="Y91" i="8"/>
  <c r="Y111" i="8"/>
  <c r="Y113" i="8"/>
  <c r="Y85" i="8"/>
  <c r="Y109" i="8"/>
  <c r="Y103" i="8"/>
  <c r="Y82" i="8"/>
  <c r="Y90" i="8"/>
  <c r="Y100" i="8"/>
  <c r="Y117" i="8"/>
  <c r="Y104" i="8"/>
  <c r="I209" i="8"/>
  <c r="S114" i="8"/>
  <c r="O112" i="8"/>
  <c r="I88" i="8"/>
  <c r="N81" i="8"/>
  <c r="W83" i="8"/>
  <c r="W82" i="8"/>
  <c r="W85" i="8"/>
  <c r="W84" i="8"/>
  <c r="W99" i="8"/>
  <c r="W86" i="8"/>
  <c r="W103" i="8"/>
  <c r="W113" i="8"/>
  <c r="N101" i="8"/>
  <c r="W80" i="8"/>
  <c r="W88" i="8"/>
  <c r="W106" i="8"/>
  <c r="W101" i="8"/>
  <c r="W90" i="8"/>
  <c r="W110" i="8"/>
  <c r="W98" i="8"/>
  <c r="W114" i="8"/>
  <c r="W79" i="8"/>
  <c r="W92" i="8"/>
  <c r="W112" i="8"/>
  <c r="W104" i="8"/>
  <c r="W100" i="8"/>
  <c r="W109" i="8"/>
  <c r="W102" i="8"/>
  <c r="W119" i="8"/>
  <c r="S113" i="8"/>
  <c r="S111" i="8"/>
  <c r="O91" i="8"/>
  <c r="O117" i="8"/>
  <c r="S79" i="8"/>
  <c r="S91" i="8"/>
  <c r="O110" i="8"/>
  <c r="O111" i="8"/>
  <c r="I257" i="8"/>
  <c r="I255" i="8" s="1"/>
  <c r="S85" i="8"/>
  <c r="S118" i="8"/>
  <c r="O100" i="8"/>
  <c r="O90" i="8"/>
  <c r="S83" i="8"/>
  <c r="S112" i="8"/>
  <c r="S104" i="8"/>
  <c r="S101" i="8"/>
  <c r="S92" i="8"/>
  <c r="S102" i="8"/>
  <c r="S119" i="8"/>
  <c r="S109" i="8"/>
  <c r="O79" i="8"/>
  <c r="O104" i="8"/>
  <c r="O101" i="8"/>
  <c r="O92" i="8"/>
  <c r="O88" i="8"/>
  <c r="O119" i="8"/>
  <c r="O113" i="8"/>
  <c r="O118" i="8"/>
  <c r="S82" i="8"/>
  <c r="S87" i="8"/>
  <c r="S81" i="8"/>
  <c r="S90" i="8"/>
  <c r="S86" i="8"/>
  <c r="S103" i="8"/>
  <c r="S99" i="8"/>
  <c r="S117" i="8"/>
  <c r="O85" i="8"/>
  <c r="O81" i="8"/>
  <c r="O86" i="8"/>
  <c r="O82" i="8"/>
  <c r="O103" i="8"/>
  <c r="O99" i="8"/>
  <c r="O109" i="8"/>
  <c r="O120" i="8"/>
  <c r="M22" i="9"/>
  <c r="Q256" i="8" s="1"/>
  <c r="S94" i="8"/>
  <c r="S88" i="8"/>
  <c r="S106" i="8"/>
  <c r="S84" i="8"/>
  <c r="S80" i="8"/>
  <c r="S110" i="8"/>
  <c r="S98" i="8"/>
  <c r="S89" i="8"/>
  <c r="O83" i="8"/>
  <c r="O106" i="8"/>
  <c r="O84" i="8"/>
  <c r="O80" i="8"/>
  <c r="O87" i="8"/>
  <c r="O98" i="8"/>
  <c r="O89" i="8"/>
  <c r="O102" i="8"/>
  <c r="T51" i="9"/>
  <c r="X246" i="8" s="1"/>
  <c r="I112" i="8"/>
  <c r="I120" i="8"/>
  <c r="N85" i="8"/>
  <c r="N113" i="8"/>
  <c r="N50" i="9"/>
  <c r="I83" i="8"/>
  <c r="I113" i="8"/>
  <c r="N84" i="8"/>
  <c r="N119" i="8"/>
  <c r="I79" i="8"/>
  <c r="I92" i="8"/>
  <c r="N94" i="8"/>
  <c r="N98" i="8"/>
  <c r="AE23" i="9"/>
  <c r="AE22" i="9" s="1"/>
  <c r="H57" i="9"/>
  <c r="T84" i="8"/>
  <c r="T91" i="8"/>
  <c r="I135" i="8"/>
  <c r="I142" i="8"/>
  <c r="T112" i="8"/>
  <c r="T111" i="8"/>
  <c r="I130" i="8"/>
  <c r="T88" i="8"/>
  <c r="T113" i="8"/>
  <c r="I127" i="8"/>
  <c r="L36" i="9"/>
  <c r="AK20" i="9" s="1"/>
  <c r="AK19" i="9" s="1"/>
  <c r="BH12" i="9"/>
  <c r="T81" i="8"/>
  <c r="T100" i="8"/>
  <c r="T79" i="8"/>
  <c r="T85" i="8"/>
  <c r="T86" i="8"/>
  <c r="T103" i="8"/>
  <c r="T99" i="8"/>
  <c r="T117" i="8"/>
  <c r="I136" i="8"/>
  <c r="I125" i="8"/>
  <c r="I134" i="8"/>
  <c r="I137" i="8"/>
  <c r="I138" i="8"/>
  <c r="T94" i="8"/>
  <c r="T98" i="8"/>
  <c r="T83" i="8"/>
  <c r="T109" i="8"/>
  <c r="T102" i="8"/>
  <c r="T110" i="8"/>
  <c r="T119" i="8"/>
  <c r="T120" i="8"/>
  <c r="T118" i="8"/>
  <c r="I129" i="8"/>
  <c r="I126" i="8"/>
  <c r="I123" i="8"/>
  <c r="I140" i="8"/>
  <c r="W58" i="9"/>
  <c r="AV29" i="9" s="1"/>
  <c r="BJ12" i="9"/>
  <c r="T80" i="8"/>
  <c r="T92" i="8"/>
  <c r="T89" i="8"/>
  <c r="T106" i="8"/>
  <c r="T101" i="8"/>
  <c r="T87" i="8"/>
  <c r="T104" i="8"/>
  <c r="I122" i="8"/>
  <c r="I124" i="8"/>
  <c r="I131" i="8"/>
  <c r="I141" i="8"/>
  <c r="J58" i="9"/>
  <c r="AI29" i="9" s="1"/>
  <c r="AI28" i="9" s="1"/>
  <c r="J225" i="8"/>
  <c r="J227" i="8"/>
  <c r="F46" i="9"/>
  <c r="F10" i="24" s="1"/>
  <c r="J226" i="8"/>
  <c r="I80" i="8"/>
  <c r="I86" i="8"/>
  <c r="I82" i="8"/>
  <c r="I84" i="8"/>
  <c r="I106" i="8"/>
  <c r="I101" i="8"/>
  <c r="I87" i="8"/>
  <c r="I119" i="8"/>
  <c r="N82" i="8"/>
  <c r="N83" i="8"/>
  <c r="N79" i="8"/>
  <c r="N87" i="8"/>
  <c r="N104" i="8"/>
  <c r="N88" i="8"/>
  <c r="N106" i="8"/>
  <c r="N117" i="8"/>
  <c r="N120" i="8"/>
  <c r="R57" i="9"/>
  <c r="I85" i="8"/>
  <c r="I110" i="8"/>
  <c r="I103" i="8"/>
  <c r="I99" i="8"/>
  <c r="I90" i="8"/>
  <c r="I100" i="8"/>
  <c r="I91" i="8"/>
  <c r="I111" i="8"/>
  <c r="I118" i="8"/>
  <c r="N86" i="8"/>
  <c r="N100" i="8"/>
  <c r="N91" i="8"/>
  <c r="N111" i="8"/>
  <c r="N103" i="8"/>
  <c r="N112" i="8"/>
  <c r="N114" i="8"/>
  <c r="N92" i="8"/>
  <c r="I94" i="8"/>
  <c r="I109" i="8"/>
  <c r="I102" i="8"/>
  <c r="I98" i="8"/>
  <c r="I89" i="8"/>
  <c r="I114" i="8"/>
  <c r="I117" i="8"/>
  <c r="N80" i="8"/>
  <c r="N99" i="8"/>
  <c r="N90" i="8"/>
  <c r="N102" i="8"/>
  <c r="N110" i="8"/>
  <c r="N89" i="8"/>
  <c r="N109" i="8"/>
  <c r="S254" i="8"/>
  <c r="E57" i="9"/>
  <c r="L21" i="9"/>
  <c r="V208" i="8"/>
  <c r="F21" i="9"/>
  <c r="I259" i="8"/>
  <c r="I258" i="8" s="1"/>
  <c r="I254" i="8"/>
  <c r="P227" i="8"/>
  <c r="T209" i="8"/>
  <c r="T259" i="8"/>
  <c r="T258" i="8" s="1"/>
  <c r="V254" i="8"/>
  <c r="AG23" i="9"/>
  <c r="AG22" i="9" s="1"/>
  <c r="BA22" i="9" s="1"/>
  <c r="R247" i="8"/>
  <c r="R245" i="8" s="1"/>
  <c r="U22" i="9"/>
  <c r="Y256" i="8" s="1"/>
  <c r="S36" i="9"/>
  <c r="W192" i="8" s="1"/>
  <c r="BH7" i="9"/>
  <c r="R51" i="9"/>
  <c r="V246" i="8" s="1"/>
  <c r="M209" i="8"/>
  <c r="AA208" i="8"/>
  <c r="AA209" i="8"/>
  <c r="G50" i="9"/>
  <c r="P50" i="9"/>
  <c r="AR32" i="9"/>
  <c r="AR31" i="9" s="1"/>
  <c r="E24" i="9"/>
  <c r="E7" i="24" s="1"/>
  <c r="AD14" i="9"/>
  <c r="AD13" i="9" s="1"/>
  <c r="Q22" i="9"/>
  <c r="U256" i="8" s="1"/>
  <c r="BI7" i="9"/>
  <c r="X257" i="8"/>
  <c r="X255" i="8" s="1"/>
  <c r="X254" i="8"/>
  <c r="K21" i="9"/>
  <c r="M208" i="8"/>
  <c r="X209" i="8"/>
  <c r="G94" i="10"/>
  <c r="AG26" i="10" s="1"/>
  <c r="J139" i="8"/>
  <c r="J137" i="8"/>
  <c r="J140" i="8"/>
  <c r="J141" i="8"/>
  <c r="J142" i="8"/>
  <c r="J124" i="8"/>
  <c r="J135" i="8"/>
  <c r="J128" i="8"/>
  <c r="J134" i="8"/>
  <c r="J125" i="8"/>
  <c r="J129" i="8"/>
  <c r="J126" i="8"/>
  <c r="J131" i="8"/>
  <c r="J130" i="8"/>
  <c r="J138" i="8"/>
  <c r="J136" i="8"/>
  <c r="J123" i="8"/>
  <c r="J122" i="8"/>
  <c r="J127" i="8"/>
  <c r="Z176" i="8"/>
  <c r="Z178" i="8"/>
  <c r="Z179" i="8"/>
  <c r="Z184" i="8"/>
  <c r="Z181" i="8"/>
  <c r="Z182" i="8"/>
  <c r="Z183" i="8"/>
  <c r="Z185" i="8"/>
  <c r="Z186" i="8"/>
  <c r="Z175" i="8"/>
  <c r="Z173" i="8"/>
  <c r="Z174" i="8"/>
  <c r="Z180" i="8"/>
  <c r="Z53" i="8"/>
  <c r="Z55" i="8"/>
  <c r="Z54" i="8"/>
  <c r="R113" i="8"/>
  <c r="R119" i="8"/>
  <c r="R114" i="8"/>
  <c r="R117" i="8"/>
  <c r="R101" i="8"/>
  <c r="R120" i="8"/>
  <c r="R106" i="8"/>
  <c r="R89" i="8"/>
  <c r="R112" i="8"/>
  <c r="R88" i="8"/>
  <c r="R98" i="8"/>
  <c r="R110" i="8"/>
  <c r="R118" i="8"/>
  <c r="R92" i="8"/>
  <c r="R102" i="8"/>
  <c r="R109" i="8"/>
  <c r="R111" i="8"/>
  <c r="R87" i="8"/>
  <c r="R86" i="8"/>
  <c r="R81" i="8"/>
  <c r="R90" i="8"/>
  <c r="R91" i="8"/>
  <c r="R79" i="8"/>
  <c r="R85" i="8"/>
  <c r="R99" i="8"/>
  <c r="R100" i="8"/>
  <c r="R83" i="8"/>
  <c r="R94" i="8"/>
  <c r="R80" i="8"/>
  <c r="R103" i="8"/>
  <c r="R104" i="8"/>
  <c r="R84" i="8"/>
  <c r="R82" i="8"/>
  <c r="X117" i="8"/>
  <c r="X120" i="8"/>
  <c r="X99" i="8"/>
  <c r="X119" i="8"/>
  <c r="X113" i="8"/>
  <c r="X103" i="8"/>
  <c r="X111" i="8"/>
  <c r="X87" i="8"/>
  <c r="X110" i="8"/>
  <c r="X86" i="8"/>
  <c r="X91" i="8"/>
  <c r="X118" i="8"/>
  <c r="X114" i="8"/>
  <c r="X90" i="8"/>
  <c r="X100" i="8"/>
  <c r="X112" i="8"/>
  <c r="X106" i="8"/>
  <c r="X109" i="8"/>
  <c r="X79" i="8"/>
  <c r="X88" i="8"/>
  <c r="X89" i="8"/>
  <c r="X83" i="8"/>
  <c r="X104" i="8"/>
  <c r="X92" i="8"/>
  <c r="X98" i="8"/>
  <c r="X81" i="8"/>
  <c r="X101" i="8"/>
  <c r="X102" i="8"/>
  <c r="X85" i="8"/>
  <c r="X82" i="8"/>
  <c r="X80" i="8"/>
  <c r="X94" i="8"/>
  <c r="X84" i="8"/>
  <c r="Y138" i="8"/>
  <c r="Y142" i="8"/>
  <c r="Y139" i="8"/>
  <c r="Y140" i="8"/>
  <c r="Y137" i="8"/>
  <c r="Y128" i="8"/>
  <c r="Y141" i="8"/>
  <c r="Y123" i="8"/>
  <c r="Y134" i="8"/>
  <c r="Y127" i="8"/>
  <c r="Y126" i="8"/>
  <c r="Y124" i="8"/>
  <c r="Y125" i="8"/>
  <c r="Y130" i="8"/>
  <c r="Y129" i="8"/>
  <c r="Y136" i="8"/>
  <c r="Y131" i="8"/>
  <c r="Y135" i="8"/>
  <c r="Y122" i="8"/>
  <c r="U138" i="8"/>
  <c r="U131" i="8"/>
  <c r="U124" i="8"/>
  <c r="U137" i="8"/>
  <c r="U128" i="8"/>
  <c r="U142" i="8"/>
  <c r="U141" i="8"/>
  <c r="U136" i="8"/>
  <c r="U123" i="8"/>
  <c r="U134" i="8"/>
  <c r="U139" i="8"/>
  <c r="U127" i="8"/>
  <c r="U135" i="8"/>
  <c r="U122" i="8"/>
  <c r="U140" i="8"/>
  <c r="U126" i="8"/>
  <c r="U125" i="8"/>
  <c r="U130" i="8"/>
  <c r="U129" i="8"/>
  <c r="N181" i="8"/>
  <c r="N182" i="8"/>
  <c r="N183" i="8"/>
  <c r="N185" i="8"/>
  <c r="N186" i="8"/>
  <c r="N175" i="8"/>
  <c r="N173" i="8"/>
  <c r="N174" i="8"/>
  <c r="N180" i="8"/>
  <c r="N176" i="8"/>
  <c r="N178" i="8"/>
  <c r="N179" i="8"/>
  <c r="N184" i="8"/>
  <c r="N53" i="8"/>
  <c r="N55" i="8"/>
  <c r="N54" i="8"/>
  <c r="U184" i="8"/>
  <c r="U185" i="8"/>
  <c r="U186" i="8"/>
  <c r="U174" i="8"/>
  <c r="U173" i="8"/>
  <c r="U179" i="8"/>
  <c r="U175" i="8"/>
  <c r="U176" i="8"/>
  <c r="U178" i="8"/>
  <c r="U183" i="8"/>
  <c r="U180" i="8"/>
  <c r="U181" i="8"/>
  <c r="U182" i="8"/>
  <c r="U54" i="8"/>
  <c r="U55" i="8"/>
  <c r="U53" i="8"/>
  <c r="X142" i="8"/>
  <c r="X137" i="8"/>
  <c r="X138" i="8"/>
  <c r="X139" i="8"/>
  <c r="X130" i="8"/>
  <c r="X123" i="8"/>
  <c r="X136" i="8"/>
  <c r="X127" i="8"/>
  <c r="X140" i="8"/>
  <c r="X122" i="8"/>
  <c r="X131" i="8"/>
  <c r="X134" i="8"/>
  <c r="X126" i="8"/>
  <c r="X125" i="8"/>
  <c r="X141" i="8"/>
  <c r="X124" i="8"/>
  <c r="X129" i="8"/>
  <c r="X128" i="8"/>
  <c r="X135" i="8"/>
  <c r="L137" i="8"/>
  <c r="L141" i="8"/>
  <c r="L138" i="8"/>
  <c r="L139" i="8"/>
  <c r="L142" i="8"/>
  <c r="L136" i="8"/>
  <c r="L127" i="8"/>
  <c r="L140" i="8"/>
  <c r="L122" i="8"/>
  <c r="L131" i="8"/>
  <c r="L126" i="8"/>
  <c r="L125" i="8"/>
  <c r="L130" i="8"/>
  <c r="L124" i="8"/>
  <c r="L129" i="8"/>
  <c r="L128" i="8"/>
  <c r="L135" i="8"/>
  <c r="L123" i="8"/>
  <c r="L134" i="8"/>
  <c r="N140" i="8"/>
  <c r="N141" i="8"/>
  <c r="N128" i="8"/>
  <c r="N134" i="8"/>
  <c r="N125" i="8"/>
  <c r="N139" i="8"/>
  <c r="N137" i="8"/>
  <c r="N138" i="8"/>
  <c r="N129" i="8"/>
  <c r="N124" i="8"/>
  <c r="N130" i="8"/>
  <c r="N142" i="8"/>
  <c r="N136" i="8"/>
  <c r="N123" i="8"/>
  <c r="N122" i="8"/>
  <c r="N127" i="8"/>
  <c r="N135" i="8"/>
  <c r="N126" i="8"/>
  <c r="N131" i="8"/>
  <c r="Q180" i="8"/>
  <c r="Q181" i="8"/>
  <c r="Q182" i="8"/>
  <c r="Q184" i="8"/>
  <c r="Q185" i="8"/>
  <c r="Q186" i="8"/>
  <c r="Q174" i="8"/>
  <c r="Q173" i="8"/>
  <c r="Q179" i="8"/>
  <c r="Q183" i="8"/>
  <c r="Q175" i="8"/>
  <c r="Q176" i="8"/>
  <c r="Q178" i="8"/>
  <c r="Q54" i="8"/>
  <c r="Q55" i="8"/>
  <c r="Q53" i="8"/>
  <c r="P174" i="8"/>
  <c r="P175" i="8"/>
  <c r="P176" i="8"/>
  <c r="P182" i="8"/>
  <c r="P179" i="8"/>
  <c r="P180" i="8"/>
  <c r="P181" i="8"/>
  <c r="P186" i="8"/>
  <c r="P183" i="8"/>
  <c r="P184" i="8"/>
  <c r="P185" i="8"/>
  <c r="P173" i="8"/>
  <c r="P178" i="8"/>
  <c r="P54" i="8"/>
  <c r="P55" i="8"/>
  <c r="P53" i="8"/>
  <c r="W140" i="8"/>
  <c r="W137" i="8"/>
  <c r="W138" i="8"/>
  <c r="W141" i="8"/>
  <c r="W142" i="8"/>
  <c r="W125" i="8"/>
  <c r="W136" i="8"/>
  <c r="W129" i="8"/>
  <c r="W122" i="8"/>
  <c r="W135" i="8"/>
  <c r="W126" i="8"/>
  <c r="W139" i="8"/>
  <c r="W127" i="8"/>
  <c r="W134" i="8"/>
  <c r="W131" i="8"/>
  <c r="W130" i="8"/>
  <c r="W124" i="8"/>
  <c r="W123" i="8"/>
  <c r="W128" i="8"/>
  <c r="Y173" i="8"/>
  <c r="Y179" i="8"/>
  <c r="Y175" i="8"/>
  <c r="Y176" i="8"/>
  <c r="Y178" i="8"/>
  <c r="Y183" i="8"/>
  <c r="Y180" i="8"/>
  <c r="Y181" i="8"/>
  <c r="Y182" i="8"/>
  <c r="Y174" i="8"/>
  <c r="Y184" i="8"/>
  <c r="Y185" i="8"/>
  <c r="Y186" i="8"/>
  <c r="Y54" i="8"/>
  <c r="Y55" i="8"/>
  <c r="Y53" i="8"/>
  <c r="V139" i="8"/>
  <c r="V136" i="8"/>
  <c r="V140" i="8"/>
  <c r="V141" i="8"/>
  <c r="V137" i="8"/>
  <c r="V138" i="8"/>
  <c r="V129" i="8"/>
  <c r="V142" i="8"/>
  <c r="V124" i="8"/>
  <c r="V135" i="8"/>
  <c r="V128" i="8"/>
  <c r="V125" i="8"/>
  <c r="V122" i="8"/>
  <c r="V127" i="8"/>
  <c r="V126" i="8"/>
  <c r="V131" i="8"/>
  <c r="V134" i="8"/>
  <c r="V130" i="8"/>
  <c r="V123" i="8"/>
  <c r="K182" i="8"/>
  <c r="K183" i="8"/>
  <c r="K184" i="8"/>
  <c r="K186" i="8"/>
  <c r="K176" i="8"/>
  <c r="K173" i="8"/>
  <c r="K174" i="8"/>
  <c r="K175" i="8"/>
  <c r="K181" i="8"/>
  <c r="K185" i="8"/>
  <c r="K179" i="8"/>
  <c r="K180" i="8"/>
  <c r="K178" i="8"/>
  <c r="K54" i="8"/>
  <c r="K53" i="8"/>
  <c r="K55" i="8"/>
  <c r="W178" i="8"/>
  <c r="W179" i="8"/>
  <c r="W180" i="8"/>
  <c r="W185" i="8"/>
  <c r="W182" i="8"/>
  <c r="W183" i="8"/>
  <c r="W184" i="8"/>
  <c r="W186" i="8"/>
  <c r="W176" i="8"/>
  <c r="W181" i="8"/>
  <c r="W173" i="8"/>
  <c r="W174" i="8"/>
  <c r="W175" i="8"/>
  <c r="W54" i="8"/>
  <c r="W53" i="8"/>
  <c r="W55" i="8"/>
  <c r="M175" i="8"/>
  <c r="M176" i="8"/>
  <c r="M178" i="8"/>
  <c r="M183" i="8"/>
  <c r="M180" i="8"/>
  <c r="M181" i="8"/>
  <c r="M182" i="8"/>
  <c r="M184" i="8"/>
  <c r="M185" i="8"/>
  <c r="M186" i="8"/>
  <c r="M174" i="8"/>
  <c r="M179" i="8"/>
  <c r="M173" i="8"/>
  <c r="M55" i="8"/>
  <c r="M54" i="8"/>
  <c r="M53" i="8"/>
  <c r="P137" i="8"/>
  <c r="P141" i="8"/>
  <c r="P138" i="8"/>
  <c r="P139" i="8"/>
  <c r="P142" i="8"/>
  <c r="P140" i="8"/>
  <c r="P122" i="8"/>
  <c r="P131" i="8"/>
  <c r="P126" i="8"/>
  <c r="P130" i="8"/>
  <c r="P123" i="8"/>
  <c r="P136" i="8"/>
  <c r="P124" i="8"/>
  <c r="P129" i="8"/>
  <c r="P128" i="8"/>
  <c r="P135" i="8"/>
  <c r="P127" i="8"/>
  <c r="P134" i="8"/>
  <c r="P125" i="8"/>
  <c r="O140" i="8"/>
  <c r="O137" i="8"/>
  <c r="O138" i="8"/>
  <c r="O135" i="8"/>
  <c r="O126" i="8"/>
  <c r="O141" i="8"/>
  <c r="O142" i="8"/>
  <c r="O139" i="8"/>
  <c r="O130" i="8"/>
  <c r="O125" i="8"/>
  <c r="O136" i="8"/>
  <c r="O122" i="8"/>
  <c r="O124" i="8"/>
  <c r="O123" i="8"/>
  <c r="O128" i="8"/>
  <c r="O129" i="8"/>
  <c r="O127" i="8"/>
  <c r="O134" i="8"/>
  <c r="O131" i="8"/>
  <c r="T179" i="8"/>
  <c r="T180" i="8"/>
  <c r="T181" i="8"/>
  <c r="T186" i="8"/>
  <c r="T183" i="8"/>
  <c r="T184" i="8"/>
  <c r="T185" i="8"/>
  <c r="T173" i="8"/>
  <c r="T178" i="8"/>
  <c r="T182" i="8"/>
  <c r="T174" i="8"/>
  <c r="T175" i="8"/>
  <c r="T176" i="8"/>
  <c r="T55" i="8"/>
  <c r="T53" i="8"/>
  <c r="T54" i="8"/>
  <c r="S173" i="8"/>
  <c r="S174" i="8"/>
  <c r="S175" i="8"/>
  <c r="S181" i="8"/>
  <c r="S178" i="8"/>
  <c r="S179" i="8"/>
  <c r="S180" i="8"/>
  <c r="S185" i="8"/>
  <c r="S182" i="8"/>
  <c r="S183" i="8"/>
  <c r="S184" i="8"/>
  <c r="S186" i="8"/>
  <c r="S176" i="8"/>
  <c r="S53" i="8"/>
  <c r="S54" i="8"/>
  <c r="S55" i="8"/>
  <c r="Z139" i="8"/>
  <c r="Z136" i="8"/>
  <c r="Z137" i="8"/>
  <c r="Z140" i="8"/>
  <c r="Z141" i="8"/>
  <c r="Z142" i="8"/>
  <c r="Z124" i="8"/>
  <c r="Z135" i="8"/>
  <c r="Z128" i="8"/>
  <c r="Z134" i="8"/>
  <c r="Z125" i="8"/>
  <c r="Z126" i="8"/>
  <c r="Z131" i="8"/>
  <c r="Z138" i="8"/>
  <c r="Z130" i="8"/>
  <c r="Z123" i="8"/>
  <c r="Z129" i="8"/>
  <c r="Z122" i="8"/>
  <c r="Z127" i="8"/>
  <c r="O186" i="8"/>
  <c r="O176" i="8"/>
  <c r="O173" i="8"/>
  <c r="O174" i="8"/>
  <c r="O175" i="8"/>
  <c r="O181" i="8"/>
  <c r="O178" i="8"/>
  <c r="O179" i="8"/>
  <c r="O180" i="8"/>
  <c r="O185" i="8"/>
  <c r="O182" i="8"/>
  <c r="O183" i="8"/>
  <c r="O184" i="8"/>
  <c r="O53" i="8"/>
  <c r="O54" i="8"/>
  <c r="O55" i="8"/>
  <c r="Q142" i="8"/>
  <c r="Q139" i="8"/>
  <c r="Q140" i="8"/>
  <c r="Q127" i="8"/>
  <c r="Q131" i="8"/>
  <c r="Q124" i="8"/>
  <c r="Q137" i="8"/>
  <c r="Q128" i="8"/>
  <c r="Q134" i="8"/>
  <c r="Q129" i="8"/>
  <c r="Q136" i="8"/>
  <c r="Q123" i="8"/>
  <c r="Q135" i="8"/>
  <c r="Q122" i="8"/>
  <c r="Q141" i="8"/>
  <c r="Q126" i="8"/>
  <c r="Q138" i="8"/>
  <c r="Q125" i="8"/>
  <c r="Q130" i="8"/>
  <c r="R185" i="8"/>
  <c r="R186" i="8"/>
  <c r="R175" i="8"/>
  <c r="R173" i="8"/>
  <c r="R174" i="8"/>
  <c r="R180" i="8"/>
  <c r="R176" i="8"/>
  <c r="R178" i="8"/>
  <c r="R179" i="8"/>
  <c r="R184" i="8"/>
  <c r="R183" i="8"/>
  <c r="R181" i="8"/>
  <c r="R182" i="8"/>
  <c r="R55" i="8"/>
  <c r="R53" i="8"/>
  <c r="R54" i="8"/>
  <c r="M138" i="8"/>
  <c r="M142" i="8"/>
  <c r="M139" i="8"/>
  <c r="M140" i="8"/>
  <c r="M141" i="8"/>
  <c r="M123" i="8"/>
  <c r="M134" i="8"/>
  <c r="M127" i="8"/>
  <c r="M131" i="8"/>
  <c r="M124" i="8"/>
  <c r="M125" i="8"/>
  <c r="M130" i="8"/>
  <c r="M128" i="8"/>
  <c r="M129" i="8"/>
  <c r="M136" i="8"/>
  <c r="M135" i="8"/>
  <c r="M122" i="8"/>
  <c r="M137" i="8"/>
  <c r="M126" i="8"/>
  <c r="N228" i="8"/>
  <c r="I225" i="10"/>
  <c r="O224" i="8"/>
  <c r="O254" i="8"/>
  <c r="O209" i="8"/>
  <c r="S209" i="8"/>
  <c r="Q46" i="9"/>
  <c r="Q10" i="24" s="1"/>
  <c r="V257" i="8"/>
  <c r="T254" i="8"/>
  <c r="T228" i="8"/>
  <c r="H90" i="10"/>
  <c r="H84" i="10"/>
  <c r="S257" i="8"/>
  <c r="S255" i="8" s="1"/>
  <c r="T208" i="8"/>
  <c r="V209" i="8"/>
  <c r="U58" i="9"/>
  <c r="Y232" i="8" s="1"/>
  <c r="Y231" i="8" s="1"/>
  <c r="U225" i="8"/>
  <c r="Q226" i="8"/>
  <c r="AP23" i="9"/>
  <c r="AP22" i="9" s="1"/>
  <c r="X259" i="8"/>
  <c r="X258" i="8" s="1"/>
  <c r="T57" i="9"/>
  <c r="M35" i="9"/>
  <c r="P225" i="8"/>
  <c r="U226" i="8"/>
  <c r="X208" i="8"/>
  <c r="W51" i="9"/>
  <c r="AA246" i="8" s="1"/>
  <c r="U229" i="8"/>
  <c r="X224" i="8"/>
  <c r="P230" i="8"/>
  <c r="U230" i="8"/>
  <c r="I228" i="8"/>
  <c r="V224" i="8"/>
  <c r="G225" i="10"/>
  <c r="O228" i="8"/>
  <c r="P259" i="8"/>
  <c r="P258" i="8" s="1"/>
  <c r="O36" i="9"/>
  <c r="S194" i="8" s="1"/>
  <c r="Z225" i="8"/>
  <c r="H113" i="10"/>
  <c r="G81" i="10"/>
  <c r="AG22" i="10" s="1"/>
  <c r="G89" i="10"/>
  <c r="G83" i="10"/>
  <c r="AG23" i="10" s="1"/>
  <c r="G114" i="10"/>
  <c r="AG33" i="10" s="1"/>
  <c r="G87" i="10"/>
  <c r="AG25" i="10" s="1"/>
  <c r="G98" i="10"/>
  <c r="G91" i="10"/>
  <c r="G109" i="10"/>
  <c r="AG30" i="10" s="1"/>
  <c r="G101" i="10"/>
  <c r="H46" i="9"/>
  <c r="H10" i="24" s="1"/>
  <c r="P35" i="9"/>
  <c r="M46" i="9"/>
  <c r="M10" i="24" s="1"/>
  <c r="AU23" i="9"/>
  <c r="AU22" i="9" s="1"/>
  <c r="Z226" i="8"/>
  <c r="Z230" i="8"/>
  <c r="H99" i="10"/>
  <c r="AH27" i="10" s="1"/>
  <c r="G92" i="10"/>
  <c r="G103" i="10"/>
  <c r="G80" i="10"/>
  <c r="L229" i="8"/>
  <c r="G84" i="10"/>
  <c r="H120" i="10"/>
  <c r="H100" i="10"/>
  <c r="L230" i="8"/>
  <c r="Q247" i="8"/>
  <c r="AL23" i="9"/>
  <c r="AL22" i="9" s="1"/>
  <c r="BB22" i="9" s="1"/>
  <c r="V46" i="9"/>
  <c r="V10" i="24" s="1"/>
  <c r="Z227" i="8"/>
  <c r="H118" i="10"/>
  <c r="G88" i="10"/>
  <c r="L227" i="8"/>
  <c r="G104" i="10"/>
  <c r="G85" i="10"/>
  <c r="AG24" i="10" s="1"/>
  <c r="G113" i="10"/>
  <c r="G110" i="10"/>
  <c r="G86" i="10"/>
  <c r="G117" i="10"/>
  <c r="H101" i="10"/>
  <c r="H91" i="10"/>
  <c r="G119" i="10"/>
  <c r="G120" i="10"/>
  <c r="U227" i="8"/>
  <c r="W228" i="8"/>
  <c r="L247" i="8"/>
  <c r="S208" i="8"/>
  <c r="W50" i="9"/>
  <c r="AA133" i="8" s="1"/>
  <c r="H92" i="10"/>
  <c r="H104" i="10"/>
  <c r="H82" i="10"/>
  <c r="Q227" i="8"/>
  <c r="H119" i="10"/>
  <c r="H86" i="10"/>
  <c r="H94" i="10"/>
  <c r="AH26" i="10" s="1"/>
  <c r="H106" i="10"/>
  <c r="H112" i="10"/>
  <c r="AH32" i="10" s="1"/>
  <c r="H111" i="10"/>
  <c r="C136" i="11"/>
  <c r="V136" i="11"/>
  <c r="U5" i="9" s="1"/>
  <c r="Q136" i="11"/>
  <c r="P5" i="9" s="1"/>
  <c r="R136" i="11"/>
  <c r="Q5" i="9" s="1"/>
  <c r="X136" i="11"/>
  <c r="W5" i="9" s="1"/>
  <c r="L136" i="11"/>
  <c r="P208" i="8"/>
  <c r="N259" i="8"/>
  <c r="N258" i="8" s="1"/>
  <c r="AA257" i="8"/>
  <c r="P247" i="8"/>
  <c r="P245" i="8" s="1"/>
  <c r="AA254" i="8"/>
  <c r="J51" i="9"/>
  <c r="I51" i="9"/>
  <c r="M246" i="8" s="1"/>
  <c r="M36" i="9"/>
  <c r="Q195" i="8" s="1"/>
  <c r="V21" i="9"/>
  <c r="N58" i="9"/>
  <c r="R228" i="8"/>
  <c r="R224" i="8"/>
  <c r="W224" i="8"/>
  <c r="M254" i="8"/>
  <c r="W208" i="8"/>
  <c r="P209" i="8"/>
  <c r="L209" i="8"/>
  <c r="M259" i="8"/>
  <c r="M258" i="8" s="1"/>
  <c r="AA259" i="8"/>
  <c r="P257" i="8"/>
  <c r="P255" i="8" s="1"/>
  <c r="BJ11" i="9"/>
  <c r="O50" i="9"/>
  <c r="S133" i="8" s="1"/>
  <c r="Q36" i="9"/>
  <c r="U195" i="8" s="1"/>
  <c r="X228" i="8"/>
  <c r="I224" i="8"/>
  <c r="N224" i="8"/>
  <c r="G112" i="10"/>
  <c r="AG32" i="10" s="1"/>
  <c r="G82" i="10"/>
  <c r="G106" i="10"/>
  <c r="L226" i="8"/>
  <c r="G99" i="10"/>
  <c r="AG27" i="10" s="1"/>
  <c r="W57" i="9"/>
  <c r="N136" i="11"/>
  <c r="M5" i="9" s="1"/>
  <c r="S136" i="11"/>
  <c r="M136" i="11"/>
  <c r="L5" i="9" s="1"/>
  <c r="P136" i="11"/>
  <c r="O5" i="9" s="1"/>
  <c r="I136" i="11"/>
  <c r="H5" i="9" s="1"/>
  <c r="O136" i="11"/>
  <c r="N5" i="9" s="1"/>
  <c r="T136" i="11"/>
  <c r="S5" i="9" s="1"/>
  <c r="W136" i="11"/>
  <c r="V5" i="9" s="1"/>
  <c r="K136" i="11"/>
  <c r="J5" i="9" s="1"/>
  <c r="H136" i="11"/>
  <c r="G5" i="9" s="1"/>
  <c r="K35" i="9"/>
  <c r="Z229" i="8"/>
  <c r="H83" i="10"/>
  <c r="AH23" i="10" s="1"/>
  <c r="H98" i="10"/>
  <c r="H114" i="10"/>
  <c r="AH33" i="10" s="1"/>
  <c r="Q230" i="8"/>
  <c r="H117" i="10"/>
  <c r="H89" i="10"/>
  <c r="Q225" i="8"/>
  <c r="H110" i="10"/>
  <c r="H88" i="10"/>
  <c r="H85" i="10"/>
  <c r="AH24" i="10" s="1"/>
  <c r="V228" i="8"/>
  <c r="J136" i="11"/>
  <c r="I5" i="9" s="1"/>
  <c r="U136" i="11"/>
  <c r="T5" i="9" s="1"/>
  <c r="F136" i="11"/>
  <c r="E5" i="9" s="1"/>
  <c r="G136" i="11"/>
  <c r="F5" i="9" s="1"/>
  <c r="L46" i="9"/>
  <c r="L10" i="24" s="1"/>
  <c r="AK23" i="9"/>
  <c r="AK22" i="9" s="1"/>
  <c r="P229" i="8"/>
  <c r="C121" i="11"/>
  <c r="K121" i="11" s="1"/>
  <c r="U139" i="11"/>
  <c r="T12" i="9" s="1"/>
  <c r="G139" i="11"/>
  <c r="F12" i="9" s="1"/>
  <c r="X139" i="11"/>
  <c r="W12" i="9" s="1"/>
  <c r="W139" i="11"/>
  <c r="V12" i="9" s="1"/>
  <c r="F139" i="11"/>
  <c r="E12" i="9" s="1"/>
  <c r="K139" i="11"/>
  <c r="J12" i="9" s="1"/>
  <c r="Q139" i="11"/>
  <c r="P12" i="9" s="1"/>
  <c r="C139" i="11"/>
  <c r="H139" i="11"/>
  <c r="G12" i="9" s="1"/>
  <c r="M139" i="11"/>
  <c r="L12" i="9" s="1"/>
  <c r="L15" i="9" s="1"/>
  <c r="P215" i="8" s="1"/>
  <c r="P139" i="11"/>
  <c r="O12" i="9" s="1"/>
  <c r="V139" i="11"/>
  <c r="U12" i="9" s="1"/>
  <c r="N139" i="11"/>
  <c r="M12" i="9" s="1"/>
  <c r="M14" i="9" s="1"/>
  <c r="T139" i="11"/>
  <c r="S12" i="9" s="1"/>
  <c r="S14" i="9" s="1"/>
  <c r="I139" i="11"/>
  <c r="H12" i="9" s="1"/>
  <c r="L139" i="11"/>
  <c r="K12" i="9" s="1"/>
  <c r="R139" i="11"/>
  <c r="Q12" i="9" s="1"/>
  <c r="L87" i="11"/>
  <c r="O139" i="11"/>
  <c r="N12" i="9" s="1"/>
  <c r="S139" i="11"/>
  <c r="R12" i="9" s="1"/>
  <c r="J139" i="11"/>
  <c r="I12" i="9" s="1"/>
  <c r="I15" i="9" s="1"/>
  <c r="Y224" i="8"/>
  <c r="T224" i="8"/>
  <c r="T247" i="8"/>
  <c r="T245" i="8" s="1"/>
  <c r="R209" i="8"/>
  <c r="W259" i="8"/>
  <c r="W258" i="8" s="1"/>
  <c r="S247" i="8"/>
  <c r="S245" i="8" s="1"/>
  <c r="L254" i="8"/>
  <c r="W254" i="8"/>
  <c r="W257" i="8"/>
  <c r="W255" i="8" s="1"/>
  <c r="O259" i="8"/>
  <c r="O258" i="8" s="1"/>
  <c r="L257" i="8"/>
  <c r="R259" i="8"/>
  <c r="R258" i="8" s="1"/>
  <c r="O208" i="8"/>
  <c r="L208" i="8"/>
  <c r="O247" i="8"/>
  <c r="O245" i="8" s="1"/>
  <c r="O257" i="8"/>
  <c r="O255" i="8" s="1"/>
  <c r="J80" i="10"/>
  <c r="K108" i="8"/>
  <c r="J108" i="8"/>
  <c r="M108" i="8"/>
  <c r="K78" i="8"/>
  <c r="J78" i="8"/>
  <c r="Y228" i="8"/>
  <c r="AA108" i="8"/>
  <c r="V35" i="9"/>
  <c r="AA78" i="8"/>
  <c r="G35" i="9"/>
  <c r="G36" i="9"/>
  <c r="F36" i="9"/>
  <c r="F35" i="9"/>
  <c r="F57" i="9"/>
  <c r="F58" i="9"/>
  <c r="M78" i="8"/>
  <c r="Z209" i="8"/>
  <c r="Z259" i="8"/>
  <c r="Z258" i="8" s="1"/>
  <c r="Z254" i="8"/>
  <c r="Z257" i="8"/>
  <c r="Z255" i="8" s="1"/>
  <c r="N208" i="8"/>
  <c r="R257" i="8"/>
  <c r="R255" i="8" s="1"/>
  <c r="N209" i="8"/>
  <c r="R254" i="8"/>
  <c r="N257" i="8"/>
  <c r="N255" i="8" s="1"/>
  <c r="R208" i="8"/>
  <c r="AI32" i="9"/>
  <c r="AI31" i="9" s="1"/>
  <c r="J67" i="9"/>
  <c r="J13" i="24" s="1"/>
  <c r="AF32" i="9"/>
  <c r="AF31" i="9" s="1"/>
  <c r="G67" i="9"/>
  <c r="G13" i="24" s="1"/>
  <c r="AL32" i="9"/>
  <c r="M67" i="9"/>
  <c r="M13" i="24" s="1"/>
  <c r="I67" i="9"/>
  <c r="I13" i="24" s="1"/>
  <c r="AH32" i="9"/>
  <c r="AH31" i="9" s="1"/>
  <c r="L67" i="9"/>
  <c r="L13" i="24" s="1"/>
  <c r="AK32" i="9"/>
  <c r="AK31" i="9" s="1"/>
  <c r="AE32" i="9"/>
  <c r="AE31" i="9" s="1"/>
  <c r="F67" i="9"/>
  <c r="F13" i="24" s="1"/>
  <c r="U67" i="9"/>
  <c r="U13" i="24" s="1"/>
  <c r="AT32" i="9"/>
  <c r="AT31" i="9" s="1"/>
  <c r="AV32" i="9"/>
  <c r="W67" i="9"/>
  <c r="W13" i="24" s="1"/>
  <c r="AG32" i="9"/>
  <c r="H67" i="9"/>
  <c r="H13" i="24" s="1"/>
  <c r="K67" i="9"/>
  <c r="K13" i="24" s="1"/>
  <c r="AJ32" i="9"/>
  <c r="AJ31" i="9" s="1"/>
  <c r="AN32" i="9"/>
  <c r="AN31" i="9" s="1"/>
  <c r="O67" i="9"/>
  <c r="O13" i="24" s="1"/>
  <c r="AB249" i="8"/>
  <c r="AB155" i="8"/>
  <c r="AB154" i="8"/>
  <c r="AB167" i="8"/>
  <c r="AB165" i="8"/>
  <c r="AB151" i="8"/>
  <c r="D67" i="9"/>
  <c r="D13" i="24" s="1"/>
  <c r="AC234" i="8"/>
  <c r="AB166" i="8"/>
  <c r="AB218" i="8"/>
  <c r="AB156" i="8"/>
  <c r="AB164" i="8"/>
  <c r="AB149" i="8"/>
  <c r="AB236" i="8"/>
  <c r="AB162" i="8"/>
  <c r="AB163" i="8"/>
  <c r="AC32" i="9"/>
  <c r="AB160" i="8"/>
  <c r="AB234" i="8"/>
  <c r="AB168" i="8"/>
  <c r="AB150" i="8"/>
  <c r="AB153" i="8"/>
  <c r="AB152" i="8"/>
  <c r="AQ32" i="9"/>
  <c r="R67" i="9"/>
  <c r="R13" i="24" s="1"/>
  <c r="AU32" i="9"/>
  <c r="AU31" i="9" s="1"/>
  <c r="V67" i="9"/>
  <c r="V13" i="24" s="1"/>
  <c r="AS32" i="9"/>
  <c r="AS31" i="9" s="1"/>
  <c r="T67" i="9"/>
  <c r="T13" i="24" s="1"/>
  <c r="AP32" i="9"/>
  <c r="AP31" i="9" s="1"/>
  <c r="Q67" i="9"/>
  <c r="Q13" i="24" s="1"/>
  <c r="P67" i="9"/>
  <c r="P13" i="24" s="1"/>
  <c r="AO32" i="9"/>
  <c r="AO31" i="9" s="1"/>
  <c r="E67" i="9"/>
  <c r="E13" i="24" s="1"/>
  <c r="AD32" i="9"/>
  <c r="AD31" i="9" s="1"/>
  <c r="Z208" i="8"/>
  <c r="U53" i="9"/>
  <c r="U11" i="24" s="1"/>
  <c r="AT26" i="9"/>
  <c r="AT25" i="9" s="1"/>
  <c r="S60" i="9"/>
  <c r="S12" i="24" s="1"/>
  <c r="AR29" i="9"/>
  <c r="AR28" i="9" s="1"/>
  <c r="W232" i="8"/>
  <c r="W231" i="8" s="1"/>
  <c r="Q232" i="8"/>
  <c r="AL29" i="9"/>
  <c r="M60" i="9"/>
  <c r="M12" i="24" s="1"/>
  <c r="AK17" i="9"/>
  <c r="AK16" i="9" s="1"/>
  <c r="L31" i="9"/>
  <c r="L8" i="24" s="1"/>
  <c r="P213" i="8"/>
  <c r="P211" i="8"/>
  <c r="P262" i="8"/>
  <c r="P260" i="8" s="1"/>
  <c r="P212" i="8"/>
  <c r="O53" i="9"/>
  <c r="O11" i="24" s="1"/>
  <c r="AN26" i="9"/>
  <c r="AN25" i="9" s="1"/>
  <c r="AH29" i="9"/>
  <c r="AH28" i="9" s="1"/>
  <c r="I60" i="9"/>
  <c r="I12" i="24" s="1"/>
  <c r="M232" i="8"/>
  <c r="M231" i="8" s="1"/>
  <c r="L53" i="9"/>
  <c r="L11" i="24" s="1"/>
  <c r="AK26" i="9"/>
  <c r="AK25" i="9" s="1"/>
  <c r="AG17" i="9"/>
  <c r="H31" i="9"/>
  <c r="H8" i="24" s="1"/>
  <c r="L213" i="8"/>
  <c r="L212" i="8"/>
  <c r="L211" i="8"/>
  <c r="L262" i="8"/>
  <c r="Q53" i="9"/>
  <c r="Q11" i="24" s="1"/>
  <c r="AP26" i="9"/>
  <c r="AP25" i="9" s="1"/>
  <c r="C5" i="9"/>
  <c r="C8" i="9" s="1"/>
  <c r="D161" i="11"/>
  <c r="H24" i="9"/>
  <c r="H7" i="24" s="1"/>
  <c r="AG14" i="9"/>
  <c r="AR14" i="9"/>
  <c r="AR13" i="9" s="1"/>
  <c r="S24" i="9"/>
  <c r="S7" i="24" s="1"/>
  <c r="W39" i="9"/>
  <c r="AV20" i="9"/>
  <c r="AA251" i="8"/>
  <c r="AA193" i="8"/>
  <c r="AA195" i="8"/>
  <c r="AA194" i="8"/>
  <c r="AA192" i="8"/>
  <c r="O31" i="9"/>
  <c r="O8" i="24" s="1"/>
  <c r="AN17" i="9"/>
  <c r="AN16" i="9" s="1"/>
  <c r="S213" i="8"/>
  <c r="S262" i="8"/>
  <c r="S260" i="8" s="1"/>
  <c r="S212" i="8"/>
  <c r="S211" i="8"/>
  <c r="K24" i="9"/>
  <c r="K7" i="24" s="1"/>
  <c r="AJ14" i="9"/>
  <c r="AJ13" i="9" s="1"/>
  <c r="AO20" i="9"/>
  <c r="AO19" i="9" s="1"/>
  <c r="P39" i="9"/>
  <c r="P9" i="24" s="1"/>
  <c r="T193" i="8"/>
  <c r="T251" i="8"/>
  <c r="T250" i="8" s="1"/>
  <c r="T195" i="8"/>
  <c r="T194" i="8"/>
  <c r="T192" i="8"/>
  <c r="AR26" i="9"/>
  <c r="AR25" i="9" s="1"/>
  <c r="S53" i="9"/>
  <c r="S11" i="24" s="1"/>
  <c r="P31" i="9"/>
  <c r="P8" i="24" s="1"/>
  <c r="AO17" i="9"/>
  <c r="AO16" i="9" s="1"/>
  <c r="T213" i="8"/>
  <c r="T262" i="8"/>
  <c r="T260" i="8" s="1"/>
  <c r="T212" i="8"/>
  <c r="T211" i="8"/>
  <c r="M53" i="9"/>
  <c r="M11" i="24" s="1"/>
  <c r="AL26" i="9"/>
  <c r="AV17" i="9"/>
  <c r="W31" i="9"/>
  <c r="W8" i="24" s="1"/>
  <c r="AA212" i="8"/>
  <c r="AA211" i="8"/>
  <c r="AA262" i="8"/>
  <c r="AA213" i="8"/>
  <c r="V39" i="9"/>
  <c r="V9" i="24" s="1"/>
  <c r="AU20" i="9"/>
  <c r="AU19" i="9" s="1"/>
  <c r="Z251" i="8"/>
  <c r="Z250" i="8" s="1"/>
  <c r="Z193" i="8"/>
  <c r="Z194" i="8"/>
  <c r="Z195" i="8"/>
  <c r="Z192" i="8"/>
  <c r="U39" i="9"/>
  <c r="U9" i="24" s="1"/>
  <c r="AT20" i="9"/>
  <c r="AT19" i="9" s="1"/>
  <c r="Y195" i="8"/>
  <c r="Y192" i="8"/>
  <c r="Y251" i="8"/>
  <c r="Y250" i="8" s="1"/>
  <c r="Y193" i="8"/>
  <c r="Y194" i="8"/>
  <c r="D5" i="9"/>
  <c r="E161" i="11"/>
  <c r="AN14" i="9"/>
  <c r="AN13" i="9" s="1"/>
  <c r="O24" i="9"/>
  <c r="O7" i="24" s="1"/>
  <c r="U232" i="8"/>
  <c r="U231" i="8" s="1"/>
  <c r="Q60" i="9"/>
  <c r="Q12" i="24" s="1"/>
  <c r="AP29" i="9"/>
  <c r="AP28" i="9" s="1"/>
  <c r="I39" i="9"/>
  <c r="I9" i="24" s="1"/>
  <c r="AH20" i="9"/>
  <c r="AH19" i="9" s="1"/>
  <c r="M192" i="8"/>
  <c r="M193" i="8"/>
  <c r="M251" i="8"/>
  <c r="M250" i="8" s="1"/>
  <c r="M194" i="8"/>
  <c r="M195" i="8"/>
  <c r="AG20" i="9"/>
  <c r="H39" i="9"/>
  <c r="L192" i="8"/>
  <c r="L195" i="8"/>
  <c r="L193" i="8"/>
  <c r="L194" i="8"/>
  <c r="L251" i="8"/>
  <c r="L24" i="9"/>
  <c r="L7" i="24" s="1"/>
  <c r="AK14" i="9"/>
  <c r="AK13" i="9" s="1"/>
  <c r="AS17" i="9"/>
  <c r="AS16" i="9" s="1"/>
  <c r="T31" i="9"/>
  <c r="T8" i="24" s="1"/>
  <c r="X213" i="8"/>
  <c r="X262" i="8"/>
  <c r="X260" i="8" s="1"/>
  <c r="X211" i="8"/>
  <c r="X212" i="8"/>
  <c r="AM20" i="9"/>
  <c r="AM19" i="9" s="1"/>
  <c r="N39" i="9"/>
  <c r="N9" i="24" s="1"/>
  <c r="R195" i="8"/>
  <c r="R251" i="8"/>
  <c r="R250" i="8" s="1"/>
  <c r="R193" i="8"/>
  <c r="R194" i="8"/>
  <c r="R192" i="8"/>
  <c r="H53" i="9"/>
  <c r="H11" i="24" s="1"/>
  <c r="AG26" i="9"/>
  <c r="J31" i="9"/>
  <c r="J8" i="24" s="1"/>
  <c r="AI17" i="9"/>
  <c r="AI16" i="9" s="1"/>
  <c r="N211" i="8"/>
  <c r="N213" i="8"/>
  <c r="N212" i="8"/>
  <c r="N262" i="8"/>
  <c r="N260" i="8" s="1"/>
  <c r="R24" i="9"/>
  <c r="R7" i="24" s="1"/>
  <c r="AQ14" i="9"/>
  <c r="AO14" i="9"/>
  <c r="AO13" i="9" s="1"/>
  <c r="P24" i="9"/>
  <c r="P7" i="24" s="1"/>
  <c r="AQ29" i="9"/>
  <c r="R60" i="9"/>
  <c r="R12" i="24" s="1"/>
  <c r="V232" i="8"/>
  <c r="AS14" i="9"/>
  <c r="AS13" i="9" s="1"/>
  <c r="T24" i="9"/>
  <c r="T7" i="24" s="1"/>
  <c r="I192" i="8"/>
  <c r="I251" i="8"/>
  <c r="I250" i="8" s="1"/>
  <c r="AD20" i="9"/>
  <c r="AD19" i="9" s="1"/>
  <c r="I193" i="8"/>
  <c r="E39" i="9"/>
  <c r="E9" i="24" s="1"/>
  <c r="I195" i="8"/>
  <c r="I194" i="8"/>
  <c r="AK29" i="9"/>
  <c r="AK28" i="9" s="1"/>
  <c r="L60" i="9"/>
  <c r="L12" i="24" s="1"/>
  <c r="P232" i="8"/>
  <c r="P231" i="8" s="1"/>
  <c r="AT17" i="9"/>
  <c r="AT16" i="9" s="1"/>
  <c r="U31" i="9"/>
  <c r="U8" i="24" s="1"/>
  <c r="Y212" i="8"/>
  <c r="Y211" i="8"/>
  <c r="Y213" i="8"/>
  <c r="Y262" i="8"/>
  <c r="Y260" i="8" s="1"/>
  <c r="AI14" i="9"/>
  <c r="AI13" i="9" s="1"/>
  <c r="J24" i="9"/>
  <c r="J7" i="24" s="1"/>
  <c r="E60" i="9"/>
  <c r="E12" i="24" s="1"/>
  <c r="I232" i="8"/>
  <c r="I231" i="8" s="1"/>
  <c r="AD29" i="9"/>
  <c r="AD28" i="9" s="1"/>
  <c r="N24" i="9"/>
  <c r="N7" i="24" s="1"/>
  <c r="AM14" i="9"/>
  <c r="AM13" i="9" s="1"/>
  <c r="AJ26" i="9"/>
  <c r="AJ25" i="9" s="1"/>
  <c r="K53" i="9"/>
  <c r="K11" i="24" s="1"/>
  <c r="P60" i="9"/>
  <c r="P12" i="24" s="1"/>
  <c r="AO29" i="9"/>
  <c r="AO28" i="9" s="1"/>
  <c r="T232" i="8"/>
  <c r="T231" i="8" s="1"/>
  <c r="M31" i="9"/>
  <c r="M8" i="24" s="1"/>
  <c r="AL17" i="9"/>
  <c r="Q213" i="8"/>
  <c r="Q262" i="8"/>
  <c r="Q211" i="8"/>
  <c r="Q212" i="8"/>
  <c r="AU17" i="9"/>
  <c r="AU16" i="9" s="1"/>
  <c r="V31" i="9"/>
  <c r="V8" i="24" s="1"/>
  <c r="Z211" i="8"/>
  <c r="Z262" i="8"/>
  <c r="Z260" i="8" s="1"/>
  <c r="Z213" i="8"/>
  <c r="Z212" i="8"/>
  <c r="AI20" i="9"/>
  <c r="AI19" i="9" s="1"/>
  <c r="J39" i="9"/>
  <c r="J9" i="24" s="1"/>
  <c r="N251" i="8"/>
  <c r="N250" i="8" s="1"/>
  <c r="N194" i="8"/>
  <c r="N192" i="8"/>
  <c r="N193" i="8"/>
  <c r="N195" i="8"/>
  <c r="AB244" i="8"/>
  <c r="AB73" i="8"/>
  <c r="AB71" i="8"/>
  <c r="AB44" i="8"/>
  <c r="AB52" i="8"/>
  <c r="AB50" i="8"/>
  <c r="AB58" i="8"/>
  <c r="AB51" i="8"/>
  <c r="AB49" i="8"/>
  <c r="AB57" i="8"/>
  <c r="AB59" i="8"/>
  <c r="AB60" i="8"/>
  <c r="AB68" i="8"/>
  <c r="AC11" i="9"/>
  <c r="AB61" i="8"/>
  <c r="AB63" i="8"/>
  <c r="AB67" i="8"/>
  <c r="AB62" i="8"/>
  <c r="AB216" i="8"/>
  <c r="AB43" i="8"/>
  <c r="AB241" i="8"/>
  <c r="AB70" i="8"/>
  <c r="AB46" i="8"/>
  <c r="AB69" i="8"/>
  <c r="AB64" i="8"/>
  <c r="AB72" i="8"/>
  <c r="AB45" i="8"/>
  <c r="D17" i="9"/>
  <c r="D6" i="24" s="1"/>
  <c r="T39" i="9"/>
  <c r="T9" i="24" s="1"/>
  <c r="AS20" i="9"/>
  <c r="AS19" i="9" s="1"/>
  <c r="X193" i="8"/>
  <c r="X251" i="8"/>
  <c r="X250" i="8" s="1"/>
  <c r="X195" i="8"/>
  <c r="X194" i="8"/>
  <c r="X192" i="8"/>
  <c r="N31" i="9"/>
  <c r="N8" i="24" s="1"/>
  <c r="AM17" i="9"/>
  <c r="AM16" i="9" s="1"/>
  <c r="R212" i="8"/>
  <c r="R213" i="8"/>
  <c r="R211" i="8"/>
  <c r="R262" i="8"/>
  <c r="R260" i="8" s="1"/>
  <c r="W247" i="8"/>
  <c r="W245" i="8" s="1"/>
  <c r="I24" i="9"/>
  <c r="I7" i="24" s="1"/>
  <c r="AH14" i="9"/>
  <c r="AH13" i="9" s="1"/>
  <c r="K31" i="9"/>
  <c r="K8" i="24" s="1"/>
  <c r="AJ17" i="9"/>
  <c r="AJ16" i="9" s="1"/>
  <c r="O211" i="8"/>
  <c r="O212" i="8"/>
  <c r="O213" i="8"/>
  <c r="O262" i="8"/>
  <c r="O260" i="8" s="1"/>
  <c r="AO26" i="9"/>
  <c r="AO25" i="9" s="1"/>
  <c r="P53" i="9"/>
  <c r="P11" i="24" s="1"/>
  <c r="AQ20" i="9"/>
  <c r="R39" i="9"/>
  <c r="V195" i="8"/>
  <c r="V193" i="8"/>
  <c r="V194" i="8"/>
  <c r="V192" i="8"/>
  <c r="V251" i="8"/>
  <c r="BC23" i="9"/>
  <c r="BJ24" i="9" s="1"/>
  <c r="AQ22" i="9"/>
  <c r="BC22" i="9" s="1"/>
  <c r="Q31" i="9"/>
  <c r="Q8" i="24" s="1"/>
  <c r="AP17" i="9"/>
  <c r="AP16" i="9" s="1"/>
  <c r="U211" i="8"/>
  <c r="U262" i="8"/>
  <c r="U260" i="8" s="1"/>
  <c r="U212" i="8"/>
  <c r="U213" i="8"/>
  <c r="S31" i="9"/>
  <c r="S8" i="24" s="1"/>
  <c r="AR17" i="9"/>
  <c r="AR16" i="9" s="1"/>
  <c r="W213" i="8"/>
  <c r="W211" i="8"/>
  <c r="W212" i="8"/>
  <c r="W262" i="8"/>
  <c r="W260" i="8" s="1"/>
  <c r="AD17" i="9"/>
  <c r="AD16" i="9" s="1"/>
  <c r="E31" i="9"/>
  <c r="E8" i="24" s="1"/>
  <c r="I262" i="8"/>
  <c r="I260" i="8" s="1"/>
  <c r="I212" i="8"/>
  <c r="I211" i="8"/>
  <c r="I213" i="8"/>
  <c r="S232" i="8"/>
  <c r="S231" i="8" s="1"/>
  <c r="O60" i="9"/>
  <c r="O12" i="24" s="1"/>
  <c r="AN29" i="9"/>
  <c r="AN28" i="9" s="1"/>
  <c r="T60" i="9"/>
  <c r="T12" i="24" s="1"/>
  <c r="AS29" i="9"/>
  <c r="AS28" i="9" s="1"/>
  <c r="X232" i="8"/>
  <c r="X231" i="8" s="1"/>
  <c r="AM26" i="9"/>
  <c r="AM25" i="9" s="1"/>
  <c r="N53" i="9"/>
  <c r="N11" i="24" s="1"/>
  <c r="R31" i="9"/>
  <c r="R8" i="24" s="1"/>
  <c r="AQ17" i="9"/>
  <c r="V211" i="8"/>
  <c r="V262" i="8"/>
  <c r="V213" i="8"/>
  <c r="V212" i="8"/>
  <c r="V53" i="9"/>
  <c r="V11" i="24" s="1"/>
  <c r="AU26" i="9"/>
  <c r="AU25" i="9" s="1"/>
  <c r="K60" i="9"/>
  <c r="K12" i="24" s="1"/>
  <c r="AJ29" i="9"/>
  <c r="AJ28" i="9" s="1"/>
  <c r="O232" i="8"/>
  <c r="O231" i="8" s="1"/>
  <c r="L232" i="8"/>
  <c r="H60" i="9"/>
  <c r="H12" i="24" s="1"/>
  <c r="AG29" i="9"/>
  <c r="W24" i="9"/>
  <c r="W7" i="24" s="1"/>
  <c r="AV14" i="9"/>
  <c r="AH17" i="9"/>
  <c r="AH16" i="9" s="1"/>
  <c r="I31" i="9"/>
  <c r="I8" i="24" s="1"/>
  <c r="M213" i="8"/>
  <c r="M262" i="8"/>
  <c r="M260" i="8" s="1"/>
  <c r="M211" i="8"/>
  <c r="M212" i="8"/>
  <c r="V60" i="9"/>
  <c r="V12" i="24" s="1"/>
  <c r="AU29" i="9"/>
  <c r="AU28" i="9" s="1"/>
  <c r="Z232" i="8"/>
  <c r="Z231" i="8" s="1"/>
  <c r="V24" i="9"/>
  <c r="V7" i="24" s="1"/>
  <c r="AU14" i="9"/>
  <c r="AU13" i="9" s="1"/>
  <c r="AJ20" i="9"/>
  <c r="AJ19" i="9" s="1"/>
  <c r="K39" i="9"/>
  <c r="K9" i="24" s="1"/>
  <c r="O193" i="8"/>
  <c r="O195" i="8"/>
  <c r="O251" i="8"/>
  <c r="O250" i="8" s="1"/>
  <c r="O194" i="8"/>
  <c r="O192" i="8"/>
  <c r="J210" i="8"/>
  <c r="K210" i="8"/>
  <c r="K247" i="8"/>
  <c r="K245" i="8" s="1"/>
  <c r="J247" i="8"/>
  <c r="J245" i="8" s="1"/>
  <c r="J259" i="8"/>
  <c r="J258" i="8" s="1"/>
  <c r="J257" i="8"/>
  <c r="J255" i="8" s="1"/>
  <c r="J254" i="8"/>
  <c r="J209" i="8"/>
  <c r="J208" i="8"/>
  <c r="K208" i="8"/>
  <c r="K259" i="8"/>
  <c r="K258" i="8" s="1"/>
  <c r="K209" i="8"/>
  <c r="K254" i="8"/>
  <c r="K257" i="8"/>
  <c r="K255" i="8" s="1"/>
  <c r="G24" i="9"/>
  <c r="G7" i="24" s="1"/>
  <c r="AF14" i="9"/>
  <c r="AF13" i="9" s="1"/>
  <c r="AF26" i="9"/>
  <c r="AF25" i="9" s="1"/>
  <c r="G53" i="9"/>
  <c r="G11" i="24" s="1"/>
  <c r="AE26" i="9"/>
  <c r="AE25" i="9" s="1"/>
  <c r="F53" i="9"/>
  <c r="F11" i="24" s="1"/>
  <c r="F24" i="9"/>
  <c r="F7" i="24" s="1"/>
  <c r="AE14" i="9"/>
  <c r="AE13" i="9" s="1"/>
  <c r="AC6" i="9"/>
  <c r="AC4" i="9" s="1"/>
  <c r="AZ4" i="9" s="1"/>
  <c r="D83" i="9"/>
  <c r="D14" i="24"/>
  <c r="AZ36" i="9"/>
  <c r="AC34" i="9"/>
  <c r="AZ34" i="9" s="1"/>
  <c r="W220" i="8" l="1"/>
  <c r="L220" i="8"/>
  <c r="I220" i="8"/>
  <c r="G220" i="10" s="1"/>
  <c r="M215" i="8"/>
  <c r="N220" i="8"/>
  <c r="P220" i="8"/>
  <c r="T220" i="8"/>
  <c r="X220" i="8"/>
  <c r="Z220" i="8"/>
  <c r="S220" i="8"/>
  <c r="AA220" i="8"/>
  <c r="J220" i="8"/>
  <c r="H220" i="10" s="1"/>
  <c r="K220" i="8"/>
  <c r="I220" i="10" s="1"/>
  <c r="V220" i="8"/>
  <c r="O220" i="8"/>
  <c r="Q220" i="8"/>
  <c r="Y220" i="8"/>
  <c r="M220" i="8"/>
  <c r="V173" i="8"/>
  <c r="I173" i="10" s="1"/>
  <c r="L174" i="8"/>
  <c r="G174" i="10" s="1"/>
  <c r="AG68" i="10" s="1"/>
  <c r="I175" i="8"/>
  <c r="I224" i="10"/>
  <c r="AI71" i="10" s="1"/>
  <c r="J108" i="10"/>
  <c r="I228" i="10"/>
  <c r="AI73" i="10" s="1"/>
  <c r="AA260" i="8"/>
  <c r="J259" i="10"/>
  <c r="J258" i="10" s="1"/>
  <c r="J257" i="10"/>
  <c r="J255" i="10" s="1"/>
  <c r="H134" i="10"/>
  <c r="AH37" i="10" s="1"/>
  <c r="I124" i="10"/>
  <c r="G124" i="10"/>
  <c r="G141" i="10"/>
  <c r="I88" i="10"/>
  <c r="I99" i="10"/>
  <c r="AI27" i="10" s="1"/>
  <c r="I101" i="10"/>
  <c r="I79" i="10"/>
  <c r="AI19" i="10" s="1"/>
  <c r="I194" i="10"/>
  <c r="Q260" i="8"/>
  <c r="G257" i="10"/>
  <c r="G255" i="10" s="1"/>
  <c r="G254" i="10"/>
  <c r="J133" i="10"/>
  <c r="I257" i="10"/>
  <c r="I255" i="10" s="1"/>
  <c r="H125" i="10"/>
  <c r="H129" i="10"/>
  <c r="H124" i="10"/>
  <c r="H139" i="10"/>
  <c r="AH39" i="10" s="1"/>
  <c r="I130" i="10"/>
  <c r="I127" i="10"/>
  <c r="I135" i="10"/>
  <c r="I138" i="10"/>
  <c r="I136" i="10"/>
  <c r="AI38" i="10" s="1"/>
  <c r="H185" i="10"/>
  <c r="G134" i="10"/>
  <c r="AG37" i="10" s="1"/>
  <c r="G129" i="10"/>
  <c r="G126" i="10"/>
  <c r="G127" i="10"/>
  <c r="G138" i="10"/>
  <c r="I86" i="10"/>
  <c r="I119" i="10"/>
  <c r="I91" i="10"/>
  <c r="I82" i="10"/>
  <c r="I90" i="10"/>
  <c r="I85" i="10"/>
  <c r="AI24" i="10" s="1"/>
  <c r="I112" i="10"/>
  <c r="AI32" i="10" s="1"/>
  <c r="J225" i="10"/>
  <c r="I219" i="10"/>
  <c r="H219" i="10"/>
  <c r="G253" i="10"/>
  <c r="G252" i="10" s="1"/>
  <c r="J194" i="10"/>
  <c r="H138" i="10"/>
  <c r="H131" i="10"/>
  <c r="I134" i="10"/>
  <c r="AI37" i="10" s="1"/>
  <c r="I137" i="10"/>
  <c r="G123" i="10"/>
  <c r="AG35" i="10" s="1"/>
  <c r="G136" i="10"/>
  <c r="AG38" i="10" s="1"/>
  <c r="I113" i="10"/>
  <c r="I104" i="10"/>
  <c r="G219" i="10"/>
  <c r="I114" i="10"/>
  <c r="AI33" i="10" s="1"/>
  <c r="V260" i="8"/>
  <c r="G194" i="10"/>
  <c r="J78" i="10"/>
  <c r="G247" i="10"/>
  <c r="G245" i="10" s="1"/>
  <c r="G230" i="10"/>
  <c r="G229" i="10"/>
  <c r="J246" i="10"/>
  <c r="H126" i="10"/>
  <c r="H123" i="10"/>
  <c r="AH35" i="10" s="1"/>
  <c r="H128" i="10"/>
  <c r="AH36" i="10" s="1"/>
  <c r="H127" i="10"/>
  <c r="I131" i="10"/>
  <c r="I125" i="10"/>
  <c r="I142" i="10"/>
  <c r="I141" i="10"/>
  <c r="H55" i="10"/>
  <c r="H175" i="10"/>
  <c r="G135" i="10"/>
  <c r="G130" i="10"/>
  <c r="G142" i="10"/>
  <c r="G137" i="10"/>
  <c r="J209" i="10"/>
  <c r="I208" i="10"/>
  <c r="I92" i="10"/>
  <c r="I103" i="10"/>
  <c r="I110" i="10"/>
  <c r="I80" i="10"/>
  <c r="I81" i="10"/>
  <c r="AI22" i="10" s="1"/>
  <c r="I106" i="10"/>
  <c r="I100" i="10"/>
  <c r="J229" i="10"/>
  <c r="J228" i="10" s="1"/>
  <c r="AJ73" i="10" s="1"/>
  <c r="J220" i="10"/>
  <c r="J219" i="10"/>
  <c r="I118" i="10"/>
  <c r="J253" i="10"/>
  <c r="I253" i="10"/>
  <c r="G259" i="10"/>
  <c r="G258" i="10" s="1"/>
  <c r="I89" i="10"/>
  <c r="G208" i="10"/>
  <c r="Q245" i="8"/>
  <c r="H135" i="10"/>
  <c r="H142" i="10"/>
  <c r="I139" i="10"/>
  <c r="AI39" i="10" s="1"/>
  <c r="H53" i="10"/>
  <c r="G131" i="10"/>
  <c r="I246" i="10"/>
  <c r="I83" i="10"/>
  <c r="AI23" i="10" s="1"/>
  <c r="I94" i="10"/>
  <c r="AI26" i="10" s="1"/>
  <c r="J226" i="10"/>
  <c r="AJ72" i="10" s="1"/>
  <c r="L260" i="8"/>
  <c r="J254" i="10"/>
  <c r="H130" i="10"/>
  <c r="H141" i="10"/>
  <c r="H136" i="10"/>
  <c r="AH38" i="10" s="1"/>
  <c r="H137" i="10"/>
  <c r="H140" i="10"/>
  <c r="I123" i="10"/>
  <c r="AI35" i="10" s="1"/>
  <c r="I126" i="10"/>
  <c r="I128" i="10"/>
  <c r="AI36" i="10" s="1"/>
  <c r="I140" i="10"/>
  <c r="H54" i="10"/>
  <c r="H186" i="10"/>
  <c r="G128" i="10"/>
  <c r="AG36" i="10" s="1"/>
  <c r="G125" i="10"/>
  <c r="G140" i="10"/>
  <c r="G139" i="10"/>
  <c r="AG39" i="10" s="1"/>
  <c r="I254" i="10"/>
  <c r="H256" i="10"/>
  <c r="I109" i="10"/>
  <c r="AI30" i="10" s="1"/>
  <c r="I87" i="10"/>
  <c r="AI25" i="10" s="1"/>
  <c r="I117" i="10"/>
  <c r="I84" i="10"/>
  <c r="I98" i="10"/>
  <c r="I102" i="10"/>
  <c r="I111" i="10"/>
  <c r="J227" i="10"/>
  <c r="V258" i="8"/>
  <c r="W207" i="8"/>
  <c r="Y245" i="8"/>
  <c r="AA232" i="8"/>
  <c r="I186" i="8"/>
  <c r="K228" i="8"/>
  <c r="U245" i="8"/>
  <c r="Z245" i="8"/>
  <c r="J53" i="9"/>
  <c r="J11" i="24" s="1"/>
  <c r="N246" i="8"/>
  <c r="L245" i="8"/>
  <c r="AL14" i="9"/>
  <c r="I259" i="10"/>
  <c r="I258" i="10" s="1"/>
  <c r="L54" i="8"/>
  <c r="I207" i="8"/>
  <c r="K224" i="8"/>
  <c r="P252" i="8"/>
  <c r="V255" i="8"/>
  <c r="AA255" i="8"/>
  <c r="L255" i="8"/>
  <c r="L258" i="8"/>
  <c r="W252" i="8"/>
  <c r="T252" i="8"/>
  <c r="K252" i="8"/>
  <c r="X252" i="8"/>
  <c r="Q209" i="8"/>
  <c r="Q253" i="8"/>
  <c r="AA252" i="8"/>
  <c r="M252" i="8"/>
  <c r="U253" i="8"/>
  <c r="Y208" i="8"/>
  <c r="Y253" i="8"/>
  <c r="O252" i="8"/>
  <c r="S252" i="8"/>
  <c r="J252" i="8"/>
  <c r="N252" i="8"/>
  <c r="Z252" i="8"/>
  <c r="I252" i="8"/>
  <c r="R252" i="8"/>
  <c r="V252" i="8"/>
  <c r="L252" i="8"/>
  <c r="AK11" i="9"/>
  <c r="AK10" i="9" s="1"/>
  <c r="P243" i="8"/>
  <c r="AH11" i="9"/>
  <c r="AH10" i="9" s="1"/>
  <c r="M243" i="8"/>
  <c r="BD23" i="9"/>
  <c r="BK24" i="9" s="1"/>
  <c r="AA224" i="8"/>
  <c r="R125" i="8"/>
  <c r="R133" i="8"/>
  <c r="T141" i="8"/>
  <c r="T133" i="8"/>
  <c r="K129" i="8"/>
  <c r="K133" i="8"/>
  <c r="W60" i="9"/>
  <c r="W12" i="24" s="1"/>
  <c r="Q257" i="8"/>
  <c r="AA228" i="8"/>
  <c r="K141" i="8"/>
  <c r="M24" i="9"/>
  <c r="M7" i="24" s="1"/>
  <c r="Q254" i="8"/>
  <c r="L175" i="8"/>
  <c r="K125" i="8"/>
  <c r="W194" i="8"/>
  <c r="R123" i="8"/>
  <c r="S224" i="8"/>
  <c r="S228" i="8"/>
  <c r="R131" i="8"/>
  <c r="R139" i="8"/>
  <c r="AR20" i="9"/>
  <c r="AR19" i="9" s="1"/>
  <c r="R141" i="8"/>
  <c r="R137" i="8"/>
  <c r="AS26" i="9"/>
  <c r="AS25" i="9" s="1"/>
  <c r="M224" i="8"/>
  <c r="T130" i="8"/>
  <c r="Q194" i="8"/>
  <c r="V108" i="8"/>
  <c r="T122" i="8"/>
  <c r="M207" i="8"/>
  <c r="Q39" i="9"/>
  <c r="Q9" i="24" s="1"/>
  <c r="AL20" i="9"/>
  <c r="BB20" i="9" s="1"/>
  <c r="BI23" i="9" s="1"/>
  <c r="T128" i="8"/>
  <c r="T129" i="8"/>
  <c r="T139" i="8"/>
  <c r="V78" i="8"/>
  <c r="P251" i="8"/>
  <c r="P250" i="8" s="1"/>
  <c r="V54" i="8"/>
  <c r="W108" i="8"/>
  <c r="Y108" i="8"/>
  <c r="Y78" i="8"/>
  <c r="W161" i="11"/>
  <c r="W251" i="8"/>
  <c r="W250" i="8" s="1"/>
  <c r="S39" i="9"/>
  <c r="S9" i="24" s="1"/>
  <c r="R128" i="8"/>
  <c r="R122" i="8"/>
  <c r="R142" i="8"/>
  <c r="R138" i="8"/>
  <c r="R134" i="8"/>
  <c r="T125" i="8"/>
  <c r="T135" i="8"/>
  <c r="T136" i="8"/>
  <c r="T142" i="8"/>
  <c r="I17" i="9"/>
  <c r="I6" i="24" s="1"/>
  <c r="W193" i="8"/>
  <c r="R126" i="8"/>
  <c r="R135" i="8"/>
  <c r="R140" i="8"/>
  <c r="R136" i="8"/>
  <c r="T124" i="8"/>
  <c r="T134" i="8"/>
  <c r="T127" i="8"/>
  <c r="T126" i="8"/>
  <c r="T138" i="8"/>
  <c r="W195" i="8"/>
  <c r="R130" i="8"/>
  <c r="R127" i="8"/>
  <c r="R124" i="8"/>
  <c r="R129" i="8"/>
  <c r="T140" i="8"/>
  <c r="T131" i="8"/>
  <c r="T123" i="8"/>
  <c r="T137" i="8"/>
  <c r="V176" i="8"/>
  <c r="U60" i="9"/>
  <c r="U12" i="24" s="1"/>
  <c r="V185" i="8"/>
  <c r="V181" i="8"/>
  <c r="W78" i="8"/>
  <c r="P194" i="8"/>
  <c r="P192" i="8"/>
  <c r="S193" i="8"/>
  <c r="V53" i="8"/>
  <c r="V175" i="8"/>
  <c r="V184" i="8"/>
  <c r="V180" i="8"/>
  <c r="P193" i="8"/>
  <c r="L39" i="9"/>
  <c r="L9" i="24" s="1"/>
  <c r="AN20" i="9"/>
  <c r="AN19" i="9" s="1"/>
  <c r="V55" i="8"/>
  <c r="V183" i="8"/>
  <c r="V179" i="8"/>
  <c r="V174" i="8"/>
  <c r="P195" i="8"/>
  <c r="V186" i="8"/>
  <c r="V182" i="8"/>
  <c r="V178" i="8"/>
  <c r="I121" i="8"/>
  <c r="S78" i="8"/>
  <c r="T108" i="8"/>
  <c r="N78" i="8"/>
  <c r="O108" i="8"/>
  <c r="O78" i="8"/>
  <c r="S108" i="8"/>
  <c r="U194" i="8"/>
  <c r="Q208" i="8"/>
  <c r="Q259" i="8"/>
  <c r="I53" i="8"/>
  <c r="L180" i="8"/>
  <c r="K140" i="8"/>
  <c r="X247" i="8"/>
  <c r="X245" i="8" s="1"/>
  <c r="I181" i="8"/>
  <c r="K138" i="8"/>
  <c r="U24" i="9"/>
  <c r="U7" i="24" s="1"/>
  <c r="T53" i="9"/>
  <c r="T11" i="24" s="1"/>
  <c r="AM29" i="9"/>
  <c r="AM28" i="9" s="1"/>
  <c r="N232" i="8"/>
  <c r="N231" i="8" s="1"/>
  <c r="Y254" i="8"/>
  <c r="I176" i="8"/>
  <c r="L184" i="8"/>
  <c r="K139" i="8"/>
  <c r="L173" i="8"/>
  <c r="L186" i="8"/>
  <c r="L182" i="8"/>
  <c r="L178" i="8"/>
  <c r="U257" i="8"/>
  <c r="U255" i="8" s="1"/>
  <c r="L55" i="8"/>
  <c r="L185" i="8"/>
  <c r="L181" i="8"/>
  <c r="L176" i="8"/>
  <c r="Q24" i="9"/>
  <c r="Q7" i="24" s="1"/>
  <c r="L53" i="8"/>
  <c r="L183" i="8"/>
  <c r="L179" i="8"/>
  <c r="AT14" i="9"/>
  <c r="AT13" i="9" s="1"/>
  <c r="Y257" i="8"/>
  <c r="Y255" i="8" s="1"/>
  <c r="T207" i="8"/>
  <c r="K127" i="8"/>
  <c r="K136" i="8"/>
  <c r="K130" i="8"/>
  <c r="K135" i="8"/>
  <c r="K142" i="8"/>
  <c r="Y259" i="8"/>
  <c r="Y258" i="8" s="1"/>
  <c r="N161" i="11"/>
  <c r="Y209" i="8"/>
  <c r="K128" i="8"/>
  <c r="K124" i="8"/>
  <c r="K137" i="8"/>
  <c r="K122" i="8"/>
  <c r="J224" i="8"/>
  <c r="K134" i="8"/>
  <c r="K123" i="8"/>
  <c r="K131" i="8"/>
  <c r="K126" i="8"/>
  <c r="P224" i="8"/>
  <c r="I108" i="8"/>
  <c r="N108" i="8"/>
  <c r="I78" i="8"/>
  <c r="T78" i="8"/>
  <c r="R53" i="9"/>
  <c r="R11" i="24" s="1"/>
  <c r="J60" i="9"/>
  <c r="J12" i="24" s="1"/>
  <c r="BA23" i="9"/>
  <c r="BH24" i="9" s="1"/>
  <c r="I54" i="8"/>
  <c r="I184" i="8"/>
  <c r="I183" i="8"/>
  <c r="I179" i="8"/>
  <c r="I174" i="8"/>
  <c r="I182" i="8"/>
  <c r="I178" i="8"/>
  <c r="I173" i="8"/>
  <c r="I55" i="8"/>
  <c r="I185" i="8"/>
  <c r="I180" i="8"/>
  <c r="X78" i="8"/>
  <c r="V247" i="8"/>
  <c r="AQ26" i="9"/>
  <c r="BC26" i="9" s="1"/>
  <c r="AT29" i="9"/>
  <c r="AT28" i="9" s="1"/>
  <c r="L17" i="9"/>
  <c r="L6" i="24" s="1"/>
  <c r="R108" i="8"/>
  <c r="AA207" i="8"/>
  <c r="J208" i="10"/>
  <c r="Q192" i="8"/>
  <c r="Q251" i="8"/>
  <c r="U254" i="8"/>
  <c r="U208" i="8"/>
  <c r="U259" i="8"/>
  <c r="U258" i="8" s="1"/>
  <c r="Q193" i="8"/>
  <c r="M39" i="9"/>
  <c r="M9" i="24" s="1"/>
  <c r="AP14" i="9"/>
  <c r="AP13" i="9" s="1"/>
  <c r="BB23" i="9"/>
  <c r="BI24" i="9" s="1"/>
  <c r="P228" i="8"/>
  <c r="C161" i="11"/>
  <c r="H226" i="10"/>
  <c r="AH72" i="10" s="1"/>
  <c r="U209" i="8"/>
  <c r="K172" i="8"/>
  <c r="X108" i="8"/>
  <c r="R78" i="8"/>
  <c r="U161" i="11"/>
  <c r="S161" i="11"/>
  <c r="F161" i="11"/>
  <c r="S251" i="8"/>
  <c r="S250" i="8" s="1"/>
  <c r="O39" i="9"/>
  <c r="O9" i="24" s="1"/>
  <c r="N60" i="9"/>
  <c r="N12" i="24" s="1"/>
  <c r="I209" i="10"/>
  <c r="V207" i="8"/>
  <c r="AI26" i="9"/>
  <c r="AI25" i="9" s="1"/>
  <c r="S192" i="8"/>
  <c r="R232" i="8"/>
  <c r="R231" i="8" s="1"/>
  <c r="R5" i="9"/>
  <c r="R7" i="9" s="1"/>
  <c r="O207" i="8"/>
  <c r="S195" i="8"/>
  <c r="X207" i="8"/>
  <c r="AA182" i="8"/>
  <c r="AA183" i="8"/>
  <c r="AA184" i="8"/>
  <c r="AA186" i="8"/>
  <c r="AA176" i="8"/>
  <c r="AA173" i="8"/>
  <c r="AA174" i="8"/>
  <c r="AA175" i="8"/>
  <c r="AA181" i="8"/>
  <c r="AA185" i="8"/>
  <c r="AA178" i="8"/>
  <c r="AA179" i="8"/>
  <c r="AA180" i="8"/>
  <c r="AA54" i="8"/>
  <c r="AA53" i="8"/>
  <c r="AA55" i="8"/>
  <c r="AA141" i="8"/>
  <c r="AA142" i="8"/>
  <c r="AA136" i="8"/>
  <c r="AA140" i="8"/>
  <c r="AA129" i="8"/>
  <c r="AA122" i="8"/>
  <c r="AA137" i="8"/>
  <c r="AA138" i="8"/>
  <c r="AA135" i="8"/>
  <c r="AA126" i="8"/>
  <c r="AA139" i="8"/>
  <c r="AA130" i="8"/>
  <c r="AA131" i="8"/>
  <c r="AA124" i="8"/>
  <c r="AA125" i="8"/>
  <c r="AA123" i="8"/>
  <c r="AA128" i="8"/>
  <c r="AA127" i="8"/>
  <c r="AA134" i="8"/>
  <c r="W61" i="8"/>
  <c r="W43" i="8"/>
  <c r="W58" i="8"/>
  <c r="W69" i="8"/>
  <c r="W67" i="8"/>
  <c r="W62" i="8"/>
  <c r="W44" i="8"/>
  <c r="W73" i="8"/>
  <c r="W71" i="8"/>
  <c r="W52" i="8"/>
  <c r="W68" i="8"/>
  <c r="W49" i="8"/>
  <c r="W59" i="8"/>
  <c r="W57" i="8"/>
  <c r="W72" i="8"/>
  <c r="W63" i="8"/>
  <c r="W60" i="8"/>
  <c r="W64" i="8"/>
  <c r="W46" i="8"/>
  <c r="W50" i="8"/>
  <c r="W70" i="8"/>
  <c r="W51" i="8"/>
  <c r="W45" i="8"/>
  <c r="S136" i="8"/>
  <c r="S140" i="8"/>
  <c r="S137" i="8"/>
  <c r="S141" i="8"/>
  <c r="S142" i="8"/>
  <c r="S139" i="8"/>
  <c r="S130" i="8"/>
  <c r="S125" i="8"/>
  <c r="S138" i="8"/>
  <c r="S129" i="8"/>
  <c r="S122" i="8"/>
  <c r="S123" i="8"/>
  <c r="S128" i="8"/>
  <c r="S135" i="8"/>
  <c r="S127" i="8"/>
  <c r="S134" i="8"/>
  <c r="S131" i="8"/>
  <c r="S126" i="8"/>
  <c r="S124" i="8"/>
  <c r="J176" i="8"/>
  <c r="J178" i="8"/>
  <c r="J179" i="8"/>
  <c r="J184" i="8"/>
  <c r="J181" i="8"/>
  <c r="J182" i="8"/>
  <c r="J183" i="8"/>
  <c r="J185" i="8"/>
  <c r="J186" i="8"/>
  <c r="J175" i="8"/>
  <c r="J180" i="8"/>
  <c r="J173" i="8"/>
  <c r="J174" i="8"/>
  <c r="J53" i="8"/>
  <c r="J55" i="8"/>
  <c r="J54" i="8"/>
  <c r="Q63" i="8"/>
  <c r="Q45" i="8"/>
  <c r="Q60" i="8"/>
  <c r="Q71" i="8"/>
  <c r="Q52" i="8"/>
  <c r="Q69" i="8"/>
  <c r="Q50" i="8"/>
  <c r="Q64" i="8"/>
  <c r="Q46" i="8"/>
  <c r="Q57" i="8"/>
  <c r="Q73" i="8"/>
  <c r="Q70" i="8"/>
  <c r="Q51" i="8"/>
  <c r="Q61" i="8"/>
  <c r="Q59" i="8"/>
  <c r="Q67" i="8"/>
  <c r="H47" i="10"/>
  <c r="Q43" i="8"/>
  <c r="Q62" i="8"/>
  <c r="Q44" i="8"/>
  <c r="Q68" i="8"/>
  <c r="Q49" i="8"/>
  <c r="Q72" i="8"/>
  <c r="Q58" i="8"/>
  <c r="X183" i="8"/>
  <c r="X184" i="8"/>
  <c r="X185" i="8"/>
  <c r="X173" i="8"/>
  <c r="X178" i="8"/>
  <c r="X174" i="8"/>
  <c r="X175" i="8"/>
  <c r="X176" i="8"/>
  <c r="X182" i="8"/>
  <c r="X186" i="8"/>
  <c r="X179" i="8"/>
  <c r="X180" i="8"/>
  <c r="X181" i="8"/>
  <c r="X55" i="8"/>
  <c r="X53" i="8"/>
  <c r="X54" i="8"/>
  <c r="S207" i="8"/>
  <c r="G102" i="10"/>
  <c r="U224" i="8"/>
  <c r="H247" i="10"/>
  <c r="H245" i="10" s="1"/>
  <c r="AA258" i="8"/>
  <c r="V161" i="11"/>
  <c r="M247" i="8"/>
  <c r="M245" i="8" s="1"/>
  <c r="U108" i="8"/>
  <c r="L161" i="11"/>
  <c r="G209" i="10"/>
  <c r="Z121" i="8"/>
  <c r="G161" i="11"/>
  <c r="U251" i="8"/>
  <c r="U250" i="8" s="1"/>
  <c r="U192" i="8"/>
  <c r="K5" i="9"/>
  <c r="K75" i="9" s="1"/>
  <c r="T161" i="11"/>
  <c r="U193" i="8"/>
  <c r="AP20" i="9"/>
  <c r="AP19" i="9" s="1"/>
  <c r="AV26" i="9"/>
  <c r="BD26" i="9" s="1"/>
  <c r="U78" i="8"/>
  <c r="U228" i="8"/>
  <c r="W53" i="9"/>
  <c r="W11" i="24" s="1"/>
  <c r="AA247" i="8"/>
  <c r="Z228" i="8"/>
  <c r="Z224" i="8"/>
  <c r="G227" i="10"/>
  <c r="Q121" i="8"/>
  <c r="H102" i="10"/>
  <c r="H122" i="10"/>
  <c r="I14" i="9"/>
  <c r="G79" i="10"/>
  <c r="AG19" i="10" s="1"/>
  <c r="L228" i="8"/>
  <c r="Z108" i="8"/>
  <c r="U121" i="8"/>
  <c r="I122" i="10"/>
  <c r="G122" i="10"/>
  <c r="X121" i="8"/>
  <c r="Q161" i="11"/>
  <c r="G108" i="10"/>
  <c r="O161" i="11"/>
  <c r="AH26" i="9"/>
  <c r="AH25" i="9" s="1"/>
  <c r="P121" i="8"/>
  <c r="H161" i="11"/>
  <c r="P161" i="11"/>
  <c r="V121" i="8"/>
  <c r="Y121" i="8"/>
  <c r="I53" i="9"/>
  <c r="I11" i="24" s="1"/>
  <c r="R161" i="11"/>
  <c r="X161" i="11"/>
  <c r="J161" i="11"/>
  <c r="AA127" i="11"/>
  <c r="I161" i="11"/>
  <c r="H227" i="10"/>
  <c r="I129" i="10"/>
  <c r="R207" i="8"/>
  <c r="H103" i="10"/>
  <c r="H80" i="10"/>
  <c r="Z78" i="8"/>
  <c r="P78" i="8"/>
  <c r="P108" i="8"/>
  <c r="G226" i="10"/>
  <c r="AG72" i="10" s="1"/>
  <c r="L78" i="8"/>
  <c r="N247" i="8"/>
  <c r="M15" i="9"/>
  <c r="Q215" i="8" s="1"/>
  <c r="L108" i="8"/>
  <c r="L224" i="8"/>
  <c r="P207" i="8"/>
  <c r="L14" i="9"/>
  <c r="H109" i="10"/>
  <c r="Q108" i="8"/>
  <c r="K161" i="11"/>
  <c r="M161" i="11"/>
  <c r="S15" i="9"/>
  <c r="W215" i="8" s="1"/>
  <c r="H79" i="10"/>
  <c r="Q78" i="8"/>
  <c r="H230" i="10"/>
  <c r="H228" i="10" s="1"/>
  <c r="AH73" i="10" s="1"/>
  <c r="Q228" i="8"/>
  <c r="BI6" i="9"/>
  <c r="Q224" i="8"/>
  <c r="H225" i="10"/>
  <c r="H81" i="10"/>
  <c r="AH22" i="10" s="1"/>
  <c r="L121" i="8"/>
  <c r="R14" i="9"/>
  <c r="BJ6" i="9"/>
  <c r="R15" i="9"/>
  <c r="V215" i="8" s="1"/>
  <c r="K15" i="9"/>
  <c r="K14" i="9"/>
  <c r="U14" i="9"/>
  <c r="U15" i="9"/>
  <c r="V15" i="9"/>
  <c r="Z215" i="8" s="1"/>
  <c r="V14" i="9"/>
  <c r="N15" i="9"/>
  <c r="R215" i="8" s="1"/>
  <c r="N14" i="9"/>
  <c r="BH6" i="9"/>
  <c r="H14" i="9"/>
  <c r="H15" i="9"/>
  <c r="L215" i="8" s="1"/>
  <c r="O14" i="9"/>
  <c r="O15" i="9"/>
  <c r="S215" i="8" s="1"/>
  <c r="P15" i="9"/>
  <c r="T215" i="8" s="1"/>
  <c r="P14" i="9"/>
  <c r="W14" i="9"/>
  <c r="BK6" i="9"/>
  <c r="W15" i="9"/>
  <c r="AA215" i="8" s="1"/>
  <c r="J15" i="9"/>
  <c r="J14" i="9"/>
  <c r="F15" i="9"/>
  <c r="J215" i="8" s="1"/>
  <c r="F14" i="9"/>
  <c r="Q15" i="9"/>
  <c r="Q14" i="9"/>
  <c r="G14" i="9"/>
  <c r="G15" i="9"/>
  <c r="K215" i="8" s="1"/>
  <c r="E15" i="9"/>
  <c r="E14" i="9"/>
  <c r="T15" i="9"/>
  <c r="T14" i="9"/>
  <c r="L207" i="8"/>
  <c r="Z207" i="8"/>
  <c r="O121" i="8"/>
  <c r="K193" i="8"/>
  <c r="K192" i="8"/>
  <c r="AF20" i="9"/>
  <c r="AF19" i="9" s="1"/>
  <c r="K194" i="8"/>
  <c r="G39" i="9"/>
  <c r="G9" i="24" s="1"/>
  <c r="K251" i="8"/>
  <c r="K250" i="8" s="1"/>
  <c r="K195" i="8"/>
  <c r="W121" i="8"/>
  <c r="AE29" i="9"/>
  <c r="AE28" i="9" s="1"/>
  <c r="J232" i="8"/>
  <c r="J231" i="8" s="1"/>
  <c r="F60" i="9"/>
  <c r="F12" i="24" s="1"/>
  <c r="J192" i="8"/>
  <c r="J251" i="8"/>
  <c r="J250" i="8" s="1"/>
  <c r="J193" i="8"/>
  <c r="F39" i="9"/>
  <c r="F9" i="24" s="1"/>
  <c r="J194" i="8"/>
  <c r="AE20" i="9"/>
  <c r="AE19" i="9" s="1"/>
  <c r="J195" i="8"/>
  <c r="N207" i="8"/>
  <c r="X210" i="8"/>
  <c r="AL31" i="9"/>
  <c r="BB31" i="9" s="1"/>
  <c r="BB32" i="9"/>
  <c r="BI27" i="9" s="1"/>
  <c r="V234" i="8"/>
  <c r="P234" i="8"/>
  <c r="P233" i="8" s="1"/>
  <c r="S234" i="8"/>
  <c r="S233" i="8" s="1"/>
  <c r="Z234" i="8"/>
  <c r="Z233" i="8" s="1"/>
  <c r="L234" i="8"/>
  <c r="U234" i="8"/>
  <c r="U233" i="8" s="1"/>
  <c r="AA234" i="8"/>
  <c r="W234" i="8"/>
  <c r="W233" i="8" s="1"/>
  <c r="M234" i="8"/>
  <c r="M233" i="8" s="1"/>
  <c r="J234" i="8"/>
  <c r="J233" i="8" s="1"/>
  <c r="O234" i="8"/>
  <c r="O233" i="8" s="1"/>
  <c r="T234" i="8"/>
  <c r="T233" i="8" s="1"/>
  <c r="R234" i="8"/>
  <c r="R233" i="8" s="1"/>
  <c r="Q234" i="8"/>
  <c r="N234" i="8"/>
  <c r="N233" i="8" s="1"/>
  <c r="Y234" i="8"/>
  <c r="Y233" i="8" s="1"/>
  <c r="I234" i="8"/>
  <c r="I233" i="8" s="1"/>
  <c r="K234" i="8"/>
  <c r="K233" i="8" s="1"/>
  <c r="X234" i="8"/>
  <c r="X233" i="8" s="1"/>
  <c r="W236" i="8"/>
  <c r="W235" i="8" s="1"/>
  <c r="Y236" i="8"/>
  <c r="Y235" i="8" s="1"/>
  <c r="Q236" i="8"/>
  <c r="R236" i="8"/>
  <c r="R235" i="8" s="1"/>
  <c r="O236" i="8"/>
  <c r="O235" i="8" s="1"/>
  <c r="J236" i="8"/>
  <c r="J235" i="8" s="1"/>
  <c r="S236" i="8"/>
  <c r="S235" i="8" s="1"/>
  <c r="I236" i="8"/>
  <c r="I235" i="8" s="1"/>
  <c r="T236" i="8"/>
  <c r="T235" i="8" s="1"/>
  <c r="X236" i="8"/>
  <c r="X235" i="8" s="1"/>
  <c r="M236" i="8"/>
  <c r="M235" i="8" s="1"/>
  <c r="N236" i="8"/>
  <c r="N235" i="8" s="1"/>
  <c r="U236" i="8"/>
  <c r="U235" i="8" s="1"/>
  <c r="AA236" i="8"/>
  <c r="P236" i="8"/>
  <c r="P235" i="8" s="1"/>
  <c r="V236" i="8"/>
  <c r="L236" i="8"/>
  <c r="K236" i="8"/>
  <c r="K235" i="8" s="1"/>
  <c r="Z236" i="8"/>
  <c r="Z235" i="8" s="1"/>
  <c r="L218" i="8"/>
  <c r="K218" i="8"/>
  <c r="K217" i="8" s="1"/>
  <c r="X218" i="8"/>
  <c r="Q218" i="8"/>
  <c r="I218" i="8"/>
  <c r="V218" i="8"/>
  <c r="AA218" i="8"/>
  <c r="W218" i="8"/>
  <c r="W217" i="8" s="1"/>
  <c r="M218" i="8"/>
  <c r="M217" i="8" s="1"/>
  <c r="P218" i="8"/>
  <c r="U218" i="8"/>
  <c r="U217" i="8" s="1"/>
  <c r="S218" i="8"/>
  <c r="N218" i="8"/>
  <c r="N217" i="8" s="1"/>
  <c r="Y218" i="8"/>
  <c r="Y217" i="8" s="1"/>
  <c r="J218" i="8"/>
  <c r="Z218" i="8"/>
  <c r="Z217" i="8" s="1"/>
  <c r="T218" i="8"/>
  <c r="R218" i="8"/>
  <c r="R217" i="8" s="1"/>
  <c r="O218" i="8"/>
  <c r="BA32" i="9"/>
  <c r="BH27" i="9" s="1"/>
  <c r="AG31" i="9"/>
  <c r="BA31" i="9" s="1"/>
  <c r="AZ32" i="9"/>
  <c r="BG27" i="9" s="1"/>
  <c r="AC31" i="9"/>
  <c r="AZ31" i="9" s="1"/>
  <c r="AQ31" i="9"/>
  <c r="BC31" i="9" s="1"/>
  <c r="BC32" i="9"/>
  <c r="BJ27" i="9" s="1"/>
  <c r="L249" i="8"/>
  <c r="R249" i="8"/>
  <c r="R248" i="8" s="1"/>
  <c r="T249" i="8"/>
  <c r="T248" i="8" s="1"/>
  <c r="J249" i="8"/>
  <c r="J248" i="8" s="1"/>
  <c r="M249" i="8"/>
  <c r="M248" i="8" s="1"/>
  <c r="Y249" i="8"/>
  <c r="Y248" i="8" s="1"/>
  <c r="K249" i="8"/>
  <c r="K248" i="8" s="1"/>
  <c r="X249" i="8"/>
  <c r="X248" i="8" s="1"/>
  <c r="V249" i="8"/>
  <c r="W249" i="8"/>
  <c r="W248" i="8" s="1"/>
  <c r="O249" i="8"/>
  <c r="O248" i="8" s="1"/>
  <c r="I249" i="8"/>
  <c r="I248" i="8" s="1"/>
  <c r="N249" i="8"/>
  <c r="N248" i="8" s="1"/>
  <c r="AA249" i="8"/>
  <c r="Z249" i="8"/>
  <c r="Z248" i="8" s="1"/>
  <c r="Q249" i="8"/>
  <c r="P249" i="8"/>
  <c r="P248" i="8" s="1"/>
  <c r="U249" i="8"/>
  <c r="U248" i="8" s="1"/>
  <c r="S249" i="8"/>
  <c r="S248" i="8" s="1"/>
  <c r="BD32" i="9"/>
  <c r="BK27" i="9" s="1"/>
  <c r="AV31" i="9"/>
  <c r="BD31" i="9" s="1"/>
  <c r="T191" i="8"/>
  <c r="W172" i="8"/>
  <c r="M210" i="8"/>
  <c r="O172" i="8"/>
  <c r="I210" i="8"/>
  <c r="Y210" i="8"/>
  <c r="Y191" i="8"/>
  <c r="S210" i="8"/>
  <c r="L231" i="8"/>
  <c r="G232" i="10"/>
  <c r="G231" i="10" s="1"/>
  <c r="AQ16" i="9"/>
  <c r="BC16" i="9" s="1"/>
  <c r="BC17" i="9"/>
  <c r="BJ22" i="9" s="1"/>
  <c r="N7" i="9"/>
  <c r="N8" i="9"/>
  <c r="N75" i="9"/>
  <c r="I193" i="10"/>
  <c r="AI61" i="10" s="1"/>
  <c r="R210" i="8"/>
  <c r="AC10" i="9"/>
  <c r="AZ10" i="9" s="1"/>
  <c r="AZ11" i="9"/>
  <c r="BG20" i="9" s="1"/>
  <c r="P244" i="8"/>
  <c r="M244" i="8"/>
  <c r="N191" i="8"/>
  <c r="Z210" i="8"/>
  <c r="H213" i="10"/>
  <c r="E7" i="9"/>
  <c r="E8" i="9"/>
  <c r="E75" i="9"/>
  <c r="R172" i="8"/>
  <c r="AQ28" i="9"/>
  <c r="BC28" i="9" s="1"/>
  <c r="BC29" i="9"/>
  <c r="N210" i="8"/>
  <c r="BA26" i="9"/>
  <c r="AG25" i="9"/>
  <c r="BA25" i="9" s="1"/>
  <c r="G251" i="10"/>
  <c r="G250" i="10" s="1"/>
  <c r="L250" i="8"/>
  <c r="L191" i="8"/>
  <c r="G192" i="10"/>
  <c r="J262" i="10"/>
  <c r="J260" i="10" s="1"/>
  <c r="AL13" i="9"/>
  <c r="BB13" i="9" s="1"/>
  <c r="BB14" i="9"/>
  <c r="BI21" i="9" s="1"/>
  <c r="AA191" i="8"/>
  <c r="J192" i="10"/>
  <c r="J251" i="10"/>
  <c r="J250" i="10" s="1"/>
  <c r="AA250" i="8"/>
  <c r="AG13" i="9"/>
  <c r="BA13" i="9" s="1"/>
  <c r="BA14" i="9"/>
  <c r="BH21" i="9" s="1"/>
  <c r="AB8" i="9"/>
  <c r="AB7" i="9" s="1"/>
  <c r="AW1" i="9" s="1"/>
  <c r="C10" i="9"/>
  <c r="I7" i="9"/>
  <c r="I8" i="9"/>
  <c r="I75" i="9"/>
  <c r="L210" i="8"/>
  <c r="AG16" i="9"/>
  <c r="BA16" i="9" s="1"/>
  <c r="BA17" i="9"/>
  <c r="BH22" i="9" s="1"/>
  <c r="P210" i="8"/>
  <c r="H173" i="10"/>
  <c r="Q172" i="8"/>
  <c r="H183" i="10"/>
  <c r="Q231" i="8"/>
  <c r="H232" i="10"/>
  <c r="H231" i="10" s="1"/>
  <c r="O7" i="9"/>
  <c r="O75" i="9"/>
  <c r="O8" i="9"/>
  <c r="U210" i="8"/>
  <c r="I251" i="10"/>
  <c r="I250" i="10" s="1"/>
  <c r="V250" i="8"/>
  <c r="I195" i="10"/>
  <c r="H195" i="10"/>
  <c r="M241" i="8"/>
  <c r="M240" i="8" s="1"/>
  <c r="P241" i="8"/>
  <c r="P240" i="8" s="1"/>
  <c r="H212" i="10"/>
  <c r="AH59" i="10" s="1"/>
  <c r="G7" i="9"/>
  <c r="G8" i="9"/>
  <c r="G75" i="9"/>
  <c r="Q8" i="9"/>
  <c r="Q7" i="9"/>
  <c r="Q75" i="9"/>
  <c r="BC14" i="9"/>
  <c r="BJ21" i="9" s="1"/>
  <c r="AQ13" i="9"/>
  <c r="BC13" i="9" s="1"/>
  <c r="AG40" i="9"/>
  <c r="H9" i="24"/>
  <c r="U172" i="8"/>
  <c r="D7" i="9"/>
  <c r="BG5" i="9"/>
  <c r="BG4" i="9" s="1"/>
  <c r="D8" i="9"/>
  <c r="AB19" i="8" s="1"/>
  <c r="L7" i="9"/>
  <c r="L8" i="9"/>
  <c r="L75" i="9"/>
  <c r="M7" i="9"/>
  <c r="BI5" i="9"/>
  <c r="M75" i="9"/>
  <c r="M8" i="9"/>
  <c r="J212" i="10"/>
  <c r="AJ59" i="10" s="1"/>
  <c r="T210" i="8"/>
  <c r="AV19" i="9"/>
  <c r="BD19" i="9" s="1"/>
  <c r="BD20" i="9"/>
  <c r="BK23" i="9" s="1"/>
  <c r="U7" i="9"/>
  <c r="U8" i="9"/>
  <c r="U75" i="9"/>
  <c r="N172" i="8"/>
  <c r="AG59" i="10"/>
  <c r="H181" i="10"/>
  <c r="H184" i="10"/>
  <c r="AL28" i="9"/>
  <c r="BB28" i="9" s="1"/>
  <c r="BB29" i="9"/>
  <c r="I212" i="10"/>
  <c r="AI59" i="10" s="1"/>
  <c r="I262" i="10"/>
  <c r="I260" i="10" s="1"/>
  <c r="W210" i="8"/>
  <c r="V191" i="8"/>
  <c r="I192" i="10"/>
  <c r="AQ40" i="9"/>
  <c r="R9" i="24"/>
  <c r="Q210" i="8"/>
  <c r="H211" i="10"/>
  <c r="AL16" i="9"/>
  <c r="BB16" i="9" s="1"/>
  <c r="BB17" i="9"/>
  <c r="BI22" i="9" s="1"/>
  <c r="Y172" i="8"/>
  <c r="P7" i="9"/>
  <c r="P8" i="9"/>
  <c r="P75" i="9"/>
  <c r="T172" i="8"/>
  <c r="P172" i="8"/>
  <c r="V231" i="8"/>
  <c r="I232" i="10"/>
  <c r="I231" i="10" s="1"/>
  <c r="R191" i="8"/>
  <c r="G193" i="10"/>
  <c r="AG61" i="10" s="1"/>
  <c r="AG19" i="9"/>
  <c r="BA19" i="9" s="1"/>
  <c r="BA20" i="9"/>
  <c r="BH23" i="9" s="1"/>
  <c r="V7" i="9"/>
  <c r="V8" i="9"/>
  <c r="V75" i="9"/>
  <c r="J195" i="10"/>
  <c r="W9" i="24"/>
  <c r="AV40" i="9"/>
  <c r="T7" i="9"/>
  <c r="T75" i="9"/>
  <c r="T8" i="9"/>
  <c r="G213" i="10"/>
  <c r="M172" i="8"/>
  <c r="H174" i="10"/>
  <c r="AH68" i="10" s="1"/>
  <c r="H178" i="10"/>
  <c r="AH69" i="10" s="1"/>
  <c r="H182" i="10"/>
  <c r="AH70" i="10" s="1"/>
  <c r="O191" i="8"/>
  <c r="Z172" i="8"/>
  <c r="AV13" i="9"/>
  <c r="BD13" i="9" s="1"/>
  <c r="BD14" i="9"/>
  <c r="BK21" i="9" s="1"/>
  <c r="BA29" i="9"/>
  <c r="AG28" i="9"/>
  <c r="BA28" i="9" s="1"/>
  <c r="I213" i="10"/>
  <c r="I211" i="10"/>
  <c r="V210" i="8"/>
  <c r="S172" i="8"/>
  <c r="F7" i="9"/>
  <c r="F8" i="9"/>
  <c r="F75" i="9"/>
  <c r="S7" i="9"/>
  <c r="S8" i="9"/>
  <c r="S75" i="9"/>
  <c r="BC20" i="9"/>
  <c r="BJ23" i="9" s="1"/>
  <c r="AQ19" i="9"/>
  <c r="BC19" i="9" s="1"/>
  <c r="O210" i="8"/>
  <c r="X191" i="8"/>
  <c r="M216" i="8"/>
  <c r="M214" i="8" s="1"/>
  <c r="P216" i="8"/>
  <c r="P214" i="8" s="1"/>
  <c r="H262" i="10"/>
  <c r="H260" i="10" s="1"/>
  <c r="J7" i="9"/>
  <c r="J8" i="9"/>
  <c r="J75" i="9"/>
  <c r="BD29" i="9"/>
  <c r="AV28" i="9"/>
  <c r="BD28" i="9" s="1"/>
  <c r="I191" i="8"/>
  <c r="G195" i="10"/>
  <c r="M191" i="8"/>
  <c r="W7" i="9"/>
  <c r="W8" i="9"/>
  <c r="BK5" i="9"/>
  <c r="W75" i="9"/>
  <c r="Z191" i="8"/>
  <c r="J213" i="10"/>
  <c r="AA210" i="8"/>
  <c r="AV16" i="9"/>
  <c r="BD16" i="9" s="1"/>
  <c r="BD17" i="9"/>
  <c r="BK22" i="9" s="1"/>
  <c r="BB26" i="9"/>
  <c r="AL25" i="9"/>
  <c r="BB25" i="9" s="1"/>
  <c r="J193" i="10"/>
  <c r="H7" i="9"/>
  <c r="H8" i="9"/>
  <c r="H75" i="9"/>
  <c r="BH5" i="9"/>
  <c r="G262" i="10"/>
  <c r="G260" i="10" s="1"/>
  <c r="H176" i="10"/>
  <c r="H180" i="10"/>
  <c r="H179" i="10"/>
  <c r="J121" i="8"/>
  <c r="J77" i="8" s="1"/>
  <c r="AZ6" i="9"/>
  <c r="K207" i="8"/>
  <c r="J207" i="8"/>
  <c r="I217" i="8" l="1"/>
  <c r="Y19" i="8"/>
  <c r="Q19" i="8"/>
  <c r="P217" i="8"/>
  <c r="W19" i="8"/>
  <c r="J207" i="10"/>
  <c r="G228" i="10"/>
  <c r="AG73" i="10" s="1"/>
  <c r="S217" i="8"/>
  <c r="G207" i="10"/>
  <c r="T217" i="8"/>
  <c r="O217" i="8"/>
  <c r="J217" i="8"/>
  <c r="X217" i="8"/>
  <c r="I252" i="10"/>
  <c r="L19" i="8"/>
  <c r="J19" i="10" s="1"/>
  <c r="AA19" i="8"/>
  <c r="N19" i="8"/>
  <c r="J19" i="8"/>
  <c r="H19" i="10" s="1"/>
  <c r="Z19" i="8"/>
  <c r="T19" i="8"/>
  <c r="X19" i="8"/>
  <c r="I207" i="10"/>
  <c r="J252" i="10"/>
  <c r="AA245" i="8"/>
  <c r="H58" i="10"/>
  <c r="J128" i="10"/>
  <c r="AJ36" i="10" s="1"/>
  <c r="J129" i="10"/>
  <c r="G183" i="10"/>
  <c r="I78" i="10"/>
  <c r="J215" i="10"/>
  <c r="J224" i="10"/>
  <c r="AJ71" i="10" s="1"/>
  <c r="H46" i="10"/>
  <c r="J127" i="10"/>
  <c r="J124" i="10"/>
  <c r="J126" i="10"/>
  <c r="J142" i="10"/>
  <c r="J54" i="10"/>
  <c r="J185" i="10"/>
  <c r="J173" i="10"/>
  <c r="J183" i="10"/>
  <c r="G179" i="10"/>
  <c r="G176" i="10"/>
  <c r="G173" i="10"/>
  <c r="I55" i="10"/>
  <c r="I180" i="10"/>
  <c r="I181" i="10"/>
  <c r="J131" i="10"/>
  <c r="G178" i="10"/>
  <c r="AG69" i="10" s="1"/>
  <c r="G180" i="10"/>
  <c r="H253" i="10"/>
  <c r="G54" i="10"/>
  <c r="I215" i="10"/>
  <c r="H60" i="10"/>
  <c r="J123" i="10"/>
  <c r="AJ35" i="10" s="1"/>
  <c r="J130" i="10"/>
  <c r="J138" i="10"/>
  <c r="J140" i="10"/>
  <c r="J55" i="10"/>
  <c r="J179" i="10"/>
  <c r="J175" i="10"/>
  <c r="J186" i="10"/>
  <c r="G185" i="10"/>
  <c r="G182" i="10"/>
  <c r="AG70" i="10" s="1"/>
  <c r="G184" i="10"/>
  <c r="I182" i="10"/>
  <c r="AI70" i="10" s="1"/>
  <c r="I179" i="10"/>
  <c r="I175" i="10"/>
  <c r="I108" i="10"/>
  <c r="H254" i="10"/>
  <c r="H257" i="10"/>
  <c r="H255" i="10" s="1"/>
  <c r="H209" i="10"/>
  <c r="H67" i="10"/>
  <c r="J135" i="10"/>
  <c r="J141" i="10"/>
  <c r="J181" i="10"/>
  <c r="G181" i="10"/>
  <c r="I178" i="10"/>
  <c r="AI69" i="10" s="1"/>
  <c r="I184" i="10"/>
  <c r="I185" i="10"/>
  <c r="G175" i="10"/>
  <c r="G215" i="10"/>
  <c r="H215" i="10"/>
  <c r="H69" i="10"/>
  <c r="AH14" i="10" s="1"/>
  <c r="J134" i="10"/>
  <c r="AJ37" i="10" s="1"/>
  <c r="J125" i="10"/>
  <c r="J139" i="10"/>
  <c r="AJ39" i="10" s="1"/>
  <c r="J137" i="10"/>
  <c r="J136" i="10"/>
  <c r="AJ38" i="10" s="1"/>
  <c r="J53" i="10"/>
  <c r="J178" i="10"/>
  <c r="AJ69" i="10" s="1"/>
  <c r="H251" i="10"/>
  <c r="H250" i="10" s="1"/>
  <c r="I247" i="10"/>
  <c r="I245" i="10" s="1"/>
  <c r="G55" i="10"/>
  <c r="G186" i="10"/>
  <c r="I186" i="10"/>
  <c r="I183" i="10"/>
  <c r="I53" i="10"/>
  <c r="I176" i="10"/>
  <c r="I54" i="10"/>
  <c r="H194" i="10"/>
  <c r="AA231" i="8"/>
  <c r="J232" i="10"/>
  <c r="J231" i="10" s="1"/>
  <c r="Y207" i="8"/>
  <c r="P19" i="8"/>
  <c r="S19" i="8"/>
  <c r="M19" i="8"/>
  <c r="I19" i="8"/>
  <c r="R19" i="8"/>
  <c r="V19" i="8"/>
  <c r="U19" i="8"/>
  <c r="K19" i="8"/>
  <c r="V245" i="8"/>
  <c r="N245" i="8"/>
  <c r="Q217" i="8"/>
  <c r="H218" i="10"/>
  <c r="AA217" i="8"/>
  <c r="J218" i="10"/>
  <c r="V217" i="8"/>
  <c r="I218" i="10"/>
  <c r="L217" i="8"/>
  <c r="G218" i="10"/>
  <c r="Q207" i="8"/>
  <c r="Q255" i="8"/>
  <c r="U252" i="8"/>
  <c r="Q252" i="8"/>
  <c r="Y252" i="8"/>
  <c r="X243" i="8"/>
  <c r="X215" i="8"/>
  <c r="O243" i="8"/>
  <c r="O215" i="8"/>
  <c r="I243" i="8"/>
  <c r="I215" i="8"/>
  <c r="U243" i="8"/>
  <c r="U215" i="8"/>
  <c r="N243" i="8"/>
  <c r="N215" i="8"/>
  <c r="Y243" i="8"/>
  <c r="Y215" i="8"/>
  <c r="L243" i="8"/>
  <c r="R243" i="8"/>
  <c r="W243" i="8"/>
  <c r="M242" i="8"/>
  <c r="K241" i="8"/>
  <c r="K240" i="8" s="1"/>
  <c r="K243" i="8"/>
  <c r="AA243" i="8"/>
  <c r="T244" i="8"/>
  <c r="T243" i="8"/>
  <c r="Q244" i="8"/>
  <c r="Q243" i="8"/>
  <c r="J241" i="8"/>
  <c r="J240" i="8" s="1"/>
  <c r="J243" i="8"/>
  <c r="S243" i="8"/>
  <c r="Z244" i="8"/>
  <c r="Z243" i="8"/>
  <c r="P242" i="8"/>
  <c r="V216" i="8"/>
  <c r="V243" i="8"/>
  <c r="BH4" i="9"/>
  <c r="AL19" i="9"/>
  <c r="BB19" i="9" s="1"/>
  <c r="Y77" i="8"/>
  <c r="V77" i="8"/>
  <c r="K8" i="9"/>
  <c r="K10" i="9" s="1"/>
  <c r="K5" i="24" s="1"/>
  <c r="W191" i="8"/>
  <c r="S241" i="8"/>
  <c r="S240" i="8" s="1"/>
  <c r="O241" i="8"/>
  <c r="O240" i="8" s="1"/>
  <c r="Z216" i="8"/>
  <c r="Z214" i="8" s="1"/>
  <c r="AH62" i="10"/>
  <c r="H121" i="10"/>
  <c r="AH34" i="10" s="1"/>
  <c r="AI62" i="10"/>
  <c r="I121" i="10"/>
  <c r="AI34" i="10" s="1"/>
  <c r="AG62" i="10"/>
  <c r="G121" i="10"/>
  <c r="AG34" i="10" s="1"/>
  <c r="T121" i="8"/>
  <c r="T77" i="8" s="1"/>
  <c r="AL40" i="9"/>
  <c r="W77" i="8"/>
  <c r="H208" i="10"/>
  <c r="X244" i="8"/>
  <c r="R121" i="8"/>
  <c r="R77" i="8" s="1"/>
  <c r="S244" i="8"/>
  <c r="K244" i="8"/>
  <c r="L1" i="8"/>
  <c r="S191" i="8"/>
  <c r="V172" i="8"/>
  <c r="P191" i="8"/>
  <c r="I174" i="10"/>
  <c r="AI68" i="10" s="1"/>
  <c r="X77" i="8"/>
  <c r="I77" i="8"/>
  <c r="O77" i="8"/>
  <c r="H259" i="10"/>
  <c r="H258" i="10" s="1"/>
  <c r="Q258" i="8"/>
  <c r="U207" i="8"/>
  <c r="K121" i="8"/>
  <c r="K77" i="8" s="1"/>
  <c r="K7" i="9"/>
  <c r="J180" i="10"/>
  <c r="I172" i="8"/>
  <c r="L172" i="8"/>
  <c r="R75" i="9"/>
  <c r="R77" i="9" s="1"/>
  <c r="O244" i="8"/>
  <c r="BK4" i="9"/>
  <c r="O216" i="8"/>
  <c r="J216" i="8"/>
  <c r="J214" i="8" s="1"/>
  <c r="X241" i="8"/>
  <c r="X240" i="8" s="1"/>
  <c r="J244" i="8"/>
  <c r="G53" i="10"/>
  <c r="S216" i="8"/>
  <c r="S214" i="8" s="1"/>
  <c r="X216" i="8"/>
  <c r="Z241" i="8"/>
  <c r="Z240" i="8" s="1"/>
  <c r="BJ5" i="9"/>
  <c r="BJ4" i="9" s="1"/>
  <c r="H192" i="10"/>
  <c r="R8" i="9"/>
  <c r="R10" i="9" s="1"/>
  <c r="R5" i="24" s="1"/>
  <c r="Q216" i="8"/>
  <c r="R241" i="8"/>
  <c r="R240" i="8" s="1"/>
  <c r="L244" i="8"/>
  <c r="AQ25" i="9"/>
  <c r="BC25" i="9" s="1"/>
  <c r="J176" i="10"/>
  <c r="J182" i="10"/>
  <c r="AJ70" i="10" s="1"/>
  <c r="H193" i="10"/>
  <c r="AH61" i="10" s="1"/>
  <c r="W216" i="8"/>
  <c r="W214" i="8" s="1"/>
  <c r="Q250" i="8"/>
  <c r="Q191" i="8"/>
  <c r="W241" i="8"/>
  <c r="W240" i="8" s="1"/>
  <c r="W244" i="8"/>
  <c r="H224" i="10"/>
  <c r="AH71" i="10" s="1"/>
  <c r="AA216" i="8"/>
  <c r="X172" i="8"/>
  <c r="S121" i="8"/>
  <c r="S77" i="8" s="1"/>
  <c r="T216" i="8"/>
  <c r="T214" i="8" s="1"/>
  <c r="J174" i="10"/>
  <c r="AJ68" i="10" s="1"/>
  <c r="J184" i="10"/>
  <c r="AA241" i="8"/>
  <c r="H70" i="10"/>
  <c r="AA172" i="8"/>
  <c r="T241" i="8"/>
  <c r="T240" i="8" s="1"/>
  <c r="AV25" i="9"/>
  <c r="BD25" i="9" s="1"/>
  <c r="AA244" i="8"/>
  <c r="K216" i="8"/>
  <c r="K214" i="8" s="1"/>
  <c r="T62" i="8"/>
  <c r="T44" i="8"/>
  <c r="T59" i="8"/>
  <c r="T70" i="8"/>
  <c r="T51" i="8"/>
  <c r="T68" i="8"/>
  <c r="T49" i="8"/>
  <c r="T63" i="8"/>
  <c r="T45" i="8"/>
  <c r="T72" i="8"/>
  <c r="T69" i="8"/>
  <c r="T50" i="8"/>
  <c r="T60" i="8"/>
  <c r="T58" i="8"/>
  <c r="T73" i="8"/>
  <c r="T64" i="8"/>
  <c r="T46" i="8"/>
  <c r="T61" i="8"/>
  <c r="T43" i="8"/>
  <c r="T67" i="8"/>
  <c r="T71" i="8"/>
  <c r="T52" i="8"/>
  <c r="T57" i="8"/>
  <c r="Y73" i="8"/>
  <c r="Y70" i="8"/>
  <c r="Y51" i="8"/>
  <c r="Y61" i="8"/>
  <c r="Y59" i="8"/>
  <c r="Y67" i="8"/>
  <c r="Y63" i="8"/>
  <c r="Y45" i="8"/>
  <c r="Y60" i="8"/>
  <c r="Y71" i="8"/>
  <c r="Y52" i="8"/>
  <c r="Y69" i="8"/>
  <c r="Y50" i="8"/>
  <c r="Y64" i="8"/>
  <c r="Y46" i="8"/>
  <c r="Y57" i="8"/>
  <c r="Y72" i="8"/>
  <c r="Y58" i="8"/>
  <c r="Y43" i="8"/>
  <c r="Y62" i="8"/>
  <c r="Y44" i="8"/>
  <c r="Y68" i="8"/>
  <c r="Y49" i="8"/>
  <c r="P58" i="8"/>
  <c r="P73" i="8"/>
  <c r="P64" i="8"/>
  <c r="P62" i="8"/>
  <c r="P44" i="8"/>
  <c r="P59" i="8"/>
  <c r="P70" i="8"/>
  <c r="P51" i="8"/>
  <c r="P68" i="8"/>
  <c r="P49" i="8"/>
  <c r="P63" i="8"/>
  <c r="P45" i="8"/>
  <c r="P72" i="8"/>
  <c r="P69" i="8"/>
  <c r="P50" i="8"/>
  <c r="P60" i="8"/>
  <c r="P57" i="8"/>
  <c r="P61" i="8"/>
  <c r="P43" i="8"/>
  <c r="P46" i="8"/>
  <c r="P67" i="8"/>
  <c r="P71" i="8"/>
  <c r="P52" i="8"/>
  <c r="X68" i="8"/>
  <c r="X49" i="8"/>
  <c r="X63" i="8"/>
  <c r="X45" i="8"/>
  <c r="X72" i="8"/>
  <c r="X69" i="8"/>
  <c r="X50" i="8"/>
  <c r="X60" i="8"/>
  <c r="X58" i="8"/>
  <c r="X73" i="8"/>
  <c r="X64" i="8"/>
  <c r="X46" i="8"/>
  <c r="X62" i="8"/>
  <c r="X44" i="8"/>
  <c r="X59" i="8"/>
  <c r="X70" i="8"/>
  <c r="X51" i="8"/>
  <c r="X67" i="8"/>
  <c r="X71" i="8"/>
  <c r="X52" i="8"/>
  <c r="X57" i="8"/>
  <c r="X61" i="8"/>
  <c r="X43" i="8"/>
  <c r="J60" i="8"/>
  <c r="J57" i="8"/>
  <c r="J68" i="8"/>
  <c r="J64" i="8"/>
  <c r="J46" i="8"/>
  <c r="J61" i="8"/>
  <c r="J43" i="8"/>
  <c r="J72" i="8"/>
  <c r="J70" i="8"/>
  <c r="J51" i="8"/>
  <c r="J67" i="8"/>
  <c r="J58" i="8"/>
  <c r="J71" i="8"/>
  <c r="J52" i="8"/>
  <c r="J62" i="8"/>
  <c r="J49" i="8"/>
  <c r="J59" i="8"/>
  <c r="J44" i="8"/>
  <c r="J63" i="8"/>
  <c r="J45" i="8"/>
  <c r="J69" i="8"/>
  <c r="J50" i="8"/>
  <c r="J73" i="8"/>
  <c r="L72" i="8"/>
  <c r="L69" i="8"/>
  <c r="L50" i="8"/>
  <c r="L60" i="8"/>
  <c r="L58" i="8"/>
  <c r="L73" i="8"/>
  <c r="L64" i="8"/>
  <c r="L46" i="8"/>
  <c r="L62" i="8"/>
  <c r="L44" i="8"/>
  <c r="L59" i="8"/>
  <c r="L70" i="8"/>
  <c r="L51" i="8"/>
  <c r="L68" i="8"/>
  <c r="L49" i="8"/>
  <c r="L63" i="8"/>
  <c r="L45" i="8"/>
  <c r="L71" i="8"/>
  <c r="L52" i="8"/>
  <c r="L57" i="8"/>
  <c r="L61" i="8"/>
  <c r="L67" i="8"/>
  <c r="G47" i="10"/>
  <c r="L43" i="8"/>
  <c r="Z60" i="8"/>
  <c r="Z57" i="8"/>
  <c r="Z68" i="8"/>
  <c r="Z64" i="8"/>
  <c r="Z46" i="8"/>
  <c r="Z61" i="8"/>
  <c r="Z43" i="8"/>
  <c r="Z72" i="8"/>
  <c r="Z70" i="8"/>
  <c r="Z51" i="8"/>
  <c r="Z67" i="8"/>
  <c r="Z58" i="8"/>
  <c r="Z71" i="8"/>
  <c r="Z52" i="8"/>
  <c r="Z62" i="8"/>
  <c r="Z59" i="8"/>
  <c r="Z63" i="8"/>
  <c r="Z45" i="8"/>
  <c r="Z44" i="8"/>
  <c r="Z69" i="8"/>
  <c r="Z50" i="8"/>
  <c r="Z49" i="8"/>
  <c r="Z73" i="8"/>
  <c r="O71" i="8"/>
  <c r="O52" i="8"/>
  <c r="O68" i="8"/>
  <c r="O49" i="8"/>
  <c r="O59" i="8"/>
  <c r="O57" i="8"/>
  <c r="O72" i="8"/>
  <c r="O63" i="8"/>
  <c r="O45" i="8"/>
  <c r="O61" i="8"/>
  <c r="O43" i="8"/>
  <c r="O58" i="8"/>
  <c r="O69" i="8"/>
  <c r="O50" i="8"/>
  <c r="O67" i="8"/>
  <c r="O62" i="8"/>
  <c r="O44" i="8"/>
  <c r="O73" i="8"/>
  <c r="O70" i="8"/>
  <c r="O51" i="8"/>
  <c r="O60" i="8"/>
  <c r="O64" i="8"/>
  <c r="O46" i="8"/>
  <c r="V71" i="8"/>
  <c r="V52" i="8"/>
  <c r="V62" i="8"/>
  <c r="V60" i="8"/>
  <c r="V57" i="8"/>
  <c r="V68" i="8"/>
  <c r="V49" i="8"/>
  <c r="V64" i="8"/>
  <c r="V46" i="8"/>
  <c r="V61" i="8"/>
  <c r="V43" i="8"/>
  <c r="V72" i="8"/>
  <c r="V70" i="8"/>
  <c r="V51" i="8"/>
  <c r="V67" i="8"/>
  <c r="I47" i="10"/>
  <c r="V58" i="8"/>
  <c r="V73" i="8"/>
  <c r="V59" i="8"/>
  <c r="V63" i="8"/>
  <c r="V45" i="8"/>
  <c r="V44" i="8"/>
  <c r="V69" i="8"/>
  <c r="V50" i="8"/>
  <c r="M59" i="8"/>
  <c r="M67" i="8"/>
  <c r="M63" i="8"/>
  <c r="M45" i="8"/>
  <c r="M60" i="8"/>
  <c r="M71" i="8"/>
  <c r="M52" i="8"/>
  <c r="M69" i="8"/>
  <c r="M50" i="8"/>
  <c r="M64" i="8"/>
  <c r="M46" i="8"/>
  <c r="M57" i="8"/>
  <c r="M73" i="8"/>
  <c r="M70" i="8"/>
  <c r="M51" i="8"/>
  <c r="M61" i="8"/>
  <c r="M58" i="8"/>
  <c r="M43" i="8"/>
  <c r="M62" i="8"/>
  <c r="M44" i="8"/>
  <c r="M68" i="8"/>
  <c r="M49" i="8"/>
  <c r="M72" i="8"/>
  <c r="K67" i="8"/>
  <c r="K62" i="8"/>
  <c r="K44" i="8"/>
  <c r="K73" i="8"/>
  <c r="K71" i="8"/>
  <c r="K52" i="8"/>
  <c r="K68" i="8"/>
  <c r="K49" i="8"/>
  <c r="K59" i="8"/>
  <c r="K57" i="8"/>
  <c r="K72" i="8"/>
  <c r="K63" i="8"/>
  <c r="K61" i="8"/>
  <c r="K43" i="8"/>
  <c r="K58" i="8"/>
  <c r="K69" i="8"/>
  <c r="K50" i="8"/>
  <c r="K64" i="8"/>
  <c r="K46" i="8"/>
  <c r="K45" i="8"/>
  <c r="K70" i="8"/>
  <c r="K51" i="8"/>
  <c r="K60" i="8"/>
  <c r="I73" i="8"/>
  <c r="I70" i="8"/>
  <c r="I51" i="8"/>
  <c r="I61" i="8"/>
  <c r="I59" i="8"/>
  <c r="I67" i="8"/>
  <c r="I63" i="8"/>
  <c r="I45" i="8"/>
  <c r="I60" i="8"/>
  <c r="I71" i="8"/>
  <c r="I52" i="8"/>
  <c r="I69" i="8"/>
  <c r="I50" i="8"/>
  <c r="I64" i="8"/>
  <c r="I46" i="8"/>
  <c r="I57" i="8"/>
  <c r="I72" i="8"/>
  <c r="I43" i="8"/>
  <c r="I58" i="8"/>
  <c r="I62" i="8"/>
  <c r="I44" i="8"/>
  <c r="I68" i="8"/>
  <c r="I49" i="8"/>
  <c r="U69" i="8"/>
  <c r="U50" i="8"/>
  <c r="U64" i="8"/>
  <c r="U46" i="8"/>
  <c r="U57" i="8"/>
  <c r="U73" i="8"/>
  <c r="U70" i="8"/>
  <c r="U51" i="8"/>
  <c r="U61" i="8"/>
  <c r="U59" i="8"/>
  <c r="U67" i="8"/>
  <c r="U63" i="8"/>
  <c r="U45" i="8"/>
  <c r="U60" i="8"/>
  <c r="U71" i="8"/>
  <c r="U52" i="8"/>
  <c r="U68" i="8"/>
  <c r="U49" i="8"/>
  <c r="U72" i="8"/>
  <c r="U58" i="8"/>
  <c r="U43" i="8"/>
  <c r="U62" i="8"/>
  <c r="U44" i="8"/>
  <c r="N64" i="8"/>
  <c r="N46" i="8"/>
  <c r="N61" i="8"/>
  <c r="N43" i="8"/>
  <c r="N72" i="8"/>
  <c r="N70" i="8"/>
  <c r="N51" i="8"/>
  <c r="N67" i="8"/>
  <c r="N58" i="8"/>
  <c r="N71" i="8"/>
  <c r="N52" i="8"/>
  <c r="N62" i="8"/>
  <c r="N60" i="8"/>
  <c r="N57" i="8"/>
  <c r="N68" i="8"/>
  <c r="N49" i="8"/>
  <c r="N44" i="8"/>
  <c r="N63" i="8"/>
  <c r="N45" i="8"/>
  <c r="N69" i="8"/>
  <c r="N50" i="8"/>
  <c r="N73" i="8"/>
  <c r="N59" i="8"/>
  <c r="AA67" i="8"/>
  <c r="J47" i="10"/>
  <c r="AA62" i="8"/>
  <c r="AA44" i="8"/>
  <c r="AA73" i="8"/>
  <c r="AA71" i="8"/>
  <c r="AA52" i="8"/>
  <c r="AA68" i="8"/>
  <c r="AA49" i="8"/>
  <c r="AA59" i="8"/>
  <c r="AA57" i="8"/>
  <c r="AA72" i="8"/>
  <c r="AA63" i="8"/>
  <c r="AA45" i="8"/>
  <c r="AA61" i="8"/>
  <c r="AA43" i="8"/>
  <c r="AA58" i="8"/>
  <c r="AA69" i="8"/>
  <c r="AA50" i="8"/>
  <c r="AA64" i="8"/>
  <c r="AA46" i="8"/>
  <c r="AA70" i="8"/>
  <c r="AA51" i="8"/>
  <c r="AA60" i="8"/>
  <c r="S57" i="8"/>
  <c r="S72" i="8"/>
  <c r="S63" i="8"/>
  <c r="S61" i="8"/>
  <c r="S43" i="8"/>
  <c r="S58" i="8"/>
  <c r="S69" i="8"/>
  <c r="S50" i="8"/>
  <c r="S67" i="8"/>
  <c r="S62" i="8"/>
  <c r="S44" i="8"/>
  <c r="S73" i="8"/>
  <c r="S71" i="8"/>
  <c r="S52" i="8"/>
  <c r="S68" i="8"/>
  <c r="S49" i="8"/>
  <c r="S59" i="8"/>
  <c r="S45" i="8"/>
  <c r="S60" i="8"/>
  <c r="S64" i="8"/>
  <c r="S46" i="8"/>
  <c r="S70" i="8"/>
  <c r="S51" i="8"/>
  <c r="R70" i="8"/>
  <c r="R51" i="8"/>
  <c r="R67" i="8"/>
  <c r="R58" i="8"/>
  <c r="R71" i="8"/>
  <c r="R52" i="8"/>
  <c r="R62" i="8"/>
  <c r="R44" i="8"/>
  <c r="R60" i="8"/>
  <c r="R57" i="8"/>
  <c r="R68" i="8"/>
  <c r="R49" i="8"/>
  <c r="R64" i="8"/>
  <c r="R46" i="8"/>
  <c r="R61" i="8"/>
  <c r="R43" i="8"/>
  <c r="R72" i="8"/>
  <c r="R69" i="8"/>
  <c r="R50" i="8"/>
  <c r="R73" i="8"/>
  <c r="R59" i="8"/>
  <c r="R63" i="8"/>
  <c r="R45" i="8"/>
  <c r="AB36" i="8"/>
  <c r="J36" i="8" s="1"/>
  <c r="AB34" i="8"/>
  <c r="J34" i="8" s="1"/>
  <c r="AB32" i="8"/>
  <c r="X32" i="8" s="1"/>
  <c r="AB30" i="8"/>
  <c r="Q30" i="8" s="1"/>
  <c r="AB26" i="8"/>
  <c r="X26" i="8" s="1"/>
  <c r="AB24" i="8"/>
  <c r="X24" i="8" s="1"/>
  <c r="AB37" i="8"/>
  <c r="J37" i="8" s="1"/>
  <c r="AB35" i="8"/>
  <c r="J35" i="8" s="1"/>
  <c r="AB33" i="8"/>
  <c r="J33" i="8" s="1"/>
  <c r="AB31" i="8"/>
  <c r="Q31" i="8" s="1"/>
  <c r="AB27" i="8"/>
  <c r="X27" i="8" s="1"/>
  <c r="AB25" i="8"/>
  <c r="J25" i="8" s="1"/>
  <c r="AB23" i="8"/>
  <c r="X23" i="8" s="1"/>
  <c r="J122" i="10"/>
  <c r="U191" i="8"/>
  <c r="L216" i="8"/>
  <c r="U216" i="8"/>
  <c r="N216" i="8"/>
  <c r="R216" i="8"/>
  <c r="R214" i="8" s="1"/>
  <c r="H63" i="10"/>
  <c r="I241" i="8"/>
  <c r="I240" i="8" s="1"/>
  <c r="I244" i="8"/>
  <c r="N244" i="8"/>
  <c r="H73" i="10"/>
  <c r="H68" i="10"/>
  <c r="BI4" i="9"/>
  <c r="H57" i="10"/>
  <c r="Q241" i="8"/>
  <c r="N241" i="8"/>
  <c r="N240" i="8" s="1"/>
  <c r="L241" i="8"/>
  <c r="J247" i="10"/>
  <c r="J245" i="10" s="1"/>
  <c r="H52" i="10"/>
  <c r="H51" i="10"/>
  <c r="H61" i="10"/>
  <c r="I216" i="8"/>
  <c r="H50" i="10"/>
  <c r="H71" i="10"/>
  <c r="AH16" i="10" s="1"/>
  <c r="U241" i="8"/>
  <c r="U240" i="8" s="1"/>
  <c r="H64" i="10"/>
  <c r="R244" i="8"/>
  <c r="U244" i="8"/>
  <c r="AA121" i="8"/>
  <c r="AA77" i="8" s="1"/>
  <c r="U77" i="8"/>
  <c r="Z77" i="8"/>
  <c r="G78" i="10"/>
  <c r="L77" i="8"/>
  <c r="M121" i="8"/>
  <c r="M77" i="8" s="1"/>
  <c r="H59" i="10"/>
  <c r="H62" i="10"/>
  <c r="H72" i="10"/>
  <c r="G224" i="10"/>
  <c r="AG71" i="10" s="1"/>
  <c r="P77" i="8"/>
  <c r="Y216" i="8"/>
  <c r="V241" i="8"/>
  <c r="Y241" i="8"/>
  <c r="Y240" i="8" s="1"/>
  <c r="V244" i="8"/>
  <c r="Y244" i="8"/>
  <c r="Q77" i="8"/>
  <c r="N121" i="8"/>
  <c r="N77" i="8" s="1"/>
  <c r="AL11" i="9"/>
  <c r="M17" i="9"/>
  <c r="M6" i="24" s="1"/>
  <c r="AH19" i="10"/>
  <c r="H78" i="10"/>
  <c r="S17" i="9"/>
  <c r="S6" i="24" s="1"/>
  <c r="AR11" i="9"/>
  <c r="AR10" i="9" s="1"/>
  <c r="H108" i="10"/>
  <c r="AH30" i="10"/>
  <c r="T17" i="9"/>
  <c r="T6" i="24" s="1"/>
  <c r="AS11" i="9"/>
  <c r="AS10" i="9" s="1"/>
  <c r="F17" i="9"/>
  <c r="F6" i="24" s="1"/>
  <c r="AE11" i="9"/>
  <c r="AE10" i="9" s="1"/>
  <c r="O17" i="9"/>
  <c r="O6" i="24" s="1"/>
  <c r="AN11" i="9"/>
  <c r="AN10" i="9" s="1"/>
  <c r="AU11" i="9"/>
  <c r="AU10" i="9" s="1"/>
  <c r="V17" i="9"/>
  <c r="V6" i="24" s="1"/>
  <c r="AJ11" i="9"/>
  <c r="AJ10" i="9" s="1"/>
  <c r="K17" i="9"/>
  <c r="K6" i="24" s="1"/>
  <c r="AT11" i="9"/>
  <c r="AT10" i="9" s="1"/>
  <c r="U17" i="9"/>
  <c r="U6" i="24" s="1"/>
  <c r="AQ11" i="9"/>
  <c r="R17" i="9"/>
  <c r="R6" i="24" s="1"/>
  <c r="AD11" i="9"/>
  <c r="AD10" i="9" s="1"/>
  <c r="E17" i="9"/>
  <c r="E6" i="24" s="1"/>
  <c r="AP11" i="9"/>
  <c r="AP10" i="9" s="1"/>
  <c r="Q17" i="9"/>
  <c r="Q6" i="24" s="1"/>
  <c r="AI11" i="9"/>
  <c r="AI10" i="9" s="1"/>
  <c r="J17" i="9"/>
  <c r="J6" i="24" s="1"/>
  <c r="AG11" i="9"/>
  <c r="H17" i="9"/>
  <c r="H6" i="24" s="1"/>
  <c r="N17" i="9"/>
  <c r="N6" i="24" s="1"/>
  <c r="AM11" i="9"/>
  <c r="AM10" i="9" s="1"/>
  <c r="G17" i="9"/>
  <c r="G6" i="24" s="1"/>
  <c r="AF11" i="9"/>
  <c r="AF10" i="9" s="1"/>
  <c r="W17" i="9"/>
  <c r="W6" i="24" s="1"/>
  <c r="AV11" i="9"/>
  <c r="AO11" i="9"/>
  <c r="AO10" i="9" s="1"/>
  <c r="P17" i="9"/>
  <c r="P6" i="24" s="1"/>
  <c r="H210" i="10"/>
  <c r="AH58" i="10" s="1"/>
  <c r="K191" i="8"/>
  <c r="I191" i="10"/>
  <c r="AI60" i="10" s="1"/>
  <c r="J210" i="10"/>
  <c r="AJ58" i="10" s="1"/>
  <c r="J172" i="8"/>
  <c r="J191" i="8"/>
  <c r="I210" i="10"/>
  <c r="AI58" i="10" s="1"/>
  <c r="AA248" i="8"/>
  <c r="J249" i="10"/>
  <c r="J248" i="10" s="1"/>
  <c r="G236" i="10"/>
  <c r="G235" i="10" s="1"/>
  <c r="L235" i="8"/>
  <c r="V248" i="8"/>
  <c r="I249" i="10"/>
  <c r="I248" i="10" s="1"/>
  <c r="L248" i="8"/>
  <c r="G249" i="10"/>
  <c r="G248" i="10" s="1"/>
  <c r="I236" i="10"/>
  <c r="I235" i="10" s="1"/>
  <c r="V235" i="8"/>
  <c r="J234" i="10"/>
  <c r="AA233" i="8"/>
  <c r="Q248" i="8"/>
  <c r="H249" i="10"/>
  <c r="H248" i="10" s="1"/>
  <c r="H236" i="10"/>
  <c r="H235" i="10" s="1"/>
  <c r="Q235" i="8"/>
  <c r="H234" i="10"/>
  <c r="Q233" i="8"/>
  <c r="J236" i="10"/>
  <c r="J235" i="10" s="1"/>
  <c r="AA235" i="8"/>
  <c r="L233" i="8"/>
  <c r="G234" i="10"/>
  <c r="I234" i="10"/>
  <c r="V233" i="8"/>
  <c r="H77" i="9"/>
  <c r="H78" i="9"/>
  <c r="J191" i="10"/>
  <c r="AJ60" i="10" s="1"/>
  <c r="AJ61" i="10"/>
  <c r="S77" i="9"/>
  <c r="S78" i="9"/>
  <c r="F10" i="9"/>
  <c r="F5" i="24" s="1"/>
  <c r="AE8" i="9"/>
  <c r="AE7" i="9" s="1"/>
  <c r="T77" i="9"/>
  <c r="T78" i="9"/>
  <c r="V77" i="9"/>
  <c r="V78" i="9"/>
  <c r="P77" i="9"/>
  <c r="P78" i="9"/>
  <c r="H43" i="10"/>
  <c r="W42" i="8"/>
  <c r="AB21" i="8"/>
  <c r="I21" i="8" s="1"/>
  <c r="AB15" i="8"/>
  <c r="Q15" i="8" s="1"/>
  <c r="AB7" i="8"/>
  <c r="U7" i="8" s="1"/>
  <c r="D10" i="9"/>
  <c r="D5" i="24" s="1"/>
  <c r="D4" i="24" s="1"/>
  <c r="AB205" i="8"/>
  <c r="U205" i="8" s="1"/>
  <c r="AC8" i="9"/>
  <c r="AB13" i="8"/>
  <c r="J13" i="8" s="1"/>
  <c r="AB206" i="8"/>
  <c r="AB6" i="8"/>
  <c r="J6" i="8" s="1"/>
  <c r="AB14" i="8"/>
  <c r="X14" i="8" s="1"/>
  <c r="AB9" i="8"/>
  <c r="U9" i="8" s="1"/>
  <c r="AB17" i="8"/>
  <c r="X17" i="8" s="1"/>
  <c r="AB20" i="8"/>
  <c r="J20" i="8" s="1"/>
  <c r="AB16" i="8"/>
  <c r="K16" i="8" s="1"/>
  <c r="AB8" i="8"/>
  <c r="K8" i="8" s="1"/>
  <c r="O10" i="9"/>
  <c r="O5" i="24" s="1"/>
  <c r="AN8" i="9"/>
  <c r="AN7" i="9" s="1"/>
  <c r="AH8" i="9"/>
  <c r="AH7" i="9" s="1"/>
  <c r="I10" i="9"/>
  <c r="I5" i="24" s="1"/>
  <c r="I4" i="24" s="1"/>
  <c r="AG8" i="9"/>
  <c r="H10" i="9"/>
  <c r="H5" i="24" s="1"/>
  <c r="W10" i="9"/>
  <c r="W5" i="24" s="1"/>
  <c r="Y68" i="9"/>
  <c r="AV8" i="9"/>
  <c r="AR8" i="9"/>
  <c r="AR7" i="9" s="1"/>
  <c r="S10" i="9"/>
  <c r="S5" i="24" s="1"/>
  <c r="AU8" i="9"/>
  <c r="AU7" i="9" s="1"/>
  <c r="V10" i="9"/>
  <c r="V5" i="24" s="1"/>
  <c r="AO8" i="9"/>
  <c r="AO7" i="9" s="1"/>
  <c r="P10" i="9"/>
  <c r="P5" i="24" s="1"/>
  <c r="U77" i="9"/>
  <c r="U78" i="9"/>
  <c r="M10" i="9"/>
  <c r="M5" i="24" s="1"/>
  <c r="AL8" i="9"/>
  <c r="L77" i="9"/>
  <c r="L78" i="9"/>
  <c r="Q78" i="9"/>
  <c r="Q77" i="9"/>
  <c r="AF8" i="9"/>
  <c r="AF7" i="9" s="1"/>
  <c r="G10" i="9"/>
  <c r="G5" i="24" s="1"/>
  <c r="O77" i="9"/>
  <c r="O78" i="9"/>
  <c r="G210" i="10"/>
  <c r="AG58" i="10" s="1"/>
  <c r="J77" i="9"/>
  <c r="J78" i="9"/>
  <c r="U10" i="9"/>
  <c r="U5" i="24" s="1"/>
  <c r="AT8" i="9"/>
  <c r="AT7" i="9" s="1"/>
  <c r="M77" i="9"/>
  <c r="M78" i="9"/>
  <c r="AK8" i="9"/>
  <c r="AK7" i="9" s="1"/>
  <c r="L10" i="9"/>
  <c r="L5" i="24" s="1"/>
  <c r="L4" i="24" s="1"/>
  <c r="W56" i="8"/>
  <c r="C82" i="9"/>
  <c r="C5" i="24"/>
  <c r="C4" i="24" s="1"/>
  <c r="G191" i="10"/>
  <c r="AG60" i="10" s="1"/>
  <c r="E10" i="9"/>
  <c r="E5" i="24" s="1"/>
  <c r="AD8" i="9"/>
  <c r="AD7" i="9" s="1"/>
  <c r="N77" i="9"/>
  <c r="N78" i="9"/>
  <c r="W77" i="9"/>
  <c r="W78" i="9"/>
  <c r="K77" i="9"/>
  <c r="K78" i="9"/>
  <c r="J10" i="9"/>
  <c r="J5" i="24" s="1"/>
  <c r="AI8" i="9"/>
  <c r="AI7" i="9" s="1"/>
  <c r="AS8" i="9"/>
  <c r="AS7" i="9" s="1"/>
  <c r="T10" i="9"/>
  <c r="T5" i="24" s="1"/>
  <c r="Q10" i="9"/>
  <c r="Q5" i="24" s="1"/>
  <c r="AP8" i="9"/>
  <c r="AP7" i="9" s="1"/>
  <c r="H172" i="10"/>
  <c r="I77" i="9"/>
  <c r="I78" i="9"/>
  <c r="AM8" i="9"/>
  <c r="AM7" i="9" s="1"/>
  <c r="N10" i="9"/>
  <c r="N5" i="24" s="1"/>
  <c r="F149" i="10"/>
  <c r="F150" i="10"/>
  <c r="AF43" i="10" s="1"/>
  <c r="F151" i="10"/>
  <c r="F152" i="10"/>
  <c r="AF44" i="10" s="1"/>
  <c r="F160" i="10"/>
  <c r="O19" i="8" l="1"/>
  <c r="H207" i="10"/>
  <c r="H252" i="10"/>
  <c r="G172" i="10"/>
  <c r="H20" i="10"/>
  <c r="I241" i="10"/>
  <c r="I240" i="10" s="1"/>
  <c r="L240" i="8"/>
  <c r="J60" i="10"/>
  <c r="J64" i="10"/>
  <c r="J72" i="10"/>
  <c r="J44" i="10"/>
  <c r="I69" i="10"/>
  <c r="AI14" i="10" s="1"/>
  <c r="I67" i="10"/>
  <c r="I49" i="10"/>
  <c r="G61" i="10"/>
  <c r="G51" i="10"/>
  <c r="G58" i="10"/>
  <c r="J216" i="10"/>
  <c r="J214" i="10" s="1"/>
  <c r="AJ63" i="10" s="1"/>
  <c r="J46" i="10"/>
  <c r="J58" i="10"/>
  <c r="J63" i="10"/>
  <c r="J49" i="10"/>
  <c r="J73" i="10"/>
  <c r="J67" i="10"/>
  <c r="I50" i="10"/>
  <c r="I63" i="10"/>
  <c r="I72" i="10"/>
  <c r="I64" i="10"/>
  <c r="I60" i="10"/>
  <c r="G67" i="10"/>
  <c r="G71" i="10"/>
  <c r="AG16" i="10" s="1"/>
  <c r="G68" i="10"/>
  <c r="G73" i="10"/>
  <c r="G69" i="10"/>
  <c r="AG14" i="10" s="1"/>
  <c r="I243" i="10"/>
  <c r="H243" i="10"/>
  <c r="J243" i="10"/>
  <c r="J68" i="10"/>
  <c r="I59" i="10"/>
  <c r="I43" i="10"/>
  <c r="I62" i="10"/>
  <c r="G62" i="10"/>
  <c r="G72" i="10"/>
  <c r="V214" i="8"/>
  <c r="H244" i="10"/>
  <c r="G21" i="10"/>
  <c r="J51" i="10"/>
  <c r="J50" i="10"/>
  <c r="J61" i="10"/>
  <c r="J57" i="10"/>
  <c r="J52" i="10"/>
  <c r="J62" i="10"/>
  <c r="I73" i="10"/>
  <c r="I51" i="10"/>
  <c r="I61" i="10"/>
  <c r="I68" i="10"/>
  <c r="AR9" i="10" s="1"/>
  <c r="G57" i="10"/>
  <c r="G63" i="10"/>
  <c r="G70" i="10"/>
  <c r="G46" i="10"/>
  <c r="G60" i="10"/>
  <c r="Q214" i="8"/>
  <c r="G243" i="10"/>
  <c r="H241" i="10"/>
  <c r="H240" i="10" s="1"/>
  <c r="L214" i="8"/>
  <c r="H30" i="10"/>
  <c r="J70" i="10"/>
  <c r="J69" i="10"/>
  <c r="AJ14" i="10" s="1"/>
  <c r="J45" i="10"/>
  <c r="J59" i="10"/>
  <c r="J71" i="10"/>
  <c r="AJ16" i="10" s="1"/>
  <c r="I45" i="10"/>
  <c r="I58" i="10"/>
  <c r="I70" i="10"/>
  <c r="I46" i="10"/>
  <c r="I71" i="10"/>
  <c r="AI16" i="10" s="1"/>
  <c r="G59" i="10"/>
  <c r="G64" i="10"/>
  <c r="J241" i="10"/>
  <c r="J240" i="10" s="1"/>
  <c r="I19" i="10"/>
  <c r="G19" i="10"/>
  <c r="W4" i="24"/>
  <c r="Y242" i="8"/>
  <c r="N242" i="8"/>
  <c r="I242" i="8"/>
  <c r="I216" i="10"/>
  <c r="I214" i="10" s="1"/>
  <c r="AI63" i="10" s="1"/>
  <c r="I217" i="10"/>
  <c r="G217" i="10"/>
  <c r="H217" i="10"/>
  <c r="J217" i="10"/>
  <c r="U242" i="8"/>
  <c r="O242" i="8"/>
  <c r="AA214" i="8"/>
  <c r="U214" i="8"/>
  <c r="X242" i="8"/>
  <c r="Z242" i="8"/>
  <c r="Y214" i="8"/>
  <c r="O214" i="8"/>
  <c r="N214" i="8"/>
  <c r="I214" i="8"/>
  <c r="X214" i="8"/>
  <c r="Q242" i="8"/>
  <c r="W242" i="8"/>
  <c r="J242" i="8"/>
  <c r="T242" i="8"/>
  <c r="K242" i="8"/>
  <c r="S242" i="8"/>
  <c r="R242" i="8"/>
  <c r="V242" i="8"/>
  <c r="AA242" i="8"/>
  <c r="L242" i="8"/>
  <c r="AJ8" i="9"/>
  <c r="AJ7" i="9" s="1"/>
  <c r="O206" i="8"/>
  <c r="I172" i="10"/>
  <c r="S32" i="8"/>
  <c r="P32" i="8"/>
  <c r="Y37" i="8"/>
  <c r="R78" i="9"/>
  <c r="R82" i="9" s="1"/>
  <c r="Y206" i="8"/>
  <c r="U30" i="8"/>
  <c r="AA27" i="8"/>
  <c r="I27" i="8"/>
  <c r="AJ62" i="10"/>
  <c r="AP9" i="10"/>
  <c r="G77" i="10"/>
  <c r="AQ9" i="10"/>
  <c r="J121" i="10"/>
  <c r="J77" i="10" s="1"/>
  <c r="L6" i="8"/>
  <c r="AA240" i="8"/>
  <c r="O37" i="8"/>
  <c r="P205" i="8"/>
  <c r="G43" i="10"/>
  <c r="H216" i="10"/>
  <c r="I44" i="10"/>
  <c r="R37" i="8"/>
  <c r="Y27" i="8"/>
  <c r="L27" i="8"/>
  <c r="V27" i="8"/>
  <c r="O27" i="8"/>
  <c r="I37" i="8"/>
  <c r="W30" i="8"/>
  <c r="M30" i="8"/>
  <c r="R27" i="8"/>
  <c r="P27" i="8"/>
  <c r="AA30" i="8"/>
  <c r="L37" i="8"/>
  <c r="V37" i="8"/>
  <c r="O30" i="8"/>
  <c r="T27" i="8"/>
  <c r="W27" i="8"/>
  <c r="K30" i="8"/>
  <c r="H191" i="10"/>
  <c r="AH60" i="10" s="1"/>
  <c r="Y30" i="8"/>
  <c r="AA37" i="8"/>
  <c r="L30" i="8"/>
  <c r="V30" i="8"/>
  <c r="S30" i="8"/>
  <c r="Z30" i="8"/>
  <c r="N30" i="8"/>
  <c r="G44" i="10"/>
  <c r="Y23" i="8"/>
  <c r="S42" i="8"/>
  <c r="P206" i="8"/>
  <c r="AQ8" i="9"/>
  <c r="AQ7" i="9" s="1"/>
  <c r="S206" i="8"/>
  <c r="X206" i="8"/>
  <c r="V206" i="8"/>
  <c r="I206" i="10" s="1"/>
  <c r="R36" i="8"/>
  <c r="O36" i="8"/>
  <c r="T35" i="8"/>
  <c r="W35" i="8"/>
  <c r="N27" i="8"/>
  <c r="M27" i="8"/>
  <c r="S37" i="8"/>
  <c r="Z37" i="8"/>
  <c r="M37" i="8"/>
  <c r="K27" i="8"/>
  <c r="Z27" i="8"/>
  <c r="N37" i="8"/>
  <c r="K37" i="8"/>
  <c r="U27" i="8"/>
  <c r="AA31" i="8"/>
  <c r="T31" i="8"/>
  <c r="L31" i="8"/>
  <c r="O31" i="8"/>
  <c r="O32" i="8"/>
  <c r="Z32" i="8"/>
  <c r="N32" i="8"/>
  <c r="R32" i="8"/>
  <c r="AA32" i="8"/>
  <c r="I31" i="8"/>
  <c r="R25" i="8"/>
  <c r="Z26" i="8"/>
  <c r="V26" i="8"/>
  <c r="W205" i="8"/>
  <c r="X42" i="8"/>
  <c r="P56" i="8"/>
  <c r="T42" i="8"/>
  <c r="R23" i="8"/>
  <c r="Y32" i="8"/>
  <c r="Y31" i="8"/>
  <c r="V31" i="8"/>
  <c r="I32" i="8"/>
  <c r="S31" i="8"/>
  <c r="T26" i="8"/>
  <c r="T32" i="8"/>
  <c r="U33" i="8"/>
  <c r="J43" i="10"/>
  <c r="P25" i="8"/>
  <c r="Y34" i="8"/>
  <c r="Y25" i="8"/>
  <c r="T34" i="8"/>
  <c r="V205" i="8"/>
  <c r="I205" i="10" s="1"/>
  <c r="Q205" i="8"/>
  <c r="H205" i="10" s="1"/>
  <c r="J244" i="10"/>
  <c r="P36" i="8"/>
  <c r="Y35" i="8"/>
  <c r="AA25" i="8"/>
  <c r="AA26" i="8"/>
  <c r="L35" i="8"/>
  <c r="L36" i="8"/>
  <c r="I35" i="8"/>
  <c r="S36" i="8"/>
  <c r="W25" i="8"/>
  <c r="N31" i="8"/>
  <c r="N25" i="8"/>
  <c r="M36" i="8"/>
  <c r="K35" i="8"/>
  <c r="N205" i="8"/>
  <c r="G244" i="10"/>
  <c r="L205" i="8"/>
  <c r="G205" i="10" s="1"/>
  <c r="S205" i="8"/>
  <c r="R35" i="8"/>
  <c r="P35" i="8"/>
  <c r="Y36" i="8"/>
  <c r="L26" i="8"/>
  <c r="V25" i="8"/>
  <c r="O35" i="8"/>
  <c r="Z35" i="8"/>
  <c r="Z36" i="8"/>
  <c r="W31" i="8"/>
  <c r="M25" i="8"/>
  <c r="K36" i="8"/>
  <c r="U31" i="8"/>
  <c r="U35" i="8"/>
  <c r="X205" i="8"/>
  <c r="P26" i="8"/>
  <c r="Y26" i="8"/>
  <c r="V36" i="8"/>
  <c r="O25" i="8"/>
  <c r="I25" i="8"/>
  <c r="S35" i="8"/>
  <c r="T25" i="8"/>
  <c r="W26" i="8"/>
  <c r="N36" i="8"/>
  <c r="M35" i="8"/>
  <c r="M26" i="8"/>
  <c r="AA42" i="8"/>
  <c r="K42" i="8"/>
  <c r="K56" i="8"/>
  <c r="M56" i="8"/>
  <c r="M42" i="8"/>
  <c r="O56" i="8"/>
  <c r="O42" i="8"/>
  <c r="Z56" i="8"/>
  <c r="Z42" i="8"/>
  <c r="J42" i="8"/>
  <c r="J56" i="8"/>
  <c r="X56" i="8"/>
  <c r="P42" i="8"/>
  <c r="T56" i="8"/>
  <c r="AA56" i="8"/>
  <c r="Z24" i="8"/>
  <c r="I57" i="10"/>
  <c r="J172" i="10"/>
  <c r="G49" i="10"/>
  <c r="P33" i="8"/>
  <c r="S24" i="8"/>
  <c r="W33" i="8"/>
  <c r="N23" i="8"/>
  <c r="O23" i="8"/>
  <c r="N33" i="8"/>
  <c r="M34" i="8"/>
  <c r="K34" i="8"/>
  <c r="U25" i="8"/>
  <c r="S56" i="8"/>
  <c r="U32" i="8"/>
  <c r="K31" i="8"/>
  <c r="R205" i="8"/>
  <c r="I205" i="8"/>
  <c r="Y205" i="8"/>
  <c r="K205" i="8"/>
  <c r="T205" i="8"/>
  <c r="Z205" i="8"/>
  <c r="AA205" i="8"/>
  <c r="J205" i="10" s="1"/>
  <c r="M205" i="8"/>
  <c r="R26" i="8"/>
  <c r="R30" i="8"/>
  <c r="R31" i="8"/>
  <c r="P31" i="8"/>
  <c r="P30" i="8"/>
  <c r="P37" i="8"/>
  <c r="AA35" i="8"/>
  <c r="AA36" i="8"/>
  <c r="L32" i="8"/>
  <c r="L25" i="8"/>
  <c r="V32" i="8"/>
  <c r="V35" i="8"/>
  <c r="O26" i="8"/>
  <c r="I30" i="8"/>
  <c r="I26" i="8"/>
  <c r="I36" i="8"/>
  <c r="S26" i="8"/>
  <c r="S27" i="8"/>
  <c r="S25" i="8"/>
  <c r="T36" i="8"/>
  <c r="T37" i="8"/>
  <c r="T30" i="8"/>
  <c r="Z31" i="8"/>
  <c r="Z25" i="8"/>
  <c r="W32" i="8"/>
  <c r="W36" i="8"/>
  <c r="W37" i="8"/>
  <c r="N35" i="8"/>
  <c r="N26" i="8"/>
  <c r="M31" i="8"/>
  <c r="M32" i="8"/>
  <c r="K25" i="8"/>
  <c r="K26" i="8"/>
  <c r="K32" i="8"/>
  <c r="U26" i="8"/>
  <c r="U37" i="8"/>
  <c r="U36" i="8"/>
  <c r="R206" i="8"/>
  <c r="N206" i="8"/>
  <c r="Z206" i="8"/>
  <c r="W206" i="8"/>
  <c r="L206" i="8"/>
  <c r="G206" i="10" s="1"/>
  <c r="M206" i="8"/>
  <c r="R34" i="8"/>
  <c r="P23" i="8"/>
  <c r="Y33" i="8"/>
  <c r="AA23" i="8"/>
  <c r="L33" i="8"/>
  <c r="L24" i="8"/>
  <c r="V23" i="8"/>
  <c r="I24" i="8"/>
  <c r="S33" i="8"/>
  <c r="Z23" i="8"/>
  <c r="Z33" i="8"/>
  <c r="W24" i="8"/>
  <c r="W23" i="8"/>
  <c r="M23" i="8"/>
  <c r="M33" i="8"/>
  <c r="K24" i="8"/>
  <c r="K33" i="8"/>
  <c r="K23" i="8"/>
  <c r="U23" i="8"/>
  <c r="U206" i="8"/>
  <c r="U204" i="8" s="1"/>
  <c r="K206" i="8"/>
  <c r="T206" i="8"/>
  <c r="AA206" i="8"/>
  <c r="J206" i="10" s="1"/>
  <c r="R24" i="8"/>
  <c r="P24" i="8"/>
  <c r="AA24" i="8"/>
  <c r="L23" i="8"/>
  <c r="V34" i="8"/>
  <c r="V33" i="8"/>
  <c r="O24" i="8"/>
  <c r="O33" i="8"/>
  <c r="I23" i="8"/>
  <c r="I34" i="8"/>
  <c r="S34" i="8"/>
  <c r="T23" i="8"/>
  <c r="T24" i="8"/>
  <c r="Z34" i="8"/>
  <c r="W34" i="8"/>
  <c r="N24" i="8"/>
  <c r="N34" i="8"/>
  <c r="M24" i="8"/>
  <c r="I206" i="8"/>
  <c r="Q206" i="8"/>
  <c r="H206" i="10" s="1"/>
  <c r="R33" i="8"/>
  <c r="P34" i="8"/>
  <c r="Y24" i="8"/>
  <c r="AA34" i="8"/>
  <c r="AA33" i="8"/>
  <c r="L34" i="8"/>
  <c r="V24" i="8"/>
  <c r="O34" i="8"/>
  <c r="I33" i="8"/>
  <c r="S23" i="8"/>
  <c r="T33" i="8"/>
  <c r="U34" i="8"/>
  <c r="U24" i="8"/>
  <c r="R6" i="8"/>
  <c r="R13" i="8"/>
  <c r="P13" i="8"/>
  <c r="P15" i="8"/>
  <c r="P21" i="8"/>
  <c r="Y17" i="8"/>
  <c r="Y13" i="8"/>
  <c r="Y14" i="8"/>
  <c r="AA13" i="8"/>
  <c r="AA8" i="8"/>
  <c r="AA9" i="8"/>
  <c r="L14" i="8"/>
  <c r="L9" i="8"/>
  <c r="L17" i="8"/>
  <c r="L13" i="8"/>
  <c r="V16" i="8"/>
  <c r="V6" i="8"/>
  <c r="V20" i="8"/>
  <c r="O15" i="8"/>
  <c r="O8" i="8"/>
  <c r="O17" i="8"/>
  <c r="I8" i="8"/>
  <c r="I17" i="8"/>
  <c r="I13" i="8"/>
  <c r="S13" i="8"/>
  <c r="S14" i="8"/>
  <c r="S21" i="8"/>
  <c r="S20" i="8"/>
  <c r="T13" i="8"/>
  <c r="T9" i="8"/>
  <c r="T21" i="8"/>
  <c r="Z16" i="8"/>
  <c r="W8" i="8"/>
  <c r="W14" i="8"/>
  <c r="N9" i="8"/>
  <c r="N17" i="8"/>
  <c r="N13" i="8"/>
  <c r="N21" i="8"/>
  <c r="M15" i="8"/>
  <c r="M20" i="8"/>
  <c r="M16" i="8"/>
  <c r="K15" i="8"/>
  <c r="K7" i="8"/>
  <c r="K9" i="8"/>
  <c r="K20" i="8"/>
  <c r="U17" i="8"/>
  <c r="U16" i="8"/>
  <c r="Q8" i="8"/>
  <c r="Q24" i="8"/>
  <c r="Q17" i="8"/>
  <c r="Q27" i="8"/>
  <c r="Q34" i="8"/>
  <c r="X7" i="8"/>
  <c r="X33" i="8"/>
  <c r="X36" i="8"/>
  <c r="X21" i="8"/>
  <c r="X37" i="8"/>
  <c r="X35" i="8"/>
  <c r="J15" i="8"/>
  <c r="J17" i="8"/>
  <c r="J21" i="8"/>
  <c r="J32" i="8"/>
  <c r="J30" i="8"/>
  <c r="J27" i="8"/>
  <c r="R7" i="8"/>
  <c r="R15" i="8"/>
  <c r="P16" i="8"/>
  <c r="P20" i="8"/>
  <c r="Y8" i="8"/>
  <c r="Y16" i="8"/>
  <c r="Y9" i="8"/>
  <c r="Y21" i="8"/>
  <c r="AA16" i="8"/>
  <c r="AA7" i="8"/>
  <c r="AA20" i="8"/>
  <c r="AJ8" i="10" s="1"/>
  <c r="L16" i="8"/>
  <c r="L8" i="8"/>
  <c r="V8" i="8"/>
  <c r="V7" i="8"/>
  <c r="O6" i="8"/>
  <c r="O14" i="8"/>
  <c r="O7" i="8"/>
  <c r="I6" i="8"/>
  <c r="I16" i="8"/>
  <c r="I9" i="8"/>
  <c r="S17" i="8"/>
  <c r="S6" i="8"/>
  <c r="T6" i="8"/>
  <c r="T14" i="8"/>
  <c r="T8" i="8"/>
  <c r="Z15" i="8"/>
  <c r="Z20" i="8"/>
  <c r="Z9" i="8"/>
  <c r="W17" i="8"/>
  <c r="W7" i="8"/>
  <c r="W21" i="8"/>
  <c r="W20" i="8"/>
  <c r="N15" i="8"/>
  <c r="N20" i="8"/>
  <c r="M7" i="8"/>
  <c r="M8" i="8"/>
  <c r="K14" i="8"/>
  <c r="U15" i="8"/>
  <c r="U8" i="8"/>
  <c r="U20" i="8"/>
  <c r="Q13" i="8"/>
  <c r="Q33" i="8"/>
  <c r="Q7" i="8"/>
  <c r="Q36" i="8"/>
  <c r="Q20" i="8"/>
  <c r="Q21" i="8"/>
  <c r="X9" i="8"/>
  <c r="X25" i="8"/>
  <c r="X16" i="8"/>
  <c r="X20" i="8"/>
  <c r="X31" i="8"/>
  <c r="J16" i="8"/>
  <c r="J23" i="8"/>
  <c r="J9" i="8"/>
  <c r="J24" i="8"/>
  <c r="R9" i="8"/>
  <c r="R8" i="8"/>
  <c r="R21" i="8"/>
  <c r="P14" i="8"/>
  <c r="P9" i="8"/>
  <c r="P17" i="8"/>
  <c r="Y15" i="8"/>
  <c r="AA15" i="8"/>
  <c r="L15" i="8"/>
  <c r="L20" i="8"/>
  <c r="L21" i="8"/>
  <c r="V9" i="8"/>
  <c r="V17" i="8"/>
  <c r="V14" i="8"/>
  <c r="O9" i="8"/>
  <c r="O20" i="8"/>
  <c r="O16" i="8"/>
  <c r="I14" i="8"/>
  <c r="I7" i="8"/>
  <c r="I20" i="8"/>
  <c r="S9" i="8"/>
  <c r="S8" i="8"/>
  <c r="S16" i="8"/>
  <c r="T17" i="8"/>
  <c r="T16" i="8"/>
  <c r="T20" i="8"/>
  <c r="Z6" i="8"/>
  <c r="Z14" i="8"/>
  <c r="Z21" i="8"/>
  <c r="W6" i="8"/>
  <c r="W16" i="8"/>
  <c r="W13" i="8"/>
  <c r="N6" i="8"/>
  <c r="N16" i="8"/>
  <c r="M14" i="8"/>
  <c r="M13" i="8"/>
  <c r="M21" i="8"/>
  <c r="K13" i="8"/>
  <c r="K6" i="8"/>
  <c r="K21" i="8"/>
  <c r="U6" i="8"/>
  <c r="U13" i="8"/>
  <c r="U14" i="8"/>
  <c r="U21" i="8"/>
  <c r="Q9" i="8"/>
  <c r="Q25" i="8"/>
  <c r="Q16" i="8"/>
  <c r="Q35" i="8"/>
  <c r="Q32" i="8"/>
  <c r="Q37" i="8"/>
  <c r="X8" i="8"/>
  <c r="X6" i="8"/>
  <c r="X15" i="8"/>
  <c r="X30" i="8"/>
  <c r="J8" i="8"/>
  <c r="J31" i="8"/>
  <c r="J14" i="8"/>
  <c r="J7" i="8"/>
  <c r="J26" i="8"/>
  <c r="R16" i="8"/>
  <c r="R14" i="8"/>
  <c r="R17" i="8"/>
  <c r="R20" i="8"/>
  <c r="P6" i="8"/>
  <c r="P7" i="8"/>
  <c r="P8" i="8"/>
  <c r="Y7" i="8"/>
  <c r="Y6" i="8"/>
  <c r="Y20" i="8"/>
  <c r="AA6" i="8"/>
  <c r="AA17" i="8"/>
  <c r="AA14" i="8"/>
  <c r="AA21" i="8"/>
  <c r="L7" i="8"/>
  <c r="V15" i="8"/>
  <c r="V13" i="8"/>
  <c r="V21" i="8"/>
  <c r="O13" i="8"/>
  <c r="O21" i="8"/>
  <c r="I15" i="8"/>
  <c r="S15" i="8"/>
  <c r="S7" i="8"/>
  <c r="T7" i="8"/>
  <c r="T15" i="8"/>
  <c r="Z8" i="8"/>
  <c r="Z17" i="8"/>
  <c r="Z13" i="8"/>
  <c r="Z7" i="8"/>
  <c r="W9" i="8"/>
  <c r="W15" i="8"/>
  <c r="N7" i="8"/>
  <c r="N8" i="8"/>
  <c r="N14" i="8"/>
  <c r="M6" i="8"/>
  <c r="M17" i="8"/>
  <c r="M9" i="8"/>
  <c r="K17" i="8"/>
  <c r="Q14" i="8"/>
  <c r="Q6" i="8"/>
  <c r="Q26" i="8"/>
  <c r="Q23" i="8"/>
  <c r="X34" i="8"/>
  <c r="X13" i="8"/>
  <c r="G52" i="10"/>
  <c r="G45" i="10"/>
  <c r="G50" i="10"/>
  <c r="Q240" i="8"/>
  <c r="H45" i="10"/>
  <c r="U42" i="8"/>
  <c r="G216" i="10"/>
  <c r="R42" i="8"/>
  <c r="I42" i="8"/>
  <c r="G241" i="10"/>
  <c r="G240" i="10" s="1"/>
  <c r="I244" i="10"/>
  <c r="H49" i="10"/>
  <c r="L42" i="8"/>
  <c r="N42" i="8"/>
  <c r="N56" i="8"/>
  <c r="Q42" i="8"/>
  <c r="I77" i="10"/>
  <c r="E4" i="24"/>
  <c r="J4" i="24"/>
  <c r="R56" i="8"/>
  <c r="N4" i="24"/>
  <c r="I56" i="8"/>
  <c r="U4" i="24"/>
  <c r="M4" i="24"/>
  <c r="V4" i="24"/>
  <c r="U56" i="8"/>
  <c r="Q4" i="24"/>
  <c r="H44" i="10"/>
  <c r="H4" i="24"/>
  <c r="R4" i="24"/>
  <c r="P4" i="24"/>
  <c r="V56" i="8"/>
  <c r="Q56" i="8"/>
  <c r="L56" i="8"/>
  <c r="H56" i="10"/>
  <c r="Y56" i="8"/>
  <c r="V42" i="8"/>
  <c r="I52" i="10"/>
  <c r="H77" i="10"/>
  <c r="S4" i="24"/>
  <c r="Y42" i="8"/>
  <c r="V240" i="8"/>
  <c r="G4" i="24"/>
  <c r="O4" i="24"/>
  <c r="T4" i="24"/>
  <c r="F4" i="24"/>
  <c r="BB11" i="9"/>
  <c r="BI20" i="9" s="1"/>
  <c r="AL10" i="9"/>
  <c r="BB10" i="9" s="1"/>
  <c r="K4" i="24"/>
  <c r="BD11" i="9"/>
  <c r="BK20" i="9" s="1"/>
  <c r="AV10" i="9"/>
  <c r="BD10" i="9" s="1"/>
  <c r="BA11" i="9"/>
  <c r="BH20" i="9" s="1"/>
  <c r="AG10" i="9"/>
  <c r="BA10" i="9" s="1"/>
  <c r="BC11" i="9"/>
  <c r="BJ20" i="9" s="1"/>
  <c r="AQ10" i="9"/>
  <c r="BC10" i="9" s="1"/>
  <c r="H31" i="10"/>
  <c r="AJ64" i="10"/>
  <c r="AH64" i="10"/>
  <c r="I233" i="10"/>
  <c r="AR14" i="10" s="1"/>
  <c r="AI85" i="10"/>
  <c r="AI109" i="10" s="1"/>
  <c r="J233" i="10"/>
  <c r="AS14" i="10" s="1"/>
  <c r="AJ85" i="10"/>
  <c r="AJ109" i="10" s="1"/>
  <c r="AI64" i="10"/>
  <c r="G233" i="10"/>
  <c r="AG85" i="10"/>
  <c r="AG109" i="10" s="1"/>
  <c r="AG64" i="10"/>
  <c r="H233" i="10"/>
  <c r="AQ14" i="10" s="1"/>
  <c r="AH85" i="10"/>
  <c r="AH109" i="10" s="1"/>
  <c r="AP5" i="9"/>
  <c r="AP4" i="9" s="1"/>
  <c r="Q82" i="9"/>
  <c r="BB8" i="9"/>
  <c r="BI19" i="9" s="1"/>
  <c r="AL7" i="9"/>
  <c r="BD8" i="9"/>
  <c r="BK19" i="9" s="1"/>
  <c r="AV7" i="9"/>
  <c r="AG7" i="9"/>
  <c r="BA8" i="9"/>
  <c r="BH19" i="9" s="1"/>
  <c r="AO5" i="9"/>
  <c r="AO4" i="9" s="1"/>
  <c r="P82" i="9"/>
  <c r="AS5" i="9"/>
  <c r="AS4" i="9" s="1"/>
  <c r="T82" i="9"/>
  <c r="I82" i="9"/>
  <c r="AH5" i="9"/>
  <c r="AH4" i="9" s="1"/>
  <c r="W84" i="9"/>
  <c r="AV5" i="9"/>
  <c r="W82" i="9"/>
  <c r="H90" i="9"/>
  <c r="H96" i="9" s="1"/>
  <c r="AK5" i="9"/>
  <c r="AK4" i="9" s="1"/>
  <c r="L82" i="9"/>
  <c r="AZ8" i="9"/>
  <c r="BG19" i="9" s="1"/>
  <c r="AC7" i="9"/>
  <c r="AZ7" i="9" s="1"/>
  <c r="J206" i="8"/>
  <c r="AR5" i="9"/>
  <c r="AR4" i="9" s="1"/>
  <c r="S82" i="9"/>
  <c r="M84" i="9"/>
  <c r="F90" i="9"/>
  <c r="F96" i="9" s="1"/>
  <c r="AL5" i="9"/>
  <c r="M82" i="9"/>
  <c r="O82" i="9"/>
  <c r="AN5" i="9"/>
  <c r="AN4" i="9" s="1"/>
  <c r="U82" i="9"/>
  <c r="AT5" i="9"/>
  <c r="AT4" i="9" s="1"/>
  <c r="W41" i="8"/>
  <c r="AU5" i="9"/>
  <c r="AU4" i="9" s="1"/>
  <c r="V82" i="9"/>
  <c r="J205" i="8"/>
  <c r="E90" i="9"/>
  <c r="E96" i="9" s="1"/>
  <c r="H82" i="9"/>
  <c r="AG5" i="9"/>
  <c r="H84" i="9"/>
  <c r="K82" i="9"/>
  <c r="AJ5" i="9"/>
  <c r="AJ4" i="9" s="1"/>
  <c r="N82" i="9"/>
  <c r="AM5" i="9"/>
  <c r="AM4" i="9" s="1"/>
  <c r="J82" i="9"/>
  <c r="AI5" i="9"/>
  <c r="AI4" i="9" s="1"/>
  <c r="H15" i="10"/>
  <c r="O205" i="8"/>
  <c r="F148" i="10"/>
  <c r="AF42" i="10" s="1"/>
  <c r="F162" i="10"/>
  <c r="F163" i="10"/>
  <c r="F164" i="10"/>
  <c r="F165" i="10"/>
  <c r="F166" i="10"/>
  <c r="F167" i="10"/>
  <c r="AF49" i="10" s="1"/>
  <c r="F168" i="10"/>
  <c r="H161" i="8"/>
  <c r="H147" i="8" s="1"/>
  <c r="H2" i="8" s="1"/>
  <c r="I242" i="10" l="1"/>
  <c r="AI8" i="10"/>
  <c r="G242" i="10"/>
  <c r="J242" i="10"/>
  <c r="H242" i="10"/>
  <c r="J56" i="10"/>
  <c r="G56" i="10"/>
  <c r="I17" i="10"/>
  <c r="H33" i="10"/>
  <c r="I7" i="10"/>
  <c r="G16" i="10"/>
  <c r="AG7" i="10" s="1"/>
  <c r="H34" i="10"/>
  <c r="H24" i="10"/>
  <c r="I16" i="10"/>
  <c r="AI7" i="10" s="1"/>
  <c r="G14" i="10"/>
  <c r="J33" i="10"/>
  <c r="I34" i="10"/>
  <c r="J23" i="10"/>
  <c r="I32" i="10"/>
  <c r="J35" i="10"/>
  <c r="G26" i="10"/>
  <c r="G35" i="10"/>
  <c r="J42" i="10"/>
  <c r="G31" i="10"/>
  <c r="I30" i="10"/>
  <c r="G6" i="10"/>
  <c r="J14" i="10"/>
  <c r="H16" i="10"/>
  <c r="AH7" i="10" s="1"/>
  <c r="I15" i="10"/>
  <c r="H25" i="10"/>
  <c r="H13" i="10"/>
  <c r="I20" i="10"/>
  <c r="J34" i="10"/>
  <c r="G30" i="10"/>
  <c r="I37" i="10"/>
  <c r="H26" i="10"/>
  <c r="G7" i="10"/>
  <c r="J6" i="10"/>
  <c r="H32" i="10"/>
  <c r="J21" i="10"/>
  <c r="J15" i="10"/>
  <c r="H36" i="10"/>
  <c r="J7" i="10"/>
  <c r="H27" i="10"/>
  <c r="AH9" i="10" s="1"/>
  <c r="G17" i="10"/>
  <c r="I24" i="10"/>
  <c r="J24" i="10"/>
  <c r="G24" i="10"/>
  <c r="G32" i="10"/>
  <c r="I56" i="10"/>
  <c r="J25" i="10"/>
  <c r="I31" i="10"/>
  <c r="I26" i="10"/>
  <c r="J32" i="10"/>
  <c r="J31" i="10"/>
  <c r="J37" i="10"/>
  <c r="G37" i="10"/>
  <c r="I27" i="10"/>
  <c r="AI9" i="10" s="1"/>
  <c r="H14" i="10"/>
  <c r="I13" i="10"/>
  <c r="G20" i="10"/>
  <c r="H23" i="10"/>
  <c r="J17" i="10"/>
  <c r="H37" i="10"/>
  <c r="J9" i="10"/>
  <c r="I23" i="10"/>
  <c r="G25" i="10"/>
  <c r="J26" i="10"/>
  <c r="H6" i="10"/>
  <c r="H35" i="10"/>
  <c r="I21" i="10"/>
  <c r="I14" i="10"/>
  <c r="H7" i="10"/>
  <c r="J16" i="10"/>
  <c r="AJ7" i="10" s="1"/>
  <c r="H21" i="10"/>
  <c r="H17" i="10"/>
  <c r="G34" i="10"/>
  <c r="I33" i="10"/>
  <c r="G33" i="10"/>
  <c r="I35" i="10"/>
  <c r="J36" i="10"/>
  <c r="I36" i="10"/>
  <c r="I25" i="10"/>
  <c r="G36" i="10"/>
  <c r="J30" i="10"/>
  <c r="G27" i="10"/>
  <c r="AG9" i="10" s="1"/>
  <c r="J27" i="10"/>
  <c r="AJ9" i="10" s="1"/>
  <c r="AG8" i="10"/>
  <c r="J20" i="10"/>
  <c r="AJ34" i="10"/>
  <c r="G214" i="10"/>
  <c r="AG63" i="10" s="1"/>
  <c r="H214" i="10"/>
  <c r="AH63" i="10" s="1"/>
  <c r="AS9" i="10"/>
  <c r="Y204" i="8"/>
  <c r="O204" i="8"/>
  <c r="AQ5" i="9"/>
  <c r="AQ4" i="9" s="1"/>
  <c r="BC4" i="9" s="1"/>
  <c r="BC8" i="9"/>
  <c r="BJ19" i="9" s="1"/>
  <c r="R84" i="9"/>
  <c r="G90" i="9"/>
  <c r="G96" i="9" s="1"/>
  <c r="I42" i="10"/>
  <c r="P41" i="8"/>
  <c r="S204" i="8"/>
  <c r="Z41" i="8"/>
  <c r="X41" i="8"/>
  <c r="V204" i="8"/>
  <c r="N204" i="8"/>
  <c r="X204" i="8"/>
  <c r="S41" i="8"/>
  <c r="P204" i="8"/>
  <c r="M41" i="8"/>
  <c r="K204" i="8"/>
  <c r="W204" i="8"/>
  <c r="AA41" i="8"/>
  <c r="R204" i="8"/>
  <c r="H42" i="10"/>
  <c r="H41" i="10" s="1"/>
  <c r="T41" i="8"/>
  <c r="O41" i="8"/>
  <c r="G13" i="10"/>
  <c r="G23" i="10"/>
  <c r="J41" i="8"/>
  <c r="K41" i="8"/>
  <c r="I204" i="8"/>
  <c r="J8" i="10"/>
  <c r="H9" i="10"/>
  <c r="U41" i="8"/>
  <c r="Z204" i="8"/>
  <c r="T204" i="8"/>
  <c r="I6" i="10"/>
  <c r="M204" i="8"/>
  <c r="Q204" i="8"/>
  <c r="G8" i="10"/>
  <c r="H8" i="10"/>
  <c r="L204" i="8"/>
  <c r="AA204" i="8"/>
  <c r="I9" i="10"/>
  <c r="AH8" i="10"/>
  <c r="K22" i="8"/>
  <c r="R5" i="8"/>
  <c r="I8" i="10"/>
  <c r="G15" i="10"/>
  <c r="L41" i="8"/>
  <c r="G42" i="10"/>
  <c r="N41" i="8"/>
  <c r="I41" i="8"/>
  <c r="R41" i="8"/>
  <c r="Q41" i="8"/>
  <c r="V41" i="8"/>
  <c r="K5" i="8"/>
  <c r="Y41" i="8"/>
  <c r="J13" i="10"/>
  <c r="S5" i="8"/>
  <c r="Z5" i="8"/>
  <c r="P5" i="8"/>
  <c r="Y5" i="8"/>
  <c r="N5" i="8"/>
  <c r="G9" i="10"/>
  <c r="W22" i="8"/>
  <c r="W5" i="8"/>
  <c r="M5" i="8"/>
  <c r="T22" i="8"/>
  <c r="L22" i="8"/>
  <c r="X5" i="8"/>
  <c r="J204" i="8"/>
  <c r="M22" i="8"/>
  <c r="U5" i="8"/>
  <c r="N22" i="8"/>
  <c r="Z22" i="8"/>
  <c r="Y22" i="8"/>
  <c r="I22" i="8"/>
  <c r="U22" i="8"/>
  <c r="P22" i="8"/>
  <c r="R22" i="8"/>
  <c r="T5" i="8"/>
  <c r="I5" i="8"/>
  <c r="AA22" i="8"/>
  <c r="L5" i="8"/>
  <c r="V22" i="8"/>
  <c r="S22" i="8"/>
  <c r="X22" i="8"/>
  <c r="Q22" i="8"/>
  <c r="Q5" i="8"/>
  <c r="V5" i="8"/>
  <c r="AA5" i="8"/>
  <c r="AG117" i="10"/>
  <c r="AG148" i="10"/>
  <c r="AJ148" i="10"/>
  <c r="AJ117" i="10"/>
  <c r="AP14" i="10"/>
  <c r="U234" i="10"/>
  <c r="U233" i="10" s="1"/>
  <c r="AI117" i="10"/>
  <c r="AI148" i="10"/>
  <c r="AH117" i="10"/>
  <c r="AH148" i="10"/>
  <c r="O22" i="8"/>
  <c r="BC7" i="9"/>
  <c r="AZ1" i="9"/>
  <c r="J5" i="8"/>
  <c r="BB5" i="9"/>
  <c r="BI18" i="9" s="1"/>
  <c r="AL4" i="9"/>
  <c r="BB4" i="9" s="1"/>
  <c r="I204" i="10"/>
  <c r="AV4" i="9"/>
  <c r="BD4" i="9" s="1"/>
  <c r="BD5" i="9"/>
  <c r="BK18" i="9" s="1"/>
  <c r="J22" i="8"/>
  <c r="BA1" i="9"/>
  <c r="BD7" i="9"/>
  <c r="AG4" i="9"/>
  <c r="BA4" i="9" s="1"/>
  <c r="BA5" i="9"/>
  <c r="BH18" i="9" s="1"/>
  <c r="H204" i="10"/>
  <c r="O5" i="8"/>
  <c r="BA7" i="9"/>
  <c r="AX1" i="9"/>
  <c r="BB7" i="9"/>
  <c r="AY1" i="9"/>
  <c r="G204" i="10"/>
  <c r="AO8" i="10"/>
  <c r="F161" i="10"/>
  <c r="F147" i="10" s="1"/>
  <c r="AF45" i="10"/>
  <c r="AF50" i="10" s="1"/>
  <c r="AE147" i="8"/>
  <c r="J41" i="10" l="1"/>
  <c r="G41" i="10"/>
  <c r="G22" i="10"/>
  <c r="I41" i="10"/>
  <c r="J22" i="10"/>
  <c r="I22" i="10"/>
  <c r="H22" i="10"/>
  <c r="BC5" i="9"/>
  <c r="BJ18" i="9" s="1"/>
  <c r="R4" i="8"/>
  <c r="L4" i="8"/>
  <c r="J5" i="10"/>
  <c r="AS6" i="10" s="1"/>
  <c r="AS5" i="10" s="1"/>
  <c r="I5" i="10"/>
  <c r="AR6" i="10" s="1"/>
  <c r="AR5" i="10" s="1"/>
  <c r="H5" i="10"/>
  <c r="J204" i="10"/>
  <c r="G5" i="10"/>
  <c r="AG5" i="10" s="1"/>
  <c r="K4" i="8"/>
  <c r="Y4" i="8"/>
  <c r="N4" i="8"/>
  <c r="T4" i="8"/>
  <c r="Z4" i="8"/>
  <c r="S4" i="8"/>
  <c r="W4" i="8"/>
  <c r="P4" i="8"/>
  <c r="AA4" i="8"/>
  <c r="M4" i="8"/>
  <c r="X4" i="8"/>
  <c r="Q4" i="8"/>
  <c r="I4" i="8"/>
  <c r="U4" i="8"/>
  <c r="V4" i="8"/>
  <c r="O4" i="8"/>
  <c r="J4" i="8"/>
  <c r="AC155" i="8"/>
  <c r="AC156" i="8"/>
  <c r="AC153" i="8"/>
  <c r="AC154" i="8"/>
  <c r="AC149" i="8"/>
  <c r="AC160" i="8"/>
  <c r="AC152" i="8"/>
  <c r="AC164" i="8"/>
  <c r="AC162" i="8"/>
  <c r="AC167" i="8"/>
  <c r="AC150" i="8"/>
  <c r="AC151" i="8"/>
  <c r="AC168" i="8"/>
  <c r="AC163" i="8"/>
  <c r="AC166" i="8"/>
  <c r="AC165" i="8"/>
  <c r="AF146" i="10"/>
  <c r="AF145" i="10" s="1"/>
  <c r="AF56" i="10"/>
  <c r="AF4" i="10" s="1"/>
  <c r="H4" i="10" l="1"/>
  <c r="I4" i="10"/>
  <c r="AI5" i="10"/>
  <c r="AJ5" i="10"/>
  <c r="J4" i="10"/>
  <c r="T4" i="10" s="1"/>
  <c r="X4" i="10" s="1"/>
  <c r="AH5" i="10"/>
  <c r="AQ6" i="10"/>
  <c r="AQ5" i="10" s="1"/>
  <c r="R166" i="8"/>
  <c r="N166" i="8"/>
  <c r="W166" i="8"/>
  <c r="J166" i="8"/>
  <c r="S166" i="8"/>
  <c r="X166" i="8"/>
  <c r="K166" i="8"/>
  <c r="Q166" i="8"/>
  <c r="V166" i="8"/>
  <c r="Z166" i="8"/>
  <c r="U166" i="8"/>
  <c r="T166" i="8"/>
  <c r="I166" i="8"/>
  <c r="L166" i="8"/>
  <c r="P166" i="8"/>
  <c r="M166" i="8"/>
  <c r="Y166" i="8"/>
  <c r="AA166" i="8"/>
  <c r="O166" i="8"/>
  <c r="N150" i="8"/>
  <c r="W150" i="8"/>
  <c r="R150" i="8"/>
  <c r="M150" i="8"/>
  <c r="I150" i="8"/>
  <c r="Q150" i="8"/>
  <c r="AA150" i="8"/>
  <c r="U150" i="8"/>
  <c r="Y150" i="8"/>
  <c r="O150" i="8"/>
  <c r="J150" i="8"/>
  <c r="S150" i="8"/>
  <c r="V150" i="8"/>
  <c r="X150" i="8"/>
  <c r="T150" i="8"/>
  <c r="K150" i="8"/>
  <c r="L150" i="8"/>
  <c r="Z150" i="8"/>
  <c r="P150" i="8"/>
  <c r="N152" i="8"/>
  <c r="R152" i="8"/>
  <c r="W152" i="8"/>
  <c r="Y152" i="8"/>
  <c r="L152" i="8"/>
  <c r="J152" i="8"/>
  <c r="S152" i="8"/>
  <c r="V152" i="8"/>
  <c r="T152" i="8"/>
  <c r="AA152" i="8"/>
  <c r="O152" i="8"/>
  <c r="P152" i="8"/>
  <c r="M152" i="8"/>
  <c r="I152" i="8"/>
  <c r="K152" i="8"/>
  <c r="Q152" i="8"/>
  <c r="Z152" i="8"/>
  <c r="X152" i="8"/>
  <c r="U152" i="8"/>
  <c r="W153" i="8"/>
  <c r="N153" i="8"/>
  <c r="R153" i="8"/>
  <c r="M153" i="8"/>
  <c r="I153" i="8"/>
  <c r="X153" i="8"/>
  <c r="Y153" i="8"/>
  <c r="AA153" i="8"/>
  <c r="L153" i="8"/>
  <c r="O153" i="8"/>
  <c r="J153" i="8"/>
  <c r="V153" i="8"/>
  <c r="T153" i="8"/>
  <c r="K153" i="8"/>
  <c r="Q153" i="8"/>
  <c r="Z153" i="8"/>
  <c r="P153" i="8"/>
  <c r="S153" i="8"/>
  <c r="U153" i="8"/>
  <c r="W163" i="8"/>
  <c r="R163" i="8"/>
  <c r="N163" i="8"/>
  <c r="K163" i="8"/>
  <c r="Q163" i="8"/>
  <c r="Z163" i="8"/>
  <c r="T163" i="8"/>
  <c r="M163" i="8"/>
  <c r="L163" i="8"/>
  <c r="O163" i="8"/>
  <c r="S163" i="8"/>
  <c r="U163" i="8"/>
  <c r="I163" i="8"/>
  <c r="J163" i="8"/>
  <c r="Y163" i="8"/>
  <c r="AA163" i="8"/>
  <c r="V163" i="8"/>
  <c r="X163" i="8"/>
  <c r="P163" i="8"/>
  <c r="W167" i="8"/>
  <c r="R167" i="8"/>
  <c r="N167" i="8"/>
  <c r="M167" i="8"/>
  <c r="AA167" i="8"/>
  <c r="Q167" i="8"/>
  <c r="O167" i="8"/>
  <c r="P167" i="8"/>
  <c r="Y167" i="8"/>
  <c r="S167" i="8"/>
  <c r="X167" i="8"/>
  <c r="U167" i="8"/>
  <c r="K167" i="8"/>
  <c r="J167" i="8"/>
  <c r="Z167" i="8"/>
  <c r="T167" i="8"/>
  <c r="I167" i="8"/>
  <c r="L167" i="8"/>
  <c r="V167" i="8"/>
  <c r="W160" i="8"/>
  <c r="R160" i="8"/>
  <c r="N160" i="8"/>
  <c r="Y160" i="8"/>
  <c r="J160" i="8"/>
  <c r="V160" i="8"/>
  <c r="Q160" i="8"/>
  <c r="S160" i="8"/>
  <c r="Z160" i="8"/>
  <c r="T160" i="8"/>
  <c r="M160" i="8"/>
  <c r="AA160" i="8"/>
  <c r="X160" i="8"/>
  <c r="P160" i="8"/>
  <c r="U160" i="8"/>
  <c r="I160" i="8"/>
  <c r="K160" i="8"/>
  <c r="L160" i="8"/>
  <c r="O160" i="8"/>
  <c r="W156" i="8"/>
  <c r="N156" i="8"/>
  <c r="R156" i="8"/>
  <c r="Y156" i="8"/>
  <c r="AA156" i="8"/>
  <c r="O156" i="8"/>
  <c r="S156" i="8"/>
  <c r="Z156" i="8"/>
  <c r="T156" i="8"/>
  <c r="K156" i="8"/>
  <c r="Q156" i="8"/>
  <c r="J156" i="8"/>
  <c r="V156" i="8"/>
  <c r="X156" i="8"/>
  <c r="P156" i="8"/>
  <c r="M156" i="8"/>
  <c r="L156" i="8"/>
  <c r="U156" i="8"/>
  <c r="I156" i="8"/>
  <c r="W168" i="8"/>
  <c r="R168" i="8"/>
  <c r="N168" i="8"/>
  <c r="I168" i="8"/>
  <c r="L168" i="8"/>
  <c r="M168" i="8"/>
  <c r="AA168" i="8"/>
  <c r="Q168" i="8"/>
  <c r="O168" i="8"/>
  <c r="Y168" i="8"/>
  <c r="S168" i="8"/>
  <c r="V168" i="8"/>
  <c r="Z168" i="8"/>
  <c r="X168" i="8"/>
  <c r="U168" i="8"/>
  <c r="K168" i="8"/>
  <c r="J168" i="8"/>
  <c r="P168" i="8"/>
  <c r="T168" i="8"/>
  <c r="W162" i="8"/>
  <c r="R162" i="8"/>
  <c r="N162" i="8"/>
  <c r="I162" i="8"/>
  <c r="P162" i="8"/>
  <c r="Y162" i="8"/>
  <c r="J162" i="8"/>
  <c r="X162" i="8"/>
  <c r="AA162" i="8"/>
  <c r="Q162" i="8"/>
  <c r="L162" i="8"/>
  <c r="O162" i="8"/>
  <c r="S162" i="8"/>
  <c r="V162" i="8"/>
  <c r="T162" i="8"/>
  <c r="M162" i="8"/>
  <c r="K162" i="8"/>
  <c r="Z162" i="8"/>
  <c r="U162" i="8"/>
  <c r="R149" i="8"/>
  <c r="W149" i="8"/>
  <c r="N149" i="8"/>
  <c r="AA149" i="8"/>
  <c r="O149" i="8"/>
  <c r="J149" i="8"/>
  <c r="V149" i="8"/>
  <c r="U149" i="8"/>
  <c r="K149" i="8"/>
  <c r="Y149" i="8"/>
  <c r="L149" i="8"/>
  <c r="Z149" i="8"/>
  <c r="X149" i="8"/>
  <c r="P149" i="8"/>
  <c r="I149" i="8"/>
  <c r="S149" i="8"/>
  <c r="T149" i="8"/>
  <c r="M149" i="8"/>
  <c r="Q149" i="8"/>
  <c r="R155" i="8"/>
  <c r="N155" i="8"/>
  <c r="W155" i="8"/>
  <c r="K155" i="8"/>
  <c r="Y155" i="8"/>
  <c r="U155" i="8"/>
  <c r="I155" i="8"/>
  <c r="P155" i="8"/>
  <c r="M155" i="8"/>
  <c r="J155" i="8"/>
  <c r="V155" i="8"/>
  <c r="Z155" i="8"/>
  <c r="X155" i="8"/>
  <c r="AA155" i="8"/>
  <c r="Q155" i="8"/>
  <c r="L155" i="8"/>
  <c r="O155" i="8"/>
  <c r="S155" i="8"/>
  <c r="T155" i="8"/>
  <c r="N165" i="8"/>
  <c r="W165" i="8"/>
  <c r="R165" i="8"/>
  <c r="K165" i="8"/>
  <c r="V165" i="8"/>
  <c r="Z165" i="8"/>
  <c r="X165" i="8"/>
  <c r="U165" i="8"/>
  <c r="M165" i="8"/>
  <c r="I165" i="8"/>
  <c r="AA165" i="8"/>
  <c r="L165" i="8"/>
  <c r="O165" i="8"/>
  <c r="Y165" i="8"/>
  <c r="Q165" i="8"/>
  <c r="J165" i="8"/>
  <c r="S165" i="8"/>
  <c r="P165" i="8"/>
  <c r="T165" i="8"/>
  <c r="W151" i="8"/>
  <c r="R151" i="8"/>
  <c r="N151" i="8"/>
  <c r="AA151" i="8"/>
  <c r="Q151" i="8"/>
  <c r="L151" i="8"/>
  <c r="O151" i="8"/>
  <c r="Z151" i="8"/>
  <c r="X151" i="8"/>
  <c r="P151" i="8"/>
  <c r="K151" i="8"/>
  <c r="T151" i="8"/>
  <c r="U151" i="8"/>
  <c r="M151" i="8"/>
  <c r="I151" i="8"/>
  <c r="Y151" i="8"/>
  <c r="J151" i="8"/>
  <c r="S151" i="8"/>
  <c r="V151" i="8"/>
  <c r="W164" i="8"/>
  <c r="R164" i="8"/>
  <c r="N164" i="8"/>
  <c r="M164" i="8"/>
  <c r="L164" i="8"/>
  <c r="P164" i="8"/>
  <c r="T164" i="8"/>
  <c r="I164" i="8"/>
  <c r="S164" i="8"/>
  <c r="K164" i="8"/>
  <c r="Y164" i="8"/>
  <c r="Q164" i="8"/>
  <c r="O164" i="8"/>
  <c r="AA164" i="8"/>
  <c r="J164" i="8"/>
  <c r="V164" i="8"/>
  <c r="Z164" i="8"/>
  <c r="X164" i="8"/>
  <c r="U164" i="8"/>
  <c r="N154" i="8"/>
  <c r="W154" i="8"/>
  <c r="R154" i="8"/>
  <c r="K154" i="8"/>
  <c r="S154" i="8"/>
  <c r="U154" i="8"/>
  <c r="M154" i="8"/>
  <c r="I154" i="8"/>
  <c r="L154" i="8"/>
  <c r="J154" i="8"/>
  <c r="V154" i="8"/>
  <c r="Z154" i="8"/>
  <c r="Y154" i="8"/>
  <c r="AA154" i="8"/>
  <c r="P154" i="8"/>
  <c r="Q154" i="8"/>
  <c r="O154" i="8"/>
  <c r="X154" i="8"/>
  <c r="T154" i="8"/>
  <c r="AP6" i="10"/>
  <c r="AP5" i="10" s="1"/>
  <c r="G4" i="10"/>
  <c r="H154" i="10" l="1"/>
  <c r="G151" i="10"/>
  <c r="I162" i="10"/>
  <c r="G163" i="10"/>
  <c r="H151" i="10"/>
  <c r="G165" i="10"/>
  <c r="G154" i="10"/>
  <c r="I164" i="10"/>
  <c r="AI45" i="10" s="1"/>
  <c r="H164" i="10"/>
  <c r="AH45" i="10" s="1"/>
  <c r="I151" i="10"/>
  <c r="J149" i="10"/>
  <c r="G162" i="10"/>
  <c r="G156" i="10"/>
  <c r="I156" i="10"/>
  <c r="J156" i="10"/>
  <c r="J160" i="10"/>
  <c r="I167" i="10"/>
  <c r="AI49" i="10" s="1"/>
  <c r="G153" i="10"/>
  <c r="H152" i="10"/>
  <c r="AH44" i="10" s="1"/>
  <c r="I152" i="10"/>
  <c r="AI44" i="10" s="1"/>
  <c r="J166" i="10"/>
  <c r="G166" i="10"/>
  <c r="I165" i="10"/>
  <c r="H149" i="10"/>
  <c r="I163" i="10"/>
  <c r="H163" i="10"/>
  <c r="I153" i="10"/>
  <c r="I166" i="10"/>
  <c r="I154" i="10"/>
  <c r="H155" i="10"/>
  <c r="J162" i="10"/>
  <c r="I168" i="10"/>
  <c r="H168" i="10"/>
  <c r="H156" i="10"/>
  <c r="G160" i="10"/>
  <c r="I160" i="10"/>
  <c r="J167" i="10"/>
  <c r="AJ49" i="10" s="1"/>
  <c r="J163" i="10"/>
  <c r="H153" i="10"/>
  <c r="J152" i="10"/>
  <c r="AJ44" i="10" s="1"/>
  <c r="G150" i="10"/>
  <c r="AG43" i="10" s="1"/>
  <c r="I150" i="10"/>
  <c r="AI43" i="10" s="1"/>
  <c r="H166" i="10"/>
  <c r="G155" i="10"/>
  <c r="H162" i="10"/>
  <c r="G168" i="10"/>
  <c r="G167" i="10"/>
  <c r="AG49" i="10" s="1"/>
  <c r="H167" i="10"/>
  <c r="AH49" i="10" s="1"/>
  <c r="J153" i="10"/>
  <c r="J164" i="10"/>
  <c r="AJ45" i="10" s="1"/>
  <c r="I155" i="10"/>
  <c r="J154" i="10"/>
  <c r="G164" i="10"/>
  <c r="AG45" i="10" s="1"/>
  <c r="H165" i="10"/>
  <c r="J165" i="10"/>
  <c r="J155" i="10"/>
  <c r="J168" i="10"/>
  <c r="G152" i="10"/>
  <c r="AG44" i="10" s="1"/>
  <c r="K161" i="8"/>
  <c r="H150" i="10"/>
  <c r="AH43" i="10" s="1"/>
  <c r="G149" i="10"/>
  <c r="J150" i="10"/>
  <c r="AJ43" i="10" s="1"/>
  <c r="I161" i="8"/>
  <c r="P161" i="8"/>
  <c r="V148" i="8"/>
  <c r="I148" i="8"/>
  <c r="N148" i="8"/>
  <c r="U161" i="8"/>
  <c r="X161" i="8"/>
  <c r="J161" i="8"/>
  <c r="T161" i="8"/>
  <c r="N161" i="8"/>
  <c r="M148" i="8"/>
  <c r="P148" i="8"/>
  <c r="W148" i="8"/>
  <c r="M161" i="8"/>
  <c r="R148" i="8"/>
  <c r="Q148" i="8"/>
  <c r="V161" i="8"/>
  <c r="Y161" i="8"/>
  <c r="R161" i="8"/>
  <c r="U148" i="8"/>
  <c r="K148" i="8"/>
  <c r="K147" i="8" s="1"/>
  <c r="O148" i="8"/>
  <c r="I149" i="10"/>
  <c r="H160" i="10"/>
  <c r="L148" i="8"/>
  <c r="J148" i="8"/>
  <c r="Z161" i="8"/>
  <c r="O161" i="8"/>
  <c r="S161" i="8"/>
  <c r="W161" i="8"/>
  <c r="Q161" i="8"/>
  <c r="Y148" i="8"/>
  <c r="Z148" i="8"/>
  <c r="AA148" i="8"/>
  <c r="S148" i="8"/>
  <c r="T148" i="8"/>
  <c r="X148" i="8"/>
  <c r="AA161" i="8"/>
  <c r="J151" i="10"/>
  <c r="L161" i="8"/>
  <c r="G148" i="10" l="1"/>
  <c r="I161" i="10"/>
  <c r="I148" i="10"/>
  <c r="AI42" i="10" s="1"/>
  <c r="AI50" i="10" s="1"/>
  <c r="AI146" i="10" s="1"/>
  <c r="AI145" i="10" s="1"/>
  <c r="G161" i="10"/>
  <c r="H161" i="10"/>
  <c r="J161" i="10"/>
  <c r="L147" i="8"/>
  <c r="L2" i="8" s="1"/>
  <c r="T147" i="8"/>
  <c r="T2" i="8" s="1"/>
  <c r="I147" i="8"/>
  <c r="H148" i="10"/>
  <c r="AQ8" i="10" s="1"/>
  <c r="Q147" i="8"/>
  <c r="Q2" i="8" s="1"/>
  <c r="R147" i="8"/>
  <c r="R2" i="8" s="1"/>
  <c r="X147" i="8"/>
  <c r="X2" i="8" s="1"/>
  <c r="J147" i="8"/>
  <c r="O147" i="8"/>
  <c r="O2" i="8" s="1"/>
  <c r="J148" i="10"/>
  <c r="AJ42" i="10" s="1"/>
  <c r="AJ50" i="10" s="1"/>
  <c r="AJ146" i="10" s="1"/>
  <c r="AJ145" i="10" s="1"/>
  <c r="S147" i="8"/>
  <c r="S2" i="8" s="1"/>
  <c r="Z147" i="8"/>
  <c r="Z2" i="8" s="1"/>
  <c r="M147" i="8"/>
  <c r="M2" i="8" s="1"/>
  <c r="U147" i="8"/>
  <c r="U2" i="8" s="1"/>
  <c r="P147" i="8"/>
  <c r="P2" i="8" s="1"/>
  <c r="V147" i="8"/>
  <c r="V2" i="8" s="1"/>
  <c r="Y147" i="8"/>
  <c r="Y2" i="8" s="1"/>
  <c r="W147" i="8"/>
  <c r="W2" i="8" s="1"/>
  <c r="N147" i="8"/>
  <c r="N2" i="8" s="1"/>
  <c r="AA147" i="8"/>
  <c r="AA2" i="8" s="1"/>
  <c r="I147" i="10" l="1"/>
  <c r="AR8" i="10"/>
  <c r="G147" i="10"/>
  <c r="H147" i="10"/>
  <c r="AP8" i="10"/>
  <c r="AG42" i="10"/>
  <c r="AG50" i="10" s="1"/>
  <c r="AG146" i="10" s="1"/>
  <c r="AG145" i="10" s="1"/>
  <c r="AH42" i="10"/>
  <c r="AH50" i="10" s="1"/>
  <c r="AH56" i="10" s="1"/>
  <c r="AH4" i="10" s="1"/>
  <c r="AS8" i="10"/>
  <c r="J147" i="10"/>
  <c r="AJ56" i="10"/>
  <c r="AJ4" i="10" s="1"/>
  <c r="AI56" i="10"/>
  <c r="AI4" i="10" s="1"/>
  <c r="AG56" i="10" l="1"/>
  <c r="AG4" i="10" s="1"/>
  <c r="AH146" i="10"/>
  <c r="AH145" i="10" s="1"/>
  <c r="AE86" i="5"/>
  <c r="G102" i="37" s="1"/>
  <c r="G103" i="37" s="1"/>
  <c r="G104" i="37" s="1"/>
  <c r="F95" i="5"/>
  <c r="F3" i="5" s="1"/>
  <c r="E71" i="9" l="1"/>
  <c r="E69" i="9"/>
  <c r="AE88" i="5"/>
  <c r="AE95" i="5" s="1"/>
  <c r="AE3" i="5" s="1"/>
  <c r="G101" i="4"/>
  <c r="AL111" i="8" s="1"/>
  <c r="G102" i="4" l="1"/>
  <c r="AL112" i="8" s="1"/>
  <c r="E79" i="9"/>
  <c r="E70" i="9"/>
  <c r="G103" i="4" l="1"/>
  <c r="AL113" i="8" s="1"/>
  <c r="E76" i="9"/>
  <c r="AD35" i="9"/>
  <c r="E32" i="6" l="1"/>
  <c r="E78" i="9"/>
  <c r="E77" i="9"/>
  <c r="AF86" i="5"/>
  <c r="H102" i="37" s="1"/>
  <c r="H103" i="37" s="1"/>
  <c r="H104" i="37" s="1"/>
  <c r="G95" i="5"/>
  <c r="G3" i="5" s="1"/>
  <c r="E35" i="6" l="1"/>
  <c r="E36" i="6" s="1"/>
  <c r="E72" i="9"/>
  <c r="E33" i="6"/>
  <c r="AD5" i="9"/>
  <c r="E82" i="9"/>
  <c r="F71" i="9"/>
  <c r="F69" i="9"/>
  <c r="AD6" i="9"/>
  <c r="E83" i="9"/>
  <c r="AF88" i="5"/>
  <c r="AF95" i="5" s="1"/>
  <c r="AF3" i="5" s="1"/>
  <c r="H101" i="4"/>
  <c r="AM111" i="8" s="1"/>
  <c r="E73" i="9" l="1"/>
  <c r="AD36" i="9"/>
  <c r="AD34" i="9" s="1"/>
  <c r="AD4" i="9"/>
  <c r="F70" i="9"/>
  <c r="AE35" i="9" s="1"/>
  <c r="H102" i="4"/>
  <c r="AM112" i="8" s="1"/>
  <c r="F79" i="9"/>
  <c r="E14" i="24" l="1"/>
  <c r="I200" i="8"/>
  <c r="I2" i="8" s="1"/>
  <c r="F76" i="9"/>
  <c r="H103" i="4"/>
  <c r="AM113" i="8" s="1"/>
  <c r="F78" i="9" l="1"/>
  <c r="F77" i="9"/>
  <c r="F32" i="6"/>
  <c r="F72" i="9" s="1"/>
  <c r="AE5" i="9" l="1"/>
  <c r="F82" i="9"/>
  <c r="F35" i="6"/>
  <c r="F36" i="6" s="1"/>
  <c r="F33" i="6"/>
  <c r="F73" i="9"/>
  <c r="AE36" i="9"/>
  <c r="AE34" i="9" s="1"/>
  <c r="AE6" i="9" l="1"/>
  <c r="AE4" i="9" s="1"/>
  <c r="F83" i="9"/>
  <c r="F14" i="24"/>
  <c r="J200" i="8"/>
  <c r="J2" i="8" s="1"/>
  <c r="AG86" i="5"/>
  <c r="I102" i="37" s="1"/>
  <c r="I103" i="37" s="1"/>
  <c r="I104" i="37" s="1"/>
  <c r="H95" i="5"/>
  <c r="H3" i="5" s="1"/>
  <c r="G71" i="9" l="1"/>
  <c r="G69" i="9"/>
  <c r="AG88" i="5"/>
  <c r="AG95" i="5" s="1"/>
  <c r="AG3" i="5" s="1"/>
  <c r="I101" i="4"/>
  <c r="AN111" i="8" s="1"/>
  <c r="I102" i="4" l="1"/>
  <c r="AN112" i="8" s="1"/>
  <c r="G70" i="9"/>
  <c r="AF35" i="9" s="1"/>
  <c r="G79" i="9"/>
  <c r="G76" i="9"/>
  <c r="I103" i="4" l="1"/>
  <c r="AN113" i="8" s="1"/>
  <c r="G78" i="9"/>
  <c r="G77" i="9"/>
  <c r="G32" i="6" l="1"/>
  <c r="AF5" i="9"/>
  <c r="G82" i="9"/>
  <c r="G72" i="9" l="1"/>
  <c r="G33" i="6"/>
  <c r="G35" i="6"/>
  <c r="G36" i="6" s="1"/>
  <c r="AF6" i="9"/>
  <c r="AF4" i="9" s="1"/>
  <c r="G83" i="9"/>
  <c r="G73" i="9" l="1"/>
  <c r="AF36" i="9"/>
  <c r="AF34" i="9" s="1"/>
  <c r="G14" i="24" l="1"/>
  <c r="K200" i="8"/>
  <c r="K2" i="8" s="1"/>
  <c r="AS7" i="10"/>
</calcChain>
</file>

<file path=xl/comments1.xml><?xml version="1.0" encoding="utf-8"?>
<comments xmlns="http://schemas.openxmlformats.org/spreadsheetml/2006/main">
  <authors>
    <author>이민호</author>
  </authors>
  <commentList>
    <comment ref="C20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  <comment ref="C45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  <comment ref="C55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  <comment ref="C75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  <comment ref="C77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  <comment ref="C84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</commentList>
</comments>
</file>

<file path=xl/comments2.xml><?xml version="1.0" encoding="utf-8"?>
<comments xmlns="http://schemas.openxmlformats.org/spreadsheetml/2006/main">
  <authors>
    <author>이민호</author>
  </authors>
  <commentList>
    <comment ref="C20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  <comment ref="C45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  <comment ref="C55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  <comment ref="C75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  <comment ref="C77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  <comment ref="C84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</commentList>
</comments>
</file>

<file path=xl/comments3.xml><?xml version="1.0" encoding="utf-8"?>
<comments xmlns="http://schemas.openxmlformats.org/spreadsheetml/2006/main">
  <authors>
    <author>이민호</author>
  </authors>
  <commentList>
    <comment ref="AH4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  <comment ref="AH25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  <comment ref="AH61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  <comment ref="AH62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  <comment ref="AH111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사회적유입시트의 개발계획 명칭을 같게해서 넣으면 자동으로 값이 물림</t>
        </r>
      </text>
    </comment>
  </commentList>
</comments>
</file>

<file path=xl/comments4.xml><?xml version="1.0" encoding="utf-8"?>
<comments xmlns="http://schemas.openxmlformats.org/spreadsheetml/2006/main">
  <authors>
    <author>이민호</author>
  </authors>
  <commentList>
    <comment ref="F3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 xml:space="preserve">현재유입되고있는 처리구역 내국인인구 +각 단계별 추가유입 내국인인구
</t>
        </r>
      </text>
    </comment>
    <comment ref="G3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현재유입되고있는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처리구역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외국인인구</t>
        </r>
        <r>
          <rPr>
            <sz val="9"/>
            <color indexed="81"/>
            <rFont val="Tahoma"/>
            <family val="2"/>
          </rPr>
          <t xml:space="preserve"> +</t>
        </r>
        <r>
          <rPr>
            <sz val="9"/>
            <color indexed="81"/>
            <rFont val="돋움"/>
            <family val="3"/>
            <charset val="129"/>
          </rPr>
          <t>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단계별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추가유입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외국인인구</t>
        </r>
      </text>
    </comment>
    <comment ref="H3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장래인구 추정시에는 현재인구+각단계별인구를 더한 총인구를 이용하여 추정</t>
        </r>
      </text>
    </comment>
    <comment ref="F36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 xml:space="preserve">현재유입되고있는 처리구역 내국인인구 +각 단계별 추가유입 내국인인구
</t>
        </r>
      </text>
    </comment>
    <comment ref="G36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현재유입되고있는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처리구역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외국인인구</t>
        </r>
        <r>
          <rPr>
            <sz val="9"/>
            <color indexed="81"/>
            <rFont val="Tahoma"/>
            <family val="2"/>
          </rPr>
          <t xml:space="preserve"> +</t>
        </r>
        <r>
          <rPr>
            <sz val="9"/>
            <color indexed="81"/>
            <rFont val="돋움"/>
            <family val="3"/>
            <charset val="129"/>
          </rPr>
          <t>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단계별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추가유입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외국인인구</t>
        </r>
      </text>
    </comment>
    <comment ref="H36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장래인구 추정시에는 현재인구+각단계별인구를 더한 총인구를 이용하여 추정</t>
        </r>
      </text>
    </comment>
    <comment ref="F70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 xml:space="preserve">현재유입되고있는 처리구역 내국인인구 +각 단계별 추가유입 내국인인구
</t>
        </r>
      </text>
    </comment>
    <comment ref="G70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현재유입되고있는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처리구역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외국인인구</t>
        </r>
        <r>
          <rPr>
            <sz val="9"/>
            <color indexed="81"/>
            <rFont val="Tahoma"/>
            <family val="2"/>
          </rPr>
          <t xml:space="preserve"> +</t>
        </r>
        <r>
          <rPr>
            <sz val="9"/>
            <color indexed="81"/>
            <rFont val="돋움"/>
            <family val="3"/>
            <charset val="129"/>
          </rPr>
          <t>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단계별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추가유입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외국인인구</t>
        </r>
      </text>
    </comment>
    <comment ref="H70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장래인구 추정시에는 현재인구+각단계별인구를 더한 총인구를 이용하여 추정</t>
        </r>
      </text>
    </comment>
    <comment ref="F130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 xml:space="preserve">현재유입되고있는 처리구역 내국인인구 +각 단계별 추가유입 내국인인구
</t>
        </r>
      </text>
    </comment>
    <comment ref="G130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현재유입되고있는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처리구역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외국인인구</t>
        </r>
        <r>
          <rPr>
            <sz val="9"/>
            <color indexed="81"/>
            <rFont val="Tahoma"/>
            <family val="2"/>
          </rPr>
          <t xml:space="preserve"> +</t>
        </r>
        <r>
          <rPr>
            <sz val="9"/>
            <color indexed="81"/>
            <rFont val="돋움"/>
            <family val="3"/>
            <charset val="129"/>
          </rPr>
          <t>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단계별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추가유입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외국인인구</t>
        </r>
      </text>
    </comment>
    <comment ref="H130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장래인구 추정시에는 현재인구+각단계별인구를 더한 총인구를 이용하여 추정</t>
        </r>
      </text>
    </comment>
    <comment ref="F154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 xml:space="preserve">현재유입되고있는 처리구역 내국인인구 +각 단계별 추가유입 내국인인구
</t>
        </r>
      </text>
    </comment>
    <comment ref="G154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현재유입되고있는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처리구역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외국인인구</t>
        </r>
        <r>
          <rPr>
            <sz val="9"/>
            <color indexed="81"/>
            <rFont val="Tahoma"/>
            <family val="2"/>
          </rPr>
          <t xml:space="preserve"> +</t>
        </r>
        <r>
          <rPr>
            <sz val="9"/>
            <color indexed="81"/>
            <rFont val="돋움"/>
            <family val="3"/>
            <charset val="129"/>
          </rPr>
          <t>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단계별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추가유입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외국인인구</t>
        </r>
      </text>
    </comment>
    <comment ref="H154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장래인구 추정시에는 현재인구+각단계별인구를 더한 총인구를 이용하여 추정</t>
        </r>
      </text>
    </comment>
    <comment ref="F163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 xml:space="preserve">현재유입되고있는 처리구역 내국인인구 +각 단계별 추가유입 내국인인구
</t>
        </r>
      </text>
    </comment>
    <comment ref="G163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현재유입되고있는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처리구역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외국인인구</t>
        </r>
        <r>
          <rPr>
            <sz val="9"/>
            <color indexed="81"/>
            <rFont val="Tahoma"/>
            <family val="2"/>
          </rPr>
          <t xml:space="preserve"> +</t>
        </r>
        <r>
          <rPr>
            <sz val="9"/>
            <color indexed="81"/>
            <rFont val="돋움"/>
            <family val="3"/>
            <charset val="129"/>
          </rPr>
          <t>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단계별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추가유입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외국인인구</t>
        </r>
      </text>
    </comment>
    <comment ref="H163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장래인구 추정시에는 현재인구+각단계별인구를 더한 총인구를 이용하여 추정</t>
        </r>
      </text>
    </comment>
    <comment ref="F188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 xml:space="preserve">현재유입되고있는 처리구역 내국인인구 +각 단계별 추가유입 내국인인구
</t>
        </r>
      </text>
    </comment>
    <comment ref="G188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현재유입되고있는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처리구역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외국인인구</t>
        </r>
        <r>
          <rPr>
            <sz val="9"/>
            <color indexed="81"/>
            <rFont val="Tahoma"/>
            <family val="2"/>
          </rPr>
          <t xml:space="preserve"> +</t>
        </r>
        <r>
          <rPr>
            <sz val="9"/>
            <color indexed="81"/>
            <rFont val="돋움"/>
            <family val="3"/>
            <charset val="129"/>
          </rPr>
          <t>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단계별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추가유입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외국인인구</t>
        </r>
      </text>
    </comment>
    <comment ref="H188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장래인구 추정시에는 현재인구+각단계별인구를 더한 총인구를 이용하여 추정</t>
        </r>
      </text>
    </comment>
    <comment ref="F218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 xml:space="preserve">현재유입되고있는 처리구역 내국인인구 +각 단계별 추가유입 내국인인구
</t>
        </r>
      </text>
    </comment>
    <comment ref="G218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현재유입되고있는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처리구역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외국인인구</t>
        </r>
        <r>
          <rPr>
            <sz val="9"/>
            <color indexed="81"/>
            <rFont val="Tahoma"/>
            <family val="2"/>
          </rPr>
          <t xml:space="preserve"> +</t>
        </r>
        <r>
          <rPr>
            <sz val="9"/>
            <color indexed="81"/>
            <rFont val="돋움"/>
            <family val="3"/>
            <charset val="129"/>
          </rPr>
          <t>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단계별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추가유입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외국인인구</t>
        </r>
      </text>
    </comment>
    <comment ref="H218" authorId="0" shapeId="0">
      <text>
        <r>
          <rPr>
            <b/>
            <sz val="9"/>
            <color indexed="81"/>
            <rFont val="돋움"/>
            <family val="3"/>
            <charset val="129"/>
          </rPr>
          <t>이민호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장래인구 추정시에는 현재인구+각단계별인구를 더한 총인구를 이용하여 추정</t>
        </r>
      </text>
    </comment>
  </commentList>
</comments>
</file>

<file path=xl/sharedStrings.xml><?xml version="1.0" encoding="utf-8"?>
<sst xmlns="http://schemas.openxmlformats.org/spreadsheetml/2006/main" count="10340" uniqueCount="2285">
  <si>
    <t>처리
구역</t>
    <phoneticPr fontId="4" type="noConversion"/>
  </si>
  <si>
    <t>처리
분구</t>
    <phoneticPr fontId="4" type="noConversion"/>
  </si>
  <si>
    <t>읍ㆍ면</t>
    <phoneticPr fontId="4" type="noConversion"/>
  </si>
  <si>
    <t>법정리</t>
    <phoneticPr fontId="4" type="noConversion"/>
  </si>
  <si>
    <t>행정리</t>
    <phoneticPr fontId="4" type="noConversion"/>
  </si>
  <si>
    <t>비고</t>
    <phoneticPr fontId="4" type="noConversion"/>
  </si>
  <si>
    <t>총  계</t>
    <phoneticPr fontId="4" type="noConversion"/>
  </si>
  <si>
    <t>계</t>
    <phoneticPr fontId="4" type="noConversion"/>
  </si>
  <si>
    <t>우림필유아파트 인근</t>
    <phoneticPr fontId="4" type="noConversion"/>
  </si>
  <si>
    <t>산호오크힐아파츠</t>
    <phoneticPr fontId="4" type="noConversion"/>
  </si>
  <si>
    <t>계</t>
    <phoneticPr fontId="4" type="noConversion"/>
  </si>
  <si>
    <t>네이버 지도참조</t>
    <phoneticPr fontId="4" type="noConversion"/>
  </si>
  <si>
    <t>3단계하수관거</t>
    <phoneticPr fontId="4" type="noConversion"/>
  </si>
  <si>
    <t>처리
분구</t>
    <phoneticPr fontId="4" type="noConversion"/>
  </si>
  <si>
    <t>읍ㆍ면</t>
    <phoneticPr fontId="4" type="noConversion"/>
  </si>
  <si>
    <t>법정리</t>
    <phoneticPr fontId="4" type="noConversion"/>
  </si>
  <si>
    <t>행정리</t>
    <phoneticPr fontId="4" type="noConversion"/>
  </si>
  <si>
    <t>1. 처리구역인구</t>
    <phoneticPr fontId="4" type="noConversion"/>
  </si>
  <si>
    <t>처리
구역</t>
    <phoneticPr fontId="4" type="noConversion"/>
  </si>
  <si>
    <t>처리
분구</t>
    <phoneticPr fontId="4" type="noConversion"/>
  </si>
  <si>
    <t>읍ㆍ면</t>
    <phoneticPr fontId="4" type="noConversion"/>
  </si>
  <si>
    <t>법정리</t>
    <phoneticPr fontId="4" type="noConversion"/>
  </si>
  <si>
    <t>행정리</t>
    <phoneticPr fontId="4" type="noConversion"/>
  </si>
  <si>
    <t>총  계</t>
    <phoneticPr fontId="4" type="noConversion"/>
  </si>
  <si>
    <t>계</t>
    <phoneticPr fontId="4" type="noConversion"/>
  </si>
  <si>
    <t>처리
구역</t>
    <phoneticPr fontId="4" type="noConversion"/>
  </si>
  <si>
    <t>처리
분구</t>
    <phoneticPr fontId="4" type="noConversion"/>
  </si>
  <si>
    <t>읍ㆍ면</t>
    <phoneticPr fontId="4" type="noConversion"/>
  </si>
  <si>
    <t>법정리</t>
    <phoneticPr fontId="4" type="noConversion"/>
  </si>
  <si>
    <t>행정리</t>
    <phoneticPr fontId="4" type="noConversion"/>
  </si>
  <si>
    <t>네이버 지도참조 장관부영1,2차 포함됨</t>
    <phoneticPr fontId="4" type="noConversion"/>
  </si>
  <si>
    <t>덕산처리구역에 있는 한천리 5가구 샘으로추가</t>
    <phoneticPr fontId="3" type="noConversion"/>
  </si>
  <si>
    <t>계</t>
    <phoneticPr fontId="3" type="noConversion"/>
  </si>
  <si>
    <t>처리구역외14가구제외(샘으로구함)</t>
    <phoneticPr fontId="3" type="noConversion"/>
  </si>
  <si>
    <t>추가</t>
    <phoneticPr fontId="3" type="noConversion"/>
  </si>
  <si>
    <t>1단계인구</t>
    <phoneticPr fontId="3" type="noConversion"/>
  </si>
  <si>
    <t>처리구역외23가구제외(샘으로구함)</t>
    <phoneticPr fontId="3" type="noConversion"/>
  </si>
  <si>
    <t>전체인구</t>
    <phoneticPr fontId="3" type="noConversion"/>
  </si>
  <si>
    <t>처리구역외10가구제외(샘으로구함)</t>
    <phoneticPr fontId="3" type="noConversion"/>
  </si>
  <si>
    <t>1단계부터 인구 들어감</t>
    <phoneticPr fontId="3" type="noConversion"/>
  </si>
  <si>
    <t>장래인구추정시적용값</t>
    <phoneticPr fontId="3" type="noConversion"/>
  </si>
  <si>
    <t>세대당인구</t>
    <phoneticPr fontId="3" type="noConversion"/>
  </si>
  <si>
    <t xml:space="preserve">  1) 개발계획현황</t>
    <phoneticPr fontId="4" type="noConversion"/>
  </si>
  <si>
    <t>구  분</t>
    <phoneticPr fontId="4" type="noConversion"/>
  </si>
  <si>
    <t>위  치</t>
    <phoneticPr fontId="4" type="noConversion"/>
  </si>
  <si>
    <t>사업기간</t>
    <phoneticPr fontId="4" type="noConversion"/>
  </si>
  <si>
    <t>본 계획
반영</t>
    <phoneticPr fontId="4" type="noConversion"/>
  </si>
  <si>
    <t>총 세대수
(호)</t>
    <phoneticPr fontId="4" type="noConversion"/>
  </si>
  <si>
    <t>총 수용인구
(인)</t>
    <phoneticPr fontId="4" type="noConversion"/>
  </si>
  <si>
    <t>비  고</t>
    <phoneticPr fontId="4" type="noConversion"/>
  </si>
  <si>
    <t>세대(호)</t>
    <phoneticPr fontId="4" type="noConversion"/>
  </si>
  <si>
    <t>인구(인)</t>
    <phoneticPr fontId="4" type="noConversion"/>
  </si>
  <si>
    <t>합         계</t>
    <phoneticPr fontId="4" type="noConversion"/>
  </si>
  <si>
    <t>위  치</t>
    <phoneticPr fontId="4" type="noConversion"/>
  </si>
  <si>
    <t>면적
(천㎡)</t>
    <phoneticPr fontId="4" type="noConversion"/>
  </si>
  <si>
    <t>사업기간</t>
    <phoneticPr fontId="4" type="noConversion"/>
  </si>
  <si>
    <t>본 계획
반영</t>
    <phoneticPr fontId="4" type="noConversion"/>
  </si>
  <si>
    <t>총 세대수
(호)</t>
    <phoneticPr fontId="4" type="noConversion"/>
  </si>
  <si>
    <t>총 수용인구
(인)</t>
    <phoneticPr fontId="4" type="noConversion"/>
  </si>
  <si>
    <t>세대 및 인구(본 계획 반영)</t>
    <phoneticPr fontId="4" type="noConversion"/>
  </si>
  <si>
    <t>비  고</t>
    <phoneticPr fontId="4" type="noConversion"/>
  </si>
  <si>
    <t>면적
(㎡)</t>
    <phoneticPr fontId="4" type="noConversion"/>
  </si>
  <si>
    <t>세대(호)</t>
    <phoneticPr fontId="4" type="noConversion"/>
  </si>
  <si>
    <t>인구(인)</t>
    <phoneticPr fontId="4" type="noConversion"/>
  </si>
  <si>
    <t>합         계</t>
    <phoneticPr fontId="4" type="noConversion"/>
  </si>
  <si>
    <t>위 치</t>
    <phoneticPr fontId="4" type="noConversion"/>
  </si>
  <si>
    <t>공사 기간</t>
    <phoneticPr fontId="4" type="noConversion"/>
  </si>
  <si>
    <t>구역명</t>
    <phoneticPr fontId="4" type="noConversion"/>
  </si>
  <si>
    <t>구       분</t>
    <phoneticPr fontId="4" type="noConversion"/>
  </si>
  <si>
    <t xml:space="preserve">   가) 개발계획에 의한 수용인구</t>
    <phoneticPr fontId="4" type="noConversion"/>
  </si>
  <si>
    <t>(단위 : 인)</t>
    <phoneticPr fontId="4" type="noConversion"/>
  </si>
  <si>
    <t>구            분</t>
    <phoneticPr fontId="4" type="noConversion"/>
  </si>
  <si>
    <t>소  계</t>
    <phoneticPr fontId="4" type="noConversion"/>
  </si>
  <si>
    <t>소  계</t>
    <phoneticPr fontId="4" type="noConversion"/>
  </si>
  <si>
    <t>계</t>
    <phoneticPr fontId="4" type="noConversion"/>
  </si>
  <si>
    <t>계</t>
    <phoneticPr fontId="4" type="noConversion"/>
  </si>
  <si>
    <t>(단위 : 인)</t>
    <phoneticPr fontId="4" type="noConversion"/>
  </si>
  <si>
    <t>구            분</t>
    <phoneticPr fontId="4" type="noConversion"/>
  </si>
  <si>
    <t xml:space="preserve">   나) 사회적 유입인구 산정</t>
    <phoneticPr fontId="4" type="noConversion"/>
  </si>
  <si>
    <t>합   계</t>
    <phoneticPr fontId="4" type="noConversion"/>
  </si>
  <si>
    <t>합   계</t>
    <phoneticPr fontId="4" type="noConversion"/>
  </si>
  <si>
    <t xml:space="preserve">   가) 도시개발사업</t>
    <phoneticPr fontId="4" type="noConversion"/>
  </si>
  <si>
    <t>구역지정 및
개발계획 용역중</t>
    <phoneticPr fontId="3" type="noConversion"/>
  </si>
  <si>
    <t>입주현황('13년 기준)</t>
    <phoneticPr fontId="4" type="noConversion"/>
  </si>
  <si>
    <t>지구현황('13년 기준)</t>
    <phoneticPr fontId="4" type="noConversion"/>
  </si>
  <si>
    <t>구분</t>
    <phoneticPr fontId="4" type="noConversion"/>
  </si>
  <si>
    <t>종사자수</t>
    <phoneticPr fontId="4" type="noConversion"/>
  </si>
  <si>
    <t>부양가족(명)</t>
    <phoneticPr fontId="4" type="noConversion"/>
  </si>
  <si>
    <t>소계</t>
    <phoneticPr fontId="4" type="noConversion"/>
  </si>
  <si>
    <t>기혼</t>
    <phoneticPr fontId="4" type="noConversion"/>
  </si>
  <si>
    <t>미혼</t>
    <phoneticPr fontId="4" type="noConversion"/>
  </si>
  <si>
    <t>산업단지조성</t>
    <phoneticPr fontId="4" type="noConversion"/>
  </si>
  <si>
    <t>2012~2013.12</t>
    <phoneticPr fontId="3" type="noConversion"/>
  </si>
  <si>
    <t>구분</t>
    <phoneticPr fontId="3" type="noConversion"/>
  </si>
  <si>
    <t>도시개발사업</t>
    <phoneticPr fontId="4" type="noConversion"/>
  </si>
  <si>
    <t>공동주택
건설사업</t>
    <phoneticPr fontId="4" type="noConversion"/>
  </si>
  <si>
    <t>산업단지
조성사업</t>
    <phoneticPr fontId="4" type="noConversion"/>
  </si>
  <si>
    <t>외부유입률</t>
    <phoneticPr fontId="4" type="noConversion"/>
  </si>
  <si>
    <t>처리구역</t>
    <phoneticPr fontId="4" type="noConversion"/>
  </si>
  <si>
    <t>배 분</t>
    <phoneticPr fontId="4" type="noConversion"/>
  </si>
  <si>
    <t>2015년</t>
  </si>
  <si>
    <t>2016년</t>
  </si>
  <si>
    <t>2017년</t>
  </si>
  <si>
    <t>2018년</t>
  </si>
  <si>
    <t>2019년</t>
  </si>
  <si>
    <t>2020년</t>
  </si>
  <si>
    <t>2021년</t>
  </si>
  <si>
    <t>2022년</t>
  </si>
  <si>
    <t>2023년</t>
  </si>
  <si>
    <t>2024년</t>
  </si>
  <si>
    <t>2025년</t>
  </si>
  <si>
    <t>자연적증가</t>
    <phoneticPr fontId="4" type="noConversion"/>
  </si>
  <si>
    <t>사회적증가</t>
    <phoneticPr fontId="4" type="noConversion"/>
  </si>
  <si>
    <t>합  계</t>
    <phoneticPr fontId="4" type="noConversion"/>
  </si>
  <si>
    <t>2026년</t>
  </si>
  <si>
    <t>2027년</t>
  </si>
  <si>
    <t>2028년</t>
  </si>
  <si>
    <t>2029년</t>
  </si>
  <si>
    <t>2030년</t>
  </si>
  <si>
    <t>2031년</t>
  </si>
  <si>
    <t>2032년</t>
  </si>
  <si>
    <t>2033년</t>
  </si>
  <si>
    <t>2034년</t>
  </si>
  <si>
    <t>2035년</t>
  </si>
  <si>
    <t>조성법에 의한 장래인구 총괄</t>
    <phoneticPr fontId="4" type="noConversion"/>
  </si>
  <si>
    <t xml:space="preserve">진천군 </t>
    <phoneticPr fontId="3" type="noConversion"/>
  </si>
  <si>
    <t>혼인</t>
    <phoneticPr fontId="3" type="noConversion"/>
  </si>
  <si>
    <t>이혼</t>
    <phoneticPr fontId="3" type="noConversion"/>
  </si>
  <si>
    <t>진천군 통계연보(2012)</t>
    <phoneticPr fontId="3" type="noConversion"/>
  </si>
  <si>
    <t>미혼</t>
    <phoneticPr fontId="3" type="noConversion"/>
  </si>
  <si>
    <t>면적</t>
    <phoneticPr fontId="3" type="noConversion"/>
  </si>
  <si>
    <t>구분</t>
    <phoneticPr fontId="3" type="noConversion"/>
  </si>
  <si>
    <t>비율%</t>
    <phoneticPr fontId="3" type="noConversion"/>
  </si>
  <si>
    <t>인구</t>
    <phoneticPr fontId="4" type="noConversion"/>
  </si>
  <si>
    <t>인구</t>
    <phoneticPr fontId="3" type="noConversion"/>
  </si>
  <si>
    <t>혁신도시</t>
    <phoneticPr fontId="3" type="noConversion"/>
  </si>
  <si>
    <t>충북
혁신도시</t>
    <phoneticPr fontId="3" type="noConversion"/>
  </si>
  <si>
    <t>기반시설 공사중</t>
    <phoneticPr fontId="3" type="noConversion"/>
  </si>
  <si>
    <t>*기혼 미혼 비율은 2010 통계청 전국 자료 적용</t>
    <phoneticPr fontId="3" type="noConversion"/>
  </si>
  <si>
    <t>비고</t>
    <phoneticPr fontId="3" type="noConversion"/>
  </si>
  <si>
    <t>자연적증가
배분율(%)</t>
    <phoneticPr fontId="3" type="noConversion"/>
  </si>
  <si>
    <t>사회적유입
배분율(%)</t>
    <phoneticPr fontId="3" type="noConversion"/>
  </si>
  <si>
    <t>내부이동률</t>
    <phoneticPr fontId="3" type="noConversion"/>
  </si>
  <si>
    <t>소계</t>
    <phoneticPr fontId="3" type="noConversion"/>
  </si>
  <si>
    <t>합계</t>
    <phoneticPr fontId="4" type="noConversion"/>
  </si>
  <si>
    <t>총합계</t>
    <phoneticPr fontId="4" type="noConversion"/>
  </si>
  <si>
    <t>총  합  계</t>
    <phoneticPr fontId="4" type="noConversion"/>
  </si>
  <si>
    <t>사회적유입인구의 읍ㆍ면별유입 배분(시트에서 가져옴)</t>
    <phoneticPr fontId="4" type="noConversion"/>
  </si>
  <si>
    <t>&lt;---사회적 유입 배분율에 의해 배분</t>
    <phoneticPr fontId="3" type="noConversion"/>
  </si>
  <si>
    <t>사회적유입인구</t>
    <phoneticPr fontId="3" type="noConversion"/>
  </si>
  <si>
    <t>&lt;---처리분구　새로지정하여 값을 입력</t>
    <phoneticPr fontId="3" type="noConversion"/>
  </si>
  <si>
    <t>혁　　신　　도　　시</t>
    <phoneticPr fontId="3" type="noConversion"/>
  </si>
  <si>
    <t>２단계　
제외인구</t>
    <phoneticPr fontId="3" type="noConversion"/>
  </si>
  <si>
    <t>１단계　
제외인구</t>
    <phoneticPr fontId="3" type="noConversion"/>
  </si>
  <si>
    <t>３단계　
제외인구</t>
    <phoneticPr fontId="3" type="noConversion"/>
  </si>
  <si>
    <t>４단계　
제외인구</t>
    <phoneticPr fontId="3" type="noConversion"/>
  </si>
  <si>
    <t>１단계
（2020）</t>
    <phoneticPr fontId="3" type="noConversion"/>
  </si>
  <si>
    <t>２단계
（2025）</t>
    <phoneticPr fontId="3" type="noConversion"/>
  </si>
  <si>
    <t>３단계
（2030）</t>
    <phoneticPr fontId="3" type="noConversion"/>
  </si>
  <si>
    <t>４단계
（2035）</t>
    <phoneticPr fontId="3" type="noConversion"/>
  </si>
  <si>
    <t>추가인구</t>
    <phoneticPr fontId="3" type="noConversion"/>
  </si>
  <si>
    <t>내부유입율（％）</t>
    <phoneticPr fontId="3" type="noConversion"/>
  </si>
  <si>
    <t>내부이동인구（인）</t>
    <phoneticPr fontId="3" type="noConversion"/>
  </si>
  <si>
    <t>행정인구비율（％）</t>
    <phoneticPr fontId="3" type="noConversion"/>
  </si>
  <si>
    <t>행정인구（인）</t>
    <phoneticPr fontId="3" type="noConversion"/>
  </si>
  <si>
    <t>혁신도시로의 유출인구</t>
    <phoneticPr fontId="3" type="noConversion"/>
  </si>
  <si>
    <t>군내유입</t>
    <phoneticPr fontId="3" type="noConversion"/>
  </si>
  <si>
    <t>유입인구</t>
    <phoneticPr fontId="3" type="noConversion"/>
  </si>
  <si>
    <t>행정인구비율</t>
    <phoneticPr fontId="3" type="noConversion"/>
  </si>
  <si>
    <t>백분율</t>
    <phoneticPr fontId="3" type="noConversion"/>
  </si>
  <si>
    <t>합계</t>
    <phoneticPr fontId="3" type="noConversion"/>
  </si>
  <si>
    <t>군내유출</t>
    <phoneticPr fontId="3" type="noConversion"/>
  </si>
  <si>
    <t>인구보정</t>
    <phoneticPr fontId="3" type="noConversion"/>
  </si>
  <si>
    <t>도시개발,주택사업　
유발인구（인）</t>
    <phoneticPr fontId="3" type="noConversion"/>
  </si>
  <si>
    <t>구분</t>
    <phoneticPr fontId="3" type="noConversion"/>
  </si>
  <si>
    <t xml:space="preserve">  4) 처리구역에따른 사회적유입인구 배분</t>
    <phoneticPr fontId="4" type="noConversion"/>
  </si>
  <si>
    <t>적용 배분율</t>
    <phoneticPr fontId="3" type="noConversion"/>
  </si>
  <si>
    <t xml:space="preserve">예) 내외임대아파트는 광혜원 소재이지만 처리구역이 이월이어서 이월면 사회적 유입인구로 적용하였음 </t>
    <phoneticPr fontId="3" type="noConversion"/>
  </si>
  <si>
    <t>포화인구</t>
    <phoneticPr fontId="3" type="noConversion"/>
  </si>
  <si>
    <t>유입비율</t>
    <phoneticPr fontId="3" type="noConversion"/>
  </si>
  <si>
    <t>적용인구</t>
    <phoneticPr fontId="3" type="noConversion"/>
  </si>
  <si>
    <t>사회적유입인구가 없는 지역의 내부이동인구 배분</t>
    <phoneticPr fontId="3" type="noConversion"/>
  </si>
  <si>
    <t>도시개발 및 공동주택 건설사업등의 유입시기에따른  단계별 내부이동인구 배분</t>
    <phoneticPr fontId="3" type="noConversion"/>
  </si>
  <si>
    <t>합계(0이되야됨)</t>
    <phoneticPr fontId="3" type="noConversion"/>
  </si>
  <si>
    <t xml:space="preserve">* 조성법 총괄의 사회적 유입인구는  읍면별로 나눠진것을 적용한것이아니고, 처리구역에따라 배분하여 적용하였으므로, 내부유입인구또한 처리구역에따라 도시개발 및 공동주택 수용인구수를 나누어 적용하였다 </t>
    <phoneticPr fontId="3" type="noConversion"/>
  </si>
  <si>
    <t>&lt;---해당 리에 값을 입력</t>
    <phoneticPr fontId="3" type="noConversion"/>
  </si>
  <si>
    <t>혁신도시</t>
    <phoneticPr fontId="3" type="noConversion"/>
  </si>
  <si>
    <t>소단위 
신축가구(인구)</t>
    <phoneticPr fontId="3" type="noConversion"/>
  </si>
  <si>
    <t>1 인구계획</t>
    <phoneticPr fontId="4" type="noConversion"/>
  </si>
  <si>
    <t xml:space="preserve"> 1.1.1 행정구역별 과거인구</t>
    <phoneticPr fontId="4" type="noConversion"/>
  </si>
  <si>
    <t>(단위:인,%)</t>
    <phoneticPr fontId="4" type="noConversion"/>
  </si>
  <si>
    <t>구분</t>
    <phoneticPr fontId="4" type="noConversion"/>
  </si>
  <si>
    <t>2006년</t>
  </si>
  <si>
    <t>2007년</t>
  </si>
  <si>
    <t>2008년</t>
  </si>
  <si>
    <t>2009년</t>
  </si>
  <si>
    <t>2010년</t>
  </si>
  <si>
    <t>2011년</t>
  </si>
  <si>
    <t>2012년</t>
  </si>
  <si>
    <t>2013년</t>
  </si>
  <si>
    <t>인구증감율</t>
    <phoneticPr fontId="4" type="noConversion"/>
  </si>
  <si>
    <t>인구증감율</t>
    <phoneticPr fontId="4" type="noConversion"/>
  </si>
  <si>
    <t>5년간</t>
    <phoneticPr fontId="4" type="noConversion"/>
  </si>
  <si>
    <t>5년간</t>
    <phoneticPr fontId="4" type="noConversion"/>
  </si>
  <si>
    <t>10년간</t>
    <phoneticPr fontId="4" type="noConversion"/>
  </si>
  <si>
    <t>10년간</t>
    <phoneticPr fontId="4" type="noConversion"/>
  </si>
  <si>
    <t>인구</t>
    <phoneticPr fontId="4" type="noConversion"/>
  </si>
  <si>
    <t>증감율</t>
    <phoneticPr fontId="4" type="noConversion"/>
  </si>
  <si>
    <t>인구</t>
    <phoneticPr fontId="4" type="noConversion"/>
  </si>
  <si>
    <t>증감율</t>
    <phoneticPr fontId="4" type="noConversion"/>
  </si>
  <si>
    <t>증감율</t>
    <phoneticPr fontId="4" type="noConversion"/>
  </si>
  <si>
    <t>인구</t>
    <phoneticPr fontId="4" type="noConversion"/>
  </si>
  <si>
    <t>인구</t>
    <phoneticPr fontId="4" type="noConversion"/>
  </si>
  <si>
    <t>전국</t>
    <phoneticPr fontId="3" type="noConversion"/>
  </si>
  <si>
    <t>충북</t>
    <phoneticPr fontId="3" type="noConversion"/>
  </si>
  <si>
    <t>증평군</t>
    <phoneticPr fontId="3" type="noConversion"/>
  </si>
  <si>
    <t>옥천군</t>
    <phoneticPr fontId="3" type="noConversion"/>
  </si>
  <si>
    <t>영동군</t>
    <phoneticPr fontId="3" type="noConversion"/>
  </si>
  <si>
    <t>영동읍</t>
    <phoneticPr fontId="3" type="noConversion"/>
  </si>
  <si>
    <t>양강면</t>
    <phoneticPr fontId="3" type="noConversion"/>
  </si>
  <si>
    <t>영동읍,양강면</t>
    <phoneticPr fontId="3" type="noConversion"/>
  </si>
  <si>
    <t>년 도</t>
  </si>
  <si>
    <t>인 구</t>
  </si>
  <si>
    <t>자연증가 인구</t>
  </si>
  <si>
    <t>사회적 유입인구</t>
  </si>
  <si>
    <t>증가수</t>
  </si>
  <si>
    <t>순증가</t>
  </si>
  <si>
    <t>출 생</t>
  </si>
  <si>
    <t>사 망</t>
  </si>
  <si>
    <t>비율(%)</t>
  </si>
  <si>
    <t>순유입</t>
  </si>
  <si>
    <t>2004년</t>
  </si>
  <si>
    <t>2005년</t>
  </si>
  <si>
    <t>최근 5년 평균</t>
  </si>
  <si>
    <t>과거 10년 평균</t>
  </si>
  <si>
    <t>년도</t>
    <phoneticPr fontId="4" type="noConversion"/>
  </si>
  <si>
    <t>년도</t>
    <phoneticPr fontId="4" type="noConversion"/>
  </si>
  <si>
    <t>5년</t>
    <phoneticPr fontId="4" type="noConversion"/>
  </si>
  <si>
    <t>5년</t>
    <phoneticPr fontId="4" type="noConversion"/>
  </si>
  <si>
    <t>10년</t>
    <phoneticPr fontId="4" type="noConversion"/>
  </si>
  <si>
    <t>10년</t>
    <phoneticPr fontId="4" type="noConversion"/>
  </si>
  <si>
    <t>그래프 분석</t>
    <phoneticPr fontId="4" type="noConversion"/>
  </si>
  <si>
    <t>그래프 분석</t>
    <phoneticPr fontId="4" type="noConversion"/>
  </si>
  <si>
    <t>인구변화</t>
    <phoneticPr fontId="4" type="noConversion"/>
  </si>
  <si>
    <t>증감
(인)</t>
    <phoneticPr fontId="4" type="noConversion"/>
  </si>
  <si>
    <t>증감율
(%)</t>
    <phoneticPr fontId="4" type="noConversion"/>
  </si>
  <si>
    <t>변화값</t>
    <phoneticPr fontId="4" type="noConversion"/>
  </si>
  <si>
    <t xml:space="preserve"> 1.2 수학적 추정방법에의한 장래인구추정</t>
    <phoneticPr fontId="4" type="noConversion"/>
  </si>
  <si>
    <t>(단위 : 인)</t>
    <phoneticPr fontId="4" type="noConversion"/>
  </si>
  <si>
    <t>구         분</t>
    <phoneticPr fontId="4" type="noConversion"/>
  </si>
  <si>
    <t>비  고</t>
    <phoneticPr fontId="4" type="noConversion"/>
  </si>
  <si>
    <t>등차급수법</t>
    <phoneticPr fontId="4" type="noConversion"/>
  </si>
  <si>
    <t>등차급수법</t>
    <phoneticPr fontId="4" type="noConversion"/>
  </si>
  <si>
    <t>등비급수법</t>
    <phoneticPr fontId="4" type="noConversion"/>
  </si>
  <si>
    <t>지수함수법</t>
    <phoneticPr fontId="4" type="noConversion"/>
  </si>
  <si>
    <t>지수함수법</t>
    <phoneticPr fontId="4" type="noConversion"/>
  </si>
  <si>
    <t>Logistic곡선법</t>
    <phoneticPr fontId="4" type="noConversion"/>
  </si>
  <si>
    <t>Logistic곡선법</t>
    <phoneticPr fontId="4" type="noConversion"/>
  </si>
  <si>
    <t>평  균</t>
    <phoneticPr fontId="4" type="noConversion"/>
  </si>
  <si>
    <t>지수합수법</t>
    <phoneticPr fontId="4" type="noConversion"/>
  </si>
  <si>
    <t>평  균</t>
    <phoneticPr fontId="4" type="noConversion"/>
  </si>
  <si>
    <t>등차급수법</t>
    <phoneticPr fontId="4" type="noConversion"/>
  </si>
  <si>
    <t>자료시작년=</t>
    <phoneticPr fontId="68" type="noConversion"/>
  </si>
  <si>
    <t>유효자리수 =</t>
    <phoneticPr fontId="68" type="noConversion"/>
  </si>
  <si>
    <t>연도</t>
  </si>
  <si>
    <t>과거자료</t>
    <phoneticPr fontId="68" type="noConversion"/>
  </si>
  <si>
    <t>등차급수</t>
    <phoneticPr fontId="4" type="noConversion"/>
  </si>
  <si>
    <t>등비급수</t>
    <phoneticPr fontId="4" type="noConversion"/>
  </si>
  <si>
    <t>지수함수</t>
    <phoneticPr fontId="4" type="noConversion"/>
  </si>
  <si>
    <t>로지스틱</t>
    <phoneticPr fontId="4" type="noConversion"/>
  </si>
  <si>
    <t>시계열 선정</t>
    <phoneticPr fontId="68" type="noConversion"/>
  </si>
  <si>
    <t>생잔모형</t>
    <phoneticPr fontId="68" type="noConversion"/>
  </si>
  <si>
    <t>인구증가율</t>
    <phoneticPr fontId="68" type="noConversion"/>
  </si>
  <si>
    <t>5년평균</t>
    <phoneticPr fontId="68" type="noConversion"/>
  </si>
  <si>
    <t>10년평균</t>
    <phoneticPr fontId="68" type="noConversion"/>
  </si>
  <si>
    <t>채택</t>
  </si>
  <si>
    <t>상관계수 (R²)</t>
    <phoneticPr fontId="68" type="noConversion"/>
  </si>
  <si>
    <t>오차자승합</t>
    <phoneticPr fontId="68" type="noConversion"/>
  </si>
  <si>
    <t xml:space="preserve">절대평균오차율 </t>
    <phoneticPr fontId="68" type="noConversion"/>
  </si>
  <si>
    <t>2020년</t>
    <phoneticPr fontId="3" type="noConversion"/>
  </si>
  <si>
    <t>2025년</t>
    <phoneticPr fontId="3" type="noConversion"/>
  </si>
  <si>
    <t>2030년</t>
    <phoneticPr fontId="3" type="noConversion"/>
  </si>
  <si>
    <t>2035년</t>
    <phoneticPr fontId="3" type="noConversion"/>
  </si>
  <si>
    <t>평균</t>
    <phoneticPr fontId="4" type="noConversion"/>
  </si>
  <si>
    <t>적용</t>
    <phoneticPr fontId="4" type="noConversion"/>
  </si>
  <si>
    <t>1. 등차급수</t>
    <phoneticPr fontId="68" type="noConversion"/>
  </si>
  <si>
    <t>과거인구(y)</t>
    <phoneticPr fontId="68" type="noConversion"/>
  </si>
  <si>
    <t>경과년수(x)</t>
    <phoneticPr fontId="68" type="noConversion"/>
  </si>
  <si>
    <r>
      <t>R</t>
    </r>
    <r>
      <rPr>
        <vertAlign val="superscript"/>
        <sz val="10"/>
        <rFont val="굴림"/>
        <family val="3"/>
        <charset val="129"/>
      </rPr>
      <t>2</t>
    </r>
    <r>
      <rPr>
        <sz val="10"/>
        <rFont val="굴림"/>
        <family val="3"/>
        <charset val="129"/>
      </rPr>
      <t>=</t>
    </r>
    <phoneticPr fontId="4" type="noConversion"/>
  </si>
  <si>
    <t>절대오차율</t>
    <phoneticPr fontId="68" type="noConversion"/>
  </si>
  <si>
    <t>오차자승</t>
    <phoneticPr fontId="68" type="noConversion"/>
  </si>
  <si>
    <t>y = ax + b</t>
    <phoneticPr fontId="68" type="noConversion"/>
  </si>
  <si>
    <t>상수(a) =</t>
    <phoneticPr fontId="68" type="noConversion"/>
  </si>
  <si>
    <t>상수(b) =</t>
    <phoneticPr fontId="68" type="noConversion"/>
  </si>
  <si>
    <t>오차자승합</t>
    <phoneticPr fontId="68" type="noConversion"/>
  </si>
  <si>
    <t>절대평균오차율</t>
    <phoneticPr fontId="68" type="noConversion"/>
  </si>
  <si>
    <t>2. 등비급수</t>
    <phoneticPr fontId="68" type="noConversion"/>
  </si>
  <si>
    <t>LN(y)</t>
    <phoneticPr fontId="68" type="noConversion"/>
  </si>
  <si>
    <t xml:space="preserve">   y = a(1+b)^x</t>
    <phoneticPr fontId="68" type="noConversion"/>
  </si>
  <si>
    <t xml:space="preserve">   LN(y) = LN(a) + LN(1+b)x</t>
    <phoneticPr fontId="68" type="noConversion"/>
  </si>
  <si>
    <t xml:space="preserve">   Y = A + Bx</t>
    <phoneticPr fontId="68" type="noConversion"/>
  </si>
  <si>
    <t>A =</t>
    <phoneticPr fontId="68" type="noConversion"/>
  </si>
  <si>
    <t>LN(A) =</t>
    <phoneticPr fontId="68" type="noConversion"/>
  </si>
  <si>
    <t>B =</t>
    <phoneticPr fontId="68" type="noConversion"/>
  </si>
  <si>
    <t>LN(1+B) =</t>
    <phoneticPr fontId="68" type="noConversion"/>
  </si>
  <si>
    <t>a =</t>
    <phoneticPr fontId="68" type="noConversion"/>
  </si>
  <si>
    <t>b =</t>
    <phoneticPr fontId="68" type="noConversion"/>
  </si>
  <si>
    <t>3. 지수함수</t>
    <phoneticPr fontId="68" type="noConversion"/>
  </si>
  <si>
    <t>LN(y-c)</t>
    <phoneticPr fontId="68" type="noConversion"/>
  </si>
  <si>
    <t>LN(x)</t>
    <phoneticPr fontId="68" type="noConversion"/>
  </si>
  <si>
    <t>과거추정치</t>
    <phoneticPr fontId="68" type="noConversion"/>
  </si>
  <si>
    <t xml:space="preserve">  y = ax^b + c</t>
    <phoneticPr fontId="68" type="noConversion"/>
  </si>
  <si>
    <t xml:space="preserve">  LN(y-c) = LN(a) + b LN(x)</t>
    <phoneticPr fontId="68" type="noConversion"/>
  </si>
  <si>
    <t>c =</t>
    <phoneticPr fontId="68" type="noConversion"/>
  </si>
  <si>
    <t>c =</t>
    <phoneticPr fontId="68" type="noConversion"/>
  </si>
  <si>
    <t xml:space="preserve">  Y = A + bx</t>
    <phoneticPr fontId="68" type="noConversion"/>
  </si>
  <si>
    <t>b =</t>
    <phoneticPr fontId="68" type="noConversion"/>
  </si>
  <si>
    <t>A =</t>
    <phoneticPr fontId="68" type="noConversion"/>
  </si>
  <si>
    <t>LN(a) =</t>
    <phoneticPr fontId="68" type="noConversion"/>
  </si>
  <si>
    <t>a =</t>
    <phoneticPr fontId="68" type="noConversion"/>
  </si>
  <si>
    <t>= LN(a)</t>
    <phoneticPr fontId="68" type="noConversion"/>
  </si>
  <si>
    <r>
      <t>R</t>
    </r>
    <r>
      <rPr>
        <vertAlign val="superscript"/>
        <sz val="10"/>
        <rFont val="굴림"/>
        <family val="3"/>
        <charset val="129"/>
      </rPr>
      <t xml:space="preserve">2 </t>
    </r>
    <r>
      <rPr>
        <sz val="10"/>
        <rFont val="굴림"/>
        <family val="3"/>
        <charset val="129"/>
      </rPr>
      <t>=</t>
    </r>
    <phoneticPr fontId="68" type="noConversion"/>
  </si>
  <si>
    <t>오차자승합 =</t>
    <phoneticPr fontId="68" type="noConversion"/>
  </si>
  <si>
    <t>오차자승합 (전구간)</t>
    <phoneticPr fontId="68" type="noConversion"/>
  </si>
  <si>
    <t>절대평균오차율 (전구간)</t>
    <phoneticPr fontId="68" type="noConversion"/>
  </si>
  <si>
    <t>최소자료값 =</t>
    <phoneticPr fontId="68" type="noConversion"/>
  </si>
  <si>
    <t>유효자리=</t>
    <phoneticPr fontId="68" type="noConversion"/>
  </si>
  <si>
    <t>유효자리=</t>
    <phoneticPr fontId="68" type="noConversion"/>
  </si>
  <si>
    <t>c 간격 =</t>
    <phoneticPr fontId="68" type="noConversion"/>
  </si>
  <si>
    <t>c 간격 =</t>
    <phoneticPr fontId="68" type="noConversion"/>
  </si>
  <si>
    <t>c 간격 =</t>
    <phoneticPr fontId="68" type="noConversion"/>
  </si>
  <si>
    <t xml:space="preserve">c </t>
    <phoneticPr fontId="68" type="noConversion"/>
  </si>
  <si>
    <r>
      <t>R</t>
    </r>
    <r>
      <rPr>
        <vertAlign val="superscript"/>
        <sz val="10"/>
        <rFont val="굴림"/>
        <family val="3"/>
        <charset val="129"/>
      </rPr>
      <t>2</t>
    </r>
    <phoneticPr fontId="4" type="noConversion"/>
  </si>
  <si>
    <t>4. 로지스틱</t>
    <phoneticPr fontId="68" type="noConversion"/>
  </si>
  <si>
    <t>LN(k/y-1)</t>
    <phoneticPr fontId="68" type="noConversion"/>
  </si>
  <si>
    <t xml:space="preserve">  Y=k/(1+e^(a-bx))</t>
    <phoneticPr fontId="68" type="noConversion"/>
  </si>
  <si>
    <t xml:space="preserve">  LN(k/Y-1)=a-bx</t>
    <phoneticPr fontId="68" type="noConversion"/>
  </si>
  <si>
    <t>k=</t>
  </si>
  <si>
    <t>max(y) =</t>
    <phoneticPr fontId="68" type="noConversion"/>
  </si>
  <si>
    <t>avg(5) =</t>
    <phoneticPr fontId="68" type="noConversion"/>
  </si>
  <si>
    <t>-b =</t>
    <phoneticPr fontId="68" type="noConversion"/>
  </si>
  <si>
    <r>
      <t>R</t>
    </r>
    <r>
      <rPr>
        <vertAlign val="superscript"/>
        <sz val="10"/>
        <rFont val="굴림"/>
        <family val="3"/>
        <charset val="129"/>
      </rPr>
      <t xml:space="preserve">2 </t>
    </r>
    <r>
      <rPr>
        <sz val="10"/>
        <rFont val="굴림"/>
        <family val="3"/>
        <charset val="129"/>
      </rPr>
      <t>=</t>
    </r>
    <phoneticPr fontId="68" type="noConversion"/>
  </si>
  <si>
    <t>유효자리=</t>
    <phoneticPr fontId="68" type="noConversion"/>
  </si>
  <si>
    <t>k 간격 =</t>
    <phoneticPr fontId="68" type="noConversion"/>
  </si>
  <si>
    <t>k</t>
    <phoneticPr fontId="68" type="noConversion"/>
  </si>
  <si>
    <t>유효자리수 =</t>
    <phoneticPr fontId="68" type="noConversion"/>
  </si>
  <si>
    <t xml:space="preserve">  Y = A + bx</t>
    <phoneticPr fontId="68" type="noConversion"/>
  </si>
  <si>
    <t>LN(a) =</t>
    <phoneticPr fontId="68" type="noConversion"/>
  </si>
  <si>
    <r>
      <t>R</t>
    </r>
    <r>
      <rPr>
        <vertAlign val="superscript"/>
        <sz val="10"/>
        <rFont val="굴림"/>
        <family val="3"/>
        <charset val="129"/>
      </rPr>
      <t xml:space="preserve">2 </t>
    </r>
    <r>
      <rPr>
        <sz val="10"/>
        <rFont val="굴림"/>
        <family val="3"/>
        <charset val="129"/>
      </rPr>
      <t>=</t>
    </r>
    <phoneticPr fontId="68" type="noConversion"/>
  </si>
  <si>
    <t xml:space="preserve">절대평균오차율 </t>
    <phoneticPr fontId="68" type="noConversion"/>
  </si>
  <si>
    <t>구분</t>
    <phoneticPr fontId="4" type="noConversion"/>
  </si>
  <si>
    <t>2020년</t>
    <phoneticPr fontId="3" type="noConversion"/>
  </si>
  <si>
    <t>2025년</t>
    <phoneticPr fontId="3" type="noConversion"/>
  </si>
  <si>
    <t>2030년</t>
    <phoneticPr fontId="3" type="noConversion"/>
  </si>
  <si>
    <t>2035년</t>
    <phoneticPr fontId="3" type="noConversion"/>
  </si>
  <si>
    <t>비고</t>
    <phoneticPr fontId="4" type="noConversion"/>
  </si>
  <si>
    <t>등차급수법</t>
    <phoneticPr fontId="4" type="noConversion"/>
  </si>
  <si>
    <t>등비급수법</t>
    <phoneticPr fontId="4" type="noConversion"/>
  </si>
  <si>
    <t xml:space="preserve">   y = a(1+b)^x</t>
    <phoneticPr fontId="68" type="noConversion"/>
  </si>
  <si>
    <t>a =</t>
    <phoneticPr fontId="68" type="noConversion"/>
  </si>
  <si>
    <t>최소자료값 =</t>
    <phoneticPr fontId="68" type="noConversion"/>
  </si>
  <si>
    <t>유효자리=</t>
    <phoneticPr fontId="68" type="noConversion"/>
  </si>
  <si>
    <t xml:space="preserve">  Y=k/(1+e^(a-bx))</t>
    <phoneticPr fontId="68" type="noConversion"/>
  </si>
  <si>
    <t xml:space="preserve">  LN(k/Y-1)=a-bx</t>
    <phoneticPr fontId="68" type="noConversion"/>
  </si>
  <si>
    <t>절대평균오차율 (전구간)</t>
    <phoneticPr fontId="68" type="noConversion"/>
  </si>
  <si>
    <t>유효자리=</t>
    <phoneticPr fontId="68" type="noConversion"/>
  </si>
  <si>
    <t>유효자리=</t>
    <phoneticPr fontId="68" type="noConversion"/>
  </si>
  <si>
    <t>유효자리=</t>
    <phoneticPr fontId="68" type="noConversion"/>
  </si>
  <si>
    <t>유효자리수 =</t>
    <phoneticPr fontId="68" type="noConversion"/>
  </si>
  <si>
    <t>과거자료</t>
    <phoneticPr fontId="68" type="noConversion"/>
  </si>
  <si>
    <t>등차급수</t>
    <phoneticPr fontId="4" type="noConversion"/>
  </si>
  <si>
    <t>등비급수</t>
    <phoneticPr fontId="4" type="noConversion"/>
  </si>
  <si>
    <t>지수함수</t>
    <phoneticPr fontId="4" type="noConversion"/>
  </si>
  <si>
    <t>로지스틱</t>
    <phoneticPr fontId="4" type="noConversion"/>
  </si>
  <si>
    <t>시계열 선정</t>
    <phoneticPr fontId="68" type="noConversion"/>
  </si>
  <si>
    <t>생잔모형</t>
    <phoneticPr fontId="68" type="noConversion"/>
  </si>
  <si>
    <t>오차자승합</t>
    <phoneticPr fontId="68" type="noConversion"/>
  </si>
  <si>
    <t>절대평균오차율</t>
    <phoneticPr fontId="68" type="noConversion"/>
  </si>
  <si>
    <t>c =</t>
    <phoneticPr fontId="68" type="noConversion"/>
  </si>
  <si>
    <t>c =</t>
    <phoneticPr fontId="68" type="noConversion"/>
  </si>
  <si>
    <t xml:space="preserve">  Y = A + bx</t>
    <phoneticPr fontId="68" type="noConversion"/>
  </si>
  <si>
    <t>b =</t>
    <phoneticPr fontId="68" type="noConversion"/>
  </si>
  <si>
    <t>A =</t>
    <phoneticPr fontId="68" type="noConversion"/>
  </si>
  <si>
    <t>LN(a) =</t>
    <phoneticPr fontId="68" type="noConversion"/>
  </si>
  <si>
    <t>c =</t>
    <phoneticPr fontId="68" type="noConversion"/>
  </si>
  <si>
    <t>a =</t>
    <phoneticPr fontId="68" type="noConversion"/>
  </si>
  <si>
    <r>
      <t>R</t>
    </r>
    <r>
      <rPr>
        <vertAlign val="superscript"/>
        <sz val="10"/>
        <rFont val="굴림"/>
        <family val="3"/>
        <charset val="129"/>
      </rPr>
      <t xml:space="preserve">2 </t>
    </r>
    <r>
      <rPr>
        <sz val="10"/>
        <rFont val="굴림"/>
        <family val="3"/>
        <charset val="129"/>
      </rPr>
      <t>=</t>
    </r>
    <phoneticPr fontId="68" type="noConversion"/>
  </si>
  <si>
    <t>오차자승합 =</t>
    <phoneticPr fontId="68" type="noConversion"/>
  </si>
  <si>
    <t>상관계수 (R²)</t>
    <phoneticPr fontId="68" type="noConversion"/>
  </si>
  <si>
    <t>c 간격 =</t>
    <phoneticPr fontId="68" type="noConversion"/>
  </si>
  <si>
    <t>k 간격 =</t>
    <phoneticPr fontId="68" type="noConversion"/>
  </si>
  <si>
    <t xml:space="preserve">  LN(y-c) = LN(a) + b LN(x)</t>
    <phoneticPr fontId="68" type="noConversion"/>
  </si>
  <si>
    <t>c =</t>
    <phoneticPr fontId="68" type="noConversion"/>
  </si>
  <si>
    <t>최소자료값 =</t>
    <phoneticPr fontId="68" type="noConversion"/>
  </si>
  <si>
    <t>절대평균오차율 (전구간)</t>
    <phoneticPr fontId="68" type="noConversion"/>
  </si>
  <si>
    <t>유효자리=</t>
    <phoneticPr fontId="68" type="noConversion"/>
  </si>
  <si>
    <t>k 간격 =</t>
    <phoneticPr fontId="68" type="noConversion"/>
  </si>
  <si>
    <t>b =</t>
    <phoneticPr fontId="68" type="noConversion"/>
  </si>
  <si>
    <t>상관계수 (R²)</t>
    <phoneticPr fontId="68" type="noConversion"/>
  </si>
  <si>
    <t>3. 지수함수</t>
    <phoneticPr fontId="68" type="noConversion"/>
  </si>
  <si>
    <t>과거인구(y)</t>
    <phoneticPr fontId="68" type="noConversion"/>
  </si>
  <si>
    <t>LN(y-c)</t>
    <phoneticPr fontId="68" type="noConversion"/>
  </si>
  <si>
    <t>경과년수(x)</t>
    <phoneticPr fontId="68" type="noConversion"/>
  </si>
  <si>
    <t>LN(x)</t>
    <phoneticPr fontId="68" type="noConversion"/>
  </si>
  <si>
    <r>
      <t>R</t>
    </r>
    <r>
      <rPr>
        <vertAlign val="superscript"/>
        <sz val="10"/>
        <rFont val="굴림"/>
        <family val="3"/>
        <charset val="129"/>
      </rPr>
      <t>2</t>
    </r>
    <r>
      <rPr>
        <sz val="10"/>
        <rFont val="굴림"/>
        <family val="3"/>
        <charset val="129"/>
      </rPr>
      <t>=</t>
    </r>
    <phoneticPr fontId="4" type="noConversion"/>
  </si>
  <si>
    <t>절대오차율</t>
    <phoneticPr fontId="68" type="noConversion"/>
  </si>
  <si>
    <t>오차자승</t>
    <phoneticPr fontId="68" type="noConversion"/>
  </si>
  <si>
    <t>과거추정치</t>
    <phoneticPr fontId="68" type="noConversion"/>
  </si>
  <si>
    <r>
      <t>R</t>
    </r>
    <r>
      <rPr>
        <vertAlign val="superscript"/>
        <sz val="10"/>
        <rFont val="굴림"/>
        <family val="3"/>
        <charset val="129"/>
      </rPr>
      <t xml:space="preserve">2 </t>
    </r>
    <r>
      <rPr>
        <sz val="10"/>
        <rFont val="굴림"/>
        <family val="3"/>
        <charset val="129"/>
      </rPr>
      <t>=</t>
    </r>
    <phoneticPr fontId="68" type="noConversion"/>
  </si>
  <si>
    <t>유효자리=</t>
    <phoneticPr fontId="68" type="noConversion"/>
  </si>
  <si>
    <t>4. 로지스틱</t>
    <phoneticPr fontId="68" type="noConversion"/>
  </si>
  <si>
    <t>과거인구(y)</t>
    <phoneticPr fontId="68" type="noConversion"/>
  </si>
  <si>
    <t>LN(k/y-1)</t>
    <phoneticPr fontId="68" type="noConversion"/>
  </si>
  <si>
    <t>경과년수(x)</t>
    <phoneticPr fontId="68" type="noConversion"/>
  </si>
  <si>
    <r>
      <t>R</t>
    </r>
    <r>
      <rPr>
        <vertAlign val="superscript"/>
        <sz val="10"/>
        <rFont val="굴림"/>
        <family val="3"/>
        <charset val="129"/>
      </rPr>
      <t>2</t>
    </r>
    <r>
      <rPr>
        <sz val="10"/>
        <rFont val="굴림"/>
        <family val="3"/>
        <charset val="129"/>
      </rPr>
      <t>=</t>
    </r>
    <phoneticPr fontId="4" type="noConversion"/>
  </si>
  <si>
    <t>절대오차율</t>
    <phoneticPr fontId="68" type="noConversion"/>
  </si>
  <si>
    <t>오차자승</t>
    <phoneticPr fontId="68" type="noConversion"/>
  </si>
  <si>
    <t>max(y) =</t>
    <phoneticPr fontId="68" type="noConversion"/>
  </si>
  <si>
    <t>avg(5) =</t>
    <phoneticPr fontId="68" type="noConversion"/>
  </si>
  <si>
    <t>-b =</t>
    <phoneticPr fontId="68" type="noConversion"/>
  </si>
  <si>
    <t>유효자리=</t>
    <phoneticPr fontId="68" type="noConversion"/>
  </si>
  <si>
    <t>유효자리=</t>
    <phoneticPr fontId="68" type="noConversion"/>
  </si>
  <si>
    <t>k 간격 =</t>
    <phoneticPr fontId="68" type="noConversion"/>
  </si>
  <si>
    <t>k 간격 =</t>
    <phoneticPr fontId="68" type="noConversion"/>
  </si>
  <si>
    <t>인구증가율</t>
    <phoneticPr fontId="68" type="noConversion"/>
  </si>
  <si>
    <t>구분</t>
  </si>
  <si>
    <t>혁신도시</t>
    <phoneticPr fontId="3" type="noConversion"/>
  </si>
  <si>
    <t>금오인구</t>
    <phoneticPr fontId="3" type="noConversion"/>
  </si>
  <si>
    <t>도시계획</t>
    <phoneticPr fontId="3" type="noConversion"/>
  </si>
  <si>
    <t>공동주택</t>
    <phoneticPr fontId="3" type="noConversion"/>
  </si>
  <si>
    <t>산업단지</t>
    <phoneticPr fontId="3" type="noConversion"/>
  </si>
  <si>
    <t>도시개발
사업</t>
    <phoneticPr fontId="4" type="noConversion"/>
  </si>
  <si>
    <t>공동주택
건설사업</t>
    <phoneticPr fontId="4" type="noConversion"/>
  </si>
  <si>
    <t>공동주택
건설사업</t>
    <phoneticPr fontId="3" type="noConversion"/>
  </si>
  <si>
    <t>합계</t>
    <phoneticPr fontId="3" type="noConversion"/>
  </si>
  <si>
    <t>기지역인구</t>
    <phoneticPr fontId="3" type="noConversion"/>
  </si>
  <si>
    <t>사회적유입인구</t>
    <phoneticPr fontId="3" type="noConversion"/>
  </si>
  <si>
    <t>읍･면</t>
  </si>
  <si>
    <t>처리구역</t>
  </si>
  <si>
    <t>처리분구</t>
  </si>
  <si>
    <t>기존</t>
  </si>
  <si>
    <r>
      <t>1</t>
    </r>
    <r>
      <rPr>
        <b/>
        <sz val="10.5"/>
        <color rgb="FF000000"/>
        <rFont val="맑은 고딕"/>
        <family val="3"/>
        <charset val="129"/>
        <scheme val="minor"/>
      </rPr>
      <t>단계</t>
    </r>
  </si>
  <si>
    <r>
      <t>(2020</t>
    </r>
    <r>
      <rPr>
        <b/>
        <sz val="10.5"/>
        <color rgb="FF000000"/>
        <rFont val="맑은 고딕"/>
        <family val="3"/>
        <charset val="129"/>
        <scheme val="minor"/>
      </rPr>
      <t>년</t>
    </r>
    <r>
      <rPr>
        <b/>
        <sz val="10.5"/>
        <color rgb="FF000000"/>
        <rFont val="HY신명조"/>
        <family val="1"/>
        <charset val="129"/>
      </rPr>
      <t>)</t>
    </r>
  </si>
  <si>
    <r>
      <t>2</t>
    </r>
    <r>
      <rPr>
        <b/>
        <sz val="10.5"/>
        <color rgb="FF000000"/>
        <rFont val="맑은 고딕"/>
        <family val="3"/>
        <charset val="129"/>
        <scheme val="minor"/>
      </rPr>
      <t>단계</t>
    </r>
  </si>
  <si>
    <r>
      <t>(2025</t>
    </r>
    <r>
      <rPr>
        <b/>
        <sz val="10.5"/>
        <color rgb="FF000000"/>
        <rFont val="맑은 고딕"/>
        <family val="3"/>
        <charset val="129"/>
        <scheme val="minor"/>
      </rPr>
      <t>년</t>
    </r>
    <r>
      <rPr>
        <b/>
        <sz val="10.5"/>
        <color rgb="FF000000"/>
        <rFont val="HY신명조"/>
        <family val="1"/>
        <charset val="129"/>
      </rPr>
      <t>)</t>
    </r>
  </si>
  <si>
    <r>
      <t>3</t>
    </r>
    <r>
      <rPr>
        <b/>
        <sz val="10.5"/>
        <color rgb="FF000000"/>
        <rFont val="맑은 고딕"/>
        <family val="3"/>
        <charset val="129"/>
        <scheme val="minor"/>
      </rPr>
      <t>단계</t>
    </r>
  </si>
  <si>
    <r>
      <t>(2030</t>
    </r>
    <r>
      <rPr>
        <b/>
        <sz val="10.5"/>
        <color rgb="FF000000"/>
        <rFont val="맑은 고딕"/>
        <family val="3"/>
        <charset val="129"/>
        <scheme val="minor"/>
      </rPr>
      <t>년</t>
    </r>
    <r>
      <rPr>
        <b/>
        <sz val="10.5"/>
        <color rgb="FF000000"/>
        <rFont val="HY신명조"/>
        <family val="1"/>
        <charset val="129"/>
      </rPr>
      <t>)</t>
    </r>
  </si>
  <si>
    <r>
      <t>4</t>
    </r>
    <r>
      <rPr>
        <b/>
        <sz val="10.5"/>
        <color rgb="FF000000"/>
        <rFont val="맑은 고딕"/>
        <family val="3"/>
        <charset val="129"/>
        <scheme val="minor"/>
      </rPr>
      <t>단계</t>
    </r>
  </si>
  <si>
    <r>
      <t>(2035</t>
    </r>
    <r>
      <rPr>
        <b/>
        <sz val="10.5"/>
        <color rgb="FF000000"/>
        <rFont val="맑은 고딕"/>
        <family val="3"/>
        <charset val="129"/>
        <scheme val="minor"/>
      </rPr>
      <t>년</t>
    </r>
    <r>
      <rPr>
        <b/>
        <sz val="10.5"/>
        <color rgb="FF000000"/>
        <rFont val="HY신명조"/>
        <family val="1"/>
        <charset val="129"/>
      </rPr>
      <t>)</t>
    </r>
  </si>
  <si>
    <t>비 고</t>
  </si>
  <si>
    <t>진천읍</t>
    <phoneticPr fontId="3" type="noConversion"/>
  </si>
  <si>
    <t>백곡천좌안</t>
    <phoneticPr fontId="3" type="noConversion"/>
  </si>
  <si>
    <t>성석지구</t>
    <phoneticPr fontId="3" type="noConversion"/>
  </si>
  <si>
    <t>장관</t>
    <phoneticPr fontId="3" type="noConversion"/>
  </si>
  <si>
    <t>벽암</t>
    <phoneticPr fontId="3" type="noConversion"/>
  </si>
  <si>
    <t>교성</t>
    <phoneticPr fontId="3" type="noConversion"/>
  </si>
  <si>
    <t>교성지구</t>
    <phoneticPr fontId="3" type="noConversion"/>
  </si>
  <si>
    <t>행정</t>
    <phoneticPr fontId="3" type="noConversion"/>
  </si>
  <si>
    <t>부영</t>
    <phoneticPr fontId="3" type="noConversion"/>
  </si>
  <si>
    <t>신대</t>
    <phoneticPr fontId="3" type="noConversion"/>
  </si>
  <si>
    <t>동백</t>
    <phoneticPr fontId="3" type="noConversion"/>
  </si>
  <si>
    <t>삼덕</t>
    <phoneticPr fontId="3" type="noConversion"/>
  </si>
  <si>
    <t>하덕</t>
    <phoneticPr fontId="3" type="noConversion"/>
  </si>
  <si>
    <t>소강정</t>
    <phoneticPr fontId="3" type="noConversion"/>
  </si>
  <si>
    <t>송두</t>
    <phoneticPr fontId="3" type="noConversion"/>
  </si>
  <si>
    <t>상신</t>
    <phoneticPr fontId="3" type="noConversion"/>
  </si>
  <si>
    <t>원암</t>
    <phoneticPr fontId="3" type="noConversion"/>
  </si>
  <si>
    <t>월호</t>
    <phoneticPr fontId="3" type="noConversion"/>
  </si>
  <si>
    <t>중리</t>
    <phoneticPr fontId="3" type="noConversion"/>
  </si>
  <si>
    <t>구곡</t>
    <phoneticPr fontId="3" type="noConversion"/>
  </si>
  <si>
    <t>도려울</t>
    <phoneticPr fontId="3" type="noConversion"/>
  </si>
  <si>
    <t>석탄</t>
    <phoneticPr fontId="3" type="noConversion"/>
  </si>
  <si>
    <t>부창</t>
    <phoneticPr fontId="3" type="noConversion"/>
  </si>
  <si>
    <t>생곡</t>
    <phoneticPr fontId="3" type="noConversion"/>
  </si>
  <si>
    <t>양촌</t>
    <phoneticPr fontId="3" type="noConversion"/>
  </si>
  <si>
    <t>지전</t>
    <phoneticPr fontId="3" type="noConversion"/>
  </si>
  <si>
    <t>수문</t>
    <phoneticPr fontId="3" type="noConversion"/>
  </si>
  <si>
    <t>금한</t>
    <phoneticPr fontId="3" type="noConversion"/>
  </si>
  <si>
    <t>영구</t>
    <phoneticPr fontId="3" type="noConversion"/>
  </si>
  <si>
    <t>오갑</t>
    <phoneticPr fontId="3" type="noConversion"/>
  </si>
  <si>
    <t>신통</t>
    <phoneticPr fontId="3" type="noConversion"/>
  </si>
  <si>
    <t>진천
공공
(기존)</t>
    <phoneticPr fontId="3" type="noConversion"/>
  </si>
  <si>
    <t>소계</t>
    <phoneticPr fontId="3" type="noConversion"/>
  </si>
  <si>
    <t>총계</t>
    <phoneticPr fontId="3" type="noConversion"/>
  </si>
  <si>
    <t>사석</t>
    <phoneticPr fontId="3" type="noConversion"/>
  </si>
  <si>
    <t>계</t>
    <phoneticPr fontId="3" type="noConversion"/>
  </si>
  <si>
    <t>덕산면</t>
    <phoneticPr fontId="3" type="noConversion"/>
  </si>
  <si>
    <t>초평면</t>
    <phoneticPr fontId="3" type="noConversion"/>
  </si>
  <si>
    <t>문백면</t>
    <phoneticPr fontId="3" type="noConversion"/>
  </si>
  <si>
    <t>백곡면</t>
    <phoneticPr fontId="3" type="noConversion"/>
  </si>
  <si>
    <t>이월면</t>
    <phoneticPr fontId="3" type="noConversion"/>
  </si>
  <si>
    <t>광혜원면</t>
    <phoneticPr fontId="3" type="noConversion"/>
  </si>
  <si>
    <t>봉죽(기존)</t>
    <phoneticPr fontId="3" type="noConversion"/>
  </si>
  <si>
    <t>태락</t>
    <phoneticPr fontId="3" type="noConversion"/>
  </si>
  <si>
    <t>계</t>
    <phoneticPr fontId="3" type="noConversion"/>
  </si>
  <si>
    <t>석현</t>
    <phoneticPr fontId="3" type="noConversion"/>
  </si>
  <si>
    <t>삼용</t>
    <phoneticPr fontId="3" type="noConversion"/>
  </si>
  <si>
    <t>죽현(기존)</t>
    <phoneticPr fontId="3" type="noConversion"/>
  </si>
  <si>
    <t>혁신도시</t>
    <phoneticPr fontId="3" type="noConversion"/>
  </si>
  <si>
    <t>덕산</t>
    <phoneticPr fontId="3" type="noConversion"/>
  </si>
  <si>
    <t>몽촌</t>
    <phoneticPr fontId="3" type="noConversion"/>
  </si>
  <si>
    <t>묘봉</t>
    <phoneticPr fontId="3" type="noConversion"/>
  </si>
  <si>
    <t>용소말</t>
    <phoneticPr fontId="3" type="noConversion"/>
  </si>
  <si>
    <t>용소말1</t>
    <phoneticPr fontId="3" type="noConversion"/>
  </si>
  <si>
    <t>한천</t>
    <phoneticPr fontId="3" type="noConversion"/>
  </si>
  <si>
    <t>합목</t>
    <phoneticPr fontId="3" type="noConversion"/>
  </si>
  <si>
    <t>매산</t>
    <phoneticPr fontId="3" type="noConversion"/>
  </si>
  <si>
    <t>인산</t>
    <phoneticPr fontId="3" type="noConversion"/>
  </si>
  <si>
    <t>구산</t>
    <phoneticPr fontId="3" type="noConversion"/>
  </si>
  <si>
    <t>석장</t>
    <phoneticPr fontId="3" type="noConversion"/>
  </si>
  <si>
    <t>옥동1</t>
    <phoneticPr fontId="3" type="noConversion"/>
  </si>
  <si>
    <t>옥동2</t>
    <phoneticPr fontId="3" type="noConversion"/>
  </si>
  <si>
    <t>마두</t>
    <phoneticPr fontId="3" type="noConversion"/>
  </si>
  <si>
    <t>덕산
공공
(기존)</t>
    <phoneticPr fontId="3" type="noConversion"/>
  </si>
  <si>
    <t>송림</t>
    <phoneticPr fontId="3" type="noConversion"/>
  </si>
  <si>
    <t>송림지구</t>
    <phoneticPr fontId="3" type="noConversion"/>
  </si>
  <si>
    <t>학동</t>
    <phoneticPr fontId="3" type="noConversion"/>
  </si>
  <si>
    <t>대막</t>
    <phoneticPr fontId="3" type="noConversion"/>
  </si>
  <si>
    <t>일영</t>
    <phoneticPr fontId="3" type="noConversion"/>
  </si>
  <si>
    <t>화양</t>
    <phoneticPr fontId="3" type="noConversion"/>
  </si>
  <si>
    <t>노곡</t>
    <phoneticPr fontId="3" type="noConversion"/>
  </si>
  <si>
    <t>서원</t>
    <phoneticPr fontId="3" type="noConversion"/>
  </si>
  <si>
    <t>신당</t>
    <phoneticPr fontId="3" type="noConversion"/>
  </si>
  <si>
    <t>신촌</t>
    <phoneticPr fontId="3" type="noConversion"/>
  </si>
  <si>
    <t>중복</t>
    <phoneticPr fontId="3" type="noConversion"/>
  </si>
  <si>
    <t>중정</t>
    <phoneticPr fontId="3" type="noConversion"/>
  </si>
  <si>
    <t>문화마을</t>
    <phoneticPr fontId="3" type="noConversion"/>
  </si>
  <si>
    <t>신대</t>
    <phoneticPr fontId="3" type="noConversion"/>
  </si>
  <si>
    <t>사동</t>
    <phoneticPr fontId="3" type="noConversion"/>
  </si>
  <si>
    <t>이월
공공
(기존)</t>
    <phoneticPr fontId="3" type="noConversion"/>
  </si>
  <si>
    <t>광혜원</t>
    <phoneticPr fontId="3" type="noConversion"/>
  </si>
  <si>
    <t>회죽지구</t>
    <phoneticPr fontId="3" type="noConversion"/>
  </si>
  <si>
    <t>동주원</t>
    <phoneticPr fontId="3" type="noConversion"/>
  </si>
  <si>
    <t>죽동</t>
    <phoneticPr fontId="3" type="noConversion"/>
  </si>
  <si>
    <t>금천</t>
    <phoneticPr fontId="3" type="noConversion"/>
  </si>
  <si>
    <t>월성</t>
    <phoneticPr fontId="3" type="noConversion"/>
  </si>
  <si>
    <t>계</t>
    <phoneticPr fontId="3" type="noConversion"/>
  </si>
  <si>
    <t>광혜원
공공
(기존)</t>
    <phoneticPr fontId="3" type="noConversion"/>
  </si>
  <si>
    <t>1단계</t>
    <phoneticPr fontId="3" type="noConversion"/>
  </si>
  <si>
    <t>진천군</t>
    <phoneticPr fontId="3" type="noConversion"/>
  </si>
  <si>
    <t>진천읍</t>
    <phoneticPr fontId="3" type="noConversion"/>
  </si>
  <si>
    <t>광혜원면</t>
    <phoneticPr fontId="3" type="noConversion"/>
  </si>
  <si>
    <t>충북혁신도시</t>
    <phoneticPr fontId="3" type="noConversion"/>
  </si>
  <si>
    <t>읍면별 하수처리인구</t>
    <phoneticPr fontId="3" type="noConversion"/>
  </si>
  <si>
    <t>총유입인구
(명)</t>
    <phoneticPr fontId="4" type="noConversion"/>
  </si>
  <si>
    <r>
      <t>1단계(2020</t>
    </r>
    <r>
      <rPr>
        <b/>
        <sz val="10.5"/>
        <color rgb="FF000000"/>
        <rFont val="맑은 고딕"/>
        <family val="3"/>
        <charset val="129"/>
        <scheme val="minor"/>
      </rPr>
      <t>년</t>
    </r>
    <r>
      <rPr>
        <b/>
        <sz val="10.5"/>
        <color rgb="FF000000"/>
        <rFont val="HY신명조"/>
        <family val="1"/>
        <charset val="129"/>
      </rPr>
      <t>)</t>
    </r>
    <phoneticPr fontId="3" type="noConversion"/>
  </si>
  <si>
    <r>
      <t>2단계(2025</t>
    </r>
    <r>
      <rPr>
        <b/>
        <sz val="10.5"/>
        <color rgb="FF000000"/>
        <rFont val="맑은 고딕"/>
        <family val="3"/>
        <charset val="129"/>
        <scheme val="minor"/>
      </rPr>
      <t>년</t>
    </r>
    <r>
      <rPr>
        <b/>
        <sz val="10.5"/>
        <color rgb="FF000000"/>
        <rFont val="HY신명조"/>
        <family val="1"/>
        <charset val="129"/>
      </rPr>
      <t>)</t>
    </r>
    <phoneticPr fontId="3" type="noConversion"/>
  </si>
  <si>
    <r>
      <t>3단계(2030</t>
    </r>
    <r>
      <rPr>
        <b/>
        <sz val="10.5"/>
        <color rgb="FF000000"/>
        <rFont val="맑은 고딕"/>
        <family val="3"/>
        <charset val="129"/>
        <scheme val="minor"/>
      </rPr>
      <t>년</t>
    </r>
    <r>
      <rPr>
        <b/>
        <sz val="10.5"/>
        <color rgb="FF000000"/>
        <rFont val="HY신명조"/>
        <family val="1"/>
        <charset val="129"/>
      </rPr>
      <t>)</t>
    </r>
    <phoneticPr fontId="3" type="noConversion"/>
  </si>
  <si>
    <r>
      <t>4단계(2035</t>
    </r>
    <r>
      <rPr>
        <b/>
        <sz val="10.5"/>
        <color rgb="FF000000"/>
        <rFont val="맑은 고딕"/>
        <family val="3"/>
        <charset val="129"/>
        <scheme val="minor"/>
      </rPr>
      <t>년</t>
    </r>
    <r>
      <rPr>
        <b/>
        <sz val="10.5"/>
        <color rgb="FF000000"/>
        <rFont val="HY신명조"/>
        <family val="1"/>
        <charset val="129"/>
      </rPr>
      <t>)</t>
    </r>
    <phoneticPr fontId="3" type="noConversion"/>
  </si>
  <si>
    <t>기 정비기본계획</t>
    <phoneticPr fontId="3" type="noConversion"/>
  </si>
  <si>
    <r>
      <t>2006</t>
    </r>
    <r>
      <rPr>
        <b/>
        <sz val="11"/>
        <color rgb="FF000000"/>
        <rFont val="맑은 고딕"/>
        <family val="3"/>
        <charset val="129"/>
        <scheme val="minor"/>
      </rPr>
      <t>년</t>
    </r>
  </si>
  <si>
    <r>
      <t>1</t>
    </r>
    <r>
      <rPr>
        <b/>
        <sz val="11"/>
        <color rgb="FF000000"/>
        <rFont val="맑은 고딕"/>
        <family val="3"/>
        <charset val="129"/>
        <scheme val="minor"/>
      </rPr>
      <t>단계</t>
    </r>
  </si>
  <si>
    <r>
      <t>(2010</t>
    </r>
    <r>
      <rPr>
        <b/>
        <sz val="11"/>
        <color rgb="FF000000"/>
        <rFont val="맑은 고딕"/>
        <family val="3"/>
        <charset val="129"/>
        <scheme val="minor"/>
      </rPr>
      <t>년</t>
    </r>
    <r>
      <rPr>
        <b/>
        <sz val="11"/>
        <color rgb="FF000000"/>
        <rFont val="한양신명조"/>
        <family val="3"/>
        <charset val="129"/>
      </rPr>
      <t>)</t>
    </r>
  </si>
  <si>
    <r>
      <t>2</t>
    </r>
    <r>
      <rPr>
        <b/>
        <sz val="11"/>
        <color rgb="FF000000"/>
        <rFont val="맑은 고딕"/>
        <family val="3"/>
        <charset val="129"/>
        <scheme val="minor"/>
      </rPr>
      <t>단계</t>
    </r>
  </si>
  <si>
    <r>
      <t>(2015</t>
    </r>
    <r>
      <rPr>
        <b/>
        <sz val="11"/>
        <color rgb="FF000000"/>
        <rFont val="맑은 고딕"/>
        <family val="3"/>
        <charset val="129"/>
        <scheme val="minor"/>
      </rPr>
      <t>년</t>
    </r>
    <r>
      <rPr>
        <b/>
        <sz val="11"/>
        <color rgb="FF000000"/>
        <rFont val="한양신명조"/>
        <family val="3"/>
        <charset val="129"/>
      </rPr>
      <t>)</t>
    </r>
  </si>
  <si>
    <r>
      <t>3</t>
    </r>
    <r>
      <rPr>
        <b/>
        <sz val="11"/>
        <color rgb="FF000000"/>
        <rFont val="맑은 고딕"/>
        <family val="3"/>
        <charset val="129"/>
        <scheme val="minor"/>
      </rPr>
      <t>단계</t>
    </r>
  </si>
  <si>
    <r>
      <t>(2020</t>
    </r>
    <r>
      <rPr>
        <b/>
        <sz val="11"/>
        <color rgb="FF000000"/>
        <rFont val="맑은 고딕"/>
        <family val="3"/>
        <charset val="129"/>
        <scheme val="minor"/>
      </rPr>
      <t>년</t>
    </r>
    <r>
      <rPr>
        <b/>
        <sz val="11"/>
        <color rgb="FF000000"/>
        <rFont val="한양신명조"/>
        <family val="3"/>
        <charset val="129"/>
      </rPr>
      <t>)</t>
    </r>
  </si>
  <si>
    <r>
      <t>4</t>
    </r>
    <r>
      <rPr>
        <b/>
        <sz val="11"/>
        <color rgb="FF000000"/>
        <rFont val="맑은 고딕"/>
        <family val="3"/>
        <charset val="129"/>
        <scheme val="minor"/>
      </rPr>
      <t>단계</t>
    </r>
  </si>
  <si>
    <r>
      <t>(2025</t>
    </r>
    <r>
      <rPr>
        <b/>
        <sz val="11"/>
        <color rgb="FF000000"/>
        <rFont val="맑은 고딕"/>
        <family val="3"/>
        <charset val="129"/>
        <scheme val="minor"/>
      </rPr>
      <t>년</t>
    </r>
    <r>
      <rPr>
        <b/>
        <sz val="11"/>
        <color rgb="FF000000"/>
        <rFont val="한양신명조"/>
        <family val="3"/>
        <charset val="129"/>
      </rPr>
      <t>)</t>
    </r>
  </si>
  <si>
    <t>-</t>
  </si>
  <si>
    <t>행정리</t>
    <phoneticPr fontId="3" type="noConversion"/>
  </si>
  <si>
    <t>소계</t>
    <phoneticPr fontId="3" type="noConversion"/>
  </si>
  <si>
    <t>계</t>
    <phoneticPr fontId="3" type="noConversion"/>
  </si>
  <si>
    <t>충북혁신도시수질복원센터</t>
    <phoneticPr fontId="3" type="noConversion"/>
  </si>
  <si>
    <t>혁신도시</t>
    <phoneticPr fontId="3" type="noConversion"/>
  </si>
  <si>
    <t>계</t>
  </si>
  <si>
    <t>혁신도시</t>
  </si>
  <si>
    <t>에코타운</t>
    <phoneticPr fontId="3" type="noConversion"/>
  </si>
  <si>
    <t>동성</t>
    <phoneticPr fontId="3" type="noConversion"/>
  </si>
  <si>
    <t>진천공공</t>
    <phoneticPr fontId="3" type="noConversion"/>
  </si>
  <si>
    <t>덕산공공</t>
    <phoneticPr fontId="3" type="noConversion"/>
  </si>
  <si>
    <t>이월공공</t>
    <phoneticPr fontId="3" type="noConversion"/>
  </si>
  <si>
    <t>광혜원공공</t>
    <phoneticPr fontId="3" type="noConversion"/>
  </si>
  <si>
    <t>충북혁신도시</t>
    <phoneticPr fontId="3" type="noConversion"/>
  </si>
  <si>
    <t>소규모</t>
    <phoneticPr fontId="3" type="noConversion"/>
  </si>
  <si>
    <t>계</t>
    <phoneticPr fontId="3" type="noConversion"/>
  </si>
  <si>
    <t xml:space="preserve">유출입인구합
</t>
    <phoneticPr fontId="3" type="noConversion"/>
  </si>
  <si>
    <t>유출인구</t>
    <phoneticPr fontId="3" type="noConversion"/>
  </si>
  <si>
    <t>내부이동에의한 유출인구</t>
    <phoneticPr fontId="3" type="noConversion"/>
  </si>
  <si>
    <t>사업준비중</t>
    <phoneticPr fontId="3" type="noConversion"/>
  </si>
  <si>
    <t>1단계,2단계증설</t>
    <phoneticPr fontId="3" type="noConversion"/>
  </si>
  <si>
    <t>폐쇄예정</t>
    <phoneticPr fontId="3" type="noConversion"/>
  </si>
  <si>
    <t>용전(기존)</t>
    <phoneticPr fontId="3" type="noConversion"/>
  </si>
  <si>
    <t>양촌(기존)</t>
    <phoneticPr fontId="3" type="noConversion"/>
  </si>
  <si>
    <t>지전(기존)</t>
    <phoneticPr fontId="3" type="noConversion"/>
  </si>
  <si>
    <t>금오(기존)</t>
    <phoneticPr fontId="3" type="noConversion"/>
  </si>
  <si>
    <t>가암(기존)</t>
    <phoneticPr fontId="3" type="noConversion"/>
  </si>
  <si>
    <t>궁동(기존)</t>
    <phoneticPr fontId="3" type="noConversion"/>
  </si>
  <si>
    <t>사지(기존)</t>
    <phoneticPr fontId="3" type="noConversion"/>
  </si>
  <si>
    <t>도종(기존)</t>
    <phoneticPr fontId="3" type="noConversion"/>
  </si>
  <si>
    <t>스포츠센터</t>
    <phoneticPr fontId="3" type="noConversion"/>
  </si>
  <si>
    <t>옹암</t>
    <phoneticPr fontId="3" type="noConversion"/>
  </si>
  <si>
    <t>문백공단</t>
    <phoneticPr fontId="3" type="noConversion"/>
  </si>
  <si>
    <t>선수촌</t>
    <phoneticPr fontId="3" type="noConversion"/>
  </si>
  <si>
    <t>신한은행연수원</t>
    <phoneticPr fontId="3" type="noConversion"/>
  </si>
  <si>
    <t>광혜원고등학교</t>
    <phoneticPr fontId="3" type="noConversion"/>
  </si>
  <si>
    <t>테마장터</t>
    <phoneticPr fontId="3" type="noConversion"/>
  </si>
  <si>
    <t>에코타운</t>
    <phoneticPr fontId="3" type="noConversion"/>
  </si>
  <si>
    <t>충북혁신도시수질복원센터</t>
    <phoneticPr fontId="3" type="noConversion"/>
  </si>
  <si>
    <t>도시개발
사업</t>
    <phoneticPr fontId="4" type="noConversion"/>
  </si>
  <si>
    <t xml:space="preserve">   나) 공동주택 건설사업</t>
    <phoneticPr fontId="4" type="noConversion"/>
  </si>
  <si>
    <t xml:space="preserve">   다) 산업단지 조성사업</t>
    <phoneticPr fontId="4" type="noConversion"/>
  </si>
  <si>
    <t xml:space="preserve">   라) 추가사업</t>
    <phoneticPr fontId="4" type="noConversion"/>
  </si>
  <si>
    <t>혁신도시로의 내부유입인구(음성)</t>
    <phoneticPr fontId="3" type="noConversion"/>
  </si>
  <si>
    <t>단계별 계획인구</t>
  </si>
  <si>
    <r>
      <t>2013</t>
    </r>
    <r>
      <rPr>
        <b/>
        <sz val="10.5"/>
        <color rgb="FF000000"/>
        <rFont val="맑은 고딕"/>
        <family val="3"/>
        <charset val="129"/>
        <scheme val="minor"/>
      </rPr>
      <t>년</t>
    </r>
  </si>
  <si>
    <r>
      <t>2020</t>
    </r>
    <r>
      <rPr>
        <b/>
        <sz val="10.5"/>
        <color rgb="FF000000"/>
        <rFont val="맑은 고딕"/>
        <family val="3"/>
        <charset val="129"/>
        <scheme val="minor"/>
      </rPr>
      <t>년</t>
    </r>
  </si>
  <si>
    <r>
      <t>2025</t>
    </r>
    <r>
      <rPr>
        <b/>
        <sz val="10.5"/>
        <color rgb="FF000000"/>
        <rFont val="맑은 고딕"/>
        <family val="3"/>
        <charset val="129"/>
        <scheme val="minor"/>
      </rPr>
      <t>년</t>
    </r>
  </si>
  <si>
    <r>
      <t>2030</t>
    </r>
    <r>
      <rPr>
        <b/>
        <sz val="10.5"/>
        <color rgb="FF000000"/>
        <rFont val="맑은 고딕"/>
        <family val="3"/>
        <charset val="129"/>
        <scheme val="minor"/>
      </rPr>
      <t>년</t>
    </r>
  </si>
  <si>
    <r>
      <t>2035</t>
    </r>
    <r>
      <rPr>
        <b/>
        <sz val="10.5"/>
        <color rgb="FF000000"/>
        <rFont val="맑은 고딕"/>
        <family val="3"/>
        <charset val="129"/>
        <scheme val="minor"/>
      </rPr>
      <t>년</t>
    </r>
  </si>
  <si>
    <t>도시개발사업</t>
  </si>
  <si>
    <t>공동주택 건설사업</t>
  </si>
  <si>
    <t>산업단지 조성사업</t>
  </si>
  <si>
    <t>도시개발계획</t>
    <phoneticPr fontId="3" type="noConversion"/>
  </si>
  <si>
    <t>공동주택</t>
    <phoneticPr fontId="3" type="noConversion"/>
  </si>
  <si>
    <t>산업단지</t>
    <phoneticPr fontId="3" type="noConversion"/>
  </si>
  <si>
    <t>충북 혁신도시</t>
    <phoneticPr fontId="3" type="noConversion"/>
  </si>
  <si>
    <t>계</t>
    <phoneticPr fontId="3" type="noConversion"/>
  </si>
  <si>
    <t>충북혁신도시</t>
    <phoneticPr fontId="3" type="noConversion"/>
  </si>
  <si>
    <t>보정</t>
    <phoneticPr fontId="3" type="noConversion"/>
  </si>
  <si>
    <t>혁신도시 유출인구 배분</t>
    <phoneticPr fontId="3" type="noConversion"/>
  </si>
  <si>
    <t>전체</t>
    <phoneticPr fontId="3" type="noConversion"/>
  </si>
  <si>
    <t>광혜원면 죽현리
313번지 일원</t>
    <phoneticPr fontId="3" type="noConversion"/>
  </si>
  <si>
    <t>적용</t>
    <phoneticPr fontId="3" type="noConversion"/>
  </si>
  <si>
    <t>지역여건에 따라 비율조정</t>
    <phoneticPr fontId="3" type="noConversion"/>
  </si>
  <si>
    <t>2014년</t>
    <phoneticPr fontId="3" type="noConversion"/>
  </si>
  <si>
    <t>비고</t>
    <phoneticPr fontId="3" type="noConversion"/>
  </si>
  <si>
    <t>진천 음성 혁신도시로인해 음성쪽 혁신도시 계획 인구도 포함되었음</t>
    <phoneticPr fontId="3" type="noConversion"/>
  </si>
  <si>
    <t>음성인구제외,</t>
    <phoneticPr fontId="3" type="noConversion"/>
  </si>
  <si>
    <t>내부이동인구, 혁신도시로의 유출인구를 제외한 인구</t>
    <phoneticPr fontId="3" type="noConversion"/>
  </si>
  <si>
    <t>내부이동인구를 제외한 인구(보고서- 조성법에의한 계획인구편)</t>
    <phoneticPr fontId="3" type="noConversion"/>
  </si>
  <si>
    <t>금곡</t>
    <phoneticPr fontId="3" type="noConversion"/>
  </si>
  <si>
    <r>
      <t>(2014</t>
    </r>
    <r>
      <rPr>
        <b/>
        <sz val="10.5"/>
        <color rgb="FF000000"/>
        <rFont val="맑은 고딕"/>
        <family val="3"/>
        <charset val="129"/>
        <scheme val="minor"/>
      </rPr>
      <t>년</t>
    </r>
    <r>
      <rPr>
        <b/>
        <sz val="10.5"/>
        <color rgb="FF000000"/>
        <rFont val="HY신명조"/>
        <family val="1"/>
        <charset val="129"/>
      </rPr>
      <t>)</t>
    </r>
    <phoneticPr fontId="3" type="noConversion"/>
  </si>
  <si>
    <t>2015년</t>
    <phoneticPr fontId="3" type="noConversion"/>
  </si>
  <si>
    <t>음성군</t>
    <phoneticPr fontId="4" type="noConversion"/>
  </si>
  <si>
    <t xml:space="preserve"> 1.1 음성군 과거인구현황</t>
    <phoneticPr fontId="4" type="noConversion"/>
  </si>
  <si>
    <t>음성읍</t>
    <phoneticPr fontId="4" type="noConversion"/>
  </si>
  <si>
    <t>금왕읍</t>
    <phoneticPr fontId="3" type="noConversion"/>
  </si>
  <si>
    <t>소이면</t>
    <phoneticPr fontId="3" type="noConversion"/>
  </si>
  <si>
    <t>원남면</t>
    <phoneticPr fontId="3" type="noConversion"/>
  </si>
  <si>
    <t>맹동면</t>
    <phoneticPr fontId="3" type="noConversion"/>
  </si>
  <si>
    <t>대소면</t>
    <phoneticPr fontId="3" type="noConversion"/>
  </si>
  <si>
    <t>삼성면</t>
    <phoneticPr fontId="3" type="noConversion"/>
  </si>
  <si>
    <t>생극면</t>
    <phoneticPr fontId="3" type="noConversion"/>
  </si>
  <si>
    <t>감곡면</t>
    <phoneticPr fontId="4" type="noConversion"/>
  </si>
  <si>
    <t xml:space="preserve">  가. 음성군 인구 추이 분석</t>
    <phoneticPr fontId="4" type="noConversion"/>
  </si>
  <si>
    <t xml:space="preserve">  나. 음성읍 인구 추이 분석</t>
    <phoneticPr fontId="4" type="noConversion"/>
  </si>
  <si>
    <t>음  성  군</t>
    <phoneticPr fontId="4" type="noConversion"/>
  </si>
  <si>
    <t>음  성  읍</t>
    <phoneticPr fontId="4" type="noConversion"/>
  </si>
  <si>
    <t>금  왕  읍</t>
    <phoneticPr fontId="4" type="noConversion"/>
  </si>
  <si>
    <t xml:space="preserve">  다. 금왕읍 인구 추이 분석</t>
    <phoneticPr fontId="4" type="noConversion"/>
  </si>
  <si>
    <t xml:space="preserve">  라. 소이면 인구 추이 분석</t>
    <phoneticPr fontId="4" type="noConversion"/>
  </si>
  <si>
    <t>소  이  면</t>
    <phoneticPr fontId="4" type="noConversion"/>
  </si>
  <si>
    <t xml:space="preserve">  마. 원남면 인구 추이 분석</t>
    <phoneticPr fontId="4" type="noConversion"/>
  </si>
  <si>
    <t>원  남  면</t>
    <phoneticPr fontId="4" type="noConversion"/>
  </si>
  <si>
    <t xml:space="preserve">  바. 맹동면 인구 추이 분석</t>
    <phoneticPr fontId="4" type="noConversion"/>
  </si>
  <si>
    <t>맹  동  면</t>
    <phoneticPr fontId="4" type="noConversion"/>
  </si>
  <si>
    <t xml:space="preserve">  사. 대소면 인구 추이 분석</t>
    <phoneticPr fontId="4" type="noConversion"/>
  </si>
  <si>
    <t>대  소  면</t>
    <phoneticPr fontId="4" type="noConversion"/>
  </si>
  <si>
    <t>감  곡  면</t>
    <phoneticPr fontId="4" type="noConversion"/>
  </si>
  <si>
    <t>ㅎ</t>
    <phoneticPr fontId="3" type="noConversion"/>
  </si>
  <si>
    <t xml:space="preserve">  아. 삼성면 인구 추이 분석</t>
    <phoneticPr fontId="4" type="noConversion"/>
  </si>
  <si>
    <t xml:space="preserve">  자. 생극면 인구 추이 분석</t>
    <phoneticPr fontId="4" type="noConversion"/>
  </si>
  <si>
    <t>삼  성  면</t>
    <phoneticPr fontId="4" type="noConversion"/>
  </si>
  <si>
    <t>생  극  면</t>
    <phoneticPr fontId="4" type="noConversion"/>
  </si>
  <si>
    <t>음성군
(10년)</t>
    <phoneticPr fontId="4" type="noConversion"/>
  </si>
  <si>
    <t>음성군
(5년)</t>
    <phoneticPr fontId="4" type="noConversion"/>
  </si>
  <si>
    <t>금왕읍</t>
    <phoneticPr fontId="4" type="noConversion"/>
  </si>
  <si>
    <t>소이면</t>
    <phoneticPr fontId="4" type="noConversion"/>
  </si>
  <si>
    <t>원남면</t>
    <phoneticPr fontId="4" type="noConversion"/>
  </si>
  <si>
    <t>맹동면</t>
    <phoneticPr fontId="4" type="noConversion"/>
  </si>
  <si>
    <t>대소면</t>
    <phoneticPr fontId="4" type="noConversion"/>
  </si>
  <si>
    <t>삼성면</t>
    <phoneticPr fontId="4" type="noConversion"/>
  </si>
  <si>
    <t>생극면</t>
    <phoneticPr fontId="4" type="noConversion"/>
  </si>
  <si>
    <t>감곡면</t>
    <phoneticPr fontId="4" type="noConversion"/>
  </si>
  <si>
    <t xml:space="preserve">  가. 음성군 수학적방법(과거 10년 기준)</t>
    <phoneticPr fontId="4" type="noConversion"/>
  </si>
  <si>
    <t>음성읍</t>
  </si>
  <si>
    <t>음성읍</t>
    <phoneticPr fontId="4" type="noConversion"/>
  </si>
  <si>
    <t>금광읍</t>
  </si>
  <si>
    <t>소이면</t>
  </si>
  <si>
    <t>소이면</t>
    <phoneticPr fontId="4" type="noConversion"/>
  </si>
  <si>
    <t>원남면</t>
  </si>
  <si>
    <t>원남면</t>
    <phoneticPr fontId="4" type="noConversion"/>
  </si>
  <si>
    <t>맹동면</t>
  </si>
  <si>
    <t>맹동면</t>
    <phoneticPr fontId="4" type="noConversion"/>
  </si>
  <si>
    <t>대소면</t>
  </si>
  <si>
    <t>대소면</t>
    <phoneticPr fontId="4" type="noConversion"/>
  </si>
  <si>
    <t>삼성면</t>
  </si>
  <si>
    <t>생극면</t>
  </si>
  <si>
    <t>감곡면</t>
  </si>
  <si>
    <t>음성군</t>
    <phoneticPr fontId="3" type="noConversion"/>
  </si>
  <si>
    <t>음성읍</t>
    <phoneticPr fontId="3" type="noConversion"/>
  </si>
  <si>
    <t>금왕읍</t>
    <phoneticPr fontId="3" type="noConversion"/>
  </si>
  <si>
    <t>소이면</t>
    <phoneticPr fontId="3" type="noConversion"/>
  </si>
  <si>
    <t>원남면</t>
    <phoneticPr fontId="3" type="noConversion"/>
  </si>
  <si>
    <t>맹동면</t>
    <phoneticPr fontId="3" type="noConversion"/>
  </si>
  <si>
    <t>대소면</t>
    <phoneticPr fontId="3" type="noConversion"/>
  </si>
  <si>
    <t>삼성면</t>
    <phoneticPr fontId="3" type="noConversion"/>
  </si>
  <si>
    <t>생극면</t>
    <phoneticPr fontId="3" type="noConversion"/>
  </si>
  <si>
    <t>감곡면</t>
    <phoneticPr fontId="3" type="noConversion"/>
  </si>
  <si>
    <t>음성군</t>
    <phoneticPr fontId="3" type="noConversion"/>
  </si>
  <si>
    <t>음성읍</t>
    <phoneticPr fontId="4" type="noConversion"/>
  </si>
  <si>
    <t>금왕읍</t>
    <phoneticPr fontId="4" type="noConversion"/>
  </si>
  <si>
    <t>소이면</t>
    <phoneticPr fontId="4" type="noConversion"/>
  </si>
  <si>
    <t>원남면</t>
    <phoneticPr fontId="4" type="noConversion"/>
  </si>
  <si>
    <t>맹동면</t>
    <phoneticPr fontId="4" type="noConversion"/>
  </si>
  <si>
    <t>대소면</t>
    <phoneticPr fontId="4" type="noConversion"/>
  </si>
  <si>
    <t>삼성면</t>
    <phoneticPr fontId="4" type="noConversion"/>
  </si>
  <si>
    <t>생극면</t>
    <phoneticPr fontId="4" type="noConversion"/>
  </si>
  <si>
    <t>감곡면</t>
    <phoneticPr fontId="4" type="noConversion"/>
  </si>
  <si>
    <t>혁신도시로의 내부유입인구(음성)</t>
    <phoneticPr fontId="3" type="noConversion"/>
  </si>
  <si>
    <t>혁신도시로의 내부유입인구(진천)</t>
    <phoneticPr fontId="3" type="noConversion"/>
  </si>
  <si>
    <t>음성읍</t>
    <phoneticPr fontId="3" type="noConversion"/>
  </si>
  <si>
    <t>금왕읍</t>
    <phoneticPr fontId="3" type="noConversion"/>
  </si>
  <si>
    <t>소이면</t>
    <phoneticPr fontId="3" type="noConversion"/>
  </si>
  <si>
    <t>원남면</t>
    <phoneticPr fontId="3" type="noConversion"/>
  </si>
  <si>
    <t>맹동면</t>
    <phoneticPr fontId="3" type="noConversion"/>
  </si>
  <si>
    <t>대소면</t>
    <phoneticPr fontId="3" type="noConversion"/>
  </si>
  <si>
    <t>삼성면</t>
    <phoneticPr fontId="3" type="noConversion"/>
  </si>
  <si>
    <t>생극면</t>
    <phoneticPr fontId="3" type="noConversion"/>
  </si>
  <si>
    <t>감곡면</t>
    <phoneticPr fontId="3" type="noConversion"/>
  </si>
  <si>
    <t>음성군</t>
    <phoneticPr fontId="3" type="noConversion"/>
  </si>
  <si>
    <t>음성읍</t>
    <phoneticPr fontId="3" type="noConversion"/>
  </si>
  <si>
    <t>감곡면</t>
    <phoneticPr fontId="3" type="noConversion"/>
  </si>
  <si>
    <t>금왕읍</t>
    <phoneticPr fontId="4" type="noConversion"/>
  </si>
  <si>
    <t>부러운아파트</t>
    <phoneticPr fontId="3" type="noConversion"/>
  </si>
  <si>
    <t>시티프라디움</t>
    <phoneticPr fontId="3" type="noConversion"/>
  </si>
  <si>
    <t>웰메이드타운</t>
    <phoneticPr fontId="3" type="noConversion"/>
  </si>
  <si>
    <t>지평더웰2차</t>
    <phoneticPr fontId="3" type="noConversion"/>
  </si>
  <si>
    <t>영무예다음3차</t>
    <phoneticPr fontId="3" type="noConversion"/>
  </si>
  <si>
    <t>㈜송정건설</t>
    <phoneticPr fontId="3" type="noConversion"/>
  </si>
  <si>
    <t>㈜씨제이산업개발</t>
    <phoneticPr fontId="3" type="noConversion"/>
  </si>
  <si>
    <t>대소네오지역주택조합</t>
    <phoneticPr fontId="3" type="noConversion"/>
  </si>
  <si>
    <t>음성대소지역주택조합</t>
    <phoneticPr fontId="3" type="noConversion"/>
  </si>
  <si>
    <t>음성지역주택조합</t>
    <phoneticPr fontId="3" type="noConversion"/>
  </si>
  <si>
    <t>신 부영아파트</t>
    <phoneticPr fontId="3" type="noConversion"/>
  </si>
  <si>
    <t>포그니아파트</t>
    <phoneticPr fontId="3" type="noConversion"/>
  </si>
  <si>
    <t>프리즘환타</t>
    <phoneticPr fontId="3" type="noConversion"/>
  </si>
  <si>
    <t>대신리치빌</t>
    <phoneticPr fontId="3" type="noConversion"/>
  </si>
  <si>
    <t>태경에코그린</t>
    <phoneticPr fontId="3" type="noConversion"/>
  </si>
  <si>
    <t>우신아파트</t>
    <phoneticPr fontId="3" type="noConversion"/>
  </si>
  <si>
    <t>감곡 우시장근처</t>
    <phoneticPr fontId="3" type="noConversion"/>
  </si>
  <si>
    <t>감곡 오향리 아파트</t>
    <phoneticPr fontId="3" type="noConversion"/>
  </si>
  <si>
    <t>소석리아파트(3단지)</t>
    <phoneticPr fontId="3" type="noConversion"/>
  </si>
  <si>
    <t>덕정리 아파트</t>
    <phoneticPr fontId="3" type="noConversion"/>
  </si>
  <si>
    <t>공사중</t>
    <phoneticPr fontId="3" type="noConversion"/>
  </si>
  <si>
    <t>조합승인</t>
    <phoneticPr fontId="3" type="noConversion"/>
  </si>
  <si>
    <t>사업계획승인</t>
    <phoneticPr fontId="3" type="noConversion"/>
  </si>
  <si>
    <t>사업준비중</t>
    <phoneticPr fontId="3" type="noConversion"/>
  </si>
  <si>
    <t>대소</t>
    <phoneticPr fontId="3" type="noConversion"/>
  </si>
  <si>
    <t>금왕</t>
    <phoneticPr fontId="3" type="noConversion"/>
  </si>
  <si>
    <t>음성</t>
    <phoneticPr fontId="3" type="noConversion"/>
  </si>
  <si>
    <t>맹동</t>
    <phoneticPr fontId="3" type="noConversion"/>
  </si>
  <si>
    <t>감곡</t>
    <phoneticPr fontId="3" type="noConversion"/>
  </si>
  <si>
    <t>생극</t>
    <phoneticPr fontId="3" type="noConversion"/>
  </si>
  <si>
    <t>삼성</t>
    <phoneticPr fontId="3" type="noConversion"/>
  </si>
  <si>
    <t>소이</t>
    <phoneticPr fontId="3" type="noConversion"/>
  </si>
  <si>
    <t>원남</t>
    <phoneticPr fontId="3" type="noConversion"/>
  </si>
  <si>
    <t>세대 및 인구
(본 계획 반영)</t>
    <phoneticPr fontId="4" type="noConversion"/>
  </si>
  <si>
    <t>맹동면 동성리 일원</t>
    <phoneticPr fontId="3" type="noConversion"/>
  </si>
  <si>
    <t>음성</t>
    <phoneticPr fontId="4" type="noConversion"/>
  </si>
  <si>
    <t>음성1</t>
    <phoneticPr fontId="4" type="noConversion"/>
  </si>
  <si>
    <t>음성읍</t>
    <phoneticPr fontId="3" type="noConversion"/>
  </si>
  <si>
    <t>읍내리</t>
    <phoneticPr fontId="4" type="noConversion"/>
  </si>
  <si>
    <t>읍내2</t>
  </si>
  <si>
    <t>읍내2</t>
    <phoneticPr fontId="4" type="noConversion"/>
  </si>
  <si>
    <t>읍내3</t>
  </si>
  <si>
    <t>읍내3</t>
    <phoneticPr fontId="4" type="noConversion"/>
  </si>
  <si>
    <t>읍내7</t>
  </si>
  <si>
    <t>읍내7</t>
    <phoneticPr fontId="4" type="noConversion"/>
  </si>
  <si>
    <t>평곡리</t>
    <phoneticPr fontId="3" type="noConversion"/>
  </si>
  <si>
    <t>평곡1</t>
  </si>
  <si>
    <t>평곡1</t>
    <phoneticPr fontId="4" type="noConversion"/>
  </si>
  <si>
    <t>평곡3</t>
  </si>
  <si>
    <t>평곡3</t>
    <phoneticPr fontId="3" type="noConversion"/>
  </si>
  <si>
    <t>평곡4</t>
  </si>
  <si>
    <t>평곡4</t>
    <phoneticPr fontId="3" type="noConversion"/>
  </si>
  <si>
    <t>평곡5</t>
  </si>
  <si>
    <t>평곡5</t>
    <phoneticPr fontId="4" type="noConversion"/>
  </si>
  <si>
    <t>평곡2</t>
  </si>
  <si>
    <t>평곡2</t>
    <phoneticPr fontId="4" type="noConversion"/>
  </si>
  <si>
    <t>음성2</t>
    <phoneticPr fontId="4" type="noConversion"/>
  </si>
  <si>
    <t>음성읍</t>
    <phoneticPr fontId="3" type="noConversion"/>
  </si>
  <si>
    <t>음성읍</t>
    <phoneticPr fontId="4" type="noConversion"/>
  </si>
  <si>
    <t>읍내리</t>
    <phoneticPr fontId="3" type="noConversion"/>
  </si>
  <si>
    <t>읍내1</t>
    <phoneticPr fontId="3" type="noConversion"/>
  </si>
  <si>
    <t>읍내1</t>
    <phoneticPr fontId="4" type="noConversion"/>
  </si>
  <si>
    <t>읍내4</t>
    <phoneticPr fontId="3" type="noConversion"/>
  </si>
  <si>
    <t>읍내5</t>
    <phoneticPr fontId="3" type="noConversion"/>
  </si>
  <si>
    <t>읍내6</t>
    <phoneticPr fontId="3" type="noConversion"/>
  </si>
  <si>
    <t>읍내8</t>
    <phoneticPr fontId="3" type="noConversion"/>
  </si>
  <si>
    <t>읍내9</t>
    <phoneticPr fontId="3" type="noConversion"/>
  </si>
  <si>
    <t>신천리</t>
    <phoneticPr fontId="3" type="noConversion"/>
  </si>
  <si>
    <t>신천1</t>
    <phoneticPr fontId="3" type="noConversion"/>
  </si>
  <si>
    <t>신천2</t>
    <phoneticPr fontId="3" type="noConversion"/>
  </si>
  <si>
    <t>신천3</t>
  </si>
  <si>
    <t>신천4</t>
  </si>
  <si>
    <t>신천5</t>
  </si>
  <si>
    <t>신천6</t>
  </si>
  <si>
    <t>신천7</t>
  </si>
  <si>
    <t>용산리</t>
    <phoneticPr fontId="3" type="noConversion"/>
  </si>
  <si>
    <t>용산3</t>
    <phoneticPr fontId="3" type="noConversion"/>
  </si>
  <si>
    <t>음성읍</t>
    <phoneticPr fontId="3" type="noConversion"/>
  </si>
  <si>
    <t>음성공공</t>
    <phoneticPr fontId="3" type="noConversion"/>
  </si>
  <si>
    <t>음성1</t>
    <phoneticPr fontId="3" type="noConversion"/>
  </si>
  <si>
    <t>음성2</t>
    <phoneticPr fontId="3" type="noConversion"/>
  </si>
  <si>
    <t>금왕읍</t>
    <phoneticPr fontId="3" type="noConversion"/>
  </si>
  <si>
    <t>금왕공공</t>
    <phoneticPr fontId="3" type="noConversion"/>
  </si>
  <si>
    <t>금왕1</t>
    <phoneticPr fontId="3" type="noConversion"/>
  </si>
  <si>
    <t>금왕2</t>
    <phoneticPr fontId="3" type="noConversion"/>
  </si>
  <si>
    <t>소이면</t>
    <phoneticPr fontId="3" type="noConversion"/>
  </si>
  <si>
    <t>원남면</t>
    <phoneticPr fontId="3" type="noConversion"/>
  </si>
  <si>
    <t>맹동면</t>
    <phoneticPr fontId="3" type="noConversion"/>
  </si>
  <si>
    <t>대소면</t>
    <phoneticPr fontId="3" type="noConversion"/>
  </si>
  <si>
    <t>대소공공</t>
    <phoneticPr fontId="3" type="noConversion"/>
  </si>
  <si>
    <t>대소1</t>
    <phoneticPr fontId="3" type="noConversion"/>
  </si>
  <si>
    <t>대소2</t>
    <phoneticPr fontId="3" type="noConversion"/>
  </si>
  <si>
    <t>삼성</t>
    <phoneticPr fontId="3" type="noConversion"/>
  </si>
  <si>
    <t>삼성면</t>
    <phoneticPr fontId="3" type="noConversion"/>
  </si>
  <si>
    <t>생극</t>
    <phoneticPr fontId="3" type="noConversion"/>
  </si>
  <si>
    <t>감곡</t>
    <phoneticPr fontId="3" type="noConversion"/>
  </si>
  <si>
    <t>감곡1</t>
    <phoneticPr fontId="3" type="noConversion"/>
  </si>
  <si>
    <t>감곡2</t>
    <phoneticPr fontId="3" type="noConversion"/>
  </si>
  <si>
    <t>장호원
공공</t>
    <phoneticPr fontId="3" type="noConversion"/>
  </si>
  <si>
    <t>사창(계획)</t>
    <phoneticPr fontId="3" type="noConversion"/>
  </si>
  <si>
    <t>부윤(기존)</t>
    <phoneticPr fontId="3" type="noConversion"/>
  </si>
  <si>
    <t>미곡(기존)</t>
    <phoneticPr fontId="3" type="noConversion"/>
  </si>
  <si>
    <t>양덕(계획)</t>
    <phoneticPr fontId="3" type="noConversion"/>
  </si>
  <si>
    <t>생극(기존)</t>
    <phoneticPr fontId="3" type="noConversion"/>
  </si>
  <si>
    <t>관성(기존)</t>
    <phoneticPr fontId="3" type="noConversion"/>
  </si>
  <si>
    <t>오궁리(기존)</t>
    <phoneticPr fontId="3" type="noConversion"/>
  </si>
  <si>
    <t>단평(기존)</t>
    <phoneticPr fontId="3" type="noConversion"/>
  </si>
  <si>
    <t>주천(계획)</t>
    <phoneticPr fontId="3" type="noConversion"/>
  </si>
  <si>
    <t>금왕공공</t>
    <phoneticPr fontId="3" type="noConversion"/>
  </si>
  <si>
    <t>대소공공</t>
    <phoneticPr fontId="3" type="noConversion"/>
  </si>
  <si>
    <t>기존
(2017년)</t>
    <phoneticPr fontId="3" type="noConversion"/>
  </si>
  <si>
    <t>한벌(계획)</t>
    <phoneticPr fontId="3" type="noConversion"/>
  </si>
  <si>
    <t>소이(계획)</t>
    <phoneticPr fontId="3" type="noConversion"/>
  </si>
  <si>
    <t>원남(계획)</t>
    <phoneticPr fontId="3" type="noConversion"/>
  </si>
  <si>
    <t>맹동(계획)</t>
    <phoneticPr fontId="3" type="noConversion"/>
  </si>
  <si>
    <t>감곡</t>
    <phoneticPr fontId="3" type="noConversion"/>
  </si>
  <si>
    <t>전체6.77</t>
    <phoneticPr fontId="3" type="noConversion"/>
  </si>
  <si>
    <t>용산1</t>
    <phoneticPr fontId="3" type="noConversion"/>
  </si>
  <si>
    <t>1단계80%</t>
    <phoneticPr fontId="3" type="noConversion"/>
  </si>
  <si>
    <t>1.3 대소 처리구역 인구</t>
    <phoneticPr fontId="3" type="noConversion"/>
  </si>
  <si>
    <t>대소1</t>
    <phoneticPr fontId="4" type="noConversion"/>
  </si>
  <si>
    <t>대소면</t>
    <phoneticPr fontId="3" type="noConversion"/>
  </si>
  <si>
    <t>오산리</t>
    <phoneticPr fontId="3" type="noConversion"/>
  </si>
  <si>
    <t>태생리</t>
    <phoneticPr fontId="3" type="noConversion"/>
  </si>
  <si>
    <t>태생2</t>
    <phoneticPr fontId="3" type="noConversion"/>
  </si>
  <si>
    <t>태생3</t>
    <phoneticPr fontId="3" type="noConversion"/>
  </si>
  <si>
    <t>태생1</t>
    <phoneticPr fontId="3" type="noConversion"/>
  </si>
  <si>
    <t>오산4</t>
    <phoneticPr fontId="3" type="noConversion"/>
  </si>
  <si>
    <t>오산1</t>
    <phoneticPr fontId="3" type="noConversion"/>
  </si>
  <si>
    <t>오산2</t>
    <phoneticPr fontId="3" type="noConversion"/>
  </si>
  <si>
    <t>오산3</t>
    <phoneticPr fontId="3" type="noConversion"/>
  </si>
  <si>
    <t>소석리</t>
    <phoneticPr fontId="3" type="noConversion"/>
  </si>
  <si>
    <t>소석1</t>
    <phoneticPr fontId="3" type="noConversion"/>
  </si>
  <si>
    <t>대소2</t>
    <phoneticPr fontId="4" type="noConversion"/>
  </si>
  <si>
    <t>삼호리</t>
    <phoneticPr fontId="3" type="noConversion"/>
  </si>
  <si>
    <t>삼호1</t>
    <phoneticPr fontId="3" type="noConversion"/>
  </si>
  <si>
    <t>삼호2</t>
    <phoneticPr fontId="3" type="noConversion"/>
  </si>
  <si>
    <t>삼호3</t>
    <phoneticPr fontId="3" type="noConversion"/>
  </si>
  <si>
    <t>오류리</t>
    <phoneticPr fontId="3" type="noConversion"/>
  </si>
  <si>
    <t>오류1</t>
    <phoneticPr fontId="3" type="noConversion"/>
  </si>
  <si>
    <t>오류5</t>
    <phoneticPr fontId="3" type="noConversion"/>
  </si>
  <si>
    <t>오류6</t>
    <phoneticPr fontId="3" type="noConversion"/>
  </si>
  <si>
    <t>오류3</t>
    <phoneticPr fontId="3" type="noConversion"/>
  </si>
  <si>
    <t>오류4</t>
    <phoneticPr fontId="3" type="noConversion"/>
  </si>
  <si>
    <t>오류2</t>
    <phoneticPr fontId="3" type="noConversion"/>
  </si>
  <si>
    <t>태생4</t>
    <phoneticPr fontId="3" type="noConversion"/>
  </si>
  <si>
    <t>태생5</t>
    <phoneticPr fontId="3" type="noConversion"/>
  </si>
  <si>
    <t>태생6</t>
    <phoneticPr fontId="3" type="noConversion"/>
  </si>
  <si>
    <t>태생7</t>
    <phoneticPr fontId="3" type="noConversion"/>
  </si>
  <si>
    <t>태생8</t>
    <phoneticPr fontId="3" type="noConversion"/>
  </si>
  <si>
    <t>태생9</t>
    <phoneticPr fontId="3" type="noConversion"/>
  </si>
  <si>
    <t>삼정리</t>
    <phoneticPr fontId="3" type="noConversion"/>
  </si>
  <si>
    <t>삼정3</t>
    <phoneticPr fontId="3" type="noConversion"/>
  </si>
  <si>
    <t>삼정4</t>
    <phoneticPr fontId="3" type="noConversion"/>
  </si>
  <si>
    <t>삼정5</t>
    <phoneticPr fontId="3" type="noConversion"/>
  </si>
  <si>
    <t>태생10</t>
    <phoneticPr fontId="3" type="noConversion"/>
  </si>
  <si>
    <t>대풍리</t>
    <phoneticPr fontId="3" type="noConversion"/>
  </si>
  <si>
    <t>대풍1</t>
    <phoneticPr fontId="3" type="noConversion"/>
  </si>
  <si>
    <t>대풍2</t>
    <phoneticPr fontId="3" type="noConversion"/>
  </si>
  <si>
    <t>대풍3</t>
    <phoneticPr fontId="3" type="noConversion"/>
  </si>
  <si>
    <t>대풍4</t>
    <phoneticPr fontId="3" type="noConversion"/>
  </si>
  <si>
    <t>삼성</t>
    <phoneticPr fontId="4" type="noConversion"/>
  </si>
  <si>
    <t>삼성면</t>
    <phoneticPr fontId="3" type="noConversion"/>
  </si>
  <si>
    <t>대 소
처 리
구 역</t>
    <phoneticPr fontId="4" type="noConversion"/>
  </si>
  <si>
    <t>덕정리</t>
    <phoneticPr fontId="3" type="noConversion"/>
  </si>
  <si>
    <t>덕정2</t>
    <phoneticPr fontId="3" type="noConversion"/>
  </si>
  <si>
    <t>덕정3</t>
  </si>
  <si>
    <t>덕정4</t>
  </si>
  <si>
    <t>덕정5</t>
  </si>
  <si>
    <t>덕정6</t>
  </si>
  <si>
    <t>덕정7</t>
  </si>
  <si>
    <t>덕정1</t>
    <phoneticPr fontId="3" type="noConversion"/>
  </si>
  <si>
    <t>덕정9</t>
    <phoneticPr fontId="3" type="noConversion"/>
  </si>
  <si>
    <t>양덕리</t>
    <phoneticPr fontId="3" type="noConversion"/>
  </si>
  <si>
    <t>양덕3</t>
    <phoneticPr fontId="3" type="noConversion"/>
  </si>
  <si>
    <t>용성리</t>
    <phoneticPr fontId="3" type="noConversion"/>
  </si>
  <si>
    <t>용성1</t>
    <phoneticPr fontId="3" type="noConversion"/>
  </si>
  <si>
    <t>용성2</t>
    <phoneticPr fontId="3" type="noConversion"/>
  </si>
  <si>
    <t>청룡리</t>
    <phoneticPr fontId="3" type="noConversion"/>
  </si>
  <si>
    <t>청용2</t>
    <phoneticPr fontId="3" type="noConversion"/>
  </si>
  <si>
    <t>천평리</t>
    <phoneticPr fontId="3" type="noConversion"/>
  </si>
  <si>
    <t>천평1</t>
    <phoneticPr fontId="3" type="noConversion"/>
  </si>
  <si>
    <t>신정리</t>
    <phoneticPr fontId="3" type="noConversion"/>
  </si>
  <si>
    <t>신정1</t>
    <phoneticPr fontId="3" type="noConversion"/>
  </si>
  <si>
    <t>2016말</t>
    <phoneticPr fontId="3" type="noConversion"/>
  </si>
  <si>
    <t>2017.3월</t>
    <phoneticPr fontId="3" type="noConversion"/>
  </si>
  <si>
    <t>리노삼봉산업단지</t>
    <phoneticPr fontId="4" type="noConversion"/>
  </si>
  <si>
    <t>맹동면 인곡리 산59-3</t>
    <phoneticPr fontId="4" type="noConversion"/>
  </si>
  <si>
    <t>2011~2017.12</t>
    <phoneticPr fontId="4" type="noConversion"/>
  </si>
  <si>
    <t>상우산업단지</t>
    <phoneticPr fontId="4" type="noConversion"/>
  </si>
  <si>
    <t>감곡면 상우리 일원</t>
    <phoneticPr fontId="4" type="noConversion"/>
  </si>
  <si>
    <t>입주현황('15년 기준)</t>
    <phoneticPr fontId="4" type="noConversion"/>
  </si>
  <si>
    <t>세대 및 인구
(본 계획 반영)</t>
    <phoneticPr fontId="4" type="noConversion"/>
  </si>
  <si>
    <t>신천보부산업단지</t>
    <phoneticPr fontId="4" type="noConversion"/>
  </si>
  <si>
    <t xml:space="preserve">음성읍 신천리 293 </t>
    <phoneticPr fontId="4" type="noConversion"/>
  </si>
  <si>
    <t>2009~2017.12</t>
    <phoneticPr fontId="4" type="noConversion"/>
  </si>
  <si>
    <t>오선산업단지</t>
    <phoneticPr fontId="4" type="noConversion"/>
  </si>
  <si>
    <t>금왕읍 오선리 181-2</t>
    <phoneticPr fontId="4" type="noConversion"/>
  </si>
  <si>
    <t>2013~2017.12</t>
    <phoneticPr fontId="4" type="noConversion"/>
  </si>
  <si>
    <t>유촌산업단지</t>
    <phoneticPr fontId="4" type="noConversion"/>
  </si>
  <si>
    <t>금왕읍 유촌리 산72-19</t>
    <phoneticPr fontId="4" type="noConversion"/>
  </si>
  <si>
    <t>생극산업단지</t>
    <phoneticPr fontId="4" type="noConversion"/>
  </si>
  <si>
    <t>생극면 신양리 일원</t>
    <phoneticPr fontId="4" type="noConversion"/>
  </si>
  <si>
    <t>성본산업단지</t>
    <phoneticPr fontId="4" type="noConversion"/>
  </si>
  <si>
    <t>대소면 성본리</t>
    <phoneticPr fontId="4" type="noConversion"/>
  </si>
  <si>
    <t>금왕테크노밸리</t>
    <phoneticPr fontId="4" type="noConversion"/>
  </si>
  <si>
    <t>성안산업단지</t>
    <phoneticPr fontId="4" type="noConversion"/>
  </si>
  <si>
    <t>금왕읍 봉곡리 산36-77</t>
    <phoneticPr fontId="4" type="noConversion"/>
  </si>
  <si>
    <t>금왕읍 유촌리 산72-29</t>
    <phoneticPr fontId="4" type="noConversion"/>
  </si>
  <si>
    <t>용산3</t>
    <phoneticPr fontId="4" type="noConversion"/>
  </si>
  <si>
    <t>용산리</t>
    <phoneticPr fontId="3" type="noConversion"/>
  </si>
  <si>
    <t>음성2</t>
    <phoneticPr fontId="4" type="noConversion"/>
  </si>
  <si>
    <t>음성읍</t>
    <phoneticPr fontId="4" type="noConversion"/>
  </si>
  <si>
    <t>읍내리</t>
    <phoneticPr fontId="3" type="noConversion"/>
  </si>
  <si>
    <t>읍내4</t>
  </si>
  <si>
    <t>읍내5</t>
  </si>
  <si>
    <t>읍내6</t>
  </si>
  <si>
    <t>읍내8</t>
  </si>
  <si>
    <t>읍내9</t>
  </si>
  <si>
    <t>신천1</t>
  </si>
  <si>
    <t>신천2</t>
  </si>
  <si>
    <t>용산1</t>
  </si>
  <si>
    <t>신천리</t>
    <phoneticPr fontId="3" type="noConversion"/>
  </si>
  <si>
    <t>음성읍</t>
    <phoneticPr fontId="4" type="noConversion"/>
  </si>
  <si>
    <t>1.2 금왕 처리구역 인구</t>
    <phoneticPr fontId="3" type="noConversion"/>
  </si>
  <si>
    <t>금 왕
처 리
구 역</t>
    <phoneticPr fontId="4" type="noConversion"/>
  </si>
  <si>
    <t>금왕1</t>
    <phoneticPr fontId="4" type="noConversion"/>
  </si>
  <si>
    <t>금왕2</t>
    <phoneticPr fontId="4" type="noConversion"/>
  </si>
  <si>
    <t>금왕읍</t>
    <phoneticPr fontId="4" type="noConversion"/>
  </si>
  <si>
    <t>정생리</t>
    <phoneticPr fontId="3" type="noConversion"/>
  </si>
  <si>
    <t>정생1리</t>
    <phoneticPr fontId="3" type="noConversion"/>
  </si>
  <si>
    <t>금석리</t>
    <phoneticPr fontId="3" type="noConversion"/>
  </si>
  <si>
    <t>금석2</t>
    <phoneticPr fontId="3" type="noConversion"/>
  </si>
  <si>
    <t>금석1</t>
    <phoneticPr fontId="3" type="noConversion"/>
  </si>
  <si>
    <t>금석3</t>
    <phoneticPr fontId="3" type="noConversion"/>
  </si>
  <si>
    <t>일부2단계</t>
    <phoneticPr fontId="3" type="noConversion"/>
  </si>
  <si>
    <t>무극리</t>
    <phoneticPr fontId="3" type="noConversion"/>
  </si>
  <si>
    <t>무극`1</t>
    <phoneticPr fontId="3" type="noConversion"/>
  </si>
  <si>
    <t>무극2</t>
    <phoneticPr fontId="3" type="noConversion"/>
  </si>
  <si>
    <t>일부1단계</t>
    <phoneticPr fontId="3" type="noConversion"/>
  </si>
  <si>
    <t>도신리</t>
    <phoneticPr fontId="3" type="noConversion"/>
  </si>
  <si>
    <t>1단계%</t>
    <phoneticPr fontId="3" type="noConversion"/>
  </si>
  <si>
    <t>1단계</t>
    <phoneticPr fontId="3" type="noConversion"/>
  </si>
  <si>
    <t>금왕읍</t>
    <phoneticPr fontId="3" type="noConversion"/>
  </si>
  <si>
    <t>무극리</t>
    <phoneticPr fontId="3" type="noConversion"/>
  </si>
  <si>
    <t>무극3</t>
    <phoneticPr fontId="3" type="noConversion"/>
  </si>
  <si>
    <t>무극4</t>
    <phoneticPr fontId="3" type="noConversion"/>
  </si>
  <si>
    <t>무극5</t>
    <phoneticPr fontId="3" type="noConversion"/>
  </si>
  <si>
    <t>무극6</t>
    <phoneticPr fontId="3" type="noConversion"/>
  </si>
  <si>
    <t>무극7</t>
    <phoneticPr fontId="3" type="noConversion"/>
  </si>
  <si>
    <t>무극8</t>
    <phoneticPr fontId="3" type="noConversion"/>
  </si>
  <si>
    <t>무극9</t>
    <phoneticPr fontId="3" type="noConversion"/>
  </si>
  <si>
    <t>무극10</t>
    <phoneticPr fontId="3" type="noConversion"/>
  </si>
  <si>
    <t>용계리</t>
    <phoneticPr fontId="3" type="noConversion"/>
  </si>
  <si>
    <t>용계1</t>
    <phoneticPr fontId="3" type="noConversion"/>
  </si>
  <si>
    <t>용계2</t>
    <phoneticPr fontId="3" type="noConversion"/>
  </si>
  <si>
    <t>내송리</t>
    <phoneticPr fontId="3" type="noConversion"/>
  </si>
  <si>
    <t>내송1</t>
    <phoneticPr fontId="3" type="noConversion"/>
  </si>
  <si>
    <t>내송2</t>
    <phoneticPr fontId="3" type="noConversion"/>
  </si>
  <si>
    <t>내송3</t>
    <phoneticPr fontId="3" type="noConversion"/>
  </si>
  <si>
    <t>쌍봉리</t>
    <phoneticPr fontId="3" type="noConversion"/>
  </si>
  <si>
    <t>601 항공대</t>
    <phoneticPr fontId="3" type="noConversion"/>
  </si>
  <si>
    <t>1단계 40, 2단계 60</t>
    <phoneticPr fontId="3" type="noConversion"/>
  </si>
  <si>
    <t>2단계%</t>
    <phoneticPr fontId="3" type="noConversion"/>
  </si>
  <si>
    <t>각회리</t>
    <phoneticPr fontId="3" type="noConversion"/>
  </si>
  <si>
    <t>관성리</t>
    <phoneticPr fontId="3" type="noConversion"/>
  </si>
  <si>
    <t>각회1리</t>
    <phoneticPr fontId="3" type="noConversion"/>
  </si>
  <si>
    <t>1891 부대</t>
    <phoneticPr fontId="3" type="noConversion"/>
  </si>
  <si>
    <t>생극면</t>
    <phoneticPr fontId="3" type="noConversion"/>
  </si>
  <si>
    <t>1.4 감곡 처리구역 인구</t>
    <phoneticPr fontId="3" type="noConversion"/>
  </si>
  <si>
    <t>감 곡
처 리
구 역</t>
    <phoneticPr fontId="4" type="noConversion"/>
  </si>
  <si>
    <t>감곡1</t>
    <phoneticPr fontId="4" type="noConversion"/>
  </si>
  <si>
    <t>감곡면</t>
    <phoneticPr fontId="4" type="noConversion"/>
  </si>
  <si>
    <t>오향리</t>
    <phoneticPr fontId="3" type="noConversion"/>
  </si>
  <si>
    <t>오향1</t>
    <phoneticPr fontId="3" type="noConversion"/>
  </si>
  <si>
    <t>오향2</t>
    <phoneticPr fontId="3" type="noConversion"/>
  </si>
  <si>
    <t>오향3</t>
    <phoneticPr fontId="3" type="noConversion"/>
  </si>
  <si>
    <t>오향5</t>
    <phoneticPr fontId="3" type="noConversion"/>
  </si>
  <si>
    <t>감곡2</t>
    <phoneticPr fontId="4" type="noConversion"/>
  </si>
  <si>
    <t>왕장리</t>
    <phoneticPr fontId="3" type="noConversion"/>
  </si>
  <si>
    <t>왕장1</t>
    <phoneticPr fontId="3" type="noConversion"/>
  </si>
  <si>
    <t>왕장3</t>
    <phoneticPr fontId="3" type="noConversion"/>
  </si>
  <si>
    <t>왕장4</t>
    <phoneticPr fontId="3" type="noConversion"/>
  </si>
  <si>
    <t>왕장2</t>
    <phoneticPr fontId="3" type="noConversion"/>
  </si>
  <si>
    <t>왕장5</t>
    <phoneticPr fontId="3" type="noConversion"/>
  </si>
  <si>
    <t>상우리</t>
    <phoneticPr fontId="3" type="noConversion"/>
  </si>
  <si>
    <t>상우2</t>
    <phoneticPr fontId="3" type="noConversion"/>
  </si>
  <si>
    <t>극동대</t>
    <phoneticPr fontId="3" type="noConversion"/>
  </si>
  <si>
    <t>단평리</t>
    <phoneticPr fontId="3" type="noConversion"/>
  </si>
  <si>
    <t>강동대</t>
    <phoneticPr fontId="3" type="noConversion"/>
  </si>
  <si>
    <t>오궁리</t>
    <phoneticPr fontId="3" type="noConversion"/>
  </si>
  <si>
    <t>오궁</t>
    <phoneticPr fontId="3" type="noConversion"/>
  </si>
  <si>
    <t>단평2</t>
    <phoneticPr fontId="3" type="noConversion"/>
  </si>
  <si>
    <t>생극</t>
    <phoneticPr fontId="4" type="noConversion"/>
  </si>
  <si>
    <t>생극면</t>
    <phoneticPr fontId="4" type="noConversion"/>
  </si>
  <si>
    <t>신양리</t>
    <phoneticPr fontId="3" type="noConversion"/>
  </si>
  <si>
    <t>신양1</t>
    <phoneticPr fontId="3" type="noConversion"/>
  </si>
  <si>
    <t>신양2</t>
    <phoneticPr fontId="3" type="noConversion"/>
  </si>
  <si>
    <t>신양3</t>
    <phoneticPr fontId="3" type="noConversion"/>
  </si>
  <si>
    <t>신양4</t>
    <phoneticPr fontId="3" type="noConversion"/>
  </si>
  <si>
    <t>병암리</t>
    <phoneticPr fontId="3" type="noConversion"/>
  </si>
  <si>
    <t>병암1</t>
    <phoneticPr fontId="3" type="noConversion"/>
  </si>
  <si>
    <t>병암4</t>
    <phoneticPr fontId="3" type="noConversion"/>
  </si>
  <si>
    <t>팔성리</t>
    <phoneticPr fontId="3" type="noConversion"/>
  </si>
  <si>
    <t>팔성1</t>
    <phoneticPr fontId="3" type="noConversion"/>
  </si>
  <si>
    <t>팔성3</t>
    <phoneticPr fontId="3" type="noConversion"/>
  </si>
  <si>
    <t>차평리</t>
    <phoneticPr fontId="3" type="noConversion"/>
  </si>
  <si>
    <t>차평1</t>
    <phoneticPr fontId="3" type="noConversion"/>
  </si>
  <si>
    <t>차평2</t>
    <phoneticPr fontId="3" type="noConversion"/>
  </si>
  <si>
    <t>방축리</t>
    <phoneticPr fontId="3" type="noConversion"/>
  </si>
  <si>
    <t>방축</t>
    <phoneticPr fontId="3" type="noConversion"/>
  </si>
  <si>
    <t>대소면</t>
    <phoneticPr fontId="4" type="noConversion"/>
  </si>
  <si>
    <t>부윤리</t>
    <phoneticPr fontId="4" type="noConversion"/>
  </si>
  <si>
    <t>미곡리</t>
    <phoneticPr fontId="4" type="noConversion"/>
  </si>
  <si>
    <t>관성리</t>
    <phoneticPr fontId="4" type="noConversion"/>
  </si>
  <si>
    <t>감곡면</t>
    <phoneticPr fontId="4" type="noConversion"/>
  </si>
  <si>
    <t>오궁리</t>
    <phoneticPr fontId="4" type="noConversion"/>
  </si>
  <si>
    <t>단평리</t>
    <phoneticPr fontId="4" type="noConversion"/>
  </si>
  <si>
    <t>오궁리</t>
    <phoneticPr fontId="3" type="noConversion"/>
  </si>
  <si>
    <t>단평1</t>
    <phoneticPr fontId="3" type="noConversion"/>
  </si>
  <si>
    <t>관성1</t>
    <phoneticPr fontId="3" type="noConversion"/>
  </si>
  <si>
    <t>부윤1</t>
    <phoneticPr fontId="3" type="noConversion"/>
  </si>
  <si>
    <t>부윤2</t>
    <phoneticPr fontId="3" type="noConversion"/>
  </si>
  <si>
    <t>부윤3</t>
    <phoneticPr fontId="3" type="noConversion"/>
  </si>
  <si>
    <t>미곡1</t>
    <phoneticPr fontId="3" type="noConversion"/>
  </si>
  <si>
    <t>미곡2</t>
    <phoneticPr fontId="3" type="noConversion"/>
  </si>
  <si>
    <t>한벌</t>
    <phoneticPr fontId="3" type="noConversion"/>
  </si>
  <si>
    <t>음성읍</t>
    <phoneticPr fontId="3" type="noConversion"/>
  </si>
  <si>
    <t>한벌1</t>
    <phoneticPr fontId="3" type="noConversion"/>
  </si>
  <si>
    <t>한벌2</t>
    <phoneticPr fontId="3" type="noConversion"/>
  </si>
  <si>
    <t>소이</t>
    <phoneticPr fontId="3" type="noConversion"/>
  </si>
  <si>
    <t>소이면</t>
    <phoneticPr fontId="3" type="noConversion"/>
  </si>
  <si>
    <t>대장리</t>
    <phoneticPr fontId="3" type="noConversion"/>
  </si>
  <si>
    <t>한벌리</t>
    <phoneticPr fontId="3" type="noConversion"/>
  </si>
  <si>
    <t>대장1</t>
    <phoneticPr fontId="3" type="noConversion"/>
  </si>
  <si>
    <t>후미리</t>
    <phoneticPr fontId="3" type="noConversion"/>
  </si>
  <si>
    <t>후미1</t>
    <phoneticPr fontId="3" type="noConversion"/>
  </si>
  <si>
    <t>원남</t>
    <phoneticPr fontId="3" type="noConversion"/>
  </si>
  <si>
    <t>원남면</t>
    <phoneticPr fontId="3" type="noConversion"/>
  </si>
  <si>
    <t>보천리</t>
    <phoneticPr fontId="3" type="noConversion"/>
  </si>
  <si>
    <t>보천1</t>
    <phoneticPr fontId="3" type="noConversion"/>
  </si>
  <si>
    <t>보천2</t>
    <phoneticPr fontId="3" type="noConversion"/>
  </si>
  <si>
    <t>보룡리</t>
    <phoneticPr fontId="3" type="noConversion"/>
  </si>
  <si>
    <t>보룡1</t>
    <phoneticPr fontId="3" type="noConversion"/>
  </si>
  <si>
    <t>맹동면</t>
    <phoneticPr fontId="3" type="noConversion"/>
  </si>
  <si>
    <t>맹동</t>
    <phoneticPr fontId="3" type="noConversion"/>
  </si>
  <si>
    <t>쌍정리</t>
    <phoneticPr fontId="3" type="noConversion"/>
  </si>
  <si>
    <t>쌍정1</t>
    <phoneticPr fontId="3" type="noConversion"/>
  </si>
  <si>
    <t>삼성면</t>
    <phoneticPr fontId="3" type="noConversion"/>
  </si>
  <si>
    <t>사창</t>
    <phoneticPr fontId="3" type="noConversion"/>
  </si>
  <si>
    <t>사창리</t>
    <phoneticPr fontId="3" type="noConversion"/>
  </si>
  <si>
    <t>주천</t>
    <phoneticPr fontId="3" type="noConversion"/>
  </si>
  <si>
    <t>감곡면</t>
    <phoneticPr fontId="3" type="noConversion"/>
  </si>
  <si>
    <t>주천리</t>
    <phoneticPr fontId="3" type="noConversion"/>
  </si>
  <si>
    <t>주천1</t>
    <phoneticPr fontId="3" type="noConversion"/>
  </si>
  <si>
    <t>금왕읍</t>
    <phoneticPr fontId="3" type="noConversion"/>
  </si>
  <si>
    <t>부윤</t>
    <phoneticPr fontId="4" type="noConversion"/>
  </si>
  <si>
    <t>미곡</t>
    <phoneticPr fontId="3" type="noConversion"/>
  </si>
  <si>
    <t>관성</t>
    <phoneticPr fontId="3" type="noConversion"/>
  </si>
  <si>
    <t>단평</t>
    <phoneticPr fontId="4" type="noConversion"/>
  </si>
  <si>
    <t>1.1 음성처리구역 인구</t>
    <phoneticPr fontId="3" type="noConversion"/>
  </si>
  <si>
    <t>금왕1</t>
    <phoneticPr fontId="4" type="noConversion"/>
  </si>
  <si>
    <t>생극면</t>
    <phoneticPr fontId="3" type="noConversion"/>
  </si>
  <si>
    <t>금왕2</t>
    <phoneticPr fontId="4" type="noConversion"/>
  </si>
  <si>
    <t>1.3 대소 처리구역 인구</t>
    <phoneticPr fontId="3" type="noConversion"/>
  </si>
  <si>
    <t>대소1</t>
    <phoneticPr fontId="4" type="noConversion"/>
  </si>
  <si>
    <t>대소2</t>
    <phoneticPr fontId="3" type="noConversion"/>
  </si>
  <si>
    <t>삼성</t>
    <phoneticPr fontId="3" type="noConversion"/>
  </si>
  <si>
    <t>1.4 감곡 처리구역 인구</t>
    <phoneticPr fontId="3" type="noConversion"/>
  </si>
  <si>
    <t>감 곡</t>
    <phoneticPr fontId="4" type="noConversion"/>
  </si>
  <si>
    <t>감곡1</t>
    <phoneticPr fontId="4" type="noConversion"/>
  </si>
  <si>
    <t>감곡2</t>
    <phoneticPr fontId="3" type="noConversion"/>
  </si>
  <si>
    <t xml:space="preserve">     ① 음성읍</t>
    <phoneticPr fontId="4" type="noConversion"/>
  </si>
  <si>
    <t>음성</t>
    <phoneticPr fontId="4" type="noConversion"/>
  </si>
  <si>
    <t>맹동</t>
    <phoneticPr fontId="4" type="noConversion"/>
  </si>
  <si>
    <t>감곡</t>
    <phoneticPr fontId="4" type="noConversion"/>
  </si>
  <si>
    <t>금왕</t>
    <phoneticPr fontId="4" type="noConversion"/>
  </si>
  <si>
    <t>생극</t>
    <phoneticPr fontId="4" type="noConversion"/>
  </si>
  <si>
    <t>대소</t>
    <phoneticPr fontId="4" type="noConversion"/>
  </si>
  <si>
    <t>대소 삼정지구</t>
    <phoneticPr fontId="3" type="noConversion"/>
  </si>
  <si>
    <t>시티프라디움</t>
    <phoneticPr fontId="3" type="noConversion"/>
  </si>
  <si>
    <t>웰메이드타운</t>
    <phoneticPr fontId="3" type="noConversion"/>
  </si>
  <si>
    <t>지평더웰2차</t>
    <phoneticPr fontId="3" type="noConversion"/>
  </si>
  <si>
    <t>영무예다음3차</t>
    <phoneticPr fontId="3" type="noConversion"/>
  </si>
  <si>
    <t>㈜송정건설</t>
    <phoneticPr fontId="3" type="noConversion"/>
  </si>
  <si>
    <t>㈜씨제이산업개발</t>
  </si>
  <si>
    <t>대소네오지역주택조합</t>
  </si>
  <si>
    <t>음성대소지역주택조합</t>
  </si>
  <si>
    <t>음성지역주택조합</t>
  </si>
  <si>
    <t>신 부영아파트</t>
  </si>
  <si>
    <t>포그니아파트</t>
  </si>
  <si>
    <t>프리즘환타</t>
  </si>
  <si>
    <t>대신리치빌</t>
  </si>
  <si>
    <t>태경에코그린</t>
  </si>
  <si>
    <t>우신아파트</t>
  </si>
  <si>
    <t>감곡 우시장근처</t>
  </si>
  <si>
    <t>감곡 오향리 아파트</t>
  </si>
  <si>
    <t>소석리아파트(3단지)</t>
  </si>
  <si>
    <t>덕정리 아파트</t>
  </si>
  <si>
    <t>대소면</t>
    <phoneticPr fontId="3" type="noConversion"/>
  </si>
  <si>
    <t>감곡면</t>
    <phoneticPr fontId="3" type="noConversion"/>
  </si>
  <si>
    <t>음성군</t>
    <phoneticPr fontId="3" type="noConversion"/>
  </si>
  <si>
    <t>충북혁신도시</t>
  </si>
  <si>
    <t xml:space="preserve">     ② 금왕읍</t>
    <phoneticPr fontId="4" type="noConversion"/>
  </si>
  <si>
    <t>산업단지
조성사업</t>
    <phoneticPr fontId="3" type="noConversion"/>
  </si>
  <si>
    <t>읍성읍</t>
    <phoneticPr fontId="3" type="noConversion"/>
  </si>
  <si>
    <t>금왕읍</t>
  </si>
  <si>
    <t>소이 원남</t>
    <phoneticPr fontId="3" type="noConversion"/>
  </si>
  <si>
    <t>2015년</t>
    <phoneticPr fontId="3" type="noConversion"/>
  </si>
  <si>
    <t>미소건설</t>
    <phoneticPr fontId="3" type="noConversion"/>
  </si>
  <si>
    <t>충북혁신도시</t>
    <phoneticPr fontId="3" type="noConversion"/>
  </si>
  <si>
    <t>대소 삼정지구</t>
    <phoneticPr fontId="3" type="noConversion"/>
  </si>
  <si>
    <t>1.2 금왕 처리구역 인구</t>
    <phoneticPr fontId="3" type="noConversion"/>
  </si>
  <si>
    <t>대소면</t>
    <phoneticPr fontId="4" type="noConversion"/>
  </si>
  <si>
    <t>감곡면</t>
    <phoneticPr fontId="4" type="noConversion"/>
  </si>
  <si>
    <t>충북혁신도시</t>
    <phoneticPr fontId="4" type="noConversion"/>
  </si>
  <si>
    <t>단계　구분의위한　제외인구（２０１5년　처리구역인구　정리　시트참조）</t>
    <phoneticPr fontId="3" type="noConversion"/>
  </si>
  <si>
    <t>구   분</t>
    <phoneticPr fontId="4" type="noConversion"/>
  </si>
  <si>
    <t>음성군</t>
  </si>
  <si>
    <t>남  자</t>
  </si>
  <si>
    <t>여  자</t>
  </si>
  <si>
    <t>시도내</t>
  </si>
  <si>
    <t>시군구내</t>
  </si>
  <si>
    <t>시군구간</t>
  </si>
  <si>
    <t>시도간</t>
  </si>
  <si>
    <t>내부 이동율</t>
    <phoneticPr fontId="3" type="noConversion"/>
  </si>
  <si>
    <t>내부 이동율</t>
    <phoneticPr fontId="3" type="noConversion"/>
  </si>
  <si>
    <t>평균 내부 이동율</t>
    <phoneticPr fontId="3" type="noConversion"/>
  </si>
  <si>
    <t>도시개발</t>
    <phoneticPr fontId="3" type="noConversion"/>
  </si>
  <si>
    <t>공동주택</t>
    <phoneticPr fontId="3" type="noConversion"/>
  </si>
  <si>
    <t>산업단지</t>
    <phoneticPr fontId="3" type="noConversion"/>
  </si>
  <si>
    <t>내부</t>
    <phoneticPr fontId="3" type="noConversion"/>
  </si>
  <si>
    <t>군기본계획</t>
    <phoneticPr fontId="3" type="noConversion"/>
  </si>
  <si>
    <t>무극11</t>
    <phoneticPr fontId="3" type="noConversion"/>
  </si>
  <si>
    <t>유발인구
(명)</t>
    <phoneticPr fontId="4" type="noConversion"/>
  </si>
  <si>
    <t>기혼율은 음성군 기본계획 참조</t>
    <phoneticPr fontId="4" type="noConversion"/>
  </si>
  <si>
    <t>구분</t>
    <phoneticPr fontId="3" type="noConversion"/>
  </si>
  <si>
    <t>중복사업</t>
    <phoneticPr fontId="3" type="noConversion"/>
  </si>
  <si>
    <t>아파트 외부유입 수용인구
(산업단지인구와 중복될수있는인구)</t>
    <phoneticPr fontId="3" type="noConversion"/>
  </si>
  <si>
    <t>산업단지 외부유입 인구</t>
    <phoneticPr fontId="3" type="noConversion"/>
  </si>
  <si>
    <t>유입시기</t>
    <phoneticPr fontId="3" type="noConversion"/>
  </si>
  <si>
    <t>공동주택</t>
    <phoneticPr fontId="3" type="noConversion"/>
  </si>
  <si>
    <t>산업단지</t>
    <phoneticPr fontId="3" type="noConversion"/>
  </si>
  <si>
    <t>산업단지 외부유입인구
(중복제외전 인구)</t>
    <phoneticPr fontId="3" type="noConversion"/>
  </si>
  <si>
    <t>산업단지 외부유입인구
(중복제외 인구)</t>
    <phoneticPr fontId="3" type="noConversion"/>
  </si>
  <si>
    <t>산업단지 외부유입 적용인구</t>
    <phoneticPr fontId="3" type="noConversion"/>
  </si>
  <si>
    <t>총 계</t>
    <phoneticPr fontId="3" type="noConversion"/>
  </si>
  <si>
    <t>음성</t>
    <phoneticPr fontId="3" type="noConversion"/>
  </si>
  <si>
    <t>계</t>
    <phoneticPr fontId="3" type="noConversion"/>
  </si>
  <si>
    <t>지평더웰2차</t>
    <phoneticPr fontId="3" type="noConversion"/>
  </si>
  <si>
    <t>신천보부산업단지</t>
    <phoneticPr fontId="3" type="noConversion"/>
  </si>
  <si>
    <t>미소건설</t>
    <phoneticPr fontId="3" type="noConversion"/>
  </si>
  <si>
    <t>㈜송정건설</t>
    <phoneticPr fontId="3" type="noConversion"/>
  </si>
  <si>
    <t>㈜씨제이산업개발</t>
    <phoneticPr fontId="3" type="noConversion"/>
  </si>
  <si>
    <t>음성지역주택조합</t>
    <phoneticPr fontId="3" type="noConversion"/>
  </si>
  <si>
    <t>신부영아파트</t>
    <phoneticPr fontId="3" type="noConversion"/>
  </si>
  <si>
    <t>금왕</t>
    <phoneticPr fontId="3" type="noConversion"/>
  </si>
  <si>
    <t>계</t>
    <phoneticPr fontId="3" type="noConversion"/>
  </si>
  <si>
    <t>시티프라디움</t>
    <phoneticPr fontId="3" type="noConversion"/>
  </si>
  <si>
    <t>리노삼봉산업단지</t>
    <phoneticPr fontId="3" type="noConversion"/>
  </si>
  <si>
    <t>우신아파트</t>
    <phoneticPr fontId="3" type="noConversion"/>
  </si>
  <si>
    <t>오선산업단지</t>
    <phoneticPr fontId="3" type="noConversion"/>
  </si>
  <si>
    <t>유촌산업단지</t>
    <phoneticPr fontId="3" type="noConversion"/>
  </si>
  <si>
    <t>생극산업단지</t>
    <phoneticPr fontId="3" type="noConversion"/>
  </si>
  <si>
    <t>성본산업단지</t>
    <phoneticPr fontId="3" type="noConversion"/>
  </si>
  <si>
    <t>금왕테크노밸리</t>
    <phoneticPr fontId="3" type="noConversion"/>
  </si>
  <si>
    <t>성안산업단지</t>
    <phoneticPr fontId="3" type="noConversion"/>
  </si>
  <si>
    <t>맹동</t>
    <phoneticPr fontId="3" type="noConversion"/>
  </si>
  <si>
    <t>영무예다음3차</t>
    <phoneticPr fontId="3" type="noConversion"/>
  </si>
  <si>
    <t>유촌산업단지</t>
    <phoneticPr fontId="3" type="noConversion"/>
  </si>
  <si>
    <t>대소</t>
    <phoneticPr fontId="3" type="noConversion"/>
  </si>
  <si>
    <t>부러운 아파트</t>
    <phoneticPr fontId="3" type="noConversion"/>
  </si>
  <si>
    <t>웰메이드타운</t>
    <phoneticPr fontId="3" type="noConversion"/>
  </si>
  <si>
    <t>음성대소지역주택조합</t>
    <phoneticPr fontId="3" type="noConversion"/>
  </si>
  <si>
    <t>프리즘환타</t>
    <phoneticPr fontId="3" type="noConversion"/>
  </si>
  <si>
    <t>소석리 아파트3단지</t>
    <phoneticPr fontId="3" type="noConversion"/>
  </si>
  <si>
    <t>삼성</t>
    <phoneticPr fontId="3" type="noConversion"/>
  </si>
  <si>
    <t>덕정리아파트</t>
    <phoneticPr fontId="3" type="noConversion"/>
  </si>
  <si>
    <t>생극</t>
    <phoneticPr fontId="3" type="noConversion"/>
  </si>
  <si>
    <t>태경에코그린</t>
    <phoneticPr fontId="3" type="noConversion"/>
  </si>
  <si>
    <t>감곡</t>
    <phoneticPr fontId="3" type="noConversion"/>
  </si>
  <si>
    <t>포그니아파트</t>
    <phoneticPr fontId="3" type="noConversion"/>
  </si>
  <si>
    <t>상우산업단지</t>
    <phoneticPr fontId="3" type="noConversion"/>
  </si>
  <si>
    <t>대신리치빌</t>
    <phoneticPr fontId="3" type="noConversion"/>
  </si>
  <si>
    <t>감곡 오향리 아파트</t>
    <phoneticPr fontId="3" type="noConversion"/>
  </si>
  <si>
    <t>부러운아파트</t>
    <phoneticPr fontId="3" type="noConversion"/>
  </si>
  <si>
    <t xml:space="preserve">  다. 음성읍 수학적방법(과거 10년 기준)</t>
    <phoneticPr fontId="4" type="noConversion"/>
  </si>
  <si>
    <t xml:space="preserve">  라. 금왕읍 수학적방법(과거 10년 기준)</t>
    <phoneticPr fontId="4" type="noConversion"/>
  </si>
  <si>
    <t xml:space="preserve">  마. 소이면 수학적방법(과거 10년 기준)</t>
    <phoneticPr fontId="4" type="noConversion"/>
  </si>
  <si>
    <t xml:space="preserve">  바. 원남면 수학적방법(과거 10년 기준)</t>
    <phoneticPr fontId="4" type="noConversion"/>
  </si>
  <si>
    <t xml:space="preserve">  사. 맹동면 수학적방법(과거 10년 기준)</t>
    <phoneticPr fontId="4" type="noConversion"/>
  </si>
  <si>
    <t xml:space="preserve">  아. 대소면 수학적방법(과거 10년 기준)</t>
    <phoneticPr fontId="4" type="noConversion"/>
  </si>
  <si>
    <t xml:space="preserve"> 1.1.2 음성군 인구 추이분석</t>
    <phoneticPr fontId="4" type="noConversion"/>
  </si>
  <si>
    <t>2016년</t>
    <phoneticPr fontId="3" type="noConversion"/>
  </si>
  <si>
    <t>2016년</t>
    <phoneticPr fontId="3" type="noConversion"/>
  </si>
  <si>
    <t>2016년</t>
    <phoneticPr fontId="4" type="noConversion"/>
  </si>
  <si>
    <t>2016년</t>
    <phoneticPr fontId="3" type="noConversion"/>
  </si>
  <si>
    <t>현재
（2016）</t>
    <phoneticPr fontId="3" type="noConversion"/>
  </si>
  <si>
    <t>현재인구
（２０１6）</t>
    <phoneticPr fontId="3" type="noConversion"/>
  </si>
  <si>
    <t>삼정1</t>
    <phoneticPr fontId="3" type="noConversion"/>
  </si>
  <si>
    <t>미곡리</t>
    <phoneticPr fontId="3" type="noConversion"/>
  </si>
  <si>
    <t>미곡1</t>
    <phoneticPr fontId="3" type="noConversion"/>
  </si>
  <si>
    <t>공동주택
건설사업</t>
    <phoneticPr fontId="4" type="noConversion"/>
  </si>
  <si>
    <t>중부산업단지</t>
    <phoneticPr fontId="4" type="noConversion"/>
  </si>
  <si>
    <t>대소면 태생리</t>
    <phoneticPr fontId="4" type="noConversion"/>
  </si>
  <si>
    <t>금왕읍 육령리</t>
    <phoneticPr fontId="4" type="noConversion"/>
  </si>
  <si>
    <t>감곡 역세권</t>
    <phoneticPr fontId="4" type="noConversion"/>
  </si>
  <si>
    <t>원남면 조촌리</t>
    <phoneticPr fontId="3" type="noConversion"/>
  </si>
  <si>
    <t>음성군 사정리</t>
    <phoneticPr fontId="3" type="noConversion"/>
  </si>
  <si>
    <t>생극면</t>
    <phoneticPr fontId="4" type="noConversion"/>
  </si>
  <si>
    <t>2015말</t>
    <phoneticPr fontId="4" type="noConversion"/>
  </si>
  <si>
    <t>1.6 소규모(신규) 처리구역 인구</t>
    <phoneticPr fontId="3" type="noConversion"/>
  </si>
  <si>
    <t>1.7 소규모(기존) 처리구역 인구</t>
    <phoneticPr fontId="3" type="noConversion"/>
  </si>
  <si>
    <t>1.5 혁신도시 처리구역 인구</t>
    <phoneticPr fontId="3" type="noConversion"/>
  </si>
  <si>
    <t>혁신도시
처 리
구 역</t>
    <phoneticPr fontId="4" type="noConversion"/>
  </si>
  <si>
    <t>동성리</t>
    <phoneticPr fontId="3" type="noConversion"/>
  </si>
  <si>
    <t>두성리</t>
    <phoneticPr fontId="3" type="noConversion"/>
  </si>
  <si>
    <t>혁신도시</t>
    <phoneticPr fontId="4" type="noConversion"/>
  </si>
  <si>
    <t>맹동면</t>
    <phoneticPr fontId="4" type="noConversion"/>
  </si>
  <si>
    <t>두성</t>
    <phoneticPr fontId="3" type="noConversion"/>
  </si>
  <si>
    <t>동성1</t>
    <phoneticPr fontId="3" type="noConversion"/>
  </si>
  <si>
    <t>동성2</t>
    <phoneticPr fontId="3" type="noConversion"/>
  </si>
  <si>
    <t>동성3</t>
    <phoneticPr fontId="3" type="noConversion"/>
  </si>
  <si>
    <t>현재
（2016）</t>
    <phoneticPr fontId="3" type="noConversion"/>
  </si>
  <si>
    <t>오향7</t>
  </si>
  <si>
    <t>오향7</t>
    <phoneticPr fontId="3" type="noConversion"/>
  </si>
  <si>
    <t>오향8</t>
  </si>
  <si>
    <t>오향8</t>
    <phoneticPr fontId="3" type="noConversion"/>
  </si>
  <si>
    <t>오향9</t>
  </si>
  <si>
    <t>오향9</t>
    <phoneticPr fontId="3" type="noConversion"/>
  </si>
  <si>
    <t>오향10</t>
  </si>
  <si>
    <t>오향10</t>
    <phoneticPr fontId="3" type="noConversion"/>
  </si>
  <si>
    <t>계획인구</t>
    <phoneticPr fontId="3" type="noConversion"/>
  </si>
  <si>
    <t>현재음성인구</t>
    <phoneticPr fontId="3" type="noConversion"/>
  </si>
  <si>
    <t>현재진천인구</t>
    <phoneticPr fontId="3" type="noConversion"/>
  </si>
  <si>
    <t>금석5</t>
    <phoneticPr fontId="3" type="noConversion"/>
  </si>
  <si>
    <t>금석리</t>
    <phoneticPr fontId="3" type="noConversion"/>
  </si>
  <si>
    <t>금석4</t>
    <phoneticPr fontId="3" type="noConversion"/>
  </si>
  <si>
    <t>육령일반산업단지</t>
    <phoneticPr fontId="4" type="noConversion"/>
  </si>
  <si>
    <t>중부산업단지</t>
    <phoneticPr fontId="4" type="noConversion"/>
  </si>
  <si>
    <t>2016년
(현재외국인)</t>
    <phoneticPr fontId="4" type="noConversion"/>
  </si>
  <si>
    <t>2015년
(현재내국인)</t>
    <phoneticPr fontId="4" type="noConversion"/>
  </si>
  <si>
    <t>2016말
(내국인+외국인)</t>
    <phoneticPr fontId="3" type="noConversion"/>
  </si>
  <si>
    <t>사회적유입인구</t>
    <phoneticPr fontId="3" type="noConversion"/>
  </si>
  <si>
    <t>대소면 삼정리 일원</t>
    <phoneticPr fontId="3" type="noConversion"/>
  </si>
  <si>
    <t>왕장리</t>
    <phoneticPr fontId="3" type="noConversion"/>
  </si>
  <si>
    <t>도시기본계획의 외부유입율 60%적용</t>
    <phoneticPr fontId="3" type="noConversion"/>
  </si>
  <si>
    <t>덕정8</t>
    <phoneticPr fontId="3" type="noConversion"/>
  </si>
  <si>
    <t>덕정10</t>
    <phoneticPr fontId="3" type="noConversion"/>
  </si>
  <si>
    <t>청용1</t>
    <phoneticPr fontId="3" type="noConversion"/>
  </si>
  <si>
    <t>천평3</t>
    <phoneticPr fontId="3" type="noConversion"/>
  </si>
  <si>
    <t>신정3</t>
    <phoneticPr fontId="3" type="noConversion"/>
  </si>
  <si>
    <t>신정1</t>
    <phoneticPr fontId="3" type="noConversion"/>
  </si>
  <si>
    <t>쌍정3</t>
    <phoneticPr fontId="3" type="noConversion"/>
  </si>
  <si>
    <t>쌍정4</t>
    <phoneticPr fontId="3" type="noConversion"/>
  </si>
  <si>
    <t>쌍정5</t>
    <phoneticPr fontId="3" type="noConversion"/>
  </si>
  <si>
    <t>맹동휴먼시아</t>
    <phoneticPr fontId="3" type="noConversion"/>
  </si>
  <si>
    <t>금왕주공3차아파트</t>
    <phoneticPr fontId="3" type="noConversion"/>
  </si>
  <si>
    <t>두진하트리움아파트</t>
    <phoneticPr fontId="3" type="noConversion"/>
  </si>
  <si>
    <t>우원임대</t>
    <phoneticPr fontId="3" type="noConversion"/>
  </si>
  <si>
    <t>무궁화아파트</t>
    <phoneticPr fontId="3" type="noConversion"/>
  </si>
  <si>
    <t>한미금강아파트</t>
    <phoneticPr fontId="3" type="noConversion"/>
  </si>
  <si>
    <t>풍산아파트</t>
    <phoneticPr fontId="3" type="noConversion"/>
  </si>
  <si>
    <t>주공아파트</t>
    <phoneticPr fontId="3" type="noConversion"/>
  </si>
  <si>
    <t>개나리아파트</t>
    <phoneticPr fontId="3" type="noConversion"/>
  </si>
  <si>
    <t>한양1차아파트</t>
    <phoneticPr fontId="3" type="noConversion"/>
  </si>
  <si>
    <t>한양2차아파트</t>
    <phoneticPr fontId="3" type="noConversion"/>
  </si>
  <si>
    <t>문화마을</t>
    <phoneticPr fontId="3" type="noConversion"/>
  </si>
  <si>
    <t>한진신세대아파트</t>
    <phoneticPr fontId="3" type="noConversion"/>
  </si>
  <si>
    <t>두진하트리움</t>
    <phoneticPr fontId="3" type="noConversion"/>
  </si>
  <si>
    <t>기흥아랫마을아파트</t>
    <phoneticPr fontId="3" type="noConversion"/>
  </si>
  <si>
    <t>기흥윗마을아파트</t>
    <phoneticPr fontId="3" type="noConversion"/>
  </si>
  <si>
    <t>융보목련아파트</t>
    <phoneticPr fontId="3" type="noConversion"/>
  </si>
  <si>
    <t>산수화아파트</t>
    <phoneticPr fontId="3" type="noConversion"/>
  </si>
  <si>
    <t>부영아파트</t>
    <phoneticPr fontId="3" type="noConversion"/>
  </si>
  <si>
    <t>삼보아파트</t>
    <phoneticPr fontId="3" type="noConversion"/>
  </si>
  <si>
    <t>한성아파트</t>
    <phoneticPr fontId="3" type="noConversion"/>
  </si>
  <si>
    <t>지평더웰아파트</t>
    <phoneticPr fontId="3" type="noConversion"/>
  </si>
  <si>
    <t>수정마을</t>
    <phoneticPr fontId="3" type="noConversion"/>
  </si>
  <si>
    <t>금광포란채</t>
    <phoneticPr fontId="3" type="noConversion"/>
  </si>
  <si>
    <t>신천휴먼시아</t>
    <phoneticPr fontId="3" type="noConversion"/>
  </si>
  <si>
    <t>풍산장미아파트</t>
    <phoneticPr fontId="3" type="noConversion"/>
  </si>
  <si>
    <t>두진아파트</t>
    <phoneticPr fontId="3" type="noConversion"/>
  </si>
  <si>
    <t>주공1차</t>
    <phoneticPr fontId="3" type="noConversion"/>
  </si>
  <si>
    <t>유수장미아파트</t>
    <phoneticPr fontId="3" type="noConversion"/>
  </si>
  <si>
    <t>명운네스빌아파트</t>
    <phoneticPr fontId="3" type="noConversion"/>
  </si>
  <si>
    <t>금왕주공2차아파트</t>
    <phoneticPr fontId="3" type="noConversion"/>
  </si>
  <si>
    <t>로얄아파트</t>
    <phoneticPr fontId="3" type="noConversion"/>
  </si>
  <si>
    <t>금석LH아파트</t>
    <phoneticPr fontId="3" type="noConversion"/>
  </si>
  <si>
    <t>부강아파트</t>
    <phoneticPr fontId="3" type="noConversion"/>
  </si>
  <si>
    <t>삼성아파트</t>
    <phoneticPr fontId="3" type="noConversion"/>
  </si>
  <si>
    <t>덕일아파트</t>
    <phoneticPr fontId="3" type="noConversion"/>
  </si>
  <si>
    <t>감곡휴먼시아아파트</t>
    <phoneticPr fontId="3" type="noConversion"/>
  </si>
  <si>
    <t>도시기본계획의 외부유입율 41%적용</t>
    <phoneticPr fontId="3" type="noConversion"/>
  </si>
  <si>
    <t>2005~2019.12</t>
    <phoneticPr fontId="4" type="noConversion"/>
  </si>
  <si>
    <t>2014-2018.12</t>
    <phoneticPr fontId="4" type="noConversion"/>
  </si>
  <si>
    <t>2011~2017.12</t>
    <phoneticPr fontId="4" type="noConversion"/>
  </si>
  <si>
    <t>2013.9-2018.12</t>
    <phoneticPr fontId="4" type="noConversion"/>
  </si>
  <si>
    <t>2016.3~2018.12</t>
    <phoneticPr fontId="4" type="noConversion"/>
  </si>
  <si>
    <t>2016.3~2018.12</t>
    <phoneticPr fontId="4" type="noConversion"/>
  </si>
  <si>
    <t>2012-~2017.12</t>
    <phoneticPr fontId="4" type="noConversion"/>
  </si>
  <si>
    <t>2009~20016.4</t>
    <phoneticPr fontId="4" type="noConversion"/>
  </si>
  <si>
    <t>음성계획인구</t>
    <phoneticPr fontId="3" type="noConversion"/>
  </si>
  <si>
    <t>계획중</t>
    <phoneticPr fontId="3" type="noConversion"/>
  </si>
  <si>
    <t>금석 A2블록</t>
    <phoneticPr fontId="3" type="noConversion"/>
  </si>
  <si>
    <t>입주현황('16년 기준)</t>
    <phoneticPr fontId="4" type="noConversion"/>
  </si>
  <si>
    <t>대소이안1차</t>
    <phoneticPr fontId="4" type="noConversion"/>
  </si>
  <si>
    <t>대소이안2차</t>
    <phoneticPr fontId="4" type="noConversion"/>
  </si>
  <si>
    <t>대소이안3차</t>
    <phoneticPr fontId="4" type="noConversion"/>
  </si>
  <si>
    <t>자체처리</t>
    <phoneticPr fontId="3" type="noConversion"/>
  </si>
  <si>
    <t>금석 A2블록</t>
    <phoneticPr fontId="3" type="noConversion"/>
  </si>
  <si>
    <t>혁신도시 내</t>
    <phoneticPr fontId="3" type="noConversion"/>
  </si>
  <si>
    <t>산업단지
조성사업</t>
    <phoneticPr fontId="3" type="noConversion"/>
  </si>
  <si>
    <t>중부산업단지</t>
    <phoneticPr fontId="3" type="noConversion"/>
  </si>
  <si>
    <t>육령일반산업단지</t>
    <phoneticPr fontId="3" type="noConversion"/>
  </si>
  <si>
    <t>중부산업단지</t>
    <phoneticPr fontId="3" type="noConversion"/>
  </si>
  <si>
    <t>내부10%적용</t>
    <phoneticPr fontId="3" type="noConversion"/>
  </si>
  <si>
    <t>세대 및 인구
(본 계획 반영)</t>
    <phoneticPr fontId="4" type="noConversion"/>
  </si>
  <si>
    <t>용산6</t>
    <phoneticPr fontId="3" type="noConversion"/>
  </si>
  <si>
    <t>추가</t>
    <phoneticPr fontId="3" type="noConversion"/>
  </si>
  <si>
    <t>용산6</t>
    <phoneticPr fontId="4" type="noConversion"/>
  </si>
  <si>
    <t>1.8 금회 계획 소규모(신규) 처리구역 인구</t>
    <phoneticPr fontId="3" type="noConversion"/>
  </si>
  <si>
    <t>하당2</t>
    <phoneticPr fontId="3" type="noConversion"/>
  </si>
  <si>
    <t>도청2</t>
    <phoneticPr fontId="3" type="noConversion"/>
  </si>
  <si>
    <t>본대1</t>
    <phoneticPr fontId="3" type="noConversion"/>
  </si>
  <si>
    <t>본대3</t>
    <phoneticPr fontId="3" type="noConversion"/>
  </si>
  <si>
    <t>대정1</t>
    <phoneticPr fontId="3" type="noConversion"/>
  </si>
  <si>
    <t>문촌2</t>
    <phoneticPr fontId="3" type="noConversion"/>
  </si>
  <si>
    <t>통동</t>
    <phoneticPr fontId="3" type="noConversion"/>
  </si>
  <si>
    <t>중동2</t>
    <phoneticPr fontId="3" type="noConversion"/>
  </si>
  <si>
    <t>금고2</t>
    <phoneticPr fontId="3" type="noConversion"/>
  </si>
  <si>
    <t>비산1</t>
    <phoneticPr fontId="3" type="noConversion"/>
  </si>
  <si>
    <t>원남면</t>
    <phoneticPr fontId="3" type="noConversion"/>
  </si>
  <si>
    <t>하당리</t>
    <phoneticPr fontId="3" type="noConversion"/>
  </si>
  <si>
    <t>맹동면</t>
    <phoneticPr fontId="3" type="noConversion"/>
  </si>
  <si>
    <t>소이면</t>
    <phoneticPr fontId="3" type="noConversion"/>
  </si>
  <si>
    <t>비산리</t>
    <phoneticPr fontId="3" type="noConversion"/>
  </si>
  <si>
    <t>금고리</t>
    <phoneticPr fontId="3" type="noConversion"/>
  </si>
  <si>
    <t>중동리</t>
    <phoneticPr fontId="3" type="noConversion"/>
  </si>
  <si>
    <t>통동리</t>
    <phoneticPr fontId="3" type="noConversion"/>
  </si>
  <si>
    <t>문촌리</t>
    <phoneticPr fontId="3" type="noConversion"/>
  </si>
  <si>
    <t>문촌2</t>
    <phoneticPr fontId="3" type="noConversion"/>
  </si>
  <si>
    <t>대정리</t>
    <phoneticPr fontId="3" type="noConversion"/>
  </si>
  <si>
    <t>본대리</t>
    <phoneticPr fontId="3" type="noConversion"/>
  </si>
  <si>
    <t>도청리</t>
    <phoneticPr fontId="3" type="noConversion"/>
  </si>
  <si>
    <t>처리
구역</t>
    <phoneticPr fontId="4" type="noConversion"/>
  </si>
  <si>
    <t>처리
분구</t>
    <phoneticPr fontId="4" type="noConversion"/>
  </si>
  <si>
    <t>읍ㆍ면</t>
    <phoneticPr fontId="4" type="noConversion"/>
  </si>
  <si>
    <t>법정리</t>
    <phoneticPr fontId="4" type="noConversion"/>
  </si>
  <si>
    <t>행정리</t>
    <phoneticPr fontId="4" type="noConversion"/>
  </si>
  <si>
    <t>금왕읍</t>
    <phoneticPr fontId="3" type="noConversion"/>
  </si>
  <si>
    <t>합계</t>
    <phoneticPr fontId="3" type="noConversion"/>
  </si>
  <si>
    <t>음성읍</t>
    <phoneticPr fontId="3" type="noConversion"/>
  </si>
  <si>
    <t>소이면</t>
    <phoneticPr fontId="3" type="noConversion"/>
  </si>
  <si>
    <t>원남면</t>
    <phoneticPr fontId="3" type="noConversion"/>
  </si>
  <si>
    <t>맹동면</t>
    <phoneticPr fontId="3" type="noConversion"/>
  </si>
  <si>
    <t>대소면</t>
    <phoneticPr fontId="3" type="noConversion"/>
  </si>
  <si>
    <t>삼성면</t>
    <phoneticPr fontId="3" type="noConversion"/>
  </si>
  <si>
    <t>생극면</t>
    <phoneticPr fontId="3" type="noConversion"/>
  </si>
  <si>
    <t>감곡면</t>
    <phoneticPr fontId="3" type="noConversion"/>
  </si>
  <si>
    <t>군내유입</t>
    <phoneticPr fontId="3" type="noConversion"/>
  </si>
  <si>
    <t>군내유출</t>
    <phoneticPr fontId="3" type="noConversion"/>
  </si>
  <si>
    <t>군기본계획상
장기계획</t>
    <phoneticPr fontId="3" type="noConversion"/>
  </si>
  <si>
    <t>무극지구 도시계발사업</t>
  </si>
  <si>
    <t>무극지구 도시계발사업</t>
    <phoneticPr fontId="3" type="noConversion"/>
  </si>
  <si>
    <t>맹동 택지개발</t>
  </si>
  <si>
    <t>맹동 택지개발</t>
    <phoneticPr fontId="3" type="noConversion"/>
  </si>
  <si>
    <t>삼성택지지구</t>
  </si>
  <si>
    <t>삼성택지지구</t>
    <phoneticPr fontId="3" type="noConversion"/>
  </si>
  <si>
    <t>생극택지지구</t>
  </si>
  <si>
    <t>생극택지지구</t>
    <phoneticPr fontId="3" type="noConversion"/>
  </si>
  <si>
    <t>금왕읍 무극리 일원</t>
    <phoneticPr fontId="3" type="noConversion"/>
  </si>
  <si>
    <t>대소면 태생리 일원</t>
    <phoneticPr fontId="3" type="noConversion"/>
  </si>
  <si>
    <t>맹동면 동성리 일원</t>
    <phoneticPr fontId="3" type="noConversion"/>
  </si>
  <si>
    <t>삼성면 일원</t>
    <phoneticPr fontId="3" type="noConversion"/>
  </si>
  <si>
    <t>생극면 일원</t>
    <phoneticPr fontId="3" type="noConversion"/>
  </si>
  <si>
    <t>사곡산업단지</t>
  </si>
  <si>
    <t>사곡산업단지</t>
    <phoneticPr fontId="4" type="noConversion"/>
  </si>
  <si>
    <t>감곡면 일원</t>
    <phoneticPr fontId="4" type="noConversion"/>
  </si>
  <si>
    <t>원당산업단지</t>
  </si>
  <si>
    <t>원당산업단지</t>
    <phoneticPr fontId="4" type="noConversion"/>
  </si>
  <si>
    <t>감곡면 원당리 일원</t>
    <phoneticPr fontId="4" type="noConversion"/>
  </si>
  <si>
    <t>신평산업단지</t>
  </si>
  <si>
    <t>신평산업단지</t>
    <phoneticPr fontId="4" type="noConversion"/>
  </si>
  <si>
    <t>금왕읍 도청리 일원</t>
    <phoneticPr fontId="4" type="noConversion"/>
  </si>
  <si>
    <t>봉공산업단지</t>
  </si>
  <si>
    <t>봉공산업단지</t>
    <phoneticPr fontId="4" type="noConversion"/>
  </si>
  <si>
    <t>금왕읍 일원</t>
    <phoneticPr fontId="4" type="noConversion"/>
  </si>
  <si>
    <t>대소산업단지 확장</t>
  </si>
  <si>
    <t>대소산업단지 확장</t>
    <phoneticPr fontId="4" type="noConversion"/>
  </si>
  <si>
    <t>대소면 대풍리 일원</t>
    <phoneticPr fontId="4" type="noConversion"/>
  </si>
  <si>
    <t>삼성준산업단지</t>
  </si>
  <si>
    <t>삼성준산업단지</t>
    <phoneticPr fontId="4" type="noConversion"/>
  </si>
  <si>
    <t>삼성면 일원</t>
    <phoneticPr fontId="4" type="noConversion"/>
  </si>
  <si>
    <t>태양금속공업 이전</t>
  </si>
  <si>
    <t>태양금속공업 이전</t>
    <phoneticPr fontId="4" type="noConversion"/>
  </si>
  <si>
    <t>상곡농공단지</t>
  </si>
  <si>
    <t>상곡농공단지</t>
    <phoneticPr fontId="4" type="noConversion"/>
  </si>
  <si>
    <t>소이산업단지 확장</t>
  </si>
  <si>
    <t>소이산업단지 확장</t>
    <phoneticPr fontId="4" type="noConversion"/>
  </si>
  <si>
    <t>소이면 일원</t>
    <phoneticPr fontId="4" type="noConversion"/>
  </si>
  <si>
    <t>보천산업단지</t>
  </si>
  <si>
    <t>보천산업단지</t>
    <phoneticPr fontId="4" type="noConversion"/>
  </si>
  <si>
    <t>원남면 보천리 일원</t>
    <phoneticPr fontId="4" type="noConversion"/>
  </si>
  <si>
    <t>용산산업단지</t>
  </si>
  <si>
    <t>용산산업단지</t>
    <phoneticPr fontId="4" type="noConversion"/>
  </si>
  <si>
    <t>음성산업단지</t>
  </si>
  <si>
    <t>음성산업단지</t>
    <phoneticPr fontId="4" type="noConversion"/>
  </si>
  <si>
    <t>㈜에스지월드테크</t>
  </si>
  <si>
    <t>㈜에스지월드테크</t>
    <phoneticPr fontId="4" type="noConversion"/>
  </si>
  <si>
    <t>lng 발전소</t>
  </si>
  <si>
    <t>lng 발전소</t>
    <phoneticPr fontId="4" type="noConversion"/>
  </si>
  <si>
    <t>음성읍 용산리 일원</t>
    <phoneticPr fontId="4" type="noConversion"/>
  </si>
  <si>
    <t>음성읍 일원</t>
    <phoneticPr fontId="4" type="noConversion"/>
  </si>
  <si>
    <t xml:space="preserve">     ⑨ 감곡면</t>
    <phoneticPr fontId="4" type="noConversion"/>
  </si>
  <si>
    <t xml:space="preserve">     ⑧ 생극면</t>
    <phoneticPr fontId="4" type="noConversion"/>
  </si>
  <si>
    <t xml:space="preserve">     ⑦ 삼성면</t>
    <phoneticPr fontId="4" type="noConversion"/>
  </si>
  <si>
    <t xml:space="preserve">     ⑥ 대소면</t>
    <phoneticPr fontId="4" type="noConversion"/>
  </si>
  <si>
    <t xml:space="preserve">     ⑤ 맹동면</t>
    <phoneticPr fontId="4" type="noConversion"/>
  </si>
  <si>
    <t xml:space="preserve">     ④ 원남면</t>
    <phoneticPr fontId="4" type="noConversion"/>
  </si>
  <si>
    <t xml:space="preserve">     ③ 소이면</t>
    <phoneticPr fontId="4" type="noConversion"/>
  </si>
  <si>
    <t xml:space="preserve"> </t>
    <phoneticPr fontId="3" type="noConversion"/>
  </si>
  <si>
    <t>산업단지
조성사업</t>
    <phoneticPr fontId="4" type="noConversion"/>
  </si>
  <si>
    <t>산업단지
조성사업</t>
    <phoneticPr fontId="3" type="noConversion"/>
  </si>
  <si>
    <t>태성지구 도시개발사업</t>
  </si>
  <si>
    <t>태성지구 도시개발사업</t>
    <phoneticPr fontId="3" type="noConversion"/>
  </si>
  <si>
    <t>소이면</t>
    <phoneticPr fontId="3" type="noConversion"/>
  </si>
  <si>
    <t>원남면</t>
    <phoneticPr fontId="3" type="noConversion"/>
  </si>
  <si>
    <t>산업단지
조성사업</t>
    <phoneticPr fontId="4" type="noConversion"/>
  </si>
  <si>
    <t>산업단지
조성사업</t>
    <phoneticPr fontId="3" type="noConversion"/>
  </si>
  <si>
    <t>맹동</t>
    <phoneticPr fontId="3" type="noConversion"/>
  </si>
  <si>
    <t>소이면</t>
    <phoneticPr fontId="4" type="noConversion"/>
  </si>
  <si>
    <t>원남면</t>
    <phoneticPr fontId="4" type="noConversion"/>
  </si>
  <si>
    <t>맹동면</t>
    <phoneticPr fontId="3" type="noConversion"/>
  </si>
  <si>
    <t>사회적 유출인구</t>
    <phoneticPr fontId="3" type="noConversion"/>
  </si>
  <si>
    <t>사회적 증가인구</t>
    <phoneticPr fontId="4" type="noConversion"/>
  </si>
  <si>
    <t>혁신도시 증가인구</t>
    <phoneticPr fontId="3" type="noConversion"/>
  </si>
  <si>
    <t>하당2(계획)</t>
    <phoneticPr fontId="3" type="noConversion"/>
  </si>
  <si>
    <t>도청2(계획)</t>
    <phoneticPr fontId="3" type="noConversion"/>
  </si>
  <si>
    <t>본대1(계획)</t>
    <phoneticPr fontId="3" type="noConversion"/>
  </si>
  <si>
    <t>내곡(계획)</t>
    <phoneticPr fontId="3" type="noConversion"/>
  </si>
  <si>
    <t>본대3(계획)</t>
    <phoneticPr fontId="3" type="noConversion"/>
  </si>
  <si>
    <t>중동2(계획)</t>
    <phoneticPr fontId="3" type="noConversion"/>
  </si>
  <si>
    <t>금고2(계획)</t>
    <phoneticPr fontId="3" type="noConversion"/>
  </si>
  <si>
    <t>비산1(계획)</t>
    <phoneticPr fontId="3" type="noConversion"/>
  </si>
  <si>
    <t>통동(계획)</t>
    <phoneticPr fontId="3" type="noConversion"/>
  </si>
  <si>
    <t>대정1(계획)</t>
    <phoneticPr fontId="3" type="noConversion"/>
  </si>
  <si>
    <t>원당2(계획)</t>
    <phoneticPr fontId="3" type="noConversion"/>
  </si>
  <si>
    <t>문촌2(계획)</t>
    <phoneticPr fontId="3" type="noConversion"/>
  </si>
  <si>
    <t>석인리</t>
    <phoneticPr fontId="3" type="noConversion"/>
  </si>
  <si>
    <t>원남면</t>
    <phoneticPr fontId="3" type="noConversion"/>
  </si>
  <si>
    <t>하당리</t>
    <phoneticPr fontId="3" type="noConversion"/>
  </si>
  <si>
    <t>하당2</t>
    <phoneticPr fontId="3" type="noConversion"/>
  </si>
  <si>
    <t>하당1</t>
    <phoneticPr fontId="3" type="noConversion"/>
  </si>
  <si>
    <t>소이면</t>
    <phoneticPr fontId="3" type="noConversion"/>
  </si>
  <si>
    <t>충도리</t>
    <phoneticPr fontId="3" type="noConversion"/>
  </si>
  <si>
    <t>충도1</t>
    <phoneticPr fontId="3" type="noConversion"/>
  </si>
  <si>
    <t>석인1</t>
    <phoneticPr fontId="3" type="noConversion"/>
  </si>
  <si>
    <t>관성</t>
    <phoneticPr fontId="3" type="noConversion"/>
  </si>
  <si>
    <t>병암</t>
    <phoneticPr fontId="3" type="noConversion"/>
  </si>
  <si>
    <t>병암2</t>
  </si>
  <si>
    <t>병암2</t>
    <phoneticPr fontId="3" type="noConversion"/>
  </si>
  <si>
    <t>관성2</t>
  </si>
  <si>
    <t>관성2</t>
    <phoneticPr fontId="3" type="noConversion"/>
  </si>
  <si>
    <t>관성리</t>
    <phoneticPr fontId="3" type="noConversion"/>
  </si>
  <si>
    <t>병암리</t>
    <phoneticPr fontId="3" type="noConversion"/>
  </si>
  <si>
    <t>마송3 0.12</t>
    <phoneticPr fontId="3" type="noConversion"/>
  </si>
  <si>
    <t>쌍정3 0.03</t>
    <phoneticPr fontId="3" type="noConversion"/>
  </si>
  <si>
    <t>무극지구
도시개발사업</t>
    <phoneticPr fontId="3" type="noConversion"/>
  </si>
  <si>
    <t>태성지구</t>
    <phoneticPr fontId="3" type="noConversion"/>
  </si>
  <si>
    <t>삼성택지지구</t>
    <phoneticPr fontId="3" type="noConversion"/>
  </si>
  <si>
    <t>생극 택지지구</t>
    <phoneticPr fontId="3" type="noConversion"/>
  </si>
  <si>
    <t>무극1</t>
    <phoneticPr fontId="3" type="noConversion"/>
  </si>
  <si>
    <t>모래우물
자연체험학교</t>
    <phoneticPr fontId="4" type="noConversion"/>
  </si>
  <si>
    <t>품바
재생예술체험촌</t>
    <phoneticPr fontId="4" type="noConversion"/>
  </si>
  <si>
    <t>면적
(㎡)</t>
    <phoneticPr fontId="4" type="noConversion"/>
  </si>
  <si>
    <t>1.4 조성법에 의한 장래인구 총괄(내부이동에의한 유입인구 적용)</t>
    <phoneticPr fontId="4" type="noConversion"/>
  </si>
  <si>
    <t>1.4.1 읍면별 계획인구</t>
    <phoneticPr fontId="3" type="noConversion"/>
  </si>
  <si>
    <t>1.4.2 내부이동인구 근거</t>
    <phoneticPr fontId="3" type="noConversion"/>
  </si>
  <si>
    <t>1.4.3 사회적 유입인구</t>
    <phoneticPr fontId="4" type="noConversion"/>
  </si>
  <si>
    <t xml:space="preserve">  2) 행정구역별 사회적 유입인구</t>
    <phoneticPr fontId="4" type="noConversion"/>
  </si>
  <si>
    <t xml:space="preserve">  3) 사회적 유입 중복 인구 산출</t>
    <phoneticPr fontId="4" type="noConversion"/>
  </si>
  <si>
    <t xml:space="preserve"> 1.3 출생·사망 및 전입·전출에 의한 인구추정</t>
    <phoneticPr fontId="4" type="noConversion"/>
  </si>
  <si>
    <t xml:space="preserve">  가. 자연적(출생·사망) 및 사회적(전입·전출) 인구증가 과거 현황</t>
    <phoneticPr fontId="4" type="noConversion"/>
  </si>
  <si>
    <t>구분</t>
    <phoneticPr fontId="4" type="noConversion"/>
  </si>
  <si>
    <t>세대수</t>
    <phoneticPr fontId="4" type="noConversion"/>
  </si>
  <si>
    <t>전체인구</t>
    <phoneticPr fontId="4" type="noConversion"/>
  </si>
  <si>
    <t>세대당
인구수(인)</t>
    <phoneticPr fontId="4" type="noConversion"/>
  </si>
  <si>
    <t>자연적 인구증가</t>
    <phoneticPr fontId="4" type="noConversion"/>
  </si>
  <si>
    <t>사회적 인구증가</t>
    <phoneticPr fontId="4" type="noConversion"/>
  </si>
  <si>
    <t>인구(인)</t>
    <phoneticPr fontId="4" type="noConversion"/>
  </si>
  <si>
    <t>증감율(%)</t>
    <phoneticPr fontId="4" type="noConversion"/>
  </si>
  <si>
    <t>출생(인)</t>
    <phoneticPr fontId="4" type="noConversion"/>
  </si>
  <si>
    <t>사망(인)</t>
    <phoneticPr fontId="4" type="noConversion"/>
  </si>
  <si>
    <t>전입(인)</t>
    <phoneticPr fontId="4" type="noConversion"/>
  </si>
  <si>
    <t>전출(인)</t>
    <phoneticPr fontId="4" type="noConversion"/>
  </si>
  <si>
    <t>5년평균
증감율(%)</t>
    <phoneticPr fontId="4" type="noConversion"/>
  </si>
  <si>
    <t>10년평균
증감율(%)</t>
    <phoneticPr fontId="4" type="noConversion"/>
  </si>
  <si>
    <t>나. 자연적(출생·사망) 및 사회적(전입·전출) 인구증가 분석 결과</t>
    <phoneticPr fontId="4" type="noConversion"/>
  </si>
  <si>
    <t xml:space="preserve">  □ 5년 추정</t>
    <phoneticPr fontId="3" type="noConversion"/>
  </si>
  <si>
    <t>구  분</t>
    <phoneticPr fontId="4" type="noConversion"/>
  </si>
  <si>
    <t>음성군</t>
    <phoneticPr fontId="4" type="noConversion"/>
  </si>
  <si>
    <t>읍 면 계</t>
    <phoneticPr fontId="4" type="noConversion"/>
  </si>
  <si>
    <t>음성읍</t>
    <phoneticPr fontId="4" type="noConversion"/>
  </si>
  <si>
    <t>금왕읍</t>
    <phoneticPr fontId="3" type="noConversion"/>
  </si>
  <si>
    <t>소이면</t>
    <phoneticPr fontId="3" type="noConversion"/>
  </si>
  <si>
    <t>원남면</t>
    <phoneticPr fontId="3" type="noConversion"/>
  </si>
  <si>
    <t>맹동면</t>
    <phoneticPr fontId="3" type="noConversion"/>
  </si>
  <si>
    <t>대소면</t>
    <phoneticPr fontId="3" type="noConversion"/>
  </si>
  <si>
    <t>삼성면</t>
    <phoneticPr fontId="3" type="noConversion"/>
  </si>
  <si>
    <t>생극면</t>
    <phoneticPr fontId="3" type="noConversion"/>
  </si>
  <si>
    <t>감곡면</t>
    <phoneticPr fontId="3" type="noConversion"/>
  </si>
  <si>
    <t xml:space="preserve">  □ 10년 추정</t>
    <phoneticPr fontId="3" type="noConversion"/>
  </si>
  <si>
    <t>자료 : 음성군 통계연보 (2006년~2015년)</t>
    <phoneticPr fontId="4" type="noConversion"/>
  </si>
  <si>
    <r>
      <t xml:space="preserve">대소면 오류리 </t>
    </r>
    <r>
      <rPr>
        <sz val="13"/>
        <color rgb="FF000000"/>
        <rFont val="돋움"/>
        <family val="3"/>
        <charset val="129"/>
      </rPr>
      <t xml:space="preserve">856번지 </t>
    </r>
    <phoneticPr fontId="3" type="noConversion"/>
  </si>
  <si>
    <r>
      <t xml:space="preserve">금왕읍 금석리 </t>
    </r>
    <r>
      <rPr>
        <sz val="13"/>
        <color rgb="FF000000"/>
        <rFont val="돋움"/>
        <family val="3"/>
        <charset val="129"/>
      </rPr>
      <t>A3블럭</t>
    </r>
    <phoneticPr fontId="3" type="noConversion"/>
  </si>
  <si>
    <r>
      <t xml:space="preserve">금왕읍 금석리 </t>
    </r>
    <r>
      <rPr>
        <sz val="13"/>
        <color rgb="FF000000"/>
        <rFont val="돋움"/>
        <family val="3"/>
        <charset val="129"/>
      </rPr>
      <t>A2블럭</t>
    </r>
    <phoneticPr fontId="3" type="noConversion"/>
  </si>
  <si>
    <r>
      <t xml:space="preserve">대소면 태생리 </t>
    </r>
    <r>
      <rPr>
        <sz val="13"/>
        <color rgb="FF000000"/>
        <rFont val="돋움"/>
        <family val="3"/>
        <charset val="129"/>
      </rPr>
      <t>549-21번지 일원</t>
    </r>
    <phoneticPr fontId="3" type="noConversion"/>
  </si>
  <si>
    <r>
      <t xml:space="preserve">음성읍 읍내리 </t>
    </r>
    <r>
      <rPr>
        <sz val="13"/>
        <color rgb="FF000000"/>
        <rFont val="돋움"/>
        <family val="3"/>
        <charset val="129"/>
      </rPr>
      <t>366-1번지 일원</t>
    </r>
    <phoneticPr fontId="3" type="noConversion"/>
  </si>
  <si>
    <r>
      <t xml:space="preserve">맹동면 두성리 충북혁신도시 </t>
    </r>
    <r>
      <rPr>
        <sz val="13"/>
        <color rgb="FF000000"/>
        <rFont val="돋움"/>
        <family val="3"/>
        <charset val="129"/>
      </rPr>
      <t>C1블럭</t>
    </r>
    <phoneticPr fontId="3" type="noConversion"/>
  </si>
  <si>
    <r>
      <t xml:space="preserve">음성읍 읍내리 </t>
    </r>
    <r>
      <rPr>
        <sz val="13"/>
        <color rgb="FF000000"/>
        <rFont val="돋움"/>
        <family val="3"/>
        <charset val="129"/>
      </rPr>
      <t>352-8번지 일원</t>
    </r>
    <phoneticPr fontId="3" type="noConversion"/>
  </si>
  <si>
    <r>
      <t xml:space="preserve">음성읍 읍내리 </t>
    </r>
    <r>
      <rPr>
        <sz val="13"/>
        <color rgb="FF000000"/>
        <rFont val="돋움"/>
        <family val="3"/>
        <charset val="129"/>
      </rPr>
      <t>355-7번지</t>
    </r>
    <phoneticPr fontId="3" type="noConversion"/>
  </si>
  <si>
    <r>
      <t xml:space="preserve">음성읍 읍내리 </t>
    </r>
    <r>
      <rPr>
        <sz val="13"/>
        <color rgb="FF000000"/>
        <rFont val="돋움"/>
        <family val="3"/>
        <charset val="129"/>
      </rPr>
      <t>400-21번지 일원</t>
    </r>
    <phoneticPr fontId="3" type="noConversion"/>
  </si>
  <si>
    <r>
      <t xml:space="preserve">대소면 소석리 </t>
    </r>
    <r>
      <rPr>
        <sz val="13"/>
        <color rgb="FF000000"/>
        <rFont val="돋움"/>
        <family val="3"/>
        <charset val="129"/>
      </rPr>
      <t>23-1번지 일원</t>
    </r>
    <phoneticPr fontId="3" type="noConversion"/>
  </si>
  <si>
    <r>
      <t xml:space="preserve">음성읍 평곡리 </t>
    </r>
    <r>
      <rPr>
        <sz val="13"/>
        <color rgb="FF000000"/>
        <rFont val="돋움"/>
        <family val="3"/>
        <charset val="129"/>
      </rPr>
      <t>836-1번지 일원</t>
    </r>
    <phoneticPr fontId="3" type="noConversion"/>
  </si>
  <si>
    <r>
      <t xml:space="preserve">음성읍 읍내리 </t>
    </r>
    <r>
      <rPr>
        <sz val="13"/>
        <color rgb="FF000000"/>
        <rFont val="돋움"/>
        <family val="3"/>
        <charset val="129"/>
      </rPr>
      <t xml:space="preserve">620-35번지 일원 </t>
    </r>
    <phoneticPr fontId="3" type="noConversion"/>
  </si>
  <si>
    <r>
      <t xml:space="preserve">감곡면 오향리 </t>
    </r>
    <r>
      <rPr>
        <sz val="13"/>
        <color rgb="FF000000"/>
        <rFont val="돋움"/>
        <family val="3"/>
        <charset val="129"/>
      </rPr>
      <t xml:space="preserve">582-3번지 일원 </t>
    </r>
    <phoneticPr fontId="3" type="noConversion"/>
  </si>
  <si>
    <r>
      <t>대소면 소석리 산</t>
    </r>
    <r>
      <rPr>
        <sz val="13"/>
        <color rgb="FF000000"/>
        <rFont val="돋움"/>
        <family val="3"/>
        <charset val="129"/>
      </rPr>
      <t>34-9번지 일원</t>
    </r>
    <phoneticPr fontId="3" type="noConversion"/>
  </si>
  <si>
    <r>
      <t xml:space="preserve">감곡면 오향리 </t>
    </r>
    <r>
      <rPr>
        <sz val="13"/>
        <color rgb="FF000000"/>
        <rFont val="돋움"/>
        <family val="3"/>
        <charset val="129"/>
      </rPr>
      <t>585-2번지 일원</t>
    </r>
    <phoneticPr fontId="3" type="noConversion"/>
  </si>
  <si>
    <r>
      <t xml:space="preserve">생극면 신양리 </t>
    </r>
    <r>
      <rPr>
        <sz val="13"/>
        <color rgb="FF000000"/>
        <rFont val="돋움"/>
        <family val="3"/>
        <charset val="129"/>
      </rPr>
      <t>465-5번지 일원</t>
    </r>
    <phoneticPr fontId="3" type="noConversion"/>
  </si>
  <si>
    <r>
      <t xml:space="preserve">금왕읍 무극리 </t>
    </r>
    <r>
      <rPr>
        <sz val="13"/>
        <color rgb="FF000000"/>
        <rFont val="돋움"/>
        <family val="3"/>
        <charset val="129"/>
      </rPr>
      <t xml:space="preserve">504-5번지 일원 </t>
    </r>
    <phoneticPr fontId="3" type="noConversion"/>
  </si>
  <si>
    <r>
      <t xml:space="preserve">감곡면 왕장리 </t>
    </r>
    <r>
      <rPr>
        <sz val="13"/>
        <color rgb="FF000000"/>
        <rFont val="돋움"/>
        <family val="3"/>
        <charset val="129"/>
      </rPr>
      <t>39-1번지 인근</t>
    </r>
    <phoneticPr fontId="3" type="noConversion"/>
  </si>
  <si>
    <r>
      <t xml:space="preserve">감곡면 오향리 </t>
    </r>
    <r>
      <rPr>
        <sz val="13"/>
        <color rgb="FF000000"/>
        <rFont val="돋움"/>
        <family val="3"/>
        <charset val="129"/>
      </rPr>
      <t>816-1번지 인근</t>
    </r>
    <phoneticPr fontId="3" type="noConversion"/>
  </si>
  <si>
    <r>
      <t>대소면 소석리 산</t>
    </r>
    <r>
      <rPr>
        <sz val="13"/>
        <color rgb="FF000000"/>
        <rFont val="돋움"/>
        <family val="3"/>
        <charset val="129"/>
      </rPr>
      <t>25-1번지 일원</t>
    </r>
    <phoneticPr fontId="3" type="noConversion"/>
  </si>
  <si>
    <r>
      <t xml:space="preserve">삼성면 덕정리 </t>
    </r>
    <r>
      <rPr>
        <sz val="13"/>
        <color rgb="FF000000"/>
        <rFont val="돋움"/>
        <family val="3"/>
        <charset val="129"/>
      </rPr>
      <t>774번지 일원</t>
    </r>
    <phoneticPr fontId="3" type="noConversion"/>
  </si>
  <si>
    <t>무극1</t>
    <phoneticPr fontId="3" type="noConversion"/>
  </si>
  <si>
    <t>무극11</t>
    <phoneticPr fontId="3" type="noConversion"/>
  </si>
  <si>
    <t>읍내7</t>
    <phoneticPr fontId="3" type="noConversion"/>
  </si>
  <si>
    <t>읍내7</t>
    <phoneticPr fontId="3" type="noConversion"/>
  </si>
  <si>
    <t>읍내2</t>
    <phoneticPr fontId="3" type="noConversion"/>
  </si>
  <si>
    <t>평곡3</t>
    <phoneticPr fontId="3" type="noConversion"/>
  </si>
  <si>
    <t>읍내6</t>
    <phoneticPr fontId="3" type="noConversion"/>
  </si>
  <si>
    <t>읍내5</t>
    <phoneticPr fontId="3" type="noConversion"/>
  </si>
  <si>
    <t>금석1</t>
    <phoneticPr fontId="3" type="noConversion"/>
  </si>
  <si>
    <t>금석1</t>
    <phoneticPr fontId="3" type="noConversion"/>
  </si>
  <si>
    <t>무극3</t>
    <phoneticPr fontId="3" type="noConversion"/>
  </si>
  <si>
    <t>태생5</t>
    <phoneticPr fontId="3" type="noConversion"/>
  </si>
  <si>
    <t>소석1</t>
    <phoneticPr fontId="3" type="noConversion"/>
  </si>
  <si>
    <t>오류3</t>
    <phoneticPr fontId="3" type="noConversion"/>
  </si>
  <si>
    <t>덕정7</t>
    <phoneticPr fontId="3" type="noConversion"/>
  </si>
  <si>
    <t>오향2</t>
    <phoneticPr fontId="3" type="noConversion"/>
  </si>
  <si>
    <t>오향1</t>
    <phoneticPr fontId="3" type="noConversion"/>
  </si>
  <si>
    <t>신양1</t>
    <phoneticPr fontId="3" type="noConversion"/>
  </si>
  <si>
    <t>송곡리</t>
    <phoneticPr fontId="3" type="noConversion"/>
  </si>
  <si>
    <t>임곡리</t>
    <phoneticPr fontId="3" type="noConversion"/>
  </si>
  <si>
    <t>송곡1</t>
    <phoneticPr fontId="3" type="noConversion"/>
  </si>
  <si>
    <t>임곡</t>
    <phoneticPr fontId="3" type="noConversion"/>
  </si>
  <si>
    <r>
      <t>대소면 오류리 산</t>
    </r>
    <r>
      <rPr>
        <sz val="13"/>
        <color rgb="FF000000"/>
        <rFont val="돋움"/>
        <family val="3"/>
        <charset val="129"/>
      </rPr>
      <t>29-25번지 일원</t>
    </r>
    <phoneticPr fontId="3" type="noConversion"/>
  </si>
  <si>
    <t>성본산단</t>
    <phoneticPr fontId="3" type="noConversion"/>
  </si>
  <si>
    <t>성본산단</t>
    <phoneticPr fontId="3" type="noConversion"/>
  </si>
  <si>
    <t>성본산단</t>
    <phoneticPr fontId="3" type="noConversion"/>
  </si>
  <si>
    <t>용산산업단지</t>
    <phoneticPr fontId="3" type="noConversion"/>
  </si>
  <si>
    <t>음성산업단지</t>
    <phoneticPr fontId="3" type="noConversion"/>
  </si>
  <si>
    <t>㈜에스지월드테크</t>
    <phoneticPr fontId="3" type="noConversion"/>
  </si>
  <si>
    <t>lng 발전소</t>
    <phoneticPr fontId="3" type="noConversion"/>
  </si>
  <si>
    <t>소이산업단지</t>
    <phoneticPr fontId="3" type="noConversion"/>
  </si>
  <si>
    <t>보천산업단지</t>
    <phoneticPr fontId="3" type="noConversion"/>
  </si>
  <si>
    <t>무극지구</t>
    <phoneticPr fontId="3" type="noConversion"/>
  </si>
  <si>
    <t>봉공산업단지</t>
    <phoneticPr fontId="3" type="noConversion"/>
  </si>
  <si>
    <t>신평산업단지</t>
    <phoneticPr fontId="3" type="noConversion"/>
  </si>
  <si>
    <t>대소삼정지구</t>
    <phoneticPr fontId="3" type="noConversion"/>
  </si>
  <si>
    <t>대소무극지구</t>
    <phoneticPr fontId="3" type="noConversion"/>
  </si>
  <si>
    <t>대소산업단지 확장</t>
    <phoneticPr fontId="3" type="noConversion"/>
  </si>
  <si>
    <t>삼성준산업단지</t>
    <phoneticPr fontId="3" type="noConversion"/>
  </si>
  <si>
    <t>태양금속공업 이전</t>
    <phoneticPr fontId="3" type="noConversion"/>
  </si>
  <si>
    <t>상곡농공단지</t>
    <phoneticPr fontId="3" type="noConversion"/>
  </si>
  <si>
    <t>육령일반산업단지</t>
    <phoneticPr fontId="3" type="noConversion"/>
  </si>
  <si>
    <t>사곡산업단지</t>
    <phoneticPr fontId="3" type="noConversion"/>
  </si>
  <si>
    <t>원당산업단지</t>
    <phoneticPr fontId="3" type="noConversion"/>
  </si>
  <si>
    <t>생극택지지구</t>
    <phoneticPr fontId="3" type="noConversion"/>
  </si>
  <si>
    <t>삼성택지지구</t>
    <phoneticPr fontId="3" type="noConversion"/>
  </si>
  <si>
    <t>내부이동 인구 중 처리구역에서 줄어드는 비율 가중치</t>
    <phoneticPr fontId="4" type="noConversion"/>
  </si>
  <si>
    <t>외부유입</t>
    <phoneticPr fontId="4" type="noConversion"/>
  </si>
  <si>
    <t>내부이동</t>
    <phoneticPr fontId="4" type="noConversion"/>
  </si>
  <si>
    <t>음성</t>
    <phoneticPr fontId="4" type="noConversion"/>
  </si>
  <si>
    <t>대소</t>
    <phoneticPr fontId="4" type="noConversion"/>
  </si>
  <si>
    <t>기타</t>
    <phoneticPr fontId="4" type="noConversion"/>
  </si>
  <si>
    <t>외부</t>
    <phoneticPr fontId="3" type="noConversion"/>
  </si>
  <si>
    <t>내부</t>
    <phoneticPr fontId="3" type="noConversion"/>
  </si>
  <si>
    <t>기존</t>
    <phoneticPr fontId="3" type="noConversion"/>
  </si>
  <si>
    <t>행정통별현황</t>
    <phoneticPr fontId="185" type="noConversion"/>
  </si>
  <si>
    <t>2015년 말 기준</t>
    <phoneticPr fontId="185" type="noConversion"/>
  </si>
  <si>
    <t>2016년 말 기준</t>
    <phoneticPr fontId="185" type="noConversion"/>
  </si>
  <si>
    <t>2017년 현재 기준(3월말)</t>
    <phoneticPr fontId="185" type="noConversion"/>
  </si>
  <si>
    <t>행정통(리)명</t>
    <phoneticPr fontId="185" type="noConversion"/>
  </si>
  <si>
    <t>행정리</t>
    <phoneticPr fontId="185" type="noConversion"/>
  </si>
  <si>
    <t>세대수</t>
  </si>
  <si>
    <t>남자</t>
  </si>
  <si>
    <t>여자</t>
  </si>
  <si>
    <t>합</t>
    <phoneticPr fontId="185" type="noConversion"/>
  </si>
  <si>
    <t>평균</t>
    <phoneticPr fontId="185" type="noConversion"/>
  </si>
  <si>
    <t>총계</t>
  </si>
  <si>
    <t>1통</t>
  </si>
  <si>
    <t>오산1리</t>
  </si>
  <si>
    <t>2통</t>
  </si>
  <si>
    <t>오산2리</t>
  </si>
  <si>
    <t>일부</t>
    <phoneticPr fontId="185" type="noConversion"/>
  </si>
  <si>
    <t>3통</t>
  </si>
  <si>
    <t>오산3리</t>
  </si>
  <si>
    <t>4통</t>
  </si>
  <si>
    <t>태생1리</t>
  </si>
  <si>
    <t>5통</t>
  </si>
  <si>
    <t>태생2리</t>
  </si>
  <si>
    <t>6통</t>
  </si>
  <si>
    <t>태생3리</t>
  </si>
  <si>
    <t>7통</t>
  </si>
  <si>
    <t>소석1리</t>
  </si>
  <si>
    <t>8통</t>
  </si>
  <si>
    <t>소석2리</t>
  </si>
  <si>
    <t>9통</t>
  </si>
  <si>
    <t>성본1리</t>
  </si>
  <si>
    <t>10통</t>
  </si>
  <si>
    <t>성본2리</t>
  </si>
  <si>
    <t>11통</t>
  </si>
  <si>
    <t>성본3리</t>
  </si>
  <si>
    <t>12통</t>
  </si>
  <si>
    <t>부윤1리</t>
  </si>
  <si>
    <t>13통</t>
  </si>
  <si>
    <t>수태1리</t>
  </si>
  <si>
    <t>14통</t>
  </si>
  <si>
    <t>수태2리</t>
  </si>
  <si>
    <t>15통</t>
  </si>
  <si>
    <t>수태3리</t>
  </si>
  <si>
    <t>16통</t>
  </si>
  <si>
    <t>삼정1리</t>
  </si>
  <si>
    <t>17통</t>
  </si>
  <si>
    <t>삼정2리</t>
  </si>
  <si>
    <t>18통</t>
  </si>
  <si>
    <t>미곡1리</t>
  </si>
  <si>
    <t>19통</t>
  </si>
  <si>
    <t>삼호1리</t>
  </si>
  <si>
    <t>20통</t>
  </si>
  <si>
    <t>삼호2리</t>
  </si>
  <si>
    <t>21통</t>
  </si>
  <si>
    <t>삼호3리</t>
  </si>
  <si>
    <t>22통</t>
  </si>
  <si>
    <t>내산1리</t>
  </si>
  <si>
    <t>23통</t>
  </si>
  <si>
    <t>내산2리</t>
  </si>
  <si>
    <t>24통</t>
  </si>
  <si>
    <t>오류1리</t>
  </si>
  <si>
    <t>25통</t>
  </si>
  <si>
    <t>오류2리</t>
  </si>
  <si>
    <t>일부</t>
    <phoneticPr fontId="185" type="noConversion"/>
  </si>
  <si>
    <t>26통</t>
  </si>
  <si>
    <t>오류3리</t>
  </si>
  <si>
    <t>27통</t>
  </si>
  <si>
    <t>오류4리</t>
  </si>
  <si>
    <t>28통</t>
  </si>
  <si>
    <t>대풍1리</t>
  </si>
  <si>
    <t>29통</t>
  </si>
  <si>
    <t>대풍2리</t>
  </si>
  <si>
    <t>30통</t>
  </si>
  <si>
    <t>부윤2리</t>
  </si>
  <si>
    <t>31통</t>
  </si>
  <si>
    <t>내산3리</t>
  </si>
  <si>
    <t>32통</t>
  </si>
  <si>
    <t>내산4리</t>
  </si>
  <si>
    <t>33통</t>
  </si>
  <si>
    <t>오류5리</t>
  </si>
  <si>
    <t>34통</t>
  </si>
  <si>
    <t>부윤3리</t>
  </si>
  <si>
    <t>35통</t>
  </si>
  <si>
    <t>태생4리</t>
  </si>
  <si>
    <t>36통</t>
  </si>
  <si>
    <t>태생5리</t>
  </si>
  <si>
    <t>일부 1단계</t>
    <phoneticPr fontId="185" type="noConversion"/>
  </si>
  <si>
    <t>37통</t>
  </si>
  <si>
    <t>태생6리</t>
  </si>
  <si>
    <t>38통</t>
  </si>
  <si>
    <t>태생7리</t>
  </si>
  <si>
    <t>39통</t>
  </si>
  <si>
    <t>태생8리</t>
  </si>
  <si>
    <t>40통</t>
  </si>
  <si>
    <t>성본4리</t>
  </si>
  <si>
    <t>41통</t>
  </si>
  <si>
    <t>미곡2리</t>
  </si>
  <si>
    <t>42통</t>
  </si>
  <si>
    <t>오류6리</t>
  </si>
  <si>
    <t>43통</t>
  </si>
  <si>
    <t>태생9리</t>
  </si>
  <si>
    <t>44통</t>
  </si>
  <si>
    <t>삼정3리</t>
  </si>
  <si>
    <t>45통</t>
  </si>
  <si>
    <t>삼정4리</t>
  </si>
  <si>
    <t>일부2</t>
    <phoneticPr fontId="185" type="noConversion"/>
  </si>
  <si>
    <t>46통</t>
  </si>
  <si>
    <t>오산4리</t>
  </si>
  <si>
    <t>47통</t>
  </si>
  <si>
    <t>삼정5리</t>
  </si>
  <si>
    <t>48통</t>
  </si>
  <si>
    <t>소석3리</t>
  </si>
  <si>
    <t>49통</t>
  </si>
  <si>
    <t>대풍3리</t>
  </si>
  <si>
    <t>50통</t>
  </si>
  <si>
    <t>대풍4리</t>
  </si>
  <si>
    <t>51통</t>
  </si>
  <si>
    <t>태생10리</t>
  </si>
  <si>
    <t>음성군 하수도정비 기본계획(변경)용역 관련 인구현황</t>
    <phoneticPr fontId="3" type="noConversion"/>
  </si>
  <si>
    <t>기준일</t>
    <phoneticPr fontId="3" type="noConversion"/>
  </si>
  <si>
    <t>2015년말 기준</t>
    <phoneticPr fontId="3" type="noConversion"/>
  </si>
  <si>
    <t>2016년말 기준</t>
    <phoneticPr fontId="3" type="noConversion"/>
  </si>
  <si>
    <t>2017년3월말 기준</t>
    <phoneticPr fontId="3" type="noConversion"/>
  </si>
  <si>
    <t>행정통명</t>
    <phoneticPr fontId="3" type="noConversion"/>
  </si>
  <si>
    <t>리명</t>
    <phoneticPr fontId="3" type="noConversion"/>
  </si>
  <si>
    <t>합</t>
    <phoneticPr fontId="3" type="noConversion"/>
  </si>
  <si>
    <t>평균</t>
    <phoneticPr fontId="3" type="noConversion"/>
  </si>
  <si>
    <t>금왕읍 총계</t>
    <phoneticPr fontId="3" type="noConversion"/>
  </si>
  <si>
    <t>무극1리</t>
  </si>
  <si>
    <t>무극2리</t>
  </si>
  <si>
    <t>무극3리</t>
  </si>
  <si>
    <t>무극4리</t>
  </si>
  <si>
    <t>금석1리</t>
  </si>
  <si>
    <t>금석2리</t>
  </si>
  <si>
    <t>정생1리</t>
  </si>
  <si>
    <t>정생2리</t>
  </si>
  <si>
    <t>육령2리</t>
  </si>
  <si>
    <t>백야리</t>
  </si>
  <si>
    <t>용계1리</t>
  </si>
  <si>
    <t>용계2리</t>
  </si>
  <si>
    <t>봉곡1리</t>
  </si>
  <si>
    <t>봉곡2리</t>
  </si>
  <si>
    <t>유촌리</t>
  </si>
  <si>
    <t>삼봉1리</t>
  </si>
  <si>
    <t>삼봉2리</t>
  </si>
  <si>
    <t>유포리</t>
  </si>
  <si>
    <t>오선리</t>
  </si>
  <si>
    <t>도청1리</t>
  </si>
  <si>
    <t>도청2리</t>
  </si>
  <si>
    <t>내송1리</t>
  </si>
  <si>
    <t>내송2리</t>
  </si>
  <si>
    <t>각회1리</t>
  </si>
  <si>
    <t>각회2리</t>
  </si>
  <si>
    <t>쌍봉1리</t>
  </si>
  <si>
    <t>쌍봉2리</t>
  </si>
  <si>
    <t>신평리</t>
  </si>
  <si>
    <t>행제1리</t>
  </si>
  <si>
    <t>행제2리</t>
  </si>
  <si>
    <t>본대1리</t>
  </si>
  <si>
    <t>본대2리</t>
  </si>
  <si>
    <t>내곡리</t>
  </si>
  <si>
    <t>사창리</t>
  </si>
  <si>
    <t>구계1리</t>
  </si>
  <si>
    <t>구계2리</t>
  </si>
  <si>
    <t>호산1리</t>
  </si>
  <si>
    <t>호산2리</t>
  </si>
  <si>
    <t>금석3리</t>
  </si>
  <si>
    <t>본대3리</t>
  </si>
  <si>
    <t>무극5리</t>
  </si>
  <si>
    <t>무극6리</t>
  </si>
  <si>
    <t>무극7리</t>
  </si>
  <si>
    <t>무극8리</t>
  </si>
  <si>
    <t>쌍봉3리</t>
  </si>
  <si>
    <t>내송3리</t>
  </si>
  <si>
    <t>무극9리</t>
  </si>
  <si>
    <t>무극10리</t>
  </si>
  <si>
    <t>무극11리</t>
  </si>
  <si>
    <t>금석4리</t>
  </si>
  <si>
    <t>52통</t>
    <phoneticPr fontId="3" type="noConversion"/>
  </si>
  <si>
    <t>금석5리</t>
    <phoneticPr fontId="3" type="noConversion"/>
  </si>
  <si>
    <t>행정통별현황(2015년 말)</t>
    <phoneticPr fontId="3" type="noConversion"/>
  </si>
  <si>
    <t>행정통별현황(2016년 말)</t>
    <phoneticPr fontId="3" type="noConversion"/>
  </si>
  <si>
    <t>행정통별현황(2017년 4월 11일)</t>
    <phoneticPr fontId="3" type="noConversion"/>
  </si>
  <si>
    <t>행정통(리)명</t>
  </si>
  <si>
    <t>합</t>
    <phoneticPr fontId="3" type="noConversion"/>
  </si>
  <si>
    <t>행정통별현황</t>
  </si>
  <si>
    <t>구분</t>
    <phoneticPr fontId="3" type="noConversion"/>
  </si>
  <si>
    <t>2015년 말 기준</t>
    <phoneticPr fontId="3" type="noConversion"/>
  </si>
  <si>
    <t>2016년 말 기준</t>
    <phoneticPr fontId="3" type="noConversion"/>
  </si>
  <si>
    <t>2017년 현재 기준(3월말)</t>
    <phoneticPr fontId="3" type="noConversion"/>
  </si>
  <si>
    <t>통반</t>
    <phoneticPr fontId="3" type="noConversion"/>
  </si>
  <si>
    <t>합</t>
    <phoneticPr fontId="3" type="noConversion"/>
  </si>
  <si>
    <t>평균</t>
    <phoneticPr fontId="3" type="noConversion"/>
  </si>
  <si>
    <t>총계</t>
    <phoneticPr fontId="3" type="noConversion"/>
  </si>
  <si>
    <t>읍내1</t>
    <phoneticPr fontId="3" type="noConversion"/>
  </si>
  <si>
    <t>읍내2</t>
    <phoneticPr fontId="3" type="noConversion"/>
  </si>
  <si>
    <t>평곡1</t>
    <phoneticPr fontId="3" type="noConversion"/>
  </si>
  <si>
    <t>평곡2</t>
    <phoneticPr fontId="3" type="noConversion"/>
  </si>
  <si>
    <t>평곡3</t>
    <phoneticPr fontId="3" type="noConversion"/>
  </si>
  <si>
    <t>석인1</t>
    <phoneticPr fontId="3" type="noConversion"/>
  </si>
  <si>
    <t>석인2</t>
    <phoneticPr fontId="3" type="noConversion"/>
  </si>
  <si>
    <t>한벌1</t>
    <phoneticPr fontId="3" type="noConversion"/>
  </si>
  <si>
    <t>한벌2</t>
    <phoneticPr fontId="3" type="noConversion"/>
  </si>
  <si>
    <t>용산1</t>
    <phoneticPr fontId="3" type="noConversion"/>
  </si>
  <si>
    <t>일부</t>
    <phoneticPr fontId="3" type="noConversion"/>
  </si>
  <si>
    <t>용산2</t>
    <phoneticPr fontId="3" type="noConversion"/>
  </si>
  <si>
    <t>용산3</t>
  </si>
  <si>
    <t>용산4</t>
  </si>
  <si>
    <t>용산5</t>
  </si>
  <si>
    <t>용산6</t>
  </si>
  <si>
    <t>사정1</t>
    <phoneticPr fontId="3" type="noConversion"/>
  </si>
  <si>
    <t>사정2</t>
    <phoneticPr fontId="3" type="noConversion"/>
  </si>
  <si>
    <t>감우</t>
    <phoneticPr fontId="3" type="noConversion"/>
  </si>
  <si>
    <t>소여1</t>
    <phoneticPr fontId="3" type="noConversion"/>
  </si>
  <si>
    <t>소여2</t>
    <phoneticPr fontId="3" type="noConversion"/>
  </si>
  <si>
    <t>신천1</t>
    <phoneticPr fontId="3" type="noConversion"/>
  </si>
  <si>
    <t>52통</t>
  </si>
  <si>
    <t>신천2</t>
    <phoneticPr fontId="3" type="noConversion"/>
  </si>
  <si>
    <t>53통</t>
  </si>
  <si>
    <t>54통</t>
  </si>
  <si>
    <t>55통</t>
  </si>
  <si>
    <t>56통</t>
  </si>
  <si>
    <t>57통</t>
  </si>
  <si>
    <t>61통</t>
  </si>
  <si>
    <t>초천1</t>
    <phoneticPr fontId="3" type="noConversion"/>
  </si>
  <si>
    <t>62통</t>
  </si>
  <si>
    <t>초천2</t>
    <phoneticPr fontId="3" type="noConversion"/>
  </si>
  <si>
    <t>63통</t>
  </si>
  <si>
    <t>초천3</t>
  </si>
  <si>
    <t>64통</t>
  </si>
  <si>
    <t>초천4</t>
  </si>
  <si>
    <t>66통</t>
  </si>
  <si>
    <t>동음1</t>
    <phoneticPr fontId="3" type="noConversion"/>
  </si>
  <si>
    <t>67통</t>
  </si>
  <si>
    <t>동음2</t>
    <phoneticPr fontId="3" type="noConversion"/>
  </si>
  <si>
    <t>71통</t>
  </si>
  <si>
    <t>삼생1</t>
    <phoneticPr fontId="3" type="noConversion"/>
  </si>
  <si>
    <t>72통</t>
  </si>
  <si>
    <t>삼생2</t>
    <phoneticPr fontId="3" type="noConversion"/>
  </si>
  <si>
    <t>73통</t>
  </si>
  <si>
    <t>삼생3</t>
  </si>
  <si>
    <t>74통</t>
  </si>
  <si>
    <t>삼생4</t>
  </si>
  <si>
    <t>행정통별현황
   (감곡면)</t>
    <phoneticPr fontId="3" type="noConversion"/>
  </si>
  <si>
    <t>2015년 말 기준</t>
    <phoneticPr fontId="3" type="noConversion"/>
  </si>
  <si>
    <t>2016년 말 기준</t>
    <phoneticPr fontId="3" type="noConversion"/>
  </si>
  <si>
    <t>2017년 현재 기준</t>
    <phoneticPr fontId="3" type="noConversion"/>
  </si>
  <si>
    <t>행정통별현황</t>
    <phoneticPr fontId="3" type="noConversion"/>
  </si>
  <si>
    <t>일부</t>
    <phoneticPr fontId="3" type="noConversion"/>
  </si>
  <si>
    <t>일부2단계</t>
    <phoneticPr fontId="3" type="noConversion"/>
  </si>
  <si>
    <t>일부1단계</t>
    <phoneticPr fontId="3" type="noConversion"/>
  </si>
  <si>
    <t>소규모</t>
    <phoneticPr fontId="3" type="noConversion"/>
  </si>
  <si>
    <t xml:space="preserve">행정통별현황
</t>
    <phoneticPr fontId="3" type="noConversion"/>
  </si>
  <si>
    <t>행정리명</t>
    <phoneticPr fontId="3" type="noConversion"/>
  </si>
  <si>
    <t>1통</t>
    <phoneticPr fontId="3" type="noConversion"/>
  </si>
  <si>
    <t>대장1리</t>
    <phoneticPr fontId="3" type="noConversion"/>
  </si>
  <si>
    <t>대장2리</t>
    <phoneticPr fontId="3" type="noConversion"/>
  </si>
  <si>
    <t>후미1리</t>
    <phoneticPr fontId="3" type="noConversion"/>
  </si>
  <si>
    <t>후미2리</t>
    <phoneticPr fontId="3" type="noConversion"/>
  </si>
  <si>
    <t>후미3리</t>
    <phoneticPr fontId="3" type="noConversion"/>
  </si>
  <si>
    <t>중동1리</t>
    <phoneticPr fontId="3" type="noConversion"/>
  </si>
  <si>
    <t>중동2리</t>
    <phoneticPr fontId="3" type="noConversion"/>
  </si>
  <si>
    <t>중동3리</t>
    <phoneticPr fontId="3" type="noConversion"/>
  </si>
  <si>
    <t>중동4리</t>
    <phoneticPr fontId="3" type="noConversion"/>
  </si>
  <si>
    <t>문등1리</t>
    <phoneticPr fontId="3" type="noConversion"/>
  </si>
  <si>
    <t>문등2리</t>
    <phoneticPr fontId="3" type="noConversion"/>
  </si>
  <si>
    <t>갑산1리</t>
    <phoneticPr fontId="3" type="noConversion"/>
  </si>
  <si>
    <t>갑산2리</t>
    <phoneticPr fontId="3" type="noConversion"/>
  </si>
  <si>
    <t>봉전1리</t>
    <phoneticPr fontId="3" type="noConversion"/>
  </si>
  <si>
    <t>봉전2리</t>
    <phoneticPr fontId="3" type="noConversion"/>
  </si>
  <si>
    <t>금고1리</t>
    <phoneticPr fontId="3" type="noConversion"/>
  </si>
  <si>
    <t>금고2리</t>
    <phoneticPr fontId="3" type="noConversion"/>
  </si>
  <si>
    <t>충도1리</t>
    <phoneticPr fontId="3" type="noConversion"/>
  </si>
  <si>
    <t>충도2리</t>
    <phoneticPr fontId="3" type="noConversion"/>
  </si>
  <si>
    <t>충도3리</t>
    <phoneticPr fontId="3" type="noConversion"/>
  </si>
  <si>
    <t>충도4리</t>
    <phoneticPr fontId="3" type="noConversion"/>
  </si>
  <si>
    <t>비산1리</t>
    <phoneticPr fontId="3" type="noConversion"/>
  </si>
  <si>
    <t>비산2리</t>
    <phoneticPr fontId="3" type="noConversion"/>
  </si>
  <si>
    <t>비산3리</t>
    <phoneticPr fontId="3" type="noConversion"/>
  </si>
  <si>
    <t>비산4리</t>
    <phoneticPr fontId="3" type="noConversion"/>
  </si>
  <si>
    <t>26통</t>
    <phoneticPr fontId="3" type="noConversion"/>
  </si>
  <si>
    <t>후미4리</t>
    <phoneticPr fontId="3" type="noConversion"/>
  </si>
  <si>
    <t>보천1리</t>
  </si>
  <si>
    <t>보천2리</t>
  </si>
  <si>
    <t>보천3리</t>
  </si>
  <si>
    <t>보룡1리</t>
  </si>
  <si>
    <t>보룡2리</t>
  </si>
  <si>
    <t>마송1리</t>
  </si>
  <si>
    <t>마송2리</t>
  </si>
  <si>
    <t>마송3리</t>
  </si>
  <si>
    <t>상당1리</t>
  </si>
  <si>
    <t>상당2리</t>
  </si>
  <si>
    <t>하당1리</t>
  </si>
  <si>
    <t>하당2리</t>
  </si>
  <si>
    <t>상노리</t>
  </si>
  <si>
    <t>하노1리</t>
  </si>
  <si>
    <t>하노2리</t>
  </si>
  <si>
    <t>하노3리</t>
  </si>
  <si>
    <t>구안리</t>
  </si>
  <si>
    <t>주봉1리</t>
  </si>
  <si>
    <t>주봉2리</t>
  </si>
  <si>
    <t>주봉3리</t>
  </si>
  <si>
    <t>문암1리</t>
  </si>
  <si>
    <t>문암2리</t>
  </si>
  <si>
    <t>문암3리</t>
  </si>
  <si>
    <t>문암4리</t>
  </si>
  <si>
    <t>조촌1리</t>
  </si>
  <si>
    <t>조촌2리</t>
  </si>
  <si>
    <t>조촌3리</t>
  </si>
  <si>
    <t>삼용1리</t>
  </si>
  <si>
    <t>삼용2리</t>
  </si>
  <si>
    <t>덕정리</t>
  </si>
  <si>
    <t>2016외국인</t>
    <phoneticPr fontId="3" type="noConversion"/>
  </si>
  <si>
    <t>2017외국인</t>
    <phoneticPr fontId="3" type="noConversion"/>
  </si>
  <si>
    <t>쌍정1리</t>
  </si>
  <si>
    <t>쌍정2리</t>
  </si>
  <si>
    <t>쌍정3리</t>
  </si>
  <si>
    <t>쌍정4리</t>
  </si>
  <si>
    <t>쌍정5리</t>
  </si>
  <si>
    <t>인곡1리</t>
  </si>
  <si>
    <t>마산1리</t>
  </si>
  <si>
    <t>마산2리</t>
  </si>
  <si>
    <t>봉현1리</t>
  </si>
  <si>
    <t>봉현2리</t>
  </si>
  <si>
    <t>용촌1리</t>
  </si>
  <si>
    <t>용촌2리</t>
  </si>
  <si>
    <t>용촌3리</t>
  </si>
  <si>
    <t>신돈1리</t>
  </si>
  <si>
    <t>신돈2리</t>
  </si>
  <si>
    <t>본성1리</t>
  </si>
  <si>
    <t>본성2리</t>
  </si>
  <si>
    <t>두성리</t>
  </si>
  <si>
    <t>통동리</t>
  </si>
  <si>
    <t>군자리</t>
  </si>
  <si>
    <t>동성1리</t>
  </si>
  <si>
    <t>동성2리</t>
  </si>
  <si>
    <t>동성3리</t>
  </si>
  <si>
    <t>99통</t>
  </si>
  <si>
    <t>덕정1리</t>
  </si>
  <si>
    <t>덕정2리</t>
  </si>
  <si>
    <t>덕정3리</t>
  </si>
  <si>
    <t>덕정4리</t>
  </si>
  <si>
    <t>덕정5리</t>
  </si>
  <si>
    <t>덕정6리</t>
  </si>
  <si>
    <t>덕정7리</t>
  </si>
  <si>
    <t>덕정8리</t>
  </si>
  <si>
    <t>덕정9리</t>
  </si>
  <si>
    <t>덕정10리</t>
  </si>
  <si>
    <t>양덕1리</t>
  </si>
  <si>
    <t>양덕2리</t>
  </si>
  <si>
    <t>양덕3리</t>
  </si>
  <si>
    <t>대사리</t>
  </si>
  <si>
    <t>용성1리</t>
  </si>
  <si>
    <t>용성2리</t>
  </si>
  <si>
    <t>용성3리</t>
  </si>
  <si>
    <t>상곡1리</t>
  </si>
  <si>
    <t>상곡2리</t>
  </si>
  <si>
    <t>청용1리</t>
  </si>
  <si>
    <t>청용2리</t>
  </si>
  <si>
    <t>청용3리</t>
  </si>
  <si>
    <t>천평1리</t>
  </si>
  <si>
    <t>천평2리</t>
  </si>
  <si>
    <t>천평3리</t>
  </si>
  <si>
    <t>선정1리</t>
  </si>
  <si>
    <t>선정2리</t>
  </si>
  <si>
    <t>선정3리</t>
  </si>
  <si>
    <t>선정4리</t>
  </si>
  <si>
    <t>대정1리</t>
  </si>
  <si>
    <t>대정2리</t>
  </si>
  <si>
    <t>능산1리</t>
  </si>
  <si>
    <t>능산2리</t>
  </si>
  <si>
    <t>용대1리</t>
  </si>
  <si>
    <t>용대2리</t>
  </si>
  <si>
    <t>대야리</t>
  </si>
  <si>
    <t xml:space="preserve">1통 </t>
  </si>
  <si>
    <t xml:space="preserve">2통 </t>
  </si>
  <si>
    <t xml:space="preserve">3통 </t>
  </si>
  <si>
    <t xml:space="preserve">4통 </t>
  </si>
  <si>
    <t xml:space="preserve">5통 </t>
  </si>
  <si>
    <t xml:space="preserve">6통 </t>
  </si>
  <si>
    <t xml:space="preserve">7통 </t>
  </si>
  <si>
    <t xml:space="preserve">8통 </t>
  </si>
  <si>
    <t xml:space="preserve">9통 </t>
  </si>
  <si>
    <t xml:space="preserve">10통 </t>
  </si>
  <si>
    <t xml:space="preserve">11통 </t>
  </si>
  <si>
    <t xml:space="preserve">12통 </t>
  </si>
  <si>
    <t xml:space="preserve">13통 </t>
  </si>
  <si>
    <t xml:space="preserve">14통 </t>
  </si>
  <si>
    <t xml:space="preserve">15통 </t>
  </si>
  <si>
    <t xml:space="preserve">16통 </t>
  </si>
  <si>
    <t xml:space="preserve">17통 </t>
  </si>
  <si>
    <t xml:space="preserve">18통 </t>
  </si>
  <si>
    <t xml:space="preserve">19통 </t>
  </si>
  <si>
    <t xml:space="preserve">20통 </t>
  </si>
  <si>
    <t xml:space="preserve">21통 </t>
  </si>
  <si>
    <t xml:space="preserve">22통 </t>
  </si>
  <si>
    <t xml:space="preserve">23통 </t>
  </si>
  <si>
    <t xml:space="preserve">24통 </t>
  </si>
  <si>
    <t xml:space="preserve">25통 </t>
  </si>
  <si>
    <t xml:space="preserve">26통 </t>
  </si>
  <si>
    <t xml:space="preserve">27통 </t>
  </si>
  <si>
    <t xml:space="preserve">28통 </t>
  </si>
  <si>
    <t>신양1리</t>
  </si>
  <si>
    <t>신양2리</t>
  </si>
  <si>
    <t>신양3리</t>
  </si>
  <si>
    <t>신양4리</t>
  </si>
  <si>
    <t>병암1리</t>
  </si>
  <si>
    <t>병암2리</t>
  </si>
  <si>
    <t>병암3리</t>
  </si>
  <si>
    <t>병암4리</t>
  </si>
  <si>
    <t>도신리</t>
  </si>
  <si>
    <t>관성1리</t>
  </si>
  <si>
    <t>관성2리</t>
  </si>
  <si>
    <t>관성3리</t>
  </si>
  <si>
    <t>관성4리</t>
  </si>
  <si>
    <t>팔성1리</t>
  </si>
  <si>
    <t>팔성2리</t>
  </si>
  <si>
    <t>팔성3리</t>
  </si>
  <si>
    <t>송곡1리</t>
  </si>
  <si>
    <t>송곡2리</t>
  </si>
  <si>
    <t>임곡리</t>
  </si>
  <si>
    <t>방축리</t>
  </si>
  <si>
    <t>차평1리</t>
  </si>
  <si>
    <t>차평2리</t>
  </si>
  <si>
    <t>차곡리</t>
  </si>
  <si>
    <t>오생1리</t>
  </si>
  <si>
    <t>오생2리</t>
  </si>
  <si>
    <t>생1리</t>
  </si>
  <si>
    <t>생2리</t>
  </si>
  <si>
    <t>생3리</t>
  </si>
  <si>
    <t>지번주소</t>
  </si>
  <si>
    <t xml:space="preserve">29통 </t>
  </si>
  <si>
    <t xml:space="preserve">30통 </t>
  </si>
  <si>
    <t xml:space="preserve">31통 </t>
  </si>
  <si>
    <t xml:space="preserve">32통 </t>
  </si>
  <si>
    <t xml:space="preserve">33통 </t>
  </si>
  <si>
    <t xml:space="preserve">34통 </t>
  </si>
  <si>
    <t xml:space="preserve">35통 </t>
  </si>
  <si>
    <t xml:space="preserve">36통 </t>
  </si>
  <si>
    <t xml:space="preserve">37통 </t>
  </si>
  <si>
    <t xml:space="preserve">38통 </t>
  </si>
  <si>
    <t>오향1리</t>
  </si>
  <si>
    <t>오향2리</t>
  </si>
  <si>
    <t>오향3리</t>
  </si>
  <si>
    <t>오향4리</t>
  </si>
  <si>
    <t>오향5리</t>
  </si>
  <si>
    <t>오향6리</t>
  </si>
  <si>
    <t>주천1리</t>
  </si>
  <si>
    <t>원당1리</t>
  </si>
  <si>
    <t>원당2리</t>
  </si>
  <si>
    <t>상평1리</t>
  </si>
  <si>
    <t>상평2리</t>
  </si>
  <si>
    <t>월정리</t>
  </si>
  <si>
    <t>영산1리</t>
  </si>
  <si>
    <t>영산2리</t>
  </si>
  <si>
    <t>사곡1리</t>
  </si>
  <si>
    <t>사곡2리</t>
  </si>
  <si>
    <t>문촌1리</t>
  </si>
  <si>
    <t>문촌2리</t>
  </si>
  <si>
    <t>문촌3리</t>
  </si>
  <si>
    <t>문촌4리</t>
  </si>
  <si>
    <t>오궁리</t>
  </si>
  <si>
    <t>상우1리</t>
  </si>
  <si>
    <t>상우2리</t>
  </si>
  <si>
    <t>왕장1리</t>
  </si>
  <si>
    <t>왕장2리</t>
  </si>
  <si>
    <t>왕장3리</t>
  </si>
  <si>
    <t>왕장4리</t>
  </si>
  <si>
    <t>왕장5리</t>
  </si>
  <si>
    <t>단평1리</t>
  </si>
  <si>
    <t>단평2리</t>
  </si>
  <si>
    <t>오향7리</t>
  </si>
  <si>
    <t>상우3리</t>
  </si>
  <si>
    <t>문촌5리</t>
  </si>
  <si>
    <t>오향8리</t>
  </si>
  <si>
    <t>원당3리</t>
  </si>
  <si>
    <t>오향9리</t>
  </si>
  <si>
    <t>주천2리</t>
  </si>
  <si>
    <t>오향10리</t>
  </si>
  <si>
    <t>육령1리</t>
    <phoneticPr fontId="3" type="noConversion"/>
  </si>
  <si>
    <t>일부?</t>
    <phoneticPr fontId="3" type="noConversion"/>
  </si>
  <si>
    <t>1,2단계</t>
    <phoneticPr fontId="3" type="noConversion"/>
  </si>
  <si>
    <t>2단계</t>
    <phoneticPr fontId="3" type="noConversion"/>
  </si>
  <si>
    <t>1단계</t>
    <phoneticPr fontId="3" type="noConversion"/>
  </si>
  <si>
    <t>소이</t>
    <phoneticPr fontId="3" type="noConversion"/>
  </si>
  <si>
    <t>소이</t>
    <phoneticPr fontId="3" type="noConversion"/>
  </si>
  <si>
    <t>음성1,충도1</t>
    <phoneticPr fontId="3" type="noConversion"/>
  </si>
  <si>
    <t>충도2</t>
    <phoneticPr fontId="3" type="noConversion"/>
  </si>
  <si>
    <t>비산</t>
    <phoneticPr fontId="3" type="noConversion"/>
  </si>
  <si>
    <t>중동</t>
    <phoneticPr fontId="3" type="noConversion"/>
  </si>
  <si>
    <t>조촌</t>
    <phoneticPr fontId="3" type="noConversion"/>
  </si>
  <si>
    <t>음성2</t>
    <phoneticPr fontId="3" type="noConversion"/>
  </si>
  <si>
    <t>하당,음성2</t>
    <phoneticPr fontId="3" type="noConversion"/>
  </si>
  <si>
    <t>원남</t>
    <phoneticPr fontId="3" type="noConversion"/>
  </si>
  <si>
    <t>내부이동</t>
    <phoneticPr fontId="3" type="noConversion"/>
  </si>
  <si>
    <t>외부유입율</t>
    <phoneticPr fontId="3" type="noConversion"/>
  </si>
  <si>
    <t>처리구역&gt;처리구역이동</t>
    <phoneticPr fontId="3" type="noConversion"/>
  </si>
  <si>
    <t>처리구역외&gt;처리구역이동</t>
    <phoneticPr fontId="3" type="noConversion"/>
  </si>
  <si>
    <t>음성</t>
    <phoneticPr fontId="3" type="noConversion"/>
  </si>
  <si>
    <t>금왕</t>
    <phoneticPr fontId="3" type="noConversion"/>
  </si>
  <si>
    <t>대소</t>
    <phoneticPr fontId="3" type="noConversion"/>
  </si>
  <si>
    <t>소이</t>
    <phoneticPr fontId="3" type="noConversion"/>
  </si>
  <si>
    <t>원남</t>
    <phoneticPr fontId="3" type="noConversion"/>
  </si>
  <si>
    <t>맹동</t>
    <phoneticPr fontId="3" type="noConversion"/>
  </si>
  <si>
    <t>삼성</t>
    <phoneticPr fontId="3" type="noConversion"/>
  </si>
  <si>
    <t>생극</t>
    <phoneticPr fontId="3" type="noConversion"/>
  </si>
  <si>
    <t>감곡</t>
    <phoneticPr fontId="3" type="noConversion"/>
  </si>
  <si>
    <t>보급율</t>
    <phoneticPr fontId="3" type="noConversion"/>
  </si>
  <si>
    <t>남은 인원</t>
    <phoneticPr fontId="3" type="noConversion"/>
  </si>
  <si>
    <t>유입인구</t>
    <phoneticPr fontId="3" type="noConversion"/>
  </si>
  <si>
    <t>양덕1</t>
    <phoneticPr fontId="3" type="noConversion"/>
  </si>
  <si>
    <t>기승인/
신규</t>
    <phoneticPr fontId="4" type="noConversion"/>
  </si>
  <si>
    <t>당초
정비
반영</t>
    <phoneticPr fontId="4" type="noConversion"/>
  </si>
  <si>
    <t>오총
계획
반영</t>
    <phoneticPr fontId="4" type="noConversion"/>
  </si>
  <si>
    <t>처리구역</t>
    <phoneticPr fontId="4" type="noConversion"/>
  </si>
  <si>
    <t>구역명</t>
    <phoneticPr fontId="4" type="noConversion"/>
  </si>
  <si>
    <t>총 수용인구
(계획인구인)</t>
    <phoneticPr fontId="4" type="noConversion"/>
  </si>
  <si>
    <t>입주율
(%)</t>
    <phoneticPr fontId="4" type="noConversion"/>
  </si>
  <si>
    <t>외부
유입율
(%)</t>
    <phoneticPr fontId="4" type="noConversion"/>
  </si>
  <si>
    <t>적용
인구
(인)</t>
    <phoneticPr fontId="4" type="noConversion"/>
  </si>
  <si>
    <t>목표년도</t>
    <phoneticPr fontId="4" type="noConversion"/>
  </si>
  <si>
    <t>원인자부담금</t>
    <phoneticPr fontId="4" type="noConversion"/>
  </si>
  <si>
    <t>부과협의</t>
    <phoneticPr fontId="4" type="noConversion"/>
  </si>
  <si>
    <t>납부여부</t>
    <phoneticPr fontId="4" type="noConversion"/>
  </si>
  <si>
    <t>부과시기</t>
    <phoneticPr fontId="4" type="noConversion"/>
  </si>
  <si>
    <t>실시
계획
승인</t>
    <phoneticPr fontId="4" type="noConversion"/>
  </si>
  <si>
    <t>대소</t>
    <phoneticPr fontId="4" type="noConversion"/>
  </si>
  <si>
    <t>혁신
도시</t>
    <phoneticPr fontId="4" type="noConversion"/>
  </si>
  <si>
    <t>금왕</t>
    <phoneticPr fontId="4" type="noConversion"/>
  </si>
  <si>
    <t>맹동</t>
    <phoneticPr fontId="4" type="noConversion"/>
  </si>
  <si>
    <t>대소</t>
    <phoneticPr fontId="4" type="noConversion"/>
  </si>
  <si>
    <t>생극</t>
    <phoneticPr fontId="4" type="noConversion"/>
  </si>
  <si>
    <t>-</t>
    <phoneticPr fontId="4" type="noConversion"/>
  </si>
  <si>
    <t>미실시</t>
    <phoneticPr fontId="4" type="noConversion"/>
  </si>
  <si>
    <t>미납부</t>
    <phoneticPr fontId="4" type="noConversion"/>
  </si>
  <si>
    <t>기납부</t>
    <phoneticPr fontId="4" type="noConversion"/>
  </si>
  <si>
    <t>증설3단계</t>
    <phoneticPr fontId="4" type="noConversion"/>
  </si>
  <si>
    <t>기승인</t>
    <phoneticPr fontId="4" type="noConversion"/>
  </si>
  <si>
    <r>
      <t xml:space="preserve">대소면 오류리 </t>
    </r>
    <r>
      <rPr>
        <sz val="10"/>
        <color rgb="FF000000"/>
        <rFont val="돋움"/>
        <family val="3"/>
        <charset val="129"/>
      </rPr>
      <t xml:space="preserve">856번지 </t>
    </r>
    <phoneticPr fontId="3" type="noConversion"/>
  </si>
  <si>
    <r>
      <t xml:space="preserve">금왕읍 금석리 </t>
    </r>
    <r>
      <rPr>
        <sz val="10"/>
        <color rgb="FF000000"/>
        <rFont val="돋움"/>
        <family val="3"/>
        <charset val="129"/>
      </rPr>
      <t>A3블럭</t>
    </r>
    <phoneticPr fontId="3" type="noConversion"/>
  </si>
  <si>
    <r>
      <t xml:space="preserve">금왕읍 금석리 </t>
    </r>
    <r>
      <rPr>
        <sz val="10"/>
        <color rgb="FF000000"/>
        <rFont val="돋움"/>
        <family val="3"/>
        <charset val="129"/>
      </rPr>
      <t>A2블럭</t>
    </r>
    <phoneticPr fontId="3" type="noConversion"/>
  </si>
  <si>
    <r>
      <t xml:space="preserve">대소면 태생리 </t>
    </r>
    <r>
      <rPr>
        <sz val="10"/>
        <color rgb="FF000000"/>
        <rFont val="돋움"/>
        <family val="3"/>
        <charset val="129"/>
      </rPr>
      <t>549-21번지 일원</t>
    </r>
    <phoneticPr fontId="3" type="noConversion"/>
  </si>
  <si>
    <r>
      <t xml:space="preserve">음성읍 읍내리 </t>
    </r>
    <r>
      <rPr>
        <sz val="10"/>
        <color rgb="FF000000"/>
        <rFont val="돋움"/>
        <family val="3"/>
        <charset val="129"/>
      </rPr>
      <t>366-1번지 일원</t>
    </r>
    <phoneticPr fontId="3" type="noConversion"/>
  </si>
  <si>
    <r>
      <t xml:space="preserve">맹동면 두성리 충북혁신도시 </t>
    </r>
    <r>
      <rPr>
        <sz val="10"/>
        <color rgb="FF000000"/>
        <rFont val="돋움"/>
        <family val="3"/>
        <charset val="129"/>
      </rPr>
      <t>C1블럭</t>
    </r>
    <phoneticPr fontId="3" type="noConversion"/>
  </si>
  <si>
    <r>
      <t xml:space="preserve">음성읍 읍내리 </t>
    </r>
    <r>
      <rPr>
        <sz val="10"/>
        <color rgb="FF000000"/>
        <rFont val="돋움"/>
        <family val="3"/>
        <charset val="129"/>
      </rPr>
      <t>352-8번지 일원</t>
    </r>
    <phoneticPr fontId="3" type="noConversion"/>
  </si>
  <si>
    <r>
      <t xml:space="preserve">음성읍 읍내리 </t>
    </r>
    <r>
      <rPr>
        <sz val="10"/>
        <color rgb="FF000000"/>
        <rFont val="돋움"/>
        <family val="3"/>
        <charset val="129"/>
      </rPr>
      <t>355-7번지</t>
    </r>
    <phoneticPr fontId="3" type="noConversion"/>
  </si>
  <si>
    <r>
      <t xml:space="preserve">음성읍 읍내리 </t>
    </r>
    <r>
      <rPr>
        <sz val="10"/>
        <color rgb="FF000000"/>
        <rFont val="돋움"/>
        <family val="3"/>
        <charset val="129"/>
      </rPr>
      <t>400-21번지 일원</t>
    </r>
    <phoneticPr fontId="3" type="noConversion"/>
  </si>
  <si>
    <r>
      <t xml:space="preserve">대소면 소석리 </t>
    </r>
    <r>
      <rPr>
        <sz val="10"/>
        <color rgb="FF000000"/>
        <rFont val="돋움"/>
        <family val="3"/>
        <charset val="129"/>
      </rPr>
      <t>23-1번지 일원</t>
    </r>
    <phoneticPr fontId="3" type="noConversion"/>
  </si>
  <si>
    <r>
      <t xml:space="preserve">음성읍 평곡리 </t>
    </r>
    <r>
      <rPr>
        <sz val="10"/>
        <color rgb="FF000000"/>
        <rFont val="돋움"/>
        <family val="3"/>
        <charset val="129"/>
      </rPr>
      <t>836-1번지 일원</t>
    </r>
    <phoneticPr fontId="3" type="noConversion"/>
  </si>
  <si>
    <r>
      <t xml:space="preserve">음성읍 읍내리 </t>
    </r>
    <r>
      <rPr>
        <sz val="10"/>
        <color rgb="FF000000"/>
        <rFont val="돋움"/>
        <family val="3"/>
        <charset val="129"/>
      </rPr>
      <t xml:space="preserve">620-35번지 일원 </t>
    </r>
    <phoneticPr fontId="3" type="noConversion"/>
  </si>
  <si>
    <r>
      <t xml:space="preserve">감곡면 오향리 </t>
    </r>
    <r>
      <rPr>
        <sz val="10"/>
        <color rgb="FF000000"/>
        <rFont val="돋움"/>
        <family val="3"/>
        <charset val="129"/>
      </rPr>
      <t xml:space="preserve">582-3번지 일원 </t>
    </r>
    <phoneticPr fontId="3" type="noConversion"/>
  </si>
  <si>
    <r>
      <t>대소면 소석리 산</t>
    </r>
    <r>
      <rPr>
        <sz val="10"/>
        <color rgb="FF000000"/>
        <rFont val="돋움"/>
        <family val="3"/>
        <charset val="129"/>
      </rPr>
      <t>34-9번지 일원</t>
    </r>
    <phoneticPr fontId="3" type="noConversion"/>
  </si>
  <si>
    <r>
      <t xml:space="preserve">감곡면 오향리 </t>
    </r>
    <r>
      <rPr>
        <sz val="10"/>
        <color rgb="FF000000"/>
        <rFont val="돋움"/>
        <family val="3"/>
        <charset val="129"/>
      </rPr>
      <t>585-2번지 일원</t>
    </r>
    <phoneticPr fontId="3" type="noConversion"/>
  </si>
  <si>
    <r>
      <t xml:space="preserve">생극면 신양리 </t>
    </r>
    <r>
      <rPr>
        <sz val="10"/>
        <color rgb="FF000000"/>
        <rFont val="돋움"/>
        <family val="3"/>
        <charset val="129"/>
      </rPr>
      <t>465-5번지 일원</t>
    </r>
    <phoneticPr fontId="3" type="noConversion"/>
  </si>
  <si>
    <r>
      <t xml:space="preserve">금왕읍 무극리 </t>
    </r>
    <r>
      <rPr>
        <sz val="10"/>
        <color rgb="FF000000"/>
        <rFont val="돋움"/>
        <family val="3"/>
        <charset val="129"/>
      </rPr>
      <t xml:space="preserve">504-5번지 일원 </t>
    </r>
    <phoneticPr fontId="3" type="noConversion"/>
  </si>
  <si>
    <r>
      <t xml:space="preserve">감곡면 오향리 </t>
    </r>
    <r>
      <rPr>
        <sz val="10"/>
        <color rgb="FF000000"/>
        <rFont val="돋움"/>
        <family val="3"/>
        <charset val="129"/>
      </rPr>
      <t>816-1번지 인근</t>
    </r>
    <phoneticPr fontId="3" type="noConversion"/>
  </si>
  <si>
    <r>
      <t>대소면 소석리 산</t>
    </r>
    <r>
      <rPr>
        <sz val="10"/>
        <color rgb="FF000000"/>
        <rFont val="돋움"/>
        <family val="3"/>
        <charset val="129"/>
      </rPr>
      <t>25-1번지 일원</t>
    </r>
    <phoneticPr fontId="3" type="noConversion"/>
  </si>
  <si>
    <r>
      <t xml:space="preserve">삼성면 덕정리 </t>
    </r>
    <r>
      <rPr>
        <sz val="10"/>
        <color rgb="FF000000"/>
        <rFont val="돋움"/>
        <family val="3"/>
        <charset val="129"/>
      </rPr>
      <t>774번지 일원</t>
    </r>
    <phoneticPr fontId="3" type="noConversion"/>
  </si>
  <si>
    <t>O</t>
    <phoneticPr fontId="4" type="noConversion"/>
  </si>
  <si>
    <t>X</t>
    <phoneticPr fontId="4" type="noConversion"/>
  </si>
  <si>
    <t>충북도고시
제2008-83호</t>
    <phoneticPr fontId="4" type="noConversion"/>
  </si>
  <si>
    <t>X</t>
    <phoneticPr fontId="4" type="noConversion"/>
  </si>
  <si>
    <t>충북도고시
제2014-132호</t>
    <phoneticPr fontId="4" type="noConversion"/>
  </si>
  <si>
    <t>음성군고시
제2011-30호</t>
    <phoneticPr fontId="4" type="noConversion"/>
  </si>
  <si>
    <t>음성군고시
제2015-55호</t>
    <phoneticPr fontId="4" type="noConversion"/>
  </si>
  <si>
    <t>음성군고시
제2015-호</t>
    <phoneticPr fontId="4" type="noConversion"/>
  </si>
  <si>
    <t>음성군고시
제2015-86호</t>
    <phoneticPr fontId="4" type="noConversion"/>
  </si>
  <si>
    <t>음성군고시
제2015-108호</t>
    <phoneticPr fontId="4" type="noConversion"/>
  </si>
  <si>
    <t>음성군고시
제2016-137호</t>
    <phoneticPr fontId="4" type="noConversion"/>
  </si>
  <si>
    <t>음성군고시
제2016-118호</t>
    <phoneticPr fontId="4" type="noConversion"/>
  </si>
  <si>
    <t>음성군고시
제2016-136호</t>
    <phoneticPr fontId="4" type="noConversion"/>
  </si>
  <si>
    <t>음성군고시
제2016-309호</t>
    <phoneticPr fontId="4" type="noConversion"/>
  </si>
  <si>
    <t>음성군고시
제2012-1042</t>
    <phoneticPr fontId="4" type="noConversion"/>
  </si>
  <si>
    <t>음성군고시
제2017-68호</t>
    <phoneticPr fontId="4" type="noConversion"/>
  </si>
  <si>
    <t>음성군고시
제2015-355호</t>
    <phoneticPr fontId="4" type="noConversion"/>
  </si>
  <si>
    <t>음성군고시
제2016-117호</t>
    <phoneticPr fontId="4" type="noConversion"/>
  </si>
  <si>
    <t>음성군고시
제2017-75호</t>
    <phoneticPr fontId="4" type="noConversion"/>
  </si>
  <si>
    <t>음성군고시
제2015-149호</t>
    <phoneticPr fontId="4" type="noConversion"/>
  </si>
  <si>
    <t>음성군고시
제2015-107호</t>
    <phoneticPr fontId="4" type="noConversion"/>
  </si>
  <si>
    <t>음성군고시
제2016-194호</t>
    <phoneticPr fontId="4" type="noConversion"/>
  </si>
  <si>
    <t>음성군고시
제2016-133호</t>
    <phoneticPr fontId="4" type="noConversion"/>
  </si>
  <si>
    <t>음성군고시
제2010-48호</t>
    <phoneticPr fontId="4" type="noConversion"/>
  </si>
  <si>
    <t>음성군고시
제2017-151호</t>
    <phoneticPr fontId="4" type="noConversion"/>
  </si>
  <si>
    <t>대소</t>
    <phoneticPr fontId="4" type="noConversion"/>
  </si>
  <si>
    <t>금왕</t>
    <phoneticPr fontId="4" type="noConversion"/>
  </si>
  <si>
    <t>음성</t>
    <phoneticPr fontId="4" type="noConversion"/>
  </si>
  <si>
    <t>혁신도시</t>
    <phoneticPr fontId="4" type="noConversion"/>
  </si>
  <si>
    <t>감곡</t>
    <phoneticPr fontId="4" type="noConversion"/>
  </si>
  <si>
    <t>감곡</t>
    <phoneticPr fontId="4" type="noConversion"/>
  </si>
  <si>
    <t>생극</t>
    <phoneticPr fontId="4" type="noConversion"/>
  </si>
  <si>
    <t>금왕</t>
    <phoneticPr fontId="4" type="noConversion"/>
  </si>
  <si>
    <t>협의중</t>
    <phoneticPr fontId="4" type="noConversion"/>
  </si>
  <si>
    <t>미납부</t>
    <phoneticPr fontId="4" type="noConversion"/>
  </si>
  <si>
    <t>증설1단계</t>
    <phoneticPr fontId="4" type="noConversion"/>
  </si>
  <si>
    <t>혁신도시</t>
    <phoneticPr fontId="3" type="noConversion"/>
  </si>
  <si>
    <t>미실시</t>
    <phoneticPr fontId="4" type="noConversion"/>
  </si>
  <si>
    <t>-</t>
    <phoneticPr fontId="4" type="noConversion"/>
  </si>
  <si>
    <t>증설1단계</t>
    <phoneticPr fontId="4" type="noConversion"/>
  </si>
  <si>
    <t>위치 확인</t>
    <phoneticPr fontId="4" type="noConversion"/>
  </si>
  <si>
    <t>증설4단계</t>
    <phoneticPr fontId="4" type="noConversion"/>
  </si>
  <si>
    <t>사용승인 중</t>
    <phoneticPr fontId="3" type="noConversion"/>
  </si>
  <si>
    <t>건축허가 중</t>
    <phoneticPr fontId="3" type="noConversion"/>
  </si>
  <si>
    <t>음성군고시
제2016-196호</t>
    <phoneticPr fontId="4" type="noConversion"/>
  </si>
  <si>
    <t>음성군고시
제2016-266호</t>
    <phoneticPr fontId="4" type="noConversion"/>
  </si>
  <si>
    <t>용산2</t>
    <phoneticPr fontId="3" type="noConversion"/>
  </si>
  <si>
    <t>양덕1</t>
    <phoneticPr fontId="3" type="noConversion"/>
  </si>
  <si>
    <t>주천2</t>
    <phoneticPr fontId="3" type="noConversion"/>
  </si>
  <si>
    <t>원당리</t>
    <phoneticPr fontId="3" type="noConversion"/>
  </si>
  <si>
    <t>원당2</t>
    <phoneticPr fontId="3" type="noConversion"/>
  </si>
  <si>
    <t>중동1</t>
    <phoneticPr fontId="3" type="noConversion"/>
  </si>
  <si>
    <t>중동3</t>
    <phoneticPr fontId="3" type="noConversion"/>
  </si>
  <si>
    <t>금고1</t>
    <phoneticPr fontId="3" type="noConversion"/>
  </si>
  <si>
    <t>용산2</t>
    <phoneticPr fontId="4" type="noConversion"/>
  </si>
  <si>
    <t>양덕1</t>
    <phoneticPr fontId="3" type="noConversion"/>
  </si>
  <si>
    <t>원당리</t>
    <phoneticPr fontId="3" type="noConversion"/>
  </si>
  <si>
    <t>주천2</t>
    <phoneticPr fontId="3" type="noConversion"/>
  </si>
  <si>
    <t>원당2</t>
    <phoneticPr fontId="3" type="noConversion"/>
  </si>
  <si>
    <t>도청</t>
    <phoneticPr fontId="3" type="noConversion"/>
  </si>
  <si>
    <t>본대</t>
    <phoneticPr fontId="3" type="noConversion"/>
  </si>
  <si>
    <t>본대3</t>
    <phoneticPr fontId="3" type="noConversion"/>
  </si>
  <si>
    <t>내곡리</t>
    <phoneticPr fontId="3" type="noConversion"/>
  </si>
  <si>
    <t>사창리</t>
    <phoneticPr fontId="3" type="noConversion"/>
  </si>
  <si>
    <t>중동3</t>
    <phoneticPr fontId="3" type="noConversion"/>
  </si>
  <si>
    <t>금고1</t>
    <phoneticPr fontId="3" type="noConversion"/>
  </si>
  <si>
    <t>하당1</t>
    <phoneticPr fontId="3" type="noConversion"/>
  </si>
  <si>
    <t>도청</t>
    <phoneticPr fontId="3" type="noConversion"/>
  </si>
  <si>
    <t>대정</t>
    <phoneticPr fontId="3" type="noConversion"/>
  </si>
  <si>
    <t>문촌</t>
    <phoneticPr fontId="3" type="noConversion"/>
  </si>
  <si>
    <t>중동</t>
    <phoneticPr fontId="3" type="noConversion"/>
  </si>
  <si>
    <t>대정2</t>
    <phoneticPr fontId="3" type="noConversion"/>
  </si>
  <si>
    <t>차. 감곡면 인구 추이 분석</t>
    <phoneticPr fontId="4" type="noConversion"/>
  </si>
  <si>
    <t xml:space="preserve">  나. 음성군 수학적방법(과거 5년 기준)</t>
    <phoneticPr fontId="4" type="noConversion"/>
  </si>
  <si>
    <t xml:space="preserve">  자.삼성면 수학적방법(과거 10년 기준)</t>
    <phoneticPr fontId="4" type="noConversion"/>
  </si>
  <si>
    <t xml:space="preserve">  차. 생극면 수학적방법(과거 10년 기준)</t>
    <phoneticPr fontId="4" type="noConversion"/>
  </si>
  <si>
    <t xml:space="preserve">  카. 감곡면 수학적방법(과거 10년 기준)</t>
    <phoneticPr fontId="4" type="noConversion"/>
  </si>
  <si>
    <t>사회적 증가인구</t>
    <phoneticPr fontId="4" type="noConversion"/>
  </si>
  <si>
    <t>소이면</t>
    <phoneticPr fontId="3" type="noConversion"/>
  </si>
  <si>
    <t>중동리</t>
    <phoneticPr fontId="3" type="noConversion"/>
  </si>
  <si>
    <t>1.7 맹동 처리구역 인구</t>
  </si>
  <si>
    <t>1.7 맹동 처리구역 인구</t>
    <phoneticPr fontId="3" type="noConversion"/>
  </si>
  <si>
    <t>1.6 생극 처리구역 인구</t>
  </si>
  <si>
    <t>1.6 생극 처리구역 인구</t>
    <phoneticPr fontId="3" type="noConversion"/>
  </si>
  <si>
    <t>1.8 혁신도시 처리구역 인구</t>
  </si>
  <si>
    <t>1.8 혁신도시 처리구역 인구</t>
    <phoneticPr fontId="3" type="noConversion"/>
  </si>
  <si>
    <t>1.9 소규모(신규) 처리구역 인구</t>
  </si>
  <si>
    <t>1.9 소규모(신규) 처리구역 인구</t>
    <phoneticPr fontId="3" type="noConversion"/>
  </si>
  <si>
    <t>1.10 소규모(기존) 처리구역 인구</t>
  </si>
  <si>
    <t>1.10 소규모(기존) 처리구역 인구</t>
    <phoneticPr fontId="3" type="noConversion"/>
  </si>
  <si>
    <t>1.11 금회 계획 소규모(신규) 처리구역 인구</t>
  </si>
  <si>
    <t>1.11 금회 계획 소규모(신규) 처리구역 인구</t>
    <phoneticPr fontId="3" type="noConversion"/>
  </si>
  <si>
    <r>
      <t>대소면 오류리 산1</t>
    </r>
    <r>
      <rPr>
        <sz val="10"/>
        <color rgb="FF000000"/>
        <rFont val="돋움"/>
        <family val="3"/>
        <charset val="129"/>
      </rPr>
      <t>9-25번지 일원</t>
    </r>
    <phoneticPr fontId="3" type="noConversion"/>
  </si>
  <si>
    <t>대소지역주택조합</t>
    <phoneticPr fontId="3" type="noConversion"/>
  </si>
  <si>
    <t>대소지역주택조합</t>
    <phoneticPr fontId="3" type="noConversion"/>
  </si>
  <si>
    <t>대소지역주택조합</t>
    <phoneticPr fontId="3" type="noConversion"/>
  </si>
  <si>
    <t>증설2단계</t>
    <phoneticPr fontId="4" type="noConversion"/>
  </si>
  <si>
    <t>기납부</t>
    <phoneticPr fontId="4" type="noConversion"/>
  </si>
  <si>
    <t>협의완료</t>
    <phoneticPr fontId="4" type="noConversion"/>
  </si>
  <si>
    <t>음성읍</t>
    <phoneticPr fontId="3" type="noConversion"/>
  </si>
  <si>
    <t>소이면</t>
    <phoneticPr fontId="3" type="noConversion"/>
  </si>
  <si>
    <t>원남면</t>
    <phoneticPr fontId="3" type="noConversion"/>
  </si>
  <si>
    <t>맹동면</t>
    <phoneticPr fontId="3" type="noConversion"/>
  </si>
  <si>
    <t>대소면</t>
    <phoneticPr fontId="3" type="noConversion"/>
  </si>
  <si>
    <t>삼성면</t>
    <phoneticPr fontId="3" type="noConversion"/>
  </si>
  <si>
    <t>생극면</t>
    <phoneticPr fontId="3" type="noConversion"/>
  </si>
  <si>
    <t>감곡면</t>
    <phoneticPr fontId="3" type="noConversion"/>
  </si>
  <si>
    <t>성본산단</t>
    <phoneticPr fontId="3" type="noConversion"/>
  </si>
  <si>
    <t>금왕읍</t>
    <phoneticPr fontId="3" type="noConversion"/>
  </si>
  <si>
    <t>사창리</t>
    <phoneticPr fontId="3" type="noConversion"/>
  </si>
  <si>
    <t>주천1</t>
    <phoneticPr fontId="3" type="noConversion"/>
  </si>
  <si>
    <t>사회적 유출인구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</si>
</sst>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1">
    <numFmt numFmtId="5" formatCode="&quot;₩&quot;#,##0;\-&quot;₩&quot;#,##0"/>
    <numFmt numFmtId="7" formatCode="&quot;₩&quot;#,##0.00;\-&quot;₩&quot;#,##0.00"/>
    <numFmt numFmtId="41" formatCode="_-* #,##0_-;\-* #,##0_-;_-* &quot;-&quot;_-;_-@_-"/>
    <numFmt numFmtId="43" formatCode="_-* #,##0.00_-;\-* #,##0.00_-;_-* &quot;-&quot;??_-;_-@_-"/>
    <numFmt numFmtId="176" formatCode="_-* #,##0_-;\-* #,##0_-;_-* &quot;-&quot;??_-;_-@_-"/>
    <numFmt numFmtId="177" formatCode="_-* #,##0.000_-;\-* #,##0.000_-;_-* &quot;-&quot;??_-;_-@_-"/>
    <numFmt numFmtId="178" formatCode="_-* #,##0.00_-;\-* #,##0.00_-;_-* &quot;-&quot;_-;_-@_-"/>
    <numFmt numFmtId="179" formatCode="#&quot;년&quot;"/>
    <numFmt numFmtId="180" formatCode="_-* #,##0.000_-;\-* #,##0.000_-;_-* &quot;-&quot;_-;_-@_-"/>
    <numFmt numFmtId="181" formatCode="#&quot;개소&quot;"/>
    <numFmt numFmtId="182" formatCode="&quot;( &quot;#.00&quot;인/가구 기준 )&quot;"/>
    <numFmt numFmtId="183" formatCode="0.0%"/>
    <numFmt numFmtId="184" formatCode="##0.00&quot;%&quot;"/>
    <numFmt numFmtId="185" formatCode="0_ "/>
    <numFmt numFmtId="186" formatCode="0.0_ "/>
    <numFmt numFmtId="187" formatCode="0.00_ "/>
    <numFmt numFmtId="188" formatCode="_-* #,##0.0000_-;\-* #,##0.0000_-;_-* &quot;-&quot;??_-;_-@_-"/>
    <numFmt numFmtId="189" formatCode="#,##0_ "/>
    <numFmt numFmtId="190" formatCode="_-* #,##0_-;&quot;₩&quot;\!\-* #,##0_-;_-* &quot;-&quot;_-;_-@_-"/>
    <numFmt numFmtId="191" formatCode="0.0"/>
    <numFmt numFmtId="192" formatCode="#,##0.0"/>
    <numFmt numFmtId="193" formatCode="[Blue]#,##0.00;[Red]\-#,##0.00"/>
    <numFmt numFmtId="194" formatCode="0.000000000000000_);[Red]\(0.000000000000000\)"/>
    <numFmt numFmtId="195" formatCode="0.00000_);[Red]\(0.00000\)"/>
    <numFmt numFmtId="196" formatCode="_-* #,##0.00000_-;\-* #,##0.00000_-;_-* &quot;-&quot;_-;_-@_-"/>
    <numFmt numFmtId="197" formatCode="0.00000"/>
    <numFmt numFmtId="198" formatCode="0.0000_ "/>
    <numFmt numFmtId="199" formatCode="0.0000_);[Red]\(0.0000\)"/>
    <numFmt numFmtId="200" formatCode="_-* #,##0.0000_-;\-* #,##0.0000_-;_-* &quot;-&quot;_-;_-@_-"/>
    <numFmt numFmtId="201" formatCode="0.00000_ "/>
    <numFmt numFmtId="202" formatCode="0.0000000_);[Red]\(0.0000000\)"/>
    <numFmt numFmtId="203" formatCode="#,##0.00000_);[Red]\(#,##0.00000\)"/>
    <numFmt numFmtId="204" formatCode="0.000"/>
    <numFmt numFmtId="205" formatCode="0.000_ "/>
    <numFmt numFmtId="206" formatCode="0.000000"/>
    <numFmt numFmtId="207" formatCode="#,##0.0000_ "/>
    <numFmt numFmtId="208" formatCode="#."/>
    <numFmt numFmtId="209" formatCode="#.00"/>
    <numFmt numFmtId="210" formatCode="&quot;₩&quot;#,##0.00;[Red]&quot;₩&quot;\-#,##0.00"/>
    <numFmt numFmtId="211" formatCode="_ &quot;₩&quot;* #,##0_ ;_ &quot;₩&quot;* \-#,##0_ ;_ &quot;₩&quot;* &quot;-&quot;_ ;_ @_ "/>
    <numFmt numFmtId="212" formatCode="&quot;$&quot;#,##0_);[Red]\(&quot;$&quot;#,##0\)"/>
    <numFmt numFmtId="213" formatCode="&quot;₩&quot;#,##0;[Red]&quot;₩&quot;\-#,##0"/>
    <numFmt numFmtId="214" formatCode="_ &quot;₩&quot;* #,##0.00_ ;_ &quot;₩&quot;* \-#,##0.00_ ;_ &quot;₩&quot;* &quot;-&quot;??_ ;_ @_ "/>
    <numFmt numFmtId="215" formatCode="&quot;$&quot;#,##0.00_);[Red]\(&quot;$&quot;#,##0.00\)"/>
    <numFmt numFmtId="216" formatCode="%#.00"/>
    <numFmt numFmtId="217" formatCode="#,##0;[Red]&quot;-&quot;#,##0"/>
    <numFmt numFmtId="218" formatCode="_ * #,##0_ ;_ * \-#,##0_ ;_ * &quot;-&quot;_ ;_ @_ "/>
    <numFmt numFmtId="219" formatCode="#,##0.00;[Red]&quot;-&quot;#,##0.00"/>
    <numFmt numFmtId="220" formatCode="_ * #,##0.00_ ;_ * \-#,##0.00_ ;_ * &quot;-&quot;??_ ;_ @_ "/>
    <numFmt numFmtId="221" formatCode="#,##0."/>
    <numFmt numFmtId="222" formatCode="#,##0.00\ ;\(#,##0.00\);\ \-\ "/>
    <numFmt numFmtId="223" formatCode="&quot;₩&quot;#,##0;&quot;₩&quot;&quot;₩&quot;&quot;₩&quot;&quot;₩&quot;&quot;₩&quot;&quot;₩&quot;&quot;₩&quot;&quot;₩&quot;\-#,##0"/>
    <numFmt numFmtId="224" formatCode="&quot;₩&quot;#,##0.00;&quot;₩&quot;&quot;₩&quot;&quot;₩&quot;&quot;₩&quot;&quot;₩&quot;&quot;₩&quot;&quot;₩&quot;&quot;₩&quot;\-#,##0.00"/>
    <numFmt numFmtId="225" formatCode="&quot;₩&quot;\!\$#,##0&quot;₩&quot;\!\ ;&quot;₩&quot;\!\(&quot;₩&quot;\!\$#,##0&quot;₩&quot;\!\)"/>
    <numFmt numFmtId="226" formatCode="_-* #,##0.0_-;\-* #,##0.0_-;_-* &quot;-&quot;??_-;_-@_-"/>
    <numFmt numFmtId="227" formatCode="#,##0.0;[Red]\(#,##0.0\)"/>
    <numFmt numFmtId="228" formatCode="#,##0.0\ ;\(#,##0.0\);&quot;-&quot;\ "/>
    <numFmt numFmtId="229" formatCode="0\ &quot;EA&quot;"/>
    <numFmt numFmtId="230" formatCode="\$#.00"/>
    <numFmt numFmtId="231" formatCode="\$#."/>
    <numFmt numFmtId="232" formatCode="_(&quot;$&quot;* #,##0.0_);_(&quot;$&quot;* \(#,##0.0\);_(&quot;$&quot;* &quot;-&quot;??_);_(@_)"/>
    <numFmt numFmtId="233" formatCode="0\ &quot;t&quot;"/>
    <numFmt numFmtId="234" formatCode="#,##0;[Red]\(#,##0\)"/>
    <numFmt numFmtId="235" formatCode="&quot;R$&quot;#,##0.00;&quot;R$&quot;\-#,##0.00"/>
    <numFmt numFmtId="236" formatCode="0.00\ &quot;)&quot;"/>
    <numFmt numFmtId="237" formatCode="0.00\ &quot;)]&quot;"/>
    <numFmt numFmtId="238" formatCode="0.000\ &quot;²&quot;"/>
    <numFmt numFmtId="239" formatCode="&quot;(&quot;\ 0.00"/>
    <numFmt numFmtId="240" formatCode="&quot;[(&quot;\ 0.00"/>
    <numFmt numFmtId="241" formatCode="_ * #,##0_ ;_ * &quot;₩&quot;&quot;₩&quot;&quot;₩&quot;&quot;₩&quot;\-#,##0_ ;_ * &quot;-&quot;_ ;_ @_ "/>
    <numFmt numFmtId="242" formatCode="#,##0.000000000;[Red]\-#,##0.000000000"/>
    <numFmt numFmtId="243" formatCode="#,##0;[Red]#,##0"/>
    <numFmt numFmtId="244" formatCode="#,##0_);[Red]\(#,##0\)"/>
    <numFmt numFmtId="245" formatCode="#,##0.000"/>
    <numFmt numFmtId="246" formatCode="_-* #,##0_-;\-* #,##0_-;_-* &quot;-&quot;_-;_-@_-&quot;세대당인구&quot;"/>
    <numFmt numFmtId="247" formatCode="#,##0\ "/>
    <numFmt numFmtId="248" formatCode="General&quot;년&quot;"/>
    <numFmt numFmtId="249" formatCode="0.00_);[Red]\(0.00\)"/>
    <numFmt numFmtId="250" formatCode="0000&quot;년&quot;"/>
    <numFmt numFmtId="251" formatCode="#,##0.00_ "/>
    <numFmt numFmtId="252" formatCode="#,##0_ ;[Red]\-#,##0\ "/>
  </numFmts>
  <fonts count="193"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3"/>
      <color indexed="8"/>
      <name val="HY헤드라인M"/>
      <family val="1"/>
      <charset val="129"/>
    </font>
    <font>
      <sz val="8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color indexed="8"/>
      <name val="HY헤드라인M"/>
      <family val="1"/>
      <charset val="129"/>
    </font>
    <font>
      <b/>
      <sz val="11"/>
      <name val="돋움"/>
      <family val="3"/>
      <charset val="129"/>
    </font>
    <font>
      <sz val="10"/>
      <name val="HY울릉도L"/>
      <family val="1"/>
      <charset val="129"/>
    </font>
    <font>
      <b/>
      <sz val="10"/>
      <name val="HY울릉도L"/>
      <family val="1"/>
      <charset val="129"/>
    </font>
    <font>
      <sz val="10"/>
      <color theme="1"/>
      <name val="HY울릉도L"/>
      <family val="1"/>
      <charset val="129"/>
    </font>
    <font>
      <sz val="10"/>
      <color rgb="FFFF0000"/>
      <name val="HY울릉도L"/>
      <family val="1"/>
      <charset val="129"/>
    </font>
    <font>
      <b/>
      <sz val="11"/>
      <name val="HY울릉도L"/>
      <family val="1"/>
      <charset val="129"/>
    </font>
    <font>
      <sz val="11"/>
      <name val="HY울릉도L"/>
      <family val="1"/>
      <charset val="129"/>
    </font>
    <font>
      <sz val="11"/>
      <color theme="1"/>
      <name val="HY울릉도L"/>
      <family val="1"/>
      <charset val="129"/>
    </font>
    <font>
      <sz val="9"/>
      <name val="HY울릉도L"/>
      <family val="1"/>
      <charset val="129"/>
    </font>
    <font>
      <b/>
      <sz val="9"/>
      <name val="HY울릉도L"/>
      <family val="1"/>
      <charset val="129"/>
    </font>
    <font>
      <sz val="9"/>
      <color theme="1"/>
      <name val="HY울릉도L"/>
      <family val="1"/>
      <charset val="129"/>
    </font>
    <font>
      <sz val="9"/>
      <name val="돋움"/>
      <family val="3"/>
      <charset val="129"/>
    </font>
    <font>
      <sz val="11"/>
      <color rgb="FFFF0000"/>
      <name val="돋움"/>
      <family val="3"/>
      <charset val="129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sz val="9"/>
      <color indexed="8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b/>
      <sz val="12"/>
      <name val="가는으뜸체"/>
      <family val="1"/>
      <charset val="129"/>
    </font>
    <font>
      <sz val="10"/>
      <name val="가는으뜸체"/>
      <family val="1"/>
      <charset val="129"/>
    </font>
    <font>
      <sz val="11"/>
      <name val="가는으뜸체"/>
      <family val="1"/>
      <charset val="129"/>
    </font>
    <font>
      <b/>
      <sz val="11"/>
      <name val="가는으뜸체"/>
      <family val="1"/>
      <charset val="129"/>
    </font>
    <font>
      <b/>
      <sz val="10.5"/>
      <name val="가는으뜸체"/>
      <family val="1"/>
      <charset val="129"/>
    </font>
    <font>
      <sz val="10.5"/>
      <name val="가는으뜸체"/>
      <family val="1"/>
      <charset val="129"/>
    </font>
    <font>
      <sz val="10.5"/>
      <color rgb="FFFF0000"/>
      <name val="가는으뜸체"/>
      <family val="1"/>
      <charset val="129"/>
    </font>
    <font>
      <b/>
      <sz val="12"/>
      <name val="HY울릉도L"/>
      <family val="1"/>
      <charset val="129"/>
    </font>
    <font>
      <b/>
      <sz val="10.5"/>
      <name val="HY울릉도L"/>
      <family val="1"/>
      <charset val="129"/>
    </font>
    <font>
      <sz val="10.5"/>
      <name val="HY울릉도L"/>
      <family val="1"/>
      <charset val="129"/>
    </font>
    <font>
      <sz val="11"/>
      <color theme="0"/>
      <name val="가는으뜸체"/>
      <family val="1"/>
      <charset val="129"/>
    </font>
    <font>
      <b/>
      <sz val="10"/>
      <name val="돋움"/>
      <family val="3"/>
      <charset val="129"/>
    </font>
    <font>
      <sz val="10"/>
      <name val="돋움"/>
      <family val="3"/>
      <charset val="129"/>
    </font>
    <font>
      <sz val="10"/>
      <name val="굴림"/>
      <family val="3"/>
      <charset val="129"/>
    </font>
    <font>
      <sz val="9"/>
      <name val="굴림"/>
      <family val="3"/>
      <charset val="129"/>
    </font>
    <font>
      <sz val="11"/>
      <color rgb="FF000000"/>
      <name val="한양신명조"/>
      <family val="3"/>
      <charset val="129"/>
    </font>
    <font>
      <sz val="9"/>
      <name val="굴림체"/>
      <family val="3"/>
      <charset val="129"/>
    </font>
    <font>
      <sz val="10.5"/>
      <color rgb="FF7030A0"/>
      <name val="가는으뜸체"/>
      <family val="1"/>
      <charset val="129"/>
    </font>
    <font>
      <sz val="11"/>
      <color rgb="FFFF0000"/>
      <name val="HY울릉도L"/>
      <family val="1"/>
      <charset val="129"/>
    </font>
    <font>
      <sz val="10"/>
      <color theme="1"/>
      <name val="맑은고딕"/>
      <family val="3"/>
      <charset val="129"/>
    </font>
    <font>
      <sz val="11"/>
      <color theme="1"/>
      <name val="맑은고딕"/>
      <family val="3"/>
      <charset val="129"/>
    </font>
    <font>
      <sz val="11"/>
      <color rgb="FFFF0000"/>
      <name val="맑은 고딕"/>
      <family val="2"/>
      <charset val="129"/>
      <scheme val="minor"/>
    </font>
    <font>
      <sz val="11"/>
      <color rgb="FF0070C0"/>
      <name val="맑은 고딕"/>
      <family val="2"/>
      <charset val="129"/>
      <scheme val="minor"/>
    </font>
    <font>
      <b/>
      <sz val="10"/>
      <color theme="1"/>
      <name val="HY울릉도L"/>
      <family val="1"/>
      <charset val="129"/>
    </font>
    <font>
      <sz val="10"/>
      <color theme="1"/>
      <name val="맑은 고딕"/>
      <family val="2"/>
      <charset val="129"/>
      <scheme val="minor"/>
    </font>
    <font>
      <sz val="11"/>
      <color rgb="FFFF0000"/>
      <name val="가는으뜸체"/>
      <family val="1"/>
      <charset val="129"/>
    </font>
    <font>
      <sz val="11"/>
      <color indexed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10.5"/>
      <color rgb="FF000000"/>
      <name val="HY신명조"/>
      <family val="1"/>
      <charset val="129"/>
    </font>
    <font>
      <sz val="10"/>
      <name val="돋움체"/>
      <family val="3"/>
      <charset val="129"/>
    </font>
    <font>
      <sz val="10"/>
      <name val="Times New Roman"/>
      <family val="1"/>
    </font>
    <font>
      <sz val="9"/>
      <color theme="1"/>
      <name val="Dotum"/>
      <family val="3"/>
    </font>
    <font>
      <b/>
      <sz val="8"/>
      <name val="돋움"/>
      <family val="3"/>
      <charset val="129"/>
    </font>
    <font>
      <b/>
      <sz val="11"/>
      <color rgb="FF000000"/>
      <name val="한양신명조"/>
      <family val="3"/>
      <charset val="129"/>
    </font>
    <font>
      <sz val="11"/>
      <color theme="1"/>
      <name val="한양신명조"/>
      <family val="3"/>
      <charset val="129"/>
    </font>
    <font>
      <sz val="1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2"/>
      <name val="맑은고딕"/>
      <family val="3"/>
      <charset val="129"/>
    </font>
    <font>
      <sz val="9"/>
      <name val="맑은고딕"/>
      <family val="3"/>
      <charset val="129"/>
    </font>
    <font>
      <sz val="9"/>
      <name val="가는으뜸체"/>
      <family val="1"/>
      <charset val="129"/>
    </font>
    <font>
      <b/>
      <sz val="11"/>
      <name val="맑은고딕"/>
      <family val="3"/>
      <charset val="129"/>
    </font>
    <font>
      <sz val="11"/>
      <name val="맑은고딕"/>
      <family val="3"/>
      <charset val="129"/>
    </font>
    <font>
      <sz val="10"/>
      <name val="굴림체"/>
      <family val="3"/>
      <charset val="129"/>
    </font>
    <font>
      <b/>
      <sz val="11"/>
      <name val="굴림"/>
      <family val="3"/>
      <charset val="129"/>
    </font>
    <font>
      <b/>
      <sz val="10"/>
      <name val="굴림"/>
      <family val="3"/>
      <charset val="129"/>
    </font>
    <font>
      <sz val="11"/>
      <name val="굴림"/>
      <family val="3"/>
      <charset val="129"/>
    </font>
    <font>
      <vertAlign val="superscript"/>
      <sz val="10"/>
      <name val="굴림"/>
      <family val="3"/>
      <charset val="129"/>
    </font>
    <font>
      <sz val="10"/>
      <color rgb="FFFF0000"/>
      <name val="굴림"/>
      <family val="3"/>
      <charset val="129"/>
    </font>
    <font>
      <sz val="12"/>
      <name val="바탕체"/>
      <family val="1"/>
      <charset val="129"/>
    </font>
    <font>
      <sz val="10"/>
      <name val="Arial"/>
      <family val="2"/>
    </font>
    <font>
      <sz val="1"/>
      <color indexed="16"/>
      <name val="Courier"/>
      <family val="3"/>
    </font>
    <font>
      <sz val="1"/>
      <color indexed="8"/>
      <name val="Courier"/>
      <family val="3"/>
    </font>
    <font>
      <sz val="11"/>
      <color indexed="8"/>
      <name val="돋움"/>
      <family val="3"/>
      <charset val="129"/>
    </font>
    <font>
      <b/>
      <sz val="1"/>
      <color indexed="8"/>
      <name val="Courier"/>
      <family val="3"/>
    </font>
    <font>
      <sz val="11"/>
      <color theme="0"/>
      <name val="맑은 고딕"/>
      <family val="3"/>
      <charset val="129"/>
      <scheme val="minor"/>
    </font>
    <font>
      <sz val="12"/>
      <name val="¸íÁ¶"/>
      <family val="3"/>
      <charset val="129"/>
    </font>
    <font>
      <sz val="12"/>
      <name val="¸iA¶"/>
      <family val="3"/>
      <charset val="129"/>
    </font>
    <font>
      <sz val="11"/>
      <name val="µ¸¿ò"/>
      <family val="3"/>
      <charset val="129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10"/>
      <name val="Geneva"/>
      <family val="2"/>
    </font>
    <font>
      <sz val="10"/>
      <name val="MS Sans Serif"/>
      <family val="2"/>
    </font>
    <font>
      <sz val="11"/>
      <name val="μ¸¿o"/>
      <family val="3"/>
      <charset val="129"/>
    </font>
    <font>
      <sz val="12"/>
      <name val="±¼¸²A¼"/>
      <family val="3"/>
      <charset val="129"/>
    </font>
    <font>
      <sz val="12"/>
      <name val="±¼¸²Ã¼"/>
      <family val="3"/>
      <charset val="129"/>
    </font>
    <font>
      <b/>
      <sz val="10"/>
      <name val="Helv"/>
      <family val="2"/>
    </font>
    <font>
      <sz val="10"/>
      <name val="바탕"/>
      <family val="1"/>
      <charset val="129"/>
    </font>
    <font>
      <sz val="10"/>
      <color indexed="24"/>
      <name val="Arial"/>
      <family val="2"/>
    </font>
    <font>
      <sz val="12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b/>
      <sz val="11"/>
      <name val="Helv"/>
      <family val="2"/>
    </font>
    <font>
      <b/>
      <sz val="10"/>
      <name val="Arial"/>
      <family val="2"/>
    </font>
    <font>
      <b/>
      <u/>
      <sz val="13"/>
      <name val="굴림체"/>
      <family val="3"/>
      <charset val="129"/>
    </font>
    <font>
      <sz val="12"/>
      <name val="굴림체"/>
      <family val="3"/>
      <charset val="129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2"/>
      <color indexed="24"/>
      <name val="바탕체"/>
      <family val="1"/>
      <charset val="129"/>
    </font>
    <font>
      <b/>
      <sz val="18"/>
      <color indexed="24"/>
      <name val="바탕체"/>
      <family val="1"/>
      <charset val="129"/>
    </font>
    <font>
      <b/>
      <sz val="15"/>
      <color indexed="24"/>
      <name val="바탕체"/>
      <family val="1"/>
      <charset val="129"/>
    </font>
    <font>
      <sz val="11"/>
      <name val="HY신명조"/>
      <family val="1"/>
      <charset val="129"/>
    </font>
    <font>
      <sz val="11"/>
      <color rgb="FF9C0006"/>
      <name val="맑은 고딕"/>
      <family val="3"/>
      <charset val="129"/>
      <scheme val="minor"/>
    </font>
    <font>
      <u/>
      <sz val="11"/>
      <color indexed="20"/>
      <name val="돋움"/>
      <family val="3"/>
      <charset val="129"/>
    </font>
    <font>
      <sz val="14"/>
      <name val="뼻뮝"/>
      <family val="3"/>
      <charset val="129"/>
    </font>
    <font>
      <sz val="1"/>
      <color indexed="0"/>
      <name val="Courier"/>
      <family val="3"/>
    </font>
    <font>
      <sz val="11"/>
      <name val="굴림체"/>
      <family val="3"/>
      <charset val="129"/>
    </font>
    <font>
      <sz val="11"/>
      <color rgb="FF9C6500"/>
      <name val="맑은 고딕"/>
      <family val="3"/>
      <charset val="129"/>
      <scheme val="minor"/>
    </font>
    <font>
      <sz val="12"/>
      <name val="뼻뮝"/>
      <family val="1"/>
      <charset val="129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b/>
      <sz val="12"/>
      <color indexed="16"/>
      <name val="굴림체"/>
      <family val="3"/>
      <charset val="129"/>
    </font>
    <font>
      <sz val="11"/>
      <color rgb="FFFA7D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8"/>
      <color theme="3"/>
      <name val="맑은 고딕"/>
      <family val="3"/>
      <charset val="129"/>
      <scheme val="major"/>
    </font>
    <font>
      <b/>
      <sz val="18"/>
      <color theme="3"/>
      <name val="맑은 고딕"/>
      <family val="3"/>
      <charset val="129"/>
      <scheme val="maj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  <scheme val="minor"/>
    </font>
    <font>
      <sz val="10"/>
      <name val="바탕체"/>
      <family val="1"/>
      <charset val="129"/>
    </font>
    <font>
      <sz val="12"/>
      <name val="돋움"/>
      <family val="3"/>
      <charset val="129"/>
    </font>
    <font>
      <b/>
      <sz val="10.5"/>
      <color rgb="FF000000"/>
      <name val="맑은 고딕"/>
      <family val="3"/>
      <charset val="129"/>
      <scheme val="minor"/>
    </font>
    <font>
      <b/>
      <sz val="10.5"/>
      <color rgb="FF000000"/>
      <name val="HY신명조"/>
      <family val="1"/>
      <charset val="129"/>
    </font>
    <font>
      <b/>
      <sz val="10"/>
      <color rgb="FF000000"/>
      <name val="HY신명조"/>
      <family val="1"/>
      <charset val="129"/>
    </font>
    <font>
      <b/>
      <sz val="10.5"/>
      <color rgb="FFFF0000"/>
      <name val="가는으뜸체"/>
      <family val="1"/>
      <charset val="129"/>
    </font>
    <font>
      <b/>
      <sz val="11"/>
      <color rgb="FF000000"/>
      <name val="맑은 고딕"/>
      <family val="3"/>
      <charset val="129"/>
      <scheme val="minor"/>
    </font>
    <font>
      <sz val="10.5"/>
      <color rgb="FF000000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sz val="10.5"/>
      <color rgb="FFFF0000"/>
      <name val="HY울릉도L"/>
      <family val="1"/>
      <charset val="129"/>
    </font>
    <font>
      <b/>
      <sz val="13"/>
      <name val="돋움"/>
      <family val="3"/>
      <charset val="129"/>
    </font>
    <font>
      <sz val="7"/>
      <name val="돋움"/>
      <family val="3"/>
      <charset val="129"/>
    </font>
    <font>
      <sz val="8"/>
      <color rgb="FF000000"/>
      <name val="맑은 고딕"/>
      <family val="3"/>
      <charset val="129"/>
      <scheme val="minor"/>
    </font>
    <font>
      <sz val="11"/>
      <color indexed="8"/>
      <name val="맑은 고딕"/>
      <family val="2"/>
      <scheme val="minor"/>
    </font>
    <font>
      <b/>
      <sz val="11"/>
      <color rgb="FFFF0000"/>
      <name val="HY울릉도L"/>
      <family val="1"/>
      <charset val="129"/>
    </font>
    <font>
      <sz val="10"/>
      <color rgb="FF0000FF"/>
      <name val="HY울릉도L"/>
      <family val="1"/>
      <charset val="129"/>
    </font>
    <font>
      <sz val="11"/>
      <color rgb="FF0000FF"/>
      <name val="HY울릉도L"/>
      <family val="1"/>
      <charset val="129"/>
    </font>
    <font>
      <sz val="10"/>
      <color indexed="8"/>
      <name val="Times New Roman"/>
      <family val="1"/>
    </font>
    <font>
      <b/>
      <sz val="10"/>
      <color rgb="FF0000CC"/>
      <name val="Times New Roman"/>
      <family val="1"/>
    </font>
    <font>
      <sz val="9"/>
      <color rgb="FFFF0000"/>
      <name val="돋움"/>
      <family val="3"/>
      <charset val="129"/>
    </font>
    <font>
      <b/>
      <sz val="11"/>
      <name val="나눔고딕"/>
      <family val="3"/>
      <charset val="129"/>
    </font>
    <font>
      <b/>
      <sz val="10"/>
      <name val="나눔고딕"/>
      <family val="3"/>
      <charset val="129"/>
    </font>
    <font>
      <sz val="10"/>
      <name val="나눔고딕"/>
      <family val="3"/>
      <charset val="129"/>
    </font>
    <font>
      <b/>
      <sz val="12"/>
      <color theme="1"/>
      <name val="Arial Narrow"/>
      <family val="2"/>
    </font>
    <font>
      <sz val="12"/>
      <color rgb="FFFF0000"/>
      <name val="맑은 고딕"/>
      <family val="3"/>
      <charset val="129"/>
      <scheme val="minor"/>
    </font>
    <font>
      <sz val="12"/>
      <color theme="1"/>
      <name val="맑은 고딕"/>
      <family val="2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0000FF"/>
      <name val="맑은 고딕"/>
      <family val="2"/>
      <charset val="129"/>
      <scheme val="minor"/>
    </font>
    <font>
      <sz val="11"/>
      <color rgb="FF00B050"/>
      <name val="맑은 고딕"/>
      <family val="2"/>
      <charset val="129"/>
      <scheme val="minor"/>
    </font>
    <font>
      <sz val="11"/>
      <color rgb="FF00B050"/>
      <name val="맑은 고딕"/>
      <family val="3"/>
      <charset val="129"/>
      <scheme val="minor"/>
    </font>
    <font>
      <sz val="10"/>
      <color theme="0"/>
      <name val="굴림"/>
      <family val="3"/>
      <charset val="129"/>
    </font>
    <font>
      <sz val="9"/>
      <name val="산돌고딕 L"/>
      <family val="1"/>
      <charset val="129"/>
    </font>
    <font>
      <b/>
      <sz val="12"/>
      <name val="돋움"/>
      <family val="3"/>
      <charset val="129"/>
    </font>
    <font>
      <b/>
      <sz val="10.5"/>
      <name val="돋움"/>
      <family val="3"/>
      <charset val="129"/>
    </font>
    <font>
      <sz val="10.5"/>
      <name val="돋움"/>
      <family val="3"/>
      <charset val="129"/>
    </font>
    <font>
      <b/>
      <sz val="10.5"/>
      <color theme="0"/>
      <name val="돋움"/>
      <family val="3"/>
      <charset val="129"/>
    </font>
    <font>
      <sz val="11"/>
      <color theme="1"/>
      <name val="돋움"/>
      <family val="3"/>
      <charset val="129"/>
    </font>
    <font>
      <sz val="10.5"/>
      <color rgb="FF000000"/>
      <name val="돋움"/>
      <family val="3"/>
      <charset val="129"/>
    </font>
    <font>
      <b/>
      <sz val="10.5"/>
      <color theme="9" tint="0.39997558519241921"/>
      <name val="돋움"/>
      <family val="3"/>
      <charset val="129"/>
    </font>
    <font>
      <sz val="10.5"/>
      <color rgb="FFFF0000"/>
      <name val="돋움"/>
      <family val="3"/>
      <charset val="129"/>
    </font>
    <font>
      <sz val="8"/>
      <name val="굴림체"/>
      <family val="3"/>
      <charset val="129"/>
    </font>
    <font>
      <sz val="12"/>
      <name val="맑은고딕"/>
      <family val="3"/>
      <charset val="129"/>
    </font>
    <font>
      <sz val="10"/>
      <name val="-윤고딕330"/>
      <family val="1"/>
      <charset val="129"/>
    </font>
    <font>
      <sz val="10"/>
      <name val="맑은고딕"/>
      <family val="3"/>
      <charset val="129"/>
    </font>
    <font>
      <sz val="9"/>
      <name val="-윤고딕330"/>
      <family val="1"/>
      <charset val="129"/>
    </font>
    <font>
      <sz val="10"/>
      <color rgb="FFFF0000"/>
      <name val="맑은고딕"/>
      <family val="3"/>
      <charset val="129"/>
    </font>
    <font>
      <sz val="11"/>
      <name val="-윤고딕330"/>
      <family val="1"/>
      <charset val="129"/>
    </font>
    <font>
      <b/>
      <sz val="14"/>
      <name val="돋움"/>
      <family val="3"/>
      <charset val="129"/>
    </font>
    <font>
      <sz val="13"/>
      <color rgb="FF000000"/>
      <name val="돋움"/>
      <family val="3"/>
      <charset val="129"/>
    </font>
    <font>
      <sz val="10"/>
      <color rgb="FF0070C0"/>
      <name val="돋움"/>
      <family val="3"/>
      <charset val="129"/>
    </font>
    <font>
      <sz val="18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20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sz val="18"/>
      <color theme="1"/>
      <name val="맑은 고딕"/>
      <family val="2"/>
      <charset val="129"/>
      <scheme val="minor"/>
    </font>
    <font>
      <sz val="20"/>
      <color theme="1"/>
      <name val="맑은 고딕"/>
      <family val="2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1"/>
      <color theme="1"/>
      <name val="Arial"/>
      <family val="2"/>
    </font>
    <font>
      <sz val="10"/>
      <color rgb="FF000000"/>
      <name val="돋움"/>
      <family val="3"/>
      <charset val="129"/>
    </font>
  </fonts>
  <fills count="6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1F1F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5E5E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7030A0"/>
        <bgColor indexed="64"/>
      </patternFill>
    </fill>
  </fills>
  <borders count="309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Dashed">
        <color indexed="64"/>
      </left>
      <right style="mediumDashed">
        <color indexed="64"/>
      </right>
      <top style="mediumDashed">
        <color indexed="64"/>
      </top>
      <bottom style="mediumDashed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Dashed">
        <color indexed="64"/>
      </bottom>
      <diagonal/>
    </border>
    <border>
      <left style="medium">
        <color indexed="64"/>
      </left>
      <right style="medium">
        <color indexed="64"/>
      </right>
      <top style="mediumDashed">
        <color indexed="64"/>
      </top>
      <bottom style="mediumDashed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Dashed">
        <color indexed="64"/>
      </bottom>
      <diagonal/>
    </border>
    <border>
      <left style="medium">
        <color indexed="64"/>
      </left>
      <right/>
      <top style="mediumDashed">
        <color indexed="64"/>
      </top>
      <bottom style="mediumDashed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/>
      <right style="thin">
        <color rgb="FF80808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auto="1"/>
      </left>
      <right style="hair">
        <color indexed="64"/>
      </right>
      <top style="thin">
        <color theme="1"/>
      </top>
      <bottom style="thin">
        <color indexed="64"/>
      </bottom>
      <diagonal/>
    </border>
    <border>
      <left/>
      <right style="hair">
        <color indexed="64"/>
      </right>
      <top style="thin">
        <color theme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theme="1"/>
      </top>
      <bottom style="thin">
        <color indexed="64"/>
      </bottom>
      <diagonal/>
    </border>
    <border>
      <left style="hair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hair">
        <color indexed="64"/>
      </left>
      <right style="thin">
        <color theme="1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theme="1"/>
      </right>
      <top style="hair">
        <color indexed="64"/>
      </top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theme="1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rgb="FF808080"/>
      </bottom>
      <diagonal/>
    </border>
    <border>
      <left/>
      <right/>
      <top/>
      <bottom style="thick">
        <color rgb="FF808080"/>
      </bottom>
      <diagonal/>
    </border>
    <border>
      <left/>
      <right style="thin">
        <color rgb="FF808080"/>
      </right>
      <top/>
      <bottom style="thick">
        <color rgb="FF808080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indexed="64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thin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indexed="64"/>
      </right>
      <top/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indexed="64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thin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thin">
        <color indexed="64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/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 style="double">
        <color rgb="FF000000"/>
      </left>
      <right style="hair">
        <color rgb="FF000000"/>
      </right>
      <top style="double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double">
        <color rgb="FF000000"/>
      </top>
      <bottom style="hair">
        <color rgb="FF000000"/>
      </bottom>
      <diagonal/>
    </border>
    <border>
      <left style="hair">
        <color rgb="FF000000"/>
      </left>
      <right style="double">
        <color rgb="FF000000"/>
      </right>
      <top style="double">
        <color rgb="FF000000"/>
      </top>
      <bottom style="hair">
        <color rgb="FF000000"/>
      </bottom>
      <diagonal/>
    </border>
    <border>
      <left style="double">
        <color rgb="FF000000"/>
      </left>
      <right style="hair">
        <color rgb="FF000000"/>
      </right>
      <top style="hair">
        <color rgb="FF000000"/>
      </top>
      <bottom style="double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double">
        <color rgb="FF000000"/>
      </bottom>
      <diagonal/>
    </border>
    <border>
      <left style="hair">
        <color rgb="FF000000"/>
      </left>
      <right style="double">
        <color rgb="FF000000"/>
      </right>
      <top style="hair">
        <color rgb="FF000000"/>
      </top>
      <bottom style="double">
        <color rgb="FF000000"/>
      </bottom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mediumDashed">
        <color rgb="FF000000"/>
      </left>
      <right style="hair">
        <color rgb="FF000000"/>
      </right>
      <top style="mediumDashed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mediumDashed">
        <color rgb="FF000000"/>
      </top>
      <bottom style="hair">
        <color rgb="FF000000"/>
      </bottom>
      <diagonal/>
    </border>
    <border>
      <left style="hair">
        <color rgb="FF000000"/>
      </left>
      <right style="mediumDashed">
        <color rgb="FF000000"/>
      </right>
      <top style="mediumDashed">
        <color rgb="FF000000"/>
      </top>
      <bottom style="hair">
        <color rgb="FF000000"/>
      </bottom>
      <diagonal/>
    </border>
    <border>
      <left style="mediumDashed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Dashed">
        <color rgb="FF000000"/>
      </right>
      <top style="hair">
        <color rgb="FF000000"/>
      </top>
      <bottom style="hair">
        <color rgb="FF000000"/>
      </bottom>
      <diagonal/>
    </border>
    <border>
      <left style="mediumDashed">
        <color rgb="FF000000"/>
      </left>
      <right style="hair">
        <color rgb="FF000000"/>
      </right>
      <top style="hair">
        <color rgb="FF000000"/>
      </top>
      <bottom style="mediumDashed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mediumDashed">
        <color rgb="FF000000"/>
      </bottom>
      <diagonal/>
    </border>
    <border>
      <left style="hair">
        <color rgb="FF000000"/>
      </left>
      <right style="mediumDashed">
        <color rgb="FF000000"/>
      </right>
      <top style="hair">
        <color rgb="FF000000"/>
      </top>
      <bottom style="mediumDashed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/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hair">
        <color rgb="FF000000"/>
      </right>
      <top/>
      <bottom/>
      <diagonal/>
    </border>
    <border>
      <left style="hair">
        <color rgb="FF000000"/>
      </left>
      <right style="thin">
        <color indexed="64"/>
      </right>
      <top style="hair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/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mediumDashed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mediumDashed">
        <color rgb="FF000000"/>
      </right>
      <top/>
      <bottom style="hair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 style="thin">
        <color indexed="64"/>
      </left>
      <right style="hair">
        <color rgb="FF000000"/>
      </right>
      <top style="thin">
        <color indexed="64"/>
      </top>
      <bottom/>
      <diagonal/>
    </border>
    <border>
      <left style="hair">
        <color rgb="FF000000"/>
      </left>
      <right style="hair">
        <color rgb="FF000000"/>
      </right>
      <top style="thin">
        <color indexed="64"/>
      </top>
      <bottom/>
      <diagonal/>
    </border>
    <border>
      <left style="hair">
        <color rgb="FF000000"/>
      </left>
      <right style="thin">
        <color rgb="FF000000"/>
      </right>
      <top style="thin">
        <color indexed="64"/>
      </top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indexed="64"/>
      </left>
      <right style="thin">
        <color theme="1"/>
      </right>
      <top/>
      <bottom style="double">
        <color indexed="64"/>
      </bottom>
      <diagonal/>
    </border>
    <border>
      <left/>
      <right style="hair">
        <color auto="1"/>
      </right>
      <top style="thin">
        <color indexed="64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thin">
        <color indexed="64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rgb="FF808080"/>
      </right>
      <top/>
      <bottom style="thin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hair">
        <color indexed="64"/>
      </left>
      <right style="thin">
        <color theme="1"/>
      </right>
      <top style="double">
        <color indexed="64"/>
      </top>
      <bottom/>
      <diagonal/>
    </border>
    <border>
      <left style="hair">
        <color indexed="64"/>
      </left>
      <right style="thin">
        <color theme="1"/>
      </right>
      <top/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808080"/>
      </right>
      <top style="thin">
        <color indexed="64"/>
      </top>
      <bottom style="thin">
        <color rgb="FF80808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theme="1"/>
      </right>
      <top/>
      <bottom style="thin">
        <color indexed="64"/>
      </bottom>
      <diagonal/>
    </border>
  </borders>
  <cellStyleXfs count="477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41" fontId="2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1" fillId="0" borderId="0"/>
    <xf numFmtId="0" fontId="40" fillId="0" borderId="0"/>
    <xf numFmtId="9" fontId="1" fillId="0" borderId="0" applyFont="0" applyFill="0" applyBorder="0" applyAlignment="0" applyProtection="0">
      <alignment vertical="center"/>
    </xf>
    <xf numFmtId="190" fontId="1" fillId="0" borderId="0" applyFont="0" applyFill="0" applyBorder="0" applyAlignment="0" applyProtection="0"/>
    <xf numFmtId="0" fontId="50" fillId="0" borderId="0">
      <alignment vertical="center"/>
    </xf>
    <xf numFmtId="0" fontId="5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>
      <alignment vertical="center"/>
    </xf>
    <xf numFmtId="0" fontId="74" fillId="0" borderId="0"/>
    <xf numFmtId="0" fontId="75" fillId="0" borderId="0" applyFont="0" applyFill="0" applyBorder="0" applyAlignment="0" applyProtection="0"/>
    <xf numFmtId="208" fontId="76" fillId="0" borderId="0">
      <protection locked="0"/>
    </xf>
    <xf numFmtId="0" fontId="77" fillId="0" borderId="0">
      <protection locked="0"/>
    </xf>
    <xf numFmtId="208" fontId="76" fillId="0" borderId="0">
      <protection locked="0"/>
    </xf>
    <xf numFmtId="209" fontId="77" fillId="0" borderId="0">
      <protection locked="0"/>
    </xf>
    <xf numFmtId="208" fontId="76" fillId="0" borderId="0">
      <protection locked="0"/>
    </xf>
    <xf numFmtId="0" fontId="78" fillId="0" borderId="0"/>
    <xf numFmtId="0" fontId="79" fillId="0" borderId="0">
      <protection locked="0"/>
    </xf>
    <xf numFmtId="0" fontId="79" fillId="0" borderId="0">
      <protection locked="0"/>
    </xf>
    <xf numFmtId="0" fontId="74" fillId="0" borderId="42">
      <alignment horizontal="center"/>
    </xf>
    <xf numFmtId="0" fontId="51" fillId="23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208" fontId="76" fillId="0" borderId="0">
      <protection locked="0"/>
    </xf>
    <xf numFmtId="0" fontId="77" fillId="0" borderId="0">
      <protection locked="0"/>
    </xf>
    <xf numFmtId="0" fontId="51" fillId="24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80" fillId="25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7" borderId="0" applyNumberFormat="0" applyBorder="0" applyAlignment="0" applyProtection="0">
      <alignment vertical="center"/>
    </xf>
    <xf numFmtId="0" fontId="80" fillId="41" borderId="0" applyNumberFormat="0" applyBorder="0" applyAlignment="0" applyProtection="0">
      <alignment vertical="center"/>
    </xf>
    <xf numFmtId="0" fontId="80" fillId="45" borderId="0" applyNumberFormat="0" applyBorder="0" applyAlignment="0" applyProtection="0">
      <alignment vertical="center"/>
    </xf>
    <xf numFmtId="210" fontId="81" fillId="0" borderId="0" applyFont="0" applyFill="0" applyBorder="0" applyAlignment="0" applyProtection="0"/>
    <xf numFmtId="210" fontId="82" fillId="0" borderId="0" applyFont="0" applyFill="0" applyBorder="0" applyAlignment="0" applyProtection="0"/>
    <xf numFmtId="211" fontId="83" fillId="0" borderId="0" applyFont="0" applyFill="0" applyBorder="0" applyAlignment="0" applyProtection="0"/>
    <xf numFmtId="210" fontId="82" fillId="0" borderId="0" applyFont="0" applyFill="0" applyBorder="0" applyAlignment="0" applyProtection="0"/>
    <xf numFmtId="211" fontId="83" fillId="0" borderId="0" applyFont="0" applyFill="0" applyBorder="0" applyAlignment="0" applyProtection="0"/>
    <xf numFmtId="210" fontId="84" fillId="0" borderId="0" applyFont="0" applyFill="0" applyBorder="0" applyAlignment="0" applyProtection="0"/>
    <xf numFmtId="210" fontId="85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5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212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211" fontId="84" fillId="0" borderId="0" applyFont="0" applyFill="0" applyBorder="0" applyAlignment="0" applyProtection="0"/>
    <xf numFmtId="211" fontId="85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5" fillId="0" borderId="0" applyFont="0" applyFill="0" applyBorder="0" applyAlignment="0" applyProtection="0"/>
    <xf numFmtId="213" fontId="81" fillId="0" borderId="0" applyFont="0" applyFill="0" applyBorder="0" applyAlignment="0" applyProtection="0"/>
    <xf numFmtId="213" fontId="82" fillId="0" borderId="0" applyFont="0" applyFill="0" applyBorder="0" applyAlignment="0" applyProtection="0"/>
    <xf numFmtId="214" fontId="83" fillId="0" borderId="0" applyFont="0" applyFill="0" applyBorder="0" applyAlignment="0" applyProtection="0"/>
    <xf numFmtId="213" fontId="82" fillId="0" borderId="0" applyFont="0" applyFill="0" applyBorder="0" applyAlignment="0" applyProtection="0"/>
    <xf numFmtId="214" fontId="83" fillId="0" borderId="0" applyFont="0" applyFill="0" applyBorder="0" applyAlignment="0" applyProtection="0"/>
    <xf numFmtId="213" fontId="84" fillId="0" borderId="0" applyFont="0" applyFill="0" applyBorder="0" applyAlignment="0" applyProtection="0"/>
    <xf numFmtId="213" fontId="85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5" fillId="0" borderId="0" applyFont="0" applyFill="0" applyBorder="0" applyAlignment="0" applyProtection="0"/>
    <xf numFmtId="215" fontId="86" fillId="0" borderId="0" applyFont="0" applyFill="0" applyBorder="0" applyAlignment="0" applyProtection="0"/>
    <xf numFmtId="215" fontId="86" fillId="0" borderId="0" applyFont="0" applyFill="0" applyBorder="0" applyAlignment="0" applyProtection="0"/>
    <xf numFmtId="215" fontId="86" fillId="0" borderId="0" applyFont="0" applyFill="0" applyBorder="0" applyAlignment="0" applyProtection="0"/>
    <xf numFmtId="215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214" fontId="84" fillId="0" borderId="0" applyFont="0" applyFill="0" applyBorder="0" applyAlignment="0" applyProtection="0"/>
    <xf numFmtId="214" fontId="85" fillId="0" borderId="0" applyFont="0" applyFill="0" applyBorder="0" applyAlignment="0" applyProtection="0"/>
    <xf numFmtId="214" fontId="84" fillId="0" borderId="0" applyFont="0" applyFill="0" applyBorder="0" applyAlignment="0" applyProtection="0"/>
    <xf numFmtId="214" fontId="85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5" fillId="0" borderId="0" applyFont="0" applyFill="0" applyBorder="0" applyAlignment="0" applyProtection="0"/>
    <xf numFmtId="208" fontId="76" fillId="0" borderId="0">
      <protection locked="0"/>
    </xf>
    <xf numFmtId="216" fontId="77" fillId="0" borderId="0">
      <protection locked="0"/>
    </xf>
    <xf numFmtId="0" fontId="87" fillId="0" borderId="0"/>
    <xf numFmtId="217" fontId="81" fillId="0" borderId="0" applyFont="0" applyFill="0" applyBorder="0" applyAlignment="0" applyProtection="0"/>
    <xf numFmtId="217" fontId="82" fillId="0" borderId="0" applyFont="0" applyFill="0" applyBorder="0" applyAlignment="0" applyProtection="0"/>
    <xf numFmtId="218" fontId="83" fillId="0" borderId="0" applyFont="0" applyFill="0" applyBorder="0" applyAlignment="0" applyProtection="0"/>
    <xf numFmtId="217" fontId="82" fillId="0" borderId="0" applyFont="0" applyFill="0" applyBorder="0" applyAlignment="0" applyProtection="0"/>
    <xf numFmtId="218" fontId="83" fillId="0" borderId="0" applyFont="0" applyFill="0" applyBorder="0" applyAlignment="0" applyProtection="0"/>
    <xf numFmtId="38" fontId="84" fillId="0" borderId="0" applyFont="0" applyFill="0" applyBorder="0" applyAlignment="0" applyProtection="0"/>
    <xf numFmtId="38" fontId="85" fillId="0" borderId="0" applyFont="0" applyFill="0" applyBorder="0" applyAlignment="0" applyProtection="0"/>
    <xf numFmtId="218" fontId="84" fillId="0" borderId="0" applyFont="0" applyFill="0" applyBorder="0" applyAlignment="0" applyProtection="0"/>
    <xf numFmtId="218" fontId="85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5" fillId="0" borderId="0" applyFont="0" applyFill="0" applyBorder="0" applyAlignment="0" applyProtection="0"/>
    <xf numFmtId="219" fontId="81" fillId="0" borderId="0" applyFont="0" applyFill="0" applyBorder="0" applyAlignment="0" applyProtection="0"/>
    <xf numFmtId="219" fontId="82" fillId="0" borderId="0" applyFont="0" applyFill="0" applyBorder="0" applyAlignment="0" applyProtection="0"/>
    <xf numFmtId="220" fontId="83" fillId="0" borderId="0" applyFont="0" applyFill="0" applyBorder="0" applyAlignment="0" applyProtection="0"/>
    <xf numFmtId="219" fontId="82" fillId="0" borderId="0" applyFont="0" applyFill="0" applyBorder="0" applyAlignment="0" applyProtection="0"/>
    <xf numFmtId="220" fontId="83" fillId="0" borderId="0" applyFont="0" applyFill="0" applyBorder="0" applyAlignment="0" applyProtection="0"/>
    <xf numFmtId="40" fontId="84" fillId="0" borderId="0" applyFont="0" applyFill="0" applyBorder="0" applyAlignment="0" applyProtection="0"/>
    <xf numFmtId="40" fontId="85" fillId="0" borderId="0" applyFont="0" applyFill="0" applyBorder="0" applyAlignment="0" applyProtection="0"/>
    <xf numFmtId="220" fontId="84" fillId="0" borderId="0" applyFont="0" applyFill="0" applyBorder="0" applyAlignment="0" applyProtection="0"/>
    <xf numFmtId="220" fontId="85" fillId="0" borderId="0" applyFont="0" applyFill="0" applyBorder="0" applyAlignment="0" applyProtection="0"/>
    <xf numFmtId="220" fontId="84" fillId="0" borderId="0" applyFont="0" applyFill="0" applyBorder="0" applyAlignment="0" applyProtection="0"/>
    <xf numFmtId="220" fontId="85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5" fillId="0" borderId="0" applyFont="0" applyFill="0" applyBorder="0" applyAlignment="0" applyProtection="0"/>
    <xf numFmtId="4" fontId="77" fillId="0" borderId="0">
      <protection locked="0"/>
    </xf>
    <xf numFmtId="221" fontId="77" fillId="0" borderId="0">
      <protection locked="0"/>
    </xf>
    <xf numFmtId="208" fontId="76" fillId="0" borderId="0">
      <protection locked="0"/>
    </xf>
    <xf numFmtId="208" fontId="76" fillId="0" borderId="0">
      <protection locked="0"/>
    </xf>
    <xf numFmtId="0" fontId="84" fillId="0" borderId="0"/>
    <xf numFmtId="0" fontId="81" fillId="0" borderId="0"/>
    <xf numFmtId="0" fontId="82" fillId="0" borderId="0"/>
    <xf numFmtId="0" fontId="83" fillId="0" borderId="0"/>
    <xf numFmtId="0" fontId="82" fillId="0" borderId="0"/>
    <xf numFmtId="0" fontId="85" fillId="0" borderId="0"/>
    <xf numFmtId="0" fontId="88" fillId="0" borderId="0"/>
    <xf numFmtId="0" fontId="83" fillId="0" borderId="0"/>
    <xf numFmtId="0" fontId="84" fillId="0" borderId="0"/>
    <xf numFmtId="0" fontId="85" fillId="0" borderId="0"/>
    <xf numFmtId="0" fontId="84" fillId="0" borderId="0"/>
    <xf numFmtId="0" fontId="85" fillId="0" borderId="0"/>
    <xf numFmtId="0" fontId="88" fillId="0" borderId="0"/>
    <xf numFmtId="0" fontId="83" fillId="0" borderId="0"/>
    <xf numFmtId="0" fontId="89" fillId="0" borderId="0"/>
    <xf numFmtId="0" fontId="90" fillId="0" borderId="0"/>
    <xf numFmtId="0" fontId="86" fillId="0" borderId="0"/>
    <xf numFmtId="0" fontId="86" fillId="0" borderId="0"/>
    <xf numFmtId="0" fontId="89" fillId="0" borderId="0"/>
    <xf numFmtId="0" fontId="90" fillId="0" borderId="0"/>
    <xf numFmtId="0" fontId="84" fillId="0" borderId="0"/>
    <xf numFmtId="0" fontId="85" fillId="0" borderId="0"/>
    <xf numFmtId="0" fontId="91" fillId="0" borderId="0"/>
    <xf numFmtId="0" fontId="77" fillId="0" borderId="120">
      <protection locked="0"/>
    </xf>
    <xf numFmtId="208" fontId="76" fillId="0" borderId="120">
      <protection locked="0"/>
    </xf>
    <xf numFmtId="218" fontId="75" fillId="0" borderId="0" applyFont="0" applyFill="0" applyBorder="0" applyAlignment="0" applyProtection="0"/>
    <xf numFmtId="222" fontId="92" fillId="0" borderId="0"/>
    <xf numFmtId="220" fontId="75" fillId="0" borderId="0" applyFont="0" applyFill="0" applyBorder="0" applyAlignment="0" applyProtection="0"/>
    <xf numFmtId="3" fontId="93" fillId="0" borderId="0" applyFont="0" applyFill="0" applyBorder="0" applyAlignment="0" applyProtection="0"/>
    <xf numFmtId="223" fontId="75" fillId="0" borderId="0" applyFont="0" applyFill="0" applyBorder="0" applyAlignment="0" applyProtection="0"/>
    <xf numFmtId="224" fontId="75" fillId="0" borderId="0" applyFont="0" applyFill="0" applyBorder="0" applyAlignment="0" applyProtection="0"/>
    <xf numFmtId="225" fontId="93" fillId="0" borderId="0" applyFont="0" applyFill="0" applyBorder="0" applyAlignment="0" applyProtection="0"/>
    <xf numFmtId="0" fontId="55" fillId="0" borderId="0"/>
    <xf numFmtId="0" fontId="94" fillId="0" borderId="0" applyFill="0" applyBorder="0" applyAlignment="0" applyProtection="0"/>
    <xf numFmtId="226" fontId="1" fillId="0" borderId="0" applyFont="0" applyFill="0" applyBorder="0" applyAlignment="0" applyProtection="0"/>
    <xf numFmtId="227" fontId="1" fillId="0" borderId="0" applyFont="0" applyFill="0" applyBorder="0" applyAlignment="0" applyProtection="0"/>
    <xf numFmtId="228" fontId="1" fillId="0" borderId="0"/>
    <xf numFmtId="229" fontId="95" fillId="0" borderId="0" applyFill="0" applyBorder="0">
      <alignment horizontal="centerContinuous"/>
    </xf>
    <xf numFmtId="208" fontId="76" fillId="0" borderId="0">
      <protection locked="0"/>
    </xf>
    <xf numFmtId="208" fontId="76" fillId="0" borderId="0">
      <protection locked="0"/>
    </xf>
    <xf numFmtId="230" fontId="77" fillId="0" borderId="0">
      <protection locked="0"/>
    </xf>
    <xf numFmtId="231" fontId="77" fillId="0" borderId="0">
      <protection locked="0"/>
    </xf>
    <xf numFmtId="2" fontId="94" fillId="0" borderId="0" applyFill="0" applyBorder="0" applyAlignment="0" applyProtection="0"/>
    <xf numFmtId="38" fontId="96" fillId="47" borderId="0" applyNumberFormat="0" applyBorder="0" applyAlignment="0" applyProtection="0"/>
    <xf numFmtId="0" fontId="96" fillId="0" borderId="0" applyNumberFormat="0" applyFill="0" applyBorder="0" applyProtection="0"/>
    <xf numFmtId="0" fontId="97" fillId="0" borderId="139" applyNumberFormat="0" applyAlignment="0" applyProtection="0">
      <alignment horizontal="left" vertical="center"/>
    </xf>
    <xf numFmtId="0" fontId="97" fillId="0" borderId="57">
      <alignment horizontal="left" vertical="center"/>
    </xf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01" fillId="0" borderId="0" applyNumberFormat="0" applyFill="0" applyBorder="0" applyProtection="0"/>
    <xf numFmtId="10" fontId="96" fillId="48" borderId="4" applyNumberFormat="0" applyBorder="0" applyAlignment="0" applyProtection="0"/>
    <xf numFmtId="41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102" fillId="0" borderId="14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232" fontId="1" fillId="0" borderId="0"/>
    <xf numFmtId="0" fontId="75" fillId="0" borderId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10" fontId="75" fillId="0" borderId="0" applyFont="0" applyFill="0" applyBorder="0" applyAlignment="0" applyProtection="0"/>
    <xf numFmtId="0" fontId="75" fillId="0" borderId="0"/>
    <xf numFmtId="0" fontId="102" fillId="0" borderId="0"/>
    <xf numFmtId="0" fontId="103" fillId="0" borderId="0" applyNumberFormat="0" applyFill="0" applyBorder="0" applyProtection="0"/>
    <xf numFmtId="0" fontId="104" fillId="0" borderId="0" applyFill="0" applyBorder="0" applyProtection="0">
      <alignment horizontal="centerContinuous" vertical="center"/>
    </xf>
    <xf numFmtId="0" fontId="105" fillId="49" borderId="0" applyFill="0" applyBorder="0" applyProtection="0">
      <alignment horizontal="center" vertical="center"/>
    </xf>
    <xf numFmtId="233" fontId="95" fillId="0" borderId="0" applyFill="0" applyBorder="0">
      <alignment horizontal="centerContinuous"/>
    </xf>
    <xf numFmtId="0" fontId="94" fillId="0" borderId="136" applyNumberFormat="0" applyFill="0" applyAlignment="0" applyProtection="0"/>
    <xf numFmtId="234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80" fillId="22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4" borderId="0" applyNumberFormat="0" applyBorder="0" applyAlignment="0" applyProtection="0">
      <alignment vertical="center"/>
    </xf>
    <xf numFmtId="0" fontId="80" fillId="38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7" fillId="19" borderId="95" applyNumberFormat="0" applyAlignment="0" applyProtection="0">
      <alignment vertical="center"/>
    </xf>
    <xf numFmtId="2" fontId="108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Fill="0" applyBorder="0" applyProtection="0">
      <alignment horizontal="left" shrinkToFit="1"/>
    </xf>
    <xf numFmtId="235" fontId="74" fillId="0" borderId="0"/>
    <xf numFmtId="235" fontId="74" fillId="0" borderId="0"/>
    <xf numFmtId="235" fontId="74" fillId="0" borderId="0"/>
    <xf numFmtId="235" fontId="74" fillId="0" borderId="0"/>
    <xf numFmtId="235" fontId="74" fillId="0" borderId="0"/>
    <xf numFmtId="235" fontId="74" fillId="0" borderId="0"/>
    <xf numFmtId="235" fontId="74" fillId="0" borderId="0"/>
    <xf numFmtId="235" fontId="74" fillId="0" borderId="0"/>
    <xf numFmtId="235" fontId="74" fillId="0" borderId="0"/>
    <xf numFmtId="235" fontId="74" fillId="0" borderId="0"/>
    <xf numFmtId="235" fontId="74" fillId="0" borderId="0"/>
    <xf numFmtId="0" fontId="112" fillId="16" borderId="0" applyNumberFormat="0" applyBorder="0" applyAlignment="0" applyProtection="0">
      <alignment vertical="center"/>
    </xf>
    <xf numFmtId="0" fontId="108" fillId="0" borderId="0" applyFont="0" applyFill="0" applyBorder="0" applyAlignment="0" applyProtection="0"/>
    <xf numFmtId="3" fontId="87" fillId="0" borderId="44">
      <alignment horizontal="center"/>
    </xf>
    <xf numFmtId="0" fontId="108" fillId="0" borderId="0" applyFont="0" applyFill="0" applyBorder="0" applyAlignment="0" applyProtection="0"/>
    <xf numFmtId="0" fontId="113" fillId="0" borderId="0" applyNumberFormat="0" applyFill="0" applyBorder="0" applyAlignment="0" applyProtection="0">
      <alignment vertical="top"/>
      <protection locked="0"/>
    </xf>
    <xf numFmtId="40" fontId="114" fillId="0" borderId="0" applyFont="0" applyFill="0" applyBorder="0" applyAlignment="0" applyProtection="0"/>
    <xf numFmtId="38" fontId="114" fillId="0" borderId="0" applyFont="0" applyFill="0" applyBorder="0" applyAlignment="0" applyProtection="0"/>
    <xf numFmtId="0" fontId="51" fillId="21" borderId="99" applyNumberFormat="0" applyFont="0" applyAlignment="0" applyProtection="0">
      <alignment vertical="center"/>
    </xf>
    <xf numFmtId="0" fontId="114" fillId="0" borderId="0" applyFont="0" applyFill="0" applyBorder="0" applyAlignment="0" applyProtection="0"/>
    <xf numFmtId="0" fontId="114" fillId="0" borderId="0" applyFont="0" applyFill="0" applyBorder="0" applyAlignment="0" applyProtection="0"/>
    <xf numFmtId="208" fontId="115" fillId="0" borderId="0">
      <protection locked="0"/>
    </xf>
    <xf numFmtId="9" fontId="116" fillId="49" borderId="0" applyFill="0" applyBorder="0" applyProtection="0">
      <alignment horizontal="right"/>
    </xf>
    <xf numFmtId="10" fontId="116" fillId="0" borderId="0" applyFill="0" applyBorder="0" applyProtection="0">
      <alignment horizontal="right"/>
    </xf>
    <xf numFmtId="0" fontId="117" fillId="17" borderId="0" applyNumberFormat="0" applyBorder="0" applyAlignment="0" applyProtection="0">
      <alignment vertical="center"/>
    </xf>
    <xf numFmtId="0" fontId="118" fillId="0" borderId="0"/>
    <xf numFmtId="0" fontId="119" fillId="0" borderId="0" applyNumberFormat="0" applyFill="0" applyBorder="0" applyAlignment="0" applyProtection="0">
      <alignment vertical="center"/>
    </xf>
    <xf numFmtId="0" fontId="120" fillId="20" borderId="98" applyNumberFormat="0" applyAlignment="0" applyProtection="0">
      <alignment vertical="center"/>
    </xf>
    <xf numFmtId="217" fontId="121" fillId="0" borderId="0">
      <alignment vertical="center"/>
    </xf>
    <xf numFmtId="41" fontId="71" fillId="0" borderId="0" applyFont="0" applyFill="0" applyBorder="0" applyAlignment="0" applyProtection="0"/>
    <xf numFmtId="41" fontId="71" fillId="0" borderId="0" applyFont="0" applyFill="0" applyBorder="0" applyAlignment="0" applyProtection="0"/>
    <xf numFmtId="41" fontId="71" fillId="0" borderId="0" applyFont="0" applyFill="0" applyBorder="0" applyAlignment="0" applyProtection="0"/>
    <xf numFmtId="41" fontId="71" fillId="0" borderId="0" applyFont="0" applyFill="0" applyBorder="0" applyAlignment="0" applyProtection="0"/>
    <xf numFmtId="41" fontId="71" fillId="0" borderId="0" applyFont="0" applyFill="0" applyBorder="0" applyAlignment="0" applyProtection="0"/>
    <xf numFmtId="41" fontId="71" fillId="0" borderId="0" applyFont="0" applyFill="0" applyBorder="0" applyAlignment="0" applyProtection="0"/>
    <xf numFmtId="41" fontId="71" fillId="0" borderId="0" applyFont="0" applyFill="0" applyBorder="0" applyAlignment="0" applyProtection="0"/>
    <xf numFmtId="41" fontId="7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51" fillId="0" borderId="0" applyFont="0" applyFill="0" applyBorder="0" applyAlignment="0" applyProtection="0">
      <alignment vertical="center"/>
    </xf>
    <xf numFmtId="0" fontId="75" fillId="0" borderId="0"/>
    <xf numFmtId="0" fontId="122" fillId="0" borderId="97" applyNumberFormat="0" applyFill="0" applyAlignment="0" applyProtection="0">
      <alignment vertical="center"/>
    </xf>
    <xf numFmtId="0" fontId="123" fillId="0" borderId="100" applyNumberFormat="0" applyFill="0" applyAlignment="0" applyProtection="0">
      <alignment vertical="center"/>
    </xf>
    <xf numFmtId="236" fontId="17" fillId="0" borderId="0" applyFill="0" applyBorder="0">
      <alignment horizontal="centerContinuous"/>
    </xf>
    <xf numFmtId="237" fontId="17" fillId="0" borderId="0" applyFill="0" applyBorder="0">
      <alignment horizontal="centerContinuous"/>
    </xf>
    <xf numFmtId="2" fontId="17" fillId="0" borderId="0" applyFill="0" applyBorder="0" applyProtection="0">
      <alignment horizontal="centerContinuous"/>
    </xf>
    <xf numFmtId="0" fontId="124" fillId="18" borderId="95" applyNumberFormat="0" applyAlignment="0" applyProtection="0">
      <alignment vertical="center"/>
    </xf>
    <xf numFmtId="4" fontId="108" fillId="0" borderId="0" applyFont="0" applyFill="0" applyBorder="0" applyAlignment="0" applyProtection="0"/>
    <xf numFmtId="3" fontId="108" fillId="0" borderId="0" applyFont="0" applyFill="0" applyBorder="0" applyAlignment="0" applyProtection="0"/>
    <xf numFmtId="238" fontId="95" fillId="0" borderId="0" applyFill="0" applyBorder="0">
      <alignment horizontal="centerContinuous"/>
    </xf>
    <xf numFmtId="0" fontId="125" fillId="0" borderId="92" applyNumberFormat="0" applyFill="0" applyAlignment="0" applyProtection="0">
      <alignment vertical="center"/>
    </xf>
    <xf numFmtId="0" fontId="126" fillId="0" borderId="93" applyNumberFormat="0" applyFill="0" applyAlignment="0" applyProtection="0">
      <alignment vertical="center"/>
    </xf>
    <xf numFmtId="0" fontId="127" fillId="0" borderId="94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30" fillId="15" borderId="0" applyNumberFormat="0" applyBorder="0" applyAlignment="0" applyProtection="0">
      <alignment vertical="center"/>
    </xf>
    <xf numFmtId="239" fontId="17" fillId="0" borderId="0" applyFill="0" applyBorder="0">
      <alignment horizontal="centerContinuous"/>
    </xf>
    <xf numFmtId="240" fontId="17" fillId="0" borderId="0" applyFill="0" applyBorder="0">
      <alignment horizontal="centerContinuous"/>
    </xf>
    <xf numFmtId="0" fontId="74" fillId="0" borderId="0"/>
    <xf numFmtId="0" fontId="131" fillId="19" borderId="96" applyNumberFormat="0" applyAlignment="0" applyProtection="0">
      <alignment vertical="center"/>
    </xf>
    <xf numFmtId="208" fontId="115" fillId="0" borderId="0">
      <protection locked="0"/>
    </xf>
    <xf numFmtId="208" fontId="115" fillId="0" borderId="0">
      <protection locked="0"/>
    </xf>
    <xf numFmtId="41" fontId="1" fillId="0" borderId="0" applyFont="0" applyFill="0" applyBorder="0" applyAlignment="0" applyProtection="0"/>
    <xf numFmtId="241" fontId="75" fillId="0" borderId="4"/>
    <xf numFmtId="242" fontId="1" fillId="49" borderId="0" applyFill="0" applyBorder="0" applyProtection="0">
      <alignment horizontal="right"/>
    </xf>
    <xf numFmtId="220" fontId="74" fillId="0" borderId="0" applyFont="0" applyFill="0" applyBorder="0" applyAlignment="0" applyProtection="0"/>
    <xf numFmtId="208" fontId="115" fillId="0" borderId="0">
      <protection locked="0"/>
    </xf>
    <xf numFmtId="208" fontId="115" fillId="0" borderId="0">
      <protection locked="0"/>
    </xf>
    <xf numFmtId="10" fontId="108" fillId="0" borderId="0" applyFont="0" applyFill="0" applyBorder="0" applyAlignment="0" applyProtection="0"/>
    <xf numFmtId="208" fontId="115" fillId="0" borderId="0">
      <protection locked="0"/>
    </xf>
    <xf numFmtId="0" fontId="71" fillId="0" borderId="0"/>
    <xf numFmtId="0" fontId="132" fillId="0" borderId="0">
      <alignment vertical="center"/>
    </xf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50" fillId="0" borderId="0">
      <alignment vertical="center"/>
    </xf>
    <xf numFmtId="0" fontId="133" fillId="0" borderId="0">
      <alignment vertical="center"/>
    </xf>
    <xf numFmtId="0" fontId="1" fillId="0" borderId="0"/>
    <xf numFmtId="49" fontId="54" fillId="0" borderId="0">
      <alignment horizontal="left"/>
    </xf>
    <xf numFmtId="0" fontId="108" fillId="0" borderId="120" applyNumberFormat="0" applyFont="0" applyFill="0" applyAlignment="0" applyProtection="0"/>
    <xf numFmtId="7" fontId="108" fillId="0" borderId="0" applyFont="0" applyFill="0" applyBorder="0" applyAlignment="0" applyProtection="0"/>
    <xf numFmtId="5" fontId="108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71" fillId="0" borderId="0"/>
    <xf numFmtId="0" fontId="71" fillId="0" borderId="0"/>
    <xf numFmtId="0" fontId="96" fillId="0" borderId="0" applyNumberFormat="0" applyFill="0" applyBorder="0" applyProtection="0"/>
    <xf numFmtId="0" fontId="51" fillId="0" borderId="0">
      <alignment vertical="center"/>
    </xf>
    <xf numFmtId="0" fontId="71" fillId="0" borderId="0"/>
    <xf numFmtId="189" fontId="134" fillId="0" borderId="0">
      <alignment horizontal="right"/>
    </xf>
    <xf numFmtId="0" fontId="50" fillId="0" borderId="0">
      <alignment vertical="center"/>
    </xf>
    <xf numFmtId="0" fontId="71" fillId="0" borderId="0"/>
    <xf numFmtId="0" fontId="71" fillId="0" borderId="0"/>
    <xf numFmtId="0" fontId="51" fillId="23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80" fillId="25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7" borderId="0" applyNumberFormat="0" applyBorder="0" applyAlignment="0" applyProtection="0">
      <alignment vertical="center"/>
    </xf>
    <xf numFmtId="0" fontId="80" fillId="41" borderId="0" applyNumberFormat="0" applyBorder="0" applyAlignment="0" applyProtection="0">
      <alignment vertical="center"/>
    </xf>
    <xf numFmtId="0" fontId="80" fillId="45" borderId="0" applyNumberFormat="0" applyBorder="0" applyAlignment="0" applyProtection="0">
      <alignment vertical="center"/>
    </xf>
    <xf numFmtId="0" fontId="80" fillId="22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4" borderId="0" applyNumberFormat="0" applyBorder="0" applyAlignment="0" applyProtection="0">
      <alignment vertical="center"/>
    </xf>
    <xf numFmtId="0" fontId="80" fillId="38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7" fillId="19" borderId="95" applyNumberFormat="0" applyAlignment="0" applyProtection="0">
      <alignment vertical="center"/>
    </xf>
    <xf numFmtId="0" fontId="112" fillId="16" borderId="0" applyNumberFormat="0" applyBorder="0" applyAlignment="0" applyProtection="0">
      <alignment vertical="center"/>
    </xf>
    <xf numFmtId="0" fontId="51" fillId="21" borderId="99" applyNumberFormat="0" applyFont="0" applyAlignment="0" applyProtection="0">
      <alignment vertical="center"/>
    </xf>
    <xf numFmtId="0" fontId="117" fillId="17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20" fillId="20" borderId="98" applyNumberFormat="0" applyAlignment="0" applyProtection="0">
      <alignment vertical="center"/>
    </xf>
    <xf numFmtId="0" fontId="122" fillId="0" borderId="97" applyNumberFormat="0" applyFill="0" applyAlignment="0" applyProtection="0">
      <alignment vertical="center"/>
    </xf>
    <xf numFmtId="0" fontId="123" fillId="0" borderId="100" applyNumberFormat="0" applyFill="0" applyAlignment="0" applyProtection="0">
      <alignment vertical="center"/>
    </xf>
    <xf numFmtId="0" fontId="124" fillId="18" borderId="95" applyNumberFormat="0" applyAlignment="0" applyProtection="0">
      <alignment vertical="center"/>
    </xf>
    <xf numFmtId="0" fontId="125" fillId="0" borderId="92" applyNumberFormat="0" applyFill="0" applyAlignment="0" applyProtection="0">
      <alignment vertical="center"/>
    </xf>
    <xf numFmtId="0" fontId="126" fillId="0" borderId="93" applyNumberFormat="0" applyFill="0" applyAlignment="0" applyProtection="0">
      <alignment vertical="center"/>
    </xf>
    <xf numFmtId="0" fontId="127" fillId="0" borderId="94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30" fillId="15" borderId="0" applyNumberFormat="0" applyBorder="0" applyAlignment="0" applyProtection="0">
      <alignment vertical="center"/>
    </xf>
    <xf numFmtId="0" fontId="131" fillId="19" borderId="96" applyNumberFormat="0" applyAlignment="0" applyProtection="0">
      <alignment vertical="center"/>
    </xf>
    <xf numFmtId="0" fontId="51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47" fillId="0" borderId="0">
      <alignment vertical="center"/>
    </xf>
    <xf numFmtId="0" fontId="1" fillId="0" borderId="0"/>
    <xf numFmtId="0" fontId="51" fillId="0" borderId="0">
      <alignment vertical="center"/>
    </xf>
    <xf numFmtId="0" fontId="51" fillId="0" borderId="0">
      <alignment vertical="center"/>
    </xf>
    <xf numFmtId="0" fontId="50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1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1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1" fillId="0" borderId="0"/>
    <xf numFmtId="0" fontId="74" fillId="0" borderId="0"/>
    <xf numFmtId="0" fontId="74" fillId="0" borderId="0"/>
    <xf numFmtId="0" fontId="174" fillId="0" borderId="0"/>
  </cellStyleXfs>
  <cellXfs count="2888">
    <xf numFmtId="0" fontId="0" fillId="0" borderId="0" xfId="0">
      <alignment vertical="center"/>
    </xf>
    <xf numFmtId="0" fontId="1" fillId="0" borderId="0" xfId="2" applyBorder="1">
      <alignment vertical="center"/>
    </xf>
    <xf numFmtId="0" fontId="1" fillId="0" borderId="0" xfId="2">
      <alignment vertical="center"/>
    </xf>
    <xf numFmtId="41" fontId="1" fillId="0" borderId="0" xfId="2" applyNumberFormat="1" applyBorder="1">
      <alignment vertical="center"/>
    </xf>
    <xf numFmtId="0" fontId="6" fillId="2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center" vertical="center"/>
    </xf>
    <xf numFmtId="9" fontId="1" fillId="0" borderId="0" xfId="1" applyNumberFormat="1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1" fillId="0" borderId="0" xfId="2" applyFill="1">
      <alignment vertical="center"/>
    </xf>
    <xf numFmtId="0" fontId="11" fillId="2" borderId="4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left" vertical="center"/>
    </xf>
    <xf numFmtId="0" fontId="11" fillId="2" borderId="8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41" fontId="1" fillId="0" borderId="0" xfId="2" applyNumberFormat="1">
      <alignment vertical="center"/>
    </xf>
    <xf numFmtId="0" fontId="7" fillId="0" borderId="0" xfId="2" applyFont="1" applyFill="1" applyBorder="1">
      <alignment vertical="center"/>
    </xf>
    <xf numFmtId="0" fontId="1" fillId="0" borderId="0" xfId="2" applyFill="1" applyBorder="1">
      <alignment vertical="center"/>
    </xf>
    <xf numFmtId="0" fontId="11" fillId="0" borderId="0" xfId="1" applyFont="1" applyFill="1" applyBorder="1" applyAlignment="1">
      <alignment horizontal="center" vertical="center"/>
    </xf>
    <xf numFmtId="0" fontId="1" fillId="5" borderId="0" xfId="2" applyFill="1" applyBorder="1">
      <alignment vertical="center"/>
    </xf>
    <xf numFmtId="0" fontId="14" fillId="0" borderId="0" xfId="2" applyFont="1" applyFill="1" applyBorder="1">
      <alignment vertical="center"/>
    </xf>
    <xf numFmtId="0" fontId="15" fillId="0" borderId="0" xfId="1" applyFont="1" applyFill="1" applyBorder="1" applyAlignment="1">
      <alignment horizontal="center" vertical="center"/>
    </xf>
    <xf numFmtId="0" fontId="14" fillId="0" borderId="0" xfId="1" applyFont="1" applyFill="1" applyBorder="1" applyAlignment="1">
      <alignment horizontal="center" vertical="center"/>
    </xf>
    <xf numFmtId="9" fontId="14" fillId="0" borderId="0" xfId="1" applyNumberFormat="1" applyFont="1" applyFill="1" applyBorder="1" applyAlignment="1">
      <alignment horizontal="center" vertical="center"/>
    </xf>
    <xf numFmtId="0" fontId="17" fillId="0" borderId="0" xfId="2" applyFont="1" applyFill="1" applyBorder="1">
      <alignment vertical="center"/>
    </xf>
    <xf numFmtId="0" fontId="14" fillId="0" borderId="0" xfId="2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41" fontId="14" fillId="0" borderId="0" xfId="0" applyNumberFormat="1" applyFont="1" applyFill="1" applyBorder="1" applyAlignment="1">
      <alignment horizontal="center" vertical="center"/>
    </xf>
    <xf numFmtId="41" fontId="16" fillId="0" borderId="0" xfId="0" applyNumberFormat="1" applyFont="1" applyFill="1" applyBorder="1" applyAlignment="1">
      <alignment horizontal="center" vertical="center"/>
    </xf>
    <xf numFmtId="41" fontId="16" fillId="0" borderId="0" xfId="0" applyNumberFormat="1" applyFont="1" applyBorder="1">
      <alignment vertical="center"/>
    </xf>
    <xf numFmtId="41" fontId="16" fillId="0" borderId="0" xfId="0" applyNumberFormat="1" applyFont="1" applyBorder="1" applyAlignment="1">
      <alignment horizontal="center" vertical="center"/>
    </xf>
    <xf numFmtId="0" fontId="1" fillId="0" borderId="4" xfId="2" applyBorder="1">
      <alignment vertical="center"/>
    </xf>
    <xf numFmtId="0" fontId="17" fillId="0" borderId="0" xfId="2" applyFont="1" applyBorder="1">
      <alignment vertical="center"/>
    </xf>
    <xf numFmtId="0" fontId="17" fillId="0" borderId="0" xfId="2" applyFont="1" applyBorder="1" applyAlignment="1">
      <alignment horizontal="center" vertical="center"/>
    </xf>
    <xf numFmtId="0" fontId="5" fillId="0" borderId="0" xfId="1" applyFont="1" applyFill="1" applyBorder="1" applyAlignment="1">
      <alignment horizontal="left" vertical="center"/>
    </xf>
    <xf numFmtId="0" fontId="24" fillId="0" borderId="0" xfId="5" applyFont="1" applyFill="1" applyAlignment="1">
      <alignment horizontal="left" vertical="center"/>
    </xf>
    <xf numFmtId="0" fontId="24" fillId="0" borderId="0" xfId="6" applyFont="1" applyFill="1" applyAlignment="1">
      <alignment horizontal="centerContinuous" vertical="center"/>
    </xf>
    <xf numFmtId="176" fontId="24" fillId="0" borderId="0" xfId="6" applyNumberFormat="1" applyFont="1" applyFill="1" applyAlignment="1">
      <alignment horizontal="centerContinuous" vertical="center"/>
    </xf>
    <xf numFmtId="0" fontId="26" fillId="0" borderId="0" xfId="6" applyFont="1" applyFill="1" applyAlignment="1">
      <alignment horizontal="center" vertical="center"/>
    </xf>
    <xf numFmtId="0" fontId="33" fillId="0" borderId="0" xfId="6" applyFont="1" applyFill="1" applyBorder="1" applyAlignment="1">
      <alignment horizontal="center" vertical="center"/>
    </xf>
    <xf numFmtId="0" fontId="26" fillId="9" borderId="0" xfId="6" applyFont="1" applyFill="1" applyAlignment="1">
      <alignment horizontal="center" vertical="center"/>
    </xf>
    <xf numFmtId="176" fontId="34" fillId="0" borderId="0" xfId="6" applyNumberFormat="1" applyFont="1" applyFill="1" applyAlignment="1">
      <alignment horizontal="center" vertical="center"/>
    </xf>
    <xf numFmtId="176" fontId="26" fillId="0" borderId="0" xfId="6" applyNumberFormat="1" applyFont="1" applyFill="1" applyAlignment="1">
      <alignment horizontal="center" vertical="center"/>
    </xf>
    <xf numFmtId="0" fontId="1" fillId="0" borderId="0" xfId="5" applyFont="1" applyFill="1"/>
    <xf numFmtId="41" fontId="36" fillId="0" borderId="4" xfId="11" applyFont="1" applyFill="1" applyBorder="1">
      <alignment vertical="center"/>
    </xf>
    <xf numFmtId="41" fontId="1" fillId="0" borderId="4" xfId="9" applyNumberFormat="1" applyFont="1" applyBorder="1">
      <alignment vertical="center"/>
    </xf>
    <xf numFmtId="0" fontId="26" fillId="0" borderId="0" xfId="6" applyFont="1" applyFill="1" applyBorder="1" applyAlignment="1">
      <alignment horizontal="center" vertical="center"/>
    </xf>
    <xf numFmtId="0" fontId="35" fillId="0" borderId="0" xfId="2" applyFont="1">
      <alignment vertical="center"/>
    </xf>
    <xf numFmtId="0" fontId="36" fillId="0" borderId="0" xfId="2" applyFont="1">
      <alignment vertical="center"/>
    </xf>
    <xf numFmtId="0" fontId="37" fillId="0" borderId="0" xfId="2" applyFont="1">
      <alignment vertical="center"/>
    </xf>
    <xf numFmtId="0" fontId="36" fillId="0" borderId="35" xfId="2" applyFont="1" applyFill="1" applyBorder="1" applyAlignment="1">
      <alignment horizontal="center" vertical="center"/>
    </xf>
    <xf numFmtId="0" fontId="38" fillId="0" borderId="0" xfId="2" applyFont="1">
      <alignment vertical="center"/>
    </xf>
    <xf numFmtId="41" fontId="37" fillId="0" borderId="0" xfId="2" applyNumberFormat="1" applyFont="1">
      <alignment vertical="center"/>
    </xf>
    <xf numFmtId="0" fontId="36" fillId="0" borderId="34" xfId="2" applyFont="1" applyFill="1" applyBorder="1" applyAlignment="1">
      <alignment horizontal="center" vertical="center"/>
    </xf>
    <xf numFmtId="0" fontId="36" fillId="11" borderId="34" xfId="2" applyFont="1" applyFill="1" applyBorder="1" applyAlignment="1">
      <alignment horizontal="center" vertical="center"/>
    </xf>
    <xf numFmtId="41" fontId="36" fillId="11" borderId="44" xfId="11" applyFont="1" applyFill="1" applyBorder="1" applyAlignment="1">
      <alignment horizontal="center" vertical="center"/>
    </xf>
    <xf numFmtId="0" fontId="36" fillId="11" borderId="35" xfId="2" applyFont="1" applyFill="1" applyBorder="1" applyAlignment="1">
      <alignment horizontal="center" vertical="center"/>
    </xf>
    <xf numFmtId="0" fontId="37" fillId="0" borderId="0" xfId="2" applyFont="1" applyFill="1">
      <alignment vertical="center"/>
    </xf>
    <xf numFmtId="41" fontId="36" fillId="11" borderId="40" xfId="11" applyFont="1" applyFill="1" applyBorder="1" applyAlignment="1">
      <alignment horizontal="center" vertical="center"/>
    </xf>
    <xf numFmtId="41" fontId="36" fillId="0" borderId="40" xfId="11" applyFont="1" applyFill="1" applyBorder="1" applyAlignment="1">
      <alignment horizontal="center" vertical="center"/>
    </xf>
    <xf numFmtId="0" fontId="33" fillId="0" borderId="0" xfId="6" applyFont="1" applyFill="1" applyBorder="1" applyAlignment="1">
      <alignment horizontal="center" vertical="center" wrapText="1"/>
    </xf>
    <xf numFmtId="185" fontId="26" fillId="0" borderId="4" xfId="6" applyNumberFormat="1" applyFont="1" applyFill="1" applyBorder="1" applyAlignment="1">
      <alignment horizontal="center" vertical="center"/>
    </xf>
    <xf numFmtId="41" fontId="36" fillId="0" borderId="4" xfId="11" applyFont="1" applyFill="1" applyBorder="1" applyAlignment="1">
      <alignment horizontal="center" vertical="center"/>
    </xf>
    <xf numFmtId="41" fontId="1" fillId="0" borderId="0" xfId="9" applyNumberFormat="1" applyFont="1" applyBorder="1">
      <alignment vertical="center"/>
    </xf>
    <xf numFmtId="0" fontId="26" fillId="0" borderId="0" xfId="6" applyFont="1" applyFill="1" applyAlignment="1">
      <alignment horizontal="left"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41" fontId="13" fillId="0" borderId="0" xfId="0" applyNumberFormat="1" applyFont="1" applyBorder="1" applyAlignment="1">
      <alignment horizontal="center" vertical="center"/>
    </xf>
    <xf numFmtId="0" fontId="12" fillId="0" borderId="0" xfId="2" applyFont="1" applyBorder="1">
      <alignment vertical="center"/>
    </xf>
    <xf numFmtId="41" fontId="12" fillId="0" borderId="0" xfId="2" applyNumberFormat="1" applyFont="1" applyBorder="1">
      <alignment vertical="center"/>
    </xf>
    <xf numFmtId="9" fontId="7" fillId="0" borderId="0" xfId="1" applyNumberFormat="1" applyFont="1" applyFill="1" applyBorder="1" applyAlignment="1">
      <alignment horizontal="center" vertical="center"/>
    </xf>
    <xf numFmtId="41" fontId="12" fillId="0" borderId="0" xfId="2" applyNumberFormat="1" applyFont="1" applyFill="1" applyBorder="1">
      <alignment vertical="center"/>
    </xf>
    <xf numFmtId="10" fontId="1" fillId="0" borderId="0" xfId="12" applyNumberFormat="1" applyFont="1">
      <alignment vertical="center"/>
    </xf>
    <xf numFmtId="41" fontId="12" fillId="0" borderId="0" xfId="0" applyNumberFormat="1" applyFont="1" applyFill="1" applyBorder="1" applyAlignment="1">
      <alignment horizontal="center" vertical="center"/>
    </xf>
    <xf numFmtId="41" fontId="12" fillId="0" borderId="4" xfId="2" applyNumberFormat="1" applyFont="1" applyFill="1" applyBorder="1">
      <alignment vertical="center"/>
    </xf>
    <xf numFmtId="2" fontId="26" fillId="0" borderId="0" xfId="6" applyNumberFormat="1" applyFont="1" applyFill="1" applyBorder="1" applyAlignment="1">
      <alignment horizontal="center" vertical="center"/>
    </xf>
    <xf numFmtId="0" fontId="7" fillId="0" borderId="0" xfId="5" applyFont="1" applyFill="1" applyBorder="1" applyAlignment="1">
      <alignment horizontal="center" vertical="center"/>
    </xf>
    <xf numFmtId="0" fontId="37" fillId="0" borderId="41" xfId="2" applyFont="1" applyBorder="1">
      <alignment vertical="center"/>
    </xf>
    <xf numFmtId="0" fontId="37" fillId="0" borderId="31" xfId="2" applyFont="1" applyBorder="1">
      <alignment vertical="center"/>
    </xf>
    <xf numFmtId="41" fontId="36" fillId="11" borderId="30" xfId="11" applyFont="1" applyFill="1" applyBorder="1" applyAlignment="1">
      <alignment horizontal="center" vertical="center"/>
    </xf>
    <xf numFmtId="0" fontId="36" fillId="0" borderId="10" xfId="13" applyFont="1" applyFill="1" applyBorder="1" applyAlignment="1">
      <alignment horizontal="center" vertical="center"/>
    </xf>
    <xf numFmtId="0" fontId="36" fillId="0" borderId="11" xfId="13" applyFont="1" applyFill="1" applyBorder="1" applyAlignment="1">
      <alignment horizontal="center" vertical="center"/>
    </xf>
    <xf numFmtId="0" fontId="36" fillId="0" borderId="16" xfId="13" applyFont="1" applyFill="1" applyBorder="1" applyAlignment="1">
      <alignment horizontal="center" vertical="center"/>
    </xf>
    <xf numFmtId="0" fontId="36" fillId="0" borderId="13" xfId="13" applyFont="1" applyFill="1" applyBorder="1" applyAlignment="1">
      <alignment horizontal="center" vertical="center"/>
    </xf>
    <xf numFmtId="41" fontId="36" fillId="0" borderId="47" xfId="11" applyFont="1" applyFill="1" applyBorder="1" applyAlignment="1">
      <alignment horizontal="center" vertical="center"/>
    </xf>
    <xf numFmtId="41" fontId="36" fillId="11" borderId="47" xfId="11" applyFont="1" applyFill="1" applyBorder="1" applyAlignment="1">
      <alignment horizontal="center" vertical="center"/>
    </xf>
    <xf numFmtId="0" fontId="37" fillId="0" borderId="48" xfId="2" applyFont="1" applyBorder="1">
      <alignment vertical="center"/>
    </xf>
    <xf numFmtId="41" fontId="36" fillId="11" borderId="34" xfId="11" applyFont="1" applyFill="1" applyBorder="1" applyAlignment="1">
      <alignment horizontal="center" vertical="center"/>
    </xf>
    <xf numFmtId="0" fontId="37" fillId="0" borderId="36" xfId="2" applyFont="1" applyBorder="1">
      <alignment vertical="center"/>
    </xf>
    <xf numFmtId="41" fontId="36" fillId="0" borderId="34" xfId="11" applyFont="1" applyFill="1" applyBorder="1" applyAlignment="1">
      <alignment horizontal="center" vertical="center"/>
    </xf>
    <xf numFmtId="41" fontId="36" fillId="0" borderId="30" xfId="11" applyFont="1" applyFill="1" applyBorder="1" applyAlignment="1">
      <alignment horizontal="center" vertical="center"/>
    </xf>
    <xf numFmtId="176" fontId="24" fillId="0" borderId="66" xfId="6" applyNumberFormat="1" applyFont="1" applyFill="1" applyBorder="1" applyAlignment="1">
      <alignment horizontal="centerContinuous" vertical="center"/>
    </xf>
    <xf numFmtId="176" fontId="24" fillId="0" borderId="0" xfId="6" applyNumberFormat="1" applyFont="1" applyFill="1" applyAlignment="1">
      <alignment horizontal="left" vertical="center"/>
    </xf>
    <xf numFmtId="176" fontId="24" fillId="0" borderId="67" xfId="6" applyNumberFormat="1" applyFont="1" applyFill="1" applyBorder="1" applyAlignment="1">
      <alignment horizontal="centerContinuous" vertical="center"/>
    </xf>
    <xf numFmtId="176" fontId="24" fillId="0" borderId="70" xfId="6" applyNumberFormat="1" applyFont="1" applyFill="1" applyBorder="1" applyAlignment="1">
      <alignment horizontal="centerContinuous" vertical="center"/>
    </xf>
    <xf numFmtId="41" fontId="1" fillId="0" borderId="4" xfId="2" applyNumberFormat="1" applyBorder="1">
      <alignment vertical="center"/>
    </xf>
    <xf numFmtId="41" fontId="42" fillId="0" borderId="4" xfId="0" applyNumberFormat="1" applyFont="1" applyBorder="1" applyAlignment="1">
      <alignment horizontal="center" vertical="center"/>
    </xf>
    <xf numFmtId="0" fontId="0" fillId="0" borderId="4" xfId="0" applyBorder="1">
      <alignment vertical="center"/>
    </xf>
    <xf numFmtId="0" fontId="11" fillId="13" borderId="4" xfId="2" applyFont="1" applyFill="1" applyBorder="1" applyAlignment="1">
      <alignment horizontal="center" vertical="center" wrapText="1"/>
    </xf>
    <xf numFmtId="0" fontId="11" fillId="13" borderId="4" xfId="2" applyFont="1" applyFill="1" applyBorder="1" applyAlignment="1">
      <alignment horizontal="center" vertical="center"/>
    </xf>
    <xf numFmtId="0" fontId="11" fillId="13" borderId="0" xfId="2" applyFont="1" applyFill="1" applyBorder="1" applyAlignment="1">
      <alignment horizontal="center" vertical="center"/>
    </xf>
    <xf numFmtId="41" fontId="12" fillId="13" borderId="4" xfId="2" applyNumberFormat="1" applyFont="1" applyFill="1" applyBorder="1">
      <alignment vertical="center"/>
    </xf>
    <xf numFmtId="41" fontId="7" fillId="13" borderId="4" xfId="2" applyNumberFormat="1" applyFont="1" applyFill="1" applyBorder="1" applyAlignment="1">
      <alignment horizontal="center" vertical="center"/>
    </xf>
    <xf numFmtId="0" fontId="1" fillId="0" borderId="1" xfId="2" applyFill="1" applyBorder="1">
      <alignment vertical="center"/>
    </xf>
    <xf numFmtId="0" fontId="43" fillId="0" borderId="0" xfId="0" applyFont="1" applyBorder="1" applyAlignment="1">
      <alignment horizontal="center" vertical="center"/>
    </xf>
    <xf numFmtId="9" fontId="44" fillId="0" borderId="0" xfId="12" applyFont="1" applyBorder="1">
      <alignment vertical="center"/>
    </xf>
    <xf numFmtId="0" fontId="44" fillId="0" borderId="0" xfId="0" applyFont="1" applyBorder="1">
      <alignment vertical="center"/>
    </xf>
    <xf numFmtId="0" fontId="0" fillId="0" borderId="5" xfId="0" applyBorder="1">
      <alignment vertical="center"/>
    </xf>
    <xf numFmtId="0" fontId="0" fillId="0" borderId="0" xfId="0" applyFill="1">
      <alignment vertical="center"/>
    </xf>
    <xf numFmtId="0" fontId="0" fillId="0" borderId="0" xfId="0" applyFill="1" applyBorder="1">
      <alignment vertical="center"/>
    </xf>
    <xf numFmtId="0" fontId="37" fillId="0" borderId="45" xfId="2" applyFont="1" applyBorder="1">
      <alignment vertical="center"/>
    </xf>
    <xf numFmtId="41" fontId="36" fillId="0" borderId="44" xfId="1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4" xfId="0" applyBorder="1" applyAlignment="1">
      <alignment horizontal="center" vertical="center"/>
    </xf>
    <xf numFmtId="0" fontId="45" fillId="0" borderId="0" xfId="0" applyFont="1" applyBorder="1">
      <alignment vertical="center"/>
    </xf>
    <xf numFmtId="0" fontId="26" fillId="0" borderId="86" xfId="6" applyFont="1" applyFill="1" applyBorder="1" applyAlignment="1">
      <alignment horizontal="center" vertical="center"/>
    </xf>
    <xf numFmtId="0" fontId="26" fillId="0" borderId="75" xfId="6" applyFont="1" applyFill="1" applyBorder="1" applyAlignment="1">
      <alignment horizontal="center" vertical="center"/>
    </xf>
    <xf numFmtId="0" fontId="27" fillId="0" borderId="0" xfId="6" applyFont="1" applyFill="1" applyAlignment="1">
      <alignment horizontal="center" vertical="center"/>
    </xf>
    <xf numFmtId="179" fontId="28" fillId="11" borderId="4" xfId="6" applyNumberFormat="1" applyFont="1" applyFill="1" applyBorder="1" applyAlignment="1">
      <alignment horizontal="center" vertical="center"/>
    </xf>
    <xf numFmtId="0" fontId="0" fillId="6" borderId="4" xfId="0" applyFill="1" applyBorder="1">
      <alignment vertical="center"/>
    </xf>
    <xf numFmtId="41" fontId="0" fillId="0" borderId="10" xfId="0" applyNumberFormat="1" applyBorder="1">
      <alignment vertical="center"/>
    </xf>
    <xf numFmtId="0" fontId="0" fillId="0" borderId="11" xfId="0" applyBorder="1">
      <alignment vertical="center"/>
    </xf>
    <xf numFmtId="0" fontId="0" fillId="0" borderId="6" xfId="0" applyBorder="1">
      <alignment vertical="center"/>
    </xf>
    <xf numFmtId="0" fontId="0" fillId="0" borderId="89" xfId="0" applyBorder="1">
      <alignment vertical="center"/>
    </xf>
    <xf numFmtId="9" fontId="0" fillId="0" borderId="16" xfId="12" applyFont="1" applyBorder="1">
      <alignment vertical="center"/>
    </xf>
    <xf numFmtId="41" fontId="0" fillId="0" borderId="13" xfId="0" applyNumberFormat="1" applyBorder="1">
      <alignment vertical="center"/>
    </xf>
    <xf numFmtId="41" fontId="45" fillId="0" borderId="12" xfId="3" applyFont="1" applyBorder="1">
      <alignment vertical="center"/>
    </xf>
    <xf numFmtId="0" fontId="45" fillId="0" borderId="23" xfId="0" applyFont="1" applyBorder="1">
      <alignment vertical="center"/>
    </xf>
    <xf numFmtId="0" fontId="0" fillId="0" borderId="0" xfId="0" applyBorder="1" applyAlignment="1">
      <alignment horizontal="center" vertical="center"/>
    </xf>
    <xf numFmtId="41" fontId="45" fillId="0" borderId="0" xfId="3" applyFont="1" applyBorder="1">
      <alignment vertical="center"/>
    </xf>
    <xf numFmtId="0" fontId="0" fillId="0" borderId="0" xfId="0" applyBorder="1" applyAlignment="1">
      <alignment horizontal="left" vertical="center"/>
    </xf>
    <xf numFmtId="0" fontId="45" fillId="0" borderId="4" xfId="0" applyFont="1" applyBorder="1">
      <alignment vertical="center"/>
    </xf>
    <xf numFmtId="9" fontId="45" fillId="0" borderId="4" xfId="3" applyNumberFormat="1" applyFont="1" applyBorder="1">
      <alignment vertical="center"/>
    </xf>
    <xf numFmtId="0" fontId="0" fillId="0" borderId="73" xfId="0" applyBorder="1">
      <alignment vertical="center"/>
    </xf>
    <xf numFmtId="189" fontId="0" fillId="0" borderId="4" xfId="0" applyNumberFormat="1" applyBorder="1">
      <alignment vertical="center"/>
    </xf>
    <xf numFmtId="9" fontId="45" fillId="0" borderId="58" xfId="3" applyNumberFormat="1" applyFont="1" applyBorder="1">
      <alignment vertical="center"/>
    </xf>
    <xf numFmtId="41" fontId="46" fillId="0" borderId="4" xfId="3" applyFont="1" applyBorder="1">
      <alignment vertical="center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>
      <alignment vertical="center"/>
    </xf>
    <xf numFmtId="0" fontId="9" fillId="0" borderId="4" xfId="0" applyFont="1" applyBorder="1" applyAlignment="1">
      <alignment horizontal="center" vertical="center" wrapText="1"/>
    </xf>
    <xf numFmtId="41" fontId="9" fillId="0" borderId="4" xfId="0" applyNumberFormat="1" applyFont="1" applyBorder="1">
      <alignment vertical="center"/>
    </xf>
    <xf numFmtId="9" fontId="9" fillId="0" borderId="4" xfId="12" applyFont="1" applyBorder="1">
      <alignment vertical="center"/>
    </xf>
    <xf numFmtId="0" fontId="9" fillId="13" borderId="4" xfId="0" applyFont="1" applyFill="1" applyBorder="1" applyAlignment="1">
      <alignment horizontal="center" vertical="center"/>
    </xf>
    <xf numFmtId="0" fontId="9" fillId="13" borderId="4" xfId="0" applyFont="1" applyFill="1" applyBorder="1">
      <alignment vertical="center"/>
    </xf>
    <xf numFmtId="9" fontId="13" fillId="0" borderId="4" xfId="12" applyFont="1" applyBorder="1">
      <alignment vertical="center"/>
    </xf>
    <xf numFmtId="0" fontId="47" fillId="14" borderId="78" xfId="0" applyFont="1" applyFill="1" applyBorder="1" applyAlignment="1">
      <alignment horizontal="center" vertical="center"/>
    </xf>
    <xf numFmtId="0" fontId="47" fillId="14" borderId="62" xfId="0" applyFont="1" applyFill="1" applyBorder="1">
      <alignment vertical="center"/>
    </xf>
    <xf numFmtId="0" fontId="47" fillId="14" borderId="62" xfId="0" applyFont="1" applyFill="1" applyBorder="1" applyAlignment="1">
      <alignment vertical="center"/>
    </xf>
    <xf numFmtId="0" fontId="9" fillId="0" borderId="55" xfId="0" applyFont="1" applyBorder="1">
      <alignment vertical="center"/>
    </xf>
    <xf numFmtId="0" fontId="9" fillId="0" borderId="4" xfId="0" applyFont="1" applyFill="1" applyBorder="1">
      <alignment vertical="center"/>
    </xf>
    <xf numFmtId="0" fontId="48" fillId="0" borderId="0" xfId="0" applyFont="1">
      <alignment vertical="center"/>
    </xf>
    <xf numFmtId="0" fontId="47" fillId="0" borderId="62" xfId="0" applyFont="1" applyFill="1" applyBorder="1" applyAlignment="1">
      <alignment vertical="center"/>
    </xf>
    <xf numFmtId="0" fontId="9" fillId="0" borderId="79" xfId="0" applyFont="1" applyBorder="1" applyAlignment="1">
      <alignment horizontal="center" vertical="center"/>
    </xf>
    <xf numFmtId="0" fontId="9" fillId="13" borderId="64" xfId="0" applyFont="1" applyFill="1" applyBorder="1">
      <alignment vertical="center"/>
    </xf>
    <xf numFmtId="9" fontId="9" fillId="0" borderId="55" xfId="0" applyNumberFormat="1" applyFont="1" applyBorder="1">
      <alignment vertical="center"/>
    </xf>
    <xf numFmtId="9" fontId="9" fillId="0" borderId="4" xfId="0" applyNumberFormat="1" applyFont="1" applyBorder="1">
      <alignment vertical="center"/>
    </xf>
    <xf numFmtId="0" fontId="9" fillId="0" borderId="64" xfId="0" applyFont="1" applyFill="1" applyBorder="1">
      <alignment vertical="center"/>
    </xf>
    <xf numFmtId="0" fontId="9" fillId="0" borderId="83" xfId="0" applyFont="1" applyBorder="1" applyAlignment="1">
      <alignment horizontal="center" vertical="center"/>
    </xf>
    <xf numFmtId="1" fontId="9" fillId="0" borderId="80" xfId="0" applyNumberFormat="1" applyFont="1" applyBorder="1">
      <alignment vertical="center"/>
    </xf>
    <xf numFmtId="9" fontId="9" fillId="0" borderId="4" xfId="12" applyNumberFormat="1" applyFont="1" applyBorder="1">
      <alignment vertical="center"/>
    </xf>
    <xf numFmtId="0" fontId="9" fillId="0" borderId="0" xfId="0" applyFont="1" applyFill="1" applyBorder="1">
      <alignment vertical="center"/>
    </xf>
    <xf numFmtId="0" fontId="9" fillId="0" borderId="84" xfId="0" applyFont="1" applyBorder="1" applyAlignment="1">
      <alignment horizontal="center" vertical="center"/>
    </xf>
    <xf numFmtId="1" fontId="9" fillId="0" borderId="81" xfId="0" applyNumberFormat="1" applyFont="1" applyBorder="1">
      <alignment vertical="center"/>
    </xf>
    <xf numFmtId="0" fontId="9" fillId="0" borderId="85" xfId="0" applyFont="1" applyBorder="1" applyAlignment="1">
      <alignment horizontal="center" vertical="center"/>
    </xf>
    <xf numFmtId="1" fontId="9" fillId="0" borderId="82" xfId="0" applyNumberFormat="1" applyFont="1" applyBorder="1">
      <alignment vertical="center"/>
    </xf>
    <xf numFmtId="0" fontId="48" fillId="0" borderId="0" xfId="0" applyFont="1" applyAlignment="1">
      <alignment horizontal="center" vertical="center"/>
    </xf>
    <xf numFmtId="0" fontId="9" fillId="0" borderId="0" xfId="0" applyFont="1" applyFill="1">
      <alignment vertical="center"/>
    </xf>
    <xf numFmtId="0" fontId="9" fillId="0" borderId="7" xfId="0" applyFont="1" applyBorder="1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>
      <alignment vertical="center"/>
    </xf>
    <xf numFmtId="0" fontId="9" fillId="0" borderId="64" xfId="0" applyFont="1" applyBorder="1" applyAlignment="1">
      <alignment horizontal="center" vertical="center"/>
    </xf>
    <xf numFmtId="0" fontId="26" fillId="0" borderId="87" xfId="6" applyFont="1" applyFill="1" applyBorder="1" applyAlignment="1">
      <alignment horizontal="center" vertical="center"/>
    </xf>
    <xf numFmtId="0" fontId="26" fillId="0" borderId="77" xfId="6" applyFont="1" applyFill="1" applyBorder="1" applyAlignment="1">
      <alignment horizontal="center" vertical="center"/>
    </xf>
    <xf numFmtId="41" fontId="1" fillId="0" borderId="1" xfId="2" applyNumberFormat="1" applyFill="1" applyBorder="1">
      <alignment vertical="center"/>
    </xf>
    <xf numFmtId="41" fontId="10" fillId="0" borderId="4" xfId="2" applyNumberFormat="1" applyFont="1" applyFill="1" applyBorder="1" applyAlignment="1">
      <alignment horizontal="center" vertical="center"/>
    </xf>
    <xf numFmtId="0" fontId="18" fillId="0" borderId="0" xfId="2" applyFont="1" applyBorder="1">
      <alignment vertical="center"/>
    </xf>
    <xf numFmtId="41" fontId="7" fillId="0" borderId="0" xfId="2" applyNumberFormat="1" applyFont="1" applyFill="1" applyBorder="1" applyAlignment="1">
      <alignment horizontal="center" vertical="center"/>
    </xf>
    <xf numFmtId="0" fontId="31" fillId="0" borderId="0" xfId="14" applyFont="1" applyAlignment="1">
      <alignment vertical="center"/>
    </xf>
    <xf numFmtId="0" fontId="1" fillId="0" borderId="0" xfId="10">
      <alignment vertical="center"/>
    </xf>
    <xf numFmtId="0" fontId="11" fillId="0" borderId="0" xfId="14" applyFont="1" applyAlignment="1">
      <alignment vertical="center"/>
    </xf>
    <xf numFmtId="0" fontId="1" fillId="0" borderId="0" xfId="10" applyBorder="1">
      <alignment vertical="center"/>
    </xf>
    <xf numFmtId="0" fontId="1" fillId="0" borderId="59" xfId="10" applyBorder="1">
      <alignment vertical="center"/>
    </xf>
    <xf numFmtId="0" fontId="1" fillId="0" borderId="17" xfId="10" applyBorder="1">
      <alignment vertical="center"/>
    </xf>
    <xf numFmtId="0" fontId="1" fillId="0" borderId="18" xfId="10" applyBorder="1">
      <alignment vertical="center"/>
    </xf>
    <xf numFmtId="0" fontId="1" fillId="0" borderId="15" xfId="10" applyBorder="1">
      <alignment vertical="center"/>
    </xf>
    <xf numFmtId="0" fontId="17" fillId="0" borderId="15" xfId="13" applyFont="1" applyBorder="1" applyAlignment="1">
      <alignment horizontal="right"/>
    </xf>
    <xf numFmtId="0" fontId="1" fillId="0" borderId="73" xfId="10" applyBorder="1">
      <alignment vertical="center"/>
    </xf>
    <xf numFmtId="0" fontId="1" fillId="0" borderId="58" xfId="10" applyBorder="1">
      <alignment vertical="center"/>
    </xf>
    <xf numFmtId="3" fontId="17" fillId="0" borderId="10" xfId="13" applyNumberFormat="1" applyFont="1" applyFill="1" applyBorder="1" applyAlignment="1">
      <alignment vertical="center"/>
    </xf>
    <xf numFmtId="41" fontId="1" fillId="0" borderId="0" xfId="10" applyNumberFormat="1" applyBorder="1">
      <alignment vertical="center"/>
    </xf>
    <xf numFmtId="41" fontId="1" fillId="0" borderId="73" xfId="10" applyNumberFormat="1" applyBorder="1">
      <alignment vertical="center"/>
    </xf>
    <xf numFmtId="0" fontId="17" fillId="0" borderId="11" xfId="13" applyFont="1" applyBorder="1" applyAlignment="1">
      <alignment horizontal="center" vertical="center"/>
    </xf>
    <xf numFmtId="4" fontId="17" fillId="0" borderId="12" xfId="13" applyNumberFormat="1" applyFont="1" applyFill="1" applyBorder="1" applyAlignment="1">
      <alignment vertical="center"/>
    </xf>
    <xf numFmtId="191" fontId="1" fillId="0" borderId="0" xfId="10" applyNumberFormat="1" applyBorder="1">
      <alignment vertical="center"/>
    </xf>
    <xf numFmtId="192" fontId="17" fillId="0" borderId="12" xfId="13" applyNumberFormat="1" applyFont="1" applyFill="1" applyBorder="1" applyAlignment="1">
      <alignment vertical="center"/>
    </xf>
    <xf numFmtId="3" fontId="53" fillId="0" borderId="101" xfId="0" applyNumberFormat="1" applyFont="1" applyBorder="1" applyAlignment="1">
      <alignment horizontal="center" vertical="center" wrapText="1"/>
    </xf>
    <xf numFmtId="4" fontId="17" fillId="0" borderId="1" xfId="13" applyNumberFormat="1" applyFont="1" applyFill="1" applyBorder="1" applyAlignment="1">
      <alignment vertical="center"/>
    </xf>
    <xf numFmtId="3" fontId="53" fillId="0" borderId="102" xfId="0" applyNumberFormat="1" applyFont="1" applyBorder="1" applyAlignment="1">
      <alignment horizontal="center" vertical="center" wrapText="1"/>
    </xf>
    <xf numFmtId="4" fontId="17" fillId="0" borderId="47" xfId="13" applyNumberFormat="1" applyFont="1" applyFill="1" applyBorder="1" applyAlignment="1">
      <alignment vertical="center"/>
    </xf>
    <xf numFmtId="0" fontId="1" fillId="0" borderId="4" xfId="10" applyBorder="1">
      <alignment vertical="center"/>
    </xf>
    <xf numFmtId="3" fontId="1" fillId="0" borderId="4" xfId="10" applyNumberFormat="1" applyBorder="1">
      <alignment vertical="center"/>
    </xf>
    <xf numFmtId="3" fontId="56" fillId="0" borderId="0" xfId="0" applyNumberFormat="1" applyFont="1" applyBorder="1">
      <alignment vertical="center"/>
    </xf>
    <xf numFmtId="3" fontId="56" fillId="0" borderId="73" xfId="0" applyNumberFormat="1" applyFont="1" applyBorder="1">
      <alignment vertical="center"/>
    </xf>
    <xf numFmtId="3" fontId="56" fillId="0" borderId="58" xfId="0" applyNumberFormat="1" applyFont="1" applyBorder="1">
      <alignment vertical="center"/>
    </xf>
    <xf numFmtId="0" fontId="1" fillId="0" borderId="23" xfId="10" applyBorder="1">
      <alignment vertical="center"/>
    </xf>
    <xf numFmtId="0" fontId="1" fillId="0" borderId="46" xfId="10" applyBorder="1">
      <alignment vertical="center"/>
    </xf>
    <xf numFmtId="192" fontId="1" fillId="0" borderId="0" xfId="10" applyNumberFormat="1" applyBorder="1">
      <alignment vertical="center"/>
    </xf>
    <xf numFmtId="0" fontId="4" fillId="0" borderId="4" xfId="13" applyFont="1" applyBorder="1" applyAlignment="1">
      <alignment horizontal="center" vertical="center"/>
    </xf>
    <xf numFmtId="0" fontId="57" fillId="0" borderId="4" xfId="13" applyFont="1" applyBorder="1" applyAlignment="1">
      <alignment horizontal="center" vertical="center"/>
    </xf>
    <xf numFmtId="0" fontId="4" fillId="0" borderId="4" xfId="13" applyFont="1" applyFill="1" applyBorder="1" applyAlignment="1">
      <alignment horizontal="center" vertical="center"/>
    </xf>
    <xf numFmtId="41" fontId="36" fillId="0" borderId="4" xfId="10" applyNumberFormat="1" applyFont="1" applyBorder="1" applyAlignment="1">
      <alignment horizontal="center" vertical="center"/>
    </xf>
    <xf numFmtId="41" fontId="4" fillId="0" borderId="4" xfId="13" applyNumberFormat="1" applyFont="1" applyBorder="1" applyAlignment="1">
      <alignment horizontal="center" vertical="center"/>
    </xf>
    <xf numFmtId="192" fontId="57" fillId="0" borderId="4" xfId="13" applyNumberFormat="1" applyFont="1" applyFill="1" applyBorder="1" applyAlignment="1">
      <alignment vertical="center"/>
    </xf>
    <xf numFmtId="0" fontId="4" fillId="0" borderId="7" xfId="13" applyFont="1" applyFill="1" applyBorder="1" applyAlignment="1">
      <alignment horizontal="center" vertical="center"/>
    </xf>
    <xf numFmtId="41" fontId="36" fillId="0" borderId="7" xfId="10" applyNumberFormat="1" applyFont="1" applyBorder="1" applyAlignment="1">
      <alignment horizontal="center" vertical="center"/>
    </xf>
    <xf numFmtId="192" fontId="57" fillId="0" borderId="7" xfId="13" applyNumberFormat="1" applyFont="1" applyFill="1" applyBorder="1" applyAlignment="1">
      <alignment vertical="center"/>
    </xf>
    <xf numFmtId="41" fontId="4" fillId="0" borderId="7" xfId="13" applyNumberFormat="1" applyFont="1" applyBorder="1" applyAlignment="1">
      <alignment horizontal="center" vertical="center"/>
    </xf>
    <xf numFmtId="3" fontId="4" fillId="0" borderId="4" xfId="13" applyNumberFormat="1" applyFont="1" applyFill="1" applyBorder="1" applyAlignment="1">
      <alignment vertical="center"/>
    </xf>
    <xf numFmtId="3" fontId="57" fillId="0" borderId="4" xfId="13" applyNumberFormat="1" applyFont="1" applyFill="1" applyBorder="1" applyAlignment="1">
      <alignment vertical="center"/>
    </xf>
    <xf numFmtId="0" fontId="58" fillId="46" borderId="103" xfId="0" applyFont="1" applyFill="1" applyBorder="1" applyAlignment="1">
      <alignment horizontal="center" vertical="center" wrapText="1"/>
    </xf>
    <xf numFmtId="0" fontId="58" fillId="46" borderId="107" xfId="0" applyFont="1" applyFill="1" applyBorder="1" applyAlignment="1">
      <alignment horizontal="center" vertical="center" wrapText="1"/>
    </xf>
    <xf numFmtId="0" fontId="58" fillId="46" borderId="108" xfId="0" applyFont="1" applyFill="1" applyBorder="1" applyAlignment="1">
      <alignment horizontal="center" vertical="center" wrapText="1"/>
    </xf>
    <xf numFmtId="0" fontId="59" fillId="0" borderId="109" xfId="0" applyFont="1" applyBorder="1" applyAlignment="1">
      <alignment vertical="center" wrapText="1"/>
    </xf>
    <xf numFmtId="3" fontId="59" fillId="0" borderId="109" xfId="0" applyNumberFormat="1" applyFont="1" applyBorder="1" applyAlignment="1">
      <alignment vertical="center" wrapText="1"/>
    </xf>
    <xf numFmtId="0" fontId="59" fillId="0" borderId="56" xfId="0" applyFont="1" applyBorder="1" applyAlignment="1">
      <alignment vertical="center" wrapText="1"/>
    </xf>
    <xf numFmtId="3" fontId="59" fillId="0" borderId="56" xfId="0" applyNumberFormat="1" applyFont="1" applyBorder="1" applyAlignment="1">
      <alignment vertical="center" wrapText="1"/>
    </xf>
    <xf numFmtId="0" fontId="59" fillId="0" borderId="106" xfId="0" applyFont="1" applyBorder="1" applyAlignment="1">
      <alignment vertical="center" wrapText="1"/>
    </xf>
    <xf numFmtId="41" fontId="60" fillId="0" borderId="0" xfId="11" applyFont="1">
      <alignment vertical="center"/>
    </xf>
    <xf numFmtId="41" fontId="7" fillId="0" borderId="0" xfId="11" applyFont="1">
      <alignment vertical="center"/>
    </xf>
    <xf numFmtId="0" fontId="61" fillId="0" borderId="15" xfId="2" applyFont="1" applyFill="1" applyBorder="1" applyAlignment="1">
      <alignment horizontal="left" vertical="center"/>
    </xf>
    <xf numFmtId="41" fontId="60" fillId="0" borderId="0" xfId="11" applyFont="1" applyFill="1">
      <alignment vertical="center"/>
    </xf>
    <xf numFmtId="193" fontId="60" fillId="0" borderId="0" xfId="11" applyNumberFormat="1" applyFont="1" applyFill="1" applyAlignment="1">
      <alignment horizontal="center" vertical="center"/>
    </xf>
    <xf numFmtId="41" fontId="7" fillId="0" borderId="0" xfId="11" applyFont="1" applyFill="1">
      <alignment vertical="center"/>
    </xf>
    <xf numFmtId="41" fontId="7" fillId="0" borderId="59" xfId="11" applyFont="1" applyFill="1" applyBorder="1" applyAlignment="1">
      <alignment horizontal="center" vertical="center"/>
    </xf>
    <xf numFmtId="41" fontId="7" fillId="0" borderId="17" xfId="11" applyFont="1" applyFill="1" applyBorder="1" applyAlignment="1">
      <alignment horizontal="center" vertical="center"/>
    </xf>
    <xf numFmtId="41" fontId="7" fillId="0" borderId="18" xfId="11" applyFont="1" applyFill="1" applyBorder="1" applyAlignment="1">
      <alignment horizontal="center" vertical="center"/>
    </xf>
    <xf numFmtId="41" fontId="7" fillId="0" borderId="0" xfId="11" applyFont="1" applyFill="1" applyAlignment="1">
      <alignment horizontal="center" vertical="center"/>
    </xf>
    <xf numFmtId="41" fontId="7" fillId="0" borderId="0" xfId="11" applyFont="1" applyFill="1" applyBorder="1" applyAlignment="1">
      <alignment horizontal="center" vertical="center"/>
    </xf>
    <xf numFmtId="41" fontId="7" fillId="0" borderId="73" xfId="11" applyFont="1" applyFill="1" applyBorder="1" applyAlignment="1">
      <alignment horizontal="center" vertical="center"/>
    </xf>
    <xf numFmtId="41" fontId="7" fillId="0" borderId="58" xfId="11" applyFont="1" applyFill="1" applyBorder="1" applyAlignment="1">
      <alignment horizontal="center" vertical="center"/>
    </xf>
    <xf numFmtId="41" fontId="60" fillId="0" borderId="44" xfId="11" applyFont="1" applyFill="1" applyBorder="1" applyAlignment="1">
      <alignment horizontal="center" vertical="center"/>
    </xf>
    <xf numFmtId="41" fontId="60" fillId="0" borderId="44" xfId="11" applyFont="1" applyFill="1" applyBorder="1" applyAlignment="1">
      <alignment horizontal="center" vertical="center" wrapText="1"/>
    </xf>
    <xf numFmtId="41" fontId="60" fillId="0" borderId="40" xfId="11" applyFont="1" applyFill="1" applyBorder="1" applyAlignment="1">
      <alignment horizontal="center" vertical="center"/>
    </xf>
    <xf numFmtId="41" fontId="60" fillId="0" borderId="40" xfId="11" applyFont="1" applyFill="1" applyBorder="1" applyAlignment="1">
      <alignment horizontal="center" vertical="center" wrapText="1"/>
    </xf>
    <xf numFmtId="41" fontId="52" fillId="0" borderId="40" xfId="11" applyFont="1" applyFill="1" applyBorder="1">
      <alignment vertical="center"/>
    </xf>
    <xf numFmtId="193" fontId="52" fillId="0" borderId="40" xfId="11" applyNumberFormat="1" applyFont="1" applyFill="1" applyBorder="1" applyAlignment="1">
      <alignment horizontal="center" vertical="center"/>
    </xf>
    <xf numFmtId="41" fontId="60" fillId="0" borderId="2" xfId="11" applyFont="1" applyFill="1" applyBorder="1" applyAlignment="1">
      <alignment horizontal="center" vertical="center"/>
    </xf>
    <xf numFmtId="41" fontId="60" fillId="0" borderId="0" xfId="11" applyFont="1" applyFill="1" applyBorder="1" applyAlignment="1">
      <alignment horizontal="center" vertical="center"/>
    </xf>
    <xf numFmtId="41" fontId="60" fillId="0" borderId="73" xfId="11" applyFont="1" applyFill="1" applyBorder="1" applyAlignment="1">
      <alignment horizontal="center" vertical="center"/>
    </xf>
    <xf numFmtId="179" fontId="52" fillId="0" borderId="53" xfId="11" applyNumberFormat="1" applyFont="1" applyFill="1" applyBorder="1" applyAlignment="1">
      <alignment horizontal="center" vertical="center"/>
    </xf>
    <xf numFmtId="41" fontId="52" fillId="0" borderId="113" xfId="11" applyFont="1" applyFill="1" applyBorder="1">
      <alignment vertical="center"/>
    </xf>
    <xf numFmtId="189" fontId="52" fillId="0" borderId="32" xfId="3" applyNumberFormat="1" applyFont="1" applyFill="1" applyBorder="1">
      <alignment vertical="center"/>
    </xf>
    <xf numFmtId="41" fontId="60" fillId="0" borderId="2" xfId="11" applyFont="1" applyFill="1" applyBorder="1">
      <alignment vertical="center"/>
    </xf>
    <xf numFmtId="41" fontId="60" fillId="0" borderId="0" xfId="11" applyFont="1" applyFill="1" applyBorder="1">
      <alignment vertical="center"/>
    </xf>
    <xf numFmtId="41" fontId="60" fillId="0" borderId="73" xfId="11" applyFont="1" applyFill="1" applyBorder="1">
      <alignment vertical="center"/>
    </xf>
    <xf numFmtId="41" fontId="7" fillId="0" borderId="0" xfId="11" applyFont="1" applyFill="1" applyBorder="1">
      <alignment vertical="center"/>
    </xf>
    <xf numFmtId="41" fontId="7" fillId="0" borderId="73" xfId="11" applyFont="1" applyFill="1" applyBorder="1">
      <alignment vertical="center"/>
    </xf>
    <xf numFmtId="41" fontId="7" fillId="0" borderId="58" xfId="11" applyFont="1" applyFill="1" applyBorder="1">
      <alignment vertical="center"/>
    </xf>
    <xf numFmtId="41" fontId="52" fillId="0" borderId="30" xfId="11" applyFont="1" applyFill="1" applyBorder="1">
      <alignment vertical="center"/>
    </xf>
    <xf numFmtId="189" fontId="52" fillId="0" borderId="1" xfId="11" applyNumberFormat="1" applyFont="1" applyFill="1" applyBorder="1">
      <alignment vertical="center"/>
    </xf>
    <xf numFmtId="193" fontId="52" fillId="0" borderId="1" xfId="11" applyNumberFormat="1" applyFont="1" applyFill="1" applyBorder="1" applyAlignment="1">
      <alignment horizontal="center" vertical="center"/>
    </xf>
    <xf numFmtId="41" fontId="52" fillId="0" borderId="43" xfId="11" applyFont="1" applyFill="1" applyBorder="1" applyAlignment="1">
      <alignment vertical="center"/>
    </xf>
    <xf numFmtId="41" fontId="52" fillId="0" borderId="44" xfId="11" applyFont="1" applyFill="1" applyBorder="1" applyAlignment="1">
      <alignment vertical="center"/>
    </xf>
    <xf numFmtId="189" fontId="52" fillId="0" borderId="44" xfId="11" applyNumberFormat="1" applyFont="1" applyFill="1" applyBorder="1" applyAlignment="1">
      <alignment vertical="center"/>
    </xf>
    <xf numFmtId="187" fontId="52" fillId="0" borderId="44" xfId="11" applyNumberFormat="1" applyFont="1" applyFill="1" applyBorder="1" applyAlignment="1">
      <alignment horizontal="center" vertical="center"/>
    </xf>
    <xf numFmtId="178" fontId="7" fillId="0" borderId="0" xfId="11" applyNumberFormat="1" applyFont="1" applyFill="1" applyBorder="1">
      <alignment vertical="center"/>
    </xf>
    <xf numFmtId="41" fontId="62" fillId="0" borderId="0" xfId="11" applyFont="1" applyFill="1" applyBorder="1" applyAlignment="1">
      <alignment horizontal="center" vertical="center"/>
    </xf>
    <xf numFmtId="41" fontId="60" fillId="0" borderId="0" xfId="11" applyFont="1" applyFill="1" applyBorder="1" applyAlignment="1">
      <alignment horizontal="left" vertical="center" wrapText="1"/>
    </xf>
    <xf numFmtId="41" fontId="7" fillId="0" borderId="15" xfId="11" applyFont="1" applyFill="1" applyBorder="1">
      <alignment vertical="center"/>
    </xf>
    <xf numFmtId="41" fontId="7" fillId="0" borderId="0" xfId="11" applyFont="1" applyBorder="1">
      <alignment vertical="center"/>
    </xf>
    <xf numFmtId="41" fontId="7" fillId="0" borderId="73" xfId="11" applyFont="1" applyBorder="1">
      <alignment vertical="center"/>
    </xf>
    <xf numFmtId="41" fontId="7" fillId="0" borderId="58" xfId="11" applyFont="1" applyBorder="1">
      <alignment vertical="center"/>
    </xf>
    <xf numFmtId="189" fontId="52" fillId="0" borderId="32" xfId="11" applyNumberFormat="1" applyFont="1" applyFill="1" applyBorder="1">
      <alignment vertical="center"/>
    </xf>
    <xf numFmtId="41" fontId="7" fillId="0" borderId="23" xfId="11" applyFont="1" applyBorder="1">
      <alignment vertical="center"/>
    </xf>
    <xf numFmtId="41" fontId="7" fillId="0" borderId="15" xfId="11" applyFont="1" applyBorder="1">
      <alignment vertical="center"/>
    </xf>
    <xf numFmtId="41" fontId="7" fillId="0" borderId="46" xfId="11" applyFont="1" applyBorder="1">
      <alignment vertical="center"/>
    </xf>
    <xf numFmtId="193" fontId="60" fillId="0" borderId="0" xfId="11" applyNumberFormat="1" applyFont="1" applyFill="1" applyBorder="1" applyAlignment="1">
      <alignment horizontal="center" vertical="center"/>
    </xf>
    <xf numFmtId="41" fontId="60" fillId="0" borderId="20" xfId="11" applyFont="1" applyFill="1" applyBorder="1" applyAlignment="1">
      <alignment horizontal="center" vertical="center"/>
    </xf>
    <xf numFmtId="41" fontId="60" fillId="0" borderId="21" xfId="11" applyFont="1" applyFill="1" applyBorder="1" applyAlignment="1">
      <alignment horizontal="center" vertical="center"/>
    </xf>
    <xf numFmtId="41" fontId="60" fillId="0" borderId="91" xfId="11" applyFont="1" applyFill="1" applyBorder="1" applyAlignment="1">
      <alignment horizontal="center" vertical="center"/>
    </xf>
    <xf numFmtId="41" fontId="52" fillId="0" borderId="65" xfId="11" applyFont="1" applyFill="1" applyBorder="1">
      <alignment vertical="center"/>
    </xf>
    <xf numFmtId="0" fontId="61" fillId="0" borderId="0" xfId="2" applyFont="1" applyFill="1" applyAlignment="1">
      <alignment horizontal="left" vertical="center"/>
    </xf>
    <xf numFmtId="193" fontId="7" fillId="0" borderId="0" xfId="11" applyNumberFormat="1" applyFont="1" applyFill="1" applyAlignment="1">
      <alignment horizontal="center" vertical="center"/>
    </xf>
    <xf numFmtId="189" fontId="60" fillId="0" borderId="40" xfId="11" applyNumberFormat="1" applyFont="1" applyFill="1" applyBorder="1" applyAlignment="1">
      <alignment horizontal="center" vertical="center" wrapText="1"/>
    </xf>
    <xf numFmtId="0" fontId="63" fillId="0" borderId="0" xfId="28" applyFont="1" applyAlignment="1">
      <alignment horizontal="left" vertical="center"/>
    </xf>
    <xf numFmtId="0" fontId="64" fillId="0" borderId="0" xfId="28" applyFont="1" applyAlignment="1">
      <alignment vertical="center"/>
    </xf>
    <xf numFmtId="0" fontId="65" fillId="0" borderId="0" xfId="28" applyFont="1" applyAlignment="1">
      <alignment vertical="center"/>
    </xf>
    <xf numFmtId="0" fontId="64" fillId="0" borderId="15" xfId="28" applyFont="1" applyBorder="1" applyAlignment="1">
      <alignment horizontal="center" vertical="center"/>
    </xf>
    <xf numFmtId="0" fontId="64" fillId="0" borderId="15" xfId="28" applyFont="1" applyBorder="1" applyAlignment="1">
      <alignment vertical="center"/>
    </xf>
    <xf numFmtId="0" fontId="64" fillId="0" borderId="15" xfId="28" applyFont="1" applyBorder="1" applyAlignment="1">
      <alignment horizontal="right" vertical="center"/>
    </xf>
    <xf numFmtId="0" fontId="65" fillId="0" borderId="59" xfId="28" applyFont="1" applyBorder="1" applyAlignment="1">
      <alignment horizontal="center" vertical="center"/>
    </xf>
    <xf numFmtId="0" fontId="65" fillId="0" borderId="17" xfId="28" applyFont="1" applyBorder="1" applyAlignment="1">
      <alignment horizontal="center" vertical="center"/>
    </xf>
    <xf numFmtId="0" fontId="65" fillId="0" borderId="18" xfId="28" applyFont="1" applyBorder="1" applyAlignment="1">
      <alignment horizontal="center" vertical="center"/>
    </xf>
    <xf numFmtId="0" fontId="65" fillId="0" borderId="0" xfId="28" applyFont="1" applyAlignment="1">
      <alignment horizontal="center" vertical="center"/>
    </xf>
    <xf numFmtId="0" fontId="66" fillId="9" borderId="4" xfId="28" applyFont="1" applyFill="1" applyBorder="1" applyAlignment="1">
      <alignment horizontal="centerContinuous" vertical="center"/>
    </xf>
    <xf numFmtId="179" fontId="66" fillId="9" borderId="4" xfId="28" applyNumberFormat="1" applyFont="1" applyFill="1" applyBorder="1" applyAlignment="1">
      <alignment horizontal="center" vertical="center" wrapText="1"/>
    </xf>
    <xf numFmtId="179" fontId="66" fillId="9" borderId="4" xfId="28" applyNumberFormat="1" applyFont="1" applyFill="1" applyBorder="1" applyAlignment="1">
      <alignment horizontal="center" vertical="center"/>
    </xf>
    <xf numFmtId="0" fontId="66" fillId="9" borderId="4" xfId="28" applyFont="1" applyFill="1" applyBorder="1" applyAlignment="1">
      <alignment horizontal="center" vertical="center"/>
    </xf>
    <xf numFmtId="0" fontId="65" fillId="0" borderId="0" xfId="28" applyFont="1" applyBorder="1" applyAlignment="1">
      <alignment vertical="center"/>
    </xf>
    <xf numFmtId="0" fontId="65" fillId="0" borderId="73" xfId="28" applyFont="1" applyBorder="1" applyAlignment="1">
      <alignment vertical="center"/>
    </xf>
    <xf numFmtId="0" fontId="65" fillId="0" borderId="58" xfId="28" applyFont="1" applyBorder="1" applyAlignment="1">
      <alignment vertical="center"/>
    </xf>
    <xf numFmtId="0" fontId="67" fillId="0" borderId="10" xfId="28" applyFont="1" applyBorder="1" applyAlignment="1">
      <alignment horizontal="center" vertical="center"/>
    </xf>
    <xf numFmtId="41" fontId="67" fillId="0" borderId="10" xfId="11" applyFont="1" applyBorder="1" applyAlignment="1">
      <alignment horizontal="center" vertical="center"/>
    </xf>
    <xf numFmtId="41" fontId="67" fillId="0" borderId="10" xfId="28" applyNumberFormat="1" applyFont="1" applyBorder="1" applyAlignment="1">
      <alignment horizontal="center" vertical="center"/>
    </xf>
    <xf numFmtId="0" fontId="67" fillId="0" borderId="11" xfId="28" applyFont="1" applyBorder="1" applyAlignment="1">
      <alignment horizontal="center" vertical="center"/>
    </xf>
    <xf numFmtId="41" fontId="67" fillId="0" borderId="11" xfId="11" applyFont="1" applyBorder="1" applyAlignment="1">
      <alignment horizontal="center" vertical="center"/>
    </xf>
    <xf numFmtId="41" fontId="67" fillId="0" borderId="11" xfId="28" applyNumberFormat="1" applyFont="1" applyBorder="1" applyAlignment="1">
      <alignment horizontal="center" vertical="center"/>
    </xf>
    <xf numFmtId="0" fontId="67" fillId="0" borderId="12" xfId="28" applyFont="1" applyBorder="1" applyAlignment="1">
      <alignment horizontal="center" vertical="center"/>
    </xf>
    <xf numFmtId="41" fontId="67" fillId="0" borderId="12" xfId="11" applyFont="1" applyBorder="1" applyAlignment="1">
      <alignment horizontal="center" vertical="center"/>
    </xf>
    <xf numFmtId="41" fontId="67" fillId="0" borderId="12" xfId="28" applyNumberFormat="1" applyFont="1" applyBorder="1" applyAlignment="1">
      <alignment horizontal="center" vertical="center"/>
    </xf>
    <xf numFmtId="41" fontId="67" fillId="0" borderId="13" xfId="11" applyFont="1" applyBorder="1" applyAlignment="1">
      <alignment horizontal="center" vertical="center"/>
    </xf>
    <xf numFmtId="0" fontId="65" fillId="0" borderId="23" xfId="28" applyFont="1" applyBorder="1" applyAlignment="1">
      <alignment vertical="center"/>
    </xf>
    <xf numFmtId="0" fontId="65" fillId="0" borderId="15" xfId="28" applyFont="1" applyBorder="1" applyAlignment="1">
      <alignment vertical="center"/>
    </xf>
    <xf numFmtId="0" fontId="65" fillId="0" borderId="46" xfId="28" applyFont="1" applyBorder="1" applyAlignment="1">
      <alignment vertical="center"/>
    </xf>
    <xf numFmtId="3" fontId="53" fillId="0" borderId="101" xfId="0" applyNumberFormat="1" applyFont="1" applyBorder="1" applyAlignment="1">
      <alignment horizontal="right" vertical="center" wrapText="1"/>
    </xf>
    <xf numFmtId="3" fontId="65" fillId="0" borderId="0" xfId="28" applyNumberFormat="1" applyFont="1" applyBorder="1" applyAlignment="1">
      <alignment vertical="center"/>
    </xf>
    <xf numFmtId="0" fontId="67" fillId="0" borderId="13" xfId="28" applyFont="1" applyBorder="1" applyAlignment="1">
      <alignment horizontal="center" vertical="center"/>
    </xf>
    <xf numFmtId="41" fontId="67" fillId="0" borderId="19" xfId="11" applyFont="1" applyBorder="1">
      <alignment vertical="center"/>
    </xf>
    <xf numFmtId="0" fontId="67" fillId="0" borderId="0" xfId="28" applyFont="1" applyBorder="1" applyAlignment="1">
      <alignment horizontal="center" vertical="center" wrapText="1"/>
    </xf>
    <xf numFmtId="0" fontId="67" fillId="0" borderId="0" xfId="28" applyFont="1" applyBorder="1" applyAlignment="1">
      <alignment horizontal="center" vertical="center"/>
    </xf>
    <xf numFmtId="41" fontId="67" fillId="0" borderId="0" xfId="11" applyFont="1" applyBorder="1">
      <alignment vertical="center"/>
    </xf>
    <xf numFmtId="41" fontId="67" fillId="0" borderId="0" xfId="28" applyNumberFormat="1" applyFont="1" applyBorder="1" applyAlignment="1">
      <alignment horizontal="center" vertical="center"/>
    </xf>
    <xf numFmtId="0" fontId="65" fillId="0" borderId="0" xfId="28" applyFont="1" applyBorder="1" applyAlignment="1">
      <alignment horizontal="center" vertical="center"/>
    </xf>
    <xf numFmtId="179" fontId="25" fillId="0" borderId="0" xfId="28" applyNumberFormat="1" applyFont="1" applyBorder="1" applyAlignment="1">
      <alignment horizontal="center" vertical="center"/>
    </xf>
    <xf numFmtId="41" fontId="65" fillId="0" borderId="0" xfId="28" applyNumberFormat="1" applyFont="1" applyBorder="1" applyAlignment="1">
      <alignment horizontal="center" vertical="center"/>
    </xf>
    <xf numFmtId="0" fontId="37" fillId="0" borderId="0" xfId="29" applyFont="1" applyFill="1" applyAlignment="1">
      <alignment vertical="center"/>
    </xf>
    <xf numFmtId="0" fontId="37" fillId="0" borderId="0" xfId="29" applyFont="1" applyAlignment="1">
      <alignment vertical="center"/>
    </xf>
    <xf numFmtId="0" fontId="37" fillId="0" borderId="0" xfId="29" applyFont="1" applyFill="1" applyAlignment="1">
      <alignment horizontal="left" vertical="center"/>
    </xf>
    <xf numFmtId="0" fontId="37" fillId="0" borderId="0" xfId="29" applyFont="1" applyAlignment="1">
      <alignment horizontal="left" vertical="center"/>
    </xf>
    <xf numFmtId="0" fontId="37" fillId="0" borderId="0" xfId="29" applyFont="1" applyAlignment="1">
      <alignment horizontal="right" vertical="center"/>
    </xf>
    <xf numFmtId="0" fontId="27" fillId="0" borderId="0" xfId="4" applyFont="1" applyFill="1">
      <alignment vertical="center"/>
    </xf>
    <xf numFmtId="0" fontId="37" fillId="0" borderId="59" xfId="29" applyFont="1" applyBorder="1" applyAlignment="1">
      <alignment vertical="center"/>
    </xf>
    <xf numFmtId="0" fontId="37" fillId="0" borderId="17" xfId="29" applyFont="1" applyBorder="1" applyAlignment="1">
      <alignment vertical="center"/>
    </xf>
    <xf numFmtId="0" fontId="37" fillId="0" borderId="18" xfId="29" applyFont="1" applyBorder="1" applyAlignment="1">
      <alignment vertical="center"/>
    </xf>
    <xf numFmtId="0" fontId="37" fillId="0" borderId="114" xfId="30" applyFont="1" applyFill="1" applyBorder="1" applyAlignment="1">
      <alignment horizontal="center" vertical="center"/>
    </xf>
    <xf numFmtId="0" fontId="37" fillId="0" borderId="115" xfId="30" applyFont="1" applyFill="1" applyBorder="1" applyAlignment="1">
      <alignment horizontal="center" vertical="center"/>
    </xf>
    <xf numFmtId="0" fontId="37" fillId="0" borderId="116" xfId="30" applyFont="1" applyFill="1" applyBorder="1" applyAlignment="1">
      <alignment horizontal="center" vertical="center"/>
    </xf>
    <xf numFmtId="0" fontId="37" fillId="0" borderId="116" xfId="30" applyFont="1" applyBorder="1" applyAlignment="1">
      <alignment horizontal="center" vertical="center"/>
    </xf>
    <xf numFmtId="0" fontId="37" fillId="0" borderId="117" xfId="30" applyFont="1" applyBorder="1" applyAlignment="1">
      <alignment horizontal="center" vertical="center"/>
    </xf>
    <xf numFmtId="0" fontId="37" fillId="0" borderId="57" xfId="30" applyFont="1" applyBorder="1" applyAlignment="1">
      <alignment horizontal="center" vertical="center" wrapText="1"/>
    </xf>
    <xf numFmtId="0" fontId="37" fillId="0" borderId="36" xfId="30" applyFont="1" applyBorder="1" applyAlignment="1">
      <alignment horizontal="center" vertical="center"/>
    </xf>
    <xf numFmtId="0" fontId="37" fillId="0" borderId="0" xfId="30" applyFont="1" applyBorder="1" applyAlignment="1">
      <alignment vertical="center"/>
    </xf>
    <xf numFmtId="0" fontId="37" fillId="0" borderId="73" xfId="30" applyFont="1" applyBorder="1" applyAlignment="1">
      <alignment vertical="center"/>
    </xf>
    <xf numFmtId="0" fontId="37" fillId="0" borderId="58" xfId="30" applyFont="1" applyBorder="1" applyAlignment="1">
      <alignment vertical="center"/>
    </xf>
    <xf numFmtId="0" fontId="37" fillId="0" borderId="0" xfId="30" applyFont="1" applyAlignment="1">
      <alignment vertical="center"/>
    </xf>
    <xf numFmtId="0" fontId="37" fillId="0" borderId="39" xfId="30" applyFont="1" applyFill="1" applyBorder="1" applyAlignment="1">
      <alignment horizontal="center" vertical="center"/>
    </xf>
    <xf numFmtId="41" fontId="37" fillId="0" borderId="40" xfId="11" applyFont="1" applyFill="1" applyBorder="1" applyAlignment="1">
      <alignment horizontal="center" vertical="center"/>
    </xf>
    <xf numFmtId="41" fontId="37" fillId="0" borderId="40" xfId="30" applyNumberFormat="1" applyFont="1" applyFill="1" applyBorder="1" applyAlignment="1">
      <alignment vertical="center"/>
    </xf>
    <xf numFmtId="41" fontId="37" fillId="0" borderId="40" xfId="30" applyNumberFormat="1" applyFont="1" applyBorder="1" applyAlignment="1">
      <alignment horizontal="center" vertical="center"/>
    </xf>
    <xf numFmtId="41" fontId="37" fillId="0" borderId="40" xfId="30" applyNumberFormat="1" applyFont="1" applyBorder="1" applyAlignment="1">
      <alignment vertical="center"/>
    </xf>
    <xf numFmtId="41" fontId="37" fillId="0" borderId="118" xfId="30" applyNumberFormat="1" applyFont="1" applyBorder="1" applyAlignment="1">
      <alignment vertical="center"/>
    </xf>
    <xf numFmtId="41" fontId="37" fillId="0" borderId="0" xfId="30" applyNumberFormat="1" applyFont="1" applyBorder="1" applyAlignment="1">
      <alignment vertical="center"/>
    </xf>
    <xf numFmtId="41" fontId="37" fillId="0" borderId="54" xfId="11" applyFont="1" applyBorder="1" applyAlignment="1">
      <alignment vertical="center"/>
    </xf>
    <xf numFmtId="194" fontId="37" fillId="0" borderId="0" xfId="30" applyNumberFormat="1" applyFont="1" applyBorder="1" applyAlignment="1">
      <alignment vertical="center"/>
    </xf>
    <xf numFmtId="0" fontId="37" fillId="0" borderId="42" xfId="30" applyFont="1" applyFill="1" applyBorder="1" applyAlignment="1">
      <alignment horizontal="center" vertical="center"/>
    </xf>
    <xf numFmtId="41" fontId="37" fillId="0" borderId="1" xfId="11" applyFont="1" applyFill="1" applyBorder="1" applyAlignment="1">
      <alignment horizontal="center" vertical="center"/>
    </xf>
    <xf numFmtId="41" fontId="37" fillId="0" borderId="1" xfId="30" applyNumberFormat="1" applyFont="1" applyFill="1" applyBorder="1" applyAlignment="1">
      <alignment vertical="center"/>
    </xf>
    <xf numFmtId="41" fontId="37" fillId="0" borderId="1" xfId="30" applyNumberFormat="1" applyFont="1" applyBorder="1" applyAlignment="1">
      <alignment horizontal="center" vertical="center"/>
    </xf>
    <xf numFmtId="41" fontId="37" fillId="0" borderId="1" xfId="30" applyNumberFormat="1" applyFont="1" applyBorder="1" applyAlignment="1">
      <alignment vertical="center"/>
    </xf>
    <xf numFmtId="41" fontId="37" fillId="0" borderId="119" xfId="30" applyNumberFormat="1" applyFont="1" applyBorder="1" applyAlignment="1">
      <alignment vertical="center"/>
    </xf>
    <xf numFmtId="0" fontId="37" fillId="0" borderId="4" xfId="30" applyFont="1" applyBorder="1" applyAlignment="1">
      <alignment horizontal="center" vertical="center"/>
    </xf>
    <xf numFmtId="187" fontId="37" fillId="0" borderId="4" xfId="30" applyNumberFormat="1" applyFont="1" applyBorder="1" applyAlignment="1">
      <alignment horizontal="center" vertical="center"/>
    </xf>
    <xf numFmtId="0" fontId="37" fillId="0" borderId="0" xfId="30" applyFont="1" applyBorder="1" applyAlignment="1">
      <alignment horizontal="center" vertical="center"/>
    </xf>
    <xf numFmtId="41" fontId="37" fillId="0" borderId="0" xfId="11" applyFont="1" applyBorder="1" applyAlignment="1">
      <alignment horizontal="center" vertical="center"/>
    </xf>
    <xf numFmtId="41" fontId="37" fillId="0" borderId="120" xfId="30" applyNumberFormat="1" applyFont="1" applyBorder="1" applyAlignment="1">
      <alignment vertical="center"/>
    </xf>
    <xf numFmtId="41" fontId="37" fillId="0" borderId="121" xfId="11" applyFont="1" applyBorder="1" applyAlignment="1">
      <alignment vertical="center"/>
    </xf>
    <xf numFmtId="0" fontId="37" fillId="9" borderId="42" xfId="30" applyFont="1" applyFill="1" applyBorder="1" applyAlignment="1">
      <alignment horizontal="center" vertical="center"/>
    </xf>
    <xf numFmtId="41" fontId="37" fillId="9" borderId="1" xfId="11" applyFont="1" applyFill="1" applyBorder="1" applyAlignment="1">
      <alignment horizontal="center" vertical="center"/>
    </xf>
    <xf numFmtId="41" fontId="37" fillId="9" borderId="1" xfId="30" applyNumberFormat="1" applyFont="1" applyFill="1" applyBorder="1" applyAlignment="1">
      <alignment vertical="center"/>
    </xf>
    <xf numFmtId="41" fontId="37" fillId="9" borderId="1" xfId="30" applyNumberFormat="1" applyFont="1" applyFill="1" applyBorder="1" applyAlignment="1">
      <alignment horizontal="center" vertical="center"/>
    </xf>
    <xf numFmtId="41" fontId="37" fillId="9" borderId="119" xfId="30" applyNumberFormat="1" applyFont="1" applyFill="1" applyBorder="1" applyAlignment="1">
      <alignment vertical="center"/>
    </xf>
    <xf numFmtId="41" fontId="37" fillId="0" borderId="1" xfId="30" applyNumberFormat="1" applyFont="1" applyFill="1" applyBorder="1" applyAlignment="1">
      <alignment horizontal="center" vertical="center"/>
    </xf>
    <xf numFmtId="41" fontId="37" fillId="0" borderId="119" xfId="30" applyNumberFormat="1" applyFont="1" applyFill="1" applyBorder="1" applyAlignment="1">
      <alignment vertical="center"/>
    </xf>
    <xf numFmtId="41" fontId="37" fillId="9" borderId="54" xfId="11" applyFont="1" applyFill="1" applyBorder="1" applyAlignment="1">
      <alignment vertical="center"/>
    </xf>
    <xf numFmtId="41" fontId="37" fillId="9" borderId="0" xfId="30" applyNumberFormat="1" applyFont="1" applyFill="1" applyBorder="1" applyAlignment="1">
      <alignment vertical="center"/>
    </xf>
    <xf numFmtId="41" fontId="37" fillId="0" borderId="54" xfId="11" applyFont="1" applyFill="1" applyBorder="1" applyAlignment="1">
      <alignment horizontal="center" vertical="center"/>
    </xf>
    <xf numFmtId="41" fontId="37" fillId="0" borderId="0" xfId="30" applyNumberFormat="1" applyFont="1" applyFill="1" applyBorder="1" applyAlignment="1">
      <alignment vertical="center"/>
    </xf>
    <xf numFmtId="41" fontId="37" fillId="0" borderId="54" xfId="11" applyFont="1" applyFill="1" applyBorder="1" applyAlignment="1">
      <alignment vertical="center"/>
    </xf>
    <xf numFmtId="0" fontId="37" fillId="0" borderId="0" xfId="30" applyFont="1" applyFill="1" applyBorder="1" applyAlignment="1">
      <alignment vertical="center"/>
    </xf>
    <xf numFmtId="0" fontId="37" fillId="0" borderId="73" xfId="30" applyFont="1" applyFill="1" applyBorder="1" applyAlignment="1">
      <alignment vertical="center"/>
    </xf>
    <xf numFmtId="0" fontId="37" fillId="0" borderId="58" xfId="30" applyFont="1" applyFill="1" applyBorder="1" applyAlignment="1">
      <alignment vertical="center"/>
    </xf>
    <xf numFmtId="0" fontId="37" fillId="0" borderId="0" xfId="30" applyFont="1" applyFill="1" applyAlignment="1">
      <alignment vertical="center"/>
    </xf>
    <xf numFmtId="0" fontId="37" fillId="0" borderId="1" xfId="30" applyFont="1" applyFill="1" applyBorder="1" applyAlignment="1">
      <alignment horizontal="center" vertical="center"/>
    </xf>
    <xf numFmtId="0" fontId="37" fillId="0" borderId="15" xfId="30" applyFont="1" applyBorder="1" applyAlignment="1">
      <alignment vertical="center"/>
    </xf>
    <xf numFmtId="41" fontId="37" fillId="9" borderId="38" xfId="11" applyFont="1" applyFill="1" applyBorder="1" applyAlignment="1">
      <alignment vertical="center"/>
    </xf>
    <xf numFmtId="41" fontId="37" fillId="0" borderId="47" xfId="11" applyFont="1" applyFill="1" applyBorder="1" applyAlignment="1">
      <alignment horizontal="center" vertical="center"/>
    </xf>
    <xf numFmtId="0" fontId="37" fillId="0" borderId="43" xfId="30" applyFont="1" applyFill="1" applyBorder="1" applyAlignment="1">
      <alignment horizontal="center" vertical="center"/>
    </xf>
    <xf numFmtId="0" fontId="37" fillId="0" borderId="44" xfId="30" applyFont="1" applyFill="1" applyBorder="1" applyAlignment="1">
      <alignment horizontal="center" vertical="center"/>
    </xf>
    <xf numFmtId="185" fontId="37" fillId="0" borderId="0" xfId="30" applyNumberFormat="1" applyFont="1" applyBorder="1" applyAlignment="1">
      <alignment horizontal="center" vertical="center"/>
    </xf>
    <xf numFmtId="41" fontId="37" fillId="0" borderId="0" xfId="30" applyNumberFormat="1" applyFont="1" applyBorder="1" applyAlignment="1">
      <alignment horizontal="center" vertical="center"/>
    </xf>
    <xf numFmtId="0" fontId="37" fillId="0" borderId="73" xfId="30" applyFont="1" applyBorder="1" applyAlignment="1">
      <alignment horizontal="center" vertical="center"/>
    </xf>
    <xf numFmtId="0" fontId="37" fillId="0" borderId="0" xfId="30" applyFont="1" applyAlignment="1">
      <alignment horizontal="center" vertical="center"/>
    </xf>
    <xf numFmtId="196" fontId="37" fillId="0" borderId="35" xfId="11" applyNumberFormat="1" applyFont="1" applyFill="1" applyBorder="1" applyAlignment="1">
      <alignment vertical="center"/>
    </xf>
    <xf numFmtId="196" fontId="37" fillId="0" borderId="35" xfId="11" applyNumberFormat="1" applyFont="1" applyBorder="1" applyAlignment="1">
      <alignment vertical="center"/>
    </xf>
    <xf numFmtId="196" fontId="37" fillId="0" borderId="123" xfId="11" applyNumberFormat="1" applyFont="1" applyBorder="1" applyAlignment="1">
      <alignment vertical="center"/>
    </xf>
    <xf numFmtId="0" fontId="37" fillId="0" borderId="34" xfId="30" applyFont="1" applyBorder="1" applyAlignment="1">
      <alignment vertical="center"/>
    </xf>
    <xf numFmtId="0" fontId="37" fillId="0" borderId="36" xfId="30" applyFont="1" applyBorder="1" applyAlignment="1">
      <alignment vertical="center"/>
    </xf>
    <xf numFmtId="41" fontId="37" fillId="0" borderId="35" xfId="11" applyFont="1" applyFill="1" applyBorder="1" applyAlignment="1">
      <alignment vertical="center"/>
    </xf>
    <xf numFmtId="41" fontId="37" fillId="0" borderId="35" xfId="11" applyFont="1" applyBorder="1" applyAlignment="1">
      <alignment vertical="center"/>
    </xf>
    <xf numFmtId="41" fontId="37" fillId="0" borderId="123" xfId="11" applyFont="1" applyBorder="1" applyAlignment="1">
      <alignment vertical="center"/>
    </xf>
    <xf numFmtId="41" fontId="37" fillId="0" borderId="24" xfId="11" applyFont="1" applyBorder="1" applyAlignment="1">
      <alignment horizontal="center" vertical="center"/>
    </xf>
    <xf numFmtId="0" fontId="37" fillId="0" borderId="27" xfId="30" applyFont="1" applyBorder="1" applyAlignment="1">
      <alignment vertical="center"/>
    </xf>
    <xf numFmtId="178" fontId="37" fillId="0" borderId="35" xfId="11" applyNumberFormat="1" applyFont="1" applyFill="1" applyBorder="1" applyAlignment="1">
      <alignment vertical="center"/>
    </xf>
    <xf numFmtId="178" fontId="37" fillId="0" borderId="35" xfId="11" applyNumberFormat="1" applyFont="1" applyBorder="1" applyAlignment="1">
      <alignment vertical="center"/>
    </xf>
    <xf numFmtId="178" fontId="37" fillId="0" borderId="123" xfId="11" applyNumberFormat="1" applyFont="1" applyBorder="1" applyAlignment="1">
      <alignment vertical="center"/>
    </xf>
    <xf numFmtId="0" fontId="37" fillId="0" borderId="24" xfId="30" applyFont="1" applyBorder="1" applyAlignment="1">
      <alignment horizontal="center" vertical="center"/>
    </xf>
    <xf numFmtId="185" fontId="37" fillId="0" borderId="15" xfId="30" applyNumberFormat="1" applyFont="1" applyBorder="1" applyAlignment="1">
      <alignment horizontal="center" vertical="center"/>
    </xf>
    <xf numFmtId="41" fontId="37" fillId="0" borderId="15" xfId="30" applyNumberFormat="1" applyFont="1" applyBorder="1" applyAlignment="1">
      <alignment horizontal="center" vertical="center"/>
    </xf>
    <xf numFmtId="0" fontId="37" fillId="0" borderId="15" xfId="30" applyFont="1" applyBorder="1" applyAlignment="1">
      <alignment horizontal="center" vertical="center"/>
    </xf>
    <xf numFmtId="0" fontId="37" fillId="0" borderId="46" xfId="30" applyFont="1" applyBorder="1" applyAlignment="1">
      <alignment horizontal="center" vertical="center"/>
    </xf>
    <xf numFmtId="0" fontId="37" fillId="0" borderId="0" xfId="30" applyFont="1" applyFill="1" applyBorder="1" applyAlignment="1">
      <alignment horizontal="center" vertical="center"/>
    </xf>
    <xf numFmtId="197" fontId="37" fillId="0" borderId="0" xfId="30" applyNumberFormat="1" applyFont="1" applyFill="1" applyBorder="1" applyAlignment="1">
      <alignment vertical="center"/>
    </xf>
    <xf numFmtId="197" fontId="37" fillId="0" borderId="0" xfId="30" applyNumberFormat="1" applyFont="1" applyBorder="1" applyAlignment="1">
      <alignment vertical="center"/>
    </xf>
    <xf numFmtId="197" fontId="37" fillId="0" borderId="0" xfId="30" applyNumberFormat="1" applyFont="1" applyAlignment="1">
      <alignment horizontal="center" vertical="center"/>
    </xf>
    <xf numFmtId="0" fontId="37" fillId="0" borderId="4" xfId="30" applyFont="1" applyFill="1" applyBorder="1" applyAlignment="1">
      <alignment horizontal="center" vertical="center"/>
    </xf>
    <xf numFmtId="197" fontId="37" fillId="0" borderId="4" xfId="30" applyNumberFormat="1" applyFont="1" applyBorder="1" applyAlignment="1">
      <alignment horizontal="center" vertical="center"/>
    </xf>
    <xf numFmtId="197" fontId="37" fillId="0" borderId="4" xfId="30" applyNumberFormat="1" applyFont="1" applyFill="1" applyBorder="1" applyAlignment="1">
      <alignment horizontal="center" vertical="center"/>
    </xf>
    <xf numFmtId="41" fontId="37" fillId="0" borderId="4" xfId="7" applyFont="1" applyBorder="1" applyAlignment="1">
      <alignment horizontal="center" vertical="center"/>
    </xf>
    <xf numFmtId="41" fontId="37" fillId="0" borderId="4" xfId="30" applyNumberFormat="1" applyFont="1" applyBorder="1" applyAlignment="1">
      <alignment vertical="center"/>
    </xf>
    <xf numFmtId="41" fontId="37" fillId="0" borderId="4" xfId="11" applyFont="1" applyBorder="1" applyAlignment="1">
      <alignment horizontal="center" vertical="center"/>
    </xf>
    <xf numFmtId="41" fontId="70" fillId="0" borderId="4" xfId="7" applyFont="1" applyBorder="1" applyAlignment="1">
      <alignment horizontal="center" vertical="center"/>
    </xf>
    <xf numFmtId="41" fontId="37" fillId="0" borderId="0" xfId="7" applyFont="1" applyBorder="1" applyAlignment="1">
      <alignment vertical="center"/>
    </xf>
    <xf numFmtId="41" fontId="37" fillId="0" borderId="0" xfId="7" applyFont="1" applyFill="1" applyBorder="1" applyAlignment="1">
      <alignment vertical="center"/>
    </xf>
    <xf numFmtId="10" fontId="37" fillId="0" borderId="0" xfId="8" applyNumberFormat="1" applyFont="1" applyBorder="1" applyAlignment="1">
      <alignment vertical="center"/>
    </xf>
    <xf numFmtId="0" fontId="71" fillId="0" borderId="0" xfId="29" applyFont="1" applyFill="1" applyAlignment="1">
      <alignment vertical="center"/>
    </xf>
    <xf numFmtId="0" fontId="37" fillId="0" borderId="15" xfId="29" applyFont="1" applyFill="1" applyBorder="1" applyAlignment="1">
      <alignment vertical="center"/>
    </xf>
    <xf numFmtId="0" fontId="37" fillId="0" borderId="15" xfId="29" applyFont="1" applyBorder="1" applyAlignment="1">
      <alignment vertical="center"/>
    </xf>
    <xf numFmtId="0" fontId="37" fillId="0" borderId="51" xfId="29" applyFont="1" applyFill="1" applyBorder="1" applyAlignment="1">
      <alignment horizontal="center" vertical="center"/>
    </xf>
    <xf numFmtId="0" fontId="37" fillId="0" borderId="35" xfId="29" applyFont="1" applyFill="1" applyBorder="1" applyAlignment="1">
      <alignment horizontal="center" vertical="center"/>
    </xf>
    <xf numFmtId="0" fontId="37" fillId="0" borderId="35" xfId="29" applyFont="1" applyBorder="1" applyAlignment="1">
      <alignment horizontal="center" vertical="center"/>
    </xf>
    <xf numFmtId="0" fontId="37" fillId="0" borderId="57" xfId="29" applyFont="1" applyBorder="1" applyAlignment="1">
      <alignment horizontal="center" vertical="center"/>
    </xf>
    <xf numFmtId="0" fontId="37" fillId="0" borderId="57" xfId="29" applyFont="1" applyBorder="1" applyAlignment="1">
      <alignment vertical="center"/>
    </xf>
    <xf numFmtId="0" fontId="37" fillId="0" borderId="57" xfId="29" applyFont="1" applyBorder="1" applyAlignment="1">
      <alignment horizontal="right" vertical="center"/>
    </xf>
    <xf numFmtId="197" fontId="37" fillId="0" borderId="55" xfId="31" applyNumberFormat="1" applyFont="1" applyBorder="1" applyAlignment="1">
      <alignment horizontal="left" vertical="center"/>
    </xf>
    <xf numFmtId="197" fontId="37" fillId="0" borderId="55" xfId="31" applyNumberFormat="1" applyFont="1" applyBorder="1" applyAlignment="1">
      <alignment horizontal="center" vertical="center"/>
    </xf>
    <xf numFmtId="0" fontId="37" fillId="0" borderId="4" xfId="31" applyFont="1" applyBorder="1" applyAlignment="1">
      <alignment horizontal="center" vertical="center"/>
    </xf>
    <xf numFmtId="0" fontId="37" fillId="0" borderId="50" xfId="29" applyFont="1" applyFill="1" applyBorder="1" applyAlignment="1">
      <alignment horizontal="center" vertical="center"/>
    </xf>
    <xf numFmtId="41" fontId="37" fillId="0" borderId="37" xfId="11" applyFont="1" applyFill="1" applyBorder="1" applyAlignment="1">
      <alignment horizontal="right" vertical="center"/>
    </xf>
    <xf numFmtId="0" fontId="37" fillId="0" borderId="37" xfId="11" applyNumberFormat="1" applyFont="1" applyFill="1" applyBorder="1" applyAlignment="1">
      <alignment horizontal="center" vertical="center"/>
    </xf>
    <xf numFmtId="0" fontId="37" fillId="0" borderId="0" xfId="29" applyFont="1" applyBorder="1" applyAlignment="1">
      <alignment horizontal="center" vertical="center"/>
    </xf>
    <xf numFmtId="198" fontId="37" fillId="0" borderId="0" xfId="29" applyNumberFormat="1" applyFont="1" applyBorder="1" applyAlignment="1">
      <alignment vertical="center"/>
    </xf>
    <xf numFmtId="199" fontId="37" fillId="0" borderId="0" xfId="29" applyNumberFormat="1" applyFont="1" applyBorder="1" applyAlignment="1">
      <alignment horizontal="right" vertical="center"/>
    </xf>
    <xf numFmtId="0" fontId="37" fillId="0" borderId="0" xfId="29" applyFont="1" applyBorder="1" applyAlignment="1">
      <alignment horizontal="right" vertical="center"/>
    </xf>
    <xf numFmtId="41" fontId="37" fillId="0" borderId="6" xfId="11" applyFont="1" applyFill="1" applyBorder="1" applyAlignment="1">
      <alignment horizontal="right" vertical="center"/>
    </xf>
    <xf numFmtId="178" fontId="37" fillId="0" borderId="5" xfId="11" applyNumberFormat="1" applyFont="1" applyFill="1" applyBorder="1" applyAlignment="1">
      <alignment horizontal="right" vertical="center"/>
    </xf>
    <xf numFmtId="41" fontId="37" fillId="0" borderId="0" xfId="29" applyNumberFormat="1" applyFont="1" applyAlignment="1">
      <alignment vertical="center"/>
    </xf>
    <xf numFmtId="178" fontId="37" fillId="0" borderId="6" xfId="11" applyNumberFormat="1" applyFont="1" applyFill="1" applyBorder="1" applyAlignment="1">
      <alignment horizontal="right" vertical="center"/>
    </xf>
    <xf numFmtId="196" fontId="37" fillId="0" borderId="4" xfId="11" applyNumberFormat="1" applyFont="1" applyBorder="1" applyAlignment="1">
      <alignment horizontal="center" vertical="center"/>
    </xf>
    <xf numFmtId="41" fontId="37" fillId="0" borderId="4" xfId="11" applyFont="1" applyBorder="1" applyAlignment="1">
      <alignment vertical="center"/>
    </xf>
    <xf numFmtId="178" fontId="37" fillId="0" borderId="4" xfId="11" applyNumberFormat="1" applyFont="1" applyBorder="1" applyAlignment="1">
      <alignment vertical="center"/>
    </xf>
    <xf numFmtId="178" fontId="37" fillId="0" borderId="59" xfId="11" applyNumberFormat="1" applyFont="1" applyBorder="1" applyAlignment="1">
      <alignment vertical="center"/>
    </xf>
    <xf numFmtId="0" fontId="37" fillId="0" borderId="0" xfId="29" applyFont="1" applyBorder="1" applyAlignment="1">
      <alignment vertical="center"/>
    </xf>
    <xf numFmtId="0" fontId="37" fillId="0" borderId="124" xfId="29" applyFont="1" applyFill="1" applyBorder="1" applyAlignment="1">
      <alignment horizontal="center" vertical="center"/>
    </xf>
    <xf numFmtId="41" fontId="37" fillId="0" borderId="72" xfId="11" applyFont="1" applyFill="1" applyBorder="1" applyAlignment="1">
      <alignment horizontal="right" vertical="center"/>
    </xf>
    <xf numFmtId="0" fontId="37" fillId="0" borderId="125" xfId="29" applyFont="1" applyBorder="1" applyAlignment="1">
      <alignment vertical="center"/>
    </xf>
    <xf numFmtId="0" fontId="37" fillId="0" borderId="125" xfId="29" applyFont="1" applyBorder="1" applyAlignment="1">
      <alignment horizontal="center" vertical="center"/>
    </xf>
    <xf numFmtId="41" fontId="37" fillId="0" borderId="126" xfId="11" applyFont="1" applyFill="1" applyBorder="1" applyAlignment="1">
      <alignment horizontal="right" vertical="center"/>
    </xf>
    <xf numFmtId="178" fontId="37" fillId="0" borderId="126" xfId="11" applyNumberFormat="1" applyFont="1" applyFill="1" applyBorder="1" applyAlignment="1">
      <alignment horizontal="right" vertical="center"/>
    </xf>
    <xf numFmtId="0" fontId="37" fillId="0" borderId="127" xfId="29" applyFont="1" applyFill="1" applyBorder="1" applyAlignment="1">
      <alignment horizontal="center" vertical="center"/>
    </xf>
    <xf numFmtId="41" fontId="37" fillId="0" borderId="71" xfId="11" applyFont="1" applyFill="1" applyBorder="1" applyAlignment="1">
      <alignment horizontal="right" vertical="center"/>
    </xf>
    <xf numFmtId="0" fontId="37" fillId="0" borderId="128" xfId="29" applyFont="1" applyBorder="1" applyAlignment="1">
      <alignment horizontal="center" vertical="center"/>
    </xf>
    <xf numFmtId="0" fontId="37" fillId="0" borderId="120" xfId="29" applyFont="1" applyBorder="1" applyAlignment="1">
      <alignment vertical="center"/>
    </xf>
    <xf numFmtId="0" fontId="37" fillId="0" borderId="120" xfId="29" applyFont="1" applyBorder="1" applyAlignment="1">
      <alignment horizontal="center" vertical="center"/>
    </xf>
    <xf numFmtId="187" fontId="37" fillId="0" borderId="129" xfId="11" applyNumberFormat="1" applyFont="1" applyFill="1" applyBorder="1" applyAlignment="1">
      <alignment horizontal="right" vertical="center"/>
    </xf>
    <xf numFmtId="41" fontId="37" fillId="0" borderId="129" xfId="11" applyFont="1" applyFill="1" applyBorder="1" applyAlignment="1">
      <alignment horizontal="right" vertical="center"/>
    </xf>
    <xf numFmtId="0" fontId="37" fillId="0" borderId="58" xfId="29" applyFont="1" applyFill="1" applyBorder="1" applyAlignment="1">
      <alignment horizontal="center" vertical="center"/>
    </xf>
    <xf numFmtId="0" fontId="37" fillId="0" borderId="61" xfId="29" applyFont="1" applyBorder="1" applyAlignment="1">
      <alignment horizontal="center" vertical="center"/>
    </xf>
    <xf numFmtId="187" fontId="37" fillId="0" borderId="6" xfId="11" applyNumberFormat="1" applyFont="1" applyFill="1" applyBorder="1" applyAlignment="1">
      <alignment horizontal="right" vertical="center"/>
    </xf>
    <xf numFmtId="178" fontId="37" fillId="0" borderId="0" xfId="29" applyNumberFormat="1" applyFont="1" applyBorder="1" applyAlignment="1">
      <alignment vertical="center"/>
    </xf>
    <xf numFmtId="186" fontId="37" fillId="0" borderId="6" xfId="11" applyNumberFormat="1" applyFont="1" applyFill="1" applyBorder="1" applyAlignment="1">
      <alignment horizontal="right" vertical="center"/>
    </xf>
    <xf numFmtId="0" fontId="37" fillId="0" borderId="53" xfId="29" applyFont="1" applyFill="1" applyBorder="1" applyAlignment="1">
      <alignment horizontal="center" vertical="center"/>
    </xf>
    <xf numFmtId="41" fontId="37" fillId="0" borderId="32" xfId="11" applyFont="1" applyFill="1" applyBorder="1" applyAlignment="1">
      <alignment horizontal="right" vertical="center"/>
    </xf>
    <xf numFmtId="0" fontId="37" fillId="0" borderId="32" xfId="29" applyFont="1" applyBorder="1" applyAlignment="1">
      <alignment horizontal="center" vertical="center"/>
    </xf>
    <xf numFmtId="178" fontId="37" fillId="0" borderId="32" xfId="29" applyNumberFormat="1" applyFont="1" applyBorder="1" applyAlignment="1">
      <alignment vertical="center"/>
    </xf>
    <xf numFmtId="0" fontId="37" fillId="0" borderId="32" xfId="29" applyFont="1" applyBorder="1" applyAlignment="1">
      <alignment vertical="center"/>
    </xf>
    <xf numFmtId="186" fontId="37" fillId="0" borderId="32" xfId="11" applyNumberFormat="1" applyFont="1" applyFill="1" applyBorder="1" applyAlignment="1">
      <alignment horizontal="right" vertical="center"/>
    </xf>
    <xf numFmtId="186" fontId="37" fillId="0" borderId="38" xfId="11" applyNumberFormat="1" applyFont="1" applyFill="1" applyBorder="1" applyAlignment="1">
      <alignment horizontal="right" vertical="center"/>
    </xf>
    <xf numFmtId="0" fontId="37" fillId="0" borderId="42" xfId="29" applyFont="1" applyFill="1" applyBorder="1" applyAlignment="1">
      <alignment horizontal="center" vertical="center"/>
    </xf>
    <xf numFmtId="41" fontId="37" fillId="0" borderId="1" xfId="11" applyFont="1" applyFill="1" applyBorder="1" applyAlignment="1">
      <alignment horizontal="right" vertical="center"/>
    </xf>
    <xf numFmtId="0" fontId="37" fillId="0" borderId="1" xfId="29" applyFont="1" applyBorder="1" applyAlignment="1">
      <alignment horizontal="center" vertical="center"/>
    </xf>
    <xf numFmtId="178" fontId="37" fillId="0" borderId="1" xfId="29" applyNumberFormat="1" applyFont="1" applyBorder="1" applyAlignment="1">
      <alignment vertical="center"/>
    </xf>
    <xf numFmtId="0" fontId="37" fillId="0" borderId="1" xfId="29" applyFont="1" applyBorder="1" applyAlignment="1">
      <alignment vertical="center"/>
    </xf>
    <xf numFmtId="186" fontId="37" fillId="0" borderId="1" xfId="11" applyNumberFormat="1" applyFont="1" applyFill="1" applyBorder="1" applyAlignment="1">
      <alignment horizontal="right" vertical="center"/>
    </xf>
    <xf numFmtId="186" fontId="37" fillId="0" borderId="31" xfId="11" applyNumberFormat="1" applyFont="1" applyFill="1" applyBorder="1" applyAlignment="1">
      <alignment horizontal="right" vertical="center"/>
    </xf>
    <xf numFmtId="0" fontId="37" fillId="0" borderId="43" xfId="29" applyFont="1" applyFill="1" applyBorder="1" applyAlignment="1">
      <alignment horizontal="center" vertical="center"/>
    </xf>
    <xf numFmtId="41" fontId="37" fillId="0" borderId="44" xfId="11" applyFont="1" applyFill="1" applyBorder="1" applyAlignment="1">
      <alignment horizontal="right" vertical="center"/>
    </xf>
    <xf numFmtId="0" fontId="37" fillId="0" borderId="44" xfId="29" applyFont="1" applyBorder="1" applyAlignment="1">
      <alignment horizontal="center" vertical="center"/>
    </xf>
    <xf numFmtId="178" fontId="37" fillId="0" borderId="44" xfId="29" applyNumberFormat="1" applyFont="1" applyBorder="1" applyAlignment="1">
      <alignment vertical="center"/>
    </xf>
    <xf numFmtId="0" fontId="37" fillId="0" borderId="44" xfId="29" applyFont="1" applyBorder="1" applyAlignment="1">
      <alignment vertical="center"/>
    </xf>
    <xf numFmtId="186" fontId="37" fillId="0" borderId="44" xfId="11" applyNumberFormat="1" applyFont="1" applyFill="1" applyBorder="1" applyAlignment="1">
      <alignment horizontal="right" vertical="center"/>
    </xf>
    <xf numFmtId="186" fontId="37" fillId="0" borderId="45" xfId="11" applyNumberFormat="1" applyFont="1" applyFill="1" applyBorder="1" applyAlignment="1">
      <alignment horizontal="right" vertical="center"/>
    </xf>
    <xf numFmtId="0" fontId="37" fillId="0" borderId="0" xfId="29" applyFont="1" applyFill="1" applyBorder="1" applyAlignment="1">
      <alignment horizontal="center" vertical="center"/>
    </xf>
    <xf numFmtId="41" fontId="37" fillId="0" borderId="0" xfId="11" applyFont="1" applyFill="1" applyBorder="1" applyAlignment="1">
      <alignment horizontal="right" vertical="center"/>
    </xf>
    <xf numFmtId="186" fontId="37" fillId="0" borderId="0" xfId="11" applyNumberFormat="1" applyFont="1" applyFill="1" applyBorder="1" applyAlignment="1">
      <alignment horizontal="right" vertical="center"/>
    </xf>
    <xf numFmtId="178" fontId="37" fillId="0" borderId="0" xfId="11" applyNumberFormat="1" applyFont="1" applyFill="1" applyBorder="1" applyAlignment="1">
      <alignment horizontal="right" vertical="center"/>
    </xf>
    <xf numFmtId="41" fontId="37" fillId="0" borderId="0" xfId="11" applyFont="1" applyFill="1" applyBorder="1" applyAlignment="1">
      <alignment horizontal="center" vertical="center"/>
    </xf>
    <xf numFmtId="0" fontId="37" fillId="0" borderId="130" xfId="29" applyFont="1" applyBorder="1" applyAlignment="1">
      <alignment horizontal="center" vertical="center"/>
    </xf>
    <xf numFmtId="200" fontId="37" fillId="0" borderId="37" xfId="11" applyNumberFormat="1" applyFont="1" applyFill="1" applyBorder="1" applyAlignment="1">
      <alignment horizontal="right" vertical="center"/>
    </xf>
    <xf numFmtId="0" fontId="37" fillId="0" borderId="2" xfId="29" applyFont="1" applyBorder="1" applyAlignment="1">
      <alignment horizontal="left" vertical="center"/>
    </xf>
    <xf numFmtId="191" fontId="37" fillId="0" borderId="0" xfId="29" applyNumberFormat="1" applyFont="1" applyBorder="1" applyAlignment="1">
      <alignment horizontal="center" vertical="center"/>
    </xf>
    <xf numFmtId="201" fontId="37" fillId="0" borderId="0" xfId="29" applyNumberFormat="1" applyFont="1" applyBorder="1" applyAlignment="1">
      <alignment vertical="center"/>
    </xf>
    <xf numFmtId="202" fontId="37" fillId="0" borderId="0" xfId="29" applyNumberFormat="1" applyFont="1" applyBorder="1" applyAlignment="1">
      <alignment horizontal="right" vertical="center"/>
    </xf>
    <xf numFmtId="41" fontId="37" fillId="0" borderId="5" xfId="11" applyFont="1" applyFill="1" applyBorder="1" applyAlignment="1">
      <alignment horizontal="right" vertical="center"/>
    </xf>
    <xf numFmtId="10" fontId="37" fillId="0" borderId="0" xfId="32" applyNumberFormat="1" applyFont="1" applyAlignment="1">
      <alignment vertical="center"/>
    </xf>
    <xf numFmtId="197" fontId="37" fillId="0" borderId="0" xfId="29" applyNumberFormat="1" applyFont="1" applyBorder="1" applyAlignment="1">
      <alignment horizontal="center" vertical="center"/>
    </xf>
    <xf numFmtId="41" fontId="37" fillId="0" borderId="0" xfId="11" applyFont="1" applyAlignment="1">
      <alignment vertical="center"/>
    </xf>
    <xf numFmtId="200" fontId="37" fillId="0" borderId="37" xfId="11" applyNumberFormat="1" applyFont="1" applyBorder="1" applyAlignment="1">
      <alignment horizontal="center" vertical="center"/>
    </xf>
    <xf numFmtId="197" fontId="37" fillId="0" borderId="0" xfId="29" applyNumberFormat="1" applyFont="1" applyAlignment="1">
      <alignment vertical="center"/>
    </xf>
    <xf numFmtId="0" fontId="37" fillId="0" borderId="37" xfId="29" applyFont="1" applyBorder="1" applyAlignment="1">
      <alignment horizontal="center" vertical="center"/>
    </xf>
    <xf numFmtId="0" fontId="36" fillId="0" borderId="0" xfId="29" applyFont="1" applyBorder="1" applyAlignment="1">
      <alignment vertical="center"/>
    </xf>
    <xf numFmtId="0" fontId="36" fillId="0" borderId="0" xfId="29" quotePrefix="1" applyFont="1" applyBorder="1" applyAlignment="1">
      <alignment vertical="center"/>
    </xf>
    <xf numFmtId="0" fontId="37" fillId="0" borderId="131" xfId="29" applyFont="1" applyFill="1" applyBorder="1" applyAlignment="1">
      <alignment horizontal="center" vertical="center"/>
    </xf>
    <xf numFmtId="200" fontId="37" fillId="0" borderId="71" xfId="11" applyNumberFormat="1" applyFont="1" applyBorder="1" applyAlignment="1">
      <alignment horizontal="center" vertical="center"/>
    </xf>
    <xf numFmtId="0" fontId="37" fillId="0" borderId="71" xfId="29" applyFont="1" applyBorder="1" applyAlignment="1">
      <alignment horizontal="center" vertical="center"/>
    </xf>
    <xf numFmtId="196" fontId="37" fillId="0" borderId="134" xfId="11" applyNumberFormat="1" applyFont="1" applyBorder="1" applyAlignment="1">
      <alignment horizontal="center" vertical="center"/>
    </xf>
    <xf numFmtId="0" fontId="36" fillId="0" borderId="120" xfId="29" applyFont="1" applyBorder="1" applyAlignment="1">
      <alignment vertical="center"/>
    </xf>
    <xf numFmtId="0" fontId="36" fillId="0" borderId="2" xfId="29" applyFont="1" applyBorder="1" applyAlignment="1">
      <alignment horizontal="left" vertical="center"/>
    </xf>
    <xf numFmtId="0" fontId="36" fillId="0" borderId="0" xfId="29" applyFont="1" applyBorder="1" applyAlignment="1">
      <alignment horizontal="center" vertical="center"/>
    </xf>
    <xf numFmtId="197" fontId="36" fillId="0" borderId="0" xfId="29" applyNumberFormat="1" applyFont="1" applyBorder="1" applyAlignment="1">
      <alignment vertical="center"/>
    </xf>
    <xf numFmtId="0" fontId="37" fillId="0" borderId="2" xfId="29" applyFont="1" applyBorder="1" applyAlignment="1">
      <alignment vertical="center"/>
    </xf>
    <xf numFmtId="0" fontId="37" fillId="0" borderId="61" xfId="29" applyFont="1" applyBorder="1" applyAlignment="1">
      <alignment vertical="center"/>
    </xf>
    <xf numFmtId="187" fontId="37" fillId="0" borderId="2" xfId="29" applyNumberFormat="1" applyFont="1" applyBorder="1" applyAlignment="1">
      <alignment vertical="center"/>
    </xf>
    <xf numFmtId="0" fontId="37" fillId="0" borderId="69" xfId="29" applyFont="1" applyFill="1" applyBorder="1" applyAlignment="1">
      <alignment horizontal="center" vertical="center"/>
    </xf>
    <xf numFmtId="41" fontId="37" fillId="0" borderId="25" xfId="11" applyFont="1" applyFill="1" applyBorder="1" applyAlignment="1">
      <alignment horizontal="right" vertical="center"/>
    </xf>
    <xf numFmtId="0" fontId="37" fillId="0" borderId="24" xfId="29" applyFont="1" applyBorder="1" applyAlignment="1">
      <alignment vertical="center"/>
    </xf>
    <xf numFmtId="0" fontId="37" fillId="0" borderId="25" xfId="29" applyFont="1" applyBorder="1" applyAlignment="1">
      <alignment horizontal="center" vertical="center"/>
    </xf>
    <xf numFmtId="187" fontId="37" fillId="0" borderId="26" xfId="29" applyNumberFormat="1" applyFont="1" applyBorder="1" applyAlignment="1">
      <alignment vertical="center"/>
    </xf>
    <xf numFmtId="178" fontId="37" fillId="0" borderId="15" xfId="29" applyNumberFormat="1" applyFont="1" applyBorder="1" applyAlignment="1">
      <alignment vertical="center"/>
    </xf>
    <xf numFmtId="41" fontId="37" fillId="0" borderId="7" xfId="11" applyFont="1" applyFill="1" applyBorder="1" applyAlignment="1">
      <alignment horizontal="right" vertical="center"/>
    </xf>
    <xf numFmtId="186" fontId="37" fillId="0" borderId="7" xfId="11" applyNumberFormat="1" applyFont="1" applyFill="1" applyBorder="1" applyAlignment="1">
      <alignment horizontal="right" vertical="center"/>
    </xf>
    <xf numFmtId="187" fontId="37" fillId="0" borderId="0" xfId="29" applyNumberFormat="1" applyFont="1" applyBorder="1" applyAlignment="1">
      <alignment vertical="center"/>
    </xf>
    <xf numFmtId="191" fontId="37" fillId="0" borderId="0" xfId="29" applyNumberFormat="1" applyFont="1" applyBorder="1" applyAlignment="1">
      <alignment horizontal="right" vertical="center"/>
    </xf>
    <xf numFmtId="0" fontId="37" fillId="0" borderId="4" xfId="29" applyFont="1" applyBorder="1" applyAlignment="1">
      <alignment horizontal="center" vertical="center"/>
    </xf>
    <xf numFmtId="196" fontId="37" fillId="0" borderId="37" xfId="11" applyNumberFormat="1" applyFont="1" applyFill="1" applyBorder="1" applyAlignment="1">
      <alignment horizontal="right" vertical="center"/>
    </xf>
    <xf numFmtId="203" fontId="37" fillId="0" borderId="37" xfId="11" applyNumberFormat="1" applyFont="1" applyFill="1" applyBorder="1" applyAlignment="1">
      <alignment horizontal="center" vertical="center"/>
    </xf>
    <xf numFmtId="41" fontId="37" fillId="0" borderId="6" xfId="11" applyNumberFormat="1" applyFont="1" applyFill="1" applyBorder="1" applyAlignment="1">
      <alignment horizontal="right" vertical="center"/>
    </xf>
    <xf numFmtId="200" fontId="37" fillId="0" borderId="6" xfId="11" applyNumberFormat="1" applyFont="1" applyBorder="1" applyAlignment="1">
      <alignment vertical="center"/>
    </xf>
    <xf numFmtId="41" fontId="73" fillId="0" borderId="0" xfId="29" applyNumberFormat="1" applyFont="1" applyBorder="1" applyAlignment="1">
      <alignment vertical="center"/>
    </xf>
    <xf numFmtId="41" fontId="37" fillId="0" borderId="0" xfId="29" applyNumberFormat="1" applyFont="1" applyBorder="1" applyAlignment="1">
      <alignment vertical="center"/>
    </xf>
    <xf numFmtId="0" fontId="37" fillId="0" borderId="0" xfId="29" applyFont="1" applyBorder="1" applyAlignment="1">
      <alignment horizontal="left" vertical="center"/>
    </xf>
    <xf numFmtId="0" fontId="37" fillId="0" borderId="2" xfId="29" applyFont="1" applyBorder="1" applyAlignment="1">
      <alignment horizontal="center" vertical="center"/>
    </xf>
    <xf numFmtId="189" fontId="73" fillId="0" borderId="0" xfId="11" applyNumberFormat="1" applyFont="1" applyBorder="1" applyAlignment="1">
      <alignment horizontal="center" vertical="center"/>
    </xf>
    <xf numFmtId="204" fontId="37" fillId="0" borderId="0" xfId="29" applyNumberFormat="1" applyFont="1" applyBorder="1" applyAlignment="1">
      <alignment vertical="center"/>
    </xf>
    <xf numFmtId="195" fontId="37" fillId="0" borderId="37" xfId="11" applyNumberFormat="1" applyFont="1" applyFill="1" applyBorder="1" applyAlignment="1">
      <alignment horizontal="center" vertical="center"/>
    </xf>
    <xf numFmtId="0" fontId="37" fillId="0" borderId="0" xfId="29" quotePrefix="1" applyFont="1" applyBorder="1" applyAlignment="1">
      <alignment horizontal="left" vertical="center"/>
    </xf>
    <xf numFmtId="201" fontId="37" fillId="0" borderId="37" xfId="29" applyNumberFormat="1" applyFont="1" applyBorder="1" applyAlignment="1">
      <alignment horizontal="right" vertical="center"/>
    </xf>
    <xf numFmtId="201" fontId="37" fillId="0" borderId="37" xfId="29" applyNumberFormat="1" applyFont="1" applyBorder="1" applyAlignment="1">
      <alignment horizontal="center" vertical="center"/>
    </xf>
    <xf numFmtId="2" fontId="37" fillId="0" borderId="0" xfId="29" applyNumberFormat="1" applyFont="1" applyBorder="1" applyAlignment="1">
      <alignment horizontal="center" vertical="center"/>
    </xf>
    <xf numFmtId="41" fontId="37" fillId="0" borderId="0" xfId="11" applyFont="1" applyBorder="1" applyAlignment="1">
      <alignment vertical="center"/>
    </xf>
    <xf numFmtId="201" fontId="37" fillId="0" borderId="71" xfId="29" applyNumberFormat="1" applyFont="1" applyBorder="1" applyAlignment="1">
      <alignment horizontal="right" vertical="center"/>
    </xf>
    <xf numFmtId="0" fontId="37" fillId="0" borderId="71" xfId="11" applyNumberFormat="1" applyFont="1" applyFill="1" applyBorder="1" applyAlignment="1">
      <alignment horizontal="center" vertical="center"/>
    </xf>
    <xf numFmtId="201" fontId="37" fillId="0" borderId="71" xfId="29" applyNumberFormat="1" applyFont="1" applyBorder="1" applyAlignment="1">
      <alignment horizontal="center" vertical="center"/>
    </xf>
    <xf numFmtId="201" fontId="37" fillId="0" borderId="59" xfId="29" applyNumberFormat="1" applyFont="1" applyBorder="1" applyAlignment="1">
      <alignment horizontal="right" vertical="center"/>
    </xf>
    <xf numFmtId="0" fontId="37" fillId="0" borderId="59" xfId="29" applyFont="1" applyBorder="1" applyAlignment="1">
      <alignment horizontal="center" vertical="center"/>
    </xf>
    <xf numFmtId="197" fontId="37" fillId="0" borderId="59" xfId="29" applyNumberFormat="1" applyFont="1" applyBorder="1" applyAlignment="1">
      <alignment horizontal="center" vertical="center"/>
    </xf>
    <xf numFmtId="186" fontId="37" fillId="0" borderId="59" xfId="11" applyNumberFormat="1" applyFont="1" applyFill="1" applyBorder="1" applyAlignment="1">
      <alignment horizontal="right" vertical="center"/>
    </xf>
    <xf numFmtId="41" fontId="37" fillId="0" borderId="59" xfId="11" applyFont="1" applyFill="1" applyBorder="1" applyAlignment="1">
      <alignment horizontal="right" vertical="center"/>
    </xf>
    <xf numFmtId="201" fontId="37" fillId="0" borderId="0" xfId="29" applyNumberFormat="1" applyFont="1" applyBorder="1" applyAlignment="1">
      <alignment horizontal="right" vertical="center"/>
    </xf>
    <xf numFmtId="0" fontId="37" fillId="0" borderId="73" xfId="29" applyFont="1" applyBorder="1" applyAlignment="1">
      <alignment horizontal="center" vertical="center"/>
    </xf>
    <xf numFmtId="41" fontId="73" fillId="0" borderId="0" xfId="11" applyFont="1" applyAlignment="1">
      <alignment vertical="center"/>
    </xf>
    <xf numFmtId="0" fontId="37" fillId="0" borderId="135" xfId="29" applyFont="1" applyBorder="1" applyAlignment="1">
      <alignment horizontal="center" vertical="center"/>
    </xf>
    <xf numFmtId="0" fontId="37" fillId="0" borderId="136" xfId="29" applyFont="1" applyBorder="1" applyAlignment="1">
      <alignment horizontal="center" vertical="center"/>
    </xf>
    <xf numFmtId="0" fontId="37" fillId="0" borderId="137" xfId="29" applyFont="1" applyBorder="1" applyAlignment="1">
      <alignment horizontal="center" vertical="center"/>
    </xf>
    <xf numFmtId="200" fontId="37" fillId="0" borderId="71" xfId="11" applyNumberFormat="1" applyFont="1" applyBorder="1" applyAlignment="1">
      <alignment vertical="center"/>
    </xf>
    <xf numFmtId="41" fontId="37" fillId="0" borderId="0" xfId="11" applyFont="1" applyAlignment="1">
      <alignment vertical="center" shrinkToFit="1"/>
    </xf>
    <xf numFmtId="200" fontId="37" fillId="0" borderId="37" xfId="11" applyNumberFormat="1" applyFont="1" applyBorder="1" applyAlignment="1">
      <alignment vertical="center"/>
    </xf>
    <xf numFmtId="188" fontId="37" fillId="0" borderId="0" xfId="29" applyNumberFormat="1" applyFont="1" applyBorder="1" applyAlignment="1">
      <alignment vertical="center"/>
    </xf>
    <xf numFmtId="41" fontId="37" fillId="0" borderId="37" xfId="29" applyNumberFormat="1" applyFont="1" applyBorder="1" applyAlignment="1">
      <alignment vertical="center"/>
    </xf>
    <xf numFmtId="200" fontId="37" fillId="0" borderId="37" xfId="29" applyNumberFormat="1" applyFont="1" applyBorder="1" applyAlignment="1">
      <alignment vertical="center"/>
    </xf>
    <xf numFmtId="0" fontId="37" fillId="0" borderId="25" xfId="11" applyNumberFormat="1" applyFont="1" applyFill="1" applyBorder="1" applyAlignment="1">
      <alignment horizontal="center" vertical="center"/>
    </xf>
    <xf numFmtId="41" fontId="37" fillId="0" borderId="25" xfId="29" applyNumberFormat="1" applyFont="1" applyBorder="1" applyAlignment="1">
      <alignment vertical="center"/>
    </xf>
    <xf numFmtId="200" fontId="37" fillId="0" borderId="25" xfId="29" applyNumberFormat="1" applyFont="1" applyBorder="1" applyAlignment="1">
      <alignment vertical="center"/>
    </xf>
    <xf numFmtId="43" fontId="37" fillId="0" borderId="0" xfId="29" applyNumberFormat="1" applyFont="1" applyBorder="1" applyAlignment="1">
      <alignment vertical="center"/>
    </xf>
    <xf numFmtId="205" fontId="37" fillId="0" borderId="0" xfId="29" applyNumberFormat="1" applyFont="1" applyAlignment="1">
      <alignment vertical="center"/>
    </xf>
    <xf numFmtId="206" fontId="37" fillId="0" borderId="0" xfId="29" applyNumberFormat="1" applyFont="1" applyBorder="1" applyAlignment="1">
      <alignment horizontal="right" vertical="center"/>
    </xf>
    <xf numFmtId="207" fontId="37" fillId="0" borderId="5" xfId="11" applyNumberFormat="1" applyFont="1" applyFill="1" applyBorder="1" applyAlignment="1">
      <alignment horizontal="right" vertical="center"/>
    </xf>
    <xf numFmtId="207" fontId="37" fillId="0" borderId="6" xfId="11" applyNumberFormat="1" applyFont="1" applyFill="1" applyBorder="1" applyAlignment="1">
      <alignment horizontal="right" vertical="center"/>
    </xf>
    <xf numFmtId="41" fontId="73" fillId="0" borderId="0" xfId="11" applyFont="1" applyBorder="1" applyAlignment="1">
      <alignment horizontal="center" vertical="center"/>
    </xf>
    <xf numFmtId="0" fontId="37" fillId="0" borderId="0" xfId="29" applyFont="1" applyAlignment="1">
      <alignment horizontal="center" vertical="center"/>
    </xf>
    <xf numFmtId="0" fontId="37" fillId="0" borderId="0" xfId="29" quotePrefix="1" applyFont="1" applyBorder="1" applyAlignment="1">
      <alignment horizontal="center" vertical="center"/>
    </xf>
    <xf numFmtId="196" fontId="37" fillId="0" borderId="37" xfId="11" applyNumberFormat="1" applyFont="1" applyBorder="1" applyAlignment="1">
      <alignment horizontal="center" vertical="center"/>
    </xf>
    <xf numFmtId="0" fontId="37" fillId="0" borderId="2" xfId="29" quotePrefix="1" applyFont="1" applyBorder="1" applyAlignment="1">
      <alignment horizontal="center" vertical="center"/>
    </xf>
    <xf numFmtId="0" fontId="37" fillId="0" borderId="0" xfId="29" quotePrefix="1" applyFont="1" applyBorder="1" applyAlignment="1">
      <alignment vertical="center"/>
    </xf>
    <xf numFmtId="197" fontId="37" fillId="0" borderId="0" xfId="29" applyNumberFormat="1" applyFont="1" applyAlignment="1">
      <alignment horizontal="center" vertical="center"/>
    </xf>
    <xf numFmtId="207" fontId="37" fillId="0" borderId="126" xfId="11" applyNumberFormat="1" applyFont="1" applyFill="1" applyBorder="1" applyAlignment="1">
      <alignment horizontal="right" vertical="center"/>
    </xf>
    <xf numFmtId="196" fontId="37" fillId="0" borderId="71" xfId="11" applyNumberFormat="1" applyFont="1" applyBorder="1" applyAlignment="1">
      <alignment horizontal="center" vertical="center"/>
    </xf>
    <xf numFmtId="0" fontId="37" fillId="0" borderId="138" xfId="29" applyFont="1" applyBorder="1" applyAlignment="1">
      <alignment horizontal="center" vertical="center"/>
    </xf>
    <xf numFmtId="196" fontId="37" fillId="0" borderId="120" xfId="11" applyNumberFormat="1" applyFont="1" applyBorder="1" applyAlignment="1">
      <alignment horizontal="center" vertical="center"/>
    </xf>
    <xf numFmtId="186" fontId="37" fillId="0" borderId="120" xfId="11" applyNumberFormat="1" applyFont="1" applyFill="1" applyBorder="1" applyAlignment="1">
      <alignment horizontal="right" vertical="center"/>
    </xf>
    <xf numFmtId="41" fontId="37" fillId="0" borderId="120" xfId="11" applyFont="1" applyFill="1" applyBorder="1" applyAlignment="1">
      <alignment horizontal="right" vertical="center"/>
    </xf>
    <xf numFmtId="196" fontId="37" fillId="0" borderId="0" xfId="11" applyNumberFormat="1" applyFont="1" applyBorder="1" applyAlignment="1">
      <alignment horizontal="center" vertical="center"/>
    </xf>
    <xf numFmtId="0" fontId="37" fillId="0" borderId="73" xfId="29" applyFont="1" applyBorder="1" applyAlignment="1">
      <alignment vertical="center"/>
    </xf>
    <xf numFmtId="41" fontId="37" fillId="0" borderId="71" xfId="11" applyFont="1" applyBorder="1" applyAlignment="1">
      <alignment vertical="center"/>
    </xf>
    <xf numFmtId="41" fontId="37" fillId="0" borderId="37" xfId="11" applyFont="1" applyBorder="1" applyAlignment="1">
      <alignment vertical="center"/>
    </xf>
    <xf numFmtId="41" fontId="37" fillId="0" borderId="0" xfId="11" applyFont="1" applyBorder="1" applyAlignment="1">
      <alignment vertical="center" shrinkToFit="1"/>
    </xf>
    <xf numFmtId="41" fontId="37" fillId="0" borderId="15" xfId="29" applyNumberFormat="1" applyFont="1" applyBorder="1" applyAlignment="1">
      <alignment vertical="center"/>
    </xf>
    <xf numFmtId="0" fontId="37" fillId="0" borderId="46" xfId="29" applyFont="1" applyBorder="1" applyAlignment="1">
      <alignment vertical="center"/>
    </xf>
    <xf numFmtId="226" fontId="67" fillId="0" borderId="0" xfId="11" applyNumberFormat="1" applyFont="1" applyBorder="1">
      <alignment vertical="center"/>
    </xf>
    <xf numFmtId="41" fontId="135" fillId="0" borderId="4" xfId="3" applyFont="1" applyFill="1" applyBorder="1" applyAlignment="1">
      <alignment horizontal="right" vertical="center"/>
    </xf>
    <xf numFmtId="0" fontId="0" fillId="0" borderId="0" xfId="0">
      <alignment vertical="center"/>
    </xf>
    <xf numFmtId="0" fontId="36" fillId="0" borderId="0" xfId="2" applyFont="1">
      <alignment vertical="center"/>
    </xf>
    <xf numFmtId="0" fontId="11" fillId="0" borderId="0" xfId="14" applyFont="1" applyAlignment="1">
      <alignment vertical="center"/>
    </xf>
    <xf numFmtId="10" fontId="0" fillId="0" borderId="0" xfId="12" applyNumberFormat="1" applyFont="1">
      <alignment vertical="center"/>
    </xf>
    <xf numFmtId="41" fontId="0" fillId="0" borderId="0" xfId="0" applyNumberFormat="1">
      <alignment vertical="center"/>
    </xf>
    <xf numFmtId="183" fontId="26" fillId="0" borderId="0" xfId="12" applyNumberFormat="1" applyFont="1" applyFill="1" applyAlignment="1">
      <alignment horizontal="center" vertical="center"/>
    </xf>
    <xf numFmtId="41" fontId="26" fillId="0" borderId="0" xfId="6" applyNumberFormat="1" applyFont="1" applyFill="1" applyAlignment="1">
      <alignment horizontal="center" vertical="center"/>
    </xf>
    <xf numFmtId="0" fontId="36" fillId="11" borderId="4" xfId="2" applyFont="1" applyFill="1" applyBorder="1" applyAlignment="1">
      <alignment horizontal="center" vertical="center"/>
    </xf>
    <xf numFmtId="0" fontId="37" fillId="0" borderId="4" xfId="2" applyFont="1" applyBorder="1">
      <alignment vertical="center"/>
    </xf>
    <xf numFmtId="41" fontId="37" fillId="0" borderId="4" xfId="2" applyNumberFormat="1" applyFont="1" applyBorder="1">
      <alignment vertical="center"/>
    </xf>
    <xf numFmtId="0" fontId="1" fillId="0" borderId="0" xfId="2" applyAlignment="1">
      <alignment vertical="center" wrapText="1"/>
    </xf>
    <xf numFmtId="0" fontId="136" fillId="50" borderId="4" xfId="0" applyFont="1" applyFill="1" applyBorder="1" applyAlignment="1">
      <alignment horizontal="center" vertical="center" wrapText="1"/>
    </xf>
    <xf numFmtId="0" fontId="137" fillId="50" borderId="4" xfId="0" applyFont="1" applyFill="1" applyBorder="1" applyAlignment="1">
      <alignment horizontal="center" vertical="center" wrapText="1"/>
    </xf>
    <xf numFmtId="41" fontId="138" fillId="0" borderId="4" xfId="0" applyNumberFormat="1" applyFont="1" applyFill="1" applyBorder="1" applyAlignment="1">
      <alignment horizontal="center" vertical="center" wrapText="1"/>
    </xf>
    <xf numFmtId="0" fontId="136" fillId="0" borderId="4" xfId="0" applyFont="1" applyFill="1" applyBorder="1" applyAlignment="1">
      <alignment horizontal="center" vertical="center" wrapText="1"/>
    </xf>
    <xf numFmtId="41" fontId="36" fillId="0" borderId="4" xfId="2" applyNumberFormat="1" applyFont="1" applyBorder="1">
      <alignment vertical="center"/>
    </xf>
    <xf numFmtId="0" fontId="1" fillId="0" borderId="4" xfId="2" applyBorder="1" applyAlignment="1">
      <alignment horizontal="center" vertical="center"/>
    </xf>
    <xf numFmtId="0" fontId="36" fillId="0" borderId="4" xfId="2" applyFont="1" applyBorder="1">
      <alignment vertical="center"/>
    </xf>
    <xf numFmtId="0" fontId="1" fillId="0" borderId="7" xfId="2" applyBorder="1" applyAlignment="1">
      <alignment horizontal="center" vertical="center"/>
    </xf>
    <xf numFmtId="0" fontId="1" fillId="0" borderId="33" xfId="2" applyBorder="1" applyAlignment="1">
      <alignment horizontal="center" vertical="center"/>
    </xf>
    <xf numFmtId="0" fontId="53" fillId="0" borderId="101" xfId="0" applyFont="1" applyBorder="1" applyAlignment="1">
      <alignment horizontal="center" vertical="center" wrapText="1"/>
    </xf>
    <xf numFmtId="0" fontId="136" fillId="0" borderId="4" xfId="0" applyFont="1" applyFill="1" applyBorder="1" applyAlignment="1">
      <alignment horizontal="center" vertical="center" wrapText="1"/>
    </xf>
    <xf numFmtId="0" fontId="58" fillId="46" borderId="145" xfId="0" applyFont="1" applyFill="1" applyBorder="1" applyAlignment="1">
      <alignment horizontal="center" vertical="center" wrapText="1"/>
    </xf>
    <xf numFmtId="0" fontId="58" fillId="46" borderId="146" xfId="0" applyFont="1" applyFill="1" applyBorder="1" applyAlignment="1">
      <alignment horizontal="center" vertical="center" wrapText="1"/>
    </xf>
    <xf numFmtId="0" fontId="39" fillId="0" borderId="56" xfId="0" applyFont="1" applyBorder="1" applyAlignment="1">
      <alignment horizontal="right" vertical="center" wrapText="1"/>
    </xf>
    <xf numFmtId="0" fontId="39" fillId="0" borderId="109" xfId="0" applyFont="1" applyBorder="1" applyAlignment="1">
      <alignment horizontal="right" vertical="center" wrapText="1"/>
    </xf>
    <xf numFmtId="0" fontId="39" fillId="0" borderId="0" xfId="0" applyFont="1" applyBorder="1" applyAlignment="1">
      <alignment horizontal="right" vertical="center" wrapText="1"/>
    </xf>
    <xf numFmtId="0" fontId="136" fillId="0" borderId="4" xfId="0" applyFont="1" applyFill="1" applyBorder="1" applyAlignment="1">
      <alignment horizontal="center" vertical="center" wrapText="1"/>
    </xf>
    <xf numFmtId="0" fontId="1" fillId="0" borderId="4" xfId="2" applyFont="1" applyBorder="1">
      <alignment vertical="center"/>
    </xf>
    <xf numFmtId="0" fontId="136" fillId="0" borderId="0" xfId="0" applyFont="1" applyFill="1" applyBorder="1" applyAlignment="1">
      <alignment horizontal="center" vertical="center" wrapText="1"/>
    </xf>
    <xf numFmtId="0" fontId="1" fillId="0" borderId="4" xfId="2" applyBorder="1" applyAlignment="1">
      <alignment horizontal="center" vertical="center"/>
    </xf>
    <xf numFmtId="0" fontId="136" fillId="0" borderId="4" xfId="0" applyFont="1" applyFill="1" applyBorder="1" applyAlignment="1">
      <alignment horizontal="center" vertical="center" wrapText="1"/>
    </xf>
    <xf numFmtId="41" fontId="0" fillId="0" borderId="4" xfId="0" applyNumberFormat="1" applyBorder="1">
      <alignment vertical="center"/>
    </xf>
    <xf numFmtId="0" fontId="53" fillId="0" borderId="101" xfId="0" applyFont="1" applyBorder="1" applyAlignment="1">
      <alignment horizontal="right" vertical="center" wrapText="1"/>
    </xf>
    <xf numFmtId="0" fontId="53" fillId="0" borderId="102" xfId="0" applyFont="1" applyBorder="1" applyAlignment="1">
      <alignment horizontal="right" vertical="center" wrapText="1"/>
    </xf>
    <xf numFmtId="0" fontId="53" fillId="0" borderId="143" xfId="0" applyFont="1" applyBorder="1" applyAlignment="1">
      <alignment horizontal="right" vertical="center" wrapText="1"/>
    </xf>
    <xf numFmtId="178" fontId="0" fillId="0" borderId="0" xfId="0" applyNumberFormat="1">
      <alignment vertical="center"/>
    </xf>
    <xf numFmtId="0" fontId="36" fillId="0" borderId="4" xfId="13" applyFont="1" applyFill="1" applyBorder="1" applyAlignment="1">
      <alignment horizontal="center" vertical="center"/>
    </xf>
    <xf numFmtId="41" fontId="36" fillId="11" borderId="4" xfId="11" applyFont="1" applyFill="1" applyBorder="1" applyAlignment="1">
      <alignment horizontal="center" vertical="center"/>
    </xf>
    <xf numFmtId="0" fontId="144" fillId="0" borderId="0" xfId="2" applyFont="1">
      <alignment vertical="center"/>
    </xf>
    <xf numFmtId="3" fontId="26" fillId="0" borderId="0" xfId="6" applyNumberFormat="1" applyFont="1" applyFill="1" applyAlignment="1">
      <alignment horizontal="center" vertical="center"/>
    </xf>
    <xf numFmtId="0" fontId="17" fillId="0" borderId="4" xfId="2" applyFont="1" applyBorder="1" applyAlignment="1">
      <alignment horizontal="center" vertical="center" wrapText="1"/>
    </xf>
    <xf numFmtId="41" fontId="1" fillId="0" borderId="4" xfId="3" applyFont="1" applyBorder="1">
      <alignment vertical="center"/>
    </xf>
    <xf numFmtId="0" fontId="1" fillId="0" borderId="5" xfId="2" applyBorder="1" applyAlignment="1">
      <alignment vertical="center"/>
    </xf>
    <xf numFmtId="0" fontId="1" fillId="0" borderId="6" xfId="2" applyBorder="1" applyAlignment="1">
      <alignment vertical="center"/>
    </xf>
    <xf numFmtId="0" fontId="1" fillId="0" borderId="7" xfId="2" applyBorder="1" applyAlignment="1">
      <alignment vertical="center"/>
    </xf>
    <xf numFmtId="0" fontId="4" fillId="0" borderId="11" xfId="13" applyFont="1" applyFill="1" applyBorder="1" applyAlignment="1">
      <alignment horizontal="center" vertical="center"/>
    </xf>
    <xf numFmtId="0" fontId="1" fillId="0" borderId="5" xfId="2" applyBorder="1" applyAlignment="1">
      <alignment vertical="center" wrapText="1"/>
    </xf>
    <xf numFmtId="0" fontId="1" fillId="0" borderId="6" xfId="2" applyBorder="1" applyAlignment="1">
      <alignment vertical="center" wrapText="1"/>
    </xf>
    <xf numFmtId="0" fontId="1" fillId="0" borderId="7" xfId="2" applyBorder="1" applyAlignment="1">
      <alignment vertical="center" wrapText="1"/>
    </xf>
    <xf numFmtId="0" fontId="145" fillId="0" borderId="4" xfId="2" applyFont="1" applyBorder="1">
      <alignment vertical="center"/>
    </xf>
    <xf numFmtId="0" fontId="136" fillId="0" borderId="4" xfId="0" applyFont="1" applyFill="1" applyBorder="1" applyAlignment="1">
      <alignment horizontal="center" vertical="center" wrapText="1"/>
    </xf>
    <xf numFmtId="0" fontId="1" fillId="0" borderId="23" xfId="2" applyBorder="1" applyAlignment="1">
      <alignment horizontal="center" vertical="center"/>
    </xf>
    <xf numFmtId="0" fontId="137" fillId="50" borderId="4" xfId="0" applyFont="1" applyFill="1" applyBorder="1" applyAlignment="1">
      <alignment horizontal="center" vertical="center" wrapText="1"/>
    </xf>
    <xf numFmtId="0" fontId="136" fillId="51" borderId="4" xfId="0" applyFont="1" applyFill="1" applyBorder="1" applyAlignment="1">
      <alignment horizontal="center" vertical="center" wrapText="1"/>
    </xf>
    <xf numFmtId="0" fontId="17" fillId="0" borderId="23" xfId="2" applyFont="1" applyBorder="1" applyAlignment="1">
      <alignment horizontal="center" vertical="center"/>
    </xf>
    <xf numFmtId="0" fontId="53" fillId="0" borderId="11" xfId="0" applyFont="1" applyBorder="1" applyAlignment="1">
      <alignment horizontal="center" vertical="center" wrapText="1"/>
    </xf>
    <xf numFmtId="41" fontId="53" fillId="0" borderId="11" xfId="0" applyNumberFormat="1" applyFont="1" applyBorder="1" applyAlignment="1">
      <alignment horizontal="center" vertical="center" wrapText="1"/>
    </xf>
    <xf numFmtId="0" fontId="141" fillId="0" borderId="11" xfId="0" applyFont="1" applyBorder="1" applyAlignment="1">
      <alignment horizontal="center" vertical="center" wrapText="1"/>
    </xf>
    <xf numFmtId="0" fontId="146" fillId="0" borderId="11" xfId="0" applyFont="1" applyBorder="1" applyAlignment="1">
      <alignment horizontal="center" vertical="center" wrapText="1"/>
    </xf>
    <xf numFmtId="0" fontId="141" fillId="0" borderId="12" xfId="0" applyFont="1" applyBorder="1" applyAlignment="1">
      <alignment horizontal="center" vertical="center" wrapText="1"/>
    </xf>
    <xf numFmtId="3" fontId="53" fillId="0" borderId="6" xfId="0" applyNumberFormat="1" applyFont="1" applyBorder="1" applyAlignment="1">
      <alignment horizontal="center" vertical="center" wrapText="1"/>
    </xf>
    <xf numFmtId="0" fontId="141" fillId="0" borderId="6" xfId="0" applyFont="1" applyBorder="1" applyAlignment="1">
      <alignment horizontal="center" vertical="center" wrapText="1"/>
    </xf>
    <xf numFmtId="41" fontId="141" fillId="0" borderId="7" xfId="0" applyNumberFormat="1" applyFont="1" applyBorder="1" applyAlignment="1">
      <alignment horizontal="center" vertical="center" wrapText="1"/>
    </xf>
    <xf numFmtId="0" fontId="141" fillId="0" borderId="7" xfId="0" applyFont="1" applyBorder="1" applyAlignment="1">
      <alignment horizontal="center" vertical="center" wrapText="1"/>
    </xf>
    <xf numFmtId="0" fontId="53" fillId="0" borderId="10" xfId="0" applyFont="1" applyBorder="1" applyAlignment="1">
      <alignment horizontal="center" vertical="center" wrapText="1"/>
    </xf>
    <xf numFmtId="41" fontId="53" fillId="0" borderId="10" xfId="0" applyNumberFormat="1" applyFont="1" applyBorder="1" applyAlignment="1">
      <alignment horizontal="center" vertical="center" wrapText="1"/>
    </xf>
    <xf numFmtId="0" fontId="141" fillId="0" borderId="10" xfId="0" applyFont="1" applyBorder="1" applyAlignment="1">
      <alignment horizontal="center" vertical="center" wrapText="1"/>
    </xf>
    <xf numFmtId="0" fontId="53" fillId="0" borderId="12" xfId="0" applyFont="1" applyBorder="1" applyAlignment="1">
      <alignment horizontal="center" vertical="center" wrapText="1"/>
    </xf>
    <xf numFmtId="41" fontId="53" fillId="0" borderId="12" xfId="0" applyNumberFormat="1" applyFont="1" applyBorder="1" applyAlignment="1">
      <alignment horizontal="center" vertical="center" wrapText="1"/>
    </xf>
    <xf numFmtId="41" fontId="17" fillId="0" borderId="0" xfId="2" applyNumberFormat="1" applyFont="1" applyBorder="1">
      <alignment vertical="center"/>
    </xf>
    <xf numFmtId="0" fontId="36" fillId="53" borderId="4" xfId="2" applyFont="1" applyFill="1" applyBorder="1" applyAlignment="1">
      <alignment horizontal="center" vertical="center"/>
    </xf>
    <xf numFmtId="41" fontId="36" fillId="53" borderId="4" xfId="11" applyFont="1" applyFill="1" applyBorder="1" applyAlignment="1">
      <alignment horizontal="center" vertical="center"/>
    </xf>
    <xf numFmtId="41" fontId="35" fillId="54" borderId="4" xfId="11" applyFont="1" applyFill="1" applyBorder="1" applyAlignment="1">
      <alignment vertical="center" shrinkToFit="1"/>
    </xf>
    <xf numFmtId="41" fontId="35" fillId="0" borderId="4" xfId="11" applyFont="1" applyFill="1" applyBorder="1" applyAlignment="1">
      <alignment vertical="center" shrinkToFit="1"/>
    </xf>
    <xf numFmtId="0" fontId="148" fillId="13" borderId="0" xfId="2" applyFont="1" applyFill="1" applyBorder="1" applyAlignment="1">
      <alignment horizontal="center" vertical="center" wrapText="1"/>
    </xf>
    <xf numFmtId="41" fontId="18" fillId="0" borderId="0" xfId="2" applyNumberFormat="1" applyFont="1" applyBorder="1">
      <alignment vertical="center"/>
    </xf>
    <xf numFmtId="0" fontId="18" fillId="0" borderId="0" xfId="2" applyFont="1">
      <alignment vertical="center"/>
    </xf>
    <xf numFmtId="9" fontId="0" fillId="0" borderId="33" xfId="0" applyNumberFormat="1" applyBorder="1">
      <alignment vertical="center"/>
    </xf>
    <xf numFmtId="9" fontId="9" fillId="0" borderId="4" xfId="12" applyFont="1" applyBorder="1" applyAlignment="1">
      <alignment horizontal="center" vertical="center"/>
    </xf>
    <xf numFmtId="9" fontId="44" fillId="0" borderId="33" xfId="0" applyNumberFormat="1" applyFont="1" applyBorder="1">
      <alignment vertical="center"/>
    </xf>
    <xf numFmtId="9" fontId="0" fillId="0" borderId="63" xfId="0" applyNumberFormat="1" applyBorder="1">
      <alignment vertical="center"/>
    </xf>
    <xf numFmtId="0" fontId="44" fillId="0" borderId="55" xfId="0" applyFont="1" applyBorder="1">
      <alignment vertical="center"/>
    </xf>
    <xf numFmtId="0" fontId="44" fillId="0" borderId="148" xfId="0" applyFont="1" applyBorder="1" applyAlignment="1">
      <alignment horizontal="center" vertical="center"/>
    </xf>
    <xf numFmtId="9" fontId="0" fillId="0" borderId="64" xfId="0" applyNumberFormat="1" applyBorder="1">
      <alignment vertical="center"/>
    </xf>
    <xf numFmtId="9" fontId="44" fillId="0" borderId="63" xfId="0" applyNumberFormat="1" applyFont="1" applyBorder="1">
      <alignment vertical="center"/>
    </xf>
    <xf numFmtId="0" fontId="44" fillId="0" borderId="4" xfId="0" applyFont="1" applyBorder="1">
      <alignment vertical="center"/>
    </xf>
    <xf numFmtId="41" fontId="33" fillId="0" borderId="0" xfId="6" applyNumberFormat="1" applyFont="1" applyFill="1" applyBorder="1" applyAlignment="1">
      <alignment horizontal="center" vertical="center"/>
    </xf>
    <xf numFmtId="187" fontId="17" fillId="0" borderId="12" xfId="11" applyNumberFormat="1" applyFont="1" applyFill="1" applyBorder="1" applyAlignment="1">
      <alignment horizontal="center" vertical="center"/>
    </xf>
    <xf numFmtId="187" fontId="17" fillId="0" borderId="10" xfId="11" applyNumberFormat="1" applyFont="1" applyFill="1" applyBorder="1" applyAlignment="1">
      <alignment horizontal="center" vertical="center"/>
    </xf>
    <xf numFmtId="41" fontId="1" fillId="0" borderId="0" xfId="3" applyFont="1" applyBorder="1">
      <alignment vertical="center"/>
    </xf>
    <xf numFmtId="244" fontId="55" fillId="0" borderId="0" xfId="475" applyNumberFormat="1" applyFont="1" applyBorder="1" applyAlignment="1">
      <alignment horizontal="center" vertical="center"/>
    </xf>
    <xf numFmtId="189" fontId="55" fillId="0" borderId="0" xfId="472" applyNumberFormat="1" applyFont="1" applyBorder="1" applyAlignment="1">
      <alignment horizontal="center" vertical="center"/>
    </xf>
    <xf numFmtId="189" fontId="55" fillId="0" borderId="15" xfId="472" applyNumberFormat="1" applyFont="1" applyBorder="1" applyAlignment="1">
      <alignment horizontal="center" vertical="center"/>
    </xf>
    <xf numFmtId="0" fontId="37" fillId="0" borderId="0" xfId="2" applyFont="1">
      <alignment vertical="center"/>
    </xf>
    <xf numFmtId="243" fontId="55" fillId="0" borderId="0" xfId="473" applyNumberFormat="1" applyFont="1" applyBorder="1" applyAlignment="1">
      <alignment vertical="center" shrinkToFit="1"/>
    </xf>
    <xf numFmtId="3" fontId="55" fillId="0" borderId="0" xfId="473" applyNumberFormat="1" applyFont="1" applyBorder="1" applyAlignment="1">
      <alignment vertical="center"/>
    </xf>
    <xf numFmtId="3" fontId="151" fillId="0" borderId="0" xfId="473" applyNumberFormat="1" applyFont="1" applyBorder="1" applyAlignment="1">
      <alignment vertical="center"/>
    </xf>
    <xf numFmtId="3" fontId="55" fillId="0" borderId="0" xfId="473" applyNumberFormat="1" applyFont="1" applyFill="1" applyBorder="1" applyAlignment="1">
      <alignment horizontal="right" vertical="center"/>
    </xf>
    <xf numFmtId="3" fontId="55" fillId="0" borderId="0" xfId="473" applyNumberFormat="1" applyFont="1" applyFill="1" applyBorder="1" applyAlignment="1">
      <alignment vertical="center"/>
    </xf>
    <xf numFmtId="3" fontId="55" fillId="0" borderId="0" xfId="473" applyNumberFormat="1" applyFont="1" applyBorder="1" applyAlignment="1">
      <alignment horizontal="right" vertical="center"/>
    </xf>
    <xf numFmtId="3" fontId="152" fillId="0" borderId="0" xfId="473" applyNumberFormat="1" applyFont="1" applyBorder="1" applyAlignment="1">
      <alignment vertical="center"/>
    </xf>
    <xf numFmtId="0" fontId="38" fillId="0" borderId="4" xfId="2" applyFont="1" applyBorder="1" applyAlignment="1">
      <alignment horizontal="center" vertical="center"/>
    </xf>
    <xf numFmtId="41" fontId="37" fillId="0" borderId="4" xfId="2" applyNumberFormat="1" applyFont="1" applyBorder="1" applyAlignment="1">
      <alignment horizontal="center" vertical="center"/>
    </xf>
    <xf numFmtId="0" fontId="73" fillId="0" borderId="0" xfId="2" applyFont="1">
      <alignment vertical="center"/>
    </xf>
    <xf numFmtId="41" fontId="142" fillId="0" borderId="4" xfId="0" applyNumberFormat="1" applyFont="1" applyBorder="1">
      <alignment vertical="center"/>
    </xf>
    <xf numFmtId="41" fontId="7" fillId="0" borderId="4" xfId="2" applyNumberFormat="1" applyFont="1" applyFill="1" applyBorder="1" applyAlignment="1">
      <alignment horizontal="center" vertical="center"/>
    </xf>
    <xf numFmtId="0" fontId="1" fillId="0" borderId="4" xfId="2" applyBorder="1" applyAlignment="1">
      <alignment horizontal="center" vertical="center"/>
    </xf>
    <xf numFmtId="3" fontId="39" fillId="0" borderId="56" xfId="0" applyNumberFormat="1" applyFont="1" applyBorder="1" applyAlignment="1">
      <alignment horizontal="center" vertical="center" wrapText="1"/>
    </xf>
    <xf numFmtId="0" fontId="39" fillId="0" borderId="56" xfId="0" applyFont="1" applyBorder="1" applyAlignment="1">
      <alignment horizontal="center" vertical="center" wrapText="1"/>
    </xf>
    <xf numFmtId="192" fontId="37" fillId="0" borderId="0" xfId="2" applyNumberFormat="1" applyFont="1">
      <alignment vertical="center"/>
    </xf>
    <xf numFmtId="245" fontId="37" fillId="0" borderId="0" xfId="2" applyNumberFormat="1" applyFont="1">
      <alignment vertical="center"/>
    </xf>
    <xf numFmtId="0" fontId="1" fillId="0" borderId="0" xfId="2" applyBorder="1">
      <alignment vertical="center"/>
    </xf>
    <xf numFmtId="0" fontId="1" fillId="0" borderId="0" xfId="2">
      <alignment vertical="center"/>
    </xf>
    <xf numFmtId="0" fontId="1" fillId="0" borderId="4" xfId="2" applyBorder="1">
      <alignment vertical="center"/>
    </xf>
    <xf numFmtId="41" fontId="1" fillId="0" borderId="4" xfId="2" applyNumberFormat="1" applyBorder="1">
      <alignment vertical="center"/>
    </xf>
    <xf numFmtId="41" fontId="1" fillId="13" borderId="4" xfId="2" applyNumberFormat="1" applyFill="1" applyBorder="1">
      <alignment vertical="center"/>
    </xf>
    <xf numFmtId="41" fontId="62" fillId="0" borderId="0" xfId="11" applyFont="1" applyFill="1" applyBorder="1" applyAlignment="1">
      <alignment horizontal="center" vertical="center"/>
    </xf>
    <xf numFmtId="41" fontId="60" fillId="0" borderId="0" xfId="11" applyFont="1" applyFill="1" applyBorder="1" applyAlignment="1">
      <alignment horizontal="left" vertical="center" wrapText="1"/>
    </xf>
    <xf numFmtId="41" fontId="153" fillId="0" borderId="10" xfId="10" applyNumberFormat="1" applyFont="1" applyBorder="1" applyAlignment="1">
      <alignment horizontal="center" vertical="center"/>
    </xf>
    <xf numFmtId="41" fontId="153" fillId="0" borderId="10" xfId="10" applyNumberFormat="1" applyFont="1" applyFill="1" applyBorder="1" applyAlignment="1">
      <alignment horizontal="center" vertical="center"/>
    </xf>
    <xf numFmtId="41" fontId="153" fillId="0" borderId="10" xfId="7" applyFont="1" applyFill="1" applyBorder="1" applyAlignment="1" applyProtection="1">
      <alignment horizontal="center" vertical="center"/>
    </xf>
    <xf numFmtId="41" fontId="153" fillId="0" borderId="10" xfId="2" applyNumberFormat="1" applyFont="1" applyBorder="1" applyAlignment="1">
      <alignment vertical="center" shrinkToFit="1"/>
    </xf>
    <xf numFmtId="3" fontId="153" fillId="0" borderId="10" xfId="13" applyNumberFormat="1" applyFont="1" applyFill="1" applyBorder="1" applyAlignment="1">
      <alignment vertical="center"/>
    </xf>
    <xf numFmtId="41" fontId="153" fillId="0" borderId="10" xfId="7" applyFont="1" applyFill="1" applyBorder="1" applyAlignment="1" applyProtection="1">
      <alignment horizontal="center" vertical="center" shrinkToFit="1"/>
    </xf>
    <xf numFmtId="0" fontId="136" fillId="51" borderId="4" xfId="0" applyFont="1" applyFill="1" applyBorder="1" applyAlignment="1">
      <alignment horizontal="center" vertical="center" wrapText="1"/>
    </xf>
    <xf numFmtId="0" fontId="38" fillId="0" borderId="55" xfId="2" applyFont="1" applyBorder="1">
      <alignment vertical="center"/>
    </xf>
    <xf numFmtId="9" fontId="0" fillId="0" borderId="149" xfId="0" applyNumberFormat="1" applyBorder="1">
      <alignment vertical="center"/>
    </xf>
    <xf numFmtId="0" fontId="1" fillId="0" borderId="4" xfId="2" applyBorder="1" applyAlignment="1">
      <alignment horizontal="center" vertical="center"/>
    </xf>
    <xf numFmtId="0" fontId="1" fillId="0" borderId="33" xfId="2" applyBorder="1" applyAlignment="1">
      <alignment horizontal="center" vertical="center"/>
    </xf>
    <xf numFmtId="0" fontId="136" fillId="0" borderId="4" xfId="0" applyFont="1" applyFill="1" applyBorder="1" applyAlignment="1">
      <alignment horizontal="center" vertical="center" wrapText="1"/>
    </xf>
    <xf numFmtId="0" fontId="1" fillId="0" borderId="157" xfId="2" applyFill="1" applyBorder="1" applyAlignment="1">
      <alignment horizontal="center" vertical="center"/>
    </xf>
    <xf numFmtId="0" fontId="1" fillId="0" borderId="159" xfId="2" applyFont="1" applyFill="1" applyBorder="1" applyAlignment="1">
      <alignment horizontal="center" vertical="center"/>
    </xf>
    <xf numFmtId="0" fontId="1" fillId="0" borderId="161" xfId="2" applyFont="1" applyFill="1" applyBorder="1" applyAlignment="1">
      <alignment horizontal="center" vertical="center"/>
    </xf>
    <xf numFmtId="0" fontId="39" fillId="0" borderId="146" xfId="0" applyFont="1" applyBorder="1" applyAlignment="1">
      <alignment horizontal="right" vertical="center" wrapText="1"/>
    </xf>
    <xf numFmtId="0" fontId="1" fillId="0" borderId="161" xfId="2" applyFill="1" applyBorder="1" applyAlignment="1">
      <alignment horizontal="center" vertical="center"/>
    </xf>
    <xf numFmtId="0" fontId="1" fillId="0" borderId="110" xfId="2" applyBorder="1">
      <alignment vertical="center"/>
    </xf>
    <xf numFmtId="0" fontId="11" fillId="13" borderId="5" xfId="2" applyFont="1" applyFill="1" applyBorder="1" applyAlignment="1">
      <alignment horizontal="center" vertical="center" wrapText="1"/>
    </xf>
    <xf numFmtId="0" fontId="11" fillId="13" borderId="5" xfId="2" applyFont="1" applyFill="1" applyBorder="1" applyAlignment="1">
      <alignment horizontal="center" vertical="center"/>
    </xf>
    <xf numFmtId="0" fontId="26" fillId="0" borderId="4" xfId="6" applyFont="1" applyFill="1" applyBorder="1" applyAlignment="1">
      <alignment horizontal="center" vertical="center"/>
    </xf>
    <xf numFmtId="41" fontId="12" fillId="0" borderId="165" xfId="0" applyNumberFormat="1" applyFont="1" applyFill="1" applyBorder="1" applyAlignment="1">
      <alignment horizontal="center" vertical="center"/>
    </xf>
    <xf numFmtId="0" fontId="12" fillId="0" borderId="165" xfId="2" applyFont="1" applyBorder="1">
      <alignment vertical="center"/>
    </xf>
    <xf numFmtId="190" fontId="105" fillId="54" borderId="165" xfId="16" applyFont="1" applyFill="1" applyBorder="1" applyAlignment="1">
      <alignment horizontal="center" vertical="center"/>
    </xf>
    <xf numFmtId="41" fontId="12" fillId="0" borderId="165" xfId="2" applyNumberFormat="1" applyFont="1" applyBorder="1">
      <alignment vertical="center"/>
    </xf>
    <xf numFmtId="9" fontId="7" fillId="0" borderId="153" xfId="1" applyNumberFormat="1" applyFont="1" applyFill="1" applyBorder="1" applyAlignment="1">
      <alignment horizontal="center" vertical="center"/>
    </xf>
    <xf numFmtId="0" fontId="12" fillId="0" borderId="163" xfId="2" applyFont="1" applyBorder="1">
      <alignment vertical="center"/>
    </xf>
    <xf numFmtId="41" fontId="12" fillId="0" borderId="163" xfId="2" applyNumberFormat="1" applyFont="1" applyBorder="1">
      <alignment vertical="center"/>
    </xf>
    <xf numFmtId="9" fontId="7" fillId="0" borderId="155" xfId="1" applyNumberFormat="1" applyFont="1" applyFill="1" applyBorder="1" applyAlignment="1">
      <alignment horizontal="center" vertical="center"/>
    </xf>
    <xf numFmtId="41" fontId="150" fillId="3" borderId="166" xfId="0" applyNumberFormat="1" applyFont="1" applyFill="1" applyBorder="1" applyAlignment="1">
      <alignment horizontal="center" vertical="center"/>
    </xf>
    <xf numFmtId="0" fontId="12" fillId="0" borderId="167" xfId="2" applyFont="1" applyBorder="1">
      <alignment vertical="center"/>
    </xf>
    <xf numFmtId="0" fontId="12" fillId="0" borderId="163" xfId="2" applyFont="1" applyFill="1" applyBorder="1">
      <alignment vertical="center"/>
    </xf>
    <xf numFmtId="41" fontId="12" fillId="0" borderId="164" xfId="0" applyNumberFormat="1" applyFont="1" applyFill="1" applyBorder="1" applyAlignment="1">
      <alignment horizontal="center" vertical="center"/>
    </xf>
    <xf numFmtId="41" fontId="12" fillId="0" borderId="166" xfId="0" applyNumberFormat="1" applyFont="1" applyFill="1" applyBorder="1" applyAlignment="1">
      <alignment horizontal="center" vertical="center"/>
    </xf>
    <xf numFmtId="0" fontId="13" fillId="0" borderId="165" xfId="0" applyFont="1" applyBorder="1" applyAlignment="1">
      <alignment horizontal="center" vertical="center"/>
    </xf>
    <xf numFmtId="41" fontId="13" fillId="0" borderId="165" xfId="0" applyNumberFormat="1" applyFont="1" applyBorder="1" applyAlignment="1">
      <alignment horizontal="center" vertical="center"/>
    </xf>
    <xf numFmtId="41" fontId="150" fillId="3" borderId="165" xfId="0" applyNumberFormat="1" applyFont="1" applyFill="1" applyBorder="1" applyAlignment="1">
      <alignment horizontal="center" vertical="center"/>
    </xf>
    <xf numFmtId="0" fontId="12" fillId="0" borderId="153" xfId="2" applyFont="1" applyBorder="1">
      <alignment vertical="center"/>
    </xf>
    <xf numFmtId="0" fontId="13" fillId="0" borderId="174" xfId="0" applyFont="1" applyBorder="1" applyAlignment="1">
      <alignment horizontal="center" vertical="center"/>
    </xf>
    <xf numFmtId="41" fontId="13" fillId="0" borderId="175" xfId="0" applyNumberFormat="1" applyFont="1" applyBorder="1" applyAlignment="1">
      <alignment horizontal="center" vertical="center"/>
    </xf>
    <xf numFmtId="0" fontId="12" fillId="0" borderId="175" xfId="2" applyFont="1" applyBorder="1">
      <alignment vertical="center"/>
    </xf>
    <xf numFmtId="49" fontId="1" fillId="0" borderId="175" xfId="465" applyNumberFormat="1" applyBorder="1" applyAlignment="1">
      <alignment horizontal="center" vertical="center"/>
    </xf>
    <xf numFmtId="41" fontId="12" fillId="0" borderId="175" xfId="2" applyNumberFormat="1" applyFont="1" applyBorder="1">
      <alignment vertical="center"/>
    </xf>
    <xf numFmtId="9" fontId="7" fillId="0" borderId="176" xfId="1" applyNumberFormat="1" applyFont="1" applyFill="1" applyBorder="1" applyAlignment="1">
      <alignment horizontal="center" vertical="center"/>
    </xf>
    <xf numFmtId="41" fontId="13" fillId="0" borderId="166" xfId="0" applyNumberFormat="1" applyFont="1" applyBorder="1" applyAlignment="1">
      <alignment horizontal="center" vertical="center"/>
    </xf>
    <xf numFmtId="41" fontId="13" fillId="0" borderId="166" xfId="0" applyNumberFormat="1" applyFont="1" applyFill="1" applyBorder="1" applyAlignment="1">
      <alignment horizontal="center" vertical="center"/>
    </xf>
    <xf numFmtId="0" fontId="12" fillId="0" borderId="165" xfId="2" applyFont="1" applyFill="1" applyBorder="1">
      <alignment vertical="center"/>
    </xf>
    <xf numFmtId="41" fontId="13" fillId="0" borderId="163" xfId="0" applyNumberFormat="1" applyFont="1" applyBorder="1" applyAlignment="1">
      <alignment horizontal="center" vertical="center"/>
    </xf>
    <xf numFmtId="0" fontId="13" fillId="0" borderId="163" xfId="0" applyFont="1" applyBorder="1" applyAlignment="1">
      <alignment horizontal="center" vertical="center"/>
    </xf>
    <xf numFmtId="0" fontId="136" fillId="51" borderId="4" xfId="0" applyFont="1" applyFill="1" applyBorder="1" applyAlignment="1">
      <alignment horizontal="center" vertical="center" wrapText="1"/>
    </xf>
    <xf numFmtId="0" fontId="136" fillId="51" borderId="5" xfId="0" applyFont="1" applyFill="1" applyBorder="1" applyAlignment="1">
      <alignment horizontal="center" vertical="center" wrapText="1"/>
    </xf>
    <xf numFmtId="0" fontId="136" fillId="51" borderId="7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/>
    </xf>
    <xf numFmtId="41" fontId="12" fillId="0" borderId="4" xfId="0" applyNumberFormat="1" applyFont="1" applyFill="1" applyBorder="1" applyAlignment="1">
      <alignment horizontal="center" vertical="center"/>
    </xf>
    <xf numFmtId="41" fontId="13" fillId="0" borderId="4" xfId="0" applyNumberFormat="1" applyFont="1" applyBorder="1" applyAlignment="1">
      <alignment horizontal="center" vertical="center"/>
    </xf>
    <xf numFmtId="0" fontId="5" fillId="0" borderId="0" xfId="1" applyFont="1" applyFill="1" applyBorder="1" applyAlignment="1">
      <alignment horizontal="left" vertical="center"/>
    </xf>
    <xf numFmtId="0" fontId="13" fillId="0" borderId="4" xfId="0" applyFont="1" applyFill="1" applyBorder="1" applyAlignment="1">
      <alignment horizontal="center" vertical="center"/>
    </xf>
    <xf numFmtId="0" fontId="13" fillId="0" borderId="162" xfId="0" applyFont="1" applyBorder="1" applyAlignment="1">
      <alignment vertical="center"/>
    </xf>
    <xf numFmtId="9" fontId="7" fillId="0" borderId="151" xfId="1" applyNumberFormat="1" applyFont="1" applyFill="1" applyBorder="1" applyAlignment="1">
      <alignment horizontal="center" vertical="center"/>
    </xf>
    <xf numFmtId="0" fontId="13" fillId="0" borderId="163" xfId="0" applyFont="1" applyBorder="1" applyAlignment="1">
      <alignment vertical="center"/>
    </xf>
    <xf numFmtId="0" fontId="13" fillId="0" borderId="166" xfId="0" applyFont="1" applyBorder="1" applyAlignment="1">
      <alignment vertical="center"/>
    </xf>
    <xf numFmtId="9" fontId="7" fillId="0" borderId="167" xfId="1" applyNumberFormat="1" applyFont="1" applyFill="1" applyBorder="1" applyAlignment="1">
      <alignment horizontal="center" vertical="center"/>
    </xf>
    <xf numFmtId="0" fontId="13" fillId="0" borderId="165" xfId="0" applyFont="1" applyBorder="1" applyAlignment="1">
      <alignment vertical="center"/>
    </xf>
    <xf numFmtId="0" fontId="13" fillId="0" borderId="151" xfId="0" applyFont="1" applyBorder="1" applyAlignment="1">
      <alignment vertical="center"/>
    </xf>
    <xf numFmtId="0" fontId="13" fillId="0" borderId="167" xfId="0" applyFont="1" applyBorder="1" applyAlignment="1">
      <alignment vertical="center"/>
    </xf>
    <xf numFmtId="0" fontId="13" fillId="0" borderId="186" xfId="0" applyFont="1" applyBorder="1" applyAlignment="1">
      <alignment horizontal="center" vertical="center"/>
    </xf>
    <xf numFmtId="41" fontId="150" fillId="3" borderId="162" xfId="0" applyNumberFormat="1" applyFont="1" applyFill="1" applyBorder="1">
      <alignment vertical="center"/>
    </xf>
    <xf numFmtId="41" fontId="13" fillId="0" borderId="166" xfId="0" applyNumberFormat="1" applyFont="1" applyBorder="1">
      <alignment vertical="center"/>
    </xf>
    <xf numFmtId="41" fontId="150" fillId="3" borderId="166" xfId="0" applyNumberFormat="1" applyFont="1" applyFill="1" applyBorder="1">
      <alignment vertical="center"/>
    </xf>
    <xf numFmtId="41" fontId="13" fillId="0" borderId="167" xfId="0" applyNumberFormat="1" applyFont="1" applyBorder="1">
      <alignment vertical="center"/>
    </xf>
    <xf numFmtId="41" fontId="42" fillId="0" borderId="163" xfId="0" applyNumberFormat="1" applyFont="1" applyBorder="1" applyAlignment="1">
      <alignment horizontal="center" vertical="center"/>
    </xf>
    <xf numFmtId="41" fontId="42" fillId="0" borderId="175" xfId="0" applyNumberFormat="1" applyFont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 wrapText="1"/>
    </xf>
    <xf numFmtId="41" fontId="12" fillId="0" borderId="181" xfId="0" applyNumberFormat="1" applyFont="1" applyFill="1" applyBorder="1" applyAlignment="1">
      <alignment horizontal="center" vertical="center"/>
    </xf>
    <xf numFmtId="41" fontId="12" fillId="0" borderId="182" xfId="0" applyNumberFormat="1" applyFont="1" applyFill="1" applyBorder="1" applyAlignment="1">
      <alignment horizontal="center" vertical="center"/>
    </xf>
    <xf numFmtId="41" fontId="13" fillId="0" borderId="181" xfId="0" applyNumberFormat="1" applyFont="1" applyBorder="1" applyAlignment="1">
      <alignment horizontal="center" vertical="center"/>
    </xf>
    <xf numFmtId="41" fontId="13" fillId="0" borderId="182" xfId="0" applyNumberFormat="1" applyFont="1" applyBorder="1" applyAlignment="1">
      <alignment horizontal="center" vertical="center"/>
    </xf>
    <xf numFmtId="41" fontId="13" fillId="0" borderId="183" xfId="0" applyNumberFormat="1" applyFont="1" applyBorder="1" applyAlignment="1">
      <alignment horizontal="center" vertical="center"/>
    </xf>
    <xf numFmtId="41" fontId="13" fillId="0" borderId="191" xfId="0" applyNumberFormat="1" applyFont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42" fillId="0" borderId="174" xfId="0" applyFont="1" applyBorder="1" applyAlignment="1">
      <alignment horizontal="center" vertical="center"/>
    </xf>
    <xf numFmtId="0" fontId="42" fillId="0" borderId="171" xfId="0" applyFont="1" applyBorder="1" applyAlignment="1">
      <alignment horizontal="center" vertical="center"/>
    </xf>
    <xf numFmtId="41" fontId="13" fillId="0" borderId="189" xfId="0" applyNumberFormat="1" applyFont="1" applyBorder="1" applyAlignment="1">
      <alignment horizontal="center" vertical="center"/>
    </xf>
    <xf numFmtId="0" fontId="11" fillId="2" borderId="51" xfId="0" applyFont="1" applyFill="1" applyBorder="1" applyAlignment="1">
      <alignment horizontal="center" vertical="center" wrapText="1"/>
    </xf>
    <xf numFmtId="0" fontId="11" fillId="2" borderId="36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41" fontId="13" fillId="0" borderId="186" xfId="0" applyNumberFormat="1" applyFont="1" applyBorder="1" applyAlignment="1">
      <alignment horizontal="center" vertical="center"/>
    </xf>
    <xf numFmtId="41" fontId="13" fillId="0" borderId="187" xfId="0" applyNumberFormat="1" applyFont="1" applyBorder="1" applyAlignment="1">
      <alignment horizontal="center" vertical="center"/>
    </xf>
    <xf numFmtId="9" fontId="7" fillId="0" borderId="186" xfId="1" applyNumberFormat="1" applyFont="1" applyFill="1" applyBorder="1" applyAlignment="1">
      <alignment horizontal="center" vertical="center"/>
    </xf>
    <xf numFmtId="0" fontId="12" fillId="0" borderId="188" xfId="2" applyFont="1" applyBorder="1">
      <alignment vertical="center"/>
    </xf>
    <xf numFmtId="9" fontId="7" fillId="0" borderId="189" xfId="1" applyNumberFormat="1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/>
    </xf>
    <xf numFmtId="190" fontId="105" fillId="54" borderId="175" xfId="16" applyFont="1" applyFill="1" applyBorder="1" applyAlignment="1">
      <alignment horizontal="center" vertical="center"/>
    </xf>
    <xf numFmtId="0" fontId="7" fillId="0" borderId="166" xfId="2" applyFont="1" applyFill="1" applyBorder="1" applyAlignment="1">
      <alignment horizontal="center" vertical="center"/>
    </xf>
    <xf numFmtId="9" fontId="7" fillId="0" borderId="197" xfId="1" applyNumberFormat="1" applyFont="1" applyFill="1" applyBorder="1" applyAlignment="1">
      <alignment horizontal="center" vertical="center"/>
    </xf>
    <xf numFmtId="41" fontId="13" fillId="0" borderId="170" xfId="0" applyNumberFormat="1" applyFont="1" applyBorder="1" applyAlignment="1">
      <alignment horizontal="center" vertical="center"/>
    </xf>
    <xf numFmtId="0" fontId="13" fillId="0" borderId="199" xfId="0" applyFont="1" applyFill="1" applyBorder="1" applyAlignment="1">
      <alignment horizontal="center" vertical="center"/>
    </xf>
    <xf numFmtId="0" fontId="13" fillId="0" borderId="199" xfId="0" applyFont="1" applyBorder="1" applyAlignment="1">
      <alignment horizontal="center" vertical="center"/>
    </xf>
    <xf numFmtId="0" fontId="13" fillId="0" borderId="200" xfId="0" applyFont="1" applyBorder="1" applyAlignment="1">
      <alignment horizontal="center" vertical="center"/>
    </xf>
    <xf numFmtId="0" fontId="13" fillId="0" borderId="164" xfId="0" applyFont="1" applyBorder="1" applyAlignment="1">
      <alignment vertical="center"/>
    </xf>
    <xf numFmtId="41" fontId="12" fillId="0" borderId="191" xfId="0" applyNumberFormat="1" applyFont="1" applyFill="1" applyBorder="1" applyAlignment="1">
      <alignment horizontal="center" vertical="center"/>
    </xf>
    <xf numFmtId="0" fontId="11" fillId="2" borderId="5" xfId="2" applyFont="1" applyFill="1" applyBorder="1" applyAlignment="1">
      <alignment horizontal="center" vertical="center" wrapText="1"/>
    </xf>
    <xf numFmtId="0" fontId="11" fillId="2" borderId="18" xfId="2" applyFont="1" applyFill="1" applyBorder="1" applyAlignment="1">
      <alignment horizontal="center" vertical="center"/>
    </xf>
    <xf numFmtId="0" fontId="11" fillId="2" borderId="195" xfId="2" applyFont="1" applyFill="1" applyBorder="1" applyAlignment="1">
      <alignment horizontal="center" vertical="center"/>
    </xf>
    <xf numFmtId="0" fontId="11" fillId="2" borderId="90" xfId="0" applyFont="1" applyFill="1" applyBorder="1" applyAlignment="1">
      <alignment horizontal="center" vertical="center"/>
    </xf>
    <xf numFmtId="0" fontId="11" fillId="6" borderId="178" xfId="2" applyFont="1" applyFill="1" applyBorder="1" applyAlignment="1">
      <alignment horizontal="center" vertical="center" wrapText="1"/>
    </xf>
    <xf numFmtId="0" fontId="11" fillId="6" borderId="178" xfId="1" applyFont="1" applyFill="1" applyBorder="1" applyAlignment="1">
      <alignment horizontal="center" vertical="center" wrapText="1"/>
    </xf>
    <xf numFmtId="0" fontId="11" fillId="7" borderId="178" xfId="1" applyFont="1" applyFill="1" applyBorder="1" applyAlignment="1">
      <alignment horizontal="center" vertical="center" wrapText="1"/>
    </xf>
    <xf numFmtId="0" fontId="11" fillId="8" borderId="178" xfId="1" applyFont="1" applyFill="1" applyBorder="1" applyAlignment="1">
      <alignment horizontal="center" vertical="center" wrapText="1"/>
    </xf>
    <xf numFmtId="0" fontId="11" fillId="2" borderId="179" xfId="1" applyFont="1" applyFill="1" applyBorder="1" applyAlignment="1">
      <alignment horizontal="center" vertical="center"/>
    </xf>
    <xf numFmtId="41" fontId="150" fillId="3" borderId="203" xfId="0" applyNumberFormat="1" applyFont="1" applyFill="1" applyBorder="1" applyAlignment="1">
      <alignment horizontal="center" vertical="center"/>
    </xf>
    <xf numFmtId="41" fontId="150" fillId="3" borderId="204" xfId="0" applyNumberFormat="1" applyFont="1" applyFill="1" applyBorder="1" applyAlignment="1">
      <alignment horizontal="center" vertical="center"/>
    </xf>
    <xf numFmtId="41" fontId="12" fillId="0" borderId="204" xfId="0" applyNumberFormat="1" applyFont="1" applyFill="1" applyBorder="1" applyAlignment="1">
      <alignment horizontal="center" vertical="center"/>
    </xf>
    <xf numFmtId="0" fontId="12" fillId="0" borderId="205" xfId="2" applyFont="1" applyBorder="1">
      <alignment vertical="center"/>
    </xf>
    <xf numFmtId="0" fontId="11" fillId="2" borderId="33" xfId="0" applyFont="1" applyFill="1" applyBorder="1" applyAlignment="1">
      <alignment horizontal="center" vertical="center"/>
    </xf>
    <xf numFmtId="0" fontId="11" fillId="2" borderId="18" xfId="0" applyFont="1" applyFill="1" applyBorder="1" applyAlignment="1">
      <alignment horizontal="center" vertical="center"/>
    </xf>
    <xf numFmtId="0" fontId="11" fillId="6" borderId="168" xfId="2" applyFont="1" applyFill="1" applyBorder="1" applyAlignment="1">
      <alignment horizontal="center" vertical="center" wrapText="1"/>
    </xf>
    <xf numFmtId="0" fontId="11" fillId="7" borderId="168" xfId="1" applyFont="1" applyFill="1" applyBorder="1" applyAlignment="1">
      <alignment horizontal="center" vertical="center" wrapText="1"/>
    </xf>
    <xf numFmtId="0" fontId="11" fillId="8" borderId="168" xfId="1" applyFont="1" applyFill="1" applyBorder="1" applyAlignment="1">
      <alignment horizontal="center" vertical="center" wrapText="1"/>
    </xf>
    <xf numFmtId="0" fontId="11" fillId="2" borderId="169" xfId="1" applyFont="1" applyFill="1" applyBorder="1" applyAlignment="1">
      <alignment horizontal="center" vertical="center"/>
    </xf>
    <xf numFmtId="0" fontId="11" fillId="2" borderId="206" xfId="2" applyFont="1" applyFill="1" applyBorder="1" applyAlignment="1">
      <alignment horizontal="center" vertical="center"/>
    </xf>
    <xf numFmtId="0" fontId="11" fillId="6" borderId="207" xfId="2" applyFont="1" applyFill="1" applyBorder="1" applyAlignment="1">
      <alignment horizontal="center" vertical="center" wrapText="1"/>
    </xf>
    <xf numFmtId="41" fontId="13" fillId="0" borderId="170" xfId="0" applyNumberFormat="1" applyFont="1" applyBorder="1" applyAlignment="1">
      <alignment vertical="center"/>
    </xf>
    <xf numFmtId="41" fontId="13" fillId="0" borderId="165" xfId="0" applyNumberFormat="1" applyFont="1" applyBorder="1" applyAlignment="1">
      <alignment vertical="center"/>
    </xf>
    <xf numFmtId="41" fontId="13" fillId="0" borderId="202" xfId="0" applyNumberFormat="1" applyFont="1" applyBorder="1" applyAlignment="1">
      <alignment vertical="center"/>
    </xf>
    <xf numFmtId="41" fontId="13" fillId="0" borderId="164" xfId="0" applyNumberFormat="1" applyFont="1" applyBorder="1" applyAlignment="1">
      <alignment vertical="center"/>
    </xf>
    <xf numFmtId="41" fontId="13" fillId="0" borderId="171" xfId="0" applyNumberFormat="1" applyFont="1" applyBorder="1" applyAlignment="1">
      <alignment vertical="center"/>
    </xf>
    <xf numFmtId="41" fontId="13" fillId="0" borderId="163" xfId="0" applyNumberFormat="1" applyFont="1" applyBorder="1" applyAlignment="1">
      <alignment vertical="center"/>
    </xf>
    <xf numFmtId="185" fontId="26" fillId="0" borderId="88" xfId="6" applyNumberFormat="1" applyFont="1" applyFill="1" applyBorder="1" applyAlignment="1">
      <alignment horizontal="center" vertical="center"/>
    </xf>
    <xf numFmtId="185" fontId="26" fillId="0" borderId="77" xfId="6" applyNumberFormat="1" applyFont="1" applyFill="1" applyBorder="1" applyAlignment="1">
      <alignment horizontal="center" vertical="center"/>
    </xf>
    <xf numFmtId="0" fontId="26" fillId="0" borderId="88" xfId="6" applyFont="1" applyFill="1" applyBorder="1" applyAlignment="1">
      <alignment horizontal="center" vertical="center"/>
    </xf>
    <xf numFmtId="1" fontId="26" fillId="0" borderId="4" xfId="6" applyNumberFormat="1" applyFont="1" applyFill="1" applyBorder="1" applyAlignment="1">
      <alignment horizontal="center" vertical="center"/>
    </xf>
    <xf numFmtId="1" fontId="26" fillId="0" borderId="87" xfId="6" applyNumberFormat="1" applyFont="1" applyFill="1" applyBorder="1" applyAlignment="1">
      <alignment horizontal="center" vertical="center"/>
    </xf>
    <xf numFmtId="185" fontId="26" fillId="0" borderId="87" xfId="6" applyNumberFormat="1" applyFont="1" applyFill="1" applyBorder="1" applyAlignment="1">
      <alignment horizontal="center" vertical="center"/>
    </xf>
    <xf numFmtId="0" fontId="30" fillId="0" borderId="162" xfId="6" applyFont="1" applyFill="1" applyBorder="1" applyAlignment="1">
      <alignment horizontal="center" vertical="center"/>
    </xf>
    <xf numFmtId="41" fontId="29" fillId="0" borderId="162" xfId="7" applyFont="1" applyFill="1" applyBorder="1" applyAlignment="1">
      <alignment horizontal="center" vertical="center"/>
    </xf>
    <xf numFmtId="0" fontId="29" fillId="0" borderId="152" xfId="6" applyFont="1" applyFill="1" applyBorder="1" applyAlignment="1">
      <alignment horizontal="center" vertical="center"/>
    </xf>
    <xf numFmtId="0" fontId="30" fillId="0" borderId="165" xfId="6" applyFont="1" applyFill="1" applyBorder="1" applyAlignment="1">
      <alignment horizontal="center" vertical="center"/>
    </xf>
    <xf numFmtId="0" fontId="28" fillId="0" borderId="165" xfId="6" applyFont="1" applyFill="1" applyBorder="1" applyAlignment="1">
      <alignment horizontal="center" vertical="center"/>
    </xf>
    <xf numFmtId="41" fontId="28" fillId="0" borderId="165" xfId="7" applyFont="1" applyFill="1" applyBorder="1" applyAlignment="1">
      <alignment horizontal="center" vertical="center"/>
    </xf>
    <xf numFmtId="2" fontId="29" fillId="0" borderId="165" xfId="6" applyNumberFormat="1" applyFont="1" applyFill="1" applyBorder="1" applyAlignment="1">
      <alignment horizontal="center" vertical="center"/>
    </xf>
    <xf numFmtId="0" fontId="29" fillId="0" borderId="154" xfId="6" applyFont="1" applyFill="1" applyBorder="1" applyAlignment="1">
      <alignment horizontal="center" vertical="center"/>
    </xf>
    <xf numFmtId="0" fontId="28" fillId="0" borderId="163" xfId="6" applyFont="1" applyFill="1" applyBorder="1" applyAlignment="1">
      <alignment horizontal="center" vertical="center"/>
    </xf>
    <xf numFmtId="41" fontId="29" fillId="0" borderId="166" xfId="7" applyFont="1" applyFill="1" applyBorder="1" applyAlignment="1">
      <alignment horizontal="center" vertical="center"/>
    </xf>
    <xf numFmtId="0" fontId="29" fillId="0" borderId="165" xfId="6" applyFont="1" applyFill="1" applyBorder="1" applyAlignment="1">
      <alignment horizontal="center" vertical="center" wrapText="1"/>
    </xf>
    <xf numFmtId="41" fontId="28" fillId="0" borderId="164" xfId="7" applyFont="1" applyFill="1" applyBorder="1" applyAlignment="1">
      <alignment horizontal="center" vertical="center"/>
    </xf>
    <xf numFmtId="0" fontId="29" fillId="0" borderId="165" xfId="6" applyFont="1" applyFill="1" applyBorder="1" applyAlignment="1">
      <alignment horizontal="center" vertical="center"/>
    </xf>
    <xf numFmtId="0" fontId="29" fillId="0" borderId="173" xfId="6" applyFont="1" applyFill="1" applyBorder="1" applyAlignment="1">
      <alignment horizontal="center" vertical="center"/>
    </xf>
    <xf numFmtId="0" fontId="29" fillId="0" borderId="166" xfId="6" applyFont="1" applyFill="1" applyBorder="1" applyAlignment="1">
      <alignment horizontal="center" vertical="center"/>
    </xf>
    <xf numFmtId="0" fontId="29" fillId="0" borderId="162" xfId="6" applyFont="1" applyFill="1" applyBorder="1" applyAlignment="1">
      <alignment horizontal="center" vertical="center"/>
    </xf>
    <xf numFmtId="0" fontId="29" fillId="0" borderId="150" xfId="6" applyFont="1" applyFill="1" applyBorder="1" applyAlignment="1">
      <alignment horizontal="center" vertical="center"/>
    </xf>
    <xf numFmtId="41" fontId="30" fillId="0" borderId="165" xfId="7" applyFont="1" applyFill="1" applyBorder="1" applyAlignment="1">
      <alignment horizontal="center" vertical="center"/>
    </xf>
    <xf numFmtId="9" fontId="29" fillId="0" borderId="153" xfId="12" applyFont="1" applyFill="1" applyBorder="1" applyAlignment="1">
      <alignment horizontal="center" vertical="center"/>
    </xf>
    <xf numFmtId="41" fontId="29" fillId="0" borderId="163" xfId="7" applyFont="1" applyFill="1" applyBorder="1" applyAlignment="1">
      <alignment horizontal="center" vertical="center"/>
    </xf>
    <xf numFmtId="9" fontId="29" fillId="0" borderId="155" xfId="12" applyFont="1" applyFill="1" applyBorder="1" applyAlignment="1">
      <alignment horizontal="center" vertical="center"/>
    </xf>
    <xf numFmtId="0" fontId="29" fillId="0" borderId="210" xfId="6" applyFont="1" applyFill="1" applyBorder="1" applyAlignment="1">
      <alignment horizontal="center" vertical="center" wrapText="1"/>
    </xf>
    <xf numFmtId="0" fontId="29" fillId="0" borderId="199" xfId="6" applyFont="1" applyFill="1" applyBorder="1" applyAlignment="1">
      <alignment horizontal="center" vertical="center" wrapText="1"/>
    </xf>
    <xf numFmtId="9" fontId="29" fillId="0" borderId="167" xfId="12" applyFont="1" applyFill="1" applyBorder="1" applyAlignment="1">
      <alignment horizontal="center" vertical="center"/>
    </xf>
    <xf numFmtId="0" fontId="41" fillId="0" borderId="211" xfId="6" applyFont="1" applyFill="1" applyBorder="1" applyAlignment="1">
      <alignment horizontal="center" vertical="center"/>
    </xf>
    <xf numFmtId="41" fontId="30" fillId="0" borderId="212" xfId="7" applyFont="1" applyFill="1" applyBorder="1" applyAlignment="1">
      <alignment horizontal="center" vertical="center"/>
    </xf>
    <xf numFmtId="9" fontId="30" fillId="0" borderId="213" xfId="12" applyFont="1" applyFill="1" applyBorder="1" applyAlignment="1">
      <alignment horizontal="center" vertical="center"/>
    </xf>
    <xf numFmtId="0" fontId="41" fillId="0" borderId="214" xfId="6" applyFont="1" applyFill="1" applyBorder="1" applyAlignment="1">
      <alignment horizontal="center" vertical="center"/>
    </xf>
    <xf numFmtId="41" fontId="30" fillId="0" borderId="215" xfId="7" applyFont="1" applyFill="1" applyBorder="1" applyAlignment="1">
      <alignment horizontal="center" vertical="center"/>
    </xf>
    <xf numFmtId="9" fontId="30" fillId="0" borderId="216" xfId="12" applyFont="1" applyFill="1" applyBorder="1" applyAlignment="1">
      <alignment horizontal="center" vertical="center"/>
    </xf>
    <xf numFmtId="41" fontId="29" fillId="0" borderId="173" xfId="7" applyFont="1" applyFill="1" applyBorder="1" applyAlignment="1">
      <alignment horizontal="center" vertical="center"/>
    </xf>
    <xf numFmtId="9" fontId="29" fillId="0" borderId="217" xfId="12" applyFont="1" applyFill="1" applyBorder="1" applyAlignment="1">
      <alignment horizontal="center" vertical="center"/>
    </xf>
    <xf numFmtId="0" fontId="41" fillId="0" borderId="218" xfId="6" applyFont="1" applyFill="1" applyBorder="1" applyAlignment="1">
      <alignment horizontal="center" vertical="center"/>
    </xf>
    <xf numFmtId="41" fontId="30" fillId="0" borderId="219" xfId="7" applyFont="1" applyFill="1" applyBorder="1" applyAlignment="1">
      <alignment horizontal="center" vertical="center"/>
    </xf>
    <xf numFmtId="9" fontId="30" fillId="0" borderId="220" xfId="12" applyFont="1" applyFill="1" applyBorder="1" applyAlignment="1">
      <alignment horizontal="center" vertical="center"/>
    </xf>
    <xf numFmtId="0" fontId="41" fillId="0" borderId="221" xfId="6" applyFont="1" applyFill="1" applyBorder="1" applyAlignment="1">
      <alignment horizontal="center" vertical="center"/>
    </xf>
    <xf numFmtId="9" fontId="30" fillId="0" borderId="222" xfId="12" applyFont="1" applyFill="1" applyBorder="1" applyAlignment="1">
      <alignment horizontal="center" vertical="center"/>
    </xf>
    <xf numFmtId="0" fontId="41" fillId="0" borderId="223" xfId="6" applyFont="1" applyFill="1" applyBorder="1" applyAlignment="1">
      <alignment horizontal="center" vertical="center"/>
    </xf>
    <xf numFmtId="41" fontId="30" fillId="0" borderId="224" xfId="7" applyFont="1" applyFill="1" applyBorder="1" applyAlignment="1">
      <alignment horizontal="center" vertical="center"/>
    </xf>
    <xf numFmtId="9" fontId="30" fillId="0" borderId="225" xfId="12" applyFont="1" applyFill="1" applyBorder="1" applyAlignment="1">
      <alignment horizontal="center" vertical="center"/>
    </xf>
    <xf numFmtId="2" fontId="29" fillId="0" borderId="166" xfId="6" applyNumberFormat="1" applyFont="1" applyFill="1" applyBorder="1" applyAlignment="1">
      <alignment horizontal="center" vertical="center"/>
    </xf>
    <xf numFmtId="41" fontId="0" fillId="13" borderId="32" xfId="0" applyNumberFormat="1" applyFill="1" applyBorder="1" applyAlignment="1">
      <alignment horizontal="center" vertical="center"/>
    </xf>
    <xf numFmtId="41" fontId="0" fillId="13" borderId="162" xfId="0" applyNumberFormat="1" applyFill="1" applyBorder="1" applyAlignment="1">
      <alignment horizontal="center" vertical="center"/>
    </xf>
    <xf numFmtId="41" fontId="0" fillId="0" borderId="32" xfId="0" applyNumberFormat="1" applyBorder="1" applyAlignment="1">
      <alignment horizontal="center" vertical="center"/>
    </xf>
    <xf numFmtId="41" fontId="0" fillId="13" borderId="32" xfId="0" applyNumberFormat="1" applyFill="1" applyBorder="1">
      <alignment vertical="center"/>
    </xf>
    <xf numFmtId="41" fontId="0" fillId="0" borderId="32" xfId="0" applyNumberFormat="1" applyBorder="1">
      <alignment vertical="center"/>
    </xf>
    <xf numFmtId="41" fontId="0" fillId="0" borderId="162" xfId="0" applyNumberFormat="1" applyBorder="1" applyAlignment="1">
      <alignment horizontal="center" vertical="center"/>
    </xf>
    <xf numFmtId="41" fontId="0" fillId="13" borderId="162" xfId="0" applyNumberFormat="1" applyFill="1" applyBorder="1">
      <alignment vertical="center"/>
    </xf>
    <xf numFmtId="41" fontId="0" fillId="0" borderId="162" xfId="0" applyNumberFormat="1" applyBorder="1">
      <alignment vertical="center"/>
    </xf>
    <xf numFmtId="41" fontId="7" fillId="0" borderId="15" xfId="2" applyNumberFormat="1" applyFont="1" applyFill="1" applyBorder="1" applyAlignment="1">
      <alignment horizontal="center" vertical="center"/>
    </xf>
    <xf numFmtId="41" fontId="12" fillId="0" borderId="15" xfId="2" applyNumberFormat="1" applyFont="1" applyBorder="1">
      <alignment vertical="center"/>
    </xf>
    <xf numFmtId="0" fontId="1" fillId="0" borderId="61" xfId="2" applyFill="1" applyBorder="1">
      <alignment vertical="center"/>
    </xf>
    <xf numFmtId="41" fontId="12" fillId="0" borderId="15" xfId="2" applyNumberFormat="1" applyFont="1" applyFill="1" applyBorder="1">
      <alignment vertical="center"/>
    </xf>
    <xf numFmtId="0" fontId="0" fillId="0" borderId="61" xfId="0" applyFill="1" applyBorder="1">
      <alignment vertical="center"/>
    </xf>
    <xf numFmtId="41" fontId="1" fillId="13" borderId="4" xfId="2" applyNumberFormat="1" applyFill="1" applyBorder="1" applyAlignment="1">
      <alignment horizontal="center" vertical="center"/>
    </xf>
    <xf numFmtId="41" fontId="1" fillId="0" borderId="0" xfId="2" applyNumberFormat="1" applyFill="1" applyBorder="1">
      <alignment vertical="center"/>
    </xf>
    <xf numFmtId="41" fontId="1" fillId="0" borderId="162" xfId="2" applyNumberFormat="1" applyFill="1" applyBorder="1" applyAlignment="1">
      <alignment horizontal="center" vertical="center"/>
    </xf>
    <xf numFmtId="0" fontId="1" fillId="0" borderId="5" xfId="2" applyFill="1" applyBorder="1" applyAlignment="1">
      <alignment horizontal="center" vertical="center" wrapText="1"/>
    </xf>
    <xf numFmtId="0" fontId="1" fillId="0" borderId="5" xfId="2" applyFill="1" applyBorder="1" applyAlignment="1">
      <alignment horizontal="center" vertical="center"/>
    </xf>
    <xf numFmtId="0" fontId="1" fillId="0" borderId="1" xfId="2" applyFont="1" applyFill="1" applyBorder="1">
      <alignment vertical="center"/>
    </xf>
    <xf numFmtId="0" fontId="0" fillId="0" borderId="1" xfId="0" applyFill="1" applyBorder="1">
      <alignment vertical="center"/>
    </xf>
    <xf numFmtId="41" fontId="1" fillId="0" borderId="166" xfId="2" applyNumberFormat="1" applyFill="1" applyBorder="1" applyAlignment="1">
      <alignment horizontal="center" vertical="center"/>
    </xf>
    <xf numFmtId="0" fontId="18" fillId="0" borderId="1" xfId="2" applyFont="1" applyFill="1" applyBorder="1">
      <alignment vertical="center"/>
    </xf>
    <xf numFmtId="41" fontId="1" fillId="0" borderId="0" xfId="2" applyNumberFormat="1" applyFill="1">
      <alignment vertical="center"/>
    </xf>
    <xf numFmtId="41" fontId="1" fillId="0" borderId="210" xfId="2" applyNumberFormat="1" applyFill="1" applyBorder="1" applyAlignment="1">
      <alignment horizontal="center" vertical="center"/>
    </xf>
    <xf numFmtId="0" fontId="1" fillId="0" borderId="3" xfId="2" applyFill="1" applyBorder="1">
      <alignment vertical="center"/>
    </xf>
    <xf numFmtId="41" fontId="1" fillId="0" borderId="201" xfId="2" applyNumberFormat="1" applyFill="1" applyBorder="1" applyAlignment="1">
      <alignment horizontal="center" vertical="center"/>
    </xf>
    <xf numFmtId="41" fontId="1" fillId="0" borderId="0" xfId="2" applyNumberFormat="1" applyFill="1" applyBorder="1" applyAlignment="1">
      <alignment horizontal="center" vertical="center"/>
    </xf>
    <xf numFmtId="0" fontId="11" fillId="0" borderId="0" xfId="2" applyFont="1" applyFill="1" applyBorder="1" applyAlignment="1">
      <alignment horizontal="center" vertical="center"/>
    </xf>
    <xf numFmtId="41" fontId="0" fillId="13" borderId="4" xfId="0" applyNumberFormat="1" applyFill="1" applyBorder="1" applyAlignment="1">
      <alignment horizontal="center" vertical="center"/>
    </xf>
    <xf numFmtId="41" fontId="0" fillId="0" borderId="4" xfId="0" applyNumberForma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41" fontId="1" fillId="0" borderId="4" xfId="2" applyNumberFormat="1" applyBorder="1" applyAlignment="1">
      <alignment horizontal="center" vertical="center"/>
    </xf>
    <xf numFmtId="41" fontId="1" fillId="0" borderId="4" xfId="2" applyNumberFormat="1" applyFill="1" applyBorder="1" applyAlignment="1">
      <alignment horizontal="center" vertical="center"/>
    </xf>
    <xf numFmtId="41" fontId="1" fillId="0" borderId="180" xfId="2" applyNumberFormat="1" applyFill="1" applyBorder="1" applyAlignment="1">
      <alignment horizontal="center" vertical="center"/>
    </xf>
    <xf numFmtId="41" fontId="1" fillId="0" borderId="183" xfId="2" applyNumberFormat="1" applyFill="1" applyBorder="1" applyAlignment="1">
      <alignment horizontal="center" vertical="center"/>
    </xf>
    <xf numFmtId="41" fontId="0" fillId="0" borderId="180" xfId="0" applyNumberFormat="1" applyFill="1" applyBorder="1" applyAlignment="1">
      <alignment horizontal="center" vertical="center"/>
    </xf>
    <xf numFmtId="41" fontId="0" fillId="0" borderId="113" xfId="0" applyNumberFormat="1" applyFill="1" applyBorder="1" applyAlignment="1">
      <alignment horizontal="center" vertical="center"/>
    </xf>
    <xf numFmtId="43" fontId="1" fillId="0" borderId="4" xfId="2" applyNumberFormat="1" applyBorder="1">
      <alignment vertical="center"/>
    </xf>
    <xf numFmtId="10" fontId="1" fillId="0" borderId="4" xfId="2" applyNumberFormat="1" applyBorder="1">
      <alignment vertical="center"/>
    </xf>
    <xf numFmtId="41" fontId="8" fillId="13" borderId="4" xfId="2" applyNumberFormat="1" applyFont="1" applyFill="1" applyBorder="1" applyAlignment="1">
      <alignment horizontal="center" vertical="center"/>
    </xf>
    <xf numFmtId="10" fontId="1" fillId="0" borderId="4" xfId="12" applyNumberFormat="1" applyFont="1" applyBorder="1">
      <alignment vertical="center"/>
    </xf>
    <xf numFmtId="41" fontId="12" fillId="13" borderId="4" xfId="0" applyNumberFormat="1" applyFont="1" applyFill="1" applyBorder="1" applyAlignment="1">
      <alignment horizontal="center" vertical="center"/>
    </xf>
    <xf numFmtId="10" fontId="1" fillId="0" borderId="4" xfId="12" applyNumberFormat="1" applyFont="1" applyFill="1" applyBorder="1">
      <alignment vertical="center"/>
    </xf>
    <xf numFmtId="0" fontId="12" fillId="13" borderId="4" xfId="1" applyFont="1" applyFill="1" applyBorder="1" applyAlignment="1">
      <alignment horizontal="center" vertical="center" wrapText="1"/>
    </xf>
    <xf numFmtId="41" fontId="0" fillId="13" borderId="4" xfId="0" applyNumberFormat="1" applyFill="1" applyBorder="1">
      <alignment vertical="center"/>
    </xf>
    <xf numFmtId="0" fontId="154" fillId="53" borderId="66" xfId="0" applyFont="1" applyFill="1" applyBorder="1" applyAlignment="1">
      <alignment horizontal="center" vertical="center"/>
    </xf>
    <xf numFmtId="0" fontId="154" fillId="53" borderId="227" xfId="0" applyFont="1" applyFill="1" applyBorder="1" applyAlignment="1">
      <alignment horizontal="center" vertical="center"/>
    </xf>
    <xf numFmtId="0" fontId="154" fillId="53" borderId="228" xfId="0" applyFont="1" applyFill="1" applyBorder="1" applyAlignment="1">
      <alignment horizontal="center" vertical="center"/>
    </xf>
    <xf numFmtId="0" fontId="154" fillId="53" borderId="229" xfId="0" applyFont="1" applyFill="1" applyBorder="1" applyAlignment="1">
      <alignment horizontal="center" vertical="center"/>
    </xf>
    <xf numFmtId="0" fontId="156" fillId="0" borderId="20" xfId="0" applyFont="1" applyBorder="1" applyAlignment="1">
      <alignment horizontal="center" vertical="center"/>
    </xf>
    <xf numFmtId="0" fontId="156" fillId="0" borderId="68" xfId="0" applyFont="1" applyBorder="1" applyAlignment="1">
      <alignment horizontal="center" vertical="center"/>
    </xf>
    <xf numFmtId="247" fontId="157" fillId="3" borderId="63" xfId="0" applyNumberFormat="1" applyFont="1" applyFill="1" applyBorder="1" applyAlignment="1">
      <alignment vertical="center"/>
    </xf>
    <xf numFmtId="247" fontId="157" fillId="0" borderId="55" xfId="0" applyNumberFormat="1" applyFont="1" applyBorder="1" applyAlignment="1">
      <alignment vertical="center"/>
    </xf>
    <xf numFmtId="247" fontId="157" fillId="0" borderId="4" xfId="0" applyNumberFormat="1" applyFont="1" applyBorder="1" applyAlignment="1">
      <alignment vertical="center"/>
    </xf>
    <xf numFmtId="204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9" fontId="157" fillId="0" borderId="55" xfId="0" applyNumberFormat="1" applyFont="1" applyBorder="1" applyAlignment="1">
      <alignment vertical="center"/>
    </xf>
    <xf numFmtId="9" fontId="157" fillId="0" borderId="17" xfId="0" applyNumberFormat="1" applyFont="1" applyBorder="1" applyAlignment="1">
      <alignment vertical="center"/>
    </xf>
    <xf numFmtId="9" fontId="0" fillId="55" borderId="228" xfId="0" applyNumberFormat="1" applyFill="1" applyBorder="1">
      <alignment vertical="center"/>
    </xf>
    <xf numFmtId="41" fontId="12" fillId="0" borderId="4" xfId="0" applyNumberFormat="1" applyFont="1" applyFill="1" applyBorder="1" applyAlignment="1">
      <alignment horizontal="center" vertical="center"/>
    </xf>
    <xf numFmtId="41" fontId="7" fillId="0" borderId="4" xfId="2" applyNumberFormat="1" applyFont="1" applyFill="1" applyBorder="1" applyAlignment="1">
      <alignment horizontal="center" vertical="center"/>
    </xf>
    <xf numFmtId="0" fontId="1" fillId="0" borderId="23" xfId="2" applyBorder="1" applyAlignment="1">
      <alignment vertical="center" wrapText="1"/>
    </xf>
    <xf numFmtId="0" fontId="1" fillId="0" borderId="55" xfId="2" applyBorder="1">
      <alignment vertical="center"/>
    </xf>
    <xf numFmtId="41" fontId="158" fillId="0" borderId="63" xfId="3" applyFont="1" applyBorder="1">
      <alignment vertical="center"/>
    </xf>
    <xf numFmtId="41" fontId="159" fillId="0" borderId="61" xfId="3" applyFont="1" applyBorder="1">
      <alignment vertical="center"/>
    </xf>
    <xf numFmtId="41" fontId="158" fillId="0" borderId="37" xfId="3" applyFont="1" applyBorder="1">
      <alignment vertical="center"/>
    </xf>
    <xf numFmtId="41" fontId="159" fillId="0" borderId="239" xfId="3" applyFont="1" applyBorder="1">
      <alignment vertical="center"/>
    </xf>
    <xf numFmtId="41" fontId="159" fillId="0" borderId="63" xfId="3" applyFont="1" applyBorder="1">
      <alignment vertical="center"/>
    </xf>
    <xf numFmtId="41" fontId="159" fillId="0" borderId="22" xfId="3" applyFont="1" applyBorder="1">
      <alignment vertical="center"/>
    </xf>
    <xf numFmtId="41" fontId="159" fillId="0" borderId="40" xfId="3" applyFont="1" applyBorder="1">
      <alignment vertical="center"/>
    </xf>
    <xf numFmtId="41" fontId="159" fillId="0" borderId="240" xfId="3" applyFont="1" applyBorder="1">
      <alignment vertical="center"/>
    </xf>
    <xf numFmtId="248" fontId="0" fillId="0" borderId="4" xfId="0" applyNumberFormat="1" applyBorder="1" applyAlignment="1">
      <alignment horizontal="center" vertical="center"/>
    </xf>
    <xf numFmtId="41" fontId="159" fillId="0" borderId="30" xfId="3" applyFont="1" applyBorder="1">
      <alignment vertical="center"/>
    </xf>
    <xf numFmtId="41" fontId="159" fillId="0" borderId="1" xfId="3" applyFont="1" applyBorder="1">
      <alignment vertical="center"/>
    </xf>
    <xf numFmtId="41" fontId="159" fillId="0" borderId="241" xfId="3" applyFont="1" applyBorder="1">
      <alignment vertical="center"/>
    </xf>
    <xf numFmtId="41" fontId="159" fillId="0" borderId="65" xfId="3" applyFont="1" applyBorder="1">
      <alignment vertical="center"/>
    </xf>
    <xf numFmtId="41" fontId="159" fillId="0" borderId="47" xfId="3" applyFont="1" applyBorder="1">
      <alignment vertical="center"/>
    </xf>
    <xf numFmtId="41" fontId="159" fillId="0" borderId="242" xfId="3" applyFont="1" applyBorder="1">
      <alignment vertical="center"/>
    </xf>
    <xf numFmtId="41" fontId="159" fillId="0" borderId="35" xfId="3" applyFont="1" applyBorder="1">
      <alignment vertical="center"/>
    </xf>
    <xf numFmtId="41" fontId="159" fillId="0" borderId="32" xfId="3" applyFont="1" applyBorder="1">
      <alignment vertical="center"/>
    </xf>
    <xf numFmtId="0" fontId="0" fillId="0" borderId="33" xfId="0" applyBorder="1">
      <alignment vertical="center"/>
    </xf>
    <xf numFmtId="41" fontId="159" fillId="0" borderId="243" xfId="3" applyFont="1" applyBorder="1">
      <alignment vertical="center"/>
    </xf>
    <xf numFmtId="41" fontId="159" fillId="0" borderId="244" xfId="3" applyFont="1" applyBorder="1">
      <alignment vertical="center"/>
    </xf>
    <xf numFmtId="41" fontId="159" fillId="0" borderId="245" xfId="3" applyFont="1" applyBorder="1">
      <alignment vertical="center"/>
    </xf>
    <xf numFmtId="248" fontId="0" fillId="0" borderId="88" xfId="0" applyNumberFormat="1" applyBorder="1" applyAlignment="1">
      <alignment horizontal="center" vertical="center"/>
    </xf>
    <xf numFmtId="0" fontId="0" fillId="0" borderId="88" xfId="0" applyBorder="1">
      <alignment vertical="center"/>
    </xf>
    <xf numFmtId="0" fontId="0" fillId="0" borderId="246" xfId="0" applyBorder="1" applyAlignment="1">
      <alignment horizontal="center" vertical="center"/>
    </xf>
    <xf numFmtId="41" fontId="159" fillId="0" borderId="64" xfId="3" applyFont="1" applyBorder="1">
      <alignment vertical="center"/>
    </xf>
    <xf numFmtId="0" fontId="51" fillId="0" borderId="4" xfId="0" applyFont="1" applyBorder="1">
      <alignment vertical="center"/>
    </xf>
    <xf numFmtId="248" fontId="45" fillId="0" borderId="4" xfId="0" applyNumberFormat="1" applyFont="1" applyBorder="1" applyAlignment="1">
      <alignment horizontal="center" vertical="center"/>
    </xf>
    <xf numFmtId="0" fontId="45" fillId="0" borderId="33" xfId="0" applyFont="1" applyBorder="1" applyAlignment="1">
      <alignment horizontal="center" vertical="center"/>
    </xf>
    <xf numFmtId="248" fontId="106" fillId="0" borderId="4" xfId="0" applyNumberFormat="1" applyFont="1" applyBorder="1" applyAlignment="1">
      <alignment horizontal="center" vertical="center"/>
    </xf>
    <xf numFmtId="248" fontId="161" fillId="0" borderId="4" xfId="0" applyNumberFormat="1" applyFont="1" applyBorder="1" applyAlignment="1">
      <alignment horizontal="center" vertical="center"/>
    </xf>
    <xf numFmtId="0" fontId="161" fillId="0" borderId="4" xfId="0" applyFont="1" applyBorder="1">
      <alignment vertical="center"/>
    </xf>
    <xf numFmtId="0" fontId="161" fillId="0" borderId="33" xfId="0" applyFont="1" applyBorder="1" applyAlignment="1">
      <alignment horizontal="center" vertical="center"/>
    </xf>
    <xf numFmtId="248" fontId="162" fillId="0" borderId="4" xfId="0" applyNumberFormat="1" applyFont="1" applyBorder="1" applyAlignment="1">
      <alignment horizontal="center" vertical="center"/>
    </xf>
    <xf numFmtId="0" fontId="162" fillId="0" borderId="4" xfId="0" applyFont="1" applyBorder="1">
      <alignment vertical="center"/>
    </xf>
    <xf numFmtId="0" fontId="162" fillId="0" borderId="33" xfId="0" applyFont="1" applyBorder="1" applyAlignment="1">
      <alignment horizontal="center" vertical="center"/>
    </xf>
    <xf numFmtId="248" fontId="163" fillId="0" borderId="4" xfId="0" applyNumberFormat="1" applyFont="1" applyBorder="1" applyAlignment="1">
      <alignment horizontal="center" vertical="center"/>
    </xf>
    <xf numFmtId="0" fontId="163" fillId="0" borderId="33" xfId="0" applyFont="1" applyBorder="1" applyAlignment="1">
      <alignment horizontal="center" vertical="center"/>
    </xf>
    <xf numFmtId="41" fontId="159" fillId="0" borderId="0" xfId="3" applyFont="1" applyFill="1" applyBorder="1">
      <alignment vertical="center"/>
    </xf>
    <xf numFmtId="176" fontId="159" fillId="0" borderId="63" xfId="3" applyNumberFormat="1" applyFont="1" applyBorder="1">
      <alignment vertical="center"/>
    </xf>
    <xf numFmtId="0" fontId="29" fillId="0" borderId="166" xfId="6" applyFont="1" applyFill="1" applyBorder="1" applyAlignment="1">
      <alignment horizontal="center" vertical="center"/>
    </xf>
    <xf numFmtId="0" fontId="29" fillId="0" borderId="165" xfId="6" applyFont="1" applyFill="1" applyBorder="1" applyAlignment="1">
      <alignment horizontal="center" vertical="center" wrapText="1"/>
    </xf>
    <xf numFmtId="0" fontId="29" fillId="0" borderId="150" xfId="6" applyFont="1" applyFill="1" applyBorder="1" applyAlignment="1">
      <alignment horizontal="center" vertical="center"/>
    </xf>
    <xf numFmtId="0" fontId="29" fillId="0" borderId="152" xfId="6" applyFont="1" applyFill="1" applyBorder="1" applyAlignment="1">
      <alignment horizontal="center" vertical="center"/>
    </xf>
    <xf numFmtId="0" fontId="1" fillId="0" borderId="4" xfId="2" applyBorder="1" applyAlignment="1">
      <alignment horizontal="center" vertical="center"/>
    </xf>
    <xf numFmtId="41" fontId="7" fillId="0" borderId="4" xfId="2" applyNumberFormat="1" applyFont="1" applyFill="1" applyBorder="1" applyAlignment="1">
      <alignment horizontal="center" vertical="center"/>
    </xf>
    <xf numFmtId="0" fontId="29" fillId="0" borderId="165" xfId="6" applyFont="1" applyFill="1" applyBorder="1" applyAlignment="1">
      <alignment horizontal="center" vertical="center"/>
    </xf>
    <xf numFmtId="0" fontId="29" fillId="0" borderId="165" xfId="6" applyFont="1" applyFill="1" applyBorder="1" applyAlignment="1">
      <alignment horizontal="center" vertical="center" wrapText="1"/>
    </xf>
    <xf numFmtId="0" fontId="29" fillId="0" borderId="150" xfId="6" applyFont="1" applyFill="1" applyBorder="1" applyAlignment="1">
      <alignment horizontal="center" vertical="center"/>
    </xf>
    <xf numFmtId="0" fontId="29" fillId="0" borderId="152" xfId="6" applyFont="1" applyFill="1" applyBorder="1" applyAlignment="1">
      <alignment horizontal="center" vertical="center"/>
    </xf>
    <xf numFmtId="0" fontId="28" fillId="0" borderId="163" xfId="6" applyFont="1" applyFill="1" applyBorder="1" applyAlignment="1">
      <alignment horizontal="center" vertical="center"/>
    </xf>
    <xf numFmtId="1" fontId="164" fillId="0" borderId="0" xfId="30" applyNumberFormat="1" applyFont="1" applyAlignment="1">
      <alignment horizontal="center" vertical="center"/>
    </xf>
    <xf numFmtId="41" fontId="12" fillId="0" borderId="204" xfId="0" applyNumberFormat="1" applyFont="1" applyFill="1" applyBorder="1" applyAlignment="1">
      <alignment horizontal="center" vertical="center"/>
    </xf>
    <xf numFmtId="41" fontId="13" fillId="0" borderId="166" xfId="0" applyNumberFormat="1" applyFont="1" applyBorder="1" applyAlignment="1">
      <alignment horizontal="center" vertical="center"/>
    </xf>
    <xf numFmtId="41" fontId="12" fillId="13" borderId="4" xfId="1" applyNumberFormat="1" applyFont="1" applyFill="1" applyBorder="1" applyAlignment="1">
      <alignment horizontal="center" vertical="center" wrapText="1"/>
    </xf>
    <xf numFmtId="41" fontId="13" fillId="0" borderId="4" xfId="0" applyNumberFormat="1" applyFont="1" applyBorder="1" applyAlignment="1">
      <alignment horizontal="center" vertical="center"/>
    </xf>
    <xf numFmtId="41" fontId="7" fillId="0" borderId="4" xfId="2" applyNumberFormat="1" applyFont="1" applyFill="1" applyBorder="1" applyAlignment="1">
      <alignment horizontal="center" vertical="center"/>
    </xf>
    <xf numFmtId="0" fontId="29" fillId="0" borderId="166" xfId="6" applyFont="1" applyFill="1" applyBorder="1" applyAlignment="1">
      <alignment horizontal="center" vertical="center"/>
    </xf>
    <xf numFmtId="0" fontId="29" fillId="0" borderId="165" xfId="6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/>
    </xf>
    <xf numFmtId="41" fontId="12" fillId="0" borderId="4" xfId="0" applyNumberFormat="1" applyFont="1" applyFill="1" applyBorder="1" applyAlignment="1">
      <alignment horizontal="center" vertical="center"/>
    </xf>
    <xf numFmtId="0" fontId="1" fillId="0" borderId="4" xfId="2" applyBorder="1" applyAlignment="1">
      <alignment horizontal="center" vertical="center"/>
    </xf>
    <xf numFmtId="0" fontId="136" fillId="0" borderId="4" xfId="0" applyFont="1" applyFill="1" applyBorder="1" applyAlignment="1">
      <alignment horizontal="center" vertical="center" wrapText="1"/>
    </xf>
    <xf numFmtId="41" fontId="7" fillId="0" borderId="4" xfId="2" applyNumberFormat="1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3" fillId="0" borderId="165" xfId="0" applyFont="1" applyFill="1" applyBorder="1" applyAlignment="1">
      <alignment horizontal="center" vertical="center"/>
    </xf>
    <xf numFmtId="41" fontId="13" fillId="0" borderId="196" xfId="0" applyNumberFormat="1" applyFont="1" applyBorder="1" applyAlignment="1">
      <alignment horizontal="center" vertical="center"/>
    </xf>
    <xf numFmtId="0" fontId="12" fillId="0" borderId="164" xfId="2" applyFont="1" applyFill="1" applyBorder="1">
      <alignment vertical="center"/>
    </xf>
    <xf numFmtId="41" fontId="12" fillId="0" borderId="164" xfId="2" applyNumberFormat="1" applyFont="1" applyBorder="1">
      <alignment vertical="center"/>
    </xf>
    <xf numFmtId="0" fontId="44" fillId="0" borderId="0" xfId="0" applyFont="1" applyFill="1" applyBorder="1">
      <alignment vertical="center"/>
    </xf>
    <xf numFmtId="0" fontId="160" fillId="0" borderId="4" xfId="0" applyFont="1" applyBorder="1">
      <alignment vertical="center"/>
    </xf>
    <xf numFmtId="0" fontId="13" fillId="0" borderId="153" xfId="0" applyFont="1" applyFill="1" applyBorder="1" applyAlignment="1">
      <alignment horizontal="center" vertical="center"/>
    </xf>
    <xf numFmtId="0" fontId="13" fillId="0" borderId="163" xfId="0" applyFont="1" applyFill="1" applyBorder="1" applyAlignment="1">
      <alignment horizontal="center" vertical="center"/>
    </xf>
    <xf numFmtId="0" fontId="13" fillId="0" borderId="155" xfId="0" applyFont="1" applyFill="1" applyBorder="1" applyAlignment="1">
      <alignment horizontal="center" vertical="center"/>
    </xf>
    <xf numFmtId="41" fontId="12" fillId="0" borderId="4" xfId="0" applyNumberFormat="1" applyFont="1" applyFill="1" applyBorder="1" applyAlignment="1">
      <alignment horizontal="center" vertical="center"/>
    </xf>
    <xf numFmtId="0" fontId="1" fillId="0" borderId="4" xfId="2" applyBorder="1" applyAlignment="1">
      <alignment horizontal="center" vertical="center"/>
    </xf>
    <xf numFmtId="0" fontId="136" fillId="0" borderId="4" xfId="0" applyFont="1" applyFill="1" applyBorder="1" applyAlignment="1">
      <alignment horizontal="center" vertical="center" wrapText="1"/>
    </xf>
    <xf numFmtId="41" fontId="7" fillId="0" borderId="4" xfId="2" applyNumberFormat="1" applyFont="1" applyFill="1" applyBorder="1" applyAlignment="1">
      <alignment horizontal="center" vertical="center"/>
    </xf>
    <xf numFmtId="41" fontId="13" fillId="0" borderId="7" xfId="0" applyNumberFormat="1" applyFont="1" applyBorder="1" applyAlignment="1">
      <alignment horizontal="center" vertical="center"/>
    </xf>
    <xf numFmtId="41" fontId="12" fillId="0" borderId="165" xfId="0" applyNumberFormat="1" applyFont="1" applyFill="1" applyBorder="1" applyAlignment="1">
      <alignment horizontal="center" vertical="center"/>
    </xf>
    <xf numFmtId="41" fontId="12" fillId="0" borderId="164" xfId="0" applyNumberFormat="1" applyFont="1" applyFill="1" applyBorder="1" applyAlignment="1">
      <alignment horizontal="center" vertical="center"/>
    </xf>
    <xf numFmtId="41" fontId="12" fillId="0" borderId="166" xfId="0" applyNumberFormat="1" applyFont="1" applyFill="1" applyBorder="1" applyAlignment="1">
      <alignment horizontal="center" vertical="center"/>
    </xf>
    <xf numFmtId="41" fontId="12" fillId="0" borderId="163" xfId="0" applyNumberFormat="1" applyFont="1" applyFill="1" applyBorder="1" applyAlignment="1">
      <alignment horizontal="center" vertical="center"/>
    </xf>
    <xf numFmtId="41" fontId="13" fillId="0" borderId="166" xfId="0" applyNumberFormat="1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41" fontId="7" fillId="0" borderId="4" xfId="2" applyNumberFormat="1" applyFont="1" applyFill="1" applyBorder="1" applyAlignment="1">
      <alignment horizontal="center" vertical="center"/>
    </xf>
    <xf numFmtId="0" fontId="1" fillId="0" borderId="4" xfId="2" applyBorder="1" applyAlignment="1">
      <alignment horizontal="center" vertical="center"/>
    </xf>
    <xf numFmtId="41" fontId="12" fillId="0" borderId="164" xfId="0" applyNumberFormat="1" applyFont="1" applyFill="1" applyBorder="1" applyAlignment="1">
      <alignment horizontal="center" vertical="center"/>
    </xf>
    <xf numFmtId="0" fontId="26" fillId="0" borderId="231" xfId="6" applyFont="1" applyFill="1" applyBorder="1" applyAlignment="1">
      <alignment horizontal="center" vertical="center"/>
    </xf>
    <xf numFmtId="0" fontId="26" fillId="0" borderId="250" xfId="6" applyFont="1" applyFill="1" applyBorder="1" applyAlignment="1">
      <alignment horizontal="center" vertical="center"/>
    </xf>
    <xf numFmtId="2" fontId="49" fillId="9" borderId="190" xfId="6" applyNumberFormat="1" applyFont="1" applyFill="1" applyBorder="1" applyAlignment="1">
      <alignment horizontal="center" vertical="center"/>
    </xf>
    <xf numFmtId="0" fontId="26" fillId="9" borderId="252" xfId="6" applyFont="1" applyFill="1" applyBorder="1" applyAlignment="1">
      <alignment horizontal="center" vertical="center"/>
    </xf>
    <xf numFmtId="2" fontId="49" fillId="9" borderId="165" xfId="6" applyNumberFormat="1" applyFont="1" applyFill="1" applyBorder="1" applyAlignment="1">
      <alignment horizontal="center" vertical="center"/>
    </xf>
    <xf numFmtId="2" fontId="49" fillId="9" borderId="153" xfId="6" applyNumberFormat="1" applyFont="1" applyFill="1" applyBorder="1" applyAlignment="1">
      <alignment horizontal="center" vertical="center"/>
    </xf>
    <xf numFmtId="0" fontId="26" fillId="9" borderId="153" xfId="6" applyFont="1" applyFill="1" applyBorder="1" applyAlignment="1">
      <alignment horizontal="center" vertical="center"/>
    </xf>
    <xf numFmtId="2" fontId="49" fillId="0" borderId="165" xfId="6" applyNumberFormat="1" applyFont="1" applyFill="1" applyBorder="1" applyAlignment="1">
      <alignment horizontal="center" vertical="center"/>
    </xf>
    <xf numFmtId="0" fontId="26" fillId="0" borderId="153" xfId="6" applyFont="1" applyFill="1" applyBorder="1" applyAlignment="1">
      <alignment horizontal="center" vertical="center"/>
    </xf>
    <xf numFmtId="2" fontId="49" fillId="0" borderId="163" xfId="6" applyNumberFormat="1" applyFont="1" applyFill="1" applyBorder="1" applyAlignment="1">
      <alignment horizontal="center" vertical="center"/>
    </xf>
    <xf numFmtId="0" fontId="26" fillId="0" borderId="155" xfId="6" applyFont="1" applyFill="1" applyBorder="1" applyAlignment="1">
      <alignment horizontal="center" vertical="center"/>
    </xf>
    <xf numFmtId="41" fontId="13" fillId="0" borderId="253" xfId="0" applyNumberFormat="1" applyFont="1" applyBorder="1" applyAlignment="1">
      <alignment horizontal="center" vertical="center"/>
    </xf>
    <xf numFmtId="41" fontId="150" fillId="3" borderId="192" xfId="0" applyNumberFormat="1" applyFont="1" applyFill="1" applyBorder="1">
      <alignment vertical="center"/>
    </xf>
    <xf numFmtId="41" fontId="13" fillId="0" borderId="171" xfId="0" applyNumberFormat="1" applyFont="1" applyBorder="1" applyAlignment="1">
      <alignment horizontal="center" vertical="center"/>
    </xf>
    <xf numFmtId="41" fontId="42" fillId="0" borderId="200" xfId="0" applyNumberFormat="1" applyFont="1" applyBorder="1" applyAlignment="1">
      <alignment horizontal="center" vertical="center"/>
    </xf>
    <xf numFmtId="41" fontId="150" fillId="3" borderId="172" xfId="0" applyNumberFormat="1" applyFont="1" applyFill="1" applyBorder="1">
      <alignment vertical="center"/>
    </xf>
    <xf numFmtId="41" fontId="42" fillId="0" borderId="253" xfId="0" applyNumberFormat="1" applyFont="1" applyBorder="1" applyAlignment="1">
      <alignment horizontal="center" vertical="center"/>
    </xf>
    <xf numFmtId="41" fontId="42" fillId="0" borderId="199" xfId="0" applyNumberFormat="1" applyFont="1" applyBorder="1" applyAlignment="1">
      <alignment horizontal="center" vertical="center"/>
    </xf>
    <xf numFmtId="41" fontId="12" fillId="0" borderId="199" xfId="0" applyNumberFormat="1" applyFont="1" applyFill="1" applyBorder="1" applyAlignment="1">
      <alignment horizontal="center" vertical="center"/>
    </xf>
    <xf numFmtId="41" fontId="12" fillId="0" borderId="200" xfId="0" applyNumberFormat="1" applyFont="1" applyFill="1" applyBorder="1" applyAlignment="1">
      <alignment horizontal="center" vertical="center"/>
    </xf>
    <xf numFmtId="41" fontId="12" fillId="0" borderId="162" xfId="0" applyNumberFormat="1" applyFont="1" applyFill="1" applyBorder="1" applyAlignment="1">
      <alignment horizontal="center" vertical="center"/>
    </xf>
    <xf numFmtId="41" fontId="12" fillId="0" borderId="170" xfId="0" applyNumberFormat="1" applyFont="1" applyFill="1" applyBorder="1" applyAlignment="1">
      <alignment horizontal="center" vertical="center"/>
    </xf>
    <xf numFmtId="41" fontId="12" fillId="0" borderId="171" xfId="0" applyNumberFormat="1" applyFont="1" applyFill="1" applyBorder="1" applyAlignment="1">
      <alignment horizontal="center" vertical="center"/>
    </xf>
    <xf numFmtId="41" fontId="150" fillId="3" borderId="163" xfId="0" applyNumberFormat="1" applyFont="1" applyFill="1" applyBorder="1" applyAlignment="1">
      <alignment horizontal="center" vertical="center"/>
    </xf>
    <xf numFmtId="0" fontId="11" fillId="6" borderId="254" xfId="2" applyFont="1" applyFill="1" applyBorder="1" applyAlignment="1">
      <alignment horizontal="center" vertical="center" wrapText="1"/>
    </xf>
    <xf numFmtId="0" fontId="11" fillId="6" borderId="168" xfId="1" applyFont="1" applyFill="1" applyBorder="1" applyAlignment="1">
      <alignment horizontal="center" vertical="center" wrapText="1"/>
    </xf>
    <xf numFmtId="41" fontId="150" fillId="0" borderId="192" xfId="0" applyNumberFormat="1" applyFont="1" applyFill="1" applyBorder="1" applyAlignment="1">
      <alignment horizontal="center" vertical="center"/>
    </xf>
    <xf numFmtId="41" fontId="150" fillId="0" borderId="162" xfId="0" applyNumberFormat="1" applyFont="1" applyFill="1" applyBorder="1" applyAlignment="1">
      <alignment horizontal="center" vertical="center"/>
    </xf>
    <xf numFmtId="41" fontId="12" fillId="0" borderId="151" xfId="0" applyNumberFormat="1" applyFont="1" applyFill="1" applyBorder="1" applyAlignment="1">
      <alignment horizontal="center" vertical="center"/>
    </xf>
    <xf numFmtId="0" fontId="13" fillId="0" borderId="170" xfId="0" applyFont="1" applyFill="1" applyBorder="1" applyAlignment="1">
      <alignment vertical="center"/>
    </xf>
    <xf numFmtId="0" fontId="13" fillId="0" borderId="165" xfId="0" applyFont="1" applyFill="1" applyBorder="1" applyAlignment="1">
      <alignment vertical="center"/>
    </xf>
    <xf numFmtId="0" fontId="13" fillId="0" borderId="153" xfId="0" applyFont="1" applyFill="1" applyBorder="1" applyAlignment="1">
      <alignment vertical="center"/>
    </xf>
    <xf numFmtId="0" fontId="13" fillId="0" borderId="171" xfId="0" applyFont="1" applyBorder="1" applyAlignment="1">
      <alignment vertical="center"/>
    </xf>
    <xf numFmtId="41" fontId="165" fillId="0" borderId="32" xfId="11" applyFont="1" applyFill="1" applyBorder="1" applyAlignment="1">
      <alignment horizontal="center" vertical="center"/>
    </xf>
    <xf numFmtId="0" fontId="1" fillId="0" borderId="0" xfId="2" applyAlignment="1">
      <alignment vertical="center" shrinkToFit="1"/>
    </xf>
    <xf numFmtId="0" fontId="11" fillId="13" borderId="5" xfId="2" applyFont="1" applyFill="1" applyBorder="1" applyAlignment="1">
      <alignment horizontal="center" vertical="center" shrinkToFit="1"/>
    </xf>
    <xf numFmtId="0" fontId="1" fillId="0" borderId="4" xfId="2" applyBorder="1" applyAlignment="1">
      <alignment vertical="center" shrinkToFit="1"/>
    </xf>
    <xf numFmtId="0" fontId="1" fillId="0" borderId="0" xfId="2" applyBorder="1" applyAlignment="1">
      <alignment vertical="center" shrinkToFit="1"/>
    </xf>
    <xf numFmtId="0" fontId="1" fillId="0" borderId="15" xfId="2" applyBorder="1" applyAlignment="1">
      <alignment vertical="center" shrinkToFit="1"/>
    </xf>
    <xf numFmtId="0" fontId="11" fillId="13" borderId="4" xfId="2" applyFont="1" applyFill="1" applyBorder="1" applyAlignment="1">
      <alignment horizontal="center" vertical="center" shrinkToFit="1"/>
    </xf>
    <xf numFmtId="0" fontId="1" fillId="0" borderId="0" xfId="2" applyFill="1" applyBorder="1" applyAlignment="1">
      <alignment vertical="center" shrinkToFit="1"/>
    </xf>
    <xf numFmtId="0" fontId="1" fillId="0" borderId="15" xfId="2" applyFill="1" applyBorder="1" applyAlignment="1">
      <alignment vertical="center" shrinkToFit="1"/>
    </xf>
    <xf numFmtId="0" fontId="1" fillId="0" borderId="4" xfId="2" applyFill="1" applyBorder="1" applyAlignment="1">
      <alignment vertical="center" shrinkToFit="1"/>
    </xf>
    <xf numFmtId="0" fontId="0" fillId="0" borderId="0" xfId="0" applyFill="1" applyBorder="1" applyAlignment="1">
      <alignment vertical="center" shrinkToFit="1"/>
    </xf>
    <xf numFmtId="0" fontId="0" fillId="0" borderId="15" xfId="0" applyFill="1" applyBorder="1" applyAlignment="1">
      <alignment vertical="center" shrinkToFit="1"/>
    </xf>
    <xf numFmtId="0" fontId="0" fillId="0" borderId="4" xfId="0" applyBorder="1" applyAlignment="1">
      <alignment vertical="center" shrinkToFit="1"/>
    </xf>
    <xf numFmtId="41" fontId="1" fillId="0" borderId="4" xfId="2" applyNumberFormat="1" applyFill="1" applyBorder="1" applyAlignment="1">
      <alignment horizontal="center" vertical="center" shrinkToFit="1"/>
    </xf>
    <xf numFmtId="41" fontId="0" fillId="0" borderId="4" xfId="0" applyNumberFormat="1" applyFill="1" applyBorder="1" applyAlignment="1">
      <alignment horizontal="center" vertical="center" shrinkToFit="1"/>
    </xf>
    <xf numFmtId="0" fontId="11" fillId="0" borderId="4" xfId="2" applyFont="1" applyFill="1" applyBorder="1" applyAlignment="1">
      <alignment horizontal="center" vertical="center" shrinkToFit="1"/>
    </xf>
    <xf numFmtId="0" fontId="1" fillId="0" borderId="0" xfId="2" applyBorder="1" applyAlignment="1">
      <alignment horizontal="center" vertical="center" wrapText="1"/>
    </xf>
    <xf numFmtId="0" fontId="1" fillId="0" borderId="0" xfId="2" applyBorder="1" applyAlignment="1">
      <alignment horizontal="center" vertical="center"/>
    </xf>
    <xf numFmtId="41" fontId="36" fillId="0" borderId="0" xfId="2" applyNumberFormat="1" applyFont="1" applyBorder="1">
      <alignment vertical="center"/>
    </xf>
    <xf numFmtId="0" fontId="30" fillId="0" borderId="166" xfId="6" applyFont="1" applyFill="1" applyBorder="1" applyAlignment="1">
      <alignment horizontal="center" vertical="center"/>
    </xf>
    <xf numFmtId="9" fontId="26" fillId="0" borderId="151" xfId="6" applyNumberFormat="1" applyFont="1" applyFill="1" applyBorder="1" applyAlignment="1">
      <alignment horizontal="center" vertical="center"/>
    </xf>
    <xf numFmtId="9" fontId="26" fillId="0" borderId="153" xfId="6" applyNumberFormat="1" applyFont="1" applyFill="1" applyBorder="1" applyAlignment="1">
      <alignment horizontal="center" vertical="center"/>
    </xf>
    <xf numFmtId="0" fontId="26" fillId="0" borderId="197" xfId="6" applyFont="1" applyFill="1" applyBorder="1" applyAlignment="1">
      <alignment horizontal="center" vertical="center"/>
    </xf>
    <xf numFmtId="41" fontId="28" fillId="0" borderId="163" xfId="7" applyFont="1" applyFill="1" applyBorder="1" applyAlignment="1">
      <alignment horizontal="center" vertical="center"/>
    </xf>
    <xf numFmtId="9" fontId="26" fillId="0" borderId="167" xfId="6" applyNumberFormat="1" applyFont="1" applyFill="1" applyBorder="1" applyAlignment="1">
      <alignment horizontal="center" vertical="center"/>
    </xf>
    <xf numFmtId="0" fontId="29" fillId="0" borderId="255" xfId="6" applyFont="1" applyFill="1" applyBorder="1" applyAlignment="1">
      <alignment horizontal="center" vertical="center"/>
    </xf>
    <xf numFmtId="41" fontId="12" fillId="0" borderId="4" xfId="0" applyNumberFormat="1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41" fontId="7" fillId="0" borderId="4" xfId="2" applyNumberFormat="1" applyFont="1" applyFill="1" applyBorder="1" applyAlignment="1">
      <alignment horizontal="center" vertical="center"/>
    </xf>
    <xf numFmtId="0" fontId="136" fillId="0" borderId="4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/>
    </xf>
    <xf numFmtId="0" fontId="41" fillId="0" borderId="256" xfId="6" applyFont="1" applyFill="1" applyBorder="1" applyAlignment="1">
      <alignment horizontal="center" vertical="center"/>
    </xf>
    <xf numFmtId="41" fontId="30" fillId="0" borderId="166" xfId="7" applyFont="1" applyFill="1" applyBorder="1" applyAlignment="1">
      <alignment horizontal="center" vertical="center"/>
    </xf>
    <xf numFmtId="9" fontId="30" fillId="0" borderId="257" xfId="12" applyFont="1" applyFill="1" applyBorder="1" applyAlignment="1">
      <alignment horizontal="center" vertical="center"/>
    </xf>
    <xf numFmtId="41" fontId="159" fillId="0" borderId="37" xfId="3" applyFont="1" applyBorder="1">
      <alignment vertical="center"/>
    </xf>
    <xf numFmtId="0" fontId="29" fillId="0" borderId="152" xfId="6" applyFont="1" applyFill="1" applyBorder="1" applyAlignment="1">
      <alignment horizontal="center" vertical="center"/>
    </xf>
    <xf numFmtId="41" fontId="12" fillId="0" borderId="4" xfId="0" applyNumberFormat="1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left" vertical="center"/>
    </xf>
    <xf numFmtId="0" fontId="13" fillId="0" borderId="4" xfId="0" applyFont="1" applyBorder="1" applyAlignment="1">
      <alignment horizontal="center" vertical="center"/>
    </xf>
    <xf numFmtId="41" fontId="7" fillId="0" borderId="4" xfId="2" applyNumberFormat="1" applyFont="1" applyFill="1" applyBorder="1" applyAlignment="1">
      <alignment horizontal="center" vertical="center"/>
    </xf>
    <xf numFmtId="0" fontId="1" fillId="0" borderId="4" xfId="2" applyBorder="1" applyAlignment="1">
      <alignment horizontal="center" vertical="center"/>
    </xf>
    <xf numFmtId="0" fontId="136" fillId="0" borderId="4" xfId="0" applyFont="1" applyFill="1" applyBorder="1" applyAlignment="1">
      <alignment horizontal="center" vertical="center" wrapText="1"/>
    </xf>
    <xf numFmtId="0" fontId="13" fillId="0" borderId="164" xfId="0" applyFont="1" applyBorder="1" applyAlignment="1">
      <alignment horizontal="center" vertical="center"/>
    </xf>
    <xf numFmtId="0" fontId="13" fillId="0" borderId="163" xfId="0" applyFont="1" applyBorder="1" applyAlignment="1">
      <alignment horizontal="center" vertical="center"/>
    </xf>
    <xf numFmtId="0" fontId="13" fillId="0" borderId="171" xfId="0" applyFont="1" applyBorder="1" applyAlignment="1">
      <alignment horizontal="center" vertical="center"/>
    </xf>
    <xf numFmtId="41" fontId="12" fillId="0" borderId="165" xfId="0" applyNumberFormat="1" applyFont="1" applyFill="1" applyBorder="1" applyAlignment="1">
      <alignment horizontal="center" vertical="center"/>
    </xf>
    <xf numFmtId="41" fontId="12" fillId="0" borderId="163" xfId="0" applyNumberFormat="1" applyFont="1" applyFill="1" applyBorder="1" applyAlignment="1">
      <alignment horizontal="center" vertical="center"/>
    </xf>
    <xf numFmtId="0" fontId="13" fillId="0" borderId="174" xfId="0" applyFont="1" applyBorder="1" applyAlignment="1">
      <alignment horizontal="center" vertical="center"/>
    </xf>
    <xf numFmtId="0" fontId="36" fillId="0" borderId="5" xfId="13" applyFont="1" applyFill="1" applyBorder="1" applyAlignment="1">
      <alignment horizontal="center" vertical="center"/>
    </xf>
    <xf numFmtId="0" fontId="36" fillId="0" borderId="6" xfId="13" applyFont="1" applyFill="1" applyBorder="1" applyAlignment="1">
      <alignment horizontal="center" vertical="center"/>
    </xf>
    <xf numFmtId="0" fontId="29" fillId="0" borderId="166" xfId="6" applyFont="1" applyFill="1" applyBorder="1" applyAlignment="1">
      <alignment horizontal="center" vertical="center"/>
    </xf>
    <xf numFmtId="0" fontId="29" fillId="0" borderId="165" xfId="6" applyFont="1" applyFill="1" applyBorder="1" applyAlignment="1">
      <alignment horizontal="center" vertical="center"/>
    </xf>
    <xf numFmtId="0" fontId="29" fillId="0" borderId="150" xfId="6" applyFont="1" applyFill="1" applyBorder="1" applyAlignment="1">
      <alignment horizontal="center" vertical="center"/>
    </xf>
    <xf numFmtId="0" fontId="29" fillId="0" borderId="165" xfId="6" applyFont="1" applyFill="1" applyBorder="1" applyAlignment="1">
      <alignment horizontal="center" vertical="center" wrapText="1"/>
    </xf>
    <xf numFmtId="0" fontId="28" fillId="0" borderId="163" xfId="6" applyFont="1" applyFill="1" applyBorder="1" applyAlignment="1">
      <alignment horizontal="center" vertical="center"/>
    </xf>
    <xf numFmtId="0" fontId="29" fillId="0" borderId="152" xfId="6" applyFont="1" applyFill="1" applyBorder="1" applyAlignment="1">
      <alignment horizontal="center" vertical="center"/>
    </xf>
    <xf numFmtId="0" fontId="29" fillId="0" borderId="255" xfId="6" applyFont="1" applyFill="1" applyBorder="1" applyAlignment="1">
      <alignment horizontal="center" vertical="center"/>
    </xf>
    <xf numFmtId="0" fontId="7" fillId="0" borderId="162" xfId="2" applyFont="1" applyFill="1" applyBorder="1" applyAlignment="1">
      <alignment horizontal="center" vertical="center"/>
    </xf>
    <xf numFmtId="0" fontId="7" fillId="0" borderId="210" xfId="2" applyFont="1" applyFill="1" applyBorder="1" applyAlignment="1">
      <alignment horizontal="center" vertical="center"/>
    </xf>
    <xf numFmtId="41" fontId="7" fillId="0" borderId="199" xfId="2" applyNumberFormat="1" applyFont="1" applyFill="1" applyBorder="1" applyAlignment="1">
      <alignment horizontal="center" vertical="center"/>
    </xf>
    <xf numFmtId="41" fontId="7" fillId="0" borderId="200" xfId="2" applyNumberFormat="1" applyFont="1" applyFill="1" applyBorder="1" applyAlignment="1">
      <alignment horizontal="center" vertical="center"/>
    </xf>
    <xf numFmtId="41" fontId="8" fillId="0" borderId="261" xfId="2" applyNumberFormat="1" applyFont="1" applyFill="1" applyBorder="1" applyAlignment="1">
      <alignment horizontal="center" vertical="center"/>
    </xf>
    <xf numFmtId="41" fontId="8" fillId="0" borderId="173" xfId="2" applyNumberFormat="1" applyFont="1" applyFill="1" applyBorder="1" applyAlignment="1">
      <alignment horizontal="center" vertical="center"/>
    </xf>
    <xf numFmtId="0" fontId="8" fillId="0" borderId="217" xfId="1" applyFont="1" applyFill="1" applyBorder="1" applyAlignment="1">
      <alignment horizontal="center" vertical="center"/>
    </xf>
    <xf numFmtId="41" fontId="149" fillId="3" borderId="150" xfId="2" applyNumberFormat="1" applyFont="1" applyFill="1" applyBorder="1" applyAlignment="1">
      <alignment horizontal="center" vertical="center"/>
    </xf>
    <xf numFmtId="41" fontId="149" fillId="3" borderId="162" xfId="2" applyNumberFormat="1" applyFont="1" applyFill="1" applyBorder="1" applyAlignment="1">
      <alignment horizontal="center" vertical="center"/>
    </xf>
    <xf numFmtId="41" fontId="7" fillId="0" borderId="162" xfId="2" applyNumberFormat="1" applyFont="1" applyFill="1" applyBorder="1" applyAlignment="1">
      <alignment horizontal="center" vertical="center"/>
    </xf>
    <xf numFmtId="0" fontId="7" fillId="0" borderId="151" xfId="1" applyFont="1" applyFill="1" applyBorder="1" applyAlignment="1">
      <alignment horizontal="center" vertical="center"/>
    </xf>
    <xf numFmtId="41" fontId="7" fillId="0" borderId="152" xfId="2" applyNumberFormat="1" applyFont="1" applyFill="1" applyBorder="1" applyAlignment="1">
      <alignment horizontal="center" vertical="center"/>
    </xf>
    <xf numFmtId="41" fontId="150" fillId="0" borderId="263" xfId="0" applyNumberFormat="1" applyFont="1" applyFill="1" applyBorder="1" applyAlignment="1">
      <alignment horizontal="center" vertical="center"/>
    </xf>
    <xf numFmtId="41" fontId="150" fillId="0" borderId="264" xfId="0" applyNumberFormat="1" applyFont="1" applyFill="1" applyBorder="1" applyAlignment="1">
      <alignment horizontal="center" vertical="center"/>
    </xf>
    <xf numFmtId="41" fontId="12" fillId="0" borderId="264" xfId="0" applyNumberFormat="1" applyFont="1" applyFill="1" applyBorder="1" applyAlignment="1">
      <alignment horizontal="center" vertical="center"/>
    </xf>
    <xf numFmtId="0" fontId="12" fillId="0" borderId="265" xfId="2" applyFont="1" applyFill="1" applyBorder="1">
      <alignment vertical="center"/>
    </xf>
    <xf numFmtId="41" fontId="150" fillId="3" borderId="162" xfId="0" applyNumberFormat="1" applyFont="1" applyFill="1" applyBorder="1" applyAlignment="1">
      <alignment horizontal="center" vertical="center"/>
    </xf>
    <xf numFmtId="0" fontId="12" fillId="0" borderId="151" xfId="2" applyFont="1" applyBorder="1">
      <alignment vertical="center"/>
    </xf>
    <xf numFmtId="0" fontId="7" fillId="4" borderId="153" xfId="2" applyFont="1" applyFill="1" applyBorder="1" applyAlignment="1">
      <alignment horizontal="center" vertical="center"/>
    </xf>
    <xf numFmtId="0" fontId="7" fillId="4" borderId="155" xfId="2" applyFont="1" applyFill="1" applyBorder="1" applyAlignment="1">
      <alignment horizontal="center" vertical="center"/>
    </xf>
    <xf numFmtId="0" fontId="13" fillId="0" borderId="266" xfId="0" applyFont="1" applyBorder="1" applyAlignment="1">
      <alignment horizontal="center" vertical="center"/>
    </xf>
    <xf numFmtId="41" fontId="150" fillId="3" borderId="150" xfId="0" applyNumberFormat="1" applyFont="1" applyFill="1" applyBorder="1">
      <alignment vertical="center"/>
    </xf>
    <xf numFmtId="41" fontId="13" fillId="0" borderId="152" xfId="0" applyNumberFormat="1" applyFont="1" applyBorder="1" applyAlignment="1">
      <alignment vertical="center"/>
    </xf>
    <xf numFmtId="0" fontId="41" fillId="0" borderId="261" xfId="6" applyFont="1" applyFill="1" applyBorder="1" applyAlignment="1">
      <alignment horizontal="center" vertical="center"/>
    </xf>
    <xf numFmtId="41" fontId="30" fillId="0" borderId="173" xfId="7" applyFont="1" applyFill="1" applyBorder="1" applyAlignment="1">
      <alignment horizontal="center" vertical="center"/>
    </xf>
    <xf numFmtId="9" fontId="30" fillId="0" borderId="262" xfId="12" applyFont="1" applyFill="1" applyBorder="1" applyAlignment="1">
      <alignment horizontal="center" vertical="center"/>
    </xf>
    <xf numFmtId="41" fontId="150" fillId="3" borderId="180" xfId="0" applyNumberFormat="1" applyFont="1" applyFill="1" applyBorder="1">
      <alignment vertical="center"/>
    </xf>
    <xf numFmtId="0" fontId="13" fillId="0" borderId="164" xfId="0" applyFont="1" applyFill="1" applyBorder="1" applyAlignment="1">
      <alignment horizontal="center" vertical="center"/>
    </xf>
    <xf numFmtId="0" fontId="13" fillId="0" borderId="197" xfId="0" applyFont="1" applyFill="1" applyBorder="1" applyAlignment="1">
      <alignment horizontal="center" vertical="center"/>
    </xf>
    <xf numFmtId="2" fontId="49" fillId="0" borderId="164" xfId="6" applyNumberFormat="1" applyFont="1" applyFill="1" applyBorder="1" applyAlignment="1">
      <alignment horizontal="center" vertical="center"/>
    </xf>
    <xf numFmtId="2" fontId="49" fillId="0" borderId="162" xfId="6" applyNumberFormat="1" applyFont="1" applyFill="1" applyBorder="1" applyAlignment="1">
      <alignment horizontal="center" vertical="center"/>
    </xf>
    <xf numFmtId="0" fontId="26" fillId="0" borderId="151" xfId="6" applyFont="1" applyFill="1" applyBorder="1" applyAlignment="1">
      <alignment horizontal="center" vertical="center"/>
    </xf>
    <xf numFmtId="0" fontId="29" fillId="0" borderId="269" xfId="6" applyFont="1" applyFill="1" applyBorder="1" applyAlignment="1">
      <alignment horizontal="center" vertical="center"/>
    </xf>
    <xf numFmtId="0" fontId="29" fillId="0" borderId="183" xfId="6" applyFont="1" applyFill="1" applyBorder="1" applyAlignment="1">
      <alignment horizontal="center" vertical="center"/>
    </xf>
    <xf numFmtId="0" fontId="29" fillId="0" borderId="201" xfId="6" applyFont="1" applyFill="1" applyBorder="1" applyAlignment="1">
      <alignment horizontal="center" vertical="center" wrapText="1"/>
    </xf>
    <xf numFmtId="0" fontId="28" fillId="0" borderId="262" xfId="6" applyFont="1" applyFill="1" applyBorder="1" applyAlignment="1">
      <alignment horizontal="center" vertical="center"/>
    </xf>
    <xf numFmtId="41" fontId="9" fillId="0" borderId="4" xfId="0" applyNumberFormat="1" applyFont="1" applyBorder="1" applyAlignment="1">
      <alignment vertical="center" shrinkToFit="1"/>
    </xf>
    <xf numFmtId="0" fontId="36" fillId="0" borderId="5" xfId="13" applyFont="1" applyFill="1" applyBorder="1" applyAlignment="1">
      <alignment horizontal="center" vertical="center"/>
    </xf>
    <xf numFmtId="0" fontId="36" fillId="0" borderId="6" xfId="13" applyFont="1" applyFill="1" applyBorder="1" applyAlignment="1">
      <alignment horizontal="center" vertical="center"/>
    </xf>
    <xf numFmtId="0" fontId="29" fillId="0" borderId="269" xfId="6" applyFont="1" applyFill="1" applyBorder="1" applyAlignment="1">
      <alignment horizontal="center" vertical="center"/>
    </xf>
    <xf numFmtId="41" fontId="12" fillId="0" borderId="4" xfId="0" applyNumberFormat="1" applyFont="1" applyFill="1" applyBorder="1" applyAlignment="1">
      <alignment horizontal="center" vertical="center"/>
    </xf>
    <xf numFmtId="0" fontId="7" fillId="0" borderId="4" xfId="2" applyFont="1" applyFill="1" applyBorder="1" applyAlignment="1">
      <alignment horizontal="center" vertical="center"/>
    </xf>
    <xf numFmtId="41" fontId="7" fillId="0" borderId="4" xfId="2" applyNumberFormat="1" applyFont="1" applyFill="1" applyBorder="1" applyAlignment="1">
      <alignment horizontal="center" vertical="center"/>
    </xf>
    <xf numFmtId="0" fontId="1" fillId="0" borderId="4" xfId="2" applyBorder="1" applyAlignment="1">
      <alignment horizontal="center" vertical="center"/>
    </xf>
    <xf numFmtId="0" fontId="136" fillId="0" borderId="4" xfId="0" applyFont="1" applyFill="1" applyBorder="1" applyAlignment="1">
      <alignment horizontal="center" vertical="center" wrapText="1"/>
    </xf>
    <xf numFmtId="41" fontId="12" fillId="0" borderId="165" xfId="0" applyNumberFormat="1" applyFont="1" applyFill="1" applyBorder="1" applyAlignment="1">
      <alignment horizontal="center" vertical="center"/>
    </xf>
    <xf numFmtId="0" fontId="7" fillId="0" borderId="163" xfId="2" applyFont="1" applyFill="1" applyBorder="1" applyAlignment="1">
      <alignment horizontal="center" vertical="center"/>
    </xf>
    <xf numFmtId="41" fontId="7" fillId="0" borderId="165" xfId="2" applyNumberFormat="1" applyFont="1" applyFill="1" applyBorder="1" applyAlignment="1">
      <alignment horizontal="center" vertical="center"/>
    </xf>
    <xf numFmtId="41" fontId="7" fillId="0" borderId="163" xfId="2" applyNumberFormat="1" applyFont="1" applyFill="1" applyBorder="1" applyAlignment="1">
      <alignment horizontal="center" vertical="center"/>
    </xf>
    <xf numFmtId="41" fontId="12" fillId="0" borderId="163" xfId="0" applyNumberFormat="1" applyFont="1" applyFill="1" applyBorder="1" applyAlignment="1">
      <alignment horizontal="center" vertical="center"/>
    </xf>
    <xf numFmtId="0" fontId="36" fillId="0" borderId="278" xfId="13" applyFont="1" applyFill="1" applyBorder="1" applyAlignment="1">
      <alignment horizontal="center" vertical="center"/>
    </xf>
    <xf numFmtId="0" fontId="36" fillId="0" borderId="112" xfId="13" applyFont="1" applyFill="1" applyBorder="1" applyAlignment="1">
      <alignment horizontal="center" vertical="center"/>
    </xf>
    <xf numFmtId="0" fontId="7" fillId="0" borderId="201" xfId="2" applyFont="1" applyFill="1" applyBorder="1" applyAlignment="1">
      <alignment horizontal="center" vertical="center"/>
    </xf>
    <xf numFmtId="41" fontId="7" fillId="0" borderId="209" xfId="2" applyNumberFormat="1" applyFont="1" applyFill="1" applyBorder="1" applyAlignment="1">
      <alignment horizontal="center" vertical="center"/>
    </xf>
    <xf numFmtId="41" fontId="7" fillId="0" borderId="164" xfId="2" applyNumberFormat="1" applyFont="1" applyFill="1" applyBorder="1" applyAlignment="1">
      <alignment horizontal="center" vertical="center"/>
    </xf>
    <xf numFmtId="0" fontId="28" fillId="0" borderId="261" xfId="6" applyFont="1" applyFill="1" applyBorder="1" applyAlignment="1">
      <alignment horizontal="center" vertical="center"/>
    </xf>
    <xf numFmtId="9" fontId="29" fillId="0" borderId="262" xfId="12" applyFont="1" applyFill="1" applyBorder="1" applyAlignment="1">
      <alignment horizontal="center" vertical="center"/>
    </xf>
    <xf numFmtId="0" fontId="7" fillId="4" borderId="197" xfId="2" applyFont="1" applyFill="1" applyBorder="1" applyAlignment="1">
      <alignment horizontal="center" vertical="center"/>
    </xf>
    <xf numFmtId="41" fontId="150" fillId="3" borderId="180" xfId="0" applyNumberFormat="1" applyFont="1" applyFill="1" applyBorder="1" applyAlignment="1">
      <alignment horizontal="center" vertical="center"/>
    </xf>
    <xf numFmtId="41" fontId="12" fillId="0" borderId="196" xfId="0" applyNumberFormat="1" applyFont="1" applyFill="1" applyBorder="1" applyAlignment="1">
      <alignment horizontal="center" vertical="center"/>
    </xf>
    <xf numFmtId="41" fontId="12" fillId="0" borderId="153" xfId="0" applyNumberFormat="1" applyFont="1" applyFill="1" applyBorder="1" applyAlignment="1">
      <alignment horizontal="center" vertical="center"/>
    </xf>
    <xf numFmtId="41" fontId="12" fillId="0" borderId="155" xfId="0" applyNumberFormat="1" applyFont="1" applyFill="1" applyBorder="1" applyAlignment="1">
      <alignment horizontal="center" vertical="center"/>
    </xf>
    <xf numFmtId="249" fontId="138" fillId="0" borderId="4" xfId="0" applyNumberFormat="1" applyFont="1" applyFill="1" applyBorder="1" applyAlignment="1">
      <alignment horizontal="center" vertical="center" wrapText="1"/>
    </xf>
    <xf numFmtId="249" fontId="36" fillId="0" borderId="4" xfId="2" applyNumberFormat="1" applyFont="1" applyBorder="1">
      <alignment vertical="center"/>
    </xf>
    <xf numFmtId="249" fontId="36" fillId="0" borderId="55" xfId="2" applyNumberFormat="1" applyFont="1" applyBorder="1">
      <alignment vertical="center"/>
    </xf>
    <xf numFmtId="249" fontId="0" fillId="0" borderId="0" xfId="0" applyNumberFormat="1">
      <alignment vertical="center"/>
    </xf>
    <xf numFmtId="0" fontId="36" fillId="0" borderId="58" xfId="13" applyFont="1" applyFill="1" applyBorder="1" applyAlignment="1">
      <alignment horizontal="center" vertical="center"/>
    </xf>
    <xf numFmtId="0" fontId="36" fillId="0" borderId="23" xfId="13" applyFont="1" applyFill="1" applyBorder="1" applyAlignment="1">
      <alignment horizontal="center" vertical="center"/>
    </xf>
    <xf numFmtId="41" fontId="36" fillId="11" borderId="111" xfId="11" applyFont="1" applyFill="1" applyBorder="1" applyAlignment="1">
      <alignment horizontal="center" vertical="center"/>
    </xf>
    <xf numFmtId="41" fontId="36" fillId="11" borderId="0" xfId="11" applyFont="1" applyFill="1" applyBorder="1" applyAlignment="1">
      <alignment horizontal="center" vertical="center"/>
    </xf>
    <xf numFmtId="41" fontId="36" fillId="11" borderId="24" xfId="11" applyFont="1" applyFill="1" applyBorder="1" applyAlignment="1">
      <alignment horizontal="center" vertical="center"/>
    </xf>
    <xf numFmtId="41" fontId="36" fillId="0" borderId="24" xfId="11" applyFont="1" applyFill="1" applyBorder="1" applyAlignment="1">
      <alignment horizontal="center" vertical="center"/>
    </xf>
    <xf numFmtId="0" fontId="37" fillId="0" borderId="27" xfId="2" applyFont="1" applyBorder="1">
      <alignment vertical="center"/>
    </xf>
    <xf numFmtId="41" fontId="36" fillId="11" borderId="280" xfId="11" applyFont="1" applyFill="1" applyBorder="1" applyAlignment="1">
      <alignment horizontal="center" vertical="center"/>
    </xf>
    <xf numFmtId="41" fontId="36" fillId="11" borderId="175" xfId="11" applyFont="1" applyFill="1" applyBorder="1" applyAlignment="1">
      <alignment horizontal="center" vertical="center"/>
    </xf>
    <xf numFmtId="0" fontId="37" fillId="0" borderId="176" xfId="2" applyFont="1" applyBorder="1">
      <alignment vertical="center"/>
    </xf>
    <xf numFmtId="0" fontId="36" fillId="0" borderId="279" xfId="13" applyFont="1" applyFill="1" applyBorder="1" applyAlignment="1">
      <alignment horizontal="center" vertical="center"/>
    </xf>
    <xf numFmtId="0" fontId="36" fillId="0" borderId="281" xfId="13" applyFont="1" applyFill="1" applyBorder="1" applyAlignment="1">
      <alignment horizontal="center" vertical="center"/>
    </xf>
    <xf numFmtId="0" fontId="36" fillId="0" borderId="282" xfId="13" applyFont="1" applyFill="1" applyBorder="1" applyAlignment="1">
      <alignment horizontal="center" vertical="center"/>
    </xf>
    <xf numFmtId="41" fontId="36" fillId="11" borderId="21" xfId="11" applyFont="1" applyFill="1" applyBorder="1" applyAlignment="1">
      <alignment horizontal="center" vertical="center"/>
    </xf>
    <xf numFmtId="41" fontId="36" fillId="11" borderId="110" xfId="11" applyFont="1" applyFill="1" applyBorder="1" applyAlignment="1">
      <alignment horizontal="center" vertical="center"/>
    </xf>
    <xf numFmtId="41" fontId="36" fillId="11" borderId="19" xfId="11" applyFont="1" applyFill="1" applyBorder="1" applyAlignment="1">
      <alignment horizontal="center" vertical="center"/>
    </xf>
    <xf numFmtId="41" fontId="36" fillId="0" borderId="19" xfId="11" applyFont="1" applyFill="1" applyBorder="1" applyAlignment="1">
      <alignment horizontal="center" vertical="center"/>
    </xf>
    <xf numFmtId="0" fontId="37" fillId="0" borderId="14" xfId="2" applyFont="1" applyBorder="1">
      <alignment vertical="center"/>
    </xf>
    <xf numFmtId="41" fontId="36" fillId="11" borderId="251" xfId="11" applyFont="1" applyFill="1" applyBorder="1" applyAlignment="1">
      <alignment horizontal="center" vertical="center"/>
    </xf>
    <xf numFmtId="41" fontId="36" fillId="0" borderId="190" xfId="11" applyFont="1" applyFill="1" applyBorder="1" applyAlignment="1">
      <alignment horizontal="center" vertical="center"/>
    </xf>
    <xf numFmtId="41" fontId="36" fillId="11" borderId="190" xfId="11" applyFont="1" applyFill="1" applyBorder="1" applyAlignment="1">
      <alignment horizontal="center" vertical="center"/>
    </xf>
    <xf numFmtId="0" fontId="37" fillId="0" borderId="252" xfId="2" applyFont="1" applyBorder="1">
      <alignment vertical="center"/>
    </xf>
    <xf numFmtId="41" fontId="36" fillId="11" borderId="152" xfId="11" applyFont="1" applyFill="1" applyBorder="1" applyAlignment="1">
      <alignment horizontal="center" vertical="center"/>
    </xf>
    <xf numFmtId="41" fontId="36" fillId="0" borderId="165" xfId="11" applyFont="1" applyFill="1" applyBorder="1" applyAlignment="1">
      <alignment horizontal="center" vertical="center"/>
    </xf>
    <xf numFmtId="41" fontId="36" fillId="11" borderId="165" xfId="11" applyFont="1" applyFill="1" applyBorder="1" applyAlignment="1">
      <alignment horizontal="center" vertical="center"/>
    </xf>
    <xf numFmtId="0" fontId="37" fillId="0" borderId="153" xfId="2" applyFont="1" applyBorder="1">
      <alignment vertical="center"/>
    </xf>
    <xf numFmtId="41" fontId="36" fillId="11" borderId="154" xfId="11" applyFont="1" applyFill="1" applyBorder="1" applyAlignment="1">
      <alignment horizontal="center" vertical="center"/>
    </xf>
    <xf numFmtId="41" fontId="36" fillId="0" borderId="163" xfId="11" applyFont="1" applyFill="1" applyBorder="1" applyAlignment="1">
      <alignment horizontal="center" vertical="center"/>
    </xf>
    <xf numFmtId="41" fontId="36" fillId="11" borderId="163" xfId="11" applyFont="1" applyFill="1" applyBorder="1" applyAlignment="1">
      <alignment horizontal="center" vertical="center"/>
    </xf>
    <xf numFmtId="0" fontId="37" fillId="0" borderId="155" xfId="2" applyFont="1" applyBorder="1">
      <alignment vertical="center"/>
    </xf>
    <xf numFmtId="0" fontId="36" fillId="0" borderId="91" xfId="13" applyFont="1" applyFill="1" applyBorder="1" applyAlignment="1">
      <alignment horizontal="center" vertical="center"/>
    </xf>
    <xf numFmtId="0" fontId="4" fillId="0" borderId="278" xfId="13" applyFont="1" applyFill="1" applyBorder="1" applyAlignment="1">
      <alignment horizontal="center" vertical="center"/>
    </xf>
    <xf numFmtId="0" fontId="36" fillId="0" borderId="283" xfId="13" applyFont="1" applyFill="1" applyBorder="1" applyAlignment="1">
      <alignment horizontal="center" vertical="center"/>
    </xf>
    <xf numFmtId="41" fontId="36" fillId="11" borderId="284" xfId="11" applyFont="1" applyFill="1" applyBorder="1" applyAlignment="1">
      <alignment horizontal="center" vertical="center"/>
    </xf>
    <xf numFmtId="41" fontId="36" fillId="11" borderId="15" xfId="11" applyFont="1" applyFill="1" applyBorder="1" applyAlignment="1">
      <alignment horizontal="center" vertical="center"/>
    </xf>
    <xf numFmtId="41" fontId="29" fillId="0" borderId="165" xfId="7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5" fillId="0" borderId="0" xfId="1" applyFont="1" applyFill="1" applyBorder="1" applyAlignment="1">
      <alignment horizontal="left" vertical="center"/>
    </xf>
    <xf numFmtId="0" fontId="13" fillId="0" borderId="33" xfId="0" applyFont="1" applyBorder="1" applyAlignment="1">
      <alignment horizontal="center" vertical="center"/>
    </xf>
    <xf numFmtId="0" fontId="13" fillId="0" borderId="57" xfId="0" applyFont="1" applyBorder="1" applyAlignment="1">
      <alignment horizontal="center" vertical="center"/>
    </xf>
    <xf numFmtId="0" fontId="13" fillId="0" borderId="55" xfId="0" applyFont="1" applyBorder="1" applyAlignment="1">
      <alignment horizontal="center" vertical="center"/>
    </xf>
    <xf numFmtId="41" fontId="12" fillId="0" borderId="4" xfId="0" applyNumberFormat="1" applyFont="1" applyFill="1" applyBorder="1" applyAlignment="1">
      <alignment horizontal="center" vertical="center"/>
    </xf>
    <xf numFmtId="41" fontId="7" fillId="0" borderId="4" xfId="2" applyNumberFormat="1" applyFont="1" applyFill="1" applyBorder="1" applyAlignment="1">
      <alignment horizontal="center" vertical="center"/>
    </xf>
    <xf numFmtId="0" fontId="1" fillId="0" borderId="4" xfId="2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41" fontId="7" fillId="0" borderId="4" xfId="2" applyNumberFormat="1" applyFont="1" applyFill="1" applyBorder="1" applyAlignment="1">
      <alignment horizontal="center" vertical="center"/>
    </xf>
    <xf numFmtId="0" fontId="1" fillId="0" borderId="4" xfId="2" applyBorder="1" applyAlignment="1">
      <alignment vertical="center" wrapText="1" shrinkToFit="1"/>
    </xf>
    <xf numFmtId="41" fontId="1" fillId="13" borderId="55" xfId="2" applyNumberFormat="1" applyFill="1" applyBorder="1" applyAlignment="1">
      <alignment horizontal="center" vertical="center"/>
    </xf>
    <xf numFmtId="41" fontId="7" fillId="0" borderId="55" xfId="2" applyNumberFormat="1" applyFont="1" applyFill="1" applyBorder="1" applyAlignment="1">
      <alignment horizontal="center" vertical="center"/>
    </xf>
    <xf numFmtId="0" fontId="36" fillId="0" borderId="7" xfId="9" applyFont="1" applyFill="1" applyBorder="1" applyAlignment="1">
      <alignment horizontal="center" vertical="center" wrapText="1"/>
    </xf>
    <xf numFmtId="0" fontId="36" fillId="0" borderId="4" xfId="10" applyFont="1" applyFill="1" applyBorder="1" applyAlignment="1">
      <alignment horizontal="center" vertical="center"/>
    </xf>
    <xf numFmtId="0" fontId="166" fillId="0" borderId="0" xfId="5" applyFont="1" applyFill="1" applyAlignment="1">
      <alignment horizontal="left" vertical="center"/>
    </xf>
    <xf numFmtId="0" fontId="166" fillId="0" borderId="0" xfId="6" applyFont="1" applyAlignment="1">
      <alignment horizontal="centerContinuous" vertical="center"/>
    </xf>
    <xf numFmtId="176" fontId="167" fillId="0" borderId="0" xfId="6" applyNumberFormat="1" applyFont="1" applyFill="1" applyAlignment="1">
      <alignment horizontal="centerContinuous" vertical="center"/>
    </xf>
    <xf numFmtId="0" fontId="167" fillId="0" borderId="0" xfId="6" applyFont="1" applyFill="1" applyAlignment="1">
      <alignment horizontal="centerContinuous" vertical="center"/>
    </xf>
    <xf numFmtId="0" fontId="1" fillId="0" borderId="0" xfId="6" applyFont="1" applyFill="1" applyAlignment="1">
      <alignment horizontal="center" vertical="center"/>
    </xf>
    <xf numFmtId="0" fontId="1" fillId="0" borderId="0" xfId="6" applyFont="1" applyAlignment="1">
      <alignment horizontal="center" vertical="center"/>
    </xf>
    <xf numFmtId="0" fontId="144" fillId="0" borderId="0" xfId="5" applyFont="1" applyFill="1" applyAlignment="1">
      <alignment horizontal="left" vertical="center"/>
    </xf>
    <xf numFmtId="0" fontId="6" fillId="0" borderId="0" xfId="5" applyFont="1" applyAlignment="1">
      <alignment horizontal="left" vertical="center"/>
    </xf>
    <xf numFmtId="0" fontId="168" fillId="0" borderId="0" xfId="6" applyFont="1" applyFill="1" applyBorder="1" applyAlignment="1">
      <alignment horizontal="center" vertical="center"/>
    </xf>
    <xf numFmtId="41" fontId="168" fillId="0" borderId="0" xfId="7" applyFont="1" applyFill="1" applyBorder="1" applyAlignment="1">
      <alignment horizontal="center" vertical="center"/>
    </xf>
    <xf numFmtId="0" fontId="168" fillId="0" borderId="0" xfId="7" applyNumberFormat="1" applyFont="1" applyBorder="1" applyAlignment="1">
      <alignment horizontal="center" vertical="center"/>
    </xf>
    <xf numFmtId="0" fontId="1" fillId="0" borderId="0" xfId="5" applyFont="1" applyAlignment="1">
      <alignment horizontal="left" vertical="center"/>
    </xf>
    <xf numFmtId="176" fontId="169" fillId="0" borderId="0" xfId="6" applyNumberFormat="1" applyFont="1" applyFill="1" applyAlignment="1">
      <alignment horizontal="center" vertical="center"/>
    </xf>
    <xf numFmtId="0" fontId="1" fillId="0" borderId="0" xfId="6" applyFont="1" applyAlignment="1">
      <alignment horizontal="right" vertical="center"/>
    </xf>
    <xf numFmtId="0" fontId="166" fillId="0" borderId="0" xfId="6" applyFont="1" applyFill="1" applyAlignment="1">
      <alignment horizontal="centerContinuous" vertical="center"/>
    </xf>
    <xf numFmtId="0" fontId="167" fillId="11" borderId="33" xfId="6" applyFont="1" applyFill="1" applyBorder="1" applyAlignment="1">
      <alignment horizontal="centerContinuous" vertical="center"/>
    </xf>
    <xf numFmtId="0" fontId="167" fillId="11" borderId="34" xfId="6" applyFont="1" applyFill="1" applyBorder="1" applyAlignment="1">
      <alignment horizontal="centerContinuous" vertical="center"/>
    </xf>
    <xf numFmtId="179" fontId="167" fillId="11" borderId="35" xfId="6" applyNumberFormat="1" applyFont="1" applyFill="1" applyBorder="1" applyAlignment="1">
      <alignment horizontal="center" vertical="center"/>
    </xf>
    <xf numFmtId="0" fontId="167" fillId="11" borderId="36" xfId="6" applyFont="1" applyFill="1" applyBorder="1" applyAlignment="1">
      <alignment horizontal="center" vertical="center" wrapText="1"/>
    </xf>
    <xf numFmtId="0" fontId="167" fillId="11" borderId="0" xfId="6" applyFont="1" applyFill="1" applyBorder="1" applyAlignment="1">
      <alignment horizontal="center" vertical="center" wrapText="1"/>
    </xf>
    <xf numFmtId="0" fontId="1" fillId="0" borderId="0" xfId="6" applyFont="1" applyAlignment="1">
      <alignment horizontal="left" vertical="center"/>
    </xf>
    <xf numFmtId="0" fontId="168" fillId="0" borderId="1" xfId="6" applyFont="1" applyFill="1" applyBorder="1" applyAlignment="1">
      <alignment horizontal="center" vertical="center"/>
    </xf>
    <xf numFmtId="41" fontId="168" fillId="0" borderId="1" xfId="7" applyFont="1" applyFill="1" applyBorder="1" applyAlignment="1">
      <alignment horizontal="center" vertical="center"/>
    </xf>
    <xf numFmtId="0" fontId="1" fillId="0" borderId="31" xfId="6" applyFont="1" applyBorder="1" applyAlignment="1">
      <alignment vertical="center"/>
    </xf>
    <xf numFmtId="9" fontId="168" fillId="10" borderId="31" xfId="8" applyNumberFormat="1" applyFont="1" applyFill="1" applyBorder="1" applyAlignment="1">
      <alignment horizontal="center" vertical="center"/>
    </xf>
    <xf numFmtId="41" fontId="168" fillId="10" borderId="0" xfId="3" applyFont="1" applyFill="1" applyBorder="1" applyAlignment="1">
      <alignment horizontal="center" vertical="center"/>
    </xf>
    <xf numFmtId="0" fontId="167" fillId="0" borderId="1" xfId="6" applyFont="1" applyFill="1" applyBorder="1" applyAlignment="1">
      <alignment horizontal="center" vertical="center"/>
    </xf>
    <xf numFmtId="41" fontId="167" fillId="0" borderId="1" xfId="7" applyFont="1" applyFill="1" applyBorder="1" applyAlignment="1">
      <alignment horizontal="center" vertical="center"/>
    </xf>
    <xf numFmtId="0" fontId="6" fillId="0" borderId="31" xfId="6" applyFont="1" applyBorder="1" applyAlignment="1">
      <alignment vertical="center"/>
    </xf>
    <xf numFmtId="41" fontId="167" fillId="0" borderId="37" xfId="7" applyFont="1" applyFill="1" applyBorder="1" applyAlignment="1">
      <alignment horizontal="center" vertical="center"/>
    </xf>
    <xf numFmtId="41" fontId="168" fillId="0" borderId="47" xfId="7" applyFont="1" applyFill="1" applyBorder="1" applyAlignment="1">
      <alignment horizontal="center" vertical="center"/>
    </xf>
    <xf numFmtId="0" fontId="6" fillId="0" borderId="54" xfId="6" applyFont="1" applyBorder="1" applyAlignment="1">
      <alignment vertical="center"/>
    </xf>
    <xf numFmtId="0" fontId="168" fillId="0" borderId="1" xfId="6" quotePrefix="1" applyFont="1" applyFill="1" applyBorder="1" applyAlignment="1">
      <alignment horizontal="center" vertical="center"/>
    </xf>
    <xf numFmtId="0" fontId="168" fillId="52" borderId="1" xfId="6" quotePrefix="1" applyFont="1" applyFill="1" applyBorder="1" applyAlignment="1">
      <alignment horizontal="center" vertical="center"/>
    </xf>
    <xf numFmtId="41" fontId="168" fillId="52" borderId="1" xfId="7" applyFont="1" applyFill="1" applyBorder="1" applyAlignment="1">
      <alignment horizontal="center" vertical="center"/>
    </xf>
    <xf numFmtId="9" fontId="168" fillId="52" borderId="31" xfId="8" applyNumberFormat="1" applyFont="1" applyFill="1" applyBorder="1" applyAlignment="1">
      <alignment horizontal="center" vertical="center"/>
    </xf>
    <xf numFmtId="0" fontId="167" fillId="0" borderId="44" xfId="6" applyFont="1" applyFill="1" applyBorder="1" applyAlignment="1">
      <alignment horizontal="center" vertical="center"/>
    </xf>
    <xf numFmtId="41" fontId="167" fillId="0" borderId="44" xfId="7" applyFont="1" applyFill="1" applyBorder="1" applyAlignment="1">
      <alignment horizontal="center" vertical="center"/>
    </xf>
    <xf numFmtId="0" fontId="6" fillId="0" borderId="45" xfId="6" applyFont="1" applyBorder="1" applyAlignment="1">
      <alignment vertical="center"/>
    </xf>
    <xf numFmtId="0" fontId="6" fillId="0" borderId="33" xfId="5" applyFont="1" applyBorder="1" applyAlignment="1">
      <alignment horizontal="centerContinuous" vertical="center"/>
    </xf>
    <xf numFmtId="0" fontId="6" fillId="0" borderId="34" xfId="5" applyFont="1" applyBorder="1" applyAlignment="1">
      <alignment horizontal="centerContinuous" vertical="center"/>
    </xf>
    <xf numFmtId="41" fontId="167" fillId="0" borderId="35" xfId="7" applyFont="1" applyFill="1" applyBorder="1" applyAlignment="1">
      <alignment horizontal="centerContinuous" vertical="center"/>
    </xf>
    <xf numFmtId="0" fontId="166" fillId="0" borderId="36" xfId="6" applyFont="1" applyBorder="1" applyAlignment="1">
      <alignment horizontal="center" vertical="center"/>
    </xf>
    <xf numFmtId="41" fontId="1" fillId="0" borderId="0" xfId="6" applyNumberFormat="1" applyFont="1" applyAlignment="1">
      <alignment horizontal="center" vertical="center"/>
    </xf>
    <xf numFmtId="0" fontId="6" fillId="0" borderId="0" xfId="6" applyFont="1" applyBorder="1" applyAlignment="1">
      <alignment vertical="center"/>
    </xf>
    <xf numFmtId="0" fontId="167" fillId="11" borderId="18" xfId="6" applyFont="1" applyFill="1" applyBorder="1" applyAlignment="1">
      <alignment horizontal="centerContinuous" vertical="center"/>
    </xf>
    <xf numFmtId="0" fontId="167" fillId="11" borderId="19" xfId="6" applyFont="1" applyFill="1" applyBorder="1" applyAlignment="1">
      <alignment horizontal="centerContinuous" vertical="center"/>
    </xf>
    <xf numFmtId="179" fontId="167" fillId="11" borderId="9" xfId="6" applyNumberFormat="1" applyFont="1" applyFill="1" applyBorder="1" applyAlignment="1">
      <alignment horizontal="center" vertical="center"/>
    </xf>
    <xf numFmtId="0" fontId="167" fillId="11" borderId="14" xfId="6" applyFont="1" applyFill="1" applyBorder="1" applyAlignment="1">
      <alignment horizontal="center" vertical="center" wrapText="1"/>
    </xf>
    <xf numFmtId="0" fontId="166" fillId="0" borderId="0" xfId="6" applyFont="1" applyBorder="1" applyAlignment="1">
      <alignment horizontal="center" vertical="center"/>
    </xf>
    <xf numFmtId="0" fontId="168" fillId="0" borderId="190" xfId="6" quotePrefix="1" applyFont="1" applyFill="1" applyBorder="1" applyAlignment="1">
      <alignment horizontal="center" vertical="center"/>
    </xf>
    <xf numFmtId="41" fontId="168" fillId="0" borderId="190" xfId="7" applyFont="1" applyFill="1" applyBorder="1" applyAlignment="1">
      <alignment horizontal="center" vertical="center"/>
    </xf>
    <xf numFmtId="0" fontId="168" fillId="0" borderId="40" xfId="6" applyFont="1" applyFill="1" applyBorder="1" applyAlignment="1">
      <alignment horizontal="center" vertical="center"/>
    </xf>
    <xf numFmtId="41" fontId="168" fillId="0" borderId="40" xfId="7" applyFont="1" applyFill="1" applyBorder="1" applyAlignment="1">
      <alignment horizontal="center" vertical="center"/>
    </xf>
    <xf numFmtId="9" fontId="168" fillId="10" borderId="41" xfId="8" applyNumberFormat="1" applyFont="1" applyFill="1" applyBorder="1" applyAlignment="1">
      <alignment horizontal="center" vertical="center"/>
    </xf>
    <xf numFmtId="0" fontId="167" fillId="0" borderId="165" xfId="6" applyFont="1" applyFill="1" applyBorder="1" applyAlignment="1">
      <alignment horizontal="center" vertical="center"/>
    </xf>
    <xf numFmtId="41" fontId="167" fillId="0" borderId="165" xfId="7" applyFont="1" applyFill="1" applyBorder="1" applyAlignment="1">
      <alignment horizontal="center" vertical="center"/>
    </xf>
    <xf numFmtId="0" fontId="168" fillId="0" borderId="165" xfId="6" applyFont="1" applyFill="1" applyBorder="1" applyAlignment="1">
      <alignment horizontal="center" vertical="center"/>
    </xf>
    <xf numFmtId="41" fontId="168" fillId="0" borderId="165" xfId="7" applyFont="1" applyFill="1" applyBorder="1" applyAlignment="1">
      <alignment horizontal="center" vertical="center"/>
    </xf>
    <xf numFmtId="41" fontId="168" fillId="0" borderId="1" xfId="7" applyFont="1" applyFill="1" applyBorder="1" applyAlignment="1">
      <alignment vertical="center"/>
    </xf>
    <xf numFmtId="0" fontId="170" fillId="0" borderId="4" xfId="9" applyFont="1" applyBorder="1" applyAlignment="1">
      <alignment horizontal="center" vertical="center"/>
    </xf>
    <xf numFmtId="187" fontId="18" fillId="0" borderId="4" xfId="9" applyNumberFormat="1" applyFont="1" applyBorder="1" applyAlignment="1">
      <alignment horizontal="center" vertical="center"/>
    </xf>
    <xf numFmtId="187" fontId="170" fillId="0" borderId="4" xfId="9" applyNumberFormat="1" applyFont="1" applyBorder="1" applyAlignment="1">
      <alignment horizontal="center" vertical="center"/>
    </xf>
    <xf numFmtId="41" fontId="168" fillId="0" borderId="0" xfId="3" applyFont="1" applyFill="1" applyBorder="1" applyAlignment="1">
      <alignment horizontal="center" vertical="center"/>
    </xf>
    <xf numFmtId="0" fontId="170" fillId="0" borderId="4" xfId="9" applyFont="1" applyFill="1" applyBorder="1" applyAlignment="1">
      <alignment horizontal="center" vertical="center"/>
    </xf>
    <xf numFmtId="187" fontId="18" fillId="0" borderId="4" xfId="9" applyNumberFormat="1" applyFont="1" applyFill="1" applyBorder="1" applyAlignment="1">
      <alignment horizontal="center" vertical="center"/>
    </xf>
    <xf numFmtId="187" fontId="170" fillId="0" borderId="4" xfId="9" applyNumberFormat="1" applyFont="1" applyFill="1" applyBorder="1" applyAlignment="1">
      <alignment horizontal="center" vertical="center"/>
    </xf>
    <xf numFmtId="0" fontId="1" fillId="0" borderId="4" xfId="6" applyFont="1" applyFill="1" applyBorder="1" applyAlignment="1">
      <alignment horizontal="center" vertical="center"/>
    </xf>
    <xf numFmtId="9" fontId="168" fillId="0" borderId="0" xfId="8" applyNumberFormat="1" applyFont="1" applyFill="1" applyBorder="1" applyAlignment="1">
      <alignment horizontal="center" vertical="center"/>
    </xf>
    <xf numFmtId="9" fontId="168" fillId="52" borderId="0" xfId="8" applyNumberFormat="1" applyFont="1" applyFill="1" applyBorder="1" applyAlignment="1">
      <alignment horizontal="center" vertical="center"/>
    </xf>
    <xf numFmtId="0" fontId="1" fillId="0" borderId="0" xfId="6" applyFont="1" applyFill="1" applyAlignment="1">
      <alignment horizontal="right" vertical="center"/>
    </xf>
    <xf numFmtId="0" fontId="167" fillId="0" borderId="0" xfId="6" applyFont="1" applyFill="1" applyBorder="1" applyAlignment="1">
      <alignment horizontal="center" vertical="center" wrapText="1"/>
    </xf>
    <xf numFmtId="41" fontId="1" fillId="0" borderId="0" xfId="6" applyNumberFormat="1" applyFont="1" applyAlignment="1">
      <alignment horizontal="left" vertical="center"/>
    </xf>
    <xf numFmtId="9" fontId="168" fillId="10" borderId="0" xfId="8" applyNumberFormat="1" applyFont="1" applyFill="1" applyBorder="1" applyAlignment="1">
      <alignment horizontal="center" vertical="center"/>
    </xf>
    <xf numFmtId="0" fontId="167" fillId="0" borderId="175" xfId="6" applyFont="1" applyFill="1" applyBorder="1" applyAlignment="1">
      <alignment horizontal="center" vertical="center"/>
    </xf>
    <xf numFmtId="41" fontId="167" fillId="0" borderId="175" xfId="7" applyFont="1" applyFill="1" applyBorder="1" applyAlignment="1">
      <alignment horizontal="center" vertical="center"/>
    </xf>
    <xf numFmtId="0" fontId="6" fillId="0" borderId="23" xfId="5" applyFont="1" applyBorder="1" applyAlignment="1">
      <alignment horizontal="centerContinuous" vertical="center"/>
    </xf>
    <xf numFmtId="0" fontId="6" fillId="0" borderId="24" xfId="5" applyFont="1" applyBorder="1" applyAlignment="1">
      <alignment horizontal="centerContinuous" vertical="center"/>
    </xf>
    <xf numFmtId="41" fontId="167" fillId="0" borderId="25" xfId="7" applyFont="1" applyFill="1" applyBorder="1" applyAlignment="1">
      <alignment horizontal="centerContinuous" vertical="center"/>
    </xf>
    <xf numFmtId="0" fontId="166" fillId="0" borderId="27" xfId="6" applyFont="1" applyBorder="1" applyAlignment="1">
      <alignment horizontal="center" vertical="center"/>
    </xf>
    <xf numFmtId="0" fontId="167" fillId="0" borderId="15" xfId="6" applyFont="1" applyFill="1" applyBorder="1" applyAlignment="1">
      <alignment horizontal="centerContinuous" vertical="center"/>
    </xf>
    <xf numFmtId="0" fontId="1" fillId="0" borderId="15" xfId="6" applyFont="1" applyBorder="1" applyAlignment="1">
      <alignment horizontal="right" vertical="center"/>
    </xf>
    <xf numFmtId="41" fontId="168" fillId="0" borderId="1" xfId="7" applyFont="1" applyFill="1" applyBorder="1" applyAlignment="1">
      <alignment horizontal="center" vertical="center"/>
    </xf>
    <xf numFmtId="0" fontId="168" fillId="0" borderId="165" xfId="6" quotePrefix="1" applyFont="1" applyFill="1" applyBorder="1" applyAlignment="1">
      <alignment horizontal="center" vertical="center"/>
    </xf>
    <xf numFmtId="41" fontId="168" fillId="52" borderId="165" xfId="7" applyFont="1" applyFill="1" applyBorder="1" applyAlignment="1">
      <alignment horizontal="center" vertical="center"/>
    </xf>
    <xf numFmtId="9" fontId="168" fillId="52" borderId="186" xfId="8" applyNumberFormat="1" applyFont="1" applyFill="1" applyBorder="1" applyAlignment="1">
      <alignment horizontal="center" vertical="center"/>
    </xf>
    <xf numFmtId="41" fontId="167" fillId="0" borderId="0" xfId="6" applyNumberFormat="1" applyFont="1" applyFill="1" applyAlignment="1">
      <alignment horizontal="centerContinuous" vertical="center"/>
    </xf>
    <xf numFmtId="0" fontId="168" fillId="0" borderId="162" xfId="6" quotePrefix="1" applyFont="1" applyBorder="1" applyAlignment="1">
      <alignment horizontal="center" vertical="center"/>
    </xf>
    <xf numFmtId="41" fontId="168" fillId="0" borderId="162" xfId="7" applyFont="1" applyFill="1" applyBorder="1" applyAlignment="1">
      <alignment horizontal="center" vertical="center"/>
    </xf>
    <xf numFmtId="183" fontId="1" fillId="0" borderId="193" xfId="8" applyNumberFormat="1" applyFont="1" applyBorder="1" applyAlignment="1">
      <alignment horizontal="center" vertical="center"/>
    </xf>
    <xf numFmtId="0" fontId="168" fillId="0" borderId="162" xfId="6" applyFont="1" applyFill="1" applyBorder="1" applyAlignment="1">
      <alignment horizontal="center" vertical="center"/>
    </xf>
    <xf numFmtId="9" fontId="168" fillId="10" borderId="193" xfId="8" applyNumberFormat="1" applyFont="1" applyFill="1" applyBorder="1" applyAlignment="1">
      <alignment horizontal="center" vertical="center"/>
    </xf>
    <xf numFmtId="0" fontId="168" fillId="0" borderId="165" xfId="6" quotePrefix="1" applyFont="1" applyBorder="1" applyAlignment="1">
      <alignment horizontal="center" vertical="center"/>
    </xf>
    <xf numFmtId="183" fontId="1" fillId="0" borderId="186" xfId="8" applyNumberFormat="1" applyFont="1" applyBorder="1" applyAlignment="1">
      <alignment horizontal="center" vertical="center"/>
    </xf>
    <xf numFmtId="9" fontId="168" fillId="10" borderId="186" xfId="8" applyNumberFormat="1" applyFont="1" applyFill="1" applyBorder="1" applyAlignment="1">
      <alignment horizontal="center" vertical="center"/>
    </xf>
    <xf numFmtId="0" fontId="6" fillId="0" borderId="186" xfId="6" applyFont="1" applyBorder="1" applyAlignment="1">
      <alignment vertical="center"/>
    </xf>
    <xf numFmtId="0" fontId="1" fillId="0" borderId="186" xfId="6" applyFont="1" applyBorder="1" applyAlignment="1">
      <alignment horizontal="center" vertical="center"/>
    </xf>
    <xf numFmtId="41" fontId="168" fillId="0" borderId="165" xfId="7" applyFont="1" applyFill="1" applyBorder="1" applyAlignment="1">
      <alignment vertical="center"/>
    </xf>
    <xf numFmtId="179" fontId="167" fillId="11" borderId="165" xfId="6" applyNumberFormat="1" applyFont="1" applyFill="1" applyBorder="1" applyAlignment="1">
      <alignment horizontal="center" vertical="center"/>
    </xf>
    <xf numFmtId="9" fontId="1" fillId="52" borderId="0" xfId="8" applyNumberFormat="1" applyFont="1" applyFill="1" applyBorder="1" applyAlignment="1">
      <alignment horizontal="center" vertical="center"/>
    </xf>
    <xf numFmtId="0" fontId="168" fillId="52" borderId="165" xfId="6" quotePrefix="1" applyFont="1" applyFill="1" applyBorder="1" applyAlignment="1">
      <alignment horizontal="center" vertical="center"/>
    </xf>
    <xf numFmtId="0" fontId="171" fillId="0" borderId="141" xfId="0" applyFont="1" applyBorder="1" applyAlignment="1">
      <alignment horizontal="center" vertical="center" wrapText="1"/>
    </xf>
    <xf numFmtId="0" fontId="167" fillId="0" borderId="163" xfId="6" applyFont="1" applyFill="1" applyBorder="1" applyAlignment="1">
      <alignment horizontal="center" vertical="center"/>
    </xf>
    <xf numFmtId="41" fontId="167" fillId="0" borderId="163" xfId="7" applyFont="1" applyFill="1" applyBorder="1" applyAlignment="1">
      <alignment horizontal="center" vertical="center"/>
    </xf>
    <xf numFmtId="0" fontId="6" fillId="0" borderId="187" xfId="6" applyFont="1" applyBorder="1" applyAlignment="1">
      <alignment vertical="center"/>
    </xf>
    <xf numFmtId="177" fontId="172" fillId="0" borderId="0" xfId="6" applyNumberFormat="1" applyFont="1" applyFill="1" applyAlignment="1">
      <alignment horizontal="center" vertical="center"/>
    </xf>
    <xf numFmtId="0" fontId="168" fillId="0" borderId="190" xfId="6" quotePrefix="1" applyFont="1" applyBorder="1" applyAlignment="1">
      <alignment horizontal="center" vertical="center"/>
    </xf>
    <xf numFmtId="183" fontId="1" fillId="0" borderId="185" xfId="8" applyNumberFormat="1" applyFont="1" applyBorder="1" applyAlignment="1">
      <alignment horizontal="center" vertical="center"/>
    </xf>
    <xf numFmtId="9" fontId="168" fillId="10" borderId="185" xfId="8" applyNumberFormat="1" applyFont="1" applyFill="1" applyBorder="1" applyAlignment="1">
      <alignment horizontal="center" vertical="center"/>
    </xf>
    <xf numFmtId="0" fontId="1" fillId="0" borderId="0" xfId="6" applyFont="1" applyBorder="1" applyAlignment="1">
      <alignment horizontal="center" vertical="center"/>
    </xf>
    <xf numFmtId="0" fontId="1" fillId="0" borderId="186" xfId="6" applyFont="1" applyBorder="1" applyAlignment="1">
      <alignment vertical="center"/>
    </xf>
    <xf numFmtId="3" fontId="171" fillId="0" borderId="141" xfId="0" applyNumberFormat="1" applyFont="1" applyBorder="1" applyAlignment="1">
      <alignment horizontal="center" vertical="center" wrapText="1"/>
    </xf>
    <xf numFmtId="0" fontId="173" fillId="0" borderId="165" xfId="6" quotePrefix="1" applyFont="1" applyFill="1" applyBorder="1" applyAlignment="1">
      <alignment horizontal="center" vertical="center"/>
    </xf>
    <xf numFmtId="3" fontId="171" fillId="0" borderId="142" xfId="0" applyNumberFormat="1" applyFont="1" applyBorder="1" applyAlignment="1">
      <alignment horizontal="center" vertical="center" wrapText="1"/>
    </xf>
    <xf numFmtId="0" fontId="1" fillId="0" borderId="189" xfId="6" applyFont="1" applyBorder="1" applyAlignment="1">
      <alignment horizontal="center" vertical="center"/>
    </xf>
    <xf numFmtId="0" fontId="6" fillId="0" borderId="189" xfId="6" applyFont="1" applyBorder="1" applyAlignment="1">
      <alignment vertical="center"/>
    </xf>
    <xf numFmtId="0" fontId="168" fillId="0" borderId="40" xfId="6" quotePrefix="1" applyFont="1" applyBorder="1" applyAlignment="1">
      <alignment horizontal="center" vertical="center"/>
    </xf>
    <xf numFmtId="183" fontId="1" fillId="0" borderId="41" xfId="8" applyNumberFormat="1" applyFont="1" applyBorder="1" applyAlignment="1">
      <alignment horizontal="center" vertical="center"/>
    </xf>
    <xf numFmtId="0" fontId="1" fillId="0" borderId="31" xfId="6" applyFont="1" applyBorder="1" applyAlignment="1">
      <alignment horizontal="center" vertical="center"/>
    </xf>
    <xf numFmtId="0" fontId="1" fillId="0" borderId="48" xfId="6" applyFont="1" applyBorder="1" applyAlignment="1">
      <alignment horizontal="center" vertical="center"/>
    </xf>
    <xf numFmtId="0" fontId="1" fillId="0" borderId="45" xfId="6" applyFont="1" applyBorder="1" applyAlignment="1">
      <alignment horizontal="center" vertical="center"/>
    </xf>
    <xf numFmtId="41" fontId="168" fillId="0" borderId="190" xfId="7" applyFont="1" applyFill="1" applyBorder="1" applyAlignment="1">
      <alignment vertical="center"/>
    </xf>
    <xf numFmtId="0" fontId="168" fillId="0" borderId="0" xfId="6" applyFont="1" applyFill="1" applyAlignment="1">
      <alignment horizontal="center" vertical="center"/>
    </xf>
    <xf numFmtId="0" fontId="36" fillId="0" borderId="0" xfId="5" applyFont="1" applyFill="1" applyBorder="1" applyAlignment="1">
      <alignment horizontal="center" vertical="center"/>
    </xf>
    <xf numFmtId="41" fontId="36" fillId="0" borderId="0" xfId="7" applyFont="1" applyFill="1" applyBorder="1" applyAlignment="1">
      <alignment horizontal="center" vertical="center" wrapText="1"/>
    </xf>
    <xf numFmtId="176" fontId="168" fillId="0" borderId="0" xfId="6" applyNumberFormat="1" applyFont="1" applyFill="1" applyAlignment="1">
      <alignment horizontal="center" vertical="center"/>
    </xf>
    <xf numFmtId="0" fontId="28" fillId="0" borderId="51" xfId="6" applyFont="1" applyFill="1" applyBorder="1" applyAlignment="1">
      <alignment horizontal="center" vertical="center"/>
    </xf>
    <xf numFmtId="179" fontId="28" fillId="0" borderId="35" xfId="6" applyNumberFormat="1" applyFont="1" applyFill="1" applyBorder="1" applyAlignment="1">
      <alignment horizontal="center" vertical="center"/>
    </xf>
    <xf numFmtId="0" fontId="28" fillId="0" borderId="36" xfId="6" applyFont="1" applyFill="1" applyBorder="1" applyAlignment="1">
      <alignment horizontal="center" vertical="center" wrapText="1"/>
    </xf>
    <xf numFmtId="0" fontId="63" fillId="0" borderId="0" xfId="476" applyFont="1" applyFill="1" applyBorder="1" applyAlignment="1">
      <alignment horizontal="left" vertical="center"/>
    </xf>
    <xf numFmtId="0" fontId="175" fillId="0" borderId="0" xfId="476" applyFont="1" applyFill="1" applyBorder="1" applyAlignment="1">
      <alignment horizontal="left" vertical="center"/>
    </xf>
    <xf numFmtId="0" fontId="175" fillId="0" borderId="0" xfId="2" applyFont="1" applyFill="1">
      <alignment vertical="center"/>
    </xf>
    <xf numFmtId="0" fontId="175" fillId="0" borderId="0" xfId="2" applyFont="1">
      <alignment vertical="center"/>
    </xf>
    <xf numFmtId="0" fontId="175" fillId="0" borderId="0" xfId="2" applyFont="1" applyAlignment="1">
      <alignment horizontal="center" vertical="center"/>
    </xf>
    <xf numFmtId="0" fontId="175" fillId="0" borderId="0" xfId="2" applyFont="1" applyAlignment="1">
      <alignment horizontal="right" vertical="center"/>
    </xf>
    <xf numFmtId="0" fontId="177" fillId="0" borderId="0" xfId="2" applyFont="1" applyAlignment="1">
      <alignment horizontal="center" vertical="center"/>
    </xf>
    <xf numFmtId="0" fontId="176" fillId="0" borderId="45" xfId="2" applyFont="1" applyBorder="1" applyAlignment="1">
      <alignment horizontal="center" vertical="center"/>
    </xf>
    <xf numFmtId="250" fontId="176" fillId="0" borderId="11" xfId="2" applyNumberFormat="1" applyFont="1" applyBorder="1" applyAlignment="1">
      <alignment horizontal="center" vertical="center"/>
    </xf>
    <xf numFmtId="189" fontId="176" fillId="0" borderId="30" xfId="2" applyNumberFormat="1" applyFont="1" applyBorder="1" applyAlignment="1">
      <alignment horizontal="center" vertical="center"/>
    </xf>
    <xf numFmtId="189" fontId="176" fillId="0" borderId="1" xfId="2" applyNumberFormat="1" applyFont="1" applyBorder="1" applyAlignment="1">
      <alignment horizontal="center" vertical="center"/>
    </xf>
    <xf numFmtId="10" fontId="176" fillId="0" borderId="1" xfId="2" applyNumberFormat="1" applyFont="1" applyBorder="1" applyAlignment="1">
      <alignment horizontal="center" vertical="center"/>
    </xf>
    <xf numFmtId="251" fontId="176" fillId="0" borderId="1" xfId="2" applyNumberFormat="1" applyFont="1" applyBorder="1" applyAlignment="1">
      <alignment horizontal="center" vertical="center"/>
    </xf>
    <xf numFmtId="10" fontId="176" fillId="0" borderId="31" xfId="2" applyNumberFormat="1" applyFont="1" applyBorder="1" applyAlignment="1">
      <alignment horizontal="center" vertical="center"/>
    </xf>
    <xf numFmtId="189" fontId="177" fillId="0" borderId="0" xfId="2" applyNumberFormat="1" applyFont="1" applyAlignment="1">
      <alignment horizontal="center" vertical="center"/>
    </xf>
    <xf numFmtId="10" fontId="178" fillId="0" borderId="1" xfId="2" applyNumberFormat="1" applyFont="1" applyBorder="1" applyAlignment="1">
      <alignment horizontal="center" vertical="center"/>
    </xf>
    <xf numFmtId="10" fontId="176" fillId="0" borderId="44" xfId="2" applyNumberFormat="1" applyFont="1" applyBorder="1" applyAlignment="1">
      <alignment horizontal="center" vertical="center"/>
    </xf>
    <xf numFmtId="10" fontId="176" fillId="0" borderId="45" xfId="2" applyNumberFormat="1" applyFont="1" applyBorder="1" applyAlignment="1">
      <alignment horizontal="center" vertical="center"/>
    </xf>
    <xf numFmtId="0" fontId="67" fillId="0" borderId="0" xfId="2" applyFont="1" applyAlignment="1">
      <alignment horizontal="center" vertical="center"/>
    </xf>
    <xf numFmtId="0" fontId="67" fillId="0" borderId="0" xfId="2" applyFont="1">
      <alignment vertical="center"/>
    </xf>
    <xf numFmtId="189" fontId="175" fillId="0" borderId="0" xfId="2" applyNumberFormat="1" applyFont="1" applyAlignment="1">
      <alignment horizontal="center" vertical="center"/>
    </xf>
    <xf numFmtId="10" fontId="175" fillId="0" borderId="0" xfId="2" applyNumberFormat="1" applyFont="1" applyAlignment="1">
      <alignment horizontal="center" vertical="center"/>
    </xf>
    <xf numFmtId="0" fontId="63" fillId="0" borderId="0" xfId="2" applyFont="1">
      <alignment vertical="center"/>
    </xf>
    <xf numFmtId="250" fontId="176" fillId="0" borderId="35" xfId="2" applyNumberFormat="1" applyFont="1" applyFill="1" applyBorder="1" applyAlignment="1">
      <alignment horizontal="center" vertical="center"/>
    </xf>
    <xf numFmtId="250" fontId="176" fillId="0" borderId="36" xfId="2" applyNumberFormat="1" applyFont="1" applyFill="1" applyBorder="1" applyAlignment="1">
      <alignment horizontal="center" vertical="center"/>
    </xf>
    <xf numFmtId="250" fontId="177" fillId="0" borderId="55" xfId="2" applyNumberFormat="1" applyFont="1" applyFill="1" applyBorder="1" applyAlignment="1">
      <alignment horizontal="center" vertical="center"/>
    </xf>
    <xf numFmtId="0" fontId="177" fillId="0" borderId="0" xfId="2" applyFont="1" applyFill="1" applyAlignment="1">
      <alignment horizontal="center" vertical="center"/>
    </xf>
    <xf numFmtId="244" fontId="178" fillId="3" borderId="32" xfId="2" applyNumberFormat="1" applyFont="1" applyFill="1" applyBorder="1" applyAlignment="1">
      <alignment horizontal="center" vertical="center"/>
    </xf>
    <xf numFmtId="189" fontId="177" fillId="0" borderId="0" xfId="2" applyNumberFormat="1" applyFont="1" applyFill="1" applyAlignment="1">
      <alignment horizontal="center" vertical="center"/>
    </xf>
    <xf numFmtId="244" fontId="178" fillId="2" borderId="30" xfId="2" applyNumberFormat="1" applyFont="1" applyFill="1" applyBorder="1" applyAlignment="1">
      <alignment horizontal="center" vertical="center"/>
    </xf>
    <xf numFmtId="244" fontId="178" fillId="2" borderId="1" xfId="2" applyNumberFormat="1" applyFont="1" applyFill="1" applyBorder="1" applyAlignment="1">
      <alignment horizontal="center" vertical="center"/>
    </xf>
    <xf numFmtId="244" fontId="178" fillId="2" borderId="31" xfId="2" applyNumberFormat="1" applyFont="1" applyFill="1" applyBorder="1" applyAlignment="1">
      <alignment horizontal="center" vertical="center"/>
    </xf>
    <xf numFmtId="189" fontId="179" fillId="9" borderId="0" xfId="2" applyNumberFormat="1" applyFont="1" applyFill="1" applyAlignment="1">
      <alignment horizontal="center" vertical="center"/>
    </xf>
    <xf numFmtId="0" fontId="176" fillId="0" borderId="31" xfId="2" applyFont="1" applyFill="1" applyBorder="1" applyAlignment="1">
      <alignment horizontal="center" vertical="center"/>
    </xf>
    <xf numFmtId="244" fontId="178" fillId="0" borderId="30" xfId="2" applyNumberFormat="1" applyFont="1" applyFill="1" applyBorder="1" applyAlignment="1">
      <alignment horizontal="center" vertical="center"/>
    </xf>
    <xf numFmtId="244" fontId="178" fillId="0" borderId="1" xfId="2" applyNumberFormat="1" applyFont="1" applyFill="1" applyBorder="1" applyAlignment="1">
      <alignment horizontal="center" vertical="center"/>
    </xf>
    <xf numFmtId="244" fontId="178" fillId="0" borderId="31" xfId="2" applyNumberFormat="1" applyFont="1" applyFill="1" applyBorder="1" applyAlignment="1">
      <alignment horizontal="center" vertical="center"/>
    </xf>
    <xf numFmtId="244" fontId="180" fillId="0" borderId="1" xfId="2" applyNumberFormat="1" applyFont="1" applyFill="1" applyBorder="1" applyAlignment="1">
      <alignment horizontal="center" vertical="center"/>
    </xf>
    <xf numFmtId="0" fontId="177" fillId="0" borderId="0" xfId="2" applyFont="1" applyAlignment="1">
      <alignment horizontal="left" vertical="center"/>
    </xf>
    <xf numFmtId="10" fontId="177" fillId="0" borderId="0" xfId="2" applyNumberFormat="1" applyFont="1" applyAlignment="1">
      <alignment horizontal="center" vertical="center"/>
    </xf>
    <xf numFmtId="244" fontId="178" fillId="3" borderId="38" xfId="2" applyNumberFormat="1" applyFont="1" applyFill="1" applyBorder="1" applyAlignment="1">
      <alignment horizontal="center" vertical="center"/>
    </xf>
    <xf numFmtId="189" fontId="179" fillId="0" borderId="0" xfId="2" applyNumberFormat="1" applyFont="1" applyFill="1" applyAlignment="1">
      <alignment horizontal="center" vertical="center"/>
    </xf>
    <xf numFmtId="0" fontId="67" fillId="0" borderId="0" xfId="2" applyFont="1" applyFill="1">
      <alignment vertical="center"/>
    </xf>
    <xf numFmtId="0" fontId="176" fillId="0" borderId="45" xfId="2" applyFont="1" applyFill="1" applyBorder="1" applyAlignment="1">
      <alignment horizontal="center" vertical="center"/>
    </xf>
    <xf numFmtId="244" fontId="178" fillId="0" borderId="65" xfId="2" applyNumberFormat="1" applyFont="1" applyFill="1" applyBorder="1" applyAlignment="1">
      <alignment horizontal="center" vertical="center"/>
    </xf>
    <xf numFmtId="244" fontId="178" fillId="0" borderId="44" xfId="2" applyNumberFormat="1" applyFont="1" applyFill="1" applyBorder="1" applyAlignment="1">
      <alignment horizontal="center" vertical="center"/>
    </xf>
    <xf numFmtId="244" fontId="178" fillId="0" borderId="45" xfId="2" applyNumberFormat="1" applyFont="1" applyFill="1" applyBorder="1" applyAlignment="1">
      <alignment horizontal="center" vertical="center"/>
    </xf>
    <xf numFmtId="0" fontId="181" fillId="0" borderId="0" xfId="4" applyFont="1" applyFill="1">
      <alignment vertical="center"/>
    </xf>
    <xf numFmtId="176" fontId="166" fillId="0" borderId="0" xfId="6" applyNumberFormat="1" applyFont="1" applyFill="1" applyAlignment="1">
      <alignment horizontal="centerContinuous" vertical="center"/>
    </xf>
    <xf numFmtId="0" fontId="36" fillId="0" borderId="0" xfId="6" applyFont="1" applyFill="1" applyAlignment="1">
      <alignment horizontal="center" vertical="center"/>
    </xf>
    <xf numFmtId="0" fontId="35" fillId="0" borderId="0" xfId="6" applyFont="1" applyFill="1" applyAlignment="1">
      <alignment horizontal="centerContinuous" vertical="center"/>
    </xf>
    <xf numFmtId="41" fontId="1" fillId="0" borderId="0" xfId="7" applyFont="1" applyFill="1" applyAlignment="1">
      <alignment horizontal="right" vertical="center"/>
    </xf>
    <xf numFmtId="0" fontId="1" fillId="0" borderId="0" xfId="5" applyFont="1" applyFill="1" applyAlignment="1">
      <alignment vertical="center"/>
    </xf>
    <xf numFmtId="0" fontId="6" fillId="0" borderId="0" xfId="5" applyFont="1" applyFill="1" applyAlignment="1">
      <alignment horizontal="left" vertical="center"/>
    </xf>
    <xf numFmtId="43" fontId="166" fillId="0" borderId="0" xfId="6" applyNumberFormat="1" applyFont="1" applyFill="1" applyAlignment="1">
      <alignment horizontal="center" vertical="center"/>
    </xf>
    <xf numFmtId="0" fontId="35" fillId="0" borderId="0" xfId="6" applyFont="1" applyFill="1" applyAlignment="1">
      <alignment horizontal="center" vertical="center"/>
    </xf>
    <xf numFmtId="176" fontId="166" fillId="0" borderId="0" xfId="6" applyNumberFormat="1" applyFont="1" applyFill="1" applyAlignment="1">
      <alignment horizontal="right" vertical="center"/>
    </xf>
    <xf numFmtId="41" fontId="166" fillId="0" borderId="0" xfId="7" applyFont="1" applyFill="1" applyAlignment="1">
      <alignment horizontal="right" vertical="center"/>
    </xf>
    <xf numFmtId="177" fontId="166" fillId="0" borderId="0" xfId="6" applyNumberFormat="1" applyFont="1" applyFill="1" applyAlignment="1">
      <alignment horizontal="right" vertical="center"/>
    </xf>
    <xf numFmtId="178" fontId="36" fillId="0" borderId="0" xfId="7" applyNumberFormat="1" applyFont="1" applyFill="1" applyAlignment="1">
      <alignment horizontal="center" vertical="center"/>
    </xf>
    <xf numFmtId="41" fontId="36" fillId="0" borderId="0" xfId="7" applyFont="1" applyFill="1" applyAlignment="1">
      <alignment horizontal="right" vertical="center"/>
    </xf>
    <xf numFmtId="0" fontId="167" fillId="11" borderId="26" xfId="6" applyFont="1" applyFill="1" applyBorder="1" applyAlignment="1">
      <alignment horizontal="center" vertical="center" wrapText="1"/>
    </xf>
    <xf numFmtId="41" fontId="168" fillId="0" borderId="1" xfId="7" applyFont="1" applyFill="1" applyBorder="1" applyAlignment="1">
      <alignment horizontal="center" vertical="center" wrapText="1"/>
    </xf>
    <xf numFmtId="179" fontId="168" fillId="0" borderId="1" xfId="7" applyNumberFormat="1" applyFont="1" applyFill="1" applyBorder="1" applyAlignment="1">
      <alignment horizontal="center" vertical="center"/>
    </xf>
    <xf numFmtId="41" fontId="168" fillId="0" borderId="3" xfId="7" applyFont="1" applyFill="1" applyBorder="1" applyAlignment="1">
      <alignment horizontal="center" vertical="center"/>
    </xf>
    <xf numFmtId="0" fontId="168" fillId="0" borderId="31" xfId="6" applyFont="1" applyFill="1" applyBorder="1" applyAlignment="1">
      <alignment horizontal="center" vertical="center" wrapText="1"/>
    </xf>
    <xf numFmtId="0" fontId="168" fillId="0" borderId="0" xfId="6" applyFont="1" applyFill="1" applyBorder="1" applyAlignment="1">
      <alignment horizontal="center" vertical="center" wrapText="1"/>
    </xf>
    <xf numFmtId="41" fontId="168" fillId="0" borderId="47" xfId="7" applyFont="1" applyFill="1" applyBorder="1" applyAlignment="1">
      <alignment horizontal="center" vertical="center" wrapText="1"/>
    </xf>
    <xf numFmtId="179" fontId="168" fillId="0" borderId="37" xfId="7" applyNumberFormat="1" applyFont="1" applyFill="1" applyBorder="1" applyAlignment="1">
      <alignment horizontal="center" vertical="center"/>
    </xf>
    <xf numFmtId="41" fontId="168" fillId="0" borderId="52" xfId="7" applyFont="1" applyFill="1" applyBorder="1" applyAlignment="1">
      <alignment horizontal="center" vertical="center"/>
    </xf>
    <xf numFmtId="0" fontId="168" fillId="0" borderId="48" xfId="6" applyFont="1" applyFill="1" applyBorder="1" applyAlignment="1">
      <alignment horizontal="center" vertical="center" wrapText="1"/>
    </xf>
    <xf numFmtId="180" fontId="36" fillId="0" borderId="0" xfId="7" applyNumberFormat="1" applyFont="1" applyFill="1" applyAlignment="1">
      <alignment horizontal="right" vertical="center"/>
    </xf>
    <xf numFmtId="181" fontId="168" fillId="0" borderId="35" xfId="6" applyNumberFormat="1" applyFont="1" applyFill="1" applyBorder="1" applyAlignment="1">
      <alignment horizontal="center" vertical="center"/>
    </xf>
    <xf numFmtId="41" fontId="168" fillId="0" borderId="35" xfId="7" applyFont="1" applyFill="1" applyBorder="1" applyAlignment="1">
      <alignment horizontal="center" vertical="center"/>
    </xf>
    <xf numFmtId="0" fontId="1" fillId="0" borderId="36" xfId="6" applyFont="1" applyFill="1" applyBorder="1" applyAlignment="1">
      <alignment horizontal="center" vertical="center"/>
    </xf>
    <xf numFmtId="0" fontId="1" fillId="0" borderId="0" xfId="6" applyFont="1" applyFill="1" applyBorder="1" applyAlignment="1">
      <alignment horizontal="center" vertical="center"/>
    </xf>
    <xf numFmtId="41" fontId="168" fillId="0" borderId="0" xfId="7" applyNumberFormat="1" applyFont="1" applyFill="1" applyBorder="1" applyAlignment="1">
      <alignment horizontal="center" vertical="center"/>
    </xf>
    <xf numFmtId="41" fontId="1" fillId="0" borderId="0" xfId="6" applyNumberFormat="1" applyFont="1" applyFill="1" applyAlignment="1">
      <alignment horizontal="center" vertical="center"/>
    </xf>
    <xf numFmtId="41" fontId="36" fillId="0" borderId="0" xfId="7" applyFont="1" applyFill="1" applyAlignment="1">
      <alignment horizontal="center" vertical="center"/>
    </xf>
    <xf numFmtId="0" fontId="167" fillId="11" borderId="0" xfId="5" applyFont="1" applyFill="1" applyBorder="1" applyAlignment="1">
      <alignment horizontal="center" vertical="center"/>
    </xf>
    <xf numFmtId="176" fontId="36" fillId="0" borderId="0" xfId="6" applyNumberFormat="1" applyFont="1" applyFill="1" applyAlignment="1">
      <alignment horizontal="center" vertical="center"/>
    </xf>
    <xf numFmtId="41" fontId="1" fillId="0" borderId="0" xfId="7" applyFont="1" applyFill="1" applyAlignment="1">
      <alignment vertical="center"/>
    </xf>
    <xf numFmtId="0" fontId="167" fillId="11" borderId="44" xfId="6" applyFont="1" applyFill="1" applyBorder="1" applyAlignment="1">
      <alignment horizontal="center" vertical="center" wrapText="1"/>
    </xf>
    <xf numFmtId="176" fontId="36" fillId="0" borderId="150" xfId="6" applyNumberFormat="1" applyFont="1" applyFill="1" applyBorder="1" applyAlignment="1">
      <alignment horizontal="center" vertical="center"/>
    </xf>
    <xf numFmtId="176" fontId="36" fillId="0" borderId="151" xfId="6" applyNumberFormat="1" applyFont="1" applyFill="1" applyBorder="1" applyAlignment="1">
      <alignment horizontal="center" vertical="center"/>
    </xf>
    <xf numFmtId="41" fontId="168" fillId="0" borderId="1" xfId="7" applyFont="1" applyFill="1" applyBorder="1" applyAlignment="1">
      <alignment horizontal="centerContinuous" vertical="center" wrapText="1"/>
    </xf>
    <xf numFmtId="0" fontId="168" fillId="0" borderId="47" xfId="5" applyFont="1" applyFill="1" applyBorder="1" applyAlignment="1">
      <alignment vertical="center"/>
    </xf>
    <xf numFmtId="179" fontId="168" fillId="0" borderId="47" xfId="7" applyNumberFormat="1" applyFont="1" applyFill="1" applyBorder="1" applyAlignment="1">
      <alignment horizontal="center" vertical="center"/>
    </xf>
    <xf numFmtId="41" fontId="168" fillId="0" borderId="47" xfId="7" applyFont="1" applyFill="1" applyBorder="1" applyAlignment="1">
      <alignment vertical="center"/>
    </xf>
    <xf numFmtId="41" fontId="168" fillId="0" borderId="47" xfId="7" applyFont="1" applyFill="1" applyBorder="1" applyAlignment="1">
      <alignment horizontal="right" vertical="center"/>
    </xf>
    <xf numFmtId="0" fontId="168" fillId="0" borderId="48" xfId="5" applyFont="1" applyFill="1" applyBorder="1" applyAlignment="1">
      <alignment horizontal="center" vertical="center" wrapText="1"/>
    </xf>
    <xf numFmtId="0" fontId="168" fillId="0" borderId="111" xfId="5" applyFont="1" applyFill="1" applyBorder="1" applyAlignment="1">
      <alignment horizontal="center" vertical="center" wrapText="1"/>
    </xf>
    <xf numFmtId="246" fontId="36" fillId="0" borderId="152" xfId="7" applyNumberFormat="1" applyFont="1" applyFill="1" applyBorder="1" applyAlignment="1">
      <alignment horizontal="center" vertical="center"/>
    </xf>
    <xf numFmtId="178" fontId="36" fillId="0" borderId="153" xfId="7" applyNumberFormat="1" applyFont="1" applyFill="1" applyBorder="1" applyAlignment="1">
      <alignment horizontal="center" vertical="center"/>
    </xf>
    <xf numFmtId="178" fontId="1" fillId="0" borderId="0" xfId="7" applyNumberFormat="1" applyFont="1" applyFill="1" applyAlignment="1">
      <alignment horizontal="right" vertical="center"/>
    </xf>
    <xf numFmtId="0" fontId="168" fillId="0" borderId="1" xfId="5" applyFont="1" applyFill="1" applyBorder="1" applyAlignment="1">
      <alignment vertical="center"/>
    </xf>
    <xf numFmtId="0" fontId="168" fillId="0" borderId="31" xfId="5" applyFont="1" applyFill="1" applyBorder="1" applyAlignment="1">
      <alignment horizontal="center" vertical="center" wrapText="1"/>
    </xf>
    <xf numFmtId="0" fontId="168" fillId="0" borderId="110" xfId="5" applyFont="1" applyFill="1" applyBorder="1" applyAlignment="1">
      <alignment horizontal="center" vertical="center" wrapText="1"/>
    </xf>
    <xf numFmtId="0" fontId="168" fillId="0" borderId="1" xfId="5" applyFont="1" applyFill="1" applyBorder="1" applyAlignment="1">
      <alignment horizontal="center" vertical="center"/>
    </xf>
    <xf numFmtId="0" fontId="168" fillId="0" borderId="0" xfId="5" applyFont="1" applyFill="1" applyBorder="1" applyAlignment="1">
      <alignment horizontal="center" vertical="center" wrapText="1"/>
    </xf>
    <xf numFmtId="179" fontId="168" fillId="0" borderId="32" xfId="7" applyNumberFormat="1" applyFont="1" applyFill="1" applyBorder="1" applyAlignment="1">
      <alignment horizontal="center" vertical="center"/>
    </xf>
    <xf numFmtId="246" fontId="36" fillId="0" borderId="154" xfId="7" applyNumberFormat="1" applyFont="1" applyFill="1" applyBorder="1" applyAlignment="1">
      <alignment horizontal="center" vertical="center"/>
    </xf>
    <xf numFmtId="178" fontId="36" fillId="0" borderId="155" xfId="7" applyNumberFormat="1" applyFont="1" applyFill="1" applyBorder="1" applyAlignment="1">
      <alignment horizontal="center" vertical="center"/>
    </xf>
    <xf numFmtId="178" fontId="36" fillId="0" borderId="0" xfId="7" applyNumberFormat="1" applyFont="1" applyFill="1" applyBorder="1" applyAlignment="1">
      <alignment horizontal="center" vertical="center"/>
    </xf>
    <xf numFmtId="246" fontId="36" fillId="0" borderId="0" xfId="7" applyNumberFormat="1" applyFont="1" applyFill="1" applyAlignment="1">
      <alignment horizontal="center" vertical="center"/>
    </xf>
    <xf numFmtId="41" fontId="168" fillId="0" borderId="44" xfId="7" applyFont="1" applyFill="1" applyBorder="1" applyAlignment="1">
      <alignment horizontal="centerContinuous" vertical="center" wrapText="1"/>
    </xf>
    <xf numFmtId="0" fontId="168" fillId="0" borderId="44" xfId="5" applyFont="1" applyFill="1" applyBorder="1" applyAlignment="1">
      <alignment horizontal="center" vertical="center"/>
    </xf>
    <xf numFmtId="179" fontId="168" fillId="0" borderId="44" xfId="7" applyNumberFormat="1" applyFont="1" applyFill="1" applyBorder="1" applyAlignment="1">
      <alignment horizontal="center" vertical="center"/>
    </xf>
    <xf numFmtId="41" fontId="168" fillId="0" borderId="44" xfId="7" applyFont="1" applyFill="1" applyBorder="1" applyAlignment="1">
      <alignment horizontal="center" vertical="center"/>
    </xf>
    <xf numFmtId="41" fontId="168" fillId="0" borderId="44" xfId="7" applyFont="1" applyFill="1" applyBorder="1" applyAlignment="1">
      <alignment vertical="center"/>
    </xf>
    <xf numFmtId="0" fontId="168" fillId="0" borderId="45" xfId="5" applyFont="1" applyFill="1" applyBorder="1" applyAlignment="1">
      <alignment horizontal="center" vertical="center" wrapText="1"/>
    </xf>
    <xf numFmtId="41" fontId="36" fillId="0" borderId="35" xfId="7" applyFont="1" applyFill="1" applyBorder="1" applyAlignment="1">
      <alignment horizontal="center" vertical="center"/>
    </xf>
    <xf numFmtId="0" fontId="17" fillId="0" borderId="35" xfId="5" applyFont="1" applyFill="1" applyBorder="1" applyAlignment="1">
      <alignment horizontal="center" vertical="center"/>
    </xf>
    <xf numFmtId="182" fontId="168" fillId="0" borderId="36" xfId="5" applyNumberFormat="1" applyFont="1" applyFill="1" applyBorder="1" applyAlignment="1">
      <alignment horizontal="center" vertical="center"/>
    </xf>
    <xf numFmtId="182" fontId="168" fillId="0" borderId="0" xfId="5" applyNumberFormat="1" applyFont="1" applyFill="1" applyBorder="1" applyAlignment="1">
      <alignment horizontal="center" vertical="center"/>
    </xf>
    <xf numFmtId="181" fontId="168" fillId="0" borderId="0" xfId="6" applyNumberFormat="1" applyFont="1" applyFill="1" applyBorder="1" applyAlignment="1">
      <alignment horizontal="center" vertical="center"/>
    </xf>
    <xf numFmtId="41" fontId="36" fillId="0" borderId="0" xfId="7" applyFont="1" applyFill="1" applyBorder="1" applyAlignment="1">
      <alignment horizontal="center" vertical="center"/>
    </xf>
    <xf numFmtId="0" fontId="17" fillId="0" borderId="0" xfId="5" applyFont="1" applyFill="1" applyBorder="1" applyAlignment="1">
      <alignment horizontal="center" vertical="center"/>
    </xf>
    <xf numFmtId="176" fontId="36" fillId="0" borderId="0" xfId="6" applyNumberFormat="1" applyFont="1" applyFill="1" applyBorder="1" applyAlignment="1">
      <alignment horizontal="center" vertical="center"/>
    </xf>
    <xf numFmtId="0" fontId="167" fillId="11" borderId="164" xfId="6" applyFont="1" applyFill="1" applyBorder="1" applyAlignment="1">
      <alignment horizontal="center" vertical="center" wrapText="1"/>
    </xf>
    <xf numFmtId="41" fontId="183" fillId="0" borderId="4" xfId="10" applyNumberFormat="1" applyFont="1" applyFill="1" applyBorder="1" applyAlignment="1">
      <alignment horizontal="center" vertical="center"/>
    </xf>
    <xf numFmtId="41" fontId="36" fillId="0" borderId="4" xfId="3" applyFont="1" applyFill="1" applyBorder="1" applyAlignment="1">
      <alignment horizontal="center" vertical="center"/>
    </xf>
    <xf numFmtId="0" fontId="36" fillId="0" borderId="162" xfId="5" applyFont="1" applyFill="1" applyBorder="1" applyAlignment="1">
      <alignment horizontal="center" vertical="center" wrapText="1"/>
    </xf>
    <xf numFmtId="41" fontId="36" fillId="0" borderId="162" xfId="7" applyFont="1" applyFill="1" applyBorder="1" applyAlignment="1">
      <alignment vertical="center" wrapText="1"/>
    </xf>
    <xf numFmtId="0" fontId="17" fillId="0" borderId="162" xfId="5" applyFont="1" applyFill="1" applyBorder="1" applyAlignment="1">
      <alignment horizontal="center" vertical="center"/>
    </xf>
    <xf numFmtId="179" fontId="168" fillId="0" borderId="162" xfId="7" applyNumberFormat="1" applyFont="1" applyFill="1" applyBorder="1" applyAlignment="1">
      <alignment horizontal="center" vertical="center"/>
    </xf>
    <xf numFmtId="41" fontId="36" fillId="0" borderId="162" xfId="7" applyFont="1" applyFill="1" applyBorder="1" applyAlignment="1">
      <alignment horizontal="center" vertical="center"/>
    </xf>
    <xf numFmtId="0" fontId="17" fillId="0" borderId="151" xfId="5" applyFont="1" applyFill="1" applyBorder="1" applyAlignment="1">
      <alignment horizontal="center" vertical="center" wrapText="1"/>
    </xf>
    <xf numFmtId="0" fontId="17" fillId="0" borderId="0" xfId="5" applyFont="1" applyFill="1" applyBorder="1" applyAlignment="1">
      <alignment horizontal="center" vertical="center" wrapText="1"/>
    </xf>
    <xf numFmtId="0" fontId="36" fillId="0" borderId="165" xfId="5" applyFont="1" applyFill="1" applyBorder="1" applyAlignment="1">
      <alignment horizontal="center" vertical="center" wrapText="1"/>
    </xf>
    <xf numFmtId="41" fontId="36" fillId="0" borderId="165" xfId="7" applyFont="1" applyFill="1" applyBorder="1" applyAlignment="1">
      <alignment vertical="center" wrapText="1"/>
    </xf>
    <xf numFmtId="0" fontId="17" fillId="0" borderId="165" xfId="5" applyFont="1" applyFill="1" applyBorder="1" applyAlignment="1">
      <alignment horizontal="center" vertical="center"/>
    </xf>
    <xf numFmtId="179" fontId="168" fillId="0" borderId="165" xfId="7" applyNumberFormat="1" applyFont="1" applyFill="1" applyBorder="1" applyAlignment="1">
      <alignment horizontal="center" vertical="center"/>
    </xf>
    <xf numFmtId="41" fontId="36" fillId="0" borderId="165" xfId="7" applyFont="1" applyFill="1" applyBorder="1" applyAlignment="1">
      <alignment horizontal="center" vertical="center"/>
    </xf>
    <xf numFmtId="0" fontId="17" fillId="0" borderId="153" xfId="5" applyFont="1" applyFill="1" applyBorder="1" applyAlignment="1">
      <alignment horizontal="center" vertical="center" wrapText="1"/>
    </xf>
    <xf numFmtId="0" fontId="36" fillId="0" borderId="0" xfId="9" applyFont="1" applyFill="1" applyBorder="1" applyAlignment="1">
      <alignment horizontal="center" vertical="center" wrapText="1"/>
    </xf>
    <xf numFmtId="0" fontId="167" fillId="0" borderId="0" xfId="6" applyFont="1" applyFill="1" applyBorder="1" applyAlignment="1">
      <alignment horizontal="center" vertical="center"/>
    </xf>
    <xf numFmtId="0" fontId="36" fillId="0" borderId="0" xfId="6" applyFont="1" applyFill="1" applyAlignment="1">
      <alignment horizontal="left" vertical="center"/>
    </xf>
    <xf numFmtId="0" fontId="168" fillId="0" borderId="153" xfId="6" applyFont="1" applyFill="1" applyBorder="1" applyAlignment="1">
      <alignment horizontal="center" vertical="center" wrapText="1"/>
    </xf>
    <xf numFmtId="181" fontId="168" fillId="0" borderId="204" xfId="6" applyNumberFormat="1" applyFont="1" applyFill="1" applyBorder="1" applyAlignment="1">
      <alignment horizontal="center" vertical="center"/>
    </xf>
    <xf numFmtId="41" fontId="36" fillId="0" borderId="204" xfId="7" applyFont="1" applyFill="1" applyBorder="1" applyAlignment="1">
      <alignment vertical="center"/>
    </xf>
    <xf numFmtId="0" fontId="17" fillId="0" borderId="204" xfId="5" applyFont="1" applyFill="1" applyBorder="1" applyAlignment="1">
      <alignment horizontal="center" vertical="center"/>
    </xf>
    <xf numFmtId="41" fontId="36" fillId="0" borderId="204" xfId="7" applyFont="1" applyFill="1" applyBorder="1" applyAlignment="1">
      <alignment horizontal="center" vertical="center"/>
    </xf>
    <xf numFmtId="182" fontId="4" fillId="0" borderId="205" xfId="5" applyNumberFormat="1" applyFont="1" applyFill="1" applyBorder="1" applyAlignment="1">
      <alignment horizontal="center" vertical="center"/>
    </xf>
    <xf numFmtId="182" fontId="4" fillId="0" borderId="0" xfId="5" applyNumberFormat="1" applyFont="1" applyFill="1" applyBorder="1" applyAlignment="1">
      <alignment horizontal="center" vertical="center"/>
    </xf>
    <xf numFmtId="0" fontId="170" fillId="0" borderId="0" xfId="9" applyFont="1" applyBorder="1" applyAlignment="1">
      <alignment horizontal="center" vertical="center" wrapText="1"/>
    </xf>
    <xf numFmtId="41" fontId="168" fillId="0" borderId="40" xfId="7" applyFont="1" applyFill="1" applyBorder="1" applyAlignment="1">
      <alignment horizontal="center" vertical="center" wrapText="1"/>
    </xf>
    <xf numFmtId="179" fontId="168" fillId="0" borderId="40" xfId="7" applyNumberFormat="1" applyFont="1" applyFill="1" applyBorder="1" applyAlignment="1">
      <alignment horizontal="center" vertical="center"/>
    </xf>
    <xf numFmtId="0" fontId="168" fillId="0" borderId="41" xfId="6" applyFont="1" applyFill="1" applyBorder="1" applyAlignment="1">
      <alignment horizontal="center" vertical="center" wrapText="1"/>
    </xf>
    <xf numFmtId="0" fontId="170" fillId="0" borderId="0" xfId="9" applyFont="1" applyBorder="1" applyAlignment="1">
      <alignment horizontal="center" vertical="center"/>
    </xf>
    <xf numFmtId="0" fontId="1" fillId="0" borderId="4" xfId="5" applyFont="1" applyFill="1" applyBorder="1" applyAlignment="1">
      <alignment horizontal="center" vertical="center"/>
    </xf>
    <xf numFmtId="0" fontId="36" fillId="0" borderId="4" xfId="6" applyFont="1" applyFill="1" applyBorder="1" applyAlignment="1">
      <alignment horizontal="center" vertical="center"/>
    </xf>
    <xf numFmtId="41" fontId="168" fillId="0" borderId="36" xfId="7" applyFont="1" applyFill="1" applyBorder="1" applyAlignment="1">
      <alignment horizontal="center" vertical="center"/>
    </xf>
    <xf numFmtId="0" fontId="1" fillId="0" borderId="4" xfId="10" applyFont="1" applyFill="1" applyBorder="1" applyAlignment="1">
      <alignment horizontal="center" vertical="center" wrapText="1"/>
    </xf>
    <xf numFmtId="0" fontId="1" fillId="0" borderId="4" xfId="5" applyFont="1" applyFill="1" applyBorder="1" applyAlignment="1">
      <alignment vertical="center"/>
    </xf>
    <xf numFmtId="41" fontId="12" fillId="0" borderId="4" xfId="0" applyNumberFormat="1" applyFont="1" applyFill="1" applyBorder="1" applyAlignment="1">
      <alignment horizontal="center" vertical="center"/>
    </xf>
    <xf numFmtId="41" fontId="7" fillId="0" borderId="4" xfId="2" applyNumberFormat="1" applyFont="1" applyFill="1" applyBorder="1" applyAlignment="1">
      <alignment horizontal="center" vertical="center"/>
    </xf>
    <xf numFmtId="41" fontId="12" fillId="0" borderId="165" xfId="0" applyNumberFormat="1" applyFont="1" applyFill="1" applyBorder="1" applyAlignment="1">
      <alignment horizontal="center" vertical="center"/>
    </xf>
    <xf numFmtId="41" fontId="12" fillId="0" borderId="163" xfId="0" applyNumberFormat="1" applyFont="1" applyFill="1" applyBorder="1" applyAlignment="1">
      <alignment horizontal="center" vertical="center"/>
    </xf>
    <xf numFmtId="41" fontId="12" fillId="0" borderId="164" xfId="0" applyNumberFormat="1" applyFont="1" applyFill="1" applyBorder="1" applyAlignment="1">
      <alignment horizontal="center" vertical="center"/>
    </xf>
    <xf numFmtId="41" fontId="12" fillId="0" borderId="202" xfId="0" applyNumberFormat="1" applyFont="1" applyFill="1" applyBorder="1" applyAlignment="1">
      <alignment horizontal="center" vertical="center"/>
    </xf>
    <xf numFmtId="0" fontId="29" fillId="0" borderId="165" xfId="6" applyFont="1" applyFill="1" applyBorder="1" applyAlignment="1">
      <alignment horizontal="center" vertical="center" wrapText="1"/>
    </xf>
    <xf numFmtId="0" fontId="29" fillId="0" borderId="152" xfId="6" applyFont="1" applyFill="1" applyBorder="1" applyAlignment="1">
      <alignment horizontal="center" vertical="center"/>
    </xf>
    <xf numFmtId="41" fontId="9" fillId="0" borderId="4" xfId="12" applyNumberFormat="1" applyFont="1" applyBorder="1">
      <alignment vertical="center"/>
    </xf>
    <xf numFmtId="0" fontId="9" fillId="0" borderId="0" xfId="0" applyFont="1" applyBorder="1" applyAlignment="1">
      <alignment horizontal="center" vertical="center"/>
    </xf>
    <xf numFmtId="1" fontId="9" fillId="0" borderId="0" xfId="0" applyNumberFormat="1" applyFont="1" applyBorder="1">
      <alignment vertical="center"/>
    </xf>
    <xf numFmtId="0" fontId="9" fillId="0" borderId="0" xfId="0" applyFont="1" applyBorder="1">
      <alignment vertical="center"/>
    </xf>
    <xf numFmtId="9" fontId="9" fillId="0" borderId="0" xfId="0" applyNumberFormat="1" applyFont="1" applyBorder="1">
      <alignment vertical="center"/>
    </xf>
    <xf numFmtId="9" fontId="9" fillId="0" borderId="0" xfId="12" applyFont="1" applyBorder="1">
      <alignment vertical="center"/>
    </xf>
    <xf numFmtId="1" fontId="9" fillId="0" borderId="7" xfId="0" applyNumberFormat="1" applyFont="1" applyBorder="1">
      <alignment vertical="center"/>
    </xf>
    <xf numFmtId="1" fontId="9" fillId="0" borderId="4" xfId="0" applyNumberFormat="1" applyFont="1" applyBorder="1">
      <alignment vertical="center"/>
    </xf>
    <xf numFmtId="0" fontId="26" fillId="0" borderId="88" xfId="6" applyFont="1" applyFill="1" applyBorder="1" applyAlignment="1">
      <alignment horizontal="center" vertical="center"/>
    </xf>
    <xf numFmtId="0" fontId="26" fillId="0" borderId="86" xfId="6" applyFont="1" applyFill="1" applyBorder="1" applyAlignment="1">
      <alignment horizontal="center" vertical="center"/>
    </xf>
    <xf numFmtId="0" fontId="29" fillId="0" borderId="165" xfId="6" applyFont="1" applyFill="1" applyBorder="1" applyAlignment="1">
      <alignment horizontal="center" vertical="center" wrapText="1"/>
    </xf>
    <xf numFmtId="0" fontId="29" fillId="0" borderId="152" xfId="6" applyFont="1" applyFill="1" applyBorder="1" applyAlignment="1">
      <alignment horizontal="center" vertical="center"/>
    </xf>
    <xf numFmtId="0" fontId="26" fillId="0" borderId="4" xfId="6" applyFont="1" applyFill="1" applyBorder="1" applyAlignment="1">
      <alignment horizontal="center" vertical="center"/>
    </xf>
    <xf numFmtId="0" fontId="167" fillId="11" borderId="14" xfId="6" applyFont="1" applyFill="1" applyBorder="1" applyAlignment="1">
      <alignment horizontal="center" vertical="center" wrapText="1"/>
    </xf>
    <xf numFmtId="0" fontId="168" fillId="0" borderId="174" xfId="6" applyFont="1" applyFill="1" applyBorder="1" applyAlignment="1">
      <alignment horizontal="center" vertical="center" wrapText="1"/>
    </xf>
    <xf numFmtId="41" fontId="168" fillId="0" borderId="165" xfId="7" applyFont="1" applyFill="1" applyBorder="1" applyAlignment="1">
      <alignment horizontal="center" vertical="center"/>
    </xf>
    <xf numFmtId="185" fontId="26" fillId="0" borderId="0" xfId="6" applyNumberFormat="1" applyFont="1" applyFill="1" applyAlignment="1">
      <alignment horizontal="center" vertical="center"/>
    </xf>
    <xf numFmtId="1" fontId="26" fillId="0" borderId="0" xfId="6" applyNumberFormat="1" applyFont="1" applyFill="1" applyAlignment="1">
      <alignment horizontal="center" vertical="center"/>
    </xf>
    <xf numFmtId="0" fontId="168" fillId="0" borderId="190" xfId="6" applyFont="1" applyFill="1" applyBorder="1" applyAlignment="1">
      <alignment horizontal="center" vertical="center"/>
    </xf>
    <xf numFmtId="9" fontId="168" fillId="10" borderId="252" xfId="8" applyNumberFormat="1" applyFont="1" applyFill="1" applyBorder="1" applyAlignment="1">
      <alignment horizontal="center" vertical="center"/>
    </xf>
    <xf numFmtId="0" fontId="6" fillId="0" borderId="153" xfId="6" applyFont="1" applyBorder="1" applyAlignment="1">
      <alignment vertical="center"/>
    </xf>
    <xf numFmtId="9" fontId="168" fillId="10" borderId="153" xfId="8" applyNumberFormat="1" applyFont="1" applyFill="1" applyBorder="1" applyAlignment="1">
      <alignment horizontal="center" vertical="center"/>
    </xf>
    <xf numFmtId="9" fontId="168" fillId="0" borderId="153" xfId="8" applyNumberFormat="1" applyFont="1" applyFill="1" applyBorder="1" applyAlignment="1">
      <alignment horizontal="center" vertical="center"/>
    </xf>
    <xf numFmtId="9" fontId="168" fillId="52" borderId="153" xfId="8" applyNumberFormat="1" applyFont="1" applyFill="1" applyBorder="1" applyAlignment="1">
      <alignment horizontal="center" vertical="center"/>
    </xf>
    <xf numFmtId="0" fontId="6" fillId="0" borderId="176" xfId="6" applyFont="1" applyBorder="1" applyAlignment="1">
      <alignment vertical="center"/>
    </xf>
    <xf numFmtId="9" fontId="49" fillId="0" borderId="0" xfId="6" applyNumberFormat="1" applyFont="1" applyFill="1" applyAlignment="1">
      <alignment horizontal="center" vertical="center"/>
    </xf>
    <xf numFmtId="41" fontId="7" fillId="0" borderId="165" xfId="2" applyNumberFormat="1" applyFont="1" applyFill="1" applyBorder="1" applyAlignment="1">
      <alignment horizontal="center" vertical="center"/>
    </xf>
    <xf numFmtId="0" fontId="36" fillId="0" borderId="4" xfId="13" applyFont="1" applyFill="1" applyBorder="1" applyAlignment="1">
      <alignment horizontal="center" vertical="center"/>
    </xf>
    <xf numFmtId="41" fontId="12" fillId="0" borderId="165" xfId="0" applyNumberFormat="1" applyFont="1" applyFill="1" applyBorder="1" applyAlignment="1">
      <alignment horizontal="center" vertical="center"/>
    </xf>
    <xf numFmtId="41" fontId="12" fillId="0" borderId="163" xfId="0" applyNumberFormat="1" applyFont="1" applyFill="1" applyBorder="1" applyAlignment="1">
      <alignment horizontal="center" vertical="center"/>
    </xf>
    <xf numFmtId="41" fontId="12" fillId="0" borderId="164" xfId="0" applyNumberFormat="1" applyFont="1" applyFill="1" applyBorder="1" applyAlignment="1">
      <alignment horizontal="center" vertical="center"/>
    </xf>
    <xf numFmtId="9" fontId="37" fillId="0" borderId="0" xfId="2" applyNumberFormat="1" applyFont="1">
      <alignment vertical="center"/>
    </xf>
    <xf numFmtId="183" fontId="37" fillId="0" borderId="0" xfId="2" applyNumberFormat="1" applyFont="1">
      <alignment vertical="center"/>
    </xf>
    <xf numFmtId="0" fontId="36" fillId="0" borderId="0" xfId="13" applyFont="1" applyFill="1" applyBorder="1" applyAlignment="1">
      <alignment horizontal="center" vertical="center"/>
    </xf>
    <xf numFmtId="41" fontId="36" fillId="53" borderId="0" xfId="11" applyFont="1" applyFill="1" applyBorder="1" applyAlignment="1">
      <alignment horizontal="center" vertical="center"/>
    </xf>
    <xf numFmtId="41" fontId="36" fillId="0" borderId="0" xfId="11" applyFont="1" applyFill="1" applyBorder="1" applyAlignment="1">
      <alignment horizontal="center" vertical="center"/>
    </xf>
    <xf numFmtId="0" fontId="51" fillId="0" borderId="0" xfId="18">
      <alignment vertical="center"/>
    </xf>
    <xf numFmtId="49" fontId="51" fillId="56" borderId="4" xfId="18" applyNumberFormat="1" applyFill="1" applyBorder="1" applyAlignment="1">
      <alignment horizontal="center" vertical="center" shrinkToFit="1"/>
    </xf>
    <xf numFmtId="0" fontId="51" fillId="56" borderId="4" xfId="18" applyFill="1" applyBorder="1" applyAlignment="1">
      <alignment horizontal="center" vertical="center" shrinkToFit="1"/>
    </xf>
    <xf numFmtId="0" fontId="51" fillId="9" borderId="56" xfId="18" applyFill="1" applyBorder="1">
      <alignment vertical="center"/>
    </xf>
    <xf numFmtId="49" fontId="51" fillId="0" borderId="4" xfId="18" applyNumberFormat="1" applyBorder="1" applyAlignment="1">
      <alignment horizontal="center" vertical="center" shrinkToFit="1"/>
    </xf>
    <xf numFmtId="0" fontId="51" fillId="0" borderId="4" xfId="18" applyBorder="1" applyAlignment="1">
      <alignment vertical="center" shrinkToFit="1"/>
    </xf>
    <xf numFmtId="3" fontId="51" fillId="0" borderId="4" xfId="18" applyNumberFormat="1" applyBorder="1" applyAlignment="1">
      <alignment vertical="center" shrinkToFit="1"/>
    </xf>
    <xf numFmtId="3" fontId="51" fillId="0" borderId="56" xfId="18" applyNumberFormat="1" applyBorder="1">
      <alignment vertical="center"/>
    </xf>
    <xf numFmtId="4" fontId="51" fillId="0" borderId="56" xfId="18" applyNumberFormat="1" applyBorder="1">
      <alignment vertical="center"/>
    </xf>
    <xf numFmtId="3" fontId="51" fillId="0" borderId="4" xfId="18" applyNumberFormat="1" applyBorder="1" applyAlignment="1">
      <alignment horizontal="center" vertical="center" shrinkToFit="1"/>
    </xf>
    <xf numFmtId="3" fontId="51" fillId="0" borderId="0" xfId="18" applyNumberFormat="1" applyFill="1" applyBorder="1" applyAlignment="1">
      <alignment vertical="center" shrinkToFit="1"/>
    </xf>
    <xf numFmtId="3" fontId="51" fillId="0" borderId="0" xfId="18" applyNumberFormat="1">
      <alignment vertical="center"/>
    </xf>
    <xf numFmtId="49" fontId="51" fillId="55" borderId="4" xfId="18" applyNumberFormat="1" applyFill="1" applyBorder="1" applyAlignment="1">
      <alignment horizontal="center" vertical="center" shrinkToFit="1"/>
    </xf>
    <xf numFmtId="0" fontId="51" fillId="55" borderId="4" xfId="18" applyFill="1" applyBorder="1" applyAlignment="1">
      <alignment horizontal="center" vertical="center" shrinkToFit="1"/>
    </xf>
    <xf numFmtId="0" fontId="51" fillId="55" borderId="4" xfId="18" applyFill="1" applyBorder="1" applyAlignment="1">
      <alignment vertical="center" shrinkToFit="1"/>
    </xf>
    <xf numFmtId="4" fontId="51" fillId="55" borderId="4" xfId="18" applyNumberFormat="1" applyFill="1" applyBorder="1" applyAlignment="1">
      <alignment vertical="center" shrinkToFit="1"/>
    </xf>
    <xf numFmtId="0" fontId="51" fillId="55" borderId="0" xfId="18" applyFill="1">
      <alignment vertical="center"/>
    </xf>
    <xf numFmtId="49" fontId="51" fillId="5" borderId="4" xfId="18" applyNumberFormat="1" applyFill="1" applyBorder="1" applyAlignment="1">
      <alignment horizontal="center" vertical="center" shrinkToFit="1"/>
    </xf>
    <xf numFmtId="0" fontId="51" fillId="5" borderId="4" xfId="18" applyFill="1" applyBorder="1" applyAlignment="1">
      <alignment horizontal="center" vertical="center" shrinkToFit="1"/>
    </xf>
    <xf numFmtId="0" fontId="51" fillId="5" borderId="4" xfId="18" applyFill="1" applyBorder="1" applyAlignment="1">
      <alignment vertical="center" shrinkToFit="1"/>
    </xf>
    <xf numFmtId="4" fontId="51" fillId="5" borderId="4" xfId="18" applyNumberFormat="1" applyFill="1" applyBorder="1" applyAlignment="1">
      <alignment vertical="center" shrinkToFit="1"/>
    </xf>
    <xf numFmtId="0" fontId="51" fillId="5" borderId="0" xfId="18" applyFill="1">
      <alignment vertical="center"/>
    </xf>
    <xf numFmtId="0" fontId="51" fillId="0" borderId="4" xfId="18" applyBorder="1" applyAlignment="1">
      <alignment horizontal="center" vertical="center" shrinkToFit="1"/>
    </xf>
    <xf numFmtId="4" fontId="51" fillId="0" borderId="4" xfId="18" applyNumberFormat="1" applyBorder="1" applyAlignment="1">
      <alignment vertical="center" shrinkToFit="1"/>
    </xf>
    <xf numFmtId="49" fontId="51" fillId="57" borderId="4" xfId="18" applyNumberFormat="1" applyFill="1" applyBorder="1" applyAlignment="1">
      <alignment horizontal="center" vertical="center" shrinkToFit="1"/>
    </xf>
    <xf numFmtId="0" fontId="51" fillId="57" borderId="4" xfId="18" applyFill="1" applyBorder="1" applyAlignment="1">
      <alignment horizontal="center" vertical="center" shrinkToFit="1"/>
    </xf>
    <xf numFmtId="0" fontId="51" fillId="57" borderId="4" xfId="18" applyFill="1" applyBorder="1" applyAlignment="1">
      <alignment vertical="center" shrinkToFit="1"/>
    </xf>
    <xf numFmtId="4" fontId="51" fillId="57" borderId="4" xfId="18" applyNumberFormat="1" applyFill="1" applyBorder="1" applyAlignment="1">
      <alignment vertical="center" shrinkToFit="1"/>
    </xf>
    <xf numFmtId="0" fontId="51" fillId="57" borderId="0" xfId="18" applyFill="1">
      <alignment vertical="center"/>
    </xf>
    <xf numFmtId="0" fontId="51" fillId="0" borderId="0" xfId="18" applyAlignment="1">
      <alignment horizontal="center" vertical="center" shrinkToFit="1"/>
    </xf>
    <xf numFmtId="0" fontId="51" fillId="0" borderId="0" xfId="18" applyAlignment="1">
      <alignment vertical="center" shrinkToFit="1"/>
    </xf>
    <xf numFmtId="3" fontId="0" fillId="0" borderId="4" xfId="0" applyNumberFormat="1" applyBorder="1">
      <alignment vertical="center"/>
    </xf>
    <xf numFmtId="4" fontId="0" fillId="0" borderId="4" xfId="0" applyNumberFormat="1" applyBorder="1">
      <alignment vertical="center"/>
    </xf>
    <xf numFmtId="3" fontId="0" fillId="0" borderId="0" xfId="0" applyNumberFormat="1">
      <alignment vertical="center"/>
    </xf>
    <xf numFmtId="49" fontId="0" fillId="0" borderId="208" xfId="0" applyNumberFormat="1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49" fontId="0" fillId="0" borderId="76" xfId="0" applyNumberFormat="1" applyBorder="1" applyAlignment="1">
      <alignment horizontal="center" vertical="center"/>
    </xf>
    <xf numFmtId="0" fontId="188" fillId="0" borderId="0" xfId="0" applyFont="1">
      <alignment vertical="center"/>
    </xf>
    <xf numFmtId="49" fontId="0" fillId="56" borderId="4" xfId="0" applyNumberFormat="1" applyFill="1" applyBorder="1">
      <alignment vertical="center"/>
    </xf>
    <xf numFmtId="0" fontId="0" fillId="56" borderId="4" xfId="0" applyFill="1" applyBorder="1">
      <alignment vertical="center"/>
    </xf>
    <xf numFmtId="0" fontId="0" fillId="9" borderId="56" xfId="0" applyFill="1" applyBorder="1">
      <alignment vertical="center"/>
    </xf>
    <xf numFmtId="49" fontId="0" fillId="0" borderId="4" xfId="0" applyNumberFormat="1" applyBorder="1">
      <alignment vertical="center"/>
    </xf>
    <xf numFmtId="3" fontId="0" fillId="0" borderId="56" xfId="0" applyNumberFormat="1" applyBorder="1">
      <alignment vertical="center"/>
    </xf>
    <xf numFmtId="4" fontId="0" fillId="0" borderId="56" xfId="0" applyNumberFormat="1" applyBorder="1">
      <alignment vertical="center"/>
    </xf>
    <xf numFmtId="49" fontId="0" fillId="9" borderId="56" xfId="0" applyNumberFormat="1" applyFill="1" applyBorder="1">
      <alignment vertical="center"/>
    </xf>
    <xf numFmtId="0" fontId="0" fillId="0" borderId="56" xfId="0" applyBorder="1">
      <alignment vertical="center"/>
    </xf>
    <xf numFmtId="49" fontId="0" fillId="0" borderId="56" xfId="0" applyNumberFormat="1" applyBorder="1">
      <alignment vertical="center"/>
    </xf>
    <xf numFmtId="49" fontId="0" fillId="55" borderId="56" xfId="0" applyNumberFormat="1" applyFill="1" applyBorder="1">
      <alignment vertical="center"/>
    </xf>
    <xf numFmtId="0" fontId="0" fillId="55" borderId="56" xfId="0" applyFill="1" applyBorder="1" applyAlignment="1">
      <alignment horizontal="center" vertical="center"/>
    </xf>
    <xf numFmtId="0" fontId="0" fillId="55" borderId="56" xfId="0" applyFill="1" applyBorder="1">
      <alignment vertical="center"/>
    </xf>
    <xf numFmtId="4" fontId="0" fillId="55" borderId="56" xfId="0" applyNumberFormat="1" applyFill="1" applyBorder="1">
      <alignment vertical="center"/>
    </xf>
    <xf numFmtId="0" fontId="0" fillId="55" borderId="0" xfId="0" applyFill="1">
      <alignment vertical="center"/>
    </xf>
    <xf numFmtId="49" fontId="0" fillId="57" borderId="56" xfId="0" applyNumberFormat="1" applyFill="1" applyBorder="1">
      <alignment vertical="center"/>
    </xf>
    <xf numFmtId="0" fontId="0" fillId="57" borderId="56" xfId="0" applyFill="1" applyBorder="1" applyAlignment="1">
      <alignment horizontal="center" vertical="center"/>
    </xf>
    <xf numFmtId="0" fontId="0" fillId="57" borderId="56" xfId="0" applyFill="1" applyBorder="1">
      <alignment vertical="center"/>
    </xf>
    <xf numFmtId="4" fontId="0" fillId="57" borderId="56" xfId="0" applyNumberFormat="1" applyFill="1" applyBorder="1">
      <alignment vertical="center"/>
    </xf>
    <xf numFmtId="0" fontId="0" fillId="57" borderId="0" xfId="0" applyFill="1">
      <alignment vertical="center"/>
    </xf>
    <xf numFmtId="0" fontId="0" fillId="0" borderId="56" xfId="0" applyBorder="1" applyAlignment="1">
      <alignment horizontal="center" vertical="center"/>
    </xf>
    <xf numFmtId="49" fontId="0" fillId="58" borderId="56" xfId="0" applyNumberFormat="1" applyFill="1" applyBorder="1">
      <alignment vertical="center"/>
    </xf>
    <xf numFmtId="0" fontId="0" fillId="58" borderId="56" xfId="0" applyFill="1" applyBorder="1" applyAlignment="1">
      <alignment horizontal="center" vertical="center"/>
    </xf>
    <xf numFmtId="0" fontId="0" fillId="58" borderId="56" xfId="0" applyFill="1" applyBorder="1">
      <alignment vertical="center"/>
    </xf>
    <xf numFmtId="4" fontId="0" fillId="58" borderId="56" xfId="0" applyNumberFormat="1" applyFill="1" applyBorder="1">
      <alignment vertical="center"/>
    </xf>
    <xf numFmtId="0" fontId="0" fillId="58" borderId="0" xfId="0" applyFill="1">
      <alignment vertical="center"/>
    </xf>
    <xf numFmtId="49" fontId="0" fillId="5" borderId="56" xfId="0" applyNumberFormat="1" applyFill="1" applyBorder="1">
      <alignment vertical="center"/>
    </xf>
    <xf numFmtId="0" fontId="0" fillId="5" borderId="56" xfId="0" applyFill="1" applyBorder="1" applyAlignment="1">
      <alignment horizontal="center" vertical="center"/>
    </xf>
    <xf numFmtId="0" fontId="0" fillId="5" borderId="56" xfId="0" applyFill="1" applyBorder="1">
      <alignment vertical="center"/>
    </xf>
    <xf numFmtId="4" fontId="0" fillId="5" borderId="56" xfId="0" applyNumberFormat="1" applyFill="1" applyBorder="1">
      <alignment vertical="center"/>
    </xf>
    <xf numFmtId="0" fontId="0" fillId="5" borderId="0" xfId="0" applyFill="1">
      <alignment vertical="center"/>
    </xf>
    <xf numFmtId="0" fontId="188" fillId="0" borderId="0" xfId="0" applyFont="1" applyAlignment="1">
      <alignment vertical="center" wrapText="1"/>
    </xf>
    <xf numFmtId="49" fontId="0" fillId="56" borderId="150" xfId="0" applyNumberFormat="1" applyFill="1" applyBorder="1" applyAlignment="1">
      <alignment horizontal="center" vertical="center"/>
    </xf>
    <xf numFmtId="0" fontId="0" fillId="56" borderId="162" xfId="0" applyFill="1" applyBorder="1" applyAlignment="1">
      <alignment horizontal="center" vertical="center"/>
    </xf>
    <xf numFmtId="0" fontId="0" fillId="9" borderId="162" xfId="0" applyFill="1" applyBorder="1">
      <alignment vertical="center"/>
    </xf>
    <xf numFmtId="0" fontId="0" fillId="9" borderId="151" xfId="0" applyFill="1" applyBorder="1">
      <alignment vertical="center"/>
    </xf>
    <xf numFmtId="49" fontId="0" fillId="0" borderId="152" xfId="0" applyNumberFormat="1" applyBorder="1" applyAlignment="1">
      <alignment horizontal="center" vertical="center"/>
    </xf>
    <xf numFmtId="3" fontId="0" fillId="0" borderId="165" xfId="0" applyNumberFormat="1" applyBorder="1">
      <alignment vertical="center"/>
    </xf>
    <xf numFmtId="4" fontId="0" fillId="0" borderId="165" xfId="0" applyNumberFormat="1" applyBorder="1">
      <alignment vertical="center"/>
    </xf>
    <xf numFmtId="3" fontId="0" fillId="0" borderId="153" xfId="0" applyNumberFormat="1" applyBorder="1">
      <alignment vertical="center"/>
    </xf>
    <xf numFmtId="3" fontId="0" fillId="0" borderId="0" xfId="0" applyNumberFormat="1" applyFill="1" applyBorder="1">
      <alignment vertical="center"/>
    </xf>
    <xf numFmtId="49" fontId="0" fillId="55" borderId="152" xfId="0" applyNumberFormat="1" applyFill="1" applyBorder="1" applyAlignment="1">
      <alignment horizontal="center" vertical="center"/>
    </xf>
    <xf numFmtId="0" fontId="0" fillId="55" borderId="165" xfId="0" applyFill="1" applyBorder="1">
      <alignment vertical="center"/>
    </xf>
    <xf numFmtId="0" fontId="0" fillId="55" borderId="153" xfId="0" applyFill="1" applyBorder="1">
      <alignment vertical="center"/>
    </xf>
    <xf numFmtId="0" fontId="0" fillId="0" borderId="165" xfId="0" applyBorder="1">
      <alignment vertical="center"/>
    </xf>
    <xf numFmtId="0" fontId="0" fillId="0" borderId="153" xfId="0" applyBorder="1">
      <alignment vertical="center"/>
    </xf>
    <xf numFmtId="49" fontId="0" fillId="0" borderId="154" xfId="0" applyNumberFormat="1" applyBorder="1" applyAlignment="1">
      <alignment horizontal="center" vertical="center"/>
    </xf>
    <xf numFmtId="0" fontId="0" fillId="0" borderId="163" xfId="0" applyBorder="1">
      <alignment vertical="center"/>
    </xf>
    <xf numFmtId="0" fontId="0" fillId="0" borderId="155" xfId="0" applyBorder="1">
      <alignment vertical="center"/>
    </xf>
    <xf numFmtId="49" fontId="0" fillId="56" borderId="33" xfId="0" applyNumberFormat="1" applyFill="1" applyBorder="1">
      <alignment vertical="center"/>
    </xf>
    <xf numFmtId="0" fontId="0" fillId="56" borderId="158" xfId="0" applyFill="1" applyBorder="1">
      <alignment vertical="center"/>
    </xf>
    <xf numFmtId="0" fontId="0" fillId="56" borderId="56" xfId="0" applyFill="1" applyBorder="1">
      <alignment vertical="center"/>
    </xf>
    <xf numFmtId="49" fontId="0" fillId="0" borderId="33" xfId="0" applyNumberFormat="1" applyBorder="1">
      <alignment vertical="center"/>
    </xf>
    <xf numFmtId="3" fontId="0" fillId="0" borderId="158" xfId="0" applyNumberFormat="1" applyBorder="1">
      <alignment vertical="center"/>
    </xf>
    <xf numFmtId="49" fontId="0" fillId="55" borderId="33" xfId="0" applyNumberFormat="1" applyFill="1" applyBorder="1">
      <alignment vertical="center"/>
    </xf>
    <xf numFmtId="0" fontId="0" fillId="55" borderId="158" xfId="0" applyFill="1" applyBorder="1">
      <alignment vertical="center"/>
    </xf>
    <xf numFmtId="0" fontId="0" fillId="0" borderId="158" xfId="0" applyBorder="1">
      <alignment vertical="center"/>
    </xf>
    <xf numFmtId="49" fontId="0" fillId="59" borderId="33" xfId="0" applyNumberFormat="1" applyFill="1" applyBorder="1">
      <alignment vertical="center"/>
    </xf>
    <xf numFmtId="0" fontId="0" fillId="59" borderId="158" xfId="0" applyFill="1" applyBorder="1">
      <alignment vertical="center"/>
    </xf>
    <xf numFmtId="0" fontId="0" fillId="59" borderId="56" xfId="0" applyFill="1" applyBorder="1">
      <alignment vertical="center"/>
    </xf>
    <xf numFmtId="0" fontId="0" fillId="59" borderId="0" xfId="0" applyFill="1">
      <alignment vertical="center"/>
    </xf>
    <xf numFmtId="49" fontId="0" fillId="57" borderId="33" xfId="0" applyNumberFormat="1" applyFill="1" applyBorder="1">
      <alignment vertical="center"/>
    </xf>
    <xf numFmtId="0" fontId="0" fillId="57" borderId="158" xfId="0" applyFill="1" applyBorder="1">
      <alignment vertical="center"/>
    </xf>
    <xf numFmtId="0" fontId="0" fillId="0" borderId="56" xfId="0" applyFill="1" applyBorder="1">
      <alignment vertical="center"/>
    </xf>
    <xf numFmtId="0" fontId="188" fillId="0" borderId="0" xfId="0" applyFont="1" applyAlignment="1">
      <alignment horizontal="center" vertical="center"/>
    </xf>
    <xf numFmtId="49" fontId="0" fillId="0" borderId="152" xfId="0" applyNumberFormat="1" applyBorder="1">
      <alignment vertical="center"/>
    </xf>
    <xf numFmtId="0" fontId="0" fillId="0" borderId="154" xfId="0" applyBorder="1">
      <alignment vertical="center"/>
    </xf>
    <xf numFmtId="49" fontId="0" fillId="56" borderId="4" xfId="0" applyNumberFormat="1" applyFill="1" applyBorder="1" applyAlignment="1">
      <alignment horizontal="center" vertical="center"/>
    </xf>
    <xf numFmtId="0" fontId="0" fillId="56" borderId="4" xfId="0" applyFill="1" applyBorder="1" applyAlignment="1">
      <alignment horizontal="center" vertical="center"/>
    </xf>
    <xf numFmtId="0" fontId="0" fillId="56" borderId="7" xfId="0" applyFill="1" applyBorder="1" applyAlignment="1">
      <alignment horizontal="center" vertical="center"/>
    </xf>
    <xf numFmtId="0" fontId="0" fillId="9" borderId="146" xfId="0" applyFill="1" applyBorder="1">
      <alignment vertical="center"/>
    </xf>
    <xf numFmtId="49" fontId="0" fillId="56" borderId="208" xfId="0" applyNumberFormat="1" applyFill="1" applyBorder="1" applyAlignment="1">
      <alignment horizontal="center" vertical="center"/>
    </xf>
    <xf numFmtId="0" fontId="0" fillId="56" borderId="285" xfId="0" applyFill="1" applyBorder="1" applyAlignment="1">
      <alignment horizontal="center" vertical="center"/>
    </xf>
    <xf numFmtId="252" fontId="170" fillId="0" borderId="4" xfId="0" applyNumberFormat="1" applyFont="1" applyBorder="1" applyAlignment="1">
      <alignment horizontal="center" vertical="center"/>
    </xf>
    <xf numFmtId="252" fontId="191" fillId="0" borderId="4" xfId="0" applyNumberFormat="1" applyFont="1" applyBorder="1" applyAlignment="1">
      <alignment horizontal="right" vertical="center"/>
    </xf>
    <xf numFmtId="252" fontId="191" fillId="0" borderId="87" xfId="0" applyNumberFormat="1" applyFont="1" applyBorder="1" applyAlignment="1">
      <alignment horizontal="right" vertical="center"/>
    </xf>
    <xf numFmtId="252" fontId="170" fillId="0" borderId="4" xfId="0" applyNumberFormat="1" applyFont="1" applyFill="1" applyBorder="1" applyAlignment="1">
      <alignment horizontal="center" vertical="center"/>
    </xf>
    <xf numFmtId="252" fontId="170" fillId="0" borderId="88" xfId="0" applyNumberFormat="1" applyFont="1" applyBorder="1" applyAlignment="1">
      <alignment horizontal="center" vertical="center"/>
    </xf>
    <xf numFmtId="252" fontId="191" fillId="0" borderId="88" xfId="0" applyNumberFormat="1" applyFont="1" applyBorder="1" applyAlignment="1">
      <alignment horizontal="right" vertical="center"/>
    </xf>
    <xf numFmtId="252" fontId="191" fillId="0" borderId="77" xfId="0" applyNumberFormat="1" applyFont="1" applyBorder="1" applyAlignment="1">
      <alignment horizontal="right" vertical="center"/>
    </xf>
    <xf numFmtId="0" fontId="0" fillId="56" borderId="0" xfId="0" applyFill="1" applyBorder="1" applyAlignment="1">
      <alignment horizontal="center" vertical="center"/>
    </xf>
    <xf numFmtId="0" fontId="0" fillId="9" borderId="4" xfId="0" applyFill="1" applyBorder="1">
      <alignment vertical="center"/>
    </xf>
    <xf numFmtId="49" fontId="0" fillId="56" borderId="58" xfId="0" applyNumberFormat="1" applyFill="1" applyBorder="1">
      <alignment vertical="center"/>
    </xf>
    <xf numFmtId="49" fontId="0" fillId="0" borderId="58" xfId="0" applyNumberFormat="1" applyBorder="1">
      <alignment vertical="center"/>
    </xf>
    <xf numFmtId="49" fontId="0" fillId="55" borderId="58" xfId="0" applyNumberFormat="1" applyFill="1" applyBorder="1">
      <alignment vertical="center"/>
    </xf>
    <xf numFmtId="49" fontId="0" fillId="59" borderId="58" xfId="0" applyNumberFormat="1" applyFill="1" applyBorder="1">
      <alignment vertical="center"/>
    </xf>
    <xf numFmtId="49" fontId="0" fillId="57" borderId="58" xfId="0" applyNumberFormat="1" applyFill="1" applyBorder="1">
      <alignment vertical="center"/>
    </xf>
    <xf numFmtId="0" fontId="0" fillId="0" borderId="58" xfId="0" applyBorder="1">
      <alignment vertical="center"/>
    </xf>
    <xf numFmtId="49" fontId="0" fillId="56" borderId="180" xfId="0" applyNumberFormat="1" applyFill="1" applyBorder="1" applyAlignment="1">
      <alignment horizontal="center" vertical="center"/>
    </xf>
    <xf numFmtId="49" fontId="0" fillId="0" borderId="181" xfId="0" applyNumberFormat="1" applyBorder="1" applyAlignment="1">
      <alignment horizontal="center" vertical="center"/>
    </xf>
    <xf numFmtId="49" fontId="0" fillId="0" borderId="181" xfId="0" applyNumberFormat="1" applyBorder="1">
      <alignment vertical="center"/>
    </xf>
    <xf numFmtId="0" fontId="0" fillId="0" borderId="182" xfId="0" applyBorder="1">
      <alignment vertical="center"/>
    </xf>
    <xf numFmtId="49" fontId="0" fillId="55" borderId="181" xfId="0" applyNumberFormat="1" applyFill="1" applyBorder="1" applyAlignment="1">
      <alignment horizontal="center" vertical="center"/>
    </xf>
    <xf numFmtId="49" fontId="0" fillId="0" borderId="182" xfId="0" applyNumberFormat="1" applyBorder="1" applyAlignment="1">
      <alignment horizontal="center" vertical="center"/>
    </xf>
    <xf numFmtId="0" fontId="186" fillId="0" borderId="0" xfId="0" applyFont="1" applyAlignment="1">
      <alignment horizontal="center" vertical="center"/>
    </xf>
    <xf numFmtId="49" fontId="51" fillId="9" borderId="152" xfId="0" applyNumberFormat="1" applyFont="1" applyFill="1" applyBorder="1" applyAlignment="1">
      <alignment horizontal="center" vertical="center"/>
    </xf>
    <xf numFmtId="49" fontId="51" fillId="9" borderId="165" xfId="0" applyNumberFormat="1" applyFont="1" applyFill="1" applyBorder="1" applyAlignment="1">
      <alignment horizontal="center" vertical="center"/>
    </xf>
    <xf numFmtId="0" fontId="51" fillId="9" borderId="165" xfId="0" applyFont="1" applyFill="1" applyBorder="1" applyAlignment="1">
      <alignment horizontal="center" vertical="center"/>
    </xf>
    <xf numFmtId="0" fontId="0" fillId="9" borderId="165" xfId="0" applyFill="1" applyBorder="1">
      <alignment vertical="center"/>
    </xf>
    <xf numFmtId="0" fontId="0" fillId="9" borderId="153" xfId="0" applyFill="1" applyBorder="1">
      <alignment vertical="center"/>
    </xf>
    <xf numFmtId="49" fontId="0" fillId="55" borderId="165" xfId="0" applyNumberFormat="1" applyFill="1" applyBorder="1" applyAlignment="1">
      <alignment horizontal="center" vertical="center"/>
    </xf>
    <xf numFmtId="49" fontId="0" fillId="0" borderId="165" xfId="0" applyNumberFormat="1" applyBorder="1" applyAlignment="1">
      <alignment horizontal="center" vertical="center"/>
    </xf>
    <xf numFmtId="3" fontId="0" fillId="55" borderId="165" xfId="0" applyNumberFormat="1" applyFill="1" applyBorder="1">
      <alignment vertical="center"/>
    </xf>
    <xf numFmtId="49" fontId="0" fillId="57" borderId="152" xfId="0" applyNumberFormat="1" applyFill="1" applyBorder="1" applyAlignment="1">
      <alignment horizontal="center" vertical="center"/>
    </xf>
    <xf numFmtId="49" fontId="0" fillId="57" borderId="165" xfId="0" applyNumberFormat="1" applyFill="1" applyBorder="1" applyAlignment="1">
      <alignment horizontal="center" vertical="center"/>
    </xf>
    <xf numFmtId="0" fontId="0" fillId="57" borderId="165" xfId="0" applyFill="1" applyBorder="1">
      <alignment vertical="center"/>
    </xf>
    <xf numFmtId="0" fontId="0" fillId="57" borderId="153" xfId="0" applyFill="1" applyBorder="1">
      <alignment vertical="center"/>
    </xf>
    <xf numFmtId="3" fontId="0" fillId="55" borderId="153" xfId="0" applyNumberFormat="1" applyFill="1" applyBorder="1">
      <alignment vertical="center"/>
    </xf>
    <xf numFmtId="49" fontId="0" fillId="55" borderId="154" xfId="0" applyNumberFormat="1" applyFill="1" applyBorder="1" applyAlignment="1">
      <alignment horizontal="center" vertical="center"/>
    </xf>
    <xf numFmtId="49" fontId="0" fillId="55" borderId="163" xfId="0" applyNumberFormat="1" applyFill="1" applyBorder="1" applyAlignment="1">
      <alignment horizontal="center" vertical="center"/>
    </xf>
    <xf numFmtId="0" fontId="0" fillId="55" borderId="163" xfId="0" applyFill="1" applyBorder="1">
      <alignment vertical="center"/>
    </xf>
    <xf numFmtId="0" fontId="0" fillId="55" borderId="155" xfId="0" applyFill="1" applyBorder="1">
      <alignment vertical="center"/>
    </xf>
    <xf numFmtId="41" fontId="7" fillId="0" borderId="4" xfId="2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2" xfId="0" applyBorder="1">
      <alignment vertical="center"/>
    </xf>
    <xf numFmtId="179" fontId="28" fillId="11" borderId="5" xfId="6" applyNumberFormat="1" applyFont="1" applyFill="1" applyBorder="1" applyAlignment="1">
      <alignment horizontal="center" vertical="center"/>
    </xf>
    <xf numFmtId="41" fontId="0" fillId="0" borderId="251" xfId="0" applyNumberFormat="1" applyFill="1" applyBorder="1">
      <alignment vertical="center"/>
    </xf>
    <xf numFmtId="41" fontId="0" fillId="0" borderId="190" xfId="0" applyNumberFormat="1" applyFill="1" applyBorder="1">
      <alignment vertical="center"/>
    </xf>
    <xf numFmtId="41" fontId="0" fillId="0" borderId="252" xfId="0" applyNumberFormat="1" applyFill="1" applyBorder="1">
      <alignment vertical="center"/>
    </xf>
    <xf numFmtId="9" fontId="0" fillId="0" borderId="152" xfId="12" applyFont="1" applyFill="1" applyBorder="1">
      <alignment vertical="center"/>
    </xf>
    <xf numFmtId="9" fontId="0" fillId="0" borderId="165" xfId="12" applyFont="1" applyFill="1" applyBorder="1">
      <alignment vertical="center"/>
    </xf>
    <xf numFmtId="9" fontId="0" fillId="0" borderId="153" xfId="12" applyFont="1" applyFill="1" applyBorder="1">
      <alignment vertical="center"/>
    </xf>
    <xf numFmtId="41" fontId="45" fillId="0" borderId="152" xfId="3" applyFont="1" applyFill="1" applyBorder="1">
      <alignment vertical="center"/>
    </xf>
    <xf numFmtId="41" fontId="45" fillId="0" borderId="165" xfId="3" applyFont="1" applyFill="1" applyBorder="1">
      <alignment vertical="center"/>
    </xf>
    <xf numFmtId="41" fontId="45" fillId="0" borderId="153" xfId="3" applyFont="1" applyFill="1" applyBorder="1">
      <alignment vertical="center"/>
    </xf>
    <xf numFmtId="41" fontId="46" fillId="0" borderId="7" xfId="3" applyFont="1" applyBorder="1">
      <alignment vertical="center"/>
    </xf>
    <xf numFmtId="41" fontId="45" fillId="0" borderId="280" xfId="3" applyFont="1" applyFill="1" applyBorder="1">
      <alignment vertical="center"/>
    </xf>
    <xf numFmtId="41" fontId="45" fillId="0" borderId="175" xfId="3" applyFont="1" applyFill="1" applyBorder="1">
      <alignment vertical="center"/>
    </xf>
    <xf numFmtId="41" fontId="45" fillId="0" borderId="176" xfId="3" applyFont="1" applyFill="1" applyBorder="1">
      <alignment vertical="center"/>
    </xf>
    <xf numFmtId="41" fontId="0" fillId="0" borderId="255" xfId="0" applyNumberFormat="1" applyFill="1" applyBorder="1">
      <alignment vertical="center"/>
    </xf>
    <xf numFmtId="41" fontId="0" fillId="0" borderId="166" xfId="0" applyNumberFormat="1" applyFill="1" applyBorder="1">
      <alignment vertical="center"/>
    </xf>
    <xf numFmtId="41" fontId="0" fillId="0" borderId="167" xfId="0" applyNumberFormat="1" applyFill="1" applyBorder="1">
      <alignment vertical="center"/>
    </xf>
    <xf numFmtId="41" fontId="45" fillId="0" borderId="209" xfId="3" applyFont="1" applyFill="1" applyBorder="1">
      <alignment vertical="center"/>
    </xf>
    <xf numFmtId="41" fontId="45" fillId="0" borderId="164" xfId="3" applyFont="1" applyFill="1" applyBorder="1">
      <alignment vertical="center"/>
    </xf>
    <xf numFmtId="41" fontId="45" fillId="0" borderId="197" xfId="3" applyFont="1" applyFill="1" applyBorder="1">
      <alignment vertical="center"/>
    </xf>
    <xf numFmtId="41" fontId="0" fillId="0" borderId="150" xfId="0" applyNumberFormat="1" applyFill="1" applyBorder="1">
      <alignment vertical="center"/>
    </xf>
    <xf numFmtId="41" fontId="0" fillId="0" borderId="162" xfId="0" applyNumberFormat="1" applyFill="1" applyBorder="1">
      <alignment vertical="center"/>
    </xf>
    <xf numFmtId="41" fontId="0" fillId="0" borderId="151" xfId="0" applyNumberFormat="1" applyFill="1" applyBorder="1">
      <alignment vertical="center"/>
    </xf>
    <xf numFmtId="0" fontId="13" fillId="0" borderId="4" xfId="0" applyFont="1" applyBorder="1" applyAlignment="1">
      <alignment horizontal="center" vertical="center"/>
    </xf>
    <xf numFmtId="0" fontId="1" fillId="0" borderId="4" xfId="2" applyBorder="1" applyAlignment="1">
      <alignment horizontal="center" vertical="center"/>
    </xf>
    <xf numFmtId="0" fontId="36" fillId="0" borderId="165" xfId="5" applyFont="1" applyFill="1" applyBorder="1" applyAlignment="1">
      <alignment horizontal="center" vertical="center"/>
    </xf>
    <xf numFmtId="0" fontId="167" fillId="11" borderId="9" xfId="6" applyFont="1" applyFill="1" applyBorder="1" applyAlignment="1">
      <alignment horizontal="center" vertical="center"/>
    </xf>
    <xf numFmtId="0" fontId="167" fillId="11" borderId="25" xfId="6" applyFont="1" applyFill="1" applyBorder="1" applyAlignment="1">
      <alignment horizontal="center" vertical="center"/>
    </xf>
    <xf numFmtId="0" fontId="170" fillId="0" borderId="4" xfId="9" applyFont="1" applyFill="1" applyBorder="1" applyAlignment="1">
      <alignment horizontal="center" vertical="center"/>
    </xf>
    <xf numFmtId="0" fontId="167" fillId="11" borderId="164" xfId="6" applyFont="1" applyFill="1" applyBorder="1" applyAlignment="1">
      <alignment horizontal="center" vertical="center" wrapText="1"/>
    </xf>
    <xf numFmtId="0" fontId="36" fillId="0" borderId="162" xfId="5" applyFont="1" applyFill="1" applyBorder="1" applyAlignment="1">
      <alignment horizontal="center" vertical="center"/>
    </xf>
    <xf numFmtId="41" fontId="168" fillId="0" borderId="1" xfId="7" applyFont="1" applyFill="1" applyBorder="1" applyAlignment="1">
      <alignment horizontal="center" vertical="center"/>
    </xf>
    <xf numFmtId="41" fontId="168" fillId="0" borderId="47" xfId="7" applyFont="1" applyFill="1" applyBorder="1" applyAlignment="1">
      <alignment horizontal="center" vertical="center"/>
    </xf>
    <xf numFmtId="41" fontId="168" fillId="0" borderId="37" xfId="7" applyFont="1" applyFill="1" applyBorder="1" applyAlignment="1">
      <alignment horizontal="center" vertical="center"/>
    </xf>
    <xf numFmtId="0" fontId="167" fillId="11" borderId="90" xfId="6" applyFont="1" applyFill="1" applyBorder="1" applyAlignment="1">
      <alignment horizontal="center" vertical="center" wrapText="1"/>
    </xf>
    <xf numFmtId="41" fontId="36" fillId="0" borderId="32" xfId="7" applyFont="1" applyFill="1" applyBorder="1" applyAlignment="1">
      <alignment horizontal="center" vertical="center"/>
    </xf>
    <xf numFmtId="179" fontId="36" fillId="0" borderId="32" xfId="7" applyNumberFormat="1" applyFont="1" applyFill="1" applyBorder="1" applyAlignment="1">
      <alignment horizontal="center" vertical="center"/>
    </xf>
    <xf numFmtId="41" fontId="36" fillId="0" borderId="287" xfId="7" applyFont="1" applyFill="1" applyBorder="1" applyAlignment="1">
      <alignment horizontal="center" vertical="center"/>
    </xf>
    <xf numFmtId="41" fontId="36" fillId="0" borderId="47" xfId="7" applyFont="1" applyFill="1" applyBorder="1" applyAlignment="1">
      <alignment horizontal="center" vertical="center"/>
    </xf>
    <xf numFmtId="41" fontId="36" fillId="0" borderId="37" xfId="7" applyFont="1" applyFill="1" applyBorder="1" applyAlignment="1">
      <alignment horizontal="center" vertical="center"/>
    </xf>
    <xf numFmtId="179" fontId="36" fillId="0" borderId="37" xfId="7" applyNumberFormat="1" applyFont="1" applyFill="1" applyBorder="1" applyAlignment="1">
      <alignment horizontal="center" vertical="center"/>
    </xf>
    <xf numFmtId="41" fontId="36" fillId="0" borderId="52" xfId="7" applyFont="1" applyFill="1" applyBorder="1" applyAlignment="1">
      <alignment horizontal="center" vertical="center"/>
    </xf>
    <xf numFmtId="41" fontId="36" fillId="0" borderId="1" xfId="7" applyFont="1" applyFill="1" applyBorder="1" applyAlignment="1">
      <alignment horizontal="center" vertical="center"/>
    </xf>
    <xf numFmtId="179" fontId="36" fillId="0" borderId="1" xfId="7" applyNumberFormat="1" applyFont="1" applyFill="1" applyBorder="1" applyAlignment="1">
      <alignment horizontal="center" vertical="center"/>
    </xf>
    <xf numFmtId="41" fontId="36" fillId="0" borderId="3" xfId="7" applyFont="1" applyFill="1" applyBorder="1" applyAlignment="1">
      <alignment horizontal="center" vertical="center"/>
    </xf>
    <xf numFmtId="41" fontId="36" fillId="0" borderId="32" xfId="7" applyFont="1" applyFill="1" applyBorder="1" applyAlignment="1">
      <alignment horizontal="center" vertical="center" wrapText="1"/>
    </xf>
    <xf numFmtId="0" fontId="36" fillId="0" borderId="38" xfId="6" applyFont="1" applyFill="1" applyBorder="1" applyAlignment="1">
      <alignment horizontal="center" vertical="center" wrapText="1"/>
    </xf>
    <xf numFmtId="41" fontId="36" fillId="0" borderId="47" xfId="7" applyFont="1" applyFill="1" applyBorder="1" applyAlignment="1">
      <alignment horizontal="center" vertical="center" wrapText="1"/>
    </xf>
    <xf numFmtId="0" fontId="36" fillId="0" borderId="48" xfId="6" applyFont="1" applyFill="1" applyBorder="1" applyAlignment="1">
      <alignment horizontal="center" vertical="center" wrapText="1"/>
    </xf>
    <xf numFmtId="41" fontId="36" fillId="0" borderId="1" xfId="7" applyFont="1" applyFill="1" applyBorder="1" applyAlignment="1">
      <alignment horizontal="center" vertical="center" wrapText="1"/>
    </xf>
    <xf numFmtId="0" fontId="36" fillId="0" borderId="31" xfId="6" applyFont="1" applyFill="1" applyBorder="1" applyAlignment="1">
      <alignment horizontal="center" vertical="center" wrapText="1"/>
    </xf>
    <xf numFmtId="41" fontId="36" fillId="0" borderId="1" xfId="7" applyFont="1" applyFill="1" applyBorder="1" applyAlignment="1">
      <alignment horizontal="centerContinuous" vertical="center" wrapText="1"/>
    </xf>
    <xf numFmtId="0" fontId="36" fillId="0" borderId="1" xfId="5" applyFont="1" applyFill="1" applyBorder="1" applyAlignment="1">
      <alignment vertical="center"/>
    </xf>
    <xf numFmtId="41" fontId="36" fillId="0" borderId="1" xfId="7" applyFont="1" applyFill="1" applyBorder="1" applyAlignment="1">
      <alignment vertical="center"/>
    </xf>
    <xf numFmtId="0" fontId="36" fillId="0" borderId="31" xfId="5" applyFont="1" applyFill="1" applyBorder="1" applyAlignment="1">
      <alignment horizontal="center" vertical="center" wrapText="1"/>
    </xf>
    <xf numFmtId="0" fontId="36" fillId="0" borderId="1" xfId="5" applyFont="1" applyFill="1" applyBorder="1" applyAlignment="1">
      <alignment horizontal="center" vertical="center"/>
    </xf>
    <xf numFmtId="41" fontId="36" fillId="0" borderId="44" xfId="7" applyFont="1" applyFill="1" applyBorder="1" applyAlignment="1">
      <alignment horizontal="centerContinuous" vertical="center" wrapText="1"/>
    </xf>
    <xf numFmtId="0" fontId="36" fillId="0" borderId="44" xfId="5" applyFont="1" applyFill="1" applyBorder="1" applyAlignment="1">
      <alignment horizontal="center" vertical="center"/>
    </xf>
    <xf numFmtId="179" fontId="36" fillId="0" borderId="44" xfId="7" applyNumberFormat="1" applyFont="1" applyFill="1" applyBorder="1" applyAlignment="1">
      <alignment horizontal="center" vertical="center"/>
    </xf>
    <xf numFmtId="41" fontId="36" fillId="0" borderId="44" xfId="7" applyFont="1" applyFill="1" applyBorder="1" applyAlignment="1">
      <alignment horizontal="center" vertical="center"/>
    </xf>
    <xf numFmtId="41" fontId="36" fillId="0" borderId="44" xfId="7" applyFont="1" applyFill="1" applyBorder="1" applyAlignment="1">
      <alignment vertical="center"/>
    </xf>
    <xf numFmtId="0" fontId="36" fillId="0" borderId="45" xfId="5" applyFont="1" applyFill="1" applyBorder="1" applyAlignment="1">
      <alignment horizontal="center" vertical="center" wrapText="1"/>
    </xf>
    <xf numFmtId="181" fontId="36" fillId="0" borderId="35" xfId="6" applyNumberFormat="1" applyFont="1" applyFill="1" applyBorder="1" applyAlignment="1">
      <alignment horizontal="center" vertical="center"/>
    </xf>
    <xf numFmtId="0" fontId="36" fillId="0" borderId="36" xfId="6" applyFont="1" applyFill="1" applyBorder="1" applyAlignment="1">
      <alignment horizontal="center" vertical="center"/>
    </xf>
    <xf numFmtId="0" fontId="36" fillId="0" borderId="35" xfId="5" applyFont="1" applyFill="1" applyBorder="1" applyAlignment="1">
      <alignment horizontal="center" vertical="center"/>
    </xf>
    <xf numFmtId="182" fontId="36" fillId="0" borderId="36" xfId="5" applyNumberFormat="1" applyFont="1" applyFill="1" applyBorder="1" applyAlignment="1">
      <alignment horizontal="center" vertical="center"/>
    </xf>
    <xf numFmtId="179" fontId="36" fillId="0" borderId="162" xfId="7" applyNumberFormat="1" applyFont="1" applyFill="1" applyBorder="1" applyAlignment="1">
      <alignment horizontal="center" vertical="center"/>
    </xf>
    <xf numFmtId="0" fontId="36" fillId="0" borderId="151" xfId="5" applyFont="1" applyFill="1" applyBorder="1" applyAlignment="1">
      <alignment horizontal="center" vertical="center" wrapText="1"/>
    </xf>
    <xf numFmtId="179" fontId="36" fillId="0" borderId="165" xfId="7" applyNumberFormat="1" applyFont="1" applyFill="1" applyBorder="1" applyAlignment="1">
      <alignment horizontal="center" vertical="center"/>
    </xf>
    <xf numFmtId="0" fontId="36" fillId="0" borderId="153" xfId="5" applyFont="1" applyFill="1" applyBorder="1" applyAlignment="1">
      <alignment horizontal="center" vertical="center" wrapText="1"/>
    </xf>
    <xf numFmtId="0" fontId="36" fillId="0" borderId="153" xfId="6" applyFont="1" applyFill="1" applyBorder="1" applyAlignment="1">
      <alignment horizontal="center" vertical="center" wrapText="1"/>
    </xf>
    <xf numFmtId="181" fontId="36" fillId="0" borderId="204" xfId="6" applyNumberFormat="1" applyFont="1" applyFill="1" applyBorder="1" applyAlignment="1">
      <alignment horizontal="center" vertical="center"/>
    </xf>
    <xf numFmtId="0" fontId="36" fillId="0" borderId="204" xfId="5" applyFont="1" applyFill="1" applyBorder="1" applyAlignment="1">
      <alignment horizontal="center" vertical="center"/>
    </xf>
    <xf numFmtId="182" fontId="36" fillId="0" borderId="205" xfId="5" applyNumberFormat="1" applyFont="1" applyFill="1" applyBorder="1" applyAlignment="1">
      <alignment horizontal="center" vertical="center"/>
    </xf>
    <xf numFmtId="41" fontId="36" fillId="0" borderId="288" xfId="7" applyFont="1" applyFill="1" applyBorder="1" applyAlignment="1">
      <alignment horizontal="center" vertical="center" wrapText="1"/>
    </xf>
    <xf numFmtId="41" fontId="36" fillId="0" borderId="287" xfId="7" applyFont="1" applyFill="1" applyBorder="1" applyAlignment="1">
      <alignment horizontal="center" vertical="center" shrinkToFit="1"/>
    </xf>
    <xf numFmtId="41" fontId="36" fillId="0" borderId="52" xfId="7" applyFont="1" applyFill="1" applyBorder="1" applyAlignment="1">
      <alignment horizontal="center" vertical="center" shrinkToFit="1"/>
    </xf>
    <xf numFmtId="41" fontId="36" fillId="0" borderId="3" xfId="7" applyFont="1" applyFill="1" applyBorder="1" applyAlignment="1">
      <alignment horizontal="center" vertical="center" shrinkToFit="1"/>
    </xf>
    <xf numFmtId="41" fontId="36" fillId="0" borderId="162" xfId="7" applyFont="1" applyFill="1" applyBorder="1" applyAlignment="1">
      <alignment horizontal="center" vertical="center" shrinkToFit="1"/>
    </xf>
    <xf numFmtId="41" fontId="36" fillId="0" borderId="165" xfId="7" applyFont="1" applyFill="1" applyBorder="1" applyAlignment="1">
      <alignment horizontal="center" vertical="center" shrinkToFit="1"/>
    </xf>
    <xf numFmtId="41" fontId="36" fillId="0" borderId="204" xfId="7" applyFont="1" applyFill="1" applyBorder="1" applyAlignment="1">
      <alignment horizontal="center" vertical="center" shrinkToFit="1"/>
    </xf>
    <xf numFmtId="0" fontId="13" fillId="0" borderId="4" xfId="0" applyFont="1" applyBorder="1" applyAlignment="1">
      <alignment horizontal="center" vertical="center"/>
    </xf>
    <xf numFmtId="0" fontId="136" fillId="0" borderId="4" xfId="0" applyFont="1" applyFill="1" applyBorder="1" applyAlignment="1">
      <alignment horizontal="center" vertical="center" wrapText="1"/>
    </xf>
    <xf numFmtId="41" fontId="7" fillId="0" borderId="4" xfId="2" applyNumberFormat="1" applyFont="1" applyFill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0" fontId="13" fillId="0" borderId="164" xfId="0" applyFont="1" applyBorder="1" applyAlignment="1">
      <alignment horizontal="center" vertical="center"/>
    </xf>
    <xf numFmtId="0" fontId="13" fillId="0" borderId="175" xfId="0" applyFont="1" applyBorder="1" applyAlignment="1">
      <alignment horizontal="center" vertical="center"/>
    </xf>
    <xf numFmtId="41" fontId="12" fillId="0" borderId="164" xfId="0" applyNumberFormat="1" applyFont="1" applyFill="1" applyBorder="1" applyAlignment="1">
      <alignment horizontal="center" vertical="center"/>
    </xf>
    <xf numFmtId="41" fontId="12" fillId="0" borderId="173" xfId="0" applyNumberFormat="1" applyFont="1" applyFill="1" applyBorder="1" applyAlignment="1">
      <alignment horizontal="center" vertical="center"/>
    </xf>
    <xf numFmtId="0" fontId="13" fillId="0" borderId="174" xfId="0" applyFont="1" applyBorder="1" applyAlignment="1">
      <alignment horizontal="center" vertical="center"/>
    </xf>
    <xf numFmtId="0" fontId="13" fillId="0" borderId="189" xfId="0" applyFont="1" applyBorder="1" applyAlignment="1">
      <alignment horizontal="center" vertical="center"/>
    </xf>
    <xf numFmtId="0" fontId="13" fillId="0" borderId="163" xfId="0" applyFont="1" applyBorder="1" applyAlignment="1">
      <alignment horizontal="center" vertical="center"/>
    </xf>
    <xf numFmtId="0" fontId="13" fillId="0" borderId="171" xfId="0" applyFont="1" applyBorder="1" applyAlignment="1">
      <alignment horizontal="center" vertical="center"/>
    </xf>
    <xf numFmtId="0" fontId="13" fillId="0" borderId="202" xfId="0" applyFont="1" applyBorder="1" applyAlignment="1">
      <alignment horizontal="center" vertical="center"/>
    </xf>
    <xf numFmtId="41" fontId="7" fillId="0" borderId="165" xfId="2" applyNumberFormat="1" applyFont="1" applyFill="1" applyBorder="1" applyAlignment="1">
      <alignment horizontal="center" vertical="center"/>
    </xf>
    <xf numFmtId="41" fontId="12" fillId="0" borderId="163" xfId="0" applyNumberFormat="1" applyFont="1" applyFill="1" applyBorder="1" applyAlignment="1">
      <alignment horizontal="center" vertical="center"/>
    </xf>
    <xf numFmtId="0" fontId="13" fillId="0" borderId="200" xfId="0" applyFont="1" applyBorder="1" applyAlignment="1">
      <alignment horizontal="center" vertical="center"/>
    </xf>
    <xf numFmtId="0" fontId="13" fillId="0" borderId="253" xfId="0" applyFont="1" applyBorder="1" applyAlignment="1">
      <alignment horizontal="center" vertical="center"/>
    </xf>
    <xf numFmtId="0" fontId="13" fillId="0" borderId="266" xfId="0" applyFont="1" applyBorder="1" applyAlignment="1">
      <alignment horizontal="center" vertical="center"/>
    </xf>
    <xf numFmtId="0" fontId="13" fillId="0" borderId="202" xfId="0" applyFont="1" applyBorder="1" applyAlignment="1">
      <alignment vertical="center"/>
    </xf>
    <xf numFmtId="41" fontId="150" fillId="3" borderId="184" xfId="0" applyNumberFormat="1" applyFont="1" applyFill="1" applyBorder="1">
      <alignment vertical="center"/>
    </xf>
    <xf numFmtId="41" fontId="150" fillId="3" borderId="190" xfId="0" applyNumberFormat="1" applyFont="1" applyFill="1" applyBorder="1">
      <alignment vertical="center"/>
    </xf>
    <xf numFmtId="0" fontId="13" fillId="0" borderId="190" xfId="0" applyFont="1" applyBorder="1" applyAlignment="1">
      <alignment vertical="center"/>
    </xf>
    <xf numFmtId="41" fontId="150" fillId="3" borderId="247" xfId="0" applyNumberFormat="1" applyFont="1" applyFill="1" applyBorder="1">
      <alignment vertical="center"/>
    </xf>
    <xf numFmtId="41" fontId="150" fillId="3" borderId="173" xfId="0" applyNumberFormat="1" applyFont="1" applyFill="1" applyBorder="1">
      <alignment vertical="center"/>
    </xf>
    <xf numFmtId="0" fontId="13" fillId="0" borderId="173" xfId="0" applyFont="1" applyBorder="1" applyAlignment="1">
      <alignment vertical="center"/>
    </xf>
    <xf numFmtId="9" fontId="7" fillId="0" borderId="217" xfId="1" applyNumberFormat="1" applyFont="1" applyFill="1" applyBorder="1" applyAlignment="1">
      <alignment horizontal="center" vertical="center"/>
    </xf>
    <xf numFmtId="41" fontId="13" fillId="0" borderId="196" xfId="0" applyNumberFormat="1" applyFont="1" applyBorder="1" applyAlignment="1">
      <alignment vertical="center"/>
    </xf>
    <xf numFmtId="41" fontId="12" fillId="0" borderId="175" xfId="0" applyNumberFormat="1" applyFont="1" applyFill="1" applyBorder="1" applyAlignment="1">
      <alignment horizontal="center" vertical="center"/>
    </xf>
    <xf numFmtId="0" fontId="13" fillId="0" borderId="175" xfId="0" applyFont="1" applyBorder="1" applyAlignment="1">
      <alignment vertical="center"/>
    </xf>
    <xf numFmtId="9" fontId="7" fillId="0" borderId="252" xfId="1" applyNumberFormat="1" applyFont="1" applyFill="1" applyBorder="1" applyAlignment="1">
      <alignment horizontal="center" vertical="center"/>
    </xf>
    <xf numFmtId="0" fontId="16" fillId="0" borderId="59" xfId="0" applyFont="1" applyFill="1" applyBorder="1" applyAlignment="1">
      <alignment vertical="center"/>
    </xf>
    <xf numFmtId="0" fontId="1" fillId="0" borderId="59" xfId="2" applyBorder="1">
      <alignment vertical="center"/>
    </xf>
    <xf numFmtId="0" fontId="13" fillId="0" borderId="174" xfId="0" applyFont="1" applyBorder="1" applyAlignment="1">
      <alignment vertical="center"/>
    </xf>
    <xf numFmtId="0" fontId="16" fillId="0" borderId="15" xfId="0" applyFont="1" applyFill="1" applyBorder="1" applyAlignment="1">
      <alignment vertical="center"/>
    </xf>
    <xf numFmtId="0" fontId="1" fillId="0" borderId="15" xfId="2" applyBorder="1">
      <alignment vertical="center"/>
    </xf>
    <xf numFmtId="0" fontId="13" fillId="0" borderId="202" xfId="0" applyFont="1" applyFill="1" applyBorder="1" applyAlignment="1">
      <alignment horizontal="center" vertical="center"/>
    </xf>
    <xf numFmtId="0" fontId="13" fillId="0" borderId="42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44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41" fontId="7" fillId="0" borderId="31" xfId="2" applyNumberFormat="1" applyFont="1" applyFill="1" applyBorder="1" applyAlignment="1">
      <alignment horizontal="center" vertical="center"/>
    </xf>
    <xf numFmtId="41" fontId="7" fillId="0" borderId="45" xfId="2" applyNumberFormat="1" applyFont="1" applyFill="1" applyBorder="1" applyAlignment="1">
      <alignment horizontal="center" vertical="center"/>
    </xf>
    <xf numFmtId="41" fontId="150" fillId="3" borderId="39" xfId="0" applyNumberFormat="1" applyFont="1" applyFill="1" applyBorder="1">
      <alignment vertical="center"/>
    </xf>
    <xf numFmtId="41" fontId="150" fillId="3" borderId="40" xfId="0" applyNumberFormat="1" applyFont="1" applyFill="1" applyBorder="1">
      <alignment vertical="center"/>
    </xf>
    <xf numFmtId="0" fontId="13" fillId="0" borderId="40" xfId="0" applyFont="1" applyBorder="1" applyAlignment="1">
      <alignment vertical="center"/>
    </xf>
    <xf numFmtId="9" fontId="7" fillId="0" borderId="41" xfId="1" applyNumberFormat="1" applyFont="1" applyFill="1" applyBorder="1" applyAlignment="1">
      <alignment horizontal="center" vertical="center"/>
    </xf>
    <xf numFmtId="41" fontId="7" fillId="0" borderId="42" xfId="2" applyNumberFormat="1" applyFont="1" applyFill="1" applyBorder="1" applyAlignment="1">
      <alignment horizontal="center" vertical="center"/>
    </xf>
    <xf numFmtId="41" fontId="7" fillId="0" borderId="1" xfId="2" applyNumberFormat="1" applyFont="1" applyFill="1" applyBorder="1" applyAlignment="1">
      <alignment horizontal="center" vertical="center"/>
    </xf>
    <xf numFmtId="41" fontId="12" fillId="0" borderId="1" xfId="2" applyNumberFormat="1" applyFont="1" applyBorder="1">
      <alignment vertical="center"/>
    </xf>
    <xf numFmtId="41" fontId="12" fillId="0" borderId="1" xfId="0" applyNumberFormat="1" applyFont="1" applyFill="1" applyBorder="1" applyAlignment="1">
      <alignment horizontal="center" vertical="center"/>
    </xf>
    <xf numFmtId="9" fontId="7" fillId="0" borderId="31" xfId="1" applyNumberFormat="1" applyFont="1" applyFill="1" applyBorder="1" applyAlignment="1">
      <alignment horizontal="center" vertical="center"/>
    </xf>
    <xf numFmtId="41" fontId="7" fillId="0" borderId="43" xfId="2" applyNumberFormat="1" applyFont="1" applyFill="1" applyBorder="1" applyAlignment="1">
      <alignment horizontal="center" vertical="center"/>
    </xf>
    <xf numFmtId="41" fontId="7" fillId="0" borderId="44" xfId="2" applyNumberFormat="1" applyFont="1" applyFill="1" applyBorder="1" applyAlignment="1">
      <alignment horizontal="center" vertical="center"/>
    </xf>
    <xf numFmtId="41" fontId="12" fillId="0" borderId="44" xfId="2" applyNumberFormat="1" applyFont="1" applyBorder="1">
      <alignment vertical="center"/>
    </xf>
    <xf numFmtId="41" fontId="12" fillId="0" borderId="44" xfId="0" applyNumberFormat="1" applyFont="1" applyFill="1" applyBorder="1" applyAlignment="1">
      <alignment horizontal="center" vertical="center"/>
    </xf>
    <xf numFmtId="9" fontId="7" fillId="0" borderId="45" xfId="1" applyNumberFormat="1" applyFont="1" applyFill="1" applyBorder="1" applyAlignment="1">
      <alignment horizontal="center" vertical="center"/>
    </xf>
    <xf numFmtId="41" fontId="13" fillId="0" borderId="42" xfId="0" applyNumberFormat="1" applyFont="1" applyBorder="1" applyAlignment="1">
      <alignment vertical="center"/>
    </xf>
    <xf numFmtId="0" fontId="13" fillId="0" borderId="1" xfId="0" applyFont="1" applyBorder="1" applyAlignment="1">
      <alignment vertical="center"/>
    </xf>
    <xf numFmtId="41" fontId="13" fillId="0" borderId="43" xfId="0" applyNumberFormat="1" applyFont="1" applyBorder="1" applyAlignment="1">
      <alignment vertical="center"/>
    </xf>
    <xf numFmtId="0" fontId="13" fillId="0" borderId="44" xfId="0" applyFont="1" applyBorder="1" applyAlignment="1">
      <alignment vertical="center"/>
    </xf>
    <xf numFmtId="0" fontId="13" fillId="0" borderId="42" xfId="0" applyFont="1" applyBorder="1" applyAlignment="1">
      <alignment vertical="center"/>
    </xf>
    <xf numFmtId="0" fontId="13" fillId="0" borderId="43" xfId="0" applyFont="1" applyBorder="1" applyAlignment="1">
      <alignment vertical="center"/>
    </xf>
    <xf numFmtId="41" fontId="13" fillId="0" borderId="1" xfId="0" applyNumberFormat="1" applyFont="1" applyBorder="1" applyAlignment="1">
      <alignment vertical="center"/>
    </xf>
    <xf numFmtId="41" fontId="13" fillId="0" borderId="44" xfId="0" applyNumberFormat="1" applyFont="1" applyBorder="1" applyAlignment="1">
      <alignment vertical="center"/>
    </xf>
    <xf numFmtId="41" fontId="13" fillId="0" borderId="209" xfId="0" applyNumberFormat="1" applyFont="1" applyBorder="1" applyAlignment="1">
      <alignment vertical="center"/>
    </xf>
    <xf numFmtId="0" fontId="13" fillId="0" borderId="197" xfId="0" applyFont="1" applyBorder="1" applyAlignment="1">
      <alignment vertical="center"/>
    </xf>
    <xf numFmtId="0" fontId="13" fillId="0" borderId="41" xfId="0" applyFont="1" applyBorder="1" applyAlignment="1">
      <alignment vertical="center"/>
    </xf>
    <xf numFmtId="0" fontId="13" fillId="0" borderId="31" xfId="0" applyFont="1" applyBorder="1" applyAlignment="1">
      <alignment vertical="center"/>
    </xf>
    <xf numFmtId="0" fontId="13" fillId="0" borderId="45" xfId="0" applyFont="1" applyBorder="1" applyAlignment="1">
      <alignment vertical="center"/>
    </xf>
    <xf numFmtId="41" fontId="13" fillId="0" borderId="39" xfId="0" applyNumberFormat="1" applyFont="1" applyBorder="1" applyAlignment="1">
      <alignment horizontal="center" vertical="center"/>
    </xf>
    <xf numFmtId="41" fontId="13" fillId="0" borderId="40" xfId="0" applyNumberFormat="1" applyFont="1" applyBorder="1" applyAlignment="1">
      <alignment horizontal="center" vertical="center"/>
    </xf>
    <xf numFmtId="0" fontId="12" fillId="0" borderId="41" xfId="2" applyFont="1" applyBorder="1">
      <alignment vertical="center"/>
    </xf>
    <xf numFmtId="41" fontId="13" fillId="0" borderId="42" xfId="0" applyNumberFormat="1" applyFont="1" applyBorder="1" applyAlignment="1">
      <alignment horizontal="center" vertical="center"/>
    </xf>
    <xf numFmtId="41" fontId="13" fillId="0" borderId="1" xfId="0" applyNumberFormat="1" applyFont="1" applyBorder="1" applyAlignment="1">
      <alignment horizontal="center" vertical="center"/>
    </xf>
    <xf numFmtId="41" fontId="150" fillId="3" borderId="1" xfId="0" applyNumberFormat="1" applyFont="1" applyFill="1" applyBorder="1" applyAlignment="1">
      <alignment horizontal="center" vertical="center"/>
    </xf>
    <xf numFmtId="0" fontId="12" fillId="0" borderId="31" xfId="2" applyFont="1" applyBorder="1">
      <alignment vertical="center"/>
    </xf>
    <xf numFmtId="41" fontId="13" fillId="0" borderId="43" xfId="0" applyNumberFormat="1" applyFont="1" applyBorder="1" applyAlignment="1">
      <alignment horizontal="center" vertical="center"/>
    </xf>
    <xf numFmtId="41" fontId="13" fillId="0" borderId="44" xfId="0" applyNumberFormat="1" applyFont="1" applyBorder="1" applyAlignment="1">
      <alignment horizontal="center" vertical="center"/>
    </xf>
    <xf numFmtId="41" fontId="150" fillId="3" borderId="44" xfId="0" applyNumberFormat="1" applyFont="1" applyFill="1" applyBorder="1" applyAlignment="1">
      <alignment horizontal="center" vertical="center"/>
    </xf>
    <xf numFmtId="0" fontId="12" fillId="0" borderId="45" xfId="2" applyFont="1" applyBorder="1">
      <alignment vertical="center"/>
    </xf>
    <xf numFmtId="41" fontId="12" fillId="0" borderId="45" xfId="0" applyNumberFormat="1" applyFont="1" applyFill="1" applyBorder="1" applyAlignment="1">
      <alignment horizontal="center" vertical="center"/>
    </xf>
    <xf numFmtId="41" fontId="12" fillId="0" borderId="40" xfId="0" applyNumberFormat="1" applyFont="1" applyFill="1" applyBorder="1" applyAlignment="1">
      <alignment horizontal="center" vertical="center"/>
    </xf>
    <xf numFmtId="41" fontId="12" fillId="0" borderId="42" xfId="0" applyNumberFormat="1" applyFont="1" applyFill="1" applyBorder="1" applyAlignment="1">
      <alignment horizontal="center" vertical="center"/>
    </xf>
    <xf numFmtId="41" fontId="12" fillId="0" borderId="43" xfId="0" applyNumberFormat="1" applyFont="1" applyFill="1" applyBorder="1" applyAlignment="1">
      <alignment horizontal="center" vertical="center"/>
    </xf>
    <xf numFmtId="0" fontId="12" fillId="0" borderId="44" xfId="2" applyFont="1" applyBorder="1">
      <alignment vertical="center"/>
    </xf>
    <xf numFmtId="190" fontId="23" fillId="0" borderId="44" xfId="16" applyFont="1" applyBorder="1" applyAlignment="1">
      <alignment vertical="center"/>
    </xf>
    <xf numFmtId="41" fontId="12" fillId="0" borderId="261" xfId="0" applyNumberFormat="1" applyFont="1" applyFill="1" applyBorder="1" applyAlignment="1">
      <alignment horizontal="center" vertical="center"/>
    </xf>
    <xf numFmtId="0" fontId="12" fillId="0" borderId="217" xfId="2" applyFont="1" applyFill="1" applyBorder="1">
      <alignment vertical="center"/>
    </xf>
    <xf numFmtId="41" fontId="150" fillId="3" borderId="39" xfId="0" applyNumberFormat="1" applyFont="1" applyFill="1" applyBorder="1" applyAlignment="1">
      <alignment horizontal="center" vertical="center"/>
    </xf>
    <xf numFmtId="41" fontId="150" fillId="3" borderId="40" xfId="0" applyNumberFormat="1" applyFont="1" applyFill="1" applyBorder="1" applyAlignment="1">
      <alignment horizontal="center" vertical="center"/>
    </xf>
    <xf numFmtId="0" fontId="12" fillId="0" borderId="1" xfId="2" applyFont="1" applyBorder="1">
      <alignment vertical="center"/>
    </xf>
    <xf numFmtId="190" fontId="23" fillId="0" borderId="1" xfId="16" applyFont="1" applyBorder="1" applyAlignment="1">
      <alignment vertical="center"/>
    </xf>
    <xf numFmtId="41" fontId="12" fillId="0" borderId="31" xfId="0" applyNumberFormat="1" applyFont="1" applyFill="1" applyBorder="1" applyAlignment="1">
      <alignment horizontal="center" vertical="center"/>
    </xf>
    <xf numFmtId="41" fontId="37" fillId="0" borderId="9" xfId="11" applyFont="1" applyFill="1" applyBorder="1" applyAlignment="1">
      <alignment horizontal="center" vertical="center"/>
    </xf>
    <xf numFmtId="41" fontId="37" fillId="9" borderId="32" xfId="11" applyFont="1" applyFill="1" applyBorder="1" applyAlignment="1">
      <alignment horizontal="center" vertical="center"/>
    </xf>
    <xf numFmtId="194" fontId="37" fillId="0" borderId="0" xfId="30" applyNumberFormat="1" applyFont="1" applyFill="1" applyBorder="1" applyAlignment="1">
      <alignment vertical="center"/>
    </xf>
    <xf numFmtId="0" fontId="37" fillId="0" borderId="54" xfId="30" applyFont="1" applyFill="1" applyBorder="1" applyAlignment="1">
      <alignment vertical="center"/>
    </xf>
    <xf numFmtId="195" fontId="37" fillId="0" borderId="0" xfId="30" applyNumberFormat="1" applyFont="1" applyFill="1" applyBorder="1" applyAlignment="1">
      <alignment vertical="center"/>
    </xf>
    <xf numFmtId="0" fontId="37" fillId="0" borderId="23" xfId="30" applyFont="1" applyFill="1" applyBorder="1" applyAlignment="1">
      <alignment vertical="center"/>
    </xf>
    <xf numFmtId="0" fontId="37" fillId="0" borderId="15" xfId="30" applyFont="1" applyFill="1" applyBorder="1" applyAlignment="1">
      <alignment vertical="center"/>
    </xf>
    <xf numFmtId="0" fontId="37" fillId="0" borderId="46" xfId="30" applyFont="1" applyFill="1" applyBorder="1" applyAlignment="1">
      <alignment vertical="center"/>
    </xf>
    <xf numFmtId="0" fontId="37" fillId="0" borderId="122" xfId="30" applyFont="1" applyFill="1" applyBorder="1" applyAlignment="1">
      <alignment horizontal="center" vertical="center"/>
    </xf>
    <xf numFmtId="0" fontId="37" fillId="0" borderId="65" xfId="30" applyFont="1" applyFill="1" applyBorder="1" applyAlignment="1">
      <alignment horizontal="center" vertical="center"/>
    </xf>
    <xf numFmtId="0" fontId="37" fillId="0" borderId="45" xfId="30" applyFont="1" applyFill="1" applyBorder="1" applyAlignment="1">
      <alignment vertical="center"/>
    </xf>
    <xf numFmtId="185" fontId="37" fillId="0" borderId="0" xfId="30" applyNumberFormat="1" applyFont="1" applyFill="1" applyBorder="1" applyAlignment="1">
      <alignment horizontal="center" vertical="center"/>
    </xf>
    <xf numFmtId="41" fontId="37" fillId="0" borderId="0" xfId="30" applyNumberFormat="1" applyFont="1" applyFill="1" applyBorder="1" applyAlignment="1">
      <alignment horizontal="center" vertical="center"/>
    </xf>
    <xf numFmtId="0" fontId="37" fillId="0" borderId="73" xfId="30" applyFont="1" applyFill="1" applyBorder="1" applyAlignment="1">
      <alignment horizontal="center" vertical="center"/>
    </xf>
    <xf numFmtId="0" fontId="37" fillId="0" borderId="0" xfId="30" applyFont="1" applyFill="1" applyAlignment="1">
      <alignment horizontal="center" vertical="center"/>
    </xf>
    <xf numFmtId="0" fontId="37" fillId="9" borderId="0" xfId="30" applyFont="1" applyFill="1" applyBorder="1" applyAlignment="1">
      <alignment vertical="center"/>
    </xf>
    <xf numFmtId="194" fontId="37" fillId="9" borderId="0" xfId="30" applyNumberFormat="1" applyFont="1" applyFill="1" applyBorder="1" applyAlignment="1">
      <alignment vertical="center"/>
    </xf>
    <xf numFmtId="0" fontId="37" fillId="9" borderId="73" xfId="30" applyFont="1" applyFill="1" applyBorder="1" applyAlignment="1">
      <alignment vertical="center"/>
    </xf>
    <xf numFmtId="0" fontId="37" fillId="9" borderId="58" xfId="30" applyFont="1" applyFill="1" applyBorder="1" applyAlignment="1">
      <alignment vertical="center"/>
    </xf>
    <xf numFmtId="0" fontId="37" fillId="9" borderId="0" xfId="30" applyFont="1" applyFill="1" applyAlignment="1">
      <alignment vertical="center"/>
    </xf>
    <xf numFmtId="0" fontId="37" fillId="9" borderId="0" xfId="30" applyFont="1" applyFill="1" applyBorder="1" applyAlignment="1">
      <alignment horizontal="center" vertical="center"/>
    </xf>
    <xf numFmtId="250" fontId="176" fillId="0" borderId="13" xfId="2" applyNumberFormat="1" applyFont="1" applyBorder="1" applyAlignment="1">
      <alignment horizontal="center" vertical="center"/>
    </xf>
    <xf numFmtId="0" fontId="5" fillId="0" borderId="0" xfId="1" applyFont="1" applyFill="1" applyBorder="1" applyAlignment="1">
      <alignment horizontal="left" vertical="center"/>
    </xf>
    <xf numFmtId="0" fontId="13" fillId="0" borderId="0" xfId="0" applyFont="1" applyBorder="1" applyAlignment="1">
      <alignment horizontal="center" vertical="center"/>
    </xf>
    <xf numFmtId="0" fontId="11" fillId="0" borderId="0" xfId="2" applyFont="1" applyFill="1" applyBorder="1" applyAlignment="1">
      <alignment horizontal="center" vertical="center" wrapText="1"/>
    </xf>
    <xf numFmtId="0" fontId="148" fillId="0" borderId="0" xfId="2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41" fontId="12" fillId="13" borderId="0" xfId="0" applyNumberFormat="1" applyFont="1" applyFill="1" applyBorder="1" applyAlignment="1">
      <alignment horizontal="center" vertical="center"/>
    </xf>
    <xf numFmtId="41" fontId="1" fillId="0" borderId="0" xfId="2" applyNumberFormat="1" applyBorder="1" applyAlignment="1">
      <alignment horizontal="center" vertical="center"/>
    </xf>
    <xf numFmtId="41" fontId="1" fillId="13" borderId="0" xfId="2" applyNumberFormat="1" applyFill="1" applyBorder="1" applyAlignment="1">
      <alignment horizontal="center" vertical="center"/>
    </xf>
    <xf numFmtId="41" fontId="1" fillId="13" borderId="0" xfId="2" applyNumberFormat="1" applyFill="1" applyBorder="1">
      <alignment vertical="center"/>
    </xf>
    <xf numFmtId="10" fontId="1" fillId="0" borderId="0" xfId="12" applyNumberFormat="1" applyFont="1" applyFill="1" applyBorder="1">
      <alignment vertical="center"/>
    </xf>
    <xf numFmtId="10" fontId="1" fillId="0" borderId="0" xfId="12" applyNumberFormat="1" applyFont="1" applyBorder="1">
      <alignment vertical="center"/>
    </xf>
    <xf numFmtId="0" fontId="11" fillId="0" borderId="0" xfId="2" applyFont="1" applyFill="1" applyBorder="1" applyAlignment="1">
      <alignment horizontal="center" vertical="center" shrinkToFit="1"/>
    </xf>
    <xf numFmtId="0" fontId="17" fillId="0" borderId="10" xfId="13" applyFont="1" applyBorder="1" applyAlignment="1">
      <alignment horizontal="center" vertical="center"/>
    </xf>
    <xf numFmtId="0" fontId="17" fillId="0" borderId="12" xfId="13" applyFont="1" applyBorder="1" applyAlignment="1">
      <alignment horizontal="center" vertical="center"/>
    </xf>
    <xf numFmtId="0" fontId="17" fillId="0" borderId="12" xfId="13" applyFont="1" applyFill="1" applyBorder="1" applyAlignment="1">
      <alignment horizontal="center" vertical="center"/>
    </xf>
    <xf numFmtId="0" fontId="176" fillId="0" borderId="44" xfId="2" applyFont="1" applyBorder="1" applyAlignment="1">
      <alignment horizontal="center" vertical="center"/>
    </xf>
    <xf numFmtId="0" fontId="36" fillId="0" borderId="5" xfId="13" applyFont="1" applyFill="1" applyBorder="1" applyAlignment="1">
      <alignment horizontal="center" vertical="center"/>
    </xf>
    <xf numFmtId="0" fontId="36" fillId="0" borderId="6" xfId="13" applyFont="1" applyFill="1" applyBorder="1" applyAlignment="1">
      <alignment horizontal="center" vertical="center"/>
    </xf>
    <xf numFmtId="0" fontId="36" fillId="0" borderId="7" xfId="13" applyFont="1" applyFill="1" applyBorder="1" applyAlignment="1">
      <alignment horizontal="center" vertical="center"/>
    </xf>
    <xf numFmtId="0" fontId="36" fillId="0" borderId="4" xfId="2" applyFont="1" applyFill="1" applyBorder="1" applyAlignment="1">
      <alignment horizontal="center" vertical="center"/>
    </xf>
    <xf numFmtId="0" fontId="36" fillId="0" borderId="4" xfId="13" applyFont="1" applyFill="1" applyBorder="1" applyAlignment="1">
      <alignment horizontal="center" vertical="center"/>
    </xf>
    <xf numFmtId="0" fontId="135" fillId="0" borderId="4" xfId="2" applyFont="1" applyFill="1" applyBorder="1" applyAlignment="1">
      <alignment horizontal="center" vertical="center"/>
    </xf>
    <xf numFmtId="0" fontId="154" fillId="53" borderId="230" xfId="0" applyFont="1" applyFill="1" applyBorder="1" applyAlignment="1">
      <alignment horizontal="center" vertical="center"/>
    </xf>
    <xf numFmtId="0" fontId="167" fillId="11" borderId="44" xfId="6" applyFont="1" applyFill="1" applyBorder="1" applyAlignment="1">
      <alignment horizontal="center" vertical="center" wrapText="1"/>
    </xf>
    <xf numFmtId="0" fontId="167" fillId="11" borderId="45" xfId="6" applyFont="1" applyFill="1" applyBorder="1" applyAlignment="1">
      <alignment horizontal="center" vertical="center" wrapText="1"/>
    </xf>
    <xf numFmtId="0" fontId="168" fillId="0" borderId="1" xfId="6" applyFont="1" applyFill="1" applyBorder="1" applyAlignment="1">
      <alignment horizontal="center" vertical="center"/>
    </xf>
    <xf numFmtId="41" fontId="168" fillId="0" borderId="1" xfId="7" applyFont="1" applyFill="1" applyBorder="1" applyAlignment="1">
      <alignment horizontal="center" vertical="center"/>
    </xf>
    <xf numFmtId="41" fontId="168" fillId="0" borderId="47" xfId="7" applyFont="1" applyFill="1" applyBorder="1" applyAlignment="1">
      <alignment horizontal="center" vertical="center"/>
    </xf>
    <xf numFmtId="41" fontId="168" fillId="0" borderId="37" xfId="7" applyFont="1" applyFill="1" applyBorder="1" applyAlignment="1">
      <alignment horizontal="center" vertical="center"/>
    </xf>
    <xf numFmtId="41" fontId="168" fillId="0" borderId="32" xfId="7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7" fillId="0" borderId="4" xfId="2" applyFont="1" applyFill="1" applyBorder="1" applyAlignment="1">
      <alignment horizontal="center" vertical="center"/>
    </xf>
    <xf numFmtId="41" fontId="7" fillId="0" borderId="4" xfId="2" applyNumberFormat="1" applyFont="1" applyFill="1" applyBorder="1" applyAlignment="1">
      <alignment horizontal="center" vertical="center"/>
    </xf>
    <xf numFmtId="41" fontId="7" fillId="0" borderId="5" xfId="2" applyNumberFormat="1" applyFont="1" applyFill="1" applyBorder="1" applyAlignment="1">
      <alignment horizontal="center" vertical="center"/>
    </xf>
    <xf numFmtId="41" fontId="7" fillId="0" borderId="7" xfId="2" applyNumberFormat="1" applyFont="1" applyFill="1" applyBorder="1" applyAlignment="1">
      <alignment horizontal="center" vertical="center"/>
    </xf>
    <xf numFmtId="0" fontId="168" fillId="0" borderId="1" xfId="6" applyFont="1" applyFill="1" applyBorder="1" applyAlignment="1">
      <alignment horizontal="center" vertical="center"/>
    </xf>
    <xf numFmtId="0" fontId="167" fillId="11" borderId="14" xfId="6" applyFont="1" applyFill="1" applyBorder="1" applyAlignment="1">
      <alignment horizontal="center" vertical="center" wrapText="1"/>
    </xf>
    <xf numFmtId="41" fontId="168" fillId="0" borderId="47" xfId="7" applyFont="1" applyFill="1" applyBorder="1" applyAlignment="1">
      <alignment horizontal="center" vertical="center"/>
    </xf>
    <xf numFmtId="41" fontId="168" fillId="0" borderId="37" xfId="7" applyFont="1" applyFill="1" applyBorder="1" applyAlignment="1">
      <alignment horizontal="center" vertical="center"/>
    </xf>
    <xf numFmtId="41" fontId="168" fillId="0" borderId="32" xfId="7" applyFont="1" applyFill="1" applyBorder="1" applyAlignment="1">
      <alignment horizontal="center" vertical="center"/>
    </xf>
    <xf numFmtId="41" fontId="168" fillId="0" borderId="165" xfId="7" applyFont="1" applyFill="1" applyBorder="1" applyAlignment="1">
      <alignment horizontal="center" vertical="center"/>
    </xf>
    <xf numFmtId="0" fontId="168" fillId="0" borderId="165" xfId="6" applyFont="1" applyFill="1" applyBorder="1" applyAlignment="1">
      <alignment horizontal="center" vertical="center"/>
    </xf>
    <xf numFmtId="41" fontId="168" fillId="0" borderId="1" xfId="7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41" fontId="7" fillId="0" borderId="4" xfId="2" applyNumberFormat="1" applyFont="1" applyFill="1" applyBorder="1" applyAlignment="1">
      <alignment horizontal="center" vertical="center"/>
    </xf>
    <xf numFmtId="244" fontId="64" fillId="3" borderId="55" xfId="2" applyNumberFormat="1" applyFont="1" applyFill="1" applyBorder="1" applyAlignment="1">
      <alignment horizontal="center" vertical="center"/>
    </xf>
    <xf numFmtId="244" fontId="64" fillId="2" borderId="55" xfId="2" applyNumberFormat="1" applyFont="1" applyFill="1" applyBorder="1" applyAlignment="1">
      <alignment horizontal="center" vertical="center"/>
    </xf>
    <xf numFmtId="244" fontId="64" fillId="0" borderId="55" xfId="2" applyNumberFormat="1" applyFont="1" applyFill="1" applyBorder="1" applyAlignment="1">
      <alignment horizontal="center" vertical="center"/>
    </xf>
    <xf numFmtId="0" fontId="28" fillId="0" borderId="55" xfId="6" applyFont="1" applyFill="1" applyBorder="1" applyAlignment="1">
      <alignment horizontal="center" vertical="center" wrapText="1"/>
    </xf>
    <xf numFmtId="0" fontId="167" fillId="11" borderId="65" xfId="6" applyFont="1" applyFill="1" applyBorder="1" applyAlignment="1">
      <alignment horizontal="center" vertical="center" wrapText="1"/>
    </xf>
    <xf numFmtId="41" fontId="36" fillId="0" borderId="290" xfId="7" applyFont="1" applyFill="1" applyBorder="1" applyAlignment="1">
      <alignment horizontal="center" vertical="center"/>
    </xf>
    <xf numFmtId="41" fontId="36" fillId="0" borderId="111" xfId="7" applyFont="1" applyFill="1" applyBorder="1" applyAlignment="1">
      <alignment horizontal="center" vertical="center"/>
    </xf>
    <xf numFmtId="41" fontId="36" fillId="0" borderId="110" xfId="7" applyFont="1" applyFill="1" applyBorder="1" applyAlignment="1">
      <alignment horizontal="center" vertical="center"/>
    </xf>
    <xf numFmtId="41" fontId="36" fillId="0" borderId="34" xfId="7" applyFont="1" applyFill="1" applyBorder="1" applyAlignment="1">
      <alignment horizontal="center" vertical="center"/>
    </xf>
    <xf numFmtId="41" fontId="10" fillId="0" borderId="7" xfId="2" applyNumberFormat="1" applyFont="1" applyFill="1" applyBorder="1" applyAlignment="1">
      <alignment horizontal="center" vertical="center"/>
    </xf>
    <xf numFmtId="0" fontId="1" fillId="0" borderId="7" xfId="2" applyBorder="1" applyAlignment="1">
      <alignment vertical="center" shrinkToFit="1"/>
    </xf>
    <xf numFmtId="0" fontId="1" fillId="0" borderId="32" xfId="2" applyFill="1" applyBorder="1">
      <alignment vertical="center"/>
    </xf>
    <xf numFmtId="248" fontId="45" fillId="0" borderId="7" xfId="0" applyNumberFormat="1" applyFont="1" applyBorder="1" applyAlignment="1">
      <alignment horizontal="center" vertical="center"/>
    </xf>
    <xf numFmtId="0" fontId="45" fillId="0" borderId="7" xfId="0" applyFont="1" applyBorder="1">
      <alignment vertical="center"/>
    </xf>
    <xf numFmtId="248" fontId="0" fillId="0" borderId="7" xfId="0" applyNumberFormat="1" applyBorder="1" applyAlignment="1">
      <alignment horizontal="center" vertical="center"/>
    </xf>
    <xf numFmtId="41" fontId="159" fillId="0" borderId="291" xfId="3" applyFont="1" applyBorder="1">
      <alignment vertical="center"/>
    </xf>
    <xf numFmtId="41" fontId="159" fillId="0" borderId="113" xfId="3" applyFont="1" applyBorder="1">
      <alignment vertical="center"/>
    </xf>
    <xf numFmtId="41" fontId="159" fillId="0" borderId="292" xfId="3" applyFont="1" applyBorder="1">
      <alignment vertical="center"/>
    </xf>
    <xf numFmtId="41" fontId="167" fillId="0" borderId="32" xfId="7" applyFont="1" applyFill="1" applyBorder="1" applyAlignment="1">
      <alignment horizontal="center" vertical="center"/>
    </xf>
    <xf numFmtId="9" fontId="9" fillId="0" borderId="46" xfId="0" applyNumberFormat="1" applyFont="1" applyBorder="1">
      <alignment vertical="center"/>
    </xf>
    <xf numFmtId="9" fontId="9" fillId="0" borderId="7" xfId="12" applyNumberFormat="1" applyFont="1" applyBorder="1">
      <alignment vertical="center"/>
    </xf>
    <xf numFmtId="41" fontId="36" fillId="53" borderId="7" xfId="11" applyFont="1" applyFill="1" applyBorder="1" applyAlignment="1">
      <alignment horizontal="center" vertical="center"/>
    </xf>
    <xf numFmtId="41" fontId="36" fillId="0" borderId="7" xfId="11" applyFont="1" applyFill="1" applyBorder="1" applyAlignment="1">
      <alignment horizontal="center" vertical="center"/>
    </xf>
    <xf numFmtId="41" fontId="36" fillId="11" borderId="113" xfId="11" applyFont="1" applyFill="1" applyBorder="1" applyAlignment="1">
      <alignment horizontal="center" vertical="center"/>
    </xf>
    <xf numFmtId="41" fontId="36" fillId="0" borderId="113" xfId="11" applyFont="1" applyFill="1" applyBorder="1" applyAlignment="1">
      <alignment horizontal="center" vertical="center"/>
    </xf>
    <xf numFmtId="0" fontId="37" fillId="0" borderId="38" xfId="2" applyFont="1" applyBorder="1">
      <alignment vertical="center"/>
    </xf>
    <xf numFmtId="189" fontId="176" fillId="0" borderId="113" xfId="2" applyNumberFormat="1" applyFont="1" applyBorder="1" applyAlignment="1">
      <alignment horizontal="center" vertical="center"/>
    </xf>
    <xf numFmtId="189" fontId="176" fillId="0" borderId="32" xfId="2" applyNumberFormat="1" applyFont="1" applyBorder="1" applyAlignment="1">
      <alignment horizontal="center" vertical="center"/>
    </xf>
    <xf numFmtId="10" fontId="176" fillId="0" borderId="32" xfId="2" applyNumberFormat="1" applyFont="1" applyBorder="1" applyAlignment="1">
      <alignment horizontal="center" vertical="center"/>
    </xf>
    <xf numFmtId="251" fontId="176" fillId="0" borderId="32" xfId="2" applyNumberFormat="1" applyFont="1" applyBorder="1" applyAlignment="1">
      <alignment horizontal="center" vertical="center"/>
    </xf>
    <xf numFmtId="10" fontId="176" fillId="0" borderId="38" xfId="2" applyNumberFormat="1" applyFont="1" applyBorder="1" applyAlignment="1">
      <alignment horizontal="center" vertical="center"/>
    </xf>
    <xf numFmtId="0" fontId="37" fillId="9" borderId="124" xfId="30" applyFont="1" applyFill="1" applyBorder="1" applyAlignment="1">
      <alignment horizontal="center" vertical="center"/>
    </xf>
    <xf numFmtId="41" fontId="37" fillId="9" borderId="72" xfId="30" applyNumberFormat="1" applyFont="1" applyFill="1" applyBorder="1" applyAlignment="1">
      <alignment vertical="center"/>
    </xf>
    <xf numFmtId="41" fontId="37" fillId="9" borderId="72" xfId="30" applyNumberFormat="1" applyFont="1" applyFill="1" applyBorder="1" applyAlignment="1">
      <alignment horizontal="center" vertical="center"/>
    </xf>
    <xf numFmtId="41" fontId="37" fillId="9" borderId="293" xfId="30" applyNumberFormat="1" applyFont="1" applyFill="1" applyBorder="1" applyAlignment="1">
      <alignment vertical="center"/>
    </xf>
    <xf numFmtId="41" fontId="37" fillId="9" borderId="72" xfId="11" applyFont="1" applyFill="1" applyBorder="1" applyAlignment="1">
      <alignment horizontal="center" vertical="center"/>
    </xf>
    <xf numFmtId="193" fontId="52" fillId="0" borderId="32" xfId="11" applyNumberFormat="1" applyFont="1" applyFill="1" applyBorder="1" applyAlignment="1">
      <alignment horizontal="center" vertical="center"/>
    </xf>
    <xf numFmtId="0" fontId="17" fillId="0" borderId="13" xfId="13" applyFont="1" applyBorder="1" applyAlignment="1">
      <alignment horizontal="center" vertical="center"/>
    </xf>
    <xf numFmtId="41" fontId="153" fillId="0" borderId="13" xfId="7" applyFont="1" applyFill="1" applyBorder="1" applyAlignment="1" applyProtection="1">
      <alignment horizontal="center" vertical="center"/>
    </xf>
    <xf numFmtId="41" fontId="153" fillId="0" borderId="13" xfId="2" applyNumberFormat="1" applyFont="1" applyBorder="1" applyAlignment="1">
      <alignment vertical="center" shrinkToFit="1"/>
    </xf>
    <xf numFmtId="3" fontId="153" fillId="0" borderId="13" xfId="13" applyNumberFormat="1" applyFont="1" applyFill="1" applyBorder="1" applyAlignment="1">
      <alignment vertical="center"/>
    </xf>
    <xf numFmtId="41" fontId="153" fillId="0" borderId="13" xfId="7" applyFont="1" applyFill="1" applyBorder="1" applyAlignment="1" applyProtection="1">
      <alignment horizontal="center" vertical="center" shrinkToFit="1"/>
    </xf>
    <xf numFmtId="187" fontId="17" fillId="0" borderId="13" xfId="11" applyNumberFormat="1" applyFont="1" applyFill="1" applyBorder="1" applyAlignment="1">
      <alignment horizontal="center" vertical="center"/>
    </xf>
    <xf numFmtId="4" fontId="17" fillId="0" borderId="32" xfId="13" applyNumberFormat="1" applyFont="1" applyFill="1" applyBorder="1" applyAlignment="1">
      <alignment vertical="center"/>
    </xf>
    <xf numFmtId="0" fontId="11" fillId="0" borderId="59" xfId="2" applyFont="1" applyFill="1" applyBorder="1" applyAlignment="1">
      <alignment horizontal="center" vertical="center"/>
    </xf>
    <xf numFmtId="0" fontId="1" fillId="0" borderId="59" xfId="2" applyFill="1" applyBorder="1">
      <alignment vertical="center"/>
    </xf>
    <xf numFmtId="0" fontId="1" fillId="0" borderId="17" xfId="2" applyFill="1" applyBorder="1">
      <alignment vertical="center"/>
    </xf>
    <xf numFmtId="0" fontId="1" fillId="0" borderId="73" xfId="2" applyFill="1" applyBorder="1">
      <alignment vertical="center"/>
    </xf>
    <xf numFmtId="0" fontId="1" fillId="0" borderId="15" xfId="2" applyFill="1" applyBorder="1">
      <alignment vertical="center"/>
    </xf>
    <xf numFmtId="0" fontId="1" fillId="0" borderId="44" xfId="2" applyFill="1" applyBorder="1">
      <alignment vertical="center"/>
    </xf>
    <xf numFmtId="0" fontId="1" fillId="0" borderId="46" xfId="2" applyFill="1" applyBorder="1">
      <alignment vertical="center"/>
    </xf>
    <xf numFmtId="179" fontId="28" fillId="0" borderId="36" xfId="6" applyNumberFormat="1" applyFont="1" applyFill="1" applyBorder="1" applyAlignment="1">
      <alignment horizontal="center" vertical="center"/>
    </xf>
    <xf numFmtId="0" fontId="0" fillId="0" borderId="294" xfId="0" applyBorder="1" applyAlignment="1">
      <alignment horizontal="center" vertical="center" wrapText="1"/>
    </xf>
    <xf numFmtId="0" fontId="45" fillId="0" borderId="295" xfId="0" applyFont="1" applyBorder="1" applyAlignment="1">
      <alignment horizontal="center" vertical="center" wrapText="1"/>
    </xf>
    <xf numFmtId="0" fontId="0" fillId="0" borderId="296" xfId="0" applyBorder="1" applyAlignment="1">
      <alignment horizontal="center" vertical="center"/>
    </xf>
    <xf numFmtId="0" fontId="0" fillId="0" borderId="59" xfId="0" applyBorder="1">
      <alignment vertical="center"/>
    </xf>
    <xf numFmtId="0" fontId="0" fillId="0" borderId="17" xfId="0" applyBorder="1">
      <alignment vertical="center"/>
    </xf>
    <xf numFmtId="41" fontId="159" fillId="0" borderId="34" xfId="3" applyFont="1" applyBorder="1">
      <alignment vertical="center"/>
    </xf>
    <xf numFmtId="41" fontId="159" fillId="0" borderId="25" xfId="3" applyFont="1" applyBorder="1">
      <alignment vertical="center"/>
    </xf>
    <xf numFmtId="41" fontId="159" fillId="0" borderId="297" xfId="3" applyFont="1" applyBorder="1">
      <alignment vertical="center"/>
    </xf>
    <xf numFmtId="41" fontId="159" fillId="0" borderId="15" xfId="3" applyFont="1" applyFill="1" applyBorder="1">
      <alignment vertical="center"/>
    </xf>
    <xf numFmtId="0" fontId="0" fillId="0" borderId="15" xfId="0" applyBorder="1">
      <alignment vertical="center"/>
    </xf>
    <xf numFmtId="0" fontId="0" fillId="0" borderId="46" xfId="0" applyBorder="1">
      <alignment vertical="center"/>
    </xf>
    <xf numFmtId="41" fontId="167" fillId="0" borderId="25" xfId="7" applyFont="1" applyFill="1" applyBorder="1" applyAlignment="1">
      <alignment horizontal="center" vertical="center"/>
    </xf>
    <xf numFmtId="177" fontId="166" fillId="0" borderId="59" xfId="6" applyNumberFormat="1" applyFont="1" applyFill="1" applyBorder="1" applyAlignment="1">
      <alignment horizontal="right" vertical="center"/>
    </xf>
    <xf numFmtId="177" fontId="166" fillId="0" borderId="17" xfId="6" applyNumberFormat="1" applyFont="1" applyFill="1" applyBorder="1" applyAlignment="1">
      <alignment horizontal="right" vertical="center"/>
    </xf>
    <xf numFmtId="41" fontId="36" fillId="0" borderId="38" xfId="7" applyFont="1" applyFill="1" applyBorder="1" applyAlignment="1">
      <alignment horizontal="center" vertical="center"/>
    </xf>
    <xf numFmtId="41" fontId="36" fillId="0" borderId="48" xfId="7" applyFont="1" applyFill="1" applyBorder="1" applyAlignment="1">
      <alignment horizontal="center" vertical="center"/>
    </xf>
    <xf numFmtId="41" fontId="36" fillId="0" borderId="31" xfId="7" applyFont="1" applyFill="1" applyBorder="1" applyAlignment="1">
      <alignment horizontal="center" vertical="center"/>
    </xf>
    <xf numFmtId="41" fontId="36" fillId="0" borderId="36" xfId="7" applyFont="1" applyFill="1" applyBorder="1" applyAlignment="1">
      <alignment horizontal="center" vertical="center"/>
    </xf>
    <xf numFmtId="0" fontId="44" fillId="0" borderId="59" xfId="0" applyFont="1" applyBorder="1">
      <alignment vertical="center"/>
    </xf>
    <xf numFmtId="0" fontId="44" fillId="0" borderId="17" xfId="0" applyFont="1" applyBorder="1">
      <alignment vertical="center"/>
    </xf>
    <xf numFmtId="0" fontId="44" fillId="0" borderId="73" xfId="0" applyFont="1" applyBorder="1">
      <alignment vertical="center"/>
    </xf>
    <xf numFmtId="0" fontId="48" fillId="0" borderId="0" xfId="0" applyFont="1" applyBorder="1">
      <alignment vertical="center"/>
    </xf>
    <xf numFmtId="9" fontId="38" fillId="0" borderId="59" xfId="2" applyNumberFormat="1" applyFont="1" applyBorder="1">
      <alignment vertical="center"/>
    </xf>
    <xf numFmtId="0" fontId="38" fillId="0" borderId="17" xfId="2" applyFont="1" applyBorder="1">
      <alignment vertical="center"/>
    </xf>
    <xf numFmtId="183" fontId="37" fillId="0" borderId="0" xfId="2" applyNumberFormat="1" applyFont="1" applyBorder="1">
      <alignment vertical="center"/>
    </xf>
    <xf numFmtId="0" fontId="37" fillId="0" borderId="73" xfId="2" applyFont="1" applyBorder="1">
      <alignment vertical="center"/>
    </xf>
    <xf numFmtId="183" fontId="37" fillId="0" borderId="15" xfId="2" applyNumberFormat="1" applyFont="1" applyBorder="1">
      <alignment vertical="center"/>
    </xf>
    <xf numFmtId="0" fontId="37" fillId="0" borderId="46" xfId="2" applyFont="1" applyBorder="1">
      <alignment vertical="center"/>
    </xf>
    <xf numFmtId="0" fontId="177" fillId="0" borderId="59" xfId="2" applyFont="1" applyBorder="1" applyAlignment="1">
      <alignment horizontal="center" vertical="center"/>
    </xf>
    <xf numFmtId="0" fontId="177" fillId="0" borderId="17" xfId="2" applyFont="1" applyBorder="1" applyAlignment="1">
      <alignment horizontal="center" vertical="center"/>
    </xf>
    <xf numFmtId="0" fontId="177" fillId="0" borderId="0" xfId="2" applyFont="1" applyBorder="1" applyAlignment="1">
      <alignment horizontal="center" vertical="center"/>
    </xf>
    <xf numFmtId="0" fontId="177" fillId="0" borderId="73" xfId="2" applyFont="1" applyBorder="1" applyAlignment="1">
      <alignment horizontal="center" vertical="center"/>
    </xf>
    <xf numFmtId="189" fontId="177" fillId="0" borderId="0" xfId="2" applyNumberFormat="1" applyFont="1" applyBorder="1" applyAlignment="1">
      <alignment horizontal="center" vertical="center"/>
    </xf>
    <xf numFmtId="250" fontId="176" fillId="0" borderId="12" xfId="2" applyNumberFormat="1" applyFont="1" applyBorder="1" applyAlignment="1">
      <alignment horizontal="center" vertical="center"/>
    </xf>
    <xf numFmtId="189" fontId="176" fillId="0" borderId="65" xfId="2" applyNumberFormat="1" applyFont="1" applyBorder="1" applyAlignment="1">
      <alignment horizontal="center" vertical="center"/>
    </xf>
    <xf numFmtId="189" fontId="176" fillId="0" borderId="44" xfId="2" applyNumberFormat="1" applyFont="1" applyBorder="1" applyAlignment="1">
      <alignment horizontal="center" vertical="center"/>
    </xf>
    <xf numFmtId="251" fontId="176" fillId="0" borderId="44" xfId="2" applyNumberFormat="1" applyFont="1" applyBorder="1" applyAlignment="1">
      <alignment horizontal="center" vertical="center"/>
    </xf>
    <xf numFmtId="0" fontId="177" fillId="0" borderId="15" xfId="2" applyFont="1" applyBorder="1" applyAlignment="1">
      <alignment horizontal="center" vertical="center"/>
    </xf>
    <xf numFmtId="189" fontId="177" fillId="0" borderId="15" xfId="2" applyNumberFormat="1" applyFont="1" applyBorder="1" applyAlignment="1">
      <alignment horizontal="center" vertical="center"/>
    </xf>
    <xf numFmtId="0" fontId="177" fillId="0" borderId="46" xfId="2" applyFont="1" applyBorder="1" applyAlignment="1">
      <alignment horizontal="center" vertical="center"/>
    </xf>
    <xf numFmtId="41" fontId="37" fillId="0" borderId="44" xfId="11" applyFont="1" applyFill="1" applyBorder="1" applyAlignment="1">
      <alignment horizontal="center" vertical="center"/>
    </xf>
    <xf numFmtId="41" fontId="37" fillId="0" borderId="44" xfId="30" applyNumberFormat="1" applyFont="1" applyFill="1" applyBorder="1" applyAlignment="1">
      <alignment vertical="center"/>
    </xf>
    <xf numFmtId="41" fontId="37" fillId="0" borderId="44" xfId="30" applyNumberFormat="1" applyFont="1" applyBorder="1" applyAlignment="1">
      <alignment horizontal="center" vertical="center"/>
    </xf>
    <xf numFmtId="41" fontId="37" fillId="0" borderId="44" xfId="30" applyNumberFormat="1" applyFont="1" applyBorder="1" applyAlignment="1">
      <alignment vertical="center"/>
    </xf>
    <xf numFmtId="41" fontId="37" fillId="0" borderId="122" xfId="30" applyNumberFormat="1" applyFont="1" applyBorder="1" applyAlignment="1">
      <alignment vertical="center"/>
    </xf>
    <xf numFmtId="41" fontId="37" fillId="0" borderId="15" xfId="30" applyNumberFormat="1" applyFont="1" applyBorder="1" applyAlignment="1">
      <alignment vertical="center"/>
    </xf>
    <xf numFmtId="41" fontId="37" fillId="0" borderId="27" xfId="11" applyFont="1" applyBorder="1" applyAlignment="1">
      <alignment vertical="center"/>
    </xf>
    <xf numFmtId="194" fontId="37" fillId="0" borderId="15" xfId="30" applyNumberFormat="1" applyFont="1" applyBorder="1" applyAlignment="1">
      <alignment vertical="center"/>
    </xf>
    <xf numFmtId="0" fontId="37" fillId="0" borderId="46" xfId="30" applyFont="1" applyBorder="1" applyAlignment="1">
      <alignment vertical="center"/>
    </xf>
    <xf numFmtId="0" fontId="65" fillId="0" borderId="59" xfId="28" applyFont="1" applyBorder="1" applyAlignment="1">
      <alignment vertical="center"/>
    </xf>
    <xf numFmtId="0" fontId="65" fillId="0" borderId="17" xfId="28" applyFont="1" applyBorder="1" applyAlignment="1">
      <alignment vertical="center"/>
    </xf>
    <xf numFmtId="0" fontId="67" fillId="0" borderId="4" xfId="28" applyFont="1" applyBorder="1" applyAlignment="1">
      <alignment horizontal="center" vertical="center"/>
    </xf>
    <xf numFmtId="41" fontId="67" fillId="0" borderId="4" xfId="11" applyFont="1" applyBorder="1" applyAlignment="1">
      <alignment horizontal="center" vertical="center"/>
    </xf>
    <xf numFmtId="179" fontId="52" fillId="0" borderId="69" xfId="11" applyNumberFormat="1" applyFont="1" applyFill="1" applyBorder="1" applyAlignment="1">
      <alignment horizontal="center" vertical="center"/>
    </xf>
    <xf numFmtId="189" fontId="52" fillId="0" borderId="44" xfId="11" applyNumberFormat="1" applyFont="1" applyFill="1" applyBorder="1">
      <alignment vertical="center"/>
    </xf>
    <xf numFmtId="193" fontId="52" fillId="0" borderId="44" xfId="11" applyNumberFormat="1" applyFont="1" applyFill="1" applyBorder="1" applyAlignment="1">
      <alignment horizontal="center" vertical="center"/>
    </xf>
    <xf numFmtId="41" fontId="60" fillId="0" borderId="26" xfId="11" applyFont="1" applyFill="1" applyBorder="1">
      <alignment vertical="center"/>
    </xf>
    <xf numFmtId="41" fontId="60" fillId="0" borderId="15" xfId="11" applyFont="1" applyFill="1" applyBorder="1">
      <alignment vertical="center"/>
    </xf>
    <xf numFmtId="41" fontId="60" fillId="0" borderId="46" xfId="11" applyFont="1" applyFill="1" applyBorder="1">
      <alignment vertical="center"/>
    </xf>
    <xf numFmtId="41" fontId="7" fillId="0" borderId="46" xfId="11" applyFont="1" applyFill="1" applyBorder="1">
      <alignment vertical="center"/>
    </xf>
    <xf numFmtId="191" fontId="1" fillId="0" borderId="15" xfId="10" applyNumberFormat="1" applyBorder="1">
      <alignment vertical="center"/>
    </xf>
    <xf numFmtId="3" fontId="53" fillId="0" borderId="298" xfId="0" applyNumberFormat="1" applyFont="1" applyBorder="1" applyAlignment="1">
      <alignment horizontal="center" vertical="center" wrapText="1"/>
    </xf>
    <xf numFmtId="4" fontId="17" fillId="0" borderId="44" xfId="13" applyNumberFormat="1" applyFont="1" applyFill="1" applyBorder="1" applyAlignment="1">
      <alignment vertical="center"/>
    </xf>
    <xf numFmtId="0" fontId="167" fillId="11" borderId="15" xfId="6" applyFont="1" applyFill="1" applyBorder="1" applyAlignment="1">
      <alignment horizontal="center" vertical="center" wrapText="1"/>
    </xf>
    <xf numFmtId="0" fontId="1" fillId="0" borderId="55" xfId="10" applyBorder="1">
      <alignment vertical="center"/>
    </xf>
    <xf numFmtId="41" fontId="10" fillId="0" borderId="5" xfId="2" applyNumberFormat="1" applyFont="1" applyFill="1" applyBorder="1" applyAlignment="1">
      <alignment horizontal="center" vertical="center"/>
    </xf>
    <xf numFmtId="0" fontId="1" fillId="0" borderId="5" xfId="2" applyBorder="1" applyAlignment="1">
      <alignment vertical="center" shrinkToFit="1"/>
    </xf>
    <xf numFmtId="0" fontId="1" fillId="0" borderId="47" xfId="2" applyFill="1" applyBorder="1">
      <alignment vertical="center"/>
    </xf>
    <xf numFmtId="248" fontId="0" fillId="0" borderId="5" xfId="0" applyNumberFormat="1" applyBorder="1" applyAlignment="1">
      <alignment horizontal="center" vertical="center"/>
    </xf>
    <xf numFmtId="41" fontId="159" fillId="0" borderId="149" xfId="3" applyFont="1" applyBorder="1">
      <alignment vertical="center"/>
    </xf>
    <xf numFmtId="41" fontId="159" fillId="0" borderId="60" xfId="3" applyFont="1" applyBorder="1">
      <alignment vertical="center"/>
    </xf>
    <xf numFmtId="41" fontId="159" fillId="0" borderId="299" xfId="3" applyFont="1" applyBorder="1">
      <alignment vertical="center"/>
    </xf>
    <xf numFmtId="41" fontId="167" fillId="0" borderId="47" xfId="7" applyFont="1" applyFill="1" applyBorder="1" applyAlignment="1">
      <alignment horizontal="center" vertical="center"/>
    </xf>
    <xf numFmtId="0" fontId="9" fillId="0" borderId="5" xfId="0" applyFont="1" applyBorder="1">
      <alignment vertical="center"/>
    </xf>
    <xf numFmtId="9" fontId="9" fillId="0" borderId="17" xfId="0" applyNumberFormat="1" applyFont="1" applyBorder="1">
      <alignment vertical="center"/>
    </xf>
    <xf numFmtId="9" fontId="9" fillId="0" borderId="5" xfId="12" applyNumberFormat="1" applyFont="1" applyBorder="1">
      <alignment vertical="center"/>
    </xf>
    <xf numFmtId="41" fontId="35" fillId="54" borderId="5" xfId="11" applyFont="1" applyFill="1" applyBorder="1" applyAlignment="1">
      <alignment vertical="center" shrinkToFit="1"/>
    </xf>
    <xf numFmtId="41" fontId="36" fillId="0" borderId="5" xfId="11" applyFont="1" applyFill="1" applyBorder="1" applyAlignment="1">
      <alignment horizontal="center" vertical="center"/>
    </xf>
    <xf numFmtId="0" fontId="176" fillId="0" borderId="16" xfId="2" applyFont="1" applyBorder="1" applyAlignment="1">
      <alignment horizontal="center" vertical="center" wrapText="1"/>
    </xf>
    <xf numFmtId="0" fontId="176" fillId="0" borderId="60" xfId="2" applyFont="1" applyBorder="1" applyAlignment="1">
      <alignment horizontal="center" vertical="center" wrapText="1"/>
    </xf>
    <xf numFmtId="0" fontId="176" fillId="0" borderId="47" xfId="2" applyFont="1" applyBorder="1" applyAlignment="1">
      <alignment horizontal="center" vertical="center"/>
    </xf>
    <xf numFmtId="10" fontId="176" fillId="0" borderId="47" xfId="2" applyNumberFormat="1" applyFont="1" applyBorder="1" applyAlignment="1">
      <alignment horizontal="center" vertical="center"/>
    </xf>
    <xf numFmtId="10" fontId="176" fillId="0" borderId="48" xfId="2" applyNumberFormat="1" applyFont="1" applyBorder="1" applyAlignment="1">
      <alignment horizontal="center" vertical="center"/>
    </xf>
    <xf numFmtId="0" fontId="37" fillId="0" borderId="131" xfId="30" applyFont="1" applyFill="1" applyBorder="1" applyAlignment="1">
      <alignment horizontal="center" vertical="center"/>
    </xf>
    <xf numFmtId="41" fontId="37" fillId="0" borderId="71" xfId="11" applyFont="1" applyFill="1" applyBorder="1" applyAlignment="1">
      <alignment horizontal="center" vertical="center"/>
    </xf>
    <xf numFmtId="41" fontId="37" fillId="0" borderId="71" xfId="30" applyNumberFormat="1" applyFont="1" applyFill="1" applyBorder="1" applyAlignment="1">
      <alignment vertical="center"/>
    </xf>
    <xf numFmtId="41" fontId="37" fillId="0" borderId="71" xfId="30" applyNumberFormat="1" applyFont="1" applyFill="1" applyBorder="1" applyAlignment="1">
      <alignment horizontal="center" vertical="center"/>
    </xf>
    <xf numFmtId="41" fontId="37" fillId="0" borderId="300" xfId="30" applyNumberFormat="1" applyFont="1" applyFill="1" applyBorder="1" applyAlignment="1">
      <alignment vertical="center"/>
    </xf>
    <xf numFmtId="0" fontId="67" fillId="0" borderId="16" xfId="28" applyFont="1" applyBorder="1" applyAlignment="1">
      <alignment horizontal="center" vertical="center"/>
    </xf>
    <xf numFmtId="41" fontId="67" fillId="0" borderId="16" xfId="11" applyFont="1" applyBorder="1" applyAlignment="1">
      <alignment horizontal="center" vertical="center"/>
    </xf>
    <xf numFmtId="179" fontId="52" fillId="0" borderId="50" xfId="11" applyNumberFormat="1" applyFont="1" applyFill="1" applyBorder="1" applyAlignment="1">
      <alignment horizontal="center" vertical="center"/>
    </xf>
    <xf numFmtId="41" fontId="52" fillId="0" borderId="60" xfId="11" applyFont="1" applyFill="1" applyBorder="1">
      <alignment vertical="center"/>
    </xf>
    <xf numFmtId="189" fontId="52" fillId="0" borderId="47" xfId="11" applyNumberFormat="1" applyFont="1" applyFill="1" applyBorder="1">
      <alignment vertical="center"/>
    </xf>
    <xf numFmtId="193" fontId="52" fillId="0" borderId="47" xfId="11" applyNumberFormat="1" applyFont="1" applyFill="1" applyBorder="1" applyAlignment="1">
      <alignment horizontal="center" vertical="center"/>
    </xf>
    <xf numFmtId="0" fontId="17" fillId="0" borderId="16" xfId="13" applyFont="1" applyBorder="1" applyAlignment="1">
      <alignment horizontal="center" vertical="center"/>
    </xf>
    <xf numFmtId="4" fontId="17" fillId="0" borderId="16" xfId="13" applyNumberFormat="1" applyFont="1" applyFill="1" applyBorder="1" applyAlignment="1">
      <alignment vertical="center"/>
    </xf>
    <xf numFmtId="192" fontId="17" fillId="0" borderId="16" xfId="13" applyNumberFormat="1" applyFont="1" applyFill="1" applyBorder="1" applyAlignment="1">
      <alignment vertical="center"/>
    </xf>
    <xf numFmtId="187" fontId="17" fillId="0" borderId="16" xfId="11" applyNumberFormat="1" applyFont="1" applyFill="1" applyBorder="1" applyAlignment="1">
      <alignment horizontal="center" vertical="center"/>
    </xf>
    <xf numFmtId="0" fontId="0" fillId="0" borderId="7" xfId="0" applyBorder="1">
      <alignment vertical="center"/>
    </xf>
    <xf numFmtId="9" fontId="9" fillId="0" borderId="7" xfId="12" applyFont="1" applyBorder="1">
      <alignment vertical="center"/>
    </xf>
    <xf numFmtId="0" fontId="156" fillId="0" borderId="26" xfId="0" applyFont="1" applyBorder="1" applyAlignment="1">
      <alignment horizontal="center" vertical="center"/>
    </xf>
    <xf numFmtId="247" fontId="157" fillId="3" borderId="291" xfId="0" applyNumberFormat="1" applyFont="1" applyFill="1" applyBorder="1" applyAlignment="1">
      <alignment vertical="center"/>
    </xf>
    <xf numFmtId="247" fontId="157" fillId="0" borderId="46" xfId="0" applyNumberFormat="1" applyFont="1" applyBorder="1" applyAlignment="1">
      <alignment vertical="center"/>
    </xf>
    <xf numFmtId="247" fontId="157" fillId="0" borderId="7" xfId="0" applyNumberFormat="1" applyFont="1" applyBorder="1" applyAlignment="1">
      <alignment vertical="center"/>
    </xf>
    <xf numFmtId="0" fontId="37" fillId="9" borderId="53" xfId="30" applyFont="1" applyFill="1" applyBorder="1" applyAlignment="1">
      <alignment horizontal="center" vertical="center"/>
    </xf>
    <xf numFmtId="41" fontId="37" fillId="9" borderId="32" xfId="30" applyNumberFormat="1" applyFont="1" applyFill="1" applyBorder="1" applyAlignment="1">
      <alignment vertical="center"/>
    </xf>
    <xf numFmtId="41" fontId="37" fillId="9" borderId="32" xfId="30" applyNumberFormat="1" applyFont="1" applyFill="1" applyBorder="1" applyAlignment="1">
      <alignment horizontal="center" vertical="center"/>
    </xf>
    <xf numFmtId="41" fontId="37" fillId="9" borderId="301" xfId="30" applyNumberFormat="1" applyFont="1" applyFill="1" applyBorder="1" applyAlignment="1">
      <alignment vertical="center"/>
    </xf>
    <xf numFmtId="0" fontId="1" fillId="0" borderId="7" xfId="10" applyBorder="1">
      <alignment vertical="center"/>
    </xf>
    <xf numFmtId="0" fontId="1" fillId="0" borderId="40" xfId="2" applyFill="1" applyBorder="1">
      <alignment vertical="center"/>
    </xf>
    <xf numFmtId="41" fontId="159" fillId="0" borderId="59" xfId="3" applyFont="1" applyFill="1" applyBorder="1">
      <alignment vertical="center"/>
    </xf>
    <xf numFmtId="41" fontId="0" fillId="0" borderId="0" xfId="0" applyNumberFormat="1" applyBorder="1">
      <alignment vertical="center"/>
    </xf>
    <xf numFmtId="41" fontId="159" fillId="0" borderId="44" xfId="3" applyFont="1" applyBorder="1">
      <alignment vertical="center"/>
    </xf>
    <xf numFmtId="41" fontId="167" fillId="0" borderId="9" xfId="7" applyFont="1" applyFill="1" applyBorder="1" applyAlignment="1">
      <alignment horizontal="center" vertical="center"/>
    </xf>
    <xf numFmtId="0" fontId="167" fillId="11" borderId="35" xfId="6" applyFont="1" applyFill="1" applyBorder="1" applyAlignment="1">
      <alignment horizontal="center" vertical="center" wrapText="1"/>
    </xf>
    <xf numFmtId="0" fontId="167" fillId="11" borderId="130" xfId="6" applyFont="1" applyFill="1" applyBorder="1" applyAlignment="1">
      <alignment horizontal="center" vertical="center" wrapText="1"/>
    </xf>
    <xf numFmtId="41" fontId="36" fillId="0" borderId="44" xfId="7" applyFont="1" applyFill="1" applyBorder="1" applyAlignment="1">
      <alignment horizontal="center" vertical="center" wrapText="1"/>
    </xf>
    <xf numFmtId="41" fontId="36" fillId="0" borderId="44" xfId="7" applyFont="1" applyFill="1" applyBorder="1" applyAlignment="1">
      <alignment horizontal="right" vertical="center"/>
    </xf>
    <xf numFmtId="41" fontId="36" fillId="0" borderId="44" xfId="7" applyFont="1" applyFill="1" applyBorder="1" applyAlignment="1">
      <alignment horizontal="right" vertical="center" shrinkToFit="1"/>
    </xf>
    <xf numFmtId="0" fontId="154" fillId="53" borderId="64" xfId="0" applyFont="1" applyFill="1" applyBorder="1" applyAlignment="1">
      <alignment horizontal="center" vertical="center"/>
    </xf>
    <xf numFmtId="0" fontId="154" fillId="53" borderId="304" xfId="0" applyFont="1" applyFill="1" applyBorder="1" applyAlignment="1">
      <alignment horizontal="center" vertical="center"/>
    </xf>
    <xf numFmtId="0" fontId="154" fillId="53" borderId="88" xfId="0" applyFont="1" applyFill="1" applyBorder="1" applyAlignment="1">
      <alignment horizontal="center" vertical="center"/>
    </xf>
    <xf numFmtId="0" fontId="156" fillId="0" borderId="130" xfId="0" applyFont="1" applyBorder="1" applyAlignment="1">
      <alignment horizontal="center" vertical="center"/>
    </xf>
    <xf numFmtId="0" fontId="0" fillId="0" borderId="18" xfId="0" applyBorder="1">
      <alignment vertical="center"/>
    </xf>
    <xf numFmtId="0" fontId="0" fillId="0" borderId="23" xfId="0" applyBorder="1">
      <alignment vertical="center"/>
    </xf>
    <xf numFmtId="183" fontId="37" fillId="0" borderId="59" xfId="2" applyNumberFormat="1" applyFont="1" applyBorder="1">
      <alignment vertical="center"/>
    </xf>
    <xf numFmtId="0" fontId="37" fillId="0" borderId="17" xfId="2" applyFont="1" applyBorder="1">
      <alignment vertical="center"/>
    </xf>
    <xf numFmtId="0" fontId="176" fillId="0" borderId="4" xfId="2" applyFont="1" applyBorder="1" applyAlignment="1">
      <alignment horizontal="center" vertical="center" wrapText="1"/>
    </xf>
    <xf numFmtId="0" fontId="176" fillId="0" borderId="34" xfId="2" applyFont="1" applyBorder="1" applyAlignment="1">
      <alignment horizontal="center" vertical="center" wrapText="1"/>
    </xf>
    <xf numFmtId="0" fontId="176" fillId="0" borderId="35" xfId="2" applyFont="1" applyBorder="1" applyAlignment="1">
      <alignment horizontal="center" vertical="center"/>
    </xf>
    <xf numFmtId="10" fontId="176" fillId="0" borderId="35" xfId="2" applyNumberFormat="1" applyFont="1" applyBorder="1" applyAlignment="1">
      <alignment horizontal="center" vertical="center"/>
    </xf>
    <xf numFmtId="10" fontId="176" fillId="0" borderId="36" xfId="2" applyNumberFormat="1" applyFont="1" applyBorder="1" applyAlignment="1">
      <alignment horizontal="center" vertical="center"/>
    </xf>
    <xf numFmtId="0" fontId="176" fillId="0" borderId="58" xfId="2" applyFont="1" applyBorder="1" applyAlignment="1">
      <alignment horizontal="left" vertical="center"/>
    </xf>
    <xf numFmtId="0" fontId="176" fillId="0" borderId="0" xfId="2" applyFont="1" applyBorder="1" applyAlignment="1">
      <alignment horizontal="left" vertical="center"/>
    </xf>
    <xf numFmtId="0" fontId="176" fillId="0" borderId="0" xfId="2" applyFont="1" applyBorder="1" applyAlignment="1">
      <alignment horizontal="center" vertical="center"/>
    </xf>
    <xf numFmtId="0" fontId="177" fillId="0" borderId="58" xfId="2" applyFont="1" applyBorder="1" applyAlignment="1">
      <alignment horizontal="center" vertical="center"/>
    </xf>
    <xf numFmtId="0" fontId="177" fillId="0" borderId="23" xfId="2" applyFont="1" applyBorder="1" applyAlignment="1">
      <alignment horizontal="center" vertical="center"/>
    </xf>
    <xf numFmtId="41" fontId="37" fillId="0" borderId="40" xfId="30" applyNumberFormat="1" applyFont="1" applyFill="1" applyBorder="1" applyAlignment="1">
      <alignment horizontal="center" vertical="center"/>
    </xf>
    <xf numFmtId="41" fontId="37" fillId="0" borderId="118" xfId="30" applyNumberFormat="1" applyFont="1" applyFill="1" applyBorder="1" applyAlignment="1">
      <alignment vertical="center"/>
    </xf>
    <xf numFmtId="41" fontId="37" fillId="0" borderId="59" xfId="30" applyNumberFormat="1" applyFont="1" applyFill="1" applyBorder="1" applyAlignment="1">
      <alignment vertical="center"/>
    </xf>
    <xf numFmtId="41" fontId="37" fillId="0" borderId="14" xfId="11" applyFont="1" applyFill="1" applyBorder="1" applyAlignment="1">
      <alignment vertical="center"/>
    </xf>
    <xf numFmtId="0" fontId="37" fillId="0" borderId="59" xfId="30" applyFont="1" applyFill="1" applyBorder="1" applyAlignment="1">
      <alignment vertical="center"/>
    </xf>
    <xf numFmtId="194" fontId="37" fillId="0" borderId="59" xfId="30" applyNumberFormat="1" applyFont="1" applyFill="1" applyBorder="1" applyAlignment="1">
      <alignment vertical="center"/>
    </xf>
    <xf numFmtId="0" fontId="37" fillId="0" borderId="17" xfId="30" applyFont="1" applyFill="1" applyBorder="1" applyAlignment="1">
      <alignment vertical="center"/>
    </xf>
    <xf numFmtId="41" fontId="37" fillId="0" borderId="44" xfId="30" applyNumberFormat="1" applyFont="1" applyFill="1" applyBorder="1" applyAlignment="1">
      <alignment horizontal="center" vertical="center"/>
    </xf>
    <xf numFmtId="41" fontId="37" fillId="0" borderId="122" xfId="30" applyNumberFormat="1" applyFont="1" applyFill="1" applyBorder="1" applyAlignment="1">
      <alignment vertical="center"/>
    </xf>
    <xf numFmtId="41" fontId="37" fillId="0" borderId="15" xfId="30" applyNumberFormat="1" applyFont="1" applyFill="1" applyBorder="1" applyAlignment="1">
      <alignment vertical="center"/>
    </xf>
    <xf numFmtId="41" fontId="37" fillId="0" borderId="27" xfId="11" applyFont="1" applyFill="1" applyBorder="1" applyAlignment="1">
      <alignment vertical="center"/>
    </xf>
    <xf numFmtId="41" fontId="52" fillId="0" borderId="51" xfId="11" applyFont="1" applyFill="1" applyBorder="1" applyAlignment="1">
      <alignment vertical="center"/>
    </xf>
    <xf numFmtId="41" fontId="52" fillId="0" borderId="35" xfId="11" applyFont="1" applyFill="1" applyBorder="1" applyAlignment="1">
      <alignment vertical="center"/>
    </xf>
    <xf numFmtId="189" fontId="52" fillId="0" borderId="35" xfId="11" applyNumberFormat="1" applyFont="1" applyFill="1" applyBorder="1" applyAlignment="1">
      <alignment vertical="center"/>
    </xf>
    <xf numFmtId="187" fontId="52" fillId="0" borderId="35" xfId="11" applyNumberFormat="1" applyFont="1" applyFill="1" applyBorder="1" applyAlignment="1">
      <alignment horizontal="center" vertical="center"/>
    </xf>
    <xf numFmtId="41" fontId="7" fillId="0" borderId="59" xfId="11" applyFont="1" applyFill="1" applyBorder="1">
      <alignment vertical="center"/>
    </xf>
    <xf numFmtId="41" fontId="7" fillId="0" borderId="17" xfId="11" applyFont="1" applyFill="1" applyBorder="1">
      <alignment vertical="center"/>
    </xf>
    <xf numFmtId="191" fontId="1" fillId="0" borderId="59" xfId="10" applyNumberFormat="1" applyBorder="1">
      <alignment vertical="center"/>
    </xf>
    <xf numFmtId="3" fontId="53" fillId="0" borderId="305" xfId="0" applyNumberFormat="1" applyFont="1" applyBorder="1" applyAlignment="1">
      <alignment horizontal="center" vertical="center" wrapText="1"/>
    </xf>
    <xf numFmtId="4" fontId="17" fillId="0" borderId="40" xfId="13" applyNumberFormat="1" applyFont="1" applyFill="1" applyBorder="1" applyAlignment="1">
      <alignment vertical="center"/>
    </xf>
    <xf numFmtId="3" fontId="151" fillId="0" borderId="73" xfId="473" applyNumberFormat="1" applyFont="1" applyBorder="1" applyAlignment="1">
      <alignment vertical="center"/>
    </xf>
    <xf numFmtId="192" fontId="1" fillId="0" borderId="15" xfId="10" applyNumberFormat="1" applyBorder="1">
      <alignment vertical="center"/>
    </xf>
    <xf numFmtId="244" fontId="55" fillId="0" borderId="15" xfId="475" applyNumberFormat="1" applyFont="1" applyBorder="1" applyAlignment="1">
      <alignment horizontal="center" vertical="center"/>
    </xf>
    <xf numFmtId="244" fontId="55" fillId="0" borderId="46" xfId="475" applyNumberFormat="1" applyFont="1" applyBorder="1" applyAlignment="1">
      <alignment horizontal="center" vertical="center"/>
    </xf>
    <xf numFmtId="0" fontId="43" fillId="0" borderId="59" xfId="0" applyFont="1" applyBorder="1" applyAlignment="1">
      <alignment horizontal="center" vertical="center"/>
    </xf>
    <xf numFmtId="0" fontId="43" fillId="0" borderId="140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58" xfId="0" applyFont="1" applyBorder="1">
      <alignment vertical="center"/>
    </xf>
    <xf numFmtId="0" fontId="0" fillId="0" borderId="87" xfId="0" applyBorder="1" applyAlignment="1">
      <alignment horizontal="center" vertical="center"/>
    </xf>
    <xf numFmtId="0" fontId="45" fillId="0" borderId="87" xfId="0" applyFont="1" applyBorder="1" applyAlignment="1">
      <alignment horizontal="center" vertical="center"/>
    </xf>
    <xf numFmtId="0" fontId="160" fillId="0" borderId="87" xfId="0" applyFont="1" applyBorder="1" applyAlignment="1">
      <alignment horizontal="center" vertical="center"/>
    </xf>
    <xf numFmtId="0" fontId="0" fillId="0" borderId="285" xfId="0" applyBorder="1" applyAlignment="1">
      <alignment horizontal="center" vertical="center"/>
    </xf>
    <xf numFmtId="0" fontId="0" fillId="0" borderId="306" xfId="0" applyBorder="1" applyAlignment="1">
      <alignment horizontal="center" vertical="center"/>
    </xf>
    <xf numFmtId="0" fontId="106" fillId="0" borderId="87" xfId="0" applyFont="1" applyBorder="1" applyAlignment="1">
      <alignment horizontal="center" vertical="center"/>
    </xf>
    <xf numFmtId="0" fontId="160" fillId="0" borderId="77" xfId="0" applyFont="1" applyBorder="1" applyAlignment="1">
      <alignment horizontal="center" vertical="center"/>
    </xf>
    <xf numFmtId="41" fontId="159" fillId="0" borderId="62" xfId="3" applyFont="1" applyBorder="1">
      <alignment vertical="center"/>
    </xf>
    <xf numFmtId="0" fontId="30" fillId="0" borderId="40" xfId="6" applyFont="1" applyFill="1" applyBorder="1" applyAlignment="1">
      <alignment horizontal="center" vertical="center"/>
    </xf>
    <xf numFmtId="41" fontId="29" fillId="0" borderId="40" xfId="7" applyFont="1" applyFill="1" applyBorder="1" applyAlignment="1">
      <alignment horizontal="center" vertical="center"/>
    </xf>
    <xf numFmtId="0" fontId="30" fillId="0" borderId="1" xfId="6" applyFont="1" applyFill="1" applyBorder="1" applyAlignment="1">
      <alignment horizontal="center" vertical="center"/>
    </xf>
    <xf numFmtId="41" fontId="29" fillId="0" borderId="1" xfId="7" applyFont="1" applyFill="1" applyBorder="1" applyAlignment="1">
      <alignment horizontal="center" vertical="center"/>
    </xf>
    <xf numFmtId="0" fontId="28" fillId="0" borderId="1" xfId="6" applyFont="1" applyFill="1" applyBorder="1" applyAlignment="1">
      <alignment horizontal="center" vertical="center"/>
    </xf>
    <xf numFmtId="41" fontId="28" fillId="0" borderId="1" xfId="7" applyFont="1" applyFill="1" applyBorder="1" applyAlignment="1">
      <alignment horizontal="center" vertical="center"/>
    </xf>
    <xf numFmtId="2" fontId="29" fillId="0" borderId="1" xfId="6" applyNumberFormat="1" applyFont="1" applyFill="1" applyBorder="1" applyAlignment="1">
      <alignment horizontal="center" vertical="center"/>
    </xf>
    <xf numFmtId="41" fontId="28" fillId="0" borderId="44" xfId="7" applyFont="1" applyFill="1" applyBorder="1" applyAlignment="1">
      <alignment horizontal="center" vertical="center"/>
    </xf>
    <xf numFmtId="9" fontId="26" fillId="0" borderId="41" xfId="6" applyNumberFormat="1" applyFont="1" applyFill="1" applyBorder="1" applyAlignment="1">
      <alignment horizontal="center" vertical="center"/>
    </xf>
    <xf numFmtId="9" fontId="26" fillId="0" borderId="31" xfId="6" applyNumberFormat="1" applyFont="1" applyFill="1" applyBorder="1" applyAlignment="1">
      <alignment horizontal="center" vertical="center"/>
    </xf>
    <xf numFmtId="0" fontId="26" fillId="0" borderId="31" xfId="6" applyFont="1" applyFill="1" applyBorder="1" applyAlignment="1">
      <alignment horizontal="center" vertical="center"/>
    </xf>
    <xf numFmtId="0" fontId="26" fillId="0" borderId="45" xfId="6" applyFont="1" applyFill="1" applyBorder="1" applyAlignment="1">
      <alignment horizontal="center" vertical="center"/>
    </xf>
    <xf numFmtId="0" fontId="29" fillId="0" borderId="1" xfId="6" applyFont="1" applyFill="1" applyBorder="1" applyAlignment="1">
      <alignment horizontal="center" vertical="center"/>
    </xf>
    <xf numFmtId="0" fontId="29" fillId="0" borderId="40" xfId="6" applyFont="1" applyFill="1" applyBorder="1" applyAlignment="1">
      <alignment horizontal="center" vertical="center"/>
    </xf>
    <xf numFmtId="0" fontId="36" fillId="0" borderId="6" xfId="13" applyFont="1" applyFill="1" applyBorder="1" applyAlignment="1">
      <alignment horizontal="center" vertical="center"/>
    </xf>
    <xf numFmtId="41" fontId="36" fillId="0" borderId="40" xfId="7" applyFont="1" applyFill="1" applyBorder="1" applyAlignment="1">
      <alignment horizontal="center" vertical="center" wrapText="1"/>
    </xf>
    <xf numFmtId="41" fontId="36" fillId="0" borderId="40" xfId="7" applyFont="1" applyFill="1" applyBorder="1" applyAlignment="1">
      <alignment horizontal="centerContinuous" vertical="center" wrapText="1"/>
    </xf>
    <xf numFmtId="0" fontId="36" fillId="0" borderId="40" xfId="5" applyFont="1" applyFill="1" applyBorder="1" applyAlignment="1">
      <alignment vertical="center"/>
    </xf>
    <xf numFmtId="179" fontId="36" fillId="0" borderId="40" xfId="7" applyNumberFormat="1" applyFont="1" applyFill="1" applyBorder="1" applyAlignment="1">
      <alignment horizontal="center" vertical="center"/>
    </xf>
    <xf numFmtId="41" fontId="36" fillId="0" borderId="40" xfId="7" applyFont="1" applyFill="1" applyBorder="1" applyAlignment="1">
      <alignment vertical="center"/>
    </xf>
    <xf numFmtId="41" fontId="36" fillId="0" borderId="40" xfId="7" applyFont="1" applyFill="1" applyBorder="1" applyAlignment="1">
      <alignment horizontal="right" vertical="center"/>
    </xf>
    <xf numFmtId="41" fontId="36" fillId="0" borderId="40" xfId="7" applyFont="1" applyFill="1" applyBorder="1" applyAlignment="1">
      <alignment horizontal="right" vertical="center" shrinkToFit="1"/>
    </xf>
    <xf numFmtId="0" fontId="36" fillId="0" borderId="41" xfId="5" applyFont="1" applyFill="1" applyBorder="1" applyAlignment="1">
      <alignment horizontal="center" vertical="center" wrapText="1"/>
    </xf>
    <xf numFmtId="41" fontId="36" fillId="0" borderId="1" xfId="7" applyFont="1" applyFill="1" applyBorder="1" applyAlignment="1">
      <alignment horizontal="right" vertical="center"/>
    </xf>
    <xf numFmtId="41" fontId="36" fillId="0" borderId="1" xfId="7" applyFont="1" applyFill="1" applyBorder="1" applyAlignment="1">
      <alignment horizontal="right" vertical="center" shrinkToFit="1"/>
    </xf>
    <xf numFmtId="0" fontId="1" fillId="0" borderId="15" xfId="5" applyFont="1" applyBorder="1" applyAlignment="1">
      <alignment horizontal="left" vertical="center"/>
    </xf>
    <xf numFmtId="0" fontId="166" fillId="0" borderId="15" xfId="6" applyFont="1" applyBorder="1" applyAlignment="1">
      <alignment horizontal="centerContinuous" vertical="center"/>
    </xf>
    <xf numFmtId="176" fontId="169" fillId="0" borderId="15" xfId="6" applyNumberFormat="1" applyFont="1" applyFill="1" applyBorder="1" applyAlignment="1">
      <alignment horizontal="center" vertical="center"/>
    </xf>
    <xf numFmtId="183" fontId="1" fillId="0" borderId="185" xfId="8" applyNumberFormat="1" applyFont="1" applyFill="1" applyBorder="1" applyAlignment="1">
      <alignment horizontal="center" vertical="center"/>
    </xf>
    <xf numFmtId="0" fontId="6" fillId="0" borderId="186" xfId="6" applyFont="1" applyFill="1" applyBorder="1" applyAlignment="1">
      <alignment vertical="center"/>
    </xf>
    <xf numFmtId="0" fontId="1" fillId="0" borderId="186" xfId="6" applyFont="1" applyFill="1" applyBorder="1" applyAlignment="1">
      <alignment vertical="center"/>
    </xf>
    <xf numFmtId="0" fontId="6" fillId="0" borderId="186" xfId="6" applyFont="1" applyFill="1" applyBorder="1" applyAlignment="1">
      <alignment horizontal="center" vertical="center"/>
    </xf>
    <xf numFmtId="0" fontId="1" fillId="0" borderId="186" xfId="6" applyFont="1" applyFill="1" applyBorder="1" applyAlignment="1">
      <alignment horizontal="center" vertical="center"/>
    </xf>
    <xf numFmtId="0" fontId="6" fillId="0" borderId="189" xfId="6" applyFont="1" applyFill="1" applyBorder="1" applyAlignment="1">
      <alignment vertical="center"/>
    </xf>
    <xf numFmtId="0" fontId="6" fillId="0" borderId="15" xfId="5" applyFont="1" applyFill="1" applyBorder="1" applyAlignment="1">
      <alignment horizontal="left" vertical="center"/>
    </xf>
    <xf numFmtId="0" fontId="166" fillId="0" borderId="15" xfId="6" applyFont="1" applyFill="1" applyBorder="1" applyAlignment="1">
      <alignment horizontal="centerContinuous" vertical="center"/>
    </xf>
    <xf numFmtId="176" fontId="166" fillId="0" borderId="15" xfId="6" applyNumberFormat="1" applyFont="1" applyFill="1" applyBorder="1" applyAlignment="1">
      <alignment horizontal="centerContinuous" vertical="center"/>
    </xf>
    <xf numFmtId="176" fontId="166" fillId="0" borderId="15" xfId="6" applyNumberFormat="1" applyFont="1" applyFill="1" applyBorder="1" applyAlignment="1">
      <alignment horizontal="right" vertical="center"/>
    </xf>
    <xf numFmtId="41" fontId="166" fillId="0" borderId="15" xfId="7" applyFont="1" applyFill="1" applyBorder="1" applyAlignment="1">
      <alignment horizontal="right" vertical="center"/>
    </xf>
    <xf numFmtId="0" fontId="168" fillId="0" borderId="59" xfId="6" applyFont="1" applyFill="1" applyBorder="1" applyAlignment="1">
      <alignment horizontal="center" vertical="center"/>
    </xf>
    <xf numFmtId="41" fontId="168" fillId="0" borderId="59" xfId="7" applyFont="1" applyFill="1" applyBorder="1" applyAlignment="1">
      <alignment horizontal="center" vertical="center"/>
    </xf>
    <xf numFmtId="41" fontId="168" fillId="0" borderId="59" xfId="7" applyNumberFormat="1" applyFont="1" applyFill="1" applyBorder="1" applyAlignment="1">
      <alignment horizontal="center" vertical="center"/>
    </xf>
    <xf numFmtId="41" fontId="1" fillId="0" borderId="59" xfId="6" applyNumberFormat="1" applyFont="1" applyFill="1" applyBorder="1" applyAlignment="1">
      <alignment horizontal="center" vertical="center"/>
    </xf>
    <xf numFmtId="41" fontId="168" fillId="0" borderId="17" xfId="7" applyFont="1" applyFill="1" applyBorder="1" applyAlignment="1">
      <alignment horizontal="center" vertical="center"/>
    </xf>
    <xf numFmtId="0" fontId="1" fillId="0" borderId="59" xfId="6" applyFont="1" applyFill="1" applyBorder="1" applyAlignment="1">
      <alignment horizontal="center" vertical="center"/>
    </xf>
    <xf numFmtId="41" fontId="62" fillId="0" borderId="0" xfId="11" applyFont="1" applyFill="1" applyBorder="1" applyAlignment="1">
      <alignment horizontal="center" vertical="center"/>
    </xf>
    <xf numFmtId="41" fontId="60" fillId="0" borderId="0" xfId="11" applyFont="1" applyFill="1" applyBorder="1" applyAlignment="1">
      <alignment horizontal="left" vertical="center" wrapText="1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41" fontId="12" fillId="0" borderId="4" xfId="0" applyNumberFormat="1" applyFont="1" applyFill="1" applyBorder="1" applyAlignment="1">
      <alignment horizontal="center" vertical="center"/>
    </xf>
    <xf numFmtId="41" fontId="7" fillId="0" borderId="4" xfId="2" applyNumberFormat="1" applyFont="1" applyFill="1" applyBorder="1" applyAlignment="1">
      <alignment horizontal="center" vertical="center"/>
    </xf>
    <xf numFmtId="0" fontId="11" fillId="0" borderId="0" xfId="14" applyFont="1" applyBorder="1" applyAlignment="1">
      <alignment vertical="center"/>
    </xf>
    <xf numFmtId="193" fontId="7" fillId="0" borderId="15" xfId="11" applyNumberFormat="1" applyFont="1" applyFill="1" applyBorder="1" applyAlignment="1">
      <alignment horizontal="center" vertical="center"/>
    </xf>
    <xf numFmtId="0" fontId="37" fillId="0" borderId="69" xfId="30" applyFont="1" applyFill="1" applyBorder="1" applyAlignment="1">
      <alignment horizontal="center" vertical="center"/>
    </xf>
    <xf numFmtId="0" fontId="37" fillId="0" borderId="24" xfId="30" applyFont="1" applyFill="1" applyBorder="1" applyAlignment="1">
      <alignment horizontal="center" vertical="center"/>
    </xf>
    <xf numFmtId="0" fontId="37" fillId="0" borderId="25" xfId="30" applyFont="1" applyFill="1" applyBorder="1" applyAlignment="1">
      <alignment horizontal="center" vertical="center"/>
    </xf>
    <xf numFmtId="0" fontId="37" fillId="0" borderId="25" xfId="30" applyFont="1" applyBorder="1" applyAlignment="1">
      <alignment horizontal="center" vertical="center"/>
    </xf>
    <xf numFmtId="0" fontId="37" fillId="0" borderId="308" xfId="30" applyFont="1" applyBorder="1" applyAlignment="1">
      <alignment horizontal="center" vertical="center"/>
    </xf>
    <xf numFmtId="0" fontId="69" fillId="0" borderId="15" xfId="29" applyFont="1" applyFill="1" applyBorder="1" applyAlignment="1">
      <alignment vertical="center"/>
    </xf>
    <xf numFmtId="0" fontId="17" fillId="0" borderId="10" xfId="13" applyFont="1" applyFill="1" applyBorder="1" applyAlignment="1">
      <alignment horizontal="center" vertical="center"/>
    </xf>
    <xf numFmtId="0" fontId="17" fillId="0" borderId="4" xfId="13" applyFont="1" applyBorder="1" applyAlignment="1">
      <alignment horizontal="center" vertical="center"/>
    </xf>
    <xf numFmtId="0" fontId="17" fillId="0" borderId="5" xfId="13" applyFont="1" applyFill="1" applyBorder="1" applyAlignment="1">
      <alignment horizontal="center" vertical="center"/>
    </xf>
    <xf numFmtId="0" fontId="17" fillId="0" borderId="7" xfId="13" applyFont="1" applyFill="1" applyBorder="1" applyAlignment="1">
      <alignment horizontal="center" vertical="center"/>
    </xf>
    <xf numFmtId="0" fontId="17" fillId="0" borderId="12" xfId="13" applyFont="1" applyFill="1" applyBorder="1" applyAlignment="1">
      <alignment horizontal="center" vertical="center"/>
    </xf>
    <xf numFmtId="0" fontId="4" fillId="0" borderId="33" xfId="13" applyFont="1" applyBorder="1" applyAlignment="1">
      <alignment horizontal="center" vertical="center"/>
    </xf>
    <xf numFmtId="0" fontId="4" fillId="0" borderId="55" xfId="13" applyFont="1" applyBorder="1" applyAlignment="1">
      <alignment horizontal="center" vertical="center"/>
    </xf>
    <xf numFmtId="0" fontId="17" fillId="0" borderId="10" xfId="13" applyFont="1" applyBorder="1" applyAlignment="1">
      <alignment horizontal="center" vertical="center"/>
    </xf>
    <xf numFmtId="0" fontId="17" fillId="0" borderId="12" xfId="13" applyFont="1" applyBorder="1" applyAlignment="1">
      <alignment horizontal="center" vertical="center"/>
    </xf>
    <xf numFmtId="0" fontId="17" fillId="0" borderId="13" xfId="13" applyFont="1" applyBorder="1" applyAlignment="1">
      <alignment horizontal="center" vertical="center"/>
    </xf>
    <xf numFmtId="0" fontId="17" fillId="0" borderId="16" xfId="13" applyFont="1" applyBorder="1" applyAlignment="1">
      <alignment horizontal="center" vertical="center"/>
    </xf>
    <xf numFmtId="0" fontId="4" fillId="0" borderId="4" xfId="13" applyFont="1" applyBorder="1" applyAlignment="1">
      <alignment horizontal="center" vertical="center"/>
    </xf>
    <xf numFmtId="0" fontId="4" fillId="0" borderId="4" xfId="13" applyFont="1" applyFill="1" applyBorder="1" applyAlignment="1">
      <alignment horizontal="center" vertical="center"/>
    </xf>
    <xf numFmtId="0" fontId="4" fillId="0" borderId="7" xfId="13" applyFont="1" applyFill="1" applyBorder="1" applyAlignment="1">
      <alignment horizontal="center" vertical="center"/>
    </xf>
    <xf numFmtId="0" fontId="57" fillId="0" borderId="4" xfId="13" applyFont="1" applyBorder="1" applyAlignment="1">
      <alignment horizontal="center" vertical="center"/>
    </xf>
    <xf numFmtId="0" fontId="58" fillId="46" borderId="104" xfId="0" applyFont="1" applyFill="1" applyBorder="1" applyAlignment="1">
      <alignment horizontal="center" vertical="center" wrapText="1"/>
    </xf>
    <xf numFmtId="0" fontId="58" fillId="46" borderId="105" xfId="0" applyFont="1" applyFill="1" applyBorder="1" applyAlignment="1">
      <alignment horizontal="center" vertical="center" wrapText="1"/>
    </xf>
    <xf numFmtId="0" fontId="58" fillId="46" borderId="106" xfId="0" applyFont="1" applyFill="1" applyBorder="1" applyAlignment="1">
      <alignment horizontal="center" vertical="center" wrapText="1"/>
    </xf>
    <xf numFmtId="0" fontId="59" fillId="0" borderId="104" xfId="0" applyFont="1" applyBorder="1" applyAlignment="1">
      <alignment vertical="center" wrapText="1"/>
    </xf>
    <xf numFmtId="0" fontId="59" fillId="0" borderId="106" xfId="0" applyFont="1" applyBorder="1" applyAlignment="1">
      <alignment vertical="center" wrapText="1"/>
    </xf>
    <xf numFmtId="0" fontId="58" fillId="46" borderId="103" xfId="0" applyFont="1" applyFill="1" applyBorder="1" applyAlignment="1">
      <alignment horizontal="center" vertical="center" wrapText="1"/>
    </xf>
    <xf numFmtId="0" fontId="58" fillId="46" borderId="107" xfId="0" applyFont="1" applyFill="1" applyBorder="1" applyAlignment="1">
      <alignment horizontal="center" vertical="center" wrapText="1"/>
    </xf>
    <xf numFmtId="41" fontId="60" fillId="0" borderId="25" xfId="11" applyFont="1" applyFill="1" applyBorder="1" applyAlignment="1">
      <alignment horizontal="center" vertical="center"/>
    </xf>
    <xf numFmtId="41" fontId="60" fillId="0" borderId="27" xfId="11" applyFont="1" applyFill="1" applyBorder="1" applyAlignment="1">
      <alignment horizontal="center" vertical="center"/>
    </xf>
    <xf numFmtId="41" fontId="62" fillId="0" borderId="59" xfId="11" applyFont="1" applyFill="1" applyBorder="1" applyAlignment="1">
      <alignment horizontal="center" vertical="center"/>
    </xf>
    <xf numFmtId="41" fontId="60" fillId="0" borderId="59" xfId="11" applyFont="1" applyFill="1" applyBorder="1" applyAlignment="1">
      <alignment horizontal="left" vertical="center" wrapText="1"/>
    </xf>
    <xf numFmtId="41" fontId="62" fillId="0" borderId="0" xfId="11" applyFont="1" applyFill="1" applyBorder="1" applyAlignment="1">
      <alignment horizontal="center" vertical="center"/>
    </xf>
    <xf numFmtId="41" fontId="60" fillId="0" borderId="0" xfId="11" applyFont="1" applyFill="1" applyBorder="1" applyAlignment="1">
      <alignment horizontal="left" vertical="center" wrapText="1"/>
    </xf>
    <xf numFmtId="41" fontId="60" fillId="0" borderId="39" xfId="11" applyFont="1" applyFill="1" applyBorder="1" applyAlignment="1">
      <alignment horizontal="center" vertical="center"/>
    </xf>
    <xf numFmtId="41" fontId="60" fillId="0" borderId="53" xfId="11" applyFont="1" applyFill="1" applyBorder="1" applyAlignment="1">
      <alignment horizontal="center" vertical="center"/>
    </xf>
    <xf numFmtId="41" fontId="60" fillId="0" borderId="43" xfId="11" applyFont="1" applyFill="1" applyBorder="1" applyAlignment="1">
      <alignment horizontal="center" vertical="center"/>
    </xf>
    <xf numFmtId="41" fontId="62" fillId="0" borderId="20" xfId="11" applyFont="1" applyFill="1" applyBorder="1" applyAlignment="1">
      <alignment horizontal="center" vertical="center"/>
    </xf>
    <xf numFmtId="41" fontId="62" fillId="0" borderId="21" xfId="11" applyFont="1" applyFill="1" applyBorder="1" applyAlignment="1">
      <alignment horizontal="center" vertical="center"/>
    </xf>
    <xf numFmtId="41" fontId="62" fillId="0" borderId="91" xfId="11" applyFont="1" applyFill="1" applyBorder="1" applyAlignment="1">
      <alignment horizontal="center" vertical="center"/>
    </xf>
    <xf numFmtId="41" fontId="60" fillId="0" borderId="3" xfId="11" applyFont="1" applyFill="1" applyBorder="1" applyAlignment="1">
      <alignment horizontal="center" vertical="center"/>
    </xf>
    <xf numFmtId="41" fontId="60" fillId="0" borderId="110" xfId="11" applyFont="1" applyFill="1" applyBorder="1" applyAlignment="1">
      <alignment horizontal="center" vertical="center"/>
    </xf>
    <xf numFmtId="41" fontId="60" fillId="0" borderId="30" xfId="11" applyFont="1" applyFill="1" applyBorder="1" applyAlignment="1">
      <alignment horizontal="center" vertical="center"/>
    </xf>
    <xf numFmtId="41" fontId="60" fillId="0" borderId="52" xfId="11" applyFont="1" applyFill="1" applyBorder="1" applyAlignment="1">
      <alignment horizontal="center" vertical="center"/>
    </xf>
    <xf numFmtId="41" fontId="60" fillId="0" borderId="111" xfId="11" applyFont="1" applyFill="1" applyBorder="1" applyAlignment="1">
      <alignment horizontal="center" vertical="center"/>
    </xf>
    <xf numFmtId="41" fontId="60" fillId="0" borderId="112" xfId="11" applyFont="1" applyFill="1" applyBorder="1" applyAlignment="1">
      <alignment horizontal="center" vertical="center"/>
    </xf>
    <xf numFmtId="41" fontId="60" fillId="0" borderId="26" xfId="11" applyFont="1" applyFill="1" applyBorder="1" applyAlignment="1">
      <alignment horizontal="center" vertical="center"/>
    </xf>
    <xf numFmtId="41" fontId="60" fillId="0" borderId="15" xfId="11" applyFont="1" applyFill="1" applyBorder="1" applyAlignment="1">
      <alignment horizontal="center" vertical="center"/>
    </xf>
    <xf numFmtId="41" fontId="60" fillId="0" borderId="46" xfId="11" applyFont="1" applyFill="1" applyBorder="1" applyAlignment="1">
      <alignment horizontal="center" vertical="center"/>
    </xf>
    <xf numFmtId="41" fontId="60" fillId="0" borderId="35" xfId="11" applyFont="1" applyFill="1" applyBorder="1" applyAlignment="1">
      <alignment horizontal="center" vertical="center"/>
    </xf>
    <xf numFmtId="41" fontId="60" fillId="0" borderId="36" xfId="11" applyFont="1" applyFill="1" applyBorder="1" applyAlignment="1">
      <alignment horizontal="center" vertical="center"/>
    </xf>
    <xf numFmtId="0" fontId="67" fillId="0" borderId="10" xfId="28" applyFont="1" applyBorder="1" applyAlignment="1">
      <alignment horizontal="center" vertical="center" wrapText="1"/>
    </xf>
    <xf numFmtId="0" fontId="67" fillId="0" borderId="11" xfId="28" applyFont="1" applyBorder="1" applyAlignment="1">
      <alignment horizontal="center" vertical="center" wrapText="1"/>
    </xf>
    <xf numFmtId="0" fontId="67" fillId="0" borderId="12" xfId="28" applyFont="1" applyBorder="1" applyAlignment="1">
      <alignment horizontal="center" vertical="center" wrapText="1"/>
    </xf>
    <xf numFmtId="0" fontId="67" fillId="0" borderId="13" xfId="28" applyFont="1" applyBorder="1" applyAlignment="1">
      <alignment horizontal="center" vertical="center" wrapText="1"/>
    </xf>
    <xf numFmtId="0" fontId="67" fillId="0" borderId="4" xfId="28" applyFont="1" applyBorder="1" applyAlignment="1">
      <alignment horizontal="center" vertical="center" wrapText="1"/>
    </xf>
    <xf numFmtId="0" fontId="67" fillId="0" borderId="16" xfId="28" applyFont="1" applyBorder="1" applyAlignment="1">
      <alignment horizontal="center" vertical="center" wrapText="1"/>
    </xf>
    <xf numFmtId="0" fontId="37" fillId="0" borderId="132" xfId="30" applyFont="1" applyFill="1" applyBorder="1" applyAlignment="1">
      <alignment horizontal="center" vertical="center"/>
    </xf>
    <xf numFmtId="0" fontId="37" fillId="0" borderId="133" xfId="30" applyFont="1" applyFill="1" applyBorder="1" applyAlignment="1">
      <alignment horizontal="center" vertical="center"/>
    </xf>
    <xf numFmtId="0" fontId="37" fillId="0" borderId="33" xfId="30" applyFont="1" applyBorder="1" applyAlignment="1">
      <alignment horizontal="center" vertical="center"/>
    </xf>
    <xf numFmtId="0" fontId="37" fillId="0" borderId="55" xfId="30" applyFont="1" applyBorder="1" applyAlignment="1">
      <alignment horizontal="center" vertical="center"/>
    </xf>
    <xf numFmtId="0" fontId="37" fillId="0" borderId="33" xfId="30" applyFont="1" applyFill="1" applyBorder="1" applyAlignment="1">
      <alignment horizontal="center" vertical="center"/>
    </xf>
    <xf numFmtId="0" fontId="37" fillId="0" borderId="34" xfId="30" applyFont="1" applyFill="1" applyBorder="1" applyAlignment="1">
      <alignment horizontal="center" vertical="center"/>
    </xf>
    <xf numFmtId="0" fontId="37" fillId="0" borderId="57" xfId="30" applyFont="1" applyFill="1" applyBorder="1" applyAlignment="1">
      <alignment horizontal="center" vertical="center"/>
    </xf>
    <xf numFmtId="0" fontId="37" fillId="0" borderId="55" xfId="30" applyFont="1" applyFill="1" applyBorder="1" applyAlignment="1">
      <alignment horizontal="center" vertical="center"/>
    </xf>
    <xf numFmtId="0" fontId="37" fillId="0" borderId="59" xfId="30" applyFont="1" applyFill="1" applyBorder="1" applyAlignment="1">
      <alignment horizontal="center" vertical="center"/>
    </xf>
    <xf numFmtId="0" fontId="176" fillId="0" borderId="40" xfId="2" applyFont="1" applyBorder="1" applyAlignment="1">
      <alignment horizontal="center" vertical="center"/>
    </xf>
    <xf numFmtId="0" fontId="176" fillId="0" borderId="41" xfId="2" applyFont="1" applyBorder="1" applyAlignment="1">
      <alignment horizontal="center" vertical="center"/>
    </xf>
    <xf numFmtId="0" fontId="176" fillId="0" borderId="10" xfId="2" applyFont="1" applyBorder="1" applyAlignment="1">
      <alignment horizontal="center" vertical="center"/>
    </xf>
    <xf numFmtId="0" fontId="176" fillId="0" borderId="12" xfId="2" applyFont="1" applyBorder="1" applyAlignment="1">
      <alignment horizontal="center" vertical="center"/>
    </xf>
    <xf numFmtId="0" fontId="176" fillId="0" borderId="44" xfId="2" applyFont="1" applyBorder="1" applyAlignment="1">
      <alignment horizontal="center" vertical="center"/>
    </xf>
    <xf numFmtId="0" fontId="176" fillId="0" borderId="40" xfId="2" applyFont="1" applyBorder="1" applyAlignment="1">
      <alignment horizontal="center" vertical="center" wrapText="1"/>
    </xf>
    <xf numFmtId="0" fontId="176" fillId="3" borderId="50" xfId="2" applyFont="1" applyFill="1" applyBorder="1" applyAlignment="1">
      <alignment horizontal="center" vertical="center"/>
    </xf>
    <xf numFmtId="0" fontId="176" fillId="3" borderId="32" xfId="2" applyFont="1" applyFill="1" applyBorder="1" applyAlignment="1">
      <alignment horizontal="center" vertical="center"/>
    </xf>
    <xf numFmtId="0" fontId="176" fillId="3" borderId="38" xfId="2" applyFont="1" applyFill="1" applyBorder="1" applyAlignment="1">
      <alignment horizontal="center" vertical="center"/>
    </xf>
    <xf numFmtId="0" fontId="176" fillId="0" borderId="50" xfId="2" applyFont="1" applyFill="1" applyBorder="1" applyAlignment="1">
      <alignment horizontal="center" vertical="center"/>
    </xf>
    <xf numFmtId="0" fontId="176" fillId="0" borderId="69" xfId="2" applyFont="1" applyFill="1" applyBorder="1" applyAlignment="1">
      <alignment horizontal="center" vertical="center"/>
    </xf>
    <xf numFmtId="0" fontId="176" fillId="2" borderId="47" xfId="2" applyFont="1" applyFill="1" applyBorder="1" applyAlignment="1">
      <alignment horizontal="center" vertical="center"/>
    </xf>
    <xf numFmtId="0" fontId="176" fillId="2" borderId="31" xfId="2" applyFont="1" applyFill="1" applyBorder="1" applyAlignment="1">
      <alignment horizontal="center" vertical="center"/>
    </xf>
    <xf numFmtId="0" fontId="176" fillId="0" borderId="37" xfId="2" applyFont="1" applyFill="1" applyBorder="1" applyAlignment="1">
      <alignment horizontal="center" vertical="center"/>
    </xf>
    <xf numFmtId="0" fontId="176" fillId="0" borderId="25" xfId="2" applyFont="1" applyFill="1" applyBorder="1" applyAlignment="1">
      <alignment horizontal="center" vertical="center"/>
    </xf>
    <xf numFmtId="0" fontId="176" fillId="0" borderId="51" xfId="2" applyFont="1" applyFill="1" applyBorder="1" applyAlignment="1">
      <alignment horizontal="center" vertical="center"/>
    </xf>
    <xf numFmtId="0" fontId="176" fillId="0" borderId="35" xfId="2" applyFont="1" applyFill="1" applyBorder="1" applyAlignment="1">
      <alignment horizontal="center" vertical="center"/>
    </xf>
    <xf numFmtId="0" fontId="176" fillId="0" borderId="36" xfId="2" applyFont="1" applyFill="1" applyBorder="1" applyAlignment="1">
      <alignment horizontal="center" vertical="center"/>
    </xf>
    <xf numFmtId="0" fontId="37" fillId="0" borderId="5" xfId="2" applyFont="1" applyBorder="1" applyAlignment="1">
      <alignment horizontal="center" vertical="center"/>
    </xf>
    <xf numFmtId="0" fontId="37" fillId="0" borderId="6" xfId="2" applyFont="1" applyBorder="1" applyAlignment="1">
      <alignment horizontal="center" vertical="center"/>
    </xf>
    <xf numFmtId="0" fontId="37" fillId="0" borderId="7" xfId="2" applyFont="1" applyBorder="1" applyAlignment="1">
      <alignment horizontal="center" vertical="center"/>
    </xf>
    <xf numFmtId="0" fontId="38" fillId="0" borderId="33" xfId="2" applyFont="1" applyBorder="1" applyAlignment="1">
      <alignment horizontal="center" vertical="center"/>
    </xf>
    <xf numFmtId="0" fontId="38" fillId="0" borderId="55" xfId="2" applyFont="1" applyBorder="1" applyAlignment="1">
      <alignment horizontal="center" vertical="center"/>
    </xf>
    <xf numFmtId="0" fontId="36" fillId="0" borderId="33" xfId="13" applyFont="1" applyFill="1" applyBorder="1" applyAlignment="1">
      <alignment horizontal="center" vertical="center"/>
    </xf>
    <xf numFmtId="0" fontId="36" fillId="0" borderId="55" xfId="13" applyFont="1" applyFill="1" applyBorder="1" applyAlignment="1">
      <alignment horizontal="center" vertical="center"/>
    </xf>
    <xf numFmtId="0" fontId="36" fillId="0" borderId="5" xfId="13" applyFont="1" applyFill="1" applyBorder="1" applyAlignment="1">
      <alignment horizontal="center" vertical="center"/>
    </xf>
    <xf numFmtId="0" fontId="36" fillId="0" borderId="6" xfId="13" applyFont="1" applyFill="1" applyBorder="1" applyAlignment="1">
      <alignment horizontal="center" vertical="center"/>
    </xf>
    <xf numFmtId="0" fontId="36" fillId="0" borderId="33" xfId="2" applyFont="1" applyFill="1" applyBorder="1" applyAlignment="1">
      <alignment horizontal="center" vertical="center"/>
    </xf>
    <xf numFmtId="0" fontId="36" fillId="0" borderId="55" xfId="2" applyFont="1" applyFill="1" applyBorder="1" applyAlignment="1">
      <alignment horizontal="center" vertical="center"/>
    </xf>
    <xf numFmtId="0" fontId="37" fillId="0" borderId="17" xfId="2" applyFont="1" applyBorder="1" applyAlignment="1">
      <alignment horizontal="center" vertical="center"/>
    </xf>
    <xf numFmtId="0" fontId="37" fillId="0" borderId="73" xfId="2" applyFont="1" applyBorder="1" applyAlignment="1">
      <alignment horizontal="center" vertical="center"/>
    </xf>
    <xf numFmtId="0" fontId="37" fillId="0" borderId="46" xfId="2" applyFont="1" applyBorder="1" applyAlignment="1">
      <alignment horizontal="center" vertical="center"/>
    </xf>
    <xf numFmtId="0" fontId="36" fillId="0" borderId="46" xfId="13" applyFont="1" applyFill="1" applyBorder="1" applyAlignment="1">
      <alignment horizontal="center" vertical="center"/>
    </xf>
    <xf numFmtId="0" fontId="36" fillId="0" borderId="17" xfId="13" applyFont="1" applyFill="1" applyBorder="1" applyAlignment="1">
      <alignment horizontal="center" vertical="center"/>
    </xf>
    <xf numFmtId="0" fontId="36" fillId="0" borderId="7" xfId="13" applyFont="1" applyFill="1" applyBorder="1" applyAlignment="1">
      <alignment horizontal="center" vertical="center"/>
    </xf>
    <xf numFmtId="0" fontId="38" fillId="0" borderId="57" xfId="2" applyFont="1" applyBorder="1" applyAlignment="1">
      <alignment horizontal="center" vertical="center"/>
    </xf>
    <xf numFmtId="0" fontId="136" fillId="50" borderId="4" xfId="0" applyFont="1" applyFill="1" applyBorder="1" applyAlignment="1">
      <alignment horizontal="center" vertical="center" wrapText="1"/>
    </xf>
    <xf numFmtId="0" fontId="36" fillId="0" borderId="4" xfId="2" applyFont="1" applyFill="1" applyBorder="1" applyAlignment="1">
      <alignment horizontal="center" vertical="center"/>
    </xf>
    <xf numFmtId="0" fontId="36" fillId="0" borderId="4" xfId="13" applyFont="1" applyFill="1" applyBorder="1" applyAlignment="1">
      <alignment horizontal="center" vertical="center"/>
    </xf>
    <xf numFmtId="0" fontId="135" fillId="0" borderId="4" xfId="13" applyFont="1" applyFill="1" applyBorder="1" applyAlignment="1">
      <alignment horizontal="center" vertical="center"/>
    </xf>
    <xf numFmtId="0" fontId="135" fillId="0" borderId="4" xfId="2" applyFont="1" applyFill="1" applyBorder="1" applyAlignment="1">
      <alignment horizontal="center" vertical="center"/>
    </xf>
    <xf numFmtId="0" fontId="154" fillId="53" borderId="79" xfId="0" applyFont="1" applyFill="1" applyBorder="1" applyAlignment="1">
      <alignment horizontal="center" vertical="center"/>
    </xf>
    <xf numFmtId="0" fontId="154" fillId="53" borderId="302" xfId="0" applyFont="1" applyFill="1" applyBorder="1" applyAlignment="1">
      <alignment horizontal="center" vertical="center"/>
    </xf>
    <xf numFmtId="0" fontId="154" fillId="53" borderId="303" xfId="0" applyFont="1" applyFill="1" applyBorder="1" applyAlignment="1">
      <alignment horizontal="center" vertical="center"/>
    </xf>
    <xf numFmtId="0" fontId="155" fillId="0" borderId="231" xfId="0" applyFont="1" applyBorder="1" applyAlignment="1">
      <alignment horizontal="center" vertical="center" wrapText="1"/>
    </xf>
    <xf numFmtId="0" fontId="155" fillId="0" borderId="6" xfId="0" applyFont="1" applyBorder="1" applyAlignment="1">
      <alignment horizontal="center" vertical="center" wrapText="1"/>
    </xf>
    <xf numFmtId="0" fontId="155" fillId="0" borderId="7" xfId="0" applyFont="1" applyBorder="1" applyAlignment="1">
      <alignment horizontal="center" vertical="center" wrapText="1"/>
    </xf>
    <xf numFmtId="0" fontId="155" fillId="0" borderId="33" xfId="0" applyFont="1" applyBorder="1" applyAlignment="1">
      <alignment horizontal="center" vertical="center"/>
    </xf>
    <xf numFmtId="0" fontId="155" fillId="0" borderId="232" xfId="0" applyFont="1" applyBorder="1" applyAlignment="1">
      <alignment horizontal="center" vertical="center"/>
    </xf>
    <xf numFmtId="0" fontId="9" fillId="0" borderId="62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79" fontId="28" fillId="11" borderId="33" xfId="6" applyNumberFormat="1" applyFont="1" applyFill="1" applyBorder="1" applyAlignment="1">
      <alignment horizontal="center" vertical="center"/>
    </xf>
    <xf numFmtId="179" fontId="28" fillId="11" borderId="55" xfId="6" applyNumberFormat="1" applyFont="1" applyFill="1" applyBorder="1" applyAlignment="1">
      <alignment horizontal="center" vertical="center"/>
    </xf>
    <xf numFmtId="0" fontId="155" fillId="0" borderId="10" xfId="0" applyFont="1" applyBorder="1" applyAlignment="1">
      <alignment horizontal="center" vertical="center"/>
    </xf>
    <xf numFmtId="0" fontId="155" fillId="0" borderId="28" xfId="0" applyFont="1" applyBorder="1" applyAlignment="1">
      <alignment horizontal="center" vertical="center"/>
    </xf>
    <xf numFmtId="0" fontId="156" fillId="0" borderId="11" xfId="0" applyFont="1" applyBorder="1" applyAlignment="1">
      <alignment horizontal="center" vertical="center"/>
    </xf>
    <xf numFmtId="0" fontId="156" fillId="0" borderId="29" xfId="0" applyFont="1" applyBorder="1" applyAlignment="1">
      <alignment horizontal="center" vertical="center"/>
    </xf>
    <xf numFmtId="0" fontId="156" fillId="0" borderId="12" xfId="0" applyFont="1" applyBorder="1" applyAlignment="1">
      <alignment horizontal="center" vertical="center"/>
    </xf>
    <xf numFmtId="0" fontId="156" fillId="0" borderId="144" xfId="0" applyFont="1" applyBorder="1" applyAlignment="1">
      <alignment horizontal="center" vertical="center"/>
    </xf>
    <xf numFmtId="0" fontId="155" fillId="0" borderId="144" xfId="0" applyFont="1" applyBorder="1" applyAlignment="1">
      <alignment horizontal="center" vertical="center"/>
    </xf>
    <xf numFmtId="0" fontId="155" fillId="0" borderId="4" xfId="0" applyFont="1" applyBorder="1" applyAlignment="1">
      <alignment horizontal="center" vertical="center"/>
    </xf>
    <xf numFmtId="0" fontId="155" fillId="0" borderId="5" xfId="0" applyFont="1" applyBorder="1" applyAlignment="1">
      <alignment horizontal="center" vertical="center" wrapText="1"/>
    </xf>
    <xf numFmtId="0" fontId="155" fillId="0" borderId="23" xfId="0" applyFont="1" applyBorder="1" applyAlignment="1">
      <alignment horizontal="center" vertical="center"/>
    </xf>
    <xf numFmtId="0" fontId="0" fillId="55" borderId="234" xfId="0" applyFill="1" applyBorder="1" applyAlignment="1">
      <alignment horizontal="center" vertical="center"/>
    </xf>
    <xf numFmtId="0" fontId="0" fillId="55" borderId="228" xfId="0" applyFill="1" applyBorder="1" applyAlignment="1">
      <alignment horizontal="center" vertical="center"/>
    </xf>
    <xf numFmtId="0" fontId="155" fillId="0" borderId="18" xfId="0" applyFont="1" applyBorder="1" applyAlignment="1">
      <alignment horizontal="center" vertical="center"/>
    </xf>
    <xf numFmtId="0" fontId="155" fillId="0" borderId="233" xfId="0" applyFont="1" applyBorder="1" applyAlignment="1">
      <alignment horizontal="center" vertical="center"/>
    </xf>
    <xf numFmtId="0" fontId="154" fillId="53" borderId="226" xfId="0" applyFont="1" applyFill="1" applyBorder="1" applyAlignment="1">
      <alignment horizontal="center" vertical="center"/>
    </xf>
    <xf numFmtId="0" fontId="154" fillId="53" borderId="139" xfId="0" applyFont="1" applyFill="1" applyBorder="1" applyAlignment="1">
      <alignment horizontal="center" vertical="center"/>
    </xf>
    <xf numFmtId="0" fontId="154" fillId="53" borderId="230" xfId="0" applyFont="1" applyFill="1" applyBorder="1" applyAlignment="1">
      <alignment horizontal="center" vertical="center"/>
    </xf>
    <xf numFmtId="0" fontId="36" fillId="0" borderId="42" xfId="5" applyFont="1" applyFill="1" applyBorder="1" applyAlignment="1">
      <alignment horizontal="center" vertical="center" wrapText="1"/>
    </xf>
    <xf numFmtId="0" fontId="36" fillId="0" borderId="1" xfId="5" applyFont="1" applyFill="1" applyBorder="1" applyAlignment="1">
      <alignment horizontal="center" vertical="center"/>
    </xf>
    <xf numFmtId="0" fontId="170" fillId="0" borderId="5" xfId="9" applyFont="1" applyBorder="1" applyAlignment="1">
      <alignment horizontal="center" vertical="center" wrapText="1"/>
    </xf>
    <xf numFmtId="0" fontId="170" fillId="0" borderId="7" xfId="9" applyFont="1" applyBorder="1" applyAlignment="1">
      <alignment horizontal="center" vertical="center"/>
    </xf>
    <xf numFmtId="0" fontId="36" fillId="0" borderId="152" xfId="5" applyFont="1" applyFill="1" applyBorder="1" applyAlignment="1">
      <alignment horizontal="center" vertical="center"/>
    </xf>
    <xf numFmtId="0" fontId="36" fillId="0" borderId="165" xfId="5" applyFont="1" applyFill="1" applyBorder="1" applyAlignment="1">
      <alignment horizontal="center" vertical="center"/>
    </xf>
    <xf numFmtId="0" fontId="36" fillId="0" borderId="5" xfId="9" applyFont="1" applyFill="1" applyBorder="1" applyAlignment="1">
      <alignment horizontal="center" vertical="center" wrapText="1"/>
    </xf>
    <xf numFmtId="0" fontId="36" fillId="0" borderId="6" xfId="9" applyFont="1" applyFill="1" applyBorder="1" applyAlignment="1">
      <alignment horizontal="center" vertical="center" wrapText="1"/>
    </xf>
    <xf numFmtId="0" fontId="35" fillId="0" borderId="18" xfId="9" applyFont="1" applyFill="1" applyBorder="1" applyAlignment="1">
      <alignment horizontal="center" vertical="center"/>
    </xf>
    <xf numFmtId="0" fontId="35" fillId="0" borderId="17" xfId="9" applyFont="1" applyFill="1" applyBorder="1" applyAlignment="1">
      <alignment horizontal="center" vertical="center"/>
    </xf>
    <xf numFmtId="0" fontId="35" fillId="0" borderId="23" xfId="9" applyFont="1" applyFill="1" applyBorder="1" applyAlignment="1">
      <alignment horizontal="center" vertical="center"/>
    </xf>
    <xf numFmtId="0" fontId="35" fillId="0" borderId="46" xfId="9" applyFont="1" applyFill="1" applyBorder="1" applyAlignment="1">
      <alignment horizontal="center" vertical="center"/>
    </xf>
    <xf numFmtId="0" fontId="170" fillId="0" borderId="4" xfId="9" applyFont="1" applyFill="1" applyBorder="1" applyAlignment="1">
      <alignment horizontal="center" vertical="center"/>
    </xf>
    <xf numFmtId="184" fontId="36" fillId="0" borderId="5" xfId="9" applyNumberFormat="1" applyFont="1" applyFill="1" applyBorder="1" applyAlignment="1">
      <alignment horizontal="center" vertical="center"/>
    </xf>
    <xf numFmtId="184" fontId="36" fillId="0" borderId="7" xfId="9" applyNumberFormat="1" applyFont="1" applyFill="1" applyBorder="1" applyAlignment="1">
      <alignment horizontal="center" vertical="center"/>
    </xf>
    <xf numFmtId="0" fontId="167" fillId="11" borderId="9" xfId="6" applyFont="1" applyFill="1" applyBorder="1" applyAlignment="1">
      <alignment horizontal="center" vertical="center" wrapText="1"/>
    </xf>
    <xf numFmtId="0" fontId="167" fillId="11" borderId="25" xfId="6" applyFont="1" applyFill="1" applyBorder="1" applyAlignment="1">
      <alignment horizontal="center" vertical="center" wrapText="1"/>
    </xf>
    <xf numFmtId="0" fontId="167" fillId="11" borderId="40" xfId="6" applyFont="1" applyFill="1" applyBorder="1" applyAlignment="1">
      <alignment horizontal="center" vertical="center" wrapText="1"/>
    </xf>
    <xf numFmtId="0" fontId="167" fillId="11" borderId="44" xfId="6" applyFont="1" applyFill="1" applyBorder="1" applyAlignment="1">
      <alignment horizontal="center" vertical="center" wrapText="1"/>
    </xf>
    <xf numFmtId="0" fontId="167" fillId="11" borderId="162" xfId="6" applyFont="1" applyFill="1" applyBorder="1" applyAlignment="1">
      <alignment horizontal="center" vertical="center" wrapText="1"/>
    </xf>
    <xf numFmtId="0" fontId="167" fillId="11" borderId="150" xfId="5" applyFont="1" applyFill="1" applyBorder="1" applyAlignment="1">
      <alignment horizontal="center" vertical="center"/>
    </xf>
    <xf numFmtId="0" fontId="167" fillId="11" borderId="162" xfId="5" applyFont="1" applyFill="1" applyBorder="1" applyAlignment="1">
      <alignment horizontal="center" vertical="center"/>
    </xf>
    <xf numFmtId="0" fontId="167" fillId="11" borderId="209" xfId="5" applyFont="1" applyFill="1" applyBorder="1" applyAlignment="1">
      <alignment horizontal="center" vertical="center"/>
    </xf>
    <xf numFmtId="0" fontId="167" fillId="11" borderId="164" xfId="5" applyFont="1" applyFill="1" applyBorder="1" applyAlignment="1">
      <alignment horizontal="center" vertical="center"/>
    </xf>
    <xf numFmtId="0" fontId="167" fillId="11" borderId="162" xfId="5" applyFont="1" applyFill="1" applyBorder="1" applyAlignment="1">
      <alignment horizontal="center" vertical="center" wrapText="1"/>
    </xf>
    <xf numFmtId="0" fontId="167" fillId="11" borderId="164" xfId="5" applyFont="1" applyFill="1" applyBorder="1" applyAlignment="1">
      <alignment horizontal="center" vertical="center" wrapText="1"/>
    </xf>
    <xf numFmtId="0" fontId="36" fillId="0" borderId="150" xfId="5" applyFont="1" applyFill="1" applyBorder="1" applyAlignment="1">
      <alignment horizontal="center" vertical="center"/>
    </xf>
    <xf numFmtId="0" fontId="36" fillId="0" borderId="162" xfId="5" applyFont="1" applyFill="1" applyBorder="1" applyAlignment="1">
      <alignment horizontal="center" vertical="center"/>
    </xf>
    <xf numFmtId="0" fontId="36" fillId="0" borderId="1" xfId="5" applyFont="1" applyFill="1" applyBorder="1" applyAlignment="1">
      <alignment horizontal="center" vertical="center" wrapText="1"/>
    </xf>
    <xf numFmtId="0" fontId="168" fillId="0" borderId="33" xfId="6" applyFont="1" applyFill="1" applyBorder="1" applyAlignment="1">
      <alignment horizontal="center" vertical="center"/>
    </xf>
    <xf numFmtId="0" fontId="168" fillId="0" borderId="34" xfId="6" applyFont="1" applyFill="1" applyBorder="1" applyAlignment="1">
      <alignment horizontal="center" vertical="center"/>
    </xf>
    <xf numFmtId="0" fontId="36" fillId="0" borderId="43" xfId="5" applyFont="1" applyFill="1" applyBorder="1" applyAlignment="1">
      <alignment horizontal="center" vertical="center" wrapText="1"/>
    </xf>
    <xf numFmtId="0" fontId="36" fillId="0" borderId="44" xfId="5" applyFont="1" applyFill="1" applyBorder="1" applyAlignment="1">
      <alignment horizontal="center" vertical="center" wrapText="1"/>
    </xf>
    <xf numFmtId="0" fontId="168" fillId="0" borderId="39" xfId="6" applyFont="1" applyFill="1" applyBorder="1" applyAlignment="1">
      <alignment horizontal="center" vertical="center"/>
    </xf>
    <xf numFmtId="0" fontId="168" fillId="0" borderId="40" xfId="6" applyFont="1" applyFill="1" applyBorder="1" applyAlignment="1">
      <alignment horizontal="center" vertical="center"/>
    </xf>
    <xf numFmtId="0" fontId="168" fillId="0" borderId="42" xfId="6" applyFont="1" applyFill="1" applyBorder="1" applyAlignment="1">
      <alignment horizontal="center" vertical="center" wrapText="1"/>
    </xf>
    <xf numFmtId="0" fontId="168" fillId="0" borderId="1" xfId="6" applyFont="1" applyFill="1" applyBorder="1" applyAlignment="1">
      <alignment horizontal="center" vertical="center"/>
    </xf>
    <xf numFmtId="0" fontId="167" fillId="11" borderId="25" xfId="6" applyFont="1" applyFill="1" applyBorder="1" applyAlignment="1">
      <alignment horizontal="center" vertical="center"/>
    </xf>
    <xf numFmtId="0" fontId="167" fillId="11" borderId="20" xfId="6" applyFont="1" applyFill="1" applyBorder="1" applyAlignment="1">
      <alignment horizontal="center" vertical="center" wrapText="1"/>
    </xf>
    <xf numFmtId="0" fontId="167" fillId="11" borderId="21" xfId="6" applyFont="1" applyFill="1" applyBorder="1" applyAlignment="1">
      <alignment horizontal="center" vertical="center" wrapText="1"/>
    </xf>
    <xf numFmtId="0" fontId="167" fillId="11" borderId="22" xfId="6" applyFont="1" applyFill="1" applyBorder="1" applyAlignment="1">
      <alignment horizontal="center" vertical="center" wrapText="1"/>
    </xf>
    <xf numFmtId="0" fontId="167" fillId="11" borderId="14" xfId="6" applyFont="1" applyFill="1" applyBorder="1" applyAlignment="1">
      <alignment horizontal="center" vertical="center" wrapText="1"/>
    </xf>
    <xf numFmtId="0" fontId="167" fillId="11" borderId="27" xfId="6" applyFont="1" applyFill="1" applyBorder="1" applyAlignment="1">
      <alignment horizontal="center" vertical="center" wrapText="1"/>
    </xf>
    <xf numFmtId="0" fontId="167" fillId="11" borderId="18" xfId="6" applyFont="1" applyFill="1" applyBorder="1" applyAlignment="1">
      <alignment horizontal="center" vertical="center"/>
    </xf>
    <xf numFmtId="0" fontId="167" fillId="11" borderId="19" xfId="6" applyFont="1" applyFill="1" applyBorder="1" applyAlignment="1">
      <alignment horizontal="center" vertical="center"/>
    </xf>
    <xf numFmtId="0" fontId="167" fillId="11" borderId="23" xfId="6" applyFont="1" applyFill="1" applyBorder="1" applyAlignment="1">
      <alignment horizontal="center" vertical="center"/>
    </xf>
    <xf numFmtId="0" fontId="167" fillId="11" borderId="24" xfId="6" applyFont="1" applyFill="1" applyBorder="1" applyAlignment="1">
      <alignment horizontal="center" vertical="center"/>
    </xf>
    <xf numFmtId="0" fontId="167" fillId="11" borderId="9" xfId="6" applyFont="1" applyFill="1" applyBorder="1" applyAlignment="1">
      <alignment horizontal="center" vertical="center"/>
    </xf>
    <xf numFmtId="0" fontId="167" fillId="11" borderId="9" xfId="5" applyFont="1" applyFill="1" applyBorder="1" applyAlignment="1">
      <alignment horizontal="center" vertical="center" wrapText="1"/>
    </xf>
    <xf numFmtId="0" fontId="167" fillId="11" borderId="25" xfId="5" applyFont="1" applyFill="1" applyBorder="1" applyAlignment="1">
      <alignment horizontal="center" vertical="center" wrapText="1"/>
    </xf>
    <xf numFmtId="0" fontId="167" fillId="11" borderId="41" xfId="6" applyFont="1" applyFill="1" applyBorder="1" applyAlignment="1">
      <alignment horizontal="center" vertical="center" wrapText="1"/>
    </xf>
    <xf numFmtId="0" fontId="167" fillId="11" borderId="45" xfId="6" applyFont="1" applyFill="1" applyBorder="1" applyAlignment="1">
      <alignment horizontal="center" vertical="center" wrapText="1"/>
    </xf>
    <xf numFmtId="0" fontId="36" fillId="0" borderId="286" xfId="6" applyFont="1" applyFill="1" applyBorder="1" applyAlignment="1">
      <alignment horizontal="center" vertical="center" wrapText="1"/>
    </xf>
    <xf numFmtId="0" fontId="36" fillId="0" borderId="113" xfId="6" applyFont="1" applyFill="1" applyBorder="1" applyAlignment="1">
      <alignment horizontal="center" vertical="center"/>
    </xf>
    <xf numFmtId="0" fontId="36" fillId="0" borderId="147" xfId="6" applyFont="1" applyFill="1" applyBorder="1" applyAlignment="1">
      <alignment horizontal="center" vertical="center" wrapText="1"/>
    </xf>
    <xf numFmtId="0" fontId="36" fillId="0" borderId="60" xfId="6" applyFont="1" applyFill="1" applyBorder="1" applyAlignment="1">
      <alignment horizontal="center" vertical="center" wrapText="1"/>
    </xf>
    <xf numFmtId="0" fontId="167" fillId="11" borderId="17" xfId="5" applyFont="1" applyFill="1" applyBorder="1" applyAlignment="1">
      <alignment horizontal="center" vertical="center"/>
    </xf>
    <xf numFmtId="0" fontId="167" fillId="11" borderId="46" xfId="5" applyFont="1" applyFill="1" applyBorder="1" applyAlignment="1">
      <alignment horizontal="center" vertical="center"/>
    </xf>
    <xf numFmtId="0" fontId="36" fillId="0" borderId="39" xfId="5" applyFont="1" applyFill="1" applyBorder="1" applyAlignment="1">
      <alignment horizontal="center" vertical="center" wrapText="1"/>
    </xf>
    <xf numFmtId="0" fontId="36" fillId="0" borderId="40" xfId="5" applyFont="1" applyFill="1" applyBorder="1" applyAlignment="1">
      <alignment horizontal="center" vertical="center"/>
    </xf>
    <xf numFmtId="0" fontId="167" fillId="11" borderId="35" xfId="5" applyFont="1" applyFill="1" applyBorder="1" applyAlignment="1">
      <alignment horizontal="center" vertical="center" wrapText="1"/>
    </xf>
    <xf numFmtId="0" fontId="167" fillId="11" borderId="35" xfId="6" applyFont="1" applyFill="1" applyBorder="1" applyAlignment="1">
      <alignment horizontal="center" vertical="center"/>
    </xf>
    <xf numFmtId="0" fontId="167" fillId="11" borderId="35" xfId="6" applyFont="1" applyFill="1" applyBorder="1" applyAlignment="1">
      <alignment horizontal="center" vertical="center" wrapText="1"/>
    </xf>
    <xf numFmtId="0" fontId="167" fillId="11" borderId="90" xfId="6" applyFont="1" applyFill="1" applyBorder="1" applyAlignment="1">
      <alignment horizontal="center" vertical="center" wrapText="1"/>
    </xf>
    <xf numFmtId="0" fontId="167" fillId="11" borderId="59" xfId="6" applyFont="1" applyFill="1" applyBorder="1" applyAlignment="1">
      <alignment horizontal="center" vertical="center" wrapText="1"/>
    </xf>
    <xf numFmtId="0" fontId="167" fillId="11" borderId="18" xfId="5" applyFont="1" applyFill="1" applyBorder="1" applyAlignment="1">
      <alignment horizontal="center" vertical="center"/>
    </xf>
    <xf numFmtId="0" fontId="167" fillId="11" borderId="19" xfId="5" applyFont="1" applyFill="1" applyBorder="1" applyAlignment="1">
      <alignment horizontal="center" vertical="center"/>
    </xf>
    <xf numFmtId="0" fontId="167" fillId="11" borderId="33" xfId="5" applyFont="1" applyFill="1" applyBorder="1" applyAlignment="1">
      <alignment horizontal="center" vertical="center"/>
    </xf>
    <xf numFmtId="0" fontId="167" fillId="11" borderId="34" xfId="5" applyFont="1" applyFill="1" applyBorder="1" applyAlignment="1">
      <alignment horizontal="center" vertical="center"/>
    </xf>
    <xf numFmtId="0" fontId="36" fillId="0" borderId="33" xfId="6" applyFont="1" applyFill="1" applyBorder="1" applyAlignment="1">
      <alignment horizontal="center" vertical="center"/>
    </xf>
    <xf numFmtId="0" fontId="36" fillId="0" borderId="34" xfId="6" applyFont="1" applyFill="1" applyBorder="1" applyAlignment="1">
      <alignment horizontal="center" vertical="center"/>
    </xf>
    <xf numFmtId="0" fontId="36" fillId="0" borderId="29" xfId="6" applyFont="1" applyFill="1" applyBorder="1" applyAlignment="1">
      <alignment horizontal="center" vertical="center" wrapText="1"/>
    </xf>
    <xf numFmtId="0" fontId="36" fillId="0" borderId="30" xfId="6" applyFont="1" applyFill="1" applyBorder="1" applyAlignment="1">
      <alignment horizontal="center" vertical="center"/>
    </xf>
    <xf numFmtId="176" fontId="166" fillId="0" borderId="15" xfId="6" applyNumberFormat="1" applyFont="1" applyFill="1" applyBorder="1" applyAlignment="1">
      <alignment horizontal="center" vertical="center"/>
    </xf>
    <xf numFmtId="0" fontId="167" fillId="11" borderId="39" xfId="5" applyFont="1" applyFill="1" applyBorder="1" applyAlignment="1">
      <alignment horizontal="center" vertical="center"/>
    </xf>
    <xf numFmtId="0" fontId="167" fillId="11" borderId="40" xfId="5" applyFont="1" applyFill="1" applyBorder="1" applyAlignment="1">
      <alignment horizontal="center" vertical="center"/>
    </xf>
    <xf numFmtId="0" fontId="167" fillId="11" borderId="43" xfId="5" applyFont="1" applyFill="1" applyBorder="1" applyAlignment="1">
      <alignment horizontal="center" vertical="center"/>
    </xf>
    <xf numFmtId="0" fontId="167" fillId="11" borderId="44" xfId="5" applyFont="1" applyFill="1" applyBorder="1" applyAlignment="1">
      <alignment horizontal="center" vertical="center"/>
    </xf>
    <xf numFmtId="0" fontId="167" fillId="11" borderId="40" xfId="6" applyFont="1" applyFill="1" applyBorder="1" applyAlignment="1">
      <alignment horizontal="center" vertical="center"/>
    </xf>
    <xf numFmtId="0" fontId="167" fillId="11" borderId="44" xfId="6" applyFont="1" applyFill="1" applyBorder="1" applyAlignment="1">
      <alignment horizontal="center" vertical="center"/>
    </xf>
    <xf numFmtId="0" fontId="1" fillId="0" borderId="58" xfId="5" applyFont="1" applyFill="1" applyBorder="1" applyAlignment="1">
      <alignment horizontal="center" vertical="center"/>
    </xf>
    <xf numFmtId="0" fontId="1" fillId="0" borderId="0" xfId="5" applyFont="1" applyFill="1" applyBorder="1" applyAlignment="1">
      <alignment horizontal="center" vertical="center"/>
    </xf>
    <xf numFmtId="184" fontId="36" fillId="0" borderId="4" xfId="9" applyNumberFormat="1" applyFont="1" applyFill="1" applyBorder="1" applyAlignment="1">
      <alignment horizontal="center" vertical="center"/>
    </xf>
    <xf numFmtId="0" fontId="170" fillId="0" borderId="4" xfId="9" applyFont="1" applyBorder="1" applyAlignment="1">
      <alignment horizontal="center" vertical="center" wrapText="1"/>
    </xf>
    <xf numFmtId="0" fontId="170" fillId="0" borderId="4" xfId="9" applyFont="1" applyBorder="1" applyAlignment="1">
      <alignment horizontal="center" vertical="center"/>
    </xf>
    <xf numFmtId="0" fontId="1" fillId="0" borderId="4" xfId="6" applyFont="1" applyFill="1" applyBorder="1" applyAlignment="1">
      <alignment horizontal="center" vertical="center"/>
    </xf>
    <xf numFmtId="0" fontId="167" fillId="11" borderId="151" xfId="5" applyFont="1" applyFill="1" applyBorder="1" applyAlignment="1">
      <alignment horizontal="center" vertical="center"/>
    </xf>
    <xf numFmtId="0" fontId="167" fillId="11" borderId="197" xfId="5" applyFont="1" applyFill="1" applyBorder="1" applyAlignment="1">
      <alignment horizontal="center" vertical="center"/>
    </xf>
    <xf numFmtId="0" fontId="36" fillId="0" borderId="270" xfId="6" applyFont="1" applyFill="1" applyBorder="1" applyAlignment="1">
      <alignment horizontal="center" vertical="center"/>
    </xf>
    <xf numFmtId="0" fontId="36" fillId="0" borderId="204" xfId="6" applyFont="1" applyFill="1" applyBorder="1" applyAlignment="1">
      <alignment horizontal="center" vertical="center"/>
    </xf>
    <xf numFmtId="0" fontId="167" fillId="11" borderId="23" xfId="5" applyFont="1" applyFill="1" applyBorder="1" applyAlignment="1">
      <alignment horizontal="center" vertical="center"/>
    </xf>
    <xf numFmtId="0" fontId="167" fillId="11" borderId="24" xfId="5" applyFont="1" applyFill="1" applyBorder="1" applyAlignment="1">
      <alignment horizontal="center" vertical="center"/>
    </xf>
    <xf numFmtId="0" fontId="168" fillId="0" borderId="29" xfId="6" applyFont="1" applyFill="1" applyBorder="1" applyAlignment="1">
      <alignment horizontal="center" vertical="center" wrapText="1"/>
    </xf>
    <xf numFmtId="0" fontId="168" fillId="0" borderId="30" xfId="6" applyFont="1" applyFill="1" applyBorder="1" applyAlignment="1">
      <alignment horizontal="center" vertical="center"/>
    </xf>
    <xf numFmtId="0" fontId="168" fillId="0" borderId="147" xfId="6" applyFont="1" applyFill="1" applyBorder="1" applyAlignment="1">
      <alignment horizontal="center" vertical="center" wrapText="1"/>
    </xf>
    <xf numFmtId="0" fontId="168" fillId="0" borderId="60" xfId="6" applyFont="1" applyFill="1" applyBorder="1" applyAlignment="1">
      <alignment horizontal="center" vertical="center" wrapText="1"/>
    </xf>
    <xf numFmtId="0" fontId="168" fillId="0" borderId="29" xfId="5" applyFont="1" applyFill="1" applyBorder="1" applyAlignment="1">
      <alignment horizontal="center" vertical="center" wrapText="1"/>
    </xf>
    <xf numFmtId="0" fontId="168" fillId="0" borderId="30" xfId="5" applyFont="1" applyFill="1" applyBorder="1" applyAlignment="1">
      <alignment horizontal="center" vertical="center"/>
    </xf>
    <xf numFmtId="0" fontId="168" fillId="0" borderId="30" xfId="5" applyFont="1" applyFill="1" applyBorder="1" applyAlignment="1">
      <alignment horizontal="center" vertical="center" wrapText="1"/>
    </xf>
    <xf numFmtId="0" fontId="168" fillId="0" borderId="144" xfId="5" applyFont="1" applyFill="1" applyBorder="1" applyAlignment="1">
      <alignment horizontal="center" vertical="center" wrapText="1"/>
    </xf>
    <xf numFmtId="0" fontId="168" fillId="0" borderId="65" xfId="5" applyFont="1" applyFill="1" applyBorder="1" applyAlignment="1">
      <alignment horizontal="center" vertical="center" wrapText="1"/>
    </xf>
    <xf numFmtId="0" fontId="167" fillId="11" borderId="164" xfId="6" applyFont="1" applyFill="1" applyBorder="1" applyAlignment="1">
      <alignment horizontal="center" vertical="center" wrapText="1"/>
    </xf>
    <xf numFmtId="0" fontId="167" fillId="11" borderId="164" xfId="6" applyFont="1" applyFill="1" applyBorder="1" applyAlignment="1">
      <alignment horizontal="center" vertical="center"/>
    </xf>
    <xf numFmtId="0" fontId="168" fillId="0" borderId="270" xfId="6" applyFont="1" applyFill="1" applyBorder="1" applyAlignment="1">
      <alignment horizontal="center" vertical="center"/>
    </xf>
    <xf numFmtId="0" fontId="168" fillId="0" borderId="204" xfId="6" applyFont="1" applyFill="1" applyBorder="1" applyAlignment="1">
      <alignment horizontal="center" vertical="center"/>
    </xf>
    <xf numFmtId="0" fontId="168" fillId="0" borderId="44" xfId="6" applyFont="1" applyFill="1" applyBorder="1" applyAlignment="1">
      <alignment horizontal="center" vertical="center"/>
    </xf>
    <xf numFmtId="0" fontId="168" fillId="0" borderId="32" xfId="6" applyFont="1" applyFill="1" applyBorder="1" applyAlignment="1">
      <alignment horizontal="center" vertical="center"/>
    </xf>
    <xf numFmtId="41" fontId="168" fillId="0" borderId="47" xfId="7" applyFont="1" applyFill="1" applyBorder="1" applyAlignment="1">
      <alignment horizontal="center" vertical="center"/>
    </xf>
    <xf numFmtId="41" fontId="168" fillId="0" borderId="25" xfId="7" applyFont="1" applyFill="1" applyBorder="1" applyAlignment="1">
      <alignment horizontal="center" vertical="center"/>
    </xf>
    <xf numFmtId="41" fontId="168" fillId="0" borderId="32" xfId="7" applyFont="1" applyFill="1" applyBorder="1" applyAlignment="1">
      <alignment horizontal="center" vertical="center"/>
    </xf>
    <xf numFmtId="41" fontId="168" fillId="0" borderId="37" xfId="7" applyFont="1" applyFill="1" applyBorder="1" applyAlignment="1">
      <alignment horizontal="center" vertical="center"/>
    </xf>
    <xf numFmtId="0" fontId="168" fillId="0" borderId="170" xfId="6" applyFont="1" applyFill="1" applyBorder="1" applyAlignment="1">
      <alignment horizontal="center" vertical="center" wrapText="1"/>
    </xf>
    <xf numFmtId="0" fontId="168" fillId="0" borderId="202" xfId="6" applyFont="1" applyFill="1" applyBorder="1" applyAlignment="1">
      <alignment horizontal="center" vertical="center" wrapText="1"/>
    </xf>
    <xf numFmtId="0" fontId="168" fillId="0" borderId="174" xfId="6" applyFont="1" applyFill="1" applyBorder="1" applyAlignment="1">
      <alignment horizontal="center" vertical="center" wrapText="1"/>
    </xf>
    <xf numFmtId="0" fontId="168" fillId="0" borderId="164" xfId="6" applyFont="1" applyFill="1" applyBorder="1" applyAlignment="1">
      <alignment horizontal="center" vertical="center"/>
    </xf>
    <xf numFmtId="0" fontId="168" fillId="0" borderId="173" xfId="6" applyFont="1" applyFill="1" applyBorder="1" applyAlignment="1">
      <alignment horizontal="center" vertical="center"/>
    </xf>
    <xf numFmtId="0" fontId="168" fillId="0" borderId="166" xfId="6" applyFont="1" applyFill="1" applyBorder="1" applyAlignment="1">
      <alignment horizontal="center" vertical="center"/>
    </xf>
    <xf numFmtId="41" fontId="168" fillId="0" borderId="165" xfId="7" applyFont="1" applyFill="1" applyBorder="1" applyAlignment="1">
      <alignment horizontal="center" vertical="center"/>
    </xf>
    <xf numFmtId="0" fontId="168" fillId="0" borderId="165" xfId="6" applyFont="1" applyFill="1" applyBorder="1" applyAlignment="1">
      <alignment horizontal="center" vertical="center"/>
    </xf>
    <xf numFmtId="41" fontId="168" fillId="0" borderId="1" xfId="7" applyFont="1" applyFill="1" applyBorder="1" applyAlignment="1">
      <alignment horizontal="center" vertical="center"/>
    </xf>
    <xf numFmtId="0" fontId="6" fillId="0" borderId="31" xfId="6" applyFont="1" applyBorder="1" applyAlignment="1">
      <alignment horizontal="center" vertical="center"/>
    </xf>
    <xf numFmtId="0" fontId="168" fillId="0" borderId="43" xfId="6" applyFont="1" applyFill="1" applyBorder="1" applyAlignment="1">
      <alignment horizontal="center" vertical="center" wrapText="1"/>
    </xf>
    <xf numFmtId="0" fontId="168" fillId="0" borderId="184" xfId="6" applyFont="1" applyFill="1" applyBorder="1" applyAlignment="1">
      <alignment horizontal="center" vertical="center" wrapText="1"/>
    </xf>
    <xf numFmtId="0" fontId="168" fillId="0" borderId="184" xfId="6" applyFont="1" applyBorder="1" applyAlignment="1">
      <alignment horizontal="center" vertical="center" wrapText="1"/>
    </xf>
    <xf numFmtId="0" fontId="168" fillId="0" borderId="170" xfId="6" applyFont="1" applyBorder="1" applyAlignment="1">
      <alignment horizontal="center" vertical="center" wrapText="1"/>
    </xf>
    <xf numFmtId="0" fontId="168" fillId="0" borderId="39" xfId="6" applyFont="1" applyBorder="1" applyAlignment="1">
      <alignment horizontal="center" vertical="center" wrapText="1"/>
    </xf>
    <xf numFmtId="0" fontId="168" fillId="0" borderId="42" xfId="6" applyFont="1" applyBorder="1" applyAlignment="1">
      <alignment horizontal="center" vertical="center" wrapText="1"/>
    </xf>
    <xf numFmtId="0" fontId="168" fillId="0" borderId="171" xfId="6" applyFont="1" applyFill="1" applyBorder="1" applyAlignment="1">
      <alignment horizontal="center" vertical="center" wrapText="1"/>
    </xf>
    <xf numFmtId="0" fontId="167" fillId="0" borderId="186" xfId="6" applyFont="1" applyFill="1" applyBorder="1" applyAlignment="1">
      <alignment horizontal="center" vertical="center" wrapText="1"/>
    </xf>
    <xf numFmtId="0" fontId="168" fillId="0" borderId="58" xfId="6" applyFont="1" applyFill="1" applyBorder="1" applyAlignment="1">
      <alignment horizontal="center" vertical="center" wrapText="1"/>
    </xf>
    <xf numFmtId="0" fontId="168" fillId="0" borderId="23" xfId="6" applyFont="1" applyFill="1" applyBorder="1" applyAlignment="1">
      <alignment horizontal="center" vertical="center" wrapText="1"/>
    </xf>
    <xf numFmtId="0" fontId="168" fillId="0" borderId="18" xfId="6" applyFont="1" applyFill="1" applyBorder="1" applyAlignment="1">
      <alignment horizontal="center" vertical="center" wrapText="1"/>
    </xf>
    <xf numFmtId="0" fontId="168" fillId="0" borderId="47" xfId="6" applyFont="1" applyFill="1" applyBorder="1" applyAlignment="1">
      <alignment horizontal="center" vertical="center"/>
    </xf>
    <xf numFmtId="41" fontId="168" fillId="0" borderId="40" xfId="7" applyFont="1" applyFill="1" applyBorder="1" applyAlignment="1">
      <alignment horizontal="center" vertical="center"/>
    </xf>
    <xf numFmtId="187" fontId="1" fillId="0" borderId="4" xfId="12" applyNumberFormat="1" applyFont="1" applyFill="1" applyBorder="1" applyAlignment="1">
      <alignment horizontal="center" vertical="center"/>
    </xf>
    <xf numFmtId="187" fontId="36" fillId="12" borderId="4" xfId="12" applyNumberFormat="1" applyFont="1" applyFill="1" applyBorder="1" applyAlignment="1">
      <alignment horizontal="center" vertical="center"/>
    </xf>
    <xf numFmtId="187" fontId="36" fillId="12" borderId="33" xfId="12" applyNumberFormat="1" applyFont="1" applyFill="1" applyBorder="1" applyAlignment="1">
      <alignment horizontal="center" vertical="center"/>
    </xf>
    <xf numFmtId="187" fontId="36" fillId="12" borderId="57" xfId="12" applyNumberFormat="1" applyFont="1" applyFill="1" applyBorder="1" applyAlignment="1">
      <alignment horizontal="center" vertical="center"/>
    </xf>
    <xf numFmtId="187" fontId="36" fillId="12" borderId="55" xfId="12" applyNumberFormat="1" applyFont="1" applyFill="1" applyBorder="1" applyAlignment="1">
      <alignment horizontal="center" vertical="center"/>
    </xf>
    <xf numFmtId="187" fontId="1" fillId="0" borderId="33" xfId="6" applyNumberFormat="1" applyFont="1" applyFill="1" applyBorder="1" applyAlignment="1">
      <alignment horizontal="center" vertical="center"/>
    </xf>
    <xf numFmtId="187" fontId="1" fillId="0" borderId="57" xfId="6" applyNumberFormat="1" applyFont="1" applyFill="1" applyBorder="1" applyAlignment="1">
      <alignment horizontal="center" vertical="center"/>
    </xf>
    <xf numFmtId="187" fontId="1" fillId="0" borderId="55" xfId="6" applyNumberFormat="1" applyFont="1" applyFill="1" applyBorder="1" applyAlignment="1">
      <alignment horizontal="center" vertical="center"/>
    </xf>
    <xf numFmtId="0" fontId="168" fillId="0" borderId="192" xfId="6" applyFont="1" applyBorder="1" applyAlignment="1">
      <alignment horizontal="center" vertical="center" wrapText="1"/>
    </xf>
    <xf numFmtId="0" fontId="168" fillId="0" borderId="49" xfId="6" applyFont="1" applyFill="1" applyBorder="1" applyAlignment="1">
      <alignment horizontal="center" vertical="center" wrapText="1"/>
    </xf>
    <xf numFmtId="0" fontId="168" fillId="0" borderId="53" xfId="6" applyFont="1" applyFill="1" applyBorder="1" applyAlignment="1">
      <alignment horizontal="center" vertical="center" wrapText="1"/>
    </xf>
    <xf numFmtId="0" fontId="168" fillId="0" borderId="50" xfId="6" applyFont="1" applyFill="1" applyBorder="1" applyAlignment="1">
      <alignment horizontal="center" vertical="center" wrapText="1"/>
    </xf>
    <xf numFmtId="0" fontId="0" fillId="0" borderId="208" xfId="0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235" xfId="0" applyBorder="1" applyAlignment="1">
      <alignment horizontal="center" vertical="center"/>
    </xf>
    <xf numFmtId="0" fontId="0" fillId="0" borderId="249" xfId="0" applyBorder="1" applyAlignment="1">
      <alignment horizontal="center" vertical="center"/>
    </xf>
    <xf numFmtId="0" fontId="0" fillId="0" borderId="259" xfId="0" applyBorder="1" applyAlignment="1">
      <alignment horizontal="center" vertical="center"/>
    </xf>
    <xf numFmtId="0" fontId="0" fillId="0" borderId="260" xfId="0" applyBorder="1" applyAlignment="1">
      <alignment horizontal="center" vertical="center"/>
    </xf>
    <xf numFmtId="0" fontId="0" fillId="0" borderId="258" xfId="0" applyBorder="1" applyAlignment="1">
      <alignment horizontal="center" vertical="center"/>
    </xf>
    <xf numFmtId="0" fontId="0" fillId="0" borderId="236" xfId="0" applyBorder="1" applyAlignment="1">
      <alignment horizontal="center" vertical="center" wrapText="1"/>
    </xf>
    <xf numFmtId="0" fontId="0" fillId="0" borderId="237" xfId="0" applyBorder="1" applyAlignment="1">
      <alignment horizontal="center" vertical="center" wrapText="1"/>
    </xf>
    <xf numFmtId="0" fontId="0" fillId="0" borderId="238" xfId="0" applyBorder="1" applyAlignment="1">
      <alignment horizontal="center" vertical="center" wrapText="1"/>
    </xf>
    <xf numFmtId="0" fontId="0" fillId="0" borderId="87" xfId="0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45" fillId="0" borderId="62" xfId="0" applyFont="1" applyBorder="1" applyAlignment="1">
      <alignment horizontal="center" vertical="center" wrapText="1"/>
    </xf>
    <xf numFmtId="0" fontId="106" fillId="0" borderId="63" xfId="0" applyFont="1" applyBorder="1" applyAlignment="1">
      <alignment horizontal="center" vertical="center" wrapText="1"/>
    </xf>
    <xf numFmtId="0" fontId="0" fillId="0" borderId="307" xfId="0" applyBorder="1" applyAlignment="1">
      <alignment horizontal="center" vertical="center"/>
    </xf>
    <xf numFmtId="0" fontId="29" fillId="0" borderId="39" xfId="6" applyFont="1" applyFill="1" applyBorder="1" applyAlignment="1">
      <alignment horizontal="center" vertical="center"/>
    </xf>
    <xf numFmtId="0" fontId="29" fillId="0" borderId="42" xfId="6" applyFont="1" applyFill="1" applyBorder="1" applyAlignment="1">
      <alignment horizontal="center" vertical="center"/>
    </xf>
    <xf numFmtId="0" fontId="29" fillId="0" borderId="43" xfId="6" applyFont="1" applyFill="1" applyBorder="1" applyAlignment="1">
      <alignment horizontal="center" vertical="center"/>
    </xf>
    <xf numFmtId="0" fontId="7" fillId="0" borderId="152" xfId="5" applyFont="1" applyFill="1" applyBorder="1" applyAlignment="1">
      <alignment horizontal="center" vertical="center"/>
    </xf>
    <xf numFmtId="0" fontId="7" fillId="0" borderId="165" xfId="5" applyFont="1" applyFill="1" applyBorder="1" applyAlignment="1">
      <alignment horizontal="center" vertical="center"/>
    </xf>
    <xf numFmtId="0" fontId="7" fillId="0" borderId="274" xfId="5" applyFont="1" applyFill="1" applyBorder="1" applyAlignment="1">
      <alignment horizontal="center" vertical="center"/>
    </xf>
    <xf numFmtId="0" fontId="7" fillId="0" borderId="275" xfId="5" applyFont="1" applyFill="1" applyBorder="1" applyAlignment="1">
      <alignment horizontal="center" vertical="center"/>
    </xf>
    <xf numFmtId="0" fontId="7" fillId="0" borderId="180" xfId="5" applyFont="1" applyFill="1" applyBorder="1" applyAlignment="1">
      <alignment horizontal="center" vertical="center"/>
    </xf>
    <xf numFmtId="0" fontId="29" fillId="0" borderId="40" xfId="6" applyFont="1" applyFill="1" applyBorder="1" applyAlignment="1">
      <alignment horizontal="center" vertical="center" wrapText="1"/>
    </xf>
    <xf numFmtId="0" fontId="29" fillId="0" borderId="1" xfId="6" applyFont="1" applyFill="1" applyBorder="1" applyAlignment="1">
      <alignment horizontal="center" vertical="center" wrapText="1"/>
    </xf>
    <xf numFmtId="0" fontId="139" fillId="0" borderId="44" xfId="6" applyFont="1" applyFill="1" applyBorder="1" applyAlignment="1">
      <alignment horizontal="center" vertical="center"/>
    </xf>
    <xf numFmtId="0" fontId="7" fillId="0" borderId="276" xfId="5" applyFont="1" applyFill="1" applyBorder="1" applyAlignment="1">
      <alignment horizontal="center" vertical="center"/>
    </xf>
    <xf numFmtId="0" fontId="7" fillId="0" borderId="277" xfId="5" applyFont="1" applyFill="1" applyBorder="1" applyAlignment="1">
      <alignment horizontal="center" vertical="center"/>
    </xf>
    <xf numFmtId="0" fontId="7" fillId="0" borderId="181" xfId="5" applyFont="1" applyFill="1" applyBorder="1" applyAlignment="1">
      <alignment horizontal="center" vertical="center"/>
    </xf>
    <xf numFmtId="0" fontId="7" fillId="0" borderId="271" xfId="5" applyFont="1" applyFill="1" applyBorder="1" applyAlignment="1">
      <alignment horizontal="center" vertical="center"/>
    </xf>
    <xf numFmtId="0" fontId="7" fillId="0" borderId="272" xfId="5" applyFont="1" applyFill="1" applyBorder="1" applyAlignment="1">
      <alignment horizontal="center" vertical="center"/>
    </xf>
    <xf numFmtId="0" fontId="7" fillId="0" borderId="196" xfId="5" applyFont="1" applyFill="1" applyBorder="1" applyAlignment="1">
      <alignment horizontal="center" vertical="center"/>
    </xf>
    <xf numFmtId="0" fontId="28" fillId="0" borderId="35" xfId="6" applyFont="1" applyFill="1" applyBorder="1" applyAlignment="1">
      <alignment horizontal="center" vertical="center"/>
    </xf>
    <xf numFmtId="0" fontId="28" fillId="0" borderId="44" xfId="6" applyFont="1" applyFill="1" applyBorder="1" applyAlignment="1">
      <alignment horizontal="center" vertical="center"/>
    </xf>
    <xf numFmtId="0" fontId="32" fillId="11" borderId="249" xfId="5" applyFont="1" applyFill="1" applyBorder="1" applyAlignment="1">
      <alignment horizontal="center" vertical="center"/>
    </xf>
    <xf numFmtId="0" fontId="32" fillId="11" borderId="231" xfId="5" applyFont="1" applyFill="1" applyBorder="1" applyAlignment="1">
      <alignment horizontal="center" vertical="center"/>
    </xf>
    <xf numFmtId="0" fontId="33" fillId="9" borderId="251" xfId="6" applyFont="1" applyFill="1" applyBorder="1" applyAlignment="1">
      <alignment horizontal="center" vertical="center" wrapText="1"/>
    </xf>
    <xf numFmtId="0" fontId="33" fillId="9" borderId="190" xfId="6" applyFont="1" applyFill="1" applyBorder="1" applyAlignment="1">
      <alignment horizontal="center" vertical="center" wrapText="1"/>
    </xf>
    <xf numFmtId="0" fontId="33" fillId="9" borderId="152" xfId="6" applyFont="1" applyFill="1" applyBorder="1" applyAlignment="1">
      <alignment horizontal="center" vertical="center" wrapText="1"/>
    </xf>
    <xf numFmtId="0" fontId="33" fillId="9" borderId="165" xfId="6" applyFont="1" applyFill="1" applyBorder="1" applyAlignment="1">
      <alignment horizontal="center" vertical="center" wrapText="1"/>
    </xf>
    <xf numFmtId="0" fontId="33" fillId="9" borderId="152" xfId="5" applyFont="1" applyFill="1" applyBorder="1" applyAlignment="1">
      <alignment horizontal="center" vertical="center" wrapText="1"/>
    </xf>
    <xf numFmtId="0" fontId="33" fillId="9" borderId="165" xfId="5" applyFont="1" applyFill="1" applyBorder="1" applyAlignment="1">
      <alignment horizontal="center" vertical="center" wrapText="1"/>
    </xf>
    <xf numFmtId="0" fontId="7" fillId="0" borderId="154" xfId="5" applyFont="1" applyFill="1" applyBorder="1" applyAlignment="1">
      <alignment horizontal="center" vertical="center"/>
    </xf>
    <xf numFmtId="0" fontId="7" fillId="0" borderId="163" xfId="5" applyFont="1" applyFill="1" applyBorder="1" applyAlignment="1">
      <alignment horizontal="center" vertical="center"/>
    </xf>
    <xf numFmtId="0" fontId="33" fillId="9" borderId="152" xfId="6" applyFont="1" applyFill="1" applyBorder="1" applyAlignment="1">
      <alignment horizontal="center" vertical="center"/>
    </xf>
    <xf numFmtId="0" fontId="33" fillId="9" borderId="165" xfId="6" applyFont="1" applyFill="1" applyBorder="1" applyAlignment="1">
      <alignment horizontal="center" vertical="center"/>
    </xf>
    <xf numFmtId="0" fontId="26" fillId="0" borderId="208" xfId="6" applyFont="1" applyFill="1" applyBorder="1" applyAlignment="1">
      <alignment horizontal="center" vertical="center"/>
    </xf>
    <xf numFmtId="0" fontId="26" fillId="0" borderId="4" xfId="6" applyFont="1" applyFill="1" applyBorder="1" applyAlignment="1">
      <alignment horizontal="center" vertical="center"/>
    </xf>
    <xf numFmtId="0" fontId="26" fillId="0" borderId="39" xfId="6" applyFont="1" applyFill="1" applyBorder="1" applyAlignment="1">
      <alignment horizontal="center" vertical="center" wrapText="1"/>
    </xf>
    <xf numFmtId="0" fontId="26" fillId="0" borderId="42" xfId="6" applyFont="1" applyFill="1" applyBorder="1" applyAlignment="1">
      <alignment horizontal="center" vertical="center" wrapText="1"/>
    </xf>
    <xf numFmtId="0" fontId="26" fillId="0" borderId="43" xfId="6" applyFont="1" applyFill="1" applyBorder="1" applyAlignment="1">
      <alignment horizontal="center" vertical="center" wrapText="1"/>
    </xf>
    <xf numFmtId="0" fontId="33" fillId="0" borderId="208" xfId="5" applyFont="1" applyFill="1" applyBorder="1" applyAlignment="1">
      <alignment horizontal="center" vertical="center" wrapText="1"/>
    </xf>
    <xf numFmtId="0" fontId="33" fillId="0" borderId="4" xfId="5" applyFont="1" applyFill="1" applyBorder="1" applyAlignment="1">
      <alignment horizontal="center" vertical="center" wrapText="1"/>
    </xf>
    <xf numFmtId="0" fontId="33" fillId="0" borderId="208" xfId="6" applyFont="1" applyFill="1" applyBorder="1" applyAlignment="1">
      <alignment horizontal="center" vertical="center"/>
    </xf>
    <xf numFmtId="0" fontId="33" fillId="0" borderId="4" xfId="6" applyFont="1" applyFill="1" applyBorder="1" applyAlignment="1">
      <alignment horizontal="center" vertical="center"/>
    </xf>
    <xf numFmtId="0" fontId="33" fillId="0" borderId="76" xfId="6" applyFont="1" applyFill="1" applyBorder="1" applyAlignment="1">
      <alignment horizontal="center" vertical="center" wrapText="1"/>
    </xf>
    <xf numFmtId="0" fontId="33" fillId="0" borderId="88" xfId="6" applyFont="1" applyFill="1" applyBorder="1" applyAlignment="1">
      <alignment horizontal="center" vertical="center" wrapText="1"/>
    </xf>
    <xf numFmtId="0" fontId="26" fillId="0" borderId="78" xfId="6" applyFont="1" applyFill="1" applyBorder="1" applyAlignment="1">
      <alignment horizontal="center" vertical="center"/>
    </xf>
    <xf numFmtId="0" fontId="26" fillId="0" borderId="273" xfId="6" applyFont="1" applyFill="1" applyBorder="1" applyAlignment="1">
      <alignment horizontal="center" vertical="center"/>
    </xf>
    <xf numFmtId="0" fontId="26" fillId="0" borderId="76" xfId="6" applyFont="1" applyFill="1" applyBorder="1" applyAlignment="1">
      <alignment horizontal="center" vertical="center"/>
    </xf>
    <xf numFmtId="0" fontId="26" fillId="0" borderId="88" xfId="6" applyFont="1" applyFill="1" applyBorder="1" applyAlignment="1">
      <alignment horizontal="center" vertical="center"/>
    </xf>
    <xf numFmtId="0" fontId="143" fillId="9" borderId="152" xfId="5" applyFont="1" applyFill="1" applyBorder="1" applyAlignment="1">
      <alignment horizontal="center" vertical="center" wrapText="1"/>
    </xf>
    <xf numFmtId="0" fontId="143" fillId="9" borderId="165" xfId="5" applyFont="1" applyFill="1" applyBorder="1" applyAlignment="1">
      <alignment horizontal="center" vertical="center" wrapText="1"/>
    </xf>
    <xf numFmtId="0" fontId="7" fillId="9" borderId="152" xfId="5" applyFont="1" applyFill="1" applyBorder="1" applyAlignment="1">
      <alignment horizontal="center" vertical="center"/>
    </xf>
    <xf numFmtId="0" fontId="7" fillId="9" borderId="165" xfId="5" applyFont="1" applyFill="1" applyBorder="1" applyAlignment="1">
      <alignment horizontal="center" vertical="center"/>
    </xf>
    <xf numFmtId="0" fontId="26" fillId="0" borderId="74" xfId="6" applyFont="1" applyFill="1" applyBorder="1" applyAlignment="1">
      <alignment horizontal="center" vertical="center"/>
    </xf>
    <xf numFmtId="0" fontId="26" fillId="0" borderId="86" xfId="6" applyFont="1" applyFill="1" applyBorder="1" applyAlignment="1">
      <alignment horizontal="center" vertical="center"/>
    </xf>
    <xf numFmtId="0" fontId="29" fillId="0" borderId="269" xfId="6" applyFont="1" applyFill="1" applyBorder="1" applyAlignment="1">
      <alignment horizontal="center" vertical="center"/>
    </xf>
    <xf numFmtId="0" fontId="29" fillId="0" borderId="270" xfId="6" applyFont="1" applyFill="1" applyBorder="1" applyAlignment="1">
      <alignment horizontal="center" vertical="center"/>
    </xf>
    <xf numFmtId="0" fontId="29" fillId="0" borderId="166" xfId="6" applyFont="1" applyFill="1" applyBorder="1" applyAlignment="1">
      <alignment horizontal="center" vertical="center" wrapText="1"/>
    </xf>
    <xf numFmtId="0" fontId="29" fillId="0" borderId="165" xfId="6" applyFont="1" applyFill="1" applyBorder="1" applyAlignment="1">
      <alignment horizontal="center" vertical="center" wrapText="1"/>
    </xf>
    <xf numFmtId="0" fontId="29" fillId="0" borderId="164" xfId="6" applyFont="1" applyFill="1" applyBorder="1" applyAlignment="1">
      <alignment horizontal="center" vertical="center" wrapText="1"/>
    </xf>
    <xf numFmtId="0" fontId="29" fillId="0" borderId="173" xfId="6" applyFont="1" applyFill="1" applyBorder="1" applyAlignment="1">
      <alignment horizontal="center" vertical="center" wrapText="1"/>
    </xf>
    <xf numFmtId="0" fontId="28" fillId="0" borderId="164" xfId="6" applyFont="1" applyFill="1" applyBorder="1" applyAlignment="1">
      <alignment horizontal="center" vertical="center"/>
    </xf>
    <xf numFmtId="0" fontId="29" fillId="0" borderId="150" xfId="6" applyFont="1" applyFill="1" applyBorder="1" applyAlignment="1">
      <alignment horizontal="center" vertical="center"/>
    </xf>
    <xf numFmtId="0" fontId="29" fillId="0" borderId="152" xfId="6" applyFont="1" applyFill="1" applyBorder="1" applyAlignment="1">
      <alignment horizontal="center" vertical="center"/>
    </xf>
    <xf numFmtId="0" fontId="29" fillId="0" borderId="209" xfId="6" applyFont="1" applyFill="1" applyBorder="1" applyAlignment="1">
      <alignment horizontal="center" vertical="center"/>
    </xf>
    <xf numFmtId="0" fontId="29" fillId="0" borderId="162" xfId="6" applyFont="1" applyFill="1" applyBorder="1" applyAlignment="1">
      <alignment horizontal="center" vertical="center" wrapText="1"/>
    </xf>
    <xf numFmtId="0" fontId="29" fillId="0" borderId="255" xfId="6" applyFont="1" applyFill="1" applyBorder="1" applyAlignment="1">
      <alignment horizontal="center" vertical="center"/>
    </xf>
    <xf numFmtId="0" fontId="29" fillId="0" borderId="154" xfId="6" applyFont="1" applyFill="1" applyBorder="1" applyAlignment="1">
      <alignment horizontal="center" vertical="center"/>
    </xf>
    <xf numFmtId="0" fontId="29" fillId="0" borderId="168" xfId="6" applyFont="1" applyFill="1" applyBorder="1" applyAlignment="1">
      <alignment horizontal="center" vertical="center" wrapText="1"/>
    </xf>
    <xf numFmtId="0" fontId="139" fillId="0" borderId="163" xfId="6" applyFont="1" applyFill="1" applyBorder="1" applyAlignment="1">
      <alignment horizontal="center" vertical="center"/>
    </xf>
    <xf numFmtId="0" fontId="29" fillId="0" borderId="254" xfId="6" applyFont="1" applyFill="1" applyBorder="1" applyAlignment="1">
      <alignment horizontal="center" vertical="center"/>
    </xf>
    <xf numFmtId="0" fontId="139" fillId="0" borderId="164" xfId="6" applyFont="1" applyFill="1" applyBorder="1" applyAlignment="1">
      <alignment horizontal="center" vertical="center"/>
    </xf>
    <xf numFmtId="0" fontId="26" fillId="0" borderId="255" xfId="6" applyFont="1" applyFill="1" applyBorder="1" applyAlignment="1">
      <alignment horizontal="center" vertical="center" wrapText="1"/>
    </xf>
    <xf numFmtId="0" fontId="26" fillId="0" borderId="152" xfId="6" applyFont="1" applyFill="1" applyBorder="1" applyAlignment="1">
      <alignment horizontal="center" vertical="center" wrapText="1"/>
    </xf>
    <xf numFmtId="0" fontId="26" fillId="0" borderId="154" xfId="6" applyFont="1" applyFill="1" applyBorder="1" applyAlignment="1">
      <alignment horizontal="center" vertical="center" wrapText="1"/>
    </xf>
    <xf numFmtId="0" fontId="28" fillId="0" borderId="163" xfId="6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41" fontId="12" fillId="0" borderId="4" xfId="0" applyNumberFormat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left" vertical="center"/>
    </xf>
    <xf numFmtId="0" fontId="13" fillId="0" borderId="5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" fillId="0" borderId="4" xfId="2" applyBorder="1" applyAlignment="1">
      <alignment horizontal="center" vertical="center"/>
    </xf>
    <xf numFmtId="0" fontId="136" fillId="0" borderId="4" xfId="0" applyFont="1" applyFill="1" applyBorder="1" applyAlignment="1">
      <alignment horizontal="center" vertical="center" wrapText="1"/>
    </xf>
    <xf numFmtId="0" fontId="1" fillId="0" borderId="33" xfId="2" applyBorder="1" applyAlignment="1">
      <alignment horizontal="center" vertical="center"/>
    </xf>
    <xf numFmtId="0" fontId="1" fillId="0" borderId="55" xfId="2" applyBorder="1" applyAlignment="1">
      <alignment horizontal="center" vertical="center"/>
    </xf>
    <xf numFmtId="0" fontId="1" fillId="0" borderId="33" xfId="2" applyBorder="1" applyAlignment="1">
      <alignment horizontal="center" vertical="center" wrapText="1"/>
    </xf>
    <xf numFmtId="0" fontId="1" fillId="0" borderId="55" xfId="2" applyBorder="1" applyAlignment="1">
      <alignment horizontal="center" vertical="center" wrapText="1"/>
    </xf>
    <xf numFmtId="0" fontId="2" fillId="0" borderId="0" xfId="1" applyFont="1" applyFill="1" applyBorder="1" applyAlignment="1">
      <alignment horizontal="left" vertical="center"/>
    </xf>
    <xf numFmtId="0" fontId="7" fillId="0" borderId="4" xfId="2" applyFont="1" applyFill="1" applyBorder="1" applyAlignment="1">
      <alignment horizontal="center" vertical="center"/>
    </xf>
    <xf numFmtId="0" fontId="1" fillId="0" borderId="5" xfId="2" applyBorder="1" applyAlignment="1">
      <alignment horizontal="center" vertical="center" wrapText="1"/>
    </xf>
    <xf numFmtId="0" fontId="1" fillId="0" borderId="6" xfId="2" applyBorder="1" applyAlignment="1">
      <alignment horizontal="center" vertical="center" wrapText="1"/>
    </xf>
    <xf numFmtId="0" fontId="1" fillId="0" borderId="7" xfId="2" applyBorder="1" applyAlignment="1">
      <alignment horizontal="center" vertical="center" wrapText="1"/>
    </xf>
    <xf numFmtId="41" fontId="13" fillId="0" borderId="5" xfId="0" applyNumberFormat="1" applyFont="1" applyBorder="1" applyAlignment="1">
      <alignment horizontal="center" vertical="center"/>
    </xf>
    <xf numFmtId="41" fontId="13" fillId="0" borderId="6" xfId="0" applyNumberFormat="1" applyFont="1" applyBorder="1" applyAlignment="1">
      <alignment horizontal="center" vertical="center"/>
    </xf>
    <xf numFmtId="41" fontId="13" fillId="0" borderId="7" xfId="0" applyNumberFormat="1" applyFont="1" applyBorder="1" applyAlignment="1">
      <alignment horizontal="center" vertical="center"/>
    </xf>
    <xf numFmtId="41" fontId="7" fillId="0" borderId="5" xfId="2" applyNumberFormat="1" applyFont="1" applyFill="1" applyBorder="1" applyAlignment="1">
      <alignment horizontal="center" vertical="center"/>
    </xf>
    <xf numFmtId="41" fontId="7" fillId="0" borderId="7" xfId="2" applyNumberFormat="1" applyFont="1" applyFill="1" applyBorder="1" applyAlignment="1">
      <alignment horizontal="center" vertical="center"/>
    </xf>
    <xf numFmtId="41" fontId="7" fillId="0" borderId="6" xfId="2" applyNumberFormat="1" applyFont="1" applyFill="1" applyBorder="1" applyAlignment="1">
      <alignment horizontal="center" vertical="center"/>
    </xf>
    <xf numFmtId="0" fontId="7" fillId="0" borderId="4" xfId="2" applyFont="1" applyBorder="1" applyAlignment="1">
      <alignment horizontal="center" vertical="center" wrapText="1"/>
    </xf>
    <xf numFmtId="0" fontId="7" fillId="0" borderId="7" xfId="2" applyFont="1" applyBorder="1" applyAlignment="1">
      <alignment horizontal="center" vertical="center" wrapText="1"/>
    </xf>
    <xf numFmtId="0" fontId="7" fillId="0" borderId="5" xfId="2" applyFont="1" applyBorder="1" applyAlignment="1">
      <alignment horizontal="center" vertical="center" wrapText="1"/>
    </xf>
    <xf numFmtId="0" fontId="7" fillId="0" borderId="7" xfId="2" applyFont="1" applyFill="1" applyBorder="1" applyAlignment="1">
      <alignment horizontal="center" vertical="center"/>
    </xf>
    <xf numFmtId="0" fontId="7" fillId="0" borderId="4" xfId="2" applyFont="1" applyFill="1" applyBorder="1" applyAlignment="1">
      <alignment horizontal="center" vertical="center" wrapText="1"/>
    </xf>
    <xf numFmtId="0" fontId="7" fillId="0" borderId="7" xfId="2" applyFont="1" applyFill="1" applyBorder="1" applyAlignment="1">
      <alignment horizontal="center" vertical="center" wrapText="1"/>
    </xf>
    <xf numFmtId="0" fontId="7" fillId="0" borderId="5" xfId="2" applyFont="1" applyFill="1" applyBorder="1" applyAlignment="1">
      <alignment horizontal="center" vertical="center" wrapText="1"/>
    </xf>
    <xf numFmtId="0" fontId="7" fillId="0" borderId="5" xfId="2" applyFont="1" applyFill="1" applyBorder="1" applyAlignment="1">
      <alignment horizontal="center" vertical="center"/>
    </xf>
    <xf numFmtId="0" fontId="7" fillId="0" borderId="6" xfId="2" applyFont="1" applyFill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2" fillId="0" borderId="18" xfId="0" applyFont="1" applyFill="1" applyBorder="1" applyAlignment="1">
      <alignment horizontal="center" vertical="center"/>
    </xf>
    <xf numFmtId="0" fontId="12" fillId="0" borderId="17" xfId="0" applyFont="1" applyFill="1" applyBorder="1" applyAlignment="1">
      <alignment horizontal="center" vertical="center"/>
    </xf>
    <xf numFmtId="0" fontId="12" fillId="0" borderId="58" xfId="0" applyFont="1" applyFill="1" applyBorder="1" applyAlignment="1">
      <alignment horizontal="center" vertical="center"/>
    </xf>
    <xf numFmtId="0" fontId="12" fillId="0" borderId="73" xfId="0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41" fontId="7" fillId="0" borderId="4" xfId="2" applyNumberFormat="1" applyFont="1" applyFill="1" applyBorder="1" applyAlignment="1">
      <alignment horizontal="center" vertical="center"/>
    </xf>
    <xf numFmtId="41" fontId="12" fillId="0" borderId="5" xfId="0" applyNumberFormat="1" applyFont="1" applyFill="1" applyBorder="1" applyAlignment="1">
      <alignment horizontal="center" vertical="center"/>
    </xf>
    <xf numFmtId="41" fontId="12" fillId="0" borderId="6" xfId="0" applyNumberFormat="1" applyFont="1" applyFill="1" applyBorder="1" applyAlignment="1">
      <alignment horizontal="center" vertical="center"/>
    </xf>
    <xf numFmtId="41" fontId="12" fillId="0" borderId="7" xfId="0" applyNumberFormat="1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2" fillId="0" borderId="58" xfId="0" applyFont="1" applyBorder="1" applyAlignment="1">
      <alignment horizontal="center" vertical="center"/>
    </xf>
    <xf numFmtId="0" fontId="12" fillId="0" borderId="73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3" fillId="0" borderId="33" xfId="0" applyFont="1" applyBorder="1" applyAlignment="1">
      <alignment horizontal="center" vertical="center"/>
    </xf>
    <xf numFmtId="0" fontId="13" fillId="0" borderId="57" xfId="0" applyFont="1" applyBorder="1" applyAlignment="1">
      <alignment horizontal="center" vertical="center"/>
    </xf>
    <xf numFmtId="0" fontId="13" fillId="0" borderId="55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58" xfId="0" applyFont="1" applyBorder="1" applyAlignment="1">
      <alignment horizontal="center" vertical="center"/>
    </xf>
    <xf numFmtId="0" fontId="13" fillId="0" borderId="7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center"/>
    </xf>
    <xf numFmtId="0" fontId="7" fillId="0" borderId="6" xfId="2" applyFont="1" applyBorder="1" applyAlignment="1">
      <alignment horizontal="center" vertical="center" wrapText="1"/>
    </xf>
    <xf numFmtId="0" fontId="7" fillId="0" borderId="6" xfId="2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/>
    </xf>
    <xf numFmtId="0" fontId="13" fillId="0" borderId="23" xfId="0" applyFont="1" applyFill="1" applyBorder="1" applyAlignment="1">
      <alignment horizontal="center" vertical="center"/>
    </xf>
    <xf numFmtId="0" fontId="13" fillId="0" borderId="46" xfId="0" applyFont="1" applyFill="1" applyBorder="1" applyAlignment="1">
      <alignment horizontal="center" vertical="center"/>
    </xf>
    <xf numFmtId="0" fontId="13" fillId="0" borderId="58" xfId="0" applyFont="1" applyFill="1" applyBorder="1" applyAlignment="1">
      <alignment horizontal="center" vertical="center"/>
    </xf>
    <xf numFmtId="0" fontId="13" fillId="0" borderId="73" xfId="0" applyFont="1" applyFill="1" applyBorder="1" applyAlignment="1">
      <alignment horizontal="center" vertical="center"/>
    </xf>
    <xf numFmtId="41" fontId="7" fillId="0" borderId="164" xfId="2" applyNumberFormat="1" applyFont="1" applyFill="1" applyBorder="1" applyAlignment="1">
      <alignment horizontal="center" vertical="center"/>
    </xf>
    <xf numFmtId="41" fontId="7" fillId="0" borderId="173" xfId="2" applyNumberFormat="1" applyFont="1" applyFill="1" applyBorder="1" applyAlignment="1">
      <alignment horizontal="center" vertical="center"/>
    </xf>
    <xf numFmtId="41" fontId="7" fillId="0" borderId="166" xfId="2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44" xfId="0" applyFont="1" applyBorder="1" applyAlignment="1">
      <alignment horizontal="center" vertical="center"/>
    </xf>
    <xf numFmtId="0" fontId="12" fillId="0" borderId="39" xfId="0" applyFont="1" applyFill="1" applyBorder="1" applyAlignment="1">
      <alignment horizontal="center" vertical="center"/>
    </xf>
    <xf numFmtId="0" fontId="12" fillId="0" borderId="42" xfId="0" applyFont="1" applyFill="1" applyBorder="1" applyAlignment="1">
      <alignment horizontal="center" vertical="center"/>
    </xf>
    <xf numFmtId="0" fontId="12" fillId="0" borderId="43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44" xfId="0" applyFont="1" applyFill="1" applyBorder="1" applyAlignment="1">
      <alignment horizontal="center" vertical="center"/>
    </xf>
    <xf numFmtId="0" fontId="13" fillId="0" borderId="165" xfId="0" applyFont="1" applyBorder="1" applyAlignment="1">
      <alignment horizontal="center" vertical="center"/>
    </xf>
    <xf numFmtId="0" fontId="13" fillId="0" borderId="175" xfId="0" applyFont="1" applyBorder="1" applyAlignment="1">
      <alignment horizontal="center" vertical="center"/>
    </xf>
    <xf numFmtId="41" fontId="12" fillId="0" borderId="1" xfId="0" applyNumberFormat="1" applyFont="1" applyFill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41" fontId="13" fillId="0" borderId="164" xfId="0" applyNumberFormat="1" applyFont="1" applyBorder="1" applyAlignment="1">
      <alignment horizontal="center" vertical="center"/>
    </xf>
    <xf numFmtId="41" fontId="13" fillId="0" borderId="173" xfId="0" applyNumberFormat="1" applyFont="1" applyBorder="1" applyAlignment="1">
      <alignment horizontal="center" vertical="center"/>
    </xf>
    <xf numFmtId="41" fontId="13" fillId="0" borderId="166" xfId="0" applyNumberFormat="1" applyFont="1" applyBorder="1" applyAlignment="1">
      <alignment horizontal="center" vertical="center"/>
    </xf>
    <xf numFmtId="0" fontId="7" fillId="0" borderId="42" xfId="2" applyFont="1" applyFill="1" applyBorder="1" applyAlignment="1">
      <alignment horizontal="center" vertical="center"/>
    </xf>
    <xf numFmtId="0" fontId="7" fillId="0" borderId="43" xfId="2" applyFont="1" applyFill="1" applyBorder="1" applyAlignment="1">
      <alignment horizontal="center" vertical="center"/>
    </xf>
    <xf numFmtId="41" fontId="7" fillId="0" borderId="1" xfId="2" applyNumberFormat="1" applyFont="1" applyFill="1" applyBorder="1" applyAlignment="1">
      <alignment horizontal="center" vertical="center"/>
    </xf>
    <xf numFmtId="41" fontId="7" fillId="0" borderId="44" xfId="2" applyNumberFormat="1" applyFont="1" applyFill="1" applyBorder="1" applyAlignment="1">
      <alignment horizontal="center" vertical="center"/>
    </xf>
    <xf numFmtId="0" fontId="13" fillId="0" borderId="59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172" xfId="0" applyFont="1" applyBorder="1" applyAlignment="1">
      <alignment horizontal="center" vertical="center"/>
    </xf>
    <xf numFmtId="0" fontId="13" fillId="0" borderId="188" xfId="0" applyFont="1" applyBorder="1" applyAlignment="1">
      <alignment horizontal="center" vertical="center"/>
    </xf>
    <xf numFmtId="0" fontId="13" fillId="0" borderId="247" xfId="0" applyFont="1" applyBorder="1" applyAlignment="1">
      <alignment horizontal="center" vertical="center"/>
    </xf>
    <xf numFmtId="0" fontId="13" fillId="0" borderId="289" xfId="0" applyFont="1" applyBorder="1" applyAlignment="1">
      <alignment horizontal="center" vertical="center"/>
    </xf>
    <xf numFmtId="0" fontId="13" fillId="0" borderId="174" xfId="0" applyFont="1" applyBorder="1" applyAlignment="1">
      <alignment horizontal="center" vertical="center"/>
    </xf>
    <xf numFmtId="0" fontId="13" fillId="0" borderId="189" xfId="0" applyFont="1" applyBorder="1" applyAlignment="1">
      <alignment horizontal="center" vertical="center"/>
    </xf>
    <xf numFmtId="41" fontId="12" fillId="0" borderId="165" xfId="0" applyNumberFormat="1" applyFont="1" applyFill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2" fillId="0" borderId="172" xfId="0" applyFont="1" applyBorder="1" applyAlignment="1">
      <alignment horizontal="center" vertical="center"/>
    </xf>
    <xf numFmtId="0" fontId="12" fillId="0" borderId="201" xfId="0" applyFont="1" applyBorder="1" applyAlignment="1">
      <alignment horizontal="center" vertical="center"/>
    </xf>
    <xf numFmtId="0" fontId="12" fillId="0" borderId="170" xfId="0" applyFont="1" applyBorder="1" applyAlignment="1">
      <alignment horizontal="center" vertical="center"/>
    </xf>
    <xf numFmtId="0" fontId="12" fillId="0" borderId="199" xfId="0" applyFont="1" applyBorder="1" applyAlignment="1">
      <alignment horizontal="center" vertical="center"/>
    </xf>
    <xf numFmtId="0" fontId="12" fillId="0" borderId="202" xfId="0" applyFont="1" applyBorder="1" applyAlignment="1">
      <alignment horizontal="center" vertical="center"/>
    </xf>
    <xf numFmtId="0" fontId="12" fillId="0" borderId="266" xfId="0" applyFont="1" applyBorder="1" applyAlignment="1">
      <alignment horizontal="center" vertical="center"/>
    </xf>
    <xf numFmtId="0" fontId="12" fillId="0" borderId="171" xfId="0" applyFont="1" applyBorder="1" applyAlignment="1">
      <alignment horizontal="center" vertical="center"/>
    </xf>
    <xf numFmtId="0" fontId="12" fillId="0" borderId="200" xfId="0" applyFont="1" applyBorder="1" applyAlignment="1">
      <alignment horizontal="center" vertical="center"/>
    </xf>
    <xf numFmtId="0" fontId="13" fillId="0" borderId="165" xfId="0" applyFont="1" applyFill="1" applyBorder="1" applyAlignment="1">
      <alignment horizontal="center" vertical="center"/>
    </xf>
    <xf numFmtId="0" fontId="12" fillId="0" borderId="192" xfId="0" applyFont="1" applyFill="1" applyBorder="1" applyAlignment="1">
      <alignment horizontal="center" vertical="center"/>
    </xf>
    <xf numFmtId="0" fontId="12" fillId="0" borderId="162" xfId="0" applyFont="1" applyFill="1" applyBorder="1" applyAlignment="1">
      <alignment horizontal="center" vertical="center"/>
    </xf>
    <xf numFmtId="0" fontId="12" fillId="0" borderId="210" xfId="0" applyFont="1" applyFill="1" applyBorder="1" applyAlignment="1">
      <alignment horizontal="center" vertical="center"/>
    </xf>
    <xf numFmtId="0" fontId="13" fillId="0" borderId="171" xfId="0" applyFont="1" applyBorder="1" applyAlignment="1">
      <alignment horizontal="center" vertical="center"/>
    </xf>
    <xf numFmtId="0" fontId="13" fillId="0" borderId="187" xfId="0" applyFont="1" applyBorder="1" applyAlignment="1">
      <alignment horizontal="center" vertical="center"/>
    </xf>
    <xf numFmtId="0" fontId="12" fillId="0" borderId="267" xfId="0" applyFont="1" applyFill="1" applyBorder="1" applyAlignment="1">
      <alignment horizontal="center" vertical="center"/>
    </xf>
    <xf numFmtId="0" fontId="12" fillId="0" borderId="268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170" xfId="0" applyFont="1" applyFill="1" applyBorder="1" applyAlignment="1">
      <alignment horizontal="center" vertical="center"/>
    </xf>
    <xf numFmtId="0" fontId="12" fillId="0" borderId="202" xfId="0" applyFont="1" applyFill="1" applyBorder="1" applyAlignment="1">
      <alignment horizontal="center" vertical="center"/>
    </xf>
    <xf numFmtId="0" fontId="12" fillId="0" borderId="171" xfId="0" applyFont="1" applyFill="1" applyBorder="1" applyAlignment="1">
      <alignment horizontal="center" vertical="center"/>
    </xf>
    <xf numFmtId="0" fontId="13" fillId="0" borderId="184" xfId="0" applyFont="1" applyBorder="1" applyAlignment="1">
      <alignment horizontal="center" vertical="center"/>
    </xf>
    <xf numFmtId="0" fontId="13" fillId="0" borderId="198" xfId="0" applyFont="1" applyBorder="1" applyAlignment="1">
      <alignment horizontal="center" vertical="center"/>
    </xf>
    <xf numFmtId="0" fontId="13" fillId="0" borderId="253" xfId="0" applyFont="1" applyBorder="1" applyAlignment="1">
      <alignment horizontal="center" vertical="center"/>
    </xf>
    <xf numFmtId="0" fontId="13" fillId="0" borderId="192" xfId="0" applyFont="1" applyFill="1" applyBorder="1" applyAlignment="1">
      <alignment horizontal="center" vertical="center"/>
    </xf>
    <xf numFmtId="0" fontId="13" fillId="0" borderId="162" xfId="0" applyFont="1" applyFill="1" applyBorder="1" applyAlignment="1">
      <alignment horizontal="center" vertical="center"/>
    </xf>
    <xf numFmtId="0" fontId="13" fillId="0" borderId="151" xfId="0" applyFont="1" applyFill="1" applyBorder="1" applyAlignment="1">
      <alignment horizontal="center" vertical="center"/>
    </xf>
    <xf numFmtId="0" fontId="13" fillId="0" borderId="166" xfId="0" applyFont="1" applyBorder="1" applyAlignment="1">
      <alignment horizontal="center" vertical="center"/>
    </xf>
    <xf numFmtId="0" fontId="13" fillId="0" borderId="201" xfId="0" applyFont="1" applyBorder="1" applyAlignment="1">
      <alignment horizontal="center" vertical="center"/>
    </xf>
    <xf numFmtId="0" fontId="13" fillId="0" borderId="202" xfId="0" applyFont="1" applyBorder="1" applyAlignment="1">
      <alignment horizontal="center" vertical="center"/>
    </xf>
    <xf numFmtId="0" fontId="13" fillId="0" borderId="248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 wrapText="1"/>
    </xf>
    <xf numFmtId="0" fontId="13" fillId="0" borderId="58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41" fontId="7" fillId="0" borderId="165" xfId="2" applyNumberFormat="1" applyFont="1" applyFill="1" applyBorder="1" applyAlignment="1">
      <alignment horizontal="center" vertical="center"/>
    </xf>
    <xf numFmtId="0" fontId="7" fillId="0" borderId="165" xfId="2" applyFont="1" applyFill="1" applyBorder="1" applyAlignment="1">
      <alignment horizontal="center" vertical="center"/>
    </xf>
    <xf numFmtId="0" fontId="7" fillId="0" borderId="18" xfId="2" applyFont="1" applyFill="1" applyBorder="1" applyAlignment="1">
      <alignment horizontal="center" vertical="center"/>
    </xf>
    <xf numFmtId="0" fontId="7" fillId="0" borderId="59" xfId="2" applyFont="1" applyFill="1" applyBorder="1" applyAlignment="1">
      <alignment horizontal="center" vertical="center"/>
    </xf>
    <xf numFmtId="0" fontId="7" fillId="0" borderId="17" xfId="2" applyFont="1" applyFill="1" applyBorder="1" applyAlignment="1">
      <alignment horizontal="center" vertical="center"/>
    </xf>
    <xf numFmtId="0" fontId="12" fillId="0" borderId="255" xfId="0" applyFont="1" applyFill="1" applyBorder="1" applyAlignment="1">
      <alignment horizontal="center" vertical="center"/>
    </xf>
    <xf numFmtId="0" fontId="12" fillId="0" borderId="152" xfId="0" applyFont="1" applyFill="1" applyBorder="1" applyAlignment="1">
      <alignment horizontal="center" vertical="center"/>
    </xf>
    <xf numFmtId="0" fontId="12" fillId="0" borderId="154" xfId="0" applyFont="1" applyFill="1" applyBorder="1" applyAlignment="1">
      <alignment horizontal="center" vertical="center"/>
    </xf>
    <xf numFmtId="0" fontId="13" fillId="0" borderId="163" xfId="0" applyFont="1" applyFill="1" applyBorder="1" applyAlignment="1">
      <alignment horizontal="center" vertical="center"/>
    </xf>
    <xf numFmtId="0" fontId="12" fillId="0" borderId="165" xfId="0" applyFont="1" applyFill="1" applyBorder="1" applyAlignment="1">
      <alignment horizontal="center" vertical="center"/>
    </xf>
    <xf numFmtId="0" fontId="13" fillId="0" borderId="166" xfId="0" applyFont="1" applyFill="1" applyBorder="1" applyAlignment="1">
      <alignment horizontal="center" vertical="center"/>
    </xf>
    <xf numFmtId="0" fontId="13" fillId="0" borderId="167" xfId="0" applyFont="1" applyFill="1" applyBorder="1" applyAlignment="1">
      <alignment horizontal="center" vertical="center"/>
    </xf>
    <xf numFmtId="0" fontId="7" fillId="0" borderId="150" xfId="2" applyFont="1" applyFill="1" applyBorder="1" applyAlignment="1">
      <alignment horizontal="center" vertical="center" wrapText="1"/>
    </xf>
    <xf numFmtId="0" fontId="7" fillId="0" borderId="152" xfId="2" applyFont="1" applyFill="1" applyBorder="1" applyAlignment="1">
      <alignment horizontal="center" vertical="center" wrapText="1"/>
    </xf>
    <xf numFmtId="0" fontId="7" fillId="0" borderId="154" xfId="2" applyFont="1" applyFill="1" applyBorder="1" applyAlignment="1">
      <alignment horizontal="center" vertical="center" wrapText="1"/>
    </xf>
    <xf numFmtId="0" fontId="12" fillId="0" borderId="150" xfId="0" applyFont="1" applyFill="1" applyBorder="1" applyAlignment="1">
      <alignment horizontal="center" vertical="center"/>
    </xf>
    <xf numFmtId="0" fontId="12" fillId="0" borderId="163" xfId="0" applyFont="1" applyFill="1" applyBorder="1" applyAlignment="1">
      <alignment horizontal="center" vertical="center"/>
    </xf>
    <xf numFmtId="0" fontId="7" fillId="0" borderId="279" xfId="2" applyFont="1" applyFill="1" applyBorder="1" applyAlignment="1">
      <alignment horizontal="center" vertical="center" wrapText="1"/>
    </xf>
    <xf numFmtId="0" fontId="7" fillId="0" borderId="276" xfId="2" applyFont="1" applyFill="1" applyBorder="1" applyAlignment="1">
      <alignment horizontal="center" vertical="center" wrapText="1"/>
    </xf>
    <xf numFmtId="0" fontId="7" fillId="0" borderId="255" xfId="2" applyFont="1" applyFill="1" applyBorder="1" applyAlignment="1">
      <alignment horizontal="center" vertical="center"/>
    </xf>
    <xf numFmtId="0" fontId="7" fillId="0" borderId="152" xfId="2" applyFont="1" applyFill="1" applyBorder="1" applyAlignment="1">
      <alignment horizontal="center" vertical="center"/>
    </xf>
    <xf numFmtId="0" fontId="12" fillId="0" borderId="177" xfId="0" applyFont="1" applyFill="1" applyBorder="1" applyAlignment="1">
      <alignment horizontal="center" vertical="center"/>
    </xf>
    <xf numFmtId="0" fontId="12" fillId="0" borderId="178" xfId="0" applyFont="1" applyFill="1" applyBorder="1" applyAlignment="1">
      <alignment horizontal="center" vertical="center"/>
    </xf>
    <xf numFmtId="0" fontId="12" fillId="0" borderId="194" xfId="0" applyFont="1" applyFill="1" applyBorder="1" applyAlignment="1">
      <alignment horizontal="center" vertical="center"/>
    </xf>
    <xf numFmtId="0" fontId="13" fillId="0" borderId="163" xfId="0" applyFont="1" applyBorder="1" applyAlignment="1">
      <alignment horizontal="center" vertical="center"/>
    </xf>
    <xf numFmtId="0" fontId="13" fillId="0" borderId="164" xfId="0" applyFont="1" applyBorder="1" applyAlignment="1">
      <alignment horizontal="center" vertical="center"/>
    </xf>
    <xf numFmtId="0" fontId="13" fillId="0" borderId="170" xfId="0" applyFont="1" applyBorder="1" applyAlignment="1">
      <alignment horizontal="center" vertical="center"/>
    </xf>
    <xf numFmtId="0" fontId="13" fillId="0" borderId="170" xfId="0" applyFont="1" applyFill="1" applyBorder="1" applyAlignment="1">
      <alignment horizontal="center" vertical="center"/>
    </xf>
    <xf numFmtId="0" fontId="13" fillId="0" borderId="202" xfId="0" applyFont="1" applyFill="1" applyBorder="1" applyAlignment="1">
      <alignment horizontal="center" vertical="center"/>
    </xf>
    <xf numFmtId="0" fontId="13" fillId="0" borderId="164" xfId="0" applyFont="1" applyFill="1" applyBorder="1" applyAlignment="1">
      <alignment horizontal="center" vertical="center"/>
    </xf>
    <xf numFmtId="0" fontId="13" fillId="0" borderId="33" xfId="0" applyFont="1" applyBorder="1" applyAlignment="1">
      <alignment horizontal="center" vertical="center" wrapText="1"/>
    </xf>
    <xf numFmtId="0" fontId="13" fillId="0" borderId="171" xfId="0" applyFont="1" applyFill="1" applyBorder="1" applyAlignment="1">
      <alignment horizontal="center" vertical="center"/>
    </xf>
    <xf numFmtId="0" fontId="13" fillId="0" borderId="199" xfId="0" applyFont="1" applyBorder="1" applyAlignment="1">
      <alignment horizontal="center" vertical="center"/>
    </xf>
    <xf numFmtId="0" fontId="13" fillId="0" borderId="200" xfId="0" applyFont="1" applyBorder="1" applyAlignment="1">
      <alignment horizontal="center" vertical="center"/>
    </xf>
    <xf numFmtId="0" fontId="13" fillId="0" borderId="186" xfId="0" applyFont="1" applyBorder="1" applyAlignment="1">
      <alignment horizontal="center" vertical="center"/>
    </xf>
    <xf numFmtId="0" fontId="13" fillId="0" borderId="184" xfId="0" applyFont="1" applyFill="1" applyBorder="1" applyAlignment="1">
      <alignment horizontal="center" vertical="center"/>
    </xf>
    <xf numFmtId="0" fontId="13" fillId="0" borderId="190" xfId="0" applyFont="1" applyFill="1" applyBorder="1" applyAlignment="1">
      <alignment horizontal="center" vertical="center"/>
    </xf>
    <xf numFmtId="0" fontId="13" fillId="0" borderId="252" xfId="0" applyFont="1" applyFill="1" applyBorder="1" applyAlignment="1">
      <alignment horizontal="center" vertical="center"/>
    </xf>
    <xf numFmtId="0" fontId="13" fillId="0" borderId="172" xfId="0" applyFont="1" applyFill="1" applyBorder="1" applyAlignment="1">
      <alignment horizontal="center" vertical="center"/>
    </xf>
    <xf numFmtId="0" fontId="13" fillId="0" borderId="188" xfId="0" applyFont="1" applyFill="1" applyBorder="1" applyAlignment="1">
      <alignment horizontal="center" vertical="center"/>
    </xf>
    <xf numFmtId="0" fontId="13" fillId="0" borderId="174" xfId="0" applyFont="1" applyFill="1" applyBorder="1" applyAlignment="1">
      <alignment horizontal="center" vertical="center"/>
    </xf>
    <xf numFmtId="0" fontId="13" fillId="0" borderId="189" xfId="0" applyFont="1" applyFill="1" applyBorder="1" applyAlignment="1">
      <alignment horizontal="center" vertical="center"/>
    </xf>
    <xf numFmtId="0" fontId="12" fillId="0" borderId="172" xfId="0" applyFont="1" applyFill="1" applyBorder="1" applyAlignment="1">
      <alignment horizontal="center" vertical="center"/>
    </xf>
    <xf numFmtId="0" fontId="12" fillId="0" borderId="166" xfId="0" applyFont="1" applyFill="1" applyBorder="1" applyAlignment="1">
      <alignment horizontal="center" vertical="center"/>
    </xf>
    <xf numFmtId="0" fontId="12" fillId="0" borderId="201" xfId="0" applyFont="1" applyFill="1" applyBorder="1" applyAlignment="1">
      <alignment horizontal="center" vertical="center"/>
    </xf>
    <xf numFmtId="0" fontId="13" fillId="0" borderId="187" xfId="0" applyFont="1" applyFill="1" applyBorder="1" applyAlignment="1">
      <alignment horizontal="center" vertical="center"/>
    </xf>
    <xf numFmtId="41" fontId="12" fillId="0" borderId="163" xfId="0" applyNumberFormat="1" applyFont="1" applyFill="1" applyBorder="1" applyAlignment="1">
      <alignment horizontal="center" vertical="center"/>
    </xf>
    <xf numFmtId="0" fontId="13" fillId="0" borderId="190" xfId="0" applyFont="1" applyBorder="1" applyAlignment="1">
      <alignment horizontal="center" vertical="center"/>
    </xf>
    <xf numFmtId="0" fontId="13" fillId="0" borderId="185" xfId="0" applyFont="1" applyBorder="1" applyAlignment="1">
      <alignment horizontal="center" vertical="center"/>
    </xf>
    <xf numFmtId="0" fontId="12" fillId="0" borderId="188" xfId="0" applyFont="1" applyFill="1" applyBorder="1" applyAlignment="1">
      <alignment horizontal="center" vertical="center"/>
    </xf>
    <xf numFmtId="0" fontId="12" fillId="0" borderId="186" xfId="0" applyFont="1" applyFill="1" applyBorder="1" applyAlignment="1">
      <alignment horizontal="center" vertical="center"/>
    </xf>
    <xf numFmtId="0" fontId="12" fillId="0" borderId="187" xfId="0" applyFont="1" applyFill="1" applyBorder="1" applyAlignment="1">
      <alignment horizontal="center" vertical="center"/>
    </xf>
    <xf numFmtId="0" fontId="13" fillId="0" borderId="186" xfId="0" applyFont="1" applyFill="1" applyBorder="1" applyAlignment="1">
      <alignment horizontal="center" vertical="center"/>
    </xf>
    <xf numFmtId="0" fontId="58" fillId="46" borderId="145" xfId="0" applyFont="1" applyFill="1" applyBorder="1" applyAlignment="1">
      <alignment horizontal="center" vertical="center" wrapText="1"/>
    </xf>
    <xf numFmtId="0" fontId="58" fillId="46" borderId="146" xfId="0" applyFont="1" applyFill="1" applyBorder="1" applyAlignment="1">
      <alignment horizontal="center" vertical="center" wrapText="1"/>
    </xf>
    <xf numFmtId="0" fontId="136" fillId="50" borderId="5" xfId="0" applyFont="1" applyFill="1" applyBorder="1" applyAlignment="1">
      <alignment horizontal="center" vertical="center" wrapText="1"/>
    </xf>
    <xf numFmtId="0" fontId="136" fillId="50" borderId="7" xfId="0" applyFont="1" applyFill="1" applyBorder="1" applyAlignment="1">
      <alignment horizontal="center" vertical="center" wrapText="1"/>
    </xf>
    <xf numFmtId="0" fontId="137" fillId="50" borderId="5" xfId="0" applyFont="1" applyFill="1" applyBorder="1" applyAlignment="1">
      <alignment horizontal="center" vertical="center" wrapText="1"/>
    </xf>
    <xf numFmtId="0" fontId="137" fillId="50" borderId="7" xfId="0" applyFont="1" applyFill="1" applyBorder="1" applyAlignment="1">
      <alignment horizontal="center" vertical="center" wrapText="1"/>
    </xf>
    <xf numFmtId="0" fontId="1" fillId="0" borderId="18" xfId="2" applyBorder="1" applyAlignment="1">
      <alignment horizontal="center" vertical="center" wrapText="1"/>
    </xf>
    <xf numFmtId="0" fontId="1" fillId="0" borderId="23" xfId="2" applyBorder="1" applyAlignment="1">
      <alignment horizontal="center" vertical="center"/>
    </xf>
    <xf numFmtId="0" fontId="1" fillId="0" borderId="4" xfId="2" applyBorder="1" applyAlignment="1">
      <alignment horizontal="center" vertical="center" wrapText="1"/>
    </xf>
    <xf numFmtId="0" fontId="1" fillId="0" borderId="18" xfId="2" applyBorder="1" applyAlignment="1">
      <alignment horizontal="center" vertical="center"/>
    </xf>
    <xf numFmtId="0" fontId="1" fillId="0" borderId="58" xfId="2" applyBorder="1" applyAlignment="1">
      <alignment horizontal="center" vertical="center"/>
    </xf>
    <xf numFmtId="0" fontId="1" fillId="0" borderId="6" xfId="2" applyBorder="1" applyAlignment="1">
      <alignment horizontal="center" vertical="center"/>
    </xf>
    <xf numFmtId="0" fontId="1" fillId="0" borderId="7" xfId="2" applyBorder="1" applyAlignment="1">
      <alignment horizontal="center" vertical="center"/>
    </xf>
    <xf numFmtId="0" fontId="1" fillId="0" borderId="5" xfId="2" applyBorder="1" applyAlignment="1">
      <alignment horizontal="center" vertical="center"/>
    </xf>
    <xf numFmtId="0" fontId="1" fillId="0" borderId="46" xfId="2" applyBorder="1" applyAlignment="1">
      <alignment horizontal="center" vertical="center"/>
    </xf>
    <xf numFmtId="0" fontId="1" fillId="0" borderId="58" xfId="2" applyBorder="1" applyAlignment="1">
      <alignment horizontal="center" vertical="center" wrapText="1"/>
    </xf>
    <xf numFmtId="0" fontId="1" fillId="0" borderId="23" xfId="2" applyBorder="1" applyAlignment="1">
      <alignment horizontal="center" vertical="center" wrapText="1"/>
    </xf>
    <xf numFmtId="0" fontId="1" fillId="0" borderId="33" xfId="2" applyFont="1" applyBorder="1" applyAlignment="1">
      <alignment horizontal="center" vertical="center"/>
    </xf>
    <xf numFmtId="0" fontId="1" fillId="0" borderId="55" xfId="2" applyFont="1" applyBorder="1" applyAlignment="1">
      <alignment horizontal="center" vertical="center"/>
    </xf>
    <xf numFmtId="0" fontId="1" fillId="0" borderId="18" xfId="2" applyFill="1" applyBorder="1" applyAlignment="1">
      <alignment horizontal="center" vertical="center"/>
    </xf>
    <xf numFmtId="0" fontId="1" fillId="0" borderId="58" xfId="2" applyFill="1" applyBorder="1" applyAlignment="1">
      <alignment horizontal="center" vertical="center"/>
    </xf>
    <xf numFmtId="0" fontId="1" fillId="0" borderId="23" xfId="2" applyFill="1" applyBorder="1" applyAlignment="1">
      <alignment horizontal="center" vertical="center"/>
    </xf>
    <xf numFmtId="0" fontId="1" fillId="0" borderId="156" xfId="2" applyFill="1" applyBorder="1" applyAlignment="1">
      <alignment horizontal="center" vertical="center" wrapText="1"/>
    </xf>
    <xf numFmtId="0" fontId="1" fillId="0" borderId="158" xfId="2" applyFill="1" applyBorder="1" applyAlignment="1">
      <alignment horizontal="center" vertical="center" wrapText="1"/>
    </xf>
    <xf numFmtId="0" fontId="1" fillId="0" borderId="160" xfId="2" applyFill="1" applyBorder="1" applyAlignment="1">
      <alignment horizontal="center" vertical="center" wrapText="1"/>
    </xf>
    <xf numFmtId="0" fontId="189" fillId="0" borderId="0" xfId="0" applyFont="1" applyBorder="1" applyAlignment="1">
      <alignment horizontal="center" vertical="center"/>
    </xf>
    <xf numFmtId="0" fontId="190" fillId="0" borderId="56" xfId="0" applyFont="1" applyBorder="1" applyAlignment="1">
      <alignment horizontal="center" vertical="center" wrapText="1"/>
    </xf>
    <xf numFmtId="0" fontId="190" fillId="0" borderId="104" xfId="0" applyFont="1" applyBorder="1" applyAlignment="1">
      <alignment horizontal="center" vertical="center" wrapText="1"/>
    </xf>
    <xf numFmtId="0" fontId="190" fillId="0" borderId="105" xfId="0" applyFont="1" applyBorder="1" applyAlignment="1">
      <alignment horizontal="center" vertical="center" wrapText="1"/>
    </xf>
    <xf numFmtId="0" fontId="190" fillId="0" borderId="106" xfId="0" applyFont="1" applyBorder="1" applyAlignment="1">
      <alignment horizontal="center" vertical="center" wrapText="1"/>
    </xf>
    <xf numFmtId="49" fontId="0" fillId="0" borderId="152" xfId="0" applyNumberFormat="1" applyBorder="1" applyAlignment="1">
      <alignment horizontal="center" vertical="center"/>
    </xf>
    <xf numFmtId="49" fontId="0" fillId="0" borderId="165" xfId="0" applyNumberFormat="1" applyBorder="1" applyAlignment="1">
      <alignment horizontal="center" vertical="center"/>
    </xf>
    <xf numFmtId="0" fontId="186" fillId="0" borderId="0" xfId="0" applyFont="1" applyAlignment="1">
      <alignment horizontal="center" vertical="center"/>
    </xf>
    <xf numFmtId="0" fontId="187" fillId="9" borderId="150" xfId="0" applyFont="1" applyFill="1" applyBorder="1" applyAlignment="1">
      <alignment horizontal="center" vertical="center" wrapText="1"/>
    </xf>
    <xf numFmtId="0" fontId="187" fillId="9" borderId="162" xfId="0" applyFont="1" applyFill="1" applyBorder="1" applyAlignment="1">
      <alignment horizontal="center" vertical="center" wrapText="1"/>
    </xf>
    <xf numFmtId="0" fontId="187" fillId="9" borderId="151" xfId="0" applyFont="1" applyFill="1" applyBorder="1" applyAlignment="1">
      <alignment horizontal="center" vertical="center" wrapText="1"/>
    </xf>
    <xf numFmtId="0" fontId="188" fillId="0" borderId="15" xfId="0" applyFont="1" applyBorder="1" applyAlignment="1">
      <alignment horizontal="center" vertical="center" wrapText="1"/>
    </xf>
    <xf numFmtId="0" fontId="188" fillId="0" borderId="46" xfId="0" applyFont="1" applyBorder="1" applyAlignment="1">
      <alignment horizontal="center" vertical="center" wrapText="1"/>
    </xf>
    <xf numFmtId="0" fontId="190" fillId="0" borderId="23" xfId="0" applyFont="1" applyBorder="1" applyAlignment="1">
      <alignment horizontal="center" vertical="center" wrapText="1"/>
    </xf>
    <xf numFmtId="0" fontId="190" fillId="0" borderId="15" xfId="0" applyFont="1" applyBorder="1" applyAlignment="1">
      <alignment horizontal="center" vertical="center" wrapText="1"/>
    </xf>
    <xf numFmtId="0" fontId="190" fillId="0" borderId="46" xfId="0" applyFont="1" applyBorder="1" applyAlignment="1">
      <alignment horizontal="center" vertical="center" wrapText="1"/>
    </xf>
    <xf numFmtId="0" fontId="190" fillId="0" borderId="33" xfId="0" applyFont="1" applyBorder="1" applyAlignment="1">
      <alignment horizontal="center" vertical="center" wrapText="1"/>
    </xf>
    <xf numFmtId="0" fontId="190" fillId="0" borderId="57" xfId="0" applyFont="1" applyBorder="1" applyAlignment="1">
      <alignment horizontal="center" vertical="center" wrapText="1"/>
    </xf>
    <xf numFmtId="0" fontId="190" fillId="0" borderId="55" xfId="0" applyFont="1" applyBorder="1" applyAlignment="1">
      <alignment horizontal="center" vertical="center" wrapText="1"/>
    </xf>
    <xf numFmtId="49" fontId="0" fillId="0" borderId="33" xfId="0" applyNumberFormat="1" applyBorder="1" applyAlignment="1">
      <alignment horizontal="center" vertical="center"/>
    </xf>
    <xf numFmtId="49" fontId="0" fillId="0" borderId="55" xfId="0" applyNumberFormat="1" applyBorder="1" applyAlignment="1">
      <alignment horizontal="center" vertical="center"/>
    </xf>
    <xf numFmtId="0" fontId="188" fillId="0" borderId="74" xfId="0" applyFont="1" applyBorder="1" applyAlignment="1">
      <alignment horizontal="center" vertical="center" wrapText="1"/>
    </xf>
    <xf numFmtId="0" fontId="188" fillId="0" borderId="86" xfId="0" applyFont="1" applyBorder="1" applyAlignment="1">
      <alignment horizontal="center" vertical="center" wrapText="1"/>
    </xf>
    <xf numFmtId="49" fontId="0" fillId="0" borderId="208" xfId="0" applyNumberFormat="1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0" fontId="184" fillId="0" borderId="4" xfId="18" applyFont="1" applyBorder="1" applyAlignment="1">
      <alignment horizontal="center" vertical="center" shrinkToFit="1"/>
    </xf>
    <xf numFmtId="0" fontId="123" fillId="0" borderId="33" xfId="18" applyFont="1" applyBorder="1" applyAlignment="1">
      <alignment horizontal="center" vertical="center" shrinkToFit="1"/>
    </xf>
    <xf numFmtId="0" fontId="123" fillId="0" borderId="57" xfId="18" applyFont="1" applyBorder="1" applyAlignment="1">
      <alignment horizontal="center" vertical="center" shrinkToFit="1"/>
    </xf>
    <xf numFmtId="0" fontId="123" fillId="0" borderId="55" xfId="18" applyFont="1" applyBorder="1" applyAlignment="1">
      <alignment horizontal="center" vertical="center" shrinkToFit="1"/>
    </xf>
    <xf numFmtId="0" fontId="123" fillId="0" borderId="4" xfId="18" applyFont="1" applyBorder="1" applyAlignment="1">
      <alignment horizontal="center" vertical="center" shrinkToFit="1"/>
    </xf>
    <xf numFmtId="0" fontId="190" fillId="0" borderId="58" xfId="0" applyFont="1" applyBorder="1" applyAlignment="1">
      <alignment horizontal="center" vertical="center" wrapText="1"/>
    </xf>
    <xf numFmtId="0" fontId="190" fillId="0" borderId="0" xfId="0" applyFont="1" applyBorder="1" applyAlignment="1">
      <alignment horizontal="center" vertical="center" wrapText="1"/>
    </xf>
    <xf numFmtId="0" fontId="190" fillId="0" borderId="73" xfId="0" applyFont="1" applyBorder="1" applyAlignment="1">
      <alignment horizontal="center" vertical="center" wrapText="1"/>
    </xf>
  </cellXfs>
  <cellStyles count="477">
    <cellStyle name="??&amp;O?&amp;H?_x0008_??_x0007__x0001__x0001_" xfId="33"/>
    <cellStyle name="??&amp;쏗?뷐9_x0008__x0011__x0007_?_x0007__x0001__x0001_" xfId="34"/>
    <cellStyle name="´þ" xfId="35"/>
    <cellStyle name="´þ·¯" xfId="36"/>
    <cellStyle name="°ia¤¼o " xfId="37"/>
    <cellStyle name="°íá¤¼ò¼ýá¡" xfId="38"/>
    <cellStyle name="°ia¤aa " xfId="39"/>
    <cellStyle name="°ia¤aa·a1" xfId="40"/>
    <cellStyle name="°íá¤ãâ·â1" xfId="41"/>
    <cellStyle name="°íá¤ãâ·â2" xfId="42"/>
    <cellStyle name="2)" xfId="43"/>
    <cellStyle name="20% - 강조색1 2" xfId="44"/>
    <cellStyle name="20% - 강조색1 3" xfId="330"/>
    <cellStyle name="20% - 강조색2 2" xfId="45"/>
    <cellStyle name="20% - 강조색2 3" xfId="331"/>
    <cellStyle name="20% - 강조색3 2" xfId="46"/>
    <cellStyle name="20% - 강조색3 3" xfId="332"/>
    <cellStyle name="20% - 강조색4 2" xfId="47"/>
    <cellStyle name="20% - 강조색4 3" xfId="333"/>
    <cellStyle name="20% - 강조색5 2" xfId="48"/>
    <cellStyle name="20% - 강조색5 3" xfId="334"/>
    <cellStyle name="20% - 강조색6 2" xfId="49"/>
    <cellStyle name="20% - 강조색6 3" xfId="335"/>
    <cellStyle name="³?a" xfId="50"/>
    <cellStyle name="³¯â¥" xfId="51"/>
    <cellStyle name="40% - 강조색1 2" xfId="52"/>
    <cellStyle name="40% - 강조색1 3" xfId="336"/>
    <cellStyle name="40% - 강조색2 2" xfId="53"/>
    <cellStyle name="40% - 강조색2 3" xfId="337"/>
    <cellStyle name="40% - 강조색3 2" xfId="54"/>
    <cellStyle name="40% - 강조색3 3" xfId="338"/>
    <cellStyle name="40% - 강조색4 2" xfId="55"/>
    <cellStyle name="40% - 강조색4 3" xfId="339"/>
    <cellStyle name="40% - 강조색5 2" xfId="56"/>
    <cellStyle name="40% - 강조색5 3" xfId="340"/>
    <cellStyle name="40% - 강조색6 2" xfId="57"/>
    <cellStyle name="40% - 강조색6 3" xfId="341"/>
    <cellStyle name="60% - 강조색1 2" xfId="58"/>
    <cellStyle name="60% - 강조색1 3" xfId="342"/>
    <cellStyle name="60% - 강조색2 2" xfId="59"/>
    <cellStyle name="60% - 강조색2 3" xfId="343"/>
    <cellStyle name="60% - 강조색3 2" xfId="60"/>
    <cellStyle name="60% - 강조색3 3" xfId="344"/>
    <cellStyle name="60% - 강조색4 2" xfId="61"/>
    <cellStyle name="60% - 강조색4 3" xfId="345"/>
    <cellStyle name="60% - 강조색5 2" xfId="62"/>
    <cellStyle name="60% - 강조색5 3" xfId="346"/>
    <cellStyle name="60% - 강조색6 2" xfId="63"/>
    <cellStyle name="60% - 강조색6 3" xfId="347"/>
    <cellStyle name="ÅëÈ­ [0]_¼ÕÀÍ¿¹»ê" xfId="64"/>
    <cellStyle name="AeE­ [0]_¼OAI¿¹≫e" xfId="65"/>
    <cellStyle name="ÅëÈ­ [0]_ÀÎ°Çºñ,¿ÜÁÖºñ" xfId="66"/>
    <cellStyle name="AeE­ [0]_AI°Cºn,μμ±Þºn" xfId="67"/>
    <cellStyle name="ÅëÈ­ [0]_laroux" xfId="68"/>
    <cellStyle name="AeE­ [0]_laroux_1" xfId="69"/>
    <cellStyle name="ÅëÈ­ [0]_laroux_1" xfId="70"/>
    <cellStyle name="AeE­ [0]_laroux_1_43-10주택" xfId="71"/>
    <cellStyle name="ÅëÈ­ [0]_laroux_1_43-10주택" xfId="72"/>
    <cellStyle name="AeE­ [0]_laroux_2" xfId="73"/>
    <cellStyle name="ÅëÈ­ [0]_laroux_2" xfId="74"/>
    <cellStyle name="AeE­ [0]_laroux_2_41-06농림16" xfId="75"/>
    <cellStyle name="ÅëÈ­ [0]_laroux_2_41-06농림16" xfId="76"/>
    <cellStyle name="AeE­ [0]_laroux_2_41-06농림16_43-10주택" xfId="77"/>
    <cellStyle name="ÅëÈ­ [0]_laroux_2_41-06농림16_43-10주택" xfId="78"/>
    <cellStyle name="AeE­ [0]_laroux_2_41-06농림41" xfId="79"/>
    <cellStyle name="ÅëÈ­ [0]_laroux_2_41-06농림41" xfId="80"/>
    <cellStyle name="AeE­ [0]_laroux_2_43-10주택" xfId="81"/>
    <cellStyle name="ÅëÈ­ [0]_laroux_2_43-10주택" xfId="82"/>
    <cellStyle name="AeE­ [0]_Sheet1" xfId="83"/>
    <cellStyle name="ÅëÈ­ [0]_Sheet1" xfId="84"/>
    <cellStyle name="AeE­ [0]_Sheet1_43-10주택" xfId="85"/>
    <cellStyle name="ÅëÈ­ [0]_Sheet1_43-10주택" xfId="86"/>
    <cellStyle name="ÅëÈ­_¼ÕÀÍ¿¹»ê" xfId="87"/>
    <cellStyle name="AeE­_¼OAI¿¹≫e" xfId="88"/>
    <cellStyle name="ÅëÈ­_ÀÎ°Çºñ,¿ÜÁÖºñ" xfId="89"/>
    <cellStyle name="AeE­_AI°Cºn,μμ±Þºn" xfId="90"/>
    <cellStyle name="ÅëÈ­_laroux" xfId="91"/>
    <cellStyle name="AeE­_laroux_1" xfId="92"/>
    <cellStyle name="ÅëÈ­_laroux_1" xfId="93"/>
    <cellStyle name="AeE­_laroux_1_43-10주택" xfId="94"/>
    <cellStyle name="ÅëÈ­_laroux_1_43-10주택" xfId="95"/>
    <cellStyle name="AeE­_laroux_2" xfId="96"/>
    <cellStyle name="ÅëÈ­_laroux_2" xfId="97"/>
    <cellStyle name="AeE­_laroux_2_41-06농림16" xfId="98"/>
    <cellStyle name="ÅëÈ­_laroux_2_41-06농림16" xfId="99"/>
    <cellStyle name="AeE­_laroux_2_41-06농림16_43-10주택" xfId="100"/>
    <cellStyle name="ÅëÈ­_laroux_2_41-06농림16_43-10주택" xfId="101"/>
    <cellStyle name="AeE­_laroux_2_41-06농림41" xfId="102"/>
    <cellStyle name="ÅëÈ­_laroux_2_41-06농림41" xfId="103"/>
    <cellStyle name="AeE­_laroux_2_43-10주택" xfId="104"/>
    <cellStyle name="ÅëÈ­_laroux_2_43-10주택" xfId="105"/>
    <cellStyle name="AeE­_Sheet1" xfId="106"/>
    <cellStyle name="ÅëÈ­_Sheet1" xfId="107"/>
    <cellStyle name="AeE­_Sheet1_41-06농림16" xfId="108"/>
    <cellStyle name="ÅëÈ­_Sheet1_41-06농림16" xfId="109"/>
    <cellStyle name="AeE­_Sheet1_41-06농림16_43-10주택" xfId="110"/>
    <cellStyle name="ÅëÈ­_Sheet1_41-06농림16_43-10주택" xfId="111"/>
    <cellStyle name="AeE­_Sheet1_41-06농림41" xfId="112"/>
    <cellStyle name="ÅëÈ­_Sheet1_41-06농림41" xfId="113"/>
    <cellStyle name="AeE­_Sheet1_43-10주택" xfId="114"/>
    <cellStyle name="ÅëÈ­_Sheet1_43-10주택" xfId="115"/>
    <cellStyle name="Æu¼ " xfId="116"/>
    <cellStyle name="Æû¼¾æ®" xfId="117"/>
    <cellStyle name="ALIGNMENT" xfId="118"/>
    <cellStyle name="ÄÞ¸¶ [0]_¼ÕÀÍ¿¹»ê" xfId="119"/>
    <cellStyle name="AÞ¸¶ [0]_¼OAI¿¹≫e" xfId="120"/>
    <cellStyle name="ÄÞ¸¶ [0]_ÀÎ°Çºñ,¿ÜÁÖºñ" xfId="121"/>
    <cellStyle name="AÞ¸¶ [0]_AI°Cºn,μμ±Þºn" xfId="122"/>
    <cellStyle name="ÄÞ¸¶ [0]_laroux" xfId="123"/>
    <cellStyle name="AÞ¸¶ [0]_laroux_1" xfId="124"/>
    <cellStyle name="ÄÞ¸¶ [0]_laroux_1" xfId="125"/>
    <cellStyle name="AÞ¸¶ [0]_Sheet1" xfId="126"/>
    <cellStyle name="ÄÞ¸¶ [0]_Sheet1" xfId="127"/>
    <cellStyle name="AÞ¸¶ [0]_Sheet1_43-10주택" xfId="128"/>
    <cellStyle name="ÄÞ¸¶ [0]_Sheet1_43-10주택" xfId="129"/>
    <cellStyle name="ÄÞ¸¶_¼ÕÀÍ¿¹»ê" xfId="130"/>
    <cellStyle name="AÞ¸¶_¼OAI¿¹≫e" xfId="131"/>
    <cellStyle name="ÄÞ¸¶_ÀÎ°Çºñ,¿ÜÁÖºñ" xfId="132"/>
    <cellStyle name="AÞ¸¶_AI°Cºn,μμ±Þºn" xfId="133"/>
    <cellStyle name="ÄÞ¸¶_laroux" xfId="134"/>
    <cellStyle name="AÞ¸¶_laroux_1" xfId="135"/>
    <cellStyle name="ÄÞ¸¶_laroux_1" xfId="136"/>
    <cellStyle name="AÞ¸¶_Sheet1" xfId="137"/>
    <cellStyle name="ÄÞ¸¶_Sheet1" xfId="138"/>
    <cellStyle name="AÞ¸¶_Sheet1_41-06농림16" xfId="139"/>
    <cellStyle name="ÄÞ¸¶_Sheet1_41-06농림16" xfId="140"/>
    <cellStyle name="AÞ¸¶_Sheet1_41-06농림16_43-10주택" xfId="141"/>
    <cellStyle name="ÄÞ¸¶_Sheet1_41-06농림16_43-10주택" xfId="142"/>
    <cellStyle name="AÞ¸¶_Sheet1_41-06농림41" xfId="143"/>
    <cellStyle name="ÄÞ¸¶_Sheet1_41-06농림41" xfId="144"/>
    <cellStyle name="AÞ¸¶_Sheet1_43-10주택" xfId="145"/>
    <cellStyle name="ÄÞ¸¶_Sheet1_43-10주택" xfId="146"/>
    <cellStyle name="Àú¸®¼ö" xfId="147"/>
    <cellStyle name="Àú¸®¼ö0" xfId="148"/>
    <cellStyle name="Au¸r " xfId="149"/>
    <cellStyle name="Au¸r¼" xfId="150"/>
    <cellStyle name="C￥AØ_¿μ¾÷CoE² " xfId="151"/>
    <cellStyle name="Ç¥ÁØ_¼ÕÀÍ¿¹»ê" xfId="152"/>
    <cellStyle name="C￥AØ_¼OAI¿¹≫e" xfId="153"/>
    <cellStyle name="Ç¥ÁØ_ÀÎ°Çºñ,¿ÜÁÖºñ" xfId="154"/>
    <cellStyle name="C￥AØ_AI°Cºn,μμ±Þºn" xfId="155"/>
    <cellStyle name="Ç¥ÁØ_laroux" xfId="156"/>
    <cellStyle name="C￥AØ_laroux_1" xfId="157"/>
    <cellStyle name="Ç¥ÁØ_laroux_1" xfId="158"/>
    <cellStyle name="C￥AØ_laroux_1_Sheet1" xfId="159"/>
    <cellStyle name="Ç¥ÁØ_laroux_1_Sheet1" xfId="160"/>
    <cellStyle name="C￥AØ_laroux_2" xfId="161"/>
    <cellStyle name="Ç¥ÁØ_laroux_2" xfId="162"/>
    <cellStyle name="C￥AØ_laroux_2_Sheet1" xfId="163"/>
    <cellStyle name="Ç¥ÁØ_laroux_2_Sheet1" xfId="164"/>
    <cellStyle name="C￥AØ_laroux_3" xfId="165"/>
    <cellStyle name="Ç¥ÁØ_laroux_3" xfId="166"/>
    <cellStyle name="C￥AØ_laroux_4" xfId="167"/>
    <cellStyle name="Ç¥ÁØ_laroux_4" xfId="168"/>
    <cellStyle name="C￥AØ_laroux_Sheet1" xfId="169"/>
    <cellStyle name="Ç¥ÁØ_laroux_Sheet1" xfId="170"/>
    <cellStyle name="C￥AØ_Sheet1" xfId="171"/>
    <cellStyle name="Ç¥ÁØ_Sheet1" xfId="172"/>
    <cellStyle name="category" xfId="173"/>
    <cellStyle name="Çõ»ê" xfId="174"/>
    <cellStyle name="Co≫" xfId="175"/>
    <cellStyle name="Comma [0]_ SG&amp;A Bridge " xfId="176"/>
    <cellStyle name="comma zerodec" xfId="177"/>
    <cellStyle name="Comma_ SG&amp;A Bridge " xfId="178"/>
    <cellStyle name="Comma0" xfId="179"/>
    <cellStyle name="Currency [0]_ SG&amp;A Bridge " xfId="180"/>
    <cellStyle name="Currency_ SG&amp;A Bridge " xfId="181"/>
    <cellStyle name="Currency0" xfId="182"/>
    <cellStyle name="Currency1" xfId="183"/>
    <cellStyle name="Date" xfId="184"/>
    <cellStyle name="Dezimal [0]_laroux" xfId="185"/>
    <cellStyle name="Dezimal_laroux" xfId="186"/>
    <cellStyle name="Dollar (zero dec)" xfId="187"/>
    <cellStyle name="EA" xfId="188"/>
    <cellStyle name="E­æo±" xfId="189"/>
    <cellStyle name="E­æo±a" xfId="190"/>
    <cellStyle name="È­æó±âè£" xfId="191"/>
    <cellStyle name="È­æó±âè£0" xfId="192"/>
    <cellStyle name="Fixed" xfId="193"/>
    <cellStyle name="Grey" xfId="194"/>
    <cellStyle name="Header" xfId="195"/>
    <cellStyle name="Header1" xfId="196"/>
    <cellStyle name="Header2" xfId="197"/>
    <cellStyle name="Heading 1" xfId="198"/>
    <cellStyle name="Heading 2" xfId="199"/>
    <cellStyle name="HEADING1" xfId="200"/>
    <cellStyle name="HEADING2" xfId="201"/>
    <cellStyle name="Hyperlink" xfId="202"/>
    <cellStyle name="Input [yellow]" xfId="203"/>
    <cellStyle name="Milliers [0]_Arabian Spec" xfId="204"/>
    <cellStyle name="Milliers_Arabian Spec" xfId="205"/>
    <cellStyle name="Model" xfId="206"/>
    <cellStyle name="Mon?aire [0]_Arabian Spec" xfId="207"/>
    <cellStyle name="Mon?aire_Arabian Spec" xfId="208"/>
    <cellStyle name="Normal - Style1" xfId="209"/>
    <cellStyle name="Normal_ SG&amp;A Bridge " xfId="210"/>
    <cellStyle name="Œ…?æ맖?e [0.00]_laroux" xfId="211"/>
    <cellStyle name="Œ…?æ맖?e_laroux" xfId="212"/>
    <cellStyle name="Percent [2]" xfId="213"/>
    <cellStyle name="Standard_laroux" xfId="214"/>
    <cellStyle name="subhead" xfId="215"/>
    <cellStyle name="Title" xfId="216"/>
    <cellStyle name="title [1]" xfId="217"/>
    <cellStyle name="title [2]" xfId="218"/>
    <cellStyle name="ton" xfId="219"/>
    <cellStyle name="Total" xfId="220"/>
    <cellStyle name="W?rung [0]_laroux" xfId="221"/>
    <cellStyle name="W?rung_laroux" xfId="222"/>
    <cellStyle name="강조색1 2" xfId="223"/>
    <cellStyle name="강조색1 3" xfId="348"/>
    <cellStyle name="강조색2 2" xfId="224"/>
    <cellStyle name="강조색2 3" xfId="349"/>
    <cellStyle name="강조색3 2" xfId="225"/>
    <cellStyle name="강조색3 3" xfId="350"/>
    <cellStyle name="강조색4 2" xfId="226"/>
    <cellStyle name="강조색4 3" xfId="351"/>
    <cellStyle name="강조색5 2" xfId="227"/>
    <cellStyle name="강조색5 3" xfId="352"/>
    <cellStyle name="강조색6 2" xfId="228"/>
    <cellStyle name="강조색6 3" xfId="353"/>
    <cellStyle name="경고문 2" xfId="229"/>
    <cellStyle name="경고문 3" xfId="354"/>
    <cellStyle name="계산 2" xfId="230"/>
    <cellStyle name="계산 3" xfId="355"/>
    <cellStyle name="고정소숫점" xfId="231"/>
    <cellStyle name="고정출력1" xfId="232"/>
    <cellStyle name="고정출력2" xfId="233"/>
    <cellStyle name="과정별배정" xfId="234"/>
    <cellStyle name="咬訌裝?INCOM1" xfId="235"/>
    <cellStyle name="咬訌裝?INCOM10" xfId="236"/>
    <cellStyle name="咬訌裝?INCOM2" xfId="237"/>
    <cellStyle name="咬訌裝?INCOM3" xfId="238"/>
    <cellStyle name="咬訌裝?INCOM4" xfId="239"/>
    <cellStyle name="咬訌裝?INCOM5" xfId="240"/>
    <cellStyle name="咬訌裝?INCOM6" xfId="241"/>
    <cellStyle name="咬訌裝?INCOM7" xfId="242"/>
    <cellStyle name="咬訌裝?INCOM8" xfId="243"/>
    <cellStyle name="咬訌裝?INCOM9" xfId="244"/>
    <cellStyle name="咬訌裝?PRIB11" xfId="245"/>
    <cellStyle name="나쁨 2" xfId="246"/>
    <cellStyle name="나쁨 3" xfId="356"/>
    <cellStyle name="날짜" xfId="247"/>
    <cellStyle name="내역서" xfId="248"/>
    <cellStyle name="달러" xfId="249"/>
    <cellStyle name="뒤에 오는 하이퍼링크_0829광역시원단위추정(최종).xls Chart 1" xfId="250"/>
    <cellStyle name="똿뗦먛귟 [0.00]_PRODUCT DETAIL Q1" xfId="251"/>
    <cellStyle name="똿뗦먛귟_PRODUCT DETAIL Q1" xfId="252"/>
    <cellStyle name="메모 2" xfId="253"/>
    <cellStyle name="메모 3" xfId="357"/>
    <cellStyle name="믅됞 [0.00]_PRODUCT DETAIL Q1" xfId="254"/>
    <cellStyle name="믅됞_PRODUCT DETAIL Q1" xfId="255"/>
    <cellStyle name="백 " xfId="256"/>
    <cellStyle name="백분율" xfId="12" builtinId="5"/>
    <cellStyle name="백분율 [0]" xfId="257"/>
    <cellStyle name="백분율 [2]" xfId="258"/>
    <cellStyle name="백분율 2" xfId="8"/>
    <cellStyle name="백분율 2 2" xfId="32"/>
    <cellStyle name="백분율 3" xfId="15"/>
    <cellStyle name="보통 2" xfId="259"/>
    <cellStyle name="보통 3" xfId="358"/>
    <cellStyle name="뷭?_BOOKSHIP" xfId="260"/>
    <cellStyle name="설명 텍스트 2" xfId="261"/>
    <cellStyle name="설명 텍스트 3" xfId="359"/>
    <cellStyle name="셀 확인 2" xfId="262"/>
    <cellStyle name="셀 확인 3" xfId="360"/>
    <cellStyle name="숫자(R)" xfId="263"/>
    <cellStyle name="쉼표 [0]" xfId="3" builtinId="6"/>
    <cellStyle name="쉼표 [0] 10" xfId="264"/>
    <cellStyle name="쉼표 [0] 12" xfId="265"/>
    <cellStyle name="쉼표 [0] 17" xfId="266"/>
    <cellStyle name="쉼표 [0] 19" xfId="267"/>
    <cellStyle name="쉼표 [0] 2" xfId="7"/>
    <cellStyle name="쉼표 [0] 2 3" xfId="471"/>
    <cellStyle name="쉼표 [0] 21" xfId="268"/>
    <cellStyle name="쉼표 [0] 23" xfId="269"/>
    <cellStyle name="쉼표 [0] 26" xfId="270"/>
    <cellStyle name="쉼표 [0] 28" xfId="271"/>
    <cellStyle name="쉼표 [0] 3" xfId="11"/>
    <cellStyle name="쉼표 [0] 3 2" xfId="272"/>
    <cellStyle name="쉼표 [0] 4" xfId="16"/>
    <cellStyle name="쉼표 [0] 4 2" xfId="320"/>
    <cellStyle name="쉼표 [0] 5" xfId="273"/>
    <cellStyle name="쉼표 [0] 6" xfId="470"/>
    <cellStyle name="쉼표 [0]_030인구..." xfId="472"/>
    <cellStyle name="스타일 1" xfId="274"/>
    <cellStyle name="연결된 셀 2" xfId="275"/>
    <cellStyle name="연결된 셀 3" xfId="361"/>
    <cellStyle name="요약 2" xfId="276"/>
    <cellStyle name="요약 3" xfId="362"/>
    <cellStyle name="우괄호_박심배수구조물공" xfId="277"/>
    <cellStyle name="우측양괄호" xfId="278"/>
    <cellStyle name="일반" xfId="279"/>
    <cellStyle name="입력 2" xfId="280"/>
    <cellStyle name="입력 3" xfId="363"/>
    <cellStyle name="자리수" xfId="281"/>
    <cellStyle name="자리수0" xfId="282"/>
    <cellStyle name="제곱" xfId="283"/>
    <cellStyle name="제목 1 2" xfId="284"/>
    <cellStyle name="제목 1 3" xfId="364"/>
    <cellStyle name="제목 2 2" xfId="285"/>
    <cellStyle name="제목 2 3" xfId="365"/>
    <cellStyle name="제목 3 2" xfId="286"/>
    <cellStyle name="제목 3 3" xfId="366"/>
    <cellStyle name="제목 4 2" xfId="287"/>
    <cellStyle name="제목 4 3" xfId="367"/>
    <cellStyle name="제목 5" xfId="288"/>
    <cellStyle name="제목 6" xfId="289"/>
    <cellStyle name="제목 7" xfId="368"/>
    <cellStyle name="좋음 2" xfId="290"/>
    <cellStyle name="좋음 3" xfId="369"/>
    <cellStyle name="좌괄호_박심배수구조물공" xfId="291"/>
    <cellStyle name="좌측양괄호" xfId="292"/>
    <cellStyle name="지정되지 않음" xfId="293"/>
    <cellStyle name="출력 2" xfId="294"/>
    <cellStyle name="출력 3" xfId="370"/>
    <cellStyle name="콤" xfId="295"/>
    <cellStyle name="콤마 [" xfId="296"/>
    <cellStyle name="콤마 [0]" xfId="297"/>
    <cellStyle name="콤마 [1]" xfId="298"/>
    <cellStyle name="콤마 [2]" xfId="299"/>
    <cellStyle name="콤마_(1.토)" xfId="300"/>
    <cellStyle name="통" xfId="301"/>
    <cellStyle name="통화 [" xfId="302"/>
    <cellStyle name="퍼센트" xfId="303"/>
    <cellStyle name="표" xfId="304"/>
    <cellStyle name="표준" xfId="0" builtinId="0"/>
    <cellStyle name="표준 10" xfId="17"/>
    <cellStyle name="표준 10 2" xfId="321"/>
    <cellStyle name="표준 100" xfId="468"/>
    <cellStyle name="표준 101" xfId="469"/>
    <cellStyle name="표준 11" xfId="18"/>
    <cellStyle name="표준 11 2" xfId="322"/>
    <cellStyle name="표준 12" xfId="19"/>
    <cellStyle name="표준 12 2" xfId="323"/>
    <cellStyle name="표준 13" xfId="20"/>
    <cellStyle name="표준 13 2" xfId="324"/>
    <cellStyle name="표준 14" xfId="21"/>
    <cellStyle name="표준 14 10" xfId="396"/>
    <cellStyle name="표준 14 11" xfId="397"/>
    <cellStyle name="표준 14 2" xfId="325"/>
    <cellStyle name="표준 14 2 2" xfId="379"/>
    <cellStyle name="표준 14 3" xfId="380"/>
    <cellStyle name="표준 14 4" xfId="386"/>
    <cellStyle name="표준 14 5" xfId="387"/>
    <cellStyle name="표준 14 6" xfId="388"/>
    <cellStyle name="표준 14 7" xfId="390"/>
    <cellStyle name="표준 14 8" xfId="394"/>
    <cellStyle name="표준 14 9" xfId="395"/>
    <cellStyle name="표준 14_2014년 3월말 이월면 주민등록 인구" xfId="381"/>
    <cellStyle name="표준 15" xfId="371"/>
    <cellStyle name="표준 15 2" xfId="392"/>
    <cellStyle name="표준 16" xfId="372"/>
    <cellStyle name="표준 16 2" xfId="391"/>
    <cellStyle name="표준 17" xfId="373"/>
    <cellStyle name="표준 17 2" xfId="398"/>
    <cellStyle name="표준 18" xfId="374"/>
    <cellStyle name="표준 19" xfId="305"/>
    <cellStyle name="표준 2" xfId="2"/>
    <cellStyle name="표준 2 2" xfId="22"/>
    <cellStyle name="표준 2 2 2" xfId="319"/>
    <cellStyle name="표준 2 3" xfId="306"/>
    <cellStyle name="표준 2 4" xfId="474"/>
    <cellStyle name="표준 20" xfId="375"/>
    <cellStyle name="표준 21" xfId="307"/>
    <cellStyle name="표준 22" xfId="376"/>
    <cellStyle name="표준 23" xfId="308"/>
    <cellStyle name="표준 24" xfId="377"/>
    <cellStyle name="표준 25" xfId="309"/>
    <cellStyle name="표준 26" xfId="385"/>
    <cellStyle name="표준 27" xfId="399"/>
    <cellStyle name="표준 28" xfId="310"/>
    <cellStyle name="표준 29" xfId="400"/>
    <cellStyle name="표준 3" xfId="5"/>
    <cellStyle name="표준 3 2" xfId="23"/>
    <cellStyle name="표준 3 2 2" xfId="326"/>
    <cellStyle name="표준 30" xfId="311"/>
    <cellStyle name="표준 31" xfId="378"/>
    <cellStyle name="표준 32" xfId="384"/>
    <cellStyle name="표준 33" xfId="408"/>
    <cellStyle name="표준 34" xfId="410"/>
    <cellStyle name="표준 35" xfId="402"/>
    <cellStyle name="표준 36" xfId="405"/>
    <cellStyle name="표준 37" xfId="413"/>
    <cellStyle name="표준 38" xfId="401"/>
    <cellStyle name="표준 39" xfId="407"/>
    <cellStyle name="표준 4" xfId="24"/>
    <cellStyle name="표준 4 2" xfId="30"/>
    <cellStyle name="표준 4 3" xfId="327"/>
    <cellStyle name="표준 40" xfId="403"/>
    <cellStyle name="표준 41" xfId="404"/>
    <cellStyle name="표준 42" xfId="416"/>
    <cellStyle name="표준 43" xfId="417"/>
    <cellStyle name="표준 44" xfId="418"/>
    <cellStyle name="표준 45" xfId="419"/>
    <cellStyle name="표준 46" xfId="420"/>
    <cellStyle name="표준 47" xfId="421"/>
    <cellStyle name="표준 48" xfId="422"/>
    <cellStyle name="표준 49" xfId="423"/>
    <cellStyle name="표준 5" xfId="4"/>
    <cellStyle name="표준 5 2" xfId="25"/>
    <cellStyle name="표준 5 2 2" xfId="389"/>
    <cellStyle name="표준 50" xfId="424"/>
    <cellStyle name="표준 51" xfId="425"/>
    <cellStyle name="표준 52" xfId="426"/>
    <cellStyle name="표준 53" xfId="427"/>
    <cellStyle name="표준 54" xfId="428"/>
    <cellStyle name="표준 55" xfId="429"/>
    <cellStyle name="표준 56" xfId="430"/>
    <cellStyle name="표준 57" xfId="431"/>
    <cellStyle name="표준 58" xfId="432"/>
    <cellStyle name="표준 59" xfId="433"/>
    <cellStyle name="표준 6" xfId="312"/>
    <cellStyle name="표준 6 2" xfId="382"/>
    <cellStyle name="표준 60" xfId="434"/>
    <cellStyle name="표준 61" xfId="435"/>
    <cellStyle name="표준 62" xfId="436"/>
    <cellStyle name="표준 63" xfId="437"/>
    <cellStyle name="표준 64" xfId="438"/>
    <cellStyle name="표준 65" xfId="439"/>
    <cellStyle name="표준 66" xfId="412"/>
    <cellStyle name="표준 67" xfId="409"/>
    <cellStyle name="표준 68" xfId="406"/>
    <cellStyle name="표준 69" xfId="443"/>
    <cellStyle name="표준 7" xfId="313"/>
    <cellStyle name="표준 7 2" xfId="383"/>
    <cellStyle name="표준 70" xfId="442"/>
    <cellStyle name="표준 71" xfId="415"/>
    <cellStyle name="표준 72" xfId="440"/>
    <cellStyle name="표준 73" xfId="414"/>
    <cellStyle name="표준 74" xfId="441"/>
    <cellStyle name="표준 75" xfId="411"/>
    <cellStyle name="표준 76" xfId="444"/>
    <cellStyle name="표준 77" xfId="445"/>
    <cellStyle name="표준 78" xfId="446"/>
    <cellStyle name="표준 79" xfId="447"/>
    <cellStyle name="표준 8" xfId="26"/>
    <cellStyle name="표준 8 2" xfId="328"/>
    <cellStyle name="표준 8 2 2" xfId="393"/>
    <cellStyle name="표준 80" xfId="448"/>
    <cellStyle name="표준 81" xfId="449"/>
    <cellStyle name="표준 82" xfId="450"/>
    <cellStyle name="표준 83" xfId="451"/>
    <cellStyle name="표준 84" xfId="452"/>
    <cellStyle name="표준 85" xfId="453"/>
    <cellStyle name="표준 86" xfId="454"/>
    <cellStyle name="표준 87" xfId="455"/>
    <cellStyle name="표준 88" xfId="456"/>
    <cellStyle name="표준 89" xfId="457"/>
    <cellStyle name="표준 9" xfId="27"/>
    <cellStyle name="표준 9 2" xfId="329"/>
    <cellStyle name="표준 90" xfId="458"/>
    <cellStyle name="표준 91" xfId="459"/>
    <cellStyle name="표준 92" xfId="460"/>
    <cellStyle name="표준 93" xfId="461"/>
    <cellStyle name="표준 94" xfId="462"/>
    <cellStyle name="표준 95" xfId="463"/>
    <cellStyle name="표준 96" xfId="464"/>
    <cellStyle name="표준 97" xfId="465"/>
    <cellStyle name="표준 98" xfId="466"/>
    <cellStyle name="표준 99" xfId="467"/>
    <cellStyle name="표준_030인구..." xfId="475"/>
    <cellStyle name="표준_1. 계획인구 및 하수처리인구" xfId="28"/>
    <cellStyle name="표준_1.1공주시과거인구현황" xfId="13"/>
    <cellStyle name="표준_3.인구" xfId="473"/>
    <cellStyle name="標準_Akia(F）-8" xfId="314"/>
    <cellStyle name="표준_Book1 2" xfId="10"/>
    <cellStyle name="표준_과거인구,세대수 증가추이 2" xfId="9"/>
    <cellStyle name="표준_괴산읍" xfId="1"/>
    <cellStyle name="표준_장래인구추정" xfId="14"/>
    <cellStyle name="표준_지하수사용량" xfId="6"/>
    <cellStyle name="표준_처리구역별인구" xfId="476"/>
    <cellStyle name="표준_표준도시원단위(1991-2002)0817_1.원단위추정(특광역시)_2.원단위추정(경기도)" xfId="29"/>
    <cellStyle name="표준_표준도시원단위(1991-2002)0817_2.원단위추정(경기도)_1.원단위추정(특광역시)" xfId="31"/>
    <cellStyle name="표준JKDH" xfId="315"/>
    <cellStyle name="합산" xfId="316"/>
    <cellStyle name="화폐기호" xfId="317"/>
    <cellStyle name="화폐기호0" xfId="318"/>
  </cellStyles>
  <dxfs count="0"/>
  <tableStyles count="0" defaultTableStyle="TableStyleMedium2" defaultPivotStyle="PivotStyleLight16"/>
  <colors>
    <mruColors>
      <color rgb="FF0000FF"/>
      <color rgb="FFFFCC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externalLink" Target="externalLinks/externalLink6.xml"/><Relationship Id="rId50" Type="http://schemas.openxmlformats.org/officeDocument/2006/relationships/externalLink" Target="externalLinks/externalLink9.xml"/><Relationship Id="rId55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4.xml"/><Relationship Id="rId53" Type="http://schemas.openxmlformats.org/officeDocument/2006/relationships/externalLink" Target="externalLinks/externalLink12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externalLink" Target="externalLinks/externalLink7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5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8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3.xml"/><Relationship Id="rId52" Type="http://schemas.openxmlformats.org/officeDocument/2006/relationships/externalLink" Target="externalLinks/externalLink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'1.1.1 과거인구현황'!$D$5:$M$5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'1.1.1 과거인구현황'!$D$6:$M$6</c:f>
              <c:numCache>
                <c:formatCode>General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0-CE43-4655-AEF5-460282E8FC8F}"/>
            </c:ext>
          </c:extLst>
        </c:ser>
        <c:ser>
          <c:idx val="1"/>
          <c:order val="1"/>
          <c:tx>
            <c:v>총인구</c:v>
          </c:tx>
          <c:spPr>
            <a:solidFill>
              <a:schemeClr val="accent1">
                <a:lumMod val="50000"/>
              </a:schemeClr>
            </a:solidFill>
            <a:ln>
              <a:solidFill>
                <a:schemeClr val="accent1">
                  <a:lumMod val="50000"/>
                </a:schemeClr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'1.1.1 과거인구현황'!$D$5:$M$5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'1.1.1 과거인구현황'!$D$7:$M$7</c:f>
              <c:numCache>
                <c:formatCode>_(* #,##0_);_(* \(#,##0\);_(* "-"_);_(@_)</c:formatCode>
                <c:ptCount val="10"/>
                <c:pt idx="0">
                  <c:v>92520</c:v>
                </c:pt>
                <c:pt idx="1">
                  <c:v>94144</c:v>
                </c:pt>
                <c:pt idx="2">
                  <c:v>94580</c:v>
                </c:pt>
                <c:pt idx="3">
                  <c:v>96214</c:v>
                </c:pt>
                <c:pt idx="4">
                  <c:v>96993</c:v>
                </c:pt>
                <c:pt idx="5">
                  <c:v>98279</c:v>
                </c:pt>
                <c:pt idx="6">
                  <c:v>99952</c:v>
                </c:pt>
                <c:pt idx="7">
                  <c:v>102796</c:v>
                </c:pt>
                <c:pt idx="8">
                  <c:v>104316</c:v>
                </c:pt>
                <c:pt idx="9">
                  <c:v>106419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43-4655-AEF5-460282E8F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79968"/>
        <c:axId val="197381504"/>
      </c:barChart>
      <c:lineChart>
        <c:grouping val="standard"/>
        <c:varyColors val="0"/>
        <c:ser>
          <c:idx val="2"/>
          <c:order val="2"/>
          <c:tx>
            <c:v>증감률</c:v>
          </c:tx>
          <c:spPr>
            <a:ln w="34925" cap="rnd">
              <a:solidFill>
                <a:srgbClr val="92D05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'1.1.1 과거인구현황'!$D$5:$M$5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'1.1.1 과거인구현황'!$D$8:$M$8</c:f>
              <c:numCache>
                <c:formatCode>#,##0.00</c:formatCode>
                <c:ptCount val="10"/>
                <c:pt idx="0">
                  <c:v>2.62</c:v>
                </c:pt>
                <c:pt idx="1">
                  <c:v>1.76</c:v>
                </c:pt>
                <c:pt idx="2">
                  <c:v>0.46</c:v>
                </c:pt>
                <c:pt idx="3">
                  <c:v>1.73</c:v>
                </c:pt>
                <c:pt idx="4">
                  <c:v>0.81</c:v>
                </c:pt>
                <c:pt idx="5">
                  <c:v>1.33</c:v>
                </c:pt>
                <c:pt idx="6">
                  <c:v>1.7</c:v>
                </c:pt>
                <c:pt idx="7">
                  <c:v>2.85</c:v>
                </c:pt>
                <c:pt idx="8">
                  <c:v>1.48</c:v>
                </c:pt>
                <c:pt idx="9">
                  <c:v>2.02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43-4655-AEF5-460282E8F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393024"/>
        <c:axId val="197391488"/>
      </c:lineChart>
      <c:catAx>
        <c:axId val="19737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197381504"/>
        <c:crosses val="autoZero"/>
        <c:auto val="1"/>
        <c:lblAlgn val="ctr"/>
        <c:lblOffset val="100"/>
        <c:noMultiLvlLbl val="0"/>
      </c:catAx>
      <c:valAx>
        <c:axId val="197381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197379968"/>
        <c:crosses val="autoZero"/>
        <c:crossBetween val="between"/>
      </c:valAx>
      <c:valAx>
        <c:axId val="197391488"/>
        <c:scaling>
          <c:orientation val="minMax"/>
        </c:scaling>
        <c:delete val="0"/>
        <c:axPos val="r"/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197393024"/>
        <c:crosses val="max"/>
        <c:crossBetween val="between"/>
      </c:valAx>
      <c:catAx>
        <c:axId val="1973930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7391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휴먼태가람체"/>
                <a:ea typeface="휴먼태가람체"/>
                <a:cs typeface="휴먼태가람체"/>
              </a:defRPr>
            </a:pPr>
            <a:r>
              <a:rPr lang="ko-KR" altLang="en-US"/>
              <a:t>음성군 인구변화</a:t>
            </a:r>
          </a:p>
        </c:rich>
      </c:tx>
      <c:layout>
        <c:manualLayout>
          <c:xMode val="edge"/>
          <c:yMode val="edge"/>
          <c:x val="0.36734755094388732"/>
          <c:y val="1.47058823529411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533555503990957"/>
          <c:y val="0.10588250500129998"/>
          <c:w val="0.77551130806889645"/>
          <c:h val="0.68823628250844804"/>
        </c:manualLayout>
      </c:layout>
      <c:lineChart>
        <c:grouping val="standard"/>
        <c:varyColors val="0"/>
        <c:ser>
          <c:idx val="1"/>
          <c:order val="0"/>
          <c:tx>
            <c:strRef>
              <c:f>'1.1.2 인구분석'!$B$3</c:f>
              <c:strCache>
                <c:ptCount val="1"/>
                <c:pt idx="0">
                  <c:v>음  성  군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og"/>
            <c:dispRSqr val="0"/>
            <c:dispEq val="0"/>
          </c:trendline>
          <c:cat>
            <c:strRef>
              <c:f>'1.1.2 인구분석'!$A$7:$A$16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'1.1.2 인구분석'!$E$7:$E$16</c:f>
              <c:numCache>
                <c:formatCode>_(* #,##0_);_(* \(#,##0\);_(* "-"_);_(@_)</c:formatCode>
                <c:ptCount val="10"/>
                <c:pt idx="0">
                  <c:v>92520</c:v>
                </c:pt>
                <c:pt idx="1">
                  <c:v>94144</c:v>
                </c:pt>
                <c:pt idx="2">
                  <c:v>94580</c:v>
                </c:pt>
                <c:pt idx="3">
                  <c:v>96214</c:v>
                </c:pt>
                <c:pt idx="4">
                  <c:v>96993</c:v>
                </c:pt>
                <c:pt idx="5">
                  <c:v>98279</c:v>
                </c:pt>
                <c:pt idx="6">
                  <c:v>99952</c:v>
                </c:pt>
                <c:pt idx="7">
                  <c:v>102796</c:v>
                </c:pt>
                <c:pt idx="8">
                  <c:v>104316</c:v>
                </c:pt>
                <c:pt idx="9">
                  <c:v>106419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34-4AEC-944D-72D3E8180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411648"/>
        <c:axId val="206413824"/>
      </c:lineChart>
      <c:catAx>
        <c:axId val="206411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년도</a:t>
                </a:r>
              </a:p>
            </c:rich>
          </c:tx>
          <c:layout>
            <c:manualLayout>
              <c:xMode val="edge"/>
              <c:yMode val="edge"/>
              <c:x val="0.47813472295554887"/>
              <c:y val="0.91176594102207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06413824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064138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_(* #,##0_);_(* \(#,##0\);_(* &quot;-&quot;_);_(@_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06411648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99CC00"/>
        </a:gs>
        <a:gs pos="50000">
          <a:srgbClr val="FFFFFF"/>
        </a:gs>
        <a:gs pos="100000">
          <a:srgbClr val="99CC00"/>
        </a:gs>
      </a:gsLst>
      <a:lin ang="5400000" scaled="1"/>
    </a:gra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78" r="0.75000000000000178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휴먼태가람체"/>
                <a:ea typeface="휴먼태가람체"/>
                <a:cs typeface="휴먼태가람체"/>
              </a:defRPr>
            </a:pPr>
            <a:r>
              <a:rPr lang="ko-KR" altLang="en-US"/>
              <a:t>음성읍 인구변화</a:t>
            </a:r>
          </a:p>
        </c:rich>
      </c:tx>
      <c:layout>
        <c:manualLayout>
          <c:xMode val="edge"/>
          <c:yMode val="edge"/>
          <c:x val="0.36734755094388732"/>
          <c:y val="1.47058823529411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533555503990957"/>
          <c:y val="0.1058825050013"/>
          <c:w val="0.77551130806889679"/>
          <c:h val="0.68823628250844804"/>
        </c:manualLayout>
      </c:layout>
      <c:lineChart>
        <c:grouping val="standard"/>
        <c:varyColors val="0"/>
        <c:ser>
          <c:idx val="1"/>
          <c:order val="0"/>
          <c:tx>
            <c:strRef>
              <c:f>'1.1.2 인구분석'!$B$22</c:f>
              <c:strCache>
                <c:ptCount val="1"/>
                <c:pt idx="0">
                  <c:v>음  성  읍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og"/>
            <c:dispRSqr val="0"/>
            <c:dispEq val="0"/>
          </c:trendline>
          <c:cat>
            <c:strRef>
              <c:f>'1.1.2 인구분석'!$A$26:$A$35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'1.1.2 인구분석'!$E$26:$E$35</c:f>
              <c:numCache>
                <c:formatCode>_(* #,##0_);_(* \(#,##0\);_(* "-"_);_(@_)</c:formatCode>
                <c:ptCount val="10"/>
                <c:pt idx="0">
                  <c:v>18414</c:v>
                </c:pt>
                <c:pt idx="1">
                  <c:v>18251</c:v>
                </c:pt>
                <c:pt idx="2">
                  <c:v>18588</c:v>
                </c:pt>
                <c:pt idx="3">
                  <c:v>19021</c:v>
                </c:pt>
                <c:pt idx="4">
                  <c:v>18690</c:v>
                </c:pt>
                <c:pt idx="5">
                  <c:v>18920</c:v>
                </c:pt>
                <c:pt idx="6">
                  <c:v>19167</c:v>
                </c:pt>
                <c:pt idx="7">
                  <c:v>19214</c:v>
                </c:pt>
                <c:pt idx="8">
                  <c:v>18986</c:v>
                </c:pt>
                <c:pt idx="9">
                  <c:v>19057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8-42D2-89B4-9B57CAF9D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635392"/>
        <c:axId val="206637312"/>
      </c:lineChart>
      <c:catAx>
        <c:axId val="206635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년도</a:t>
                </a:r>
              </a:p>
            </c:rich>
          </c:tx>
          <c:layout>
            <c:manualLayout>
              <c:xMode val="edge"/>
              <c:yMode val="edge"/>
              <c:x val="0.47813472295554887"/>
              <c:y val="0.91176594102207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06637312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066373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_(* #,##0_);_(* \(#,##0\);_(* &quot;-&quot;_);_(@_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06635392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99CC00"/>
        </a:gs>
        <a:gs pos="50000">
          <a:srgbClr val="FFFFFF"/>
        </a:gs>
        <a:gs pos="100000">
          <a:srgbClr val="99CC00"/>
        </a:gs>
      </a:gsLst>
      <a:lin ang="5400000" scaled="1"/>
    </a:gra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2" r="0.750000000000002" t="1" header="0.5" footer="0.5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휴먼태가람체"/>
                <a:ea typeface="휴먼태가람체"/>
                <a:cs typeface="휴먼태가람체"/>
              </a:defRPr>
            </a:pPr>
            <a:r>
              <a:rPr lang="ko-KR" altLang="en-US"/>
              <a:t>삼성면 인구변화</a:t>
            </a:r>
          </a:p>
        </c:rich>
      </c:tx>
      <c:layout>
        <c:manualLayout>
          <c:xMode val="edge"/>
          <c:yMode val="edge"/>
          <c:x val="0.36734755094388732"/>
          <c:y val="1.47058823529411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533555503990957"/>
          <c:y val="0.1058825050013"/>
          <c:w val="0.77551130806889679"/>
          <c:h val="0.68823628250844804"/>
        </c:manualLayout>
      </c:layout>
      <c:lineChart>
        <c:grouping val="standard"/>
        <c:varyColors val="0"/>
        <c:ser>
          <c:idx val="1"/>
          <c:order val="0"/>
          <c:tx>
            <c:strRef>
              <c:f>'1.1.2 인구분석'!$B$129</c:f>
              <c:strCache>
                <c:ptCount val="1"/>
                <c:pt idx="0">
                  <c:v>삼  성  면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og"/>
            <c:dispRSqr val="0"/>
            <c:dispEq val="0"/>
          </c:trendline>
          <c:cat>
            <c:strRef>
              <c:f>'1.1.2 인구분석'!$A$133:$A$142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'1.1.2 인구분석'!$E$133:$E$142</c:f>
              <c:numCache>
                <c:formatCode>_(* #,##0_);_(* \(#,##0\);_(* "-"_);_(@_)</c:formatCode>
                <c:ptCount val="10"/>
                <c:pt idx="0">
                  <c:v>8527</c:v>
                </c:pt>
                <c:pt idx="1">
                  <c:v>8679</c:v>
                </c:pt>
                <c:pt idx="2">
                  <c:v>8768</c:v>
                </c:pt>
                <c:pt idx="3">
                  <c:v>8838</c:v>
                </c:pt>
                <c:pt idx="4">
                  <c:v>9306</c:v>
                </c:pt>
                <c:pt idx="5">
                  <c:v>9393</c:v>
                </c:pt>
                <c:pt idx="6">
                  <c:v>9575</c:v>
                </c:pt>
                <c:pt idx="7">
                  <c:v>9739</c:v>
                </c:pt>
                <c:pt idx="8">
                  <c:v>9571</c:v>
                </c:pt>
                <c:pt idx="9">
                  <c:v>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09-45C2-9188-2F03CB27A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678656"/>
        <c:axId val="206689024"/>
      </c:lineChart>
      <c:catAx>
        <c:axId val="206678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년도</a:t>
                </a:r>
              </a:p>
            </c:rich>
          </c:tx>
          <c:layout>
            <c:manualLayout>
              <c:xMode val="edge"/>
              <c:yMode val="edge"/>
              <c:x val="0.47813472295554887"/>
              <c:y val="0.91176594102207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06689024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066890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_(* #,##0_);_(* \(#,##0\);_(* &quot;-&quot;_);_(@_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06678656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99CC00"/>
        </a:gs>
        <a:gs pos="50000">
          <a:srgbClr val="FFFFFF"/>
        </a:gs>
        <a:gs pos="100000">
          <a:srgbClr val="99CC00"/>
        </a:gs>
      </a:gsLst>
      <a:lin ang="5400000" scaled="1"/>
    </a:gra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2" r="0.750000000000002" t="1" header="0.5" footer="0.5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휴먼태가람체"/>
                <a:ea typeface="휴먼태가람체"/>
                <a:cs typeface="휴먼태가람체"/>
              </a:defRPr>
            </a:pPr>
            <a:r>
              <a:rPr lang="ko-KR" altLang="en-US"/>
              <a:t>소이면 인구변화</a:t>
            </a:r>
          </a:p>
        </c:rich>
      </c:tx>
      <c:layout>
        <c:manualLayout>
          <c:xMode val="edge"/>
          <c:yMode val="edge"/>
          <c:x val="0.36734755094388732"/>
          <c:y val="1.47058823529411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533555503990957"/>
          <c:y val="0.1058825050013"/>
          <c:w val="0.77551130806889679"/>
          <c:h val="0.68823628250844804"/>
        </c:manualLayout>
      </c:layout>
      <c:lineChart>
        <c:grouping val="standard"/>
        <c:varyColors val="0"/>
        <c:ser>
          <c:idx val="1"/>
          <c:order val="0"/>
          <c:tx>
            <c:strRef>
              <c:f>'1.1.2 인구분석'!$B$57:$L$57</c:f>
              <c:strCache>
                <c:ptCount val="1"/>
                <c:pt idx="0">
                  <c:v>소  이  면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og"/>
            <c:dispRSqr val="0"/>
            <c:dispEq val="0"/>
          </c:trendline>
          <c:cat>
            <c:strRef>
              <c:f>'1.1.2 인구분석'!$A$26:$A$35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'1.1.2 인구분석'!$E$61:$E$70</c:f>
              <c:numCache>
                <c:formatCode>_(* #,##0_);_(* \(#,##0\);_(* "-"_);_(@_)</c:formatCode>
                <c:ptCount val="10"/>
                <c:pt idx="0">
                  <c:v>3500</c:v>
                </c:pt>
                <c:pt idx="1">
                  <c:v>3493</c:v>
                </c:pt>
                <c:pt idx="2">
                  <c:v>3452</c:v>
                </c:pt>
                <c:pt idx="3">
                  <c:v>3452</c:v>
                </c:pt>
                <c:pt idx="4">
                  <c:v>3386</c:v>
                </c:pt>
                <c:pt idx="5">
                  <c:v>3321</c:v>
                </c:pt>
                <c:pt idx="6">
                  <c:v>3291</c:v>
                </c:pt>
                <c:pt idx="7">
                  <c:v>3233</c:v>
                </c:pt>
                <c:pt idx="8">
                  <c:v>3221</c:v>
                </c:pt>
                <c:pt idx="9">
                  <c:v>3240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67-49B3-B314-66B7985F5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988416"/>
        <c:axId val="206990336"/>
      </c:lineChart>
      <c:catAx>
        <c:axId val="206988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년도</a:t>
                </a:r>
              </a:p>
            </c:rich>
          </c:tx>
          <c:layout>
            <c:manualLayout>
              <c:xMode val="edge"/>
              <c:yMode val="edge"/>
              <c:x val="0.47813472295554887"/>
              <c:y val="0.91176594102207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06990336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069903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_(* #,##0_);_(* \(#,##0\);_(* &quot;-&quot;_);_(@_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06988416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99CC00"/>
        </a:gs>
        <a:gs pos="50000">
          <a:srgbClr val="FFFFFF"/>
        </a:gs>
        <a:gs pos="100000">
          <a:srgbClr val="99CC00"/>
        </a:gs>
      </a:gsLst>
      <a:lin ang="5400000" scaled="1"/>
    </a:gra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2" r="0.750000000000002" t="1" header="0.5" footer="0.5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휴먼태가람체"/>
                <a:ea typeface="휴먼태가람체"/>
                <a:cs typeface="휴먼태가람체"/>
              </a:defRPr>
            </a:pPr>
            <a:r>
              <a:rPr lang="ko-KR" altLang="en-US"/>
              <a:t>원남면 인구변화</a:t>
            </a:r>
          </a:p>
        </c:rich>
      </c:tx>
      <c:layout>
        <c:manualLayout>
          <c:xMode val="edge"/>
          <c:yMode val="edge"/>
          <c:x val="0.36734755094388732"/>
          <c:y val="1.47058823529411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533555503990957"/>
          <c:y val="0.10588250500129998"/>
          <c:w val="0.77551130806889645"/>
          <c:h val="0.68823628250844804"/>
        </c:manualLayout>
      </c:layout>
      <c:lineChart>
        <c:grouping val="standard"/>
        <c:varyColors val="0"/>
        <c:ser>
          <c:idx val="1"/>
          <c:order val="0"/>
          <c:tx>
            <c:strRef>
              <c:f>'1.1.2 인구분석'!$B$74:$L$74</c:f>
              <c:strCache>
                <c:ptCount val="1"/>
                <c:pt idx="0">
                  <c:v>원  남  면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og"/>
            <c:dispRSqr val="0"/>
            <c:dispEq val="0"/>
          </c:trendline>
          <c:cat>
            <c:strRef>
              <c:f>'1.1.2 인구분석'!$A$7:$A$16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'1.1.2 인구분석'!$E$78:$E$87</c:f>
              <c:numCache>
                <c:formatCode>_(* #,##0_);_(* \(#,##0\);_(* "-"_);_(@_)</c:formatCode>
                <c:ptCount val="10"/>
                <c:pt idx="0">
                  <c:v>3377</c:v>
                </c:pt>
                <c:pt idx="1">
                  <c:v>3359</c:v>
                </c:pt>
                <c:pt idx="2">
                  <c:v>3318</c:v>
                </c:pt>
                <c:pt idx="3">
                  <c:v>3364</c:v>
                </c:pt>
                <c:pt idx="4">
                  <c:v>3307</c:v>
                </c:pt>
                <c:pt idx="5">
                  <c:v>3313</c:v>
                </c:pt>
                <c:pt idx="6">
                  <c:v>3326</c:v>
                </c:pt>
                <c:pt idx="7">
                  <c:v>3270</c:v>
                </c:pt>
                <c:pt idx="8">
                  <c:v>3243</c:v>
                </c:pt>
                <c:pt idx="9">
                  <c:v>3317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A0-437F-AEE7-8E20841C9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774272"/>
        <c:axId val="206775808"/>
      </c:lineChart>
      <c:catAx>
        <c:axId val="206774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년도</a:t>
                </a:r>
              </a:p>
            </c:rich>
          </c:tx>
          <c:layout>
            <c:manualLayout>
              <c:xMode val="edge"/>
              <c:yMode val="edge"/>
              <c:x val="0.47813472295554887"/>
              <c:y val="0.91176594102207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06775808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067758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_(* #,##0_);_(* \(#,##0\);_(* &quot;-&quot;_);_(@_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06774272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99CC00"/>
        </a:gs>
        <a:gs pos="50000">
          <a:srgbClr val="FFFFFF"/>
        </a:gs>
        <a:gs pos="100000">
          <a:srgbClr val="99CC00"/>
        </a:gs>
      </a:gsLst>
      <a:lin ang="5400000" scaled="1"/>
    </a:gra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78" r="0.75000000000000178" t="1" header="0.5" footer="0.5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휴먼태가람체"/>
                <a:ea typeface="휴먼태가람체"/>
                <a:cs typeface="휴먼태가람체"/>
              </a:defRPr>
            </a:pPr>
            <a:r>
              <a:rPr lang="ko-KR" altLang="en-US"/>
              <a:t>맹동면 인구변화</a:t>
            </a:r>
          </a:p>
        </c:rich>
      </c:tx>
      <c:layout>
        <c:manualLayout>
          <c:xMode val="edge"/>
          <c:yMode val="edge"/>
          <c:x val="0.36734755094388732"/>
          <c:y val="1.47058823529411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533555503990957"/>
          <c:y val="0.1058825050013"/>
          <c:w val="0.77551130806889679"/>
          <c:h val="0.68823628250844804"/>
        </c:manualLayout>
      </c:layout>
      <c:lineChart>
        <c:grouping val="standard"/>
        <c:varyColors val="0"/>
        <c:ser>
          <c:idx val="1"/>
          <c:order val="0"/>
          <c:tx>
            <c:strRef>
              <c:f>'1.1.2 인구분석'!$B$93:$L$93</c:f>
              <c:strCache>
                <c:ptCount val="1"/>
                <c:pt idx="0">
                  <c:v>맹  동  면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og"/>
            <c:dispRSqr val="0"/>
            <c:dispEq val="0"/>
          </c:trendline>
          <c:cat>
            <c:strRef>
              <c:f>'1.1.2 인구분석'!$A$26:$A$35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'1.1.2 인구분석'!$E$97:$E$106</c:f>
              <c:numCache>
                <c:formatCode>_(* #,##0_);_(* \(#,##0\);_(* "-"_);_(@_)</c:formatCode>
                <c:ptCount val="10"/>
                <c:pt idx="0">
                  <c:v>5165</c:v>
                </c:pt>
                <c:pt idx="1">
                  <c:v>5233</c:v>
                </c:pt>
                <c:pt idx="2">
                  <c:v>5071</c:v>
                </c:pt>
                <c:pt idx="3">
                  <c:v>5253</c:v>
                </c:pt>
                <c:pt idx="4">
                  <c:v>5574</c:v>
                </c:pt>
                <c:pt idx="5">
                  <c:v>5497</c:v>
                </c:pt>
                <c:pt idx="6">
                  <c:v>5579</c:v>
                </c:pt>
                <c:pt idx="7">
                  <c:v>8143</c:v>
                </c:pt>
                <c:pt idx="8">
                  <c:v>10418</c:v>
                </c:pt>
                <c:pt idx="9">
                  <c:v>12254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4C-4C52-9AF0-070E97828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813056"/>
        <c:axId val="206823424"/>
      </c:lineChart>
      <c:catAx>
        <c:axId val="206813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년도</a:t>
                </a:r>
              </a:p>
            </c:rich>
          </c:tx>
          <c:layout>
            <c:manualLayout>
              <c:xMode val="edge"/>
              <c:yMode val="edge"/>
              <c:x val="0.47813472295554887"/>
              <c:y val="0.91176594102207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06823424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068234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_(* #,##0_);_(* \(#,##0\);_(* &quot;-&quot;_);_(@_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06813056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99CC00"/>
        </a:gs>
        <a:gs pos="50000">
          <a:srgbClr val="FFFFFF"/>
        </a:gs>
        <a:gs pos="100000">
          <a:srgbClr val="99CC00"/>
        </a:gs>
      </a:gsLst>
      <a:lin ang="5400000" scaled="1"/>
    </a:gra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2" r="0.750000000000002" t="1" header="0.5" footer="0.5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휴먼태가람체"/>
                <a:ea typeface="휴먼태가람체"/>
                <a:cs typeface="휴먼태가람체"/>
              </a:defRPr>
            </a:pPr>
            <a:r>
              <a:rPr lang="ko-KR" altLang="en-US"/>
              <a:t>대소면 인구변화</a:t>
            </a:r>
          </a:p>
        </c:rich>
      </c:tx>
      <c:layout>
        <c:manualLayout>
          <c:xMode val="edge"/>
          <c:yMode val="edge"/>
          <c:x val="0.36734755094388732"/>
          <c:y val="1.47058823529411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533555503990957"/>
          <c:y val="0.10588250500129998"/>
          <c:w val="0.77551130806889645"/>
          <c:h val="0.68823628250844804"/>
        </c:manualLayout>
      </c:layout>
      <c:lineChart>
        <c:grouping val="standard"/>
        <c:varyColors val="0"/>
        <c:ser>
          <c:idx val="1"/>
          <c:order val="0"/>
          <c:tx>
            <c:strRef>
              <c:f>'1.1.2 인구분석'!$B$110:$L$110</c:f>
              <c:strCache>
                <c:ptCount val="1"/>
                <c:pt idx="0">
                  <c:v>대  소  면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og"/>
            <c:dispRSqr val="0"/>
            <c:dispEq val="0"/>
          </c:trendline>
          <c:cat>
            <c:strRef>
              <c:f>'1.1.2 인구분석'!$A$7:$A$16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'1.1.2 인구분석'!$E$114:$E$123</c:f>
              <c:numCache>
                <c:formatCode>_(* #,##0_);_(* \(#,##0\);_(* "-"_);_(@_)</c:formatCode>
                <c:ptCount val="10"/>
                <c:pt idx="0">
                  <c:v>16912</c:v>
                </c:pt>
                <c:pt idx="1">
                  <c:v>17123</c:v>
                </c:pt>
                <c:pt idx="2">
                  <c:v>17334</c:v>
                </c:pt>
                <c:pt idx="3">
                  <c:v>17604</c:v>
                </c:pt>
                <c:pt idx="4">
                  <c:v>17831</c:v>
                </c:pt>
                <c:pt idx="5">
                  <c:v>18702</c:v>
                </c:pt>
                <c:pt idx="6">
                  <c:v>19159</c:v>
                </c:pt>
                <c:pt idx="7">
                  <c:v>19132</c:v>
                </c:pt>
                <c:pt idx="8">
                  <c:v>18802</c:v>
                </c:pt>
                <c:pt idx="9">
                  <c:v>18744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F8-4C03-818C-5AFDA6587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856960"/>
        <c:axId val="206858880"/>
      </c:lineChart>
      <c:catAx>
        <c:axId val="20685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년도</a:t>
                </a:r>
              </a:p>
            </c:rich>
          </c:tx>
          <c:layout>
            <c:manualLayout>
              <c:xMode val="edge"/>
              <c:yMode val="edge"/>
              <c:x val="0.47813472295554887"/>
              <c:y val="0.91176594102207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0685888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068588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_(* #,##0_);_(* \(#,##0\);_(* &quot;-&quot;_);_(@_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06856960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99CC00"/>
        </a:gs>
        <a:gs pos="50000">
          <a:srgbClr val="FFFFFF"/>
        </a:gs>
        <a:gs pos="100000">
          <a:srgbClr val="99CC00"/>
        </a:gs>
      </a:gsLst>
      <a:lin ang="5400000" scaled="1"/>
    </a:gra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78" r="0.75000000000000178" t="1" header="0.5" footer="0.5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휴먼태가람체"/>
                <a:ea typeface="휴먼태가람체"/>
                <a:cs typeface="휴먼태가람체"/>
              </a:defRPr>
            </a:pPr>
            <a:r>
              <a:rPr lang="ko-KR" altLang="en-US"/>
              <a:t>금왕읍 인구변화</a:t>
            </a:r>
          </a:p>
        </c:rich>
      </c:tx>
      <c:layout>
        <c:manualLayout>
          <c:xMode val="edge"/>
          <c:yMode val="edge"/>
          <c:x val="0.36734755094388732"/>
          <c:y val="1.47058823529411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533555503990957"/>
          <c:y val="0.10588250500129998"/>
          <c:w val="0.77551130806889645"/>
          <c:h val="0.68823628250844804"/>
        </c:manualLayout>
      </c:layout>
      <c:lineChart>
        <c:grouping val="standard"/>
        <c:varyColors val="0"/>
        <c:ser>
          <c:idx val="1"/>
          <c:order val="0"/>
          <c:tx>
            <c:strRef>
              <c:f>'1.1.2 인구분석'!$B$38:$L$38</c:f>
              <c:strCache>
                <c:ptCount val="1"/>
                <c:pt idx="0">
                  <c:v>금  왕  읍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og"/>
            <c:dispRSqr val="0"/>
            <c:dispEq val="0"/>
          </c:trendline>
          <c:cat>
            <c:strRef>
              <c:f>'1.1.2 인구분석'!$A$7:$A$16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'1.1.2 인구분석'!$E$42:$E$51</c:f>
              <c:numCache>
                <c:formatCode>_(* #,##0_);_(* \(#,##0\);_(* "-"_);_(@_)</c:formatCode>
                <c:ptCount val="10"/>
                <c:pt idx="0">
                  <c:v>20615</c:v>
                </c:pt>
                <c:pt idx="1">
                  <c:v>22162</c:v>
                </c:pt>
                <c:pt idx="2">
                  <c:v>22357</c:v>
                </c:pt>
                <c:pt idx="3">
                  <c:v>22538</c:v>
                </c:pt>
                <c:pt idx="4">
                  <c:v>22572</c:v>
                </c:pt>
                <c:pt idx="5">
                  <c:v>22563</c:v>
                </c:pt>
                <c:pt idx="6">
                  <c:v>23002</c:v>
                </c:pt>
                <c:pt idx="7">
                  <c:v>23362</c:v>
                </c:pt>
                <c:pt idx="8">
                  <c:v>23334</c:v>
                </c:pt>
                <c:pt idx="9">
                  <c:v>23398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B1-4F9D-993D-C1538793D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879744"/>
        <c:axId val="206902400"/>
      </c:lineChart>
      <c:catAx>
        <c:axId val="206879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년도</a:t>
                </a:r>
              </a:p>
            </c:rich>
          </c:tx>
          <c:layout>
            <c:manualLayout>
              <c:xMode val="edge"/>
              <c:yMode val="edge"/>
              <c:x val="0.47813472295554887"/>
              <c:y val="0.91176594102207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0690240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069024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_(* #,##0_);_(* \(#,##0\);_(* &quot;-&quot;_);_(@_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06879744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99CC00"/>
        </a:gs>
        <a:gs pos="50000">
          <a:srgbClr val="FFFFFF"/>
        </a:gs>
        <a:gs pos="100000">
          <a:srgbClr val="99CC00"/>
        </a:gs>
      </a:gsLst>
      <a:lin ang="5400000" scaled="1"/>
    </a:gra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78" r="0.75000000000000178" t="1" header="0.5" footer="0.5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휴먼태가람체"/>
                <a:ea typeface="휴먼태가람체"/>
                <a:cs typeface="휴먼태가람체"/>
              </a:defRPr>
            </a:pPr>
            <a:r>
              <a:rPr lang="ko-KR" altLang="en-US"/>
              <a:t>감곡면 인구변화</a:t>
            </a:r>
          </a:p>
        </c:rich>
      </c:tx>
      <c:layout>
        <c:manualLayout>
          <c:xMode val="edge"/>
          <c:yMode val="edge"/>
          <c:x val="0.36734755094388732"/>
          <c:y val="1.47058823529411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533555503990957"/>
          <c:y val="0.1058825050013"/>
          <c:w val="0.77551130806889679"/>
          <c:h val="0.68823628250844804"/>
        </c:manualLayout>
      </c:layout>
      <c:lineChart>
        <c:grouping val="standard"/>
        <c:varyColors val="0"/>
        <c:ser>
          <c:idx val="1"/>
          <c:order val="0"/>
          <c:tx>
            <c:strRef>
              <c:f>'1.1.2 인구분석'!$B$129</c:f>
              <c:strCache>
                <c:ptCount val="1"/>
                <c:pt idx="0">
                  <c:v>삼  성  면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og"/>
            <c:dispRSqr val="0"/>
            <c:dispEq val="0"/>
          </c:trendline>
          <c:cat>
            <c:strRef>
              <c:f>'1.1.2 인구분석'!$A$133:$A$142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'1.1.2 인구분석'!$E$133:$E$142</c:f>
              <c:numCache>
                <c:formatCode>_(* #,##0_);_(* \(#,##0\);_(* "-"_);_(@_)</c:formatCode>
                <c:ptCount val="10"/>
                <c:pt idx="0">
                  <c:v>8527</c:v>
                </c:pt>
                <c:pt idx="1">
                  <c:v>8679</c:v>
                </c:pt>
                <c:pt idx="2">
                  <c:v>8768</c:v>
                </c:pt>
                <c:pt idx="3">
                  <c:v>8838</c:v>
                </c:pt>
                <c:pt idx="4">
                  <c:v>9306</c:v>
                </c:pt>
                <c:pt idx="5">
                  <c:v>9393</c:v>
                </c:pt>
                <c:pt idx="6">
                  <c:v>9575</c:v>
                </c:pt>
                <c:pt idx="7">
                  <c:v>9739</c:v>
                </c:pt>
                <c:pt idx="8">
                  <c:v>9571</c:v>
                </c:pt>
                <c:pt idx="9">
                  <c:v>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E9-4060-88EF-34B306804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935552"/>
        <c:axId val="206937472"/>
      </c:lineChart>
      <c:catAx>
        <c:axId val="20693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년도</a:t>
                </a:r>
              </a:p>
            </c:rich>
          </c:tx>
          <c:layout>
            <c:manualLayout>
              <c:xMode val="edge"/>
              <c:yMode val="edge"/>
              <c:x val="0.47813472295554887"/>
              <c:y val="0.91176594102207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06937472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069374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_(* #,##0_);_(* \(#,##0\);_(* &quot;-&quot;_);_(@_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06935552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99CC00"/>
        </a:gs>
        <a:gs pos="50000">
          <a:srgbClr val="FFFFFF"/>
        </a:gs>
        <a:gs pos="100000">
          <a:srgbClr val="99CC00"/>
        </a:gs>
      </a:gsLst>
      <a:lin ang="5400000" scaled="1"/>
    </a:gra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2" r="0.750000000000002" t="1" header="0.5" footer="0.5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휴먼태가람체"/>
                <a:ea typeface="휴먼태가람체"/>
                <a:cs typeface="휴먼태가람체"/>
              </a:defRPr>
            </a:pPr>
            <a:r>
              <a:rPr lang="ko-KR" altLang="en-US"/>
              <a:t>생극면 인구변화</a:t>
            </a:r>
          </a:p>
        </c:rich>
      </c:tx>
      <c:layout>
        <c:manualLayout>
          <c:xMode val="edge"/>
          <c:yMode val="edge"/>
          <c:x val="0.36734755094388732"/>
          <c:y val="1.47058823529411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533555503990957"/>
          <c:y val="0.10588250500129998"/>
          <c:w val="0.77551130806889645"/>
          <c:h val="0.68823628250844804"/>
        </c:manualLayout>
      </c:layout>
      <c:lineChart>
        <c:grouping val="standard"/>
        <c:varyColors val="0"/>
        <c:ser>
          <c:idx val="1"/>
          <c:order val="0"/>
          <c:tx>
            <c:strRef>
              <c:f>'1.1.2 인구분석'!$B$110:$L$110</c:f>
              <c:strCache>
                <c:ptCount val="1"/>
                <c:pt idx="0">
                  <c:v>대  소  면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og"/>
            <c:dispRSqr val="0"/>
            <c:dispEq val="0"/>
          </c:trendline>
          <c:cat>
            <c:strRef>
              <c:f>'1.1.2 인구분석'!$A$7:$A$16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'1.1.2 인구분석'!$E$114:$E$123</c:f>
              <c:numCache>
                <c:formatCode>_(* #,##0_);_(* \(#,##0\);_(* "-"_);_(@_)</c:formatCode>
                <c:ptCount val="10"/>
                <c:pt idx="0">
                  <c:v>16912</c:v>
                </c:pt>
                <c:pt idx="1">
                  <c:v>17123</c:v>
                </c:pt>
                <c:pt idx="2">
                  <c:v>17334</c:v>
                </c:pt>
                <c:pt idx="3">
                  <c:v>17604</c:v>
                </c:pt>
                <c:pt idx="4">
                  <c:v>17831</c:v>
                </c:pt>
                <c:pt idx="5">
                  <c:v>18702</c:v>
                </c:pt>
                <c:pt idx="6">
                  <c:v>19159</c:v>
                </c:pt>
                <c:pt idx="7">
                  <c:v>19132</c:v>
                </c:pt>
                <c:pt idx="8">
                  <c:v>18802</c:v>
                </c:pt>
                <c:pt idx="9">
                  <c:v>18744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AD-4362-81BE-5C08B70ED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560704"/>
        <c:axId val="207562624"/>
      </c:lineChart>
      <c:catAx>
        <c:axId val="207560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년도</a:t>
                </a:r>
              </a:p>
            </c:rich>
          </c:tx>
          <c:layout>
            <c:manualLayout>
              <c:xMode val="edge"/>
              <c:yMode val="edge"/>
              <c:x val="0.47813472295554887"/>
              <c:y val="0.91176594102207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07562624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07562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_(* #,##0_);_(* \(#,##0\);_(* &quot;-&quot;_);_(@_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07560704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99CC00"/>
        </a:gs>
        <a:gs pos="50000">
          <a:srgbClr val="FFFFFF"/>
        </a:gs>
        <a:gs pos="100000">
          <a:srgbClr val="99CC00"/>
        </a:gs>
      </a:gsLst>
      <a:lin ang="5400000" scaled="1"/>
    </a:gra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78" r="0.75000000000000178" t="1" header="0.5" footer="0.5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'1.1.1 과거인구현황'!$D$5:$M$5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'1.1.1 과거인구현황'!$D$6:$M$6</c:f>
              <c:numCache>
                <c:formatCode>General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0-525A-4630-B306-F4EA08069CFA}"/>
            </c:ext>
          </c:extLst>
        </c:ser>
        <c:ser>
          <c:idx val="1"/>
          <c:order val="1"/>
          <c:tx>
            <c:v>총인구</c:v>
          </c:tx>
          <c:spPr>
            <a:solidFill>
              <a:schemeClr val="accent1">
                <a:lumMod val="50000"/>
              </a:schemeClr>
            </a:solidFill>
            <a:ln>
              <a:solidFill>
                <a:schemeClr val="accent1">
                  <a:lumMod val="50000"/>
                </a:schemeClr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'1.1.1 과거인구현황'!$D$5:$M$5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'1.1.1 과거인구현황'!$D$9:$M$9</c:f>
              <c:numCache>
                <c:formatCode>_(* #,##0_);_(* \(#,##0\);_(* "-"_);_(@_)</c:formatCode>
                <c:ptCount val="10"/>
                <c:pt idx="0">
                  <c:v>18414</c:v>
                </c:pt>
                <c:pt idx="1">
                  <c:v>18251</c:v>
                </c:pt>
                <c:pt idx="2">
                  <c:v>18588</c:v>
                </c:pt>
                <c:pt idx="3">
                  <c:v>19021</c:v>
                </c:pt>
                <c:pt idx="4">
                  <c:v>18690</c:v>
                </c:pt>
                <c:pt idx="5">
                  <c:v>18920</c:v>
                </c:pt>
                <c:pt idx="6">
                  <c:v>19167</c:v>
                </c:pt>
                <c:pt idx="7">
                  <c:v>19214</c:v>
                </c:pt>
                <c:pt idx="8">
                  <c:v>18986</c:v>
                </c:pt>
                <c:pt idx="9">
                  <c:v>19057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5A-4630-B306-F4EA08069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963584"/>
        <c:axId val="200965120"/>
      </c:barChart>
      <c:lineChart>
        <c:grouping val="standard"/>
        <c:varyColors val="0"/>
        <c:ser>
          <c:idx val="2"/>
          <c:order val="2"/>
          <c:tx>
            <c:v>증감율</c:v>
          </c:tx>
          <c:spPr>
            <a:ln w="34925" cap="rnd">
              <a:solidFill>
                <a:srgbClr val="92D05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'1.1.1 과거인구현황'!$D$5:$M$5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'1.1.1 과거인구현황'!$D$10:$M$10</c:f>
              <c:numCache>
                <c:formatCode>#,##0.0</c:formatCode>
                <c:ptCount val="10"/>
                <c:pt idx="0" formatCode="#,##0.00">
                  <c:v>1.43</c:v>
                </c:pt>
                <c:pt idx="1">
                  <c:v>-0.9</c:v>
                </c:pt>
                <c:pt idx="2">
                  <c:v>1.8</c:v>
                </c:pt>
                <c:pt idx="3">
                  <c:v>2.2999999999999998</c:v>
                </c:pt>
                <c:pt idx="4">
                  <c:v>-1.7</c:v>
                </c:pt>
                <c:pt idx="5">
                  <c:v>1.2</c:v>
                </c:pt>
                <c:pt idx="6">
                  <c:v>1.3</c:v>
                </c:pt>
                <c:pt idx="7">
                  <c:v>0.2</c:v>
                </c:pt>
                <c:pt idx="8">
                  <c:v>-1.2</c:v>
                </c:pt>
                <c:pt idx="9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5A-4630-B306-F4EA08069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980736"/>
        <c:axId val="200979200"/>
      </c:lineChart>
      <c:catAx>
        <c:axId val="20096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200965120"/>
        <c:crosses val="autoZero"/>
        <c:auto val="1"/>
        <c:lblAlgn val="ctr"/>
        <c:lblOffset val="100"/>
        <c:noMultiLvlLbl val="0"/>
      </c:catAx>
      <c:valAx>
        <c:axId val="20096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200963584"/>
        <c:crosses val="autoZero"/>
        <c:crossBetween val="between"/>
      </c:valAx>
      <c:valAx>
        <c:axId val="200979200"/>
        <c:scaling>
          <c:orientation val="minMax"/>
        </c:scaling>
        <c:delete val="0"/>
        <c:axPos val="r"/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200980736"/>
        <c:crosses val="max"/>
        <c:crossBetween val="between"/>
      </c:valAx>
      <c:catAx>
        <c:axId val="2009807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09792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5051058956582"/>
          <c:y val="3.136304995773833E-2"/>
          <c:w val="0.83218912009427726"/>
          <c:h val="0.81288380266026061"/>
        </c:manualLayout>
      </c:layout>
      <c:barChart>
        <c:barDir val="col"/>
        <c:grouping val="clustered"/>
        <c:varyColors val="0"/>
        <c:ser>
          <c:idx val="0"/>
          <c:order val="0"/>
          <c:tx>
            <c:v>총인구</c:v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strRef>
              <c:f>'1.1.2 인구분석'!$A$6:$A$16</c:f>
              <c:strCache>
                <c:ptCount val="11"/>
                <c:pt idx="0">
                  <c:v>2006년</c:v>
                </c:pt>
                <c:pt idx="1">
                  <c:v>2007년</c:v>
                </c:pt>
                <c:pt idx="2">
                  <c:v>2008년</c:v>
                </c:pt>
                <c:pt idx="3">
                  <c:v>2009년</c:v>
                </c:pt>
                <c:pt idx="4">
                  <c:v>2010년</c:v>
                </c:pt>
                <c:pt idx="5">
                  <c:v>2011년</c:v>
                </c:pt>
                <c:pt idx="6">
                  <c:v>2012년</c:v>
                </c:pt>
                <c:pt idx="7">
                  <c:v>2013년</c:v>
                </c:pt>
                <c:pt idx="8">
                  <c:v>2014년</c:v>
                </c:pt>
                <c:pt idx="9">
                  <c:v>2015년</c:v>
                </c:pt>
                <c:pt idx="10">
                  <c:v>2016년</c:v>
                </c:pt>
              </c:strCache>
            </c:strRef>
          </c:cat>
          <c:val>
            <c:numRef>
              <c:f>'1.1.2 인구분석'!$E$6:$E$16</c:f>
              <c:numCache>
                <c:formatCode>_(* #,##0_);_(* \(#,##0\);_(* "-"_);_(@_)</c:formatCode>
                <c:ptCount val="11"/>
                <c:pt idx="0">
                  <c:v>90159</c:v>
                </c:pt>
                <c:pt idx="1">
                  <c:v>92520</c:v>
                </c:pt>
                <c:pt idx="2">
                  <c:v>94144</c:v>
                </c:pt>
                <c:pt idx="3">
                  <c:v>94580</c:v>
                </c:pt>
                <c:pt idx="4">
                  <c:v>96214</c:v>
                </c:pt>
                <c:pt idx="5">
                  <c:v>96993</c:v>
                </c:pt>
                <c:pt idx="6">
                  <c:v>98279</c:v>
                </c:pt>
                <c:pt idx="7">
                  <c:v>99952</c:v>
                </c:pt>
                <c:pt idx="8">
                  <c:v>102796</c:v>
                </c:pt>
                <c:pt idx="9">
                  <c:v>104316</c:v>
                </c:pt>
                <c:pt idx="10">
                  <c:v>106419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8-4529-AF23-1F2B545C4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588736"/>
        <c:axId val="207594624"/>
      </c:barChart>
      <c:lineChart>
        <c:grouping val="standard"/>
        <c:varyColors val="0"/>
        <c:ser>
          <c:idx val="1"/>
          <c:order val="1"/>
          <c:tx>
            <c:v>증감률</c:v>
          </c:tx>
          <c:spPr>
            <a:ln w="3810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'1.1.2 인구분석'!$A$6:$A$16</c:f>
              <c:strCache>
                <c:ptCount val="11"/>
                <c:pt idx="0">
                  <c:v>2006년</c:v>
                </c:pt>
                <c:pt idx="1">
                  <c:v>2007년</c:v>
                </c:pt>
                <c:pt idx="2">
                  <c:v>2008년</c:v>
                </c:pt>
                <c:pt idx="3">
                  <c:v>2009년</c:v>
                </c:pt>
                <c:pt idx="4">
                  <c:v>2010년</c:v>
                </c:pt>
                <c:pt idx="5">
                  <c:v>2011년</c:v>
                </c:pt>
                <c:pt idx="6">
                  <c:v>2012년</c:v>
                </c:pt>
                <c:pt idx="7">
                  <c:v>2013년</c:v>
                </c:pt>
                <c:pt idx="8">
                  <c:v>2014년</c:v>
                </c:pt>
                <c:pt idx="9">
                  <c:v>2015년</c:v>
                </c:pt>
                <c:pt idx="10">
                  <c:v>2016년</c:v>
                </c:pt>
              </c:strCache>
            </c:strRef>
          </c:cat>
          <c:val>
            <c:numRef>
              <c:f>'1.1.2 인구분석'!$G$6:$G$16</c:f>
              <c:numCache>
                <c:formatCode>[Blue]#,##0.00;[Red]\-#,##0.00</c:formatCode>
                <c:ptCount val="11"/>
                <c:pt idx="1">
                  <c:v>2.6190000000000002</c:v>
                </c:pt>
                <c:pt idx="2">
                  <c:v>1.7549999999999999</c:v>
                </c:pt>
                <c:pt idx="3">
                  <c:v>0.46300000000000002</c:v>
                </c:pt>
                <c:pt idx="4">
                  <c:v>1.728</c:v>
                </c:pt>
                <c:pt idx="5">
                  <c:v>0.81</c:v>
                </c:pt>
                <c:pt idx="6">
                  <c:v>1.3260000000000001</c:v>
                </c:pt>
                <c:pt idx="7">
                  <c:v>1.702</c:v>
                </c:pt>
                <c:pt idx="8">
                  <c:v>2.8450000000000002</c:v>
                </c:pt>
                <c:pt idx="9">
                  <c:v>1.4790000000000001</c:v>
                </c:pt>
                <c:pt idx="10">
                  <c:v>2.016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8-4529-AF23-1F2B545C4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610240"/>
        <c:axId val="207596160"/>
      </c:lineChart>
      <c:catAx>
        <c:axId val="207588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07594624"/>
        <c:crosses val="autoZero"/>
        <c:auto val="1"/>
        <c:lblAlgn val="ctr"/>
        <c:lblOffset val="100"/>
        <c:noMultiLvlLbl val="0"/>
      </c:catAx>
      <c:valAx>
        <c:axId val="2075946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207588736"/>
        <c:crosses val="autoZero"/>
        <c:crossBetween val="between"/>
      </c:valAx>
      <c:valAx>
        <c:axId val="207596160"/>
        <c:scaling>
          <c:orientation val="minMax"/>
        </c:scaling>
        <c:delete val="0"/>
        <c:axPos val="r"/>
        <c:numFmt formatCode="#,##0.00_);[Red]\(#,##0.00\)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ko-KR"/>
          </a:p>
        </c:txPr>
        <c:crossAx val="207610240"/>
        <c:crosses val="max"/>
        <c:crossBetween val="between"/>
      </c:valAx>
      <c:catAx>
        <c:axId val="207610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759616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가는둥근제목체"/>
                <a:ea typeface="가는둥근제목체"/>
                <a:cs typeface="가는둥근제목체"/>
              </a:defRPr>
            </a:pPr>
            <a:r>
              <a:rPr lang="ko-KR" altLang="en-US"/>
              <a:t>장래인구추정</a:t>
            </a:r>
            <a:r>
              <a:rPr lang="en-US" altLang="ko-KR"/>
              <a:t>(</a:t>
            </a:r>
            <a:r>
              <a:rPr lang="ko-KR" altLang="en-US"/>
              <a:t>과거 </a:t>
            </a:r>
            <a:r>
              <a:rPr lang="en-US" altLang="ko-KR"/>
              <a:t>10</a:t>
            </a:r>
            <a:r>
              <a:rPr lang="ko-KR" altLang="en-US"/>
              <a:t>년자료 기준</a:t>
            </a:r>
            <a:r>
              <a:rPr lang="en-US" altLang="ko-KR"/>
              <a:t>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55-4285-81C4-E827AAD46CC9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555-4285-81C4-E827AAD46CC9}"/>
            </c:ext>
          </c:extLst>
        </c:ser>
        <c:ser>
          <c:idx val="2"/>
          <c:order val="2"/>
          <c:spPr>
            <a:ln w="12700">
              <a:solidFill>
                <a:srgbClr val="9999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555-4285-81C4-E827AAD46CC9}"/>
            </c:ext>
          </c:extLst>
        </c:ser>
        <c:ser>
          <c:idx val="3"/>
          <c:order val="3"/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1555-4285-81C4-E827AAD46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243904"/>
        <c:axId val="207258368"/>
      </c:lineChart>
      <c:catAx>
        <c:axId val="207243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HY울릉도L"/>
                <a:ea typeface="HY울릉도L"/>
                <a:cs typeface="HY울릉도L"/>
              </a:defRPr>
            </a:pPr>
            <a:endParaRPr lang="ko-KR"/>
          </a:p>
        </c:txPr>
        <c:crossAx val="20725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7258368"/>
        <c:scaling>
          <c:orientation val="minMax"/>
          <c:max val="1000000"/>
          <c:min val="5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가는둥근제목체"/>
                    <a:ea typeface="가는둥근제목체"/>
                    <a:cs typeface="가는둥근제목체"/>
                  </a:defRPr>
                </a:pPr>
                <a:r>
                  <a:rPr lang="ko-KR" altLang="en-US"/>
                  <a:t>인 구 </a:t>
                </a:r>
                <a:r>
                  <a:rPr lang="en-US" altLang="ko-KR"/>
                  <a:t>(</a:t>
                </a:r>
                <a:r>
                  <a:rPr lang="ko-KR" altLang="en-US"/>
                  <a:t>인</a:t>
                </a:r>
                <a:r>
                  <a:rPr lang="en-US" altLang="ko-KR"/>
                  <a:t>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HY울릉도L"/>
                <a:ea typeface="HY울릉도L"/>
                <a:cs typeface="HY울릉도L"/>
              </a:defRPr>
            </a:pPr>
            <a:endParaRPr lang="ko-KR"/>
          </a:p>
        </c:txPr>
        <c:crossAx val="207243904"/>
        <c:crosses val="autoZero"/>
        <c:crossBetween val="between"/>
        <c:majorUnit val="100000"/>
        <c:minorUnit val="50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HY울릉도L"/>
              <a:ea typeface="HY울릉도L"/>
              <a:cs typeface="HY울릉도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988" r="0.75000000000000988" t="1" header="0.5" footer="0.5"/>
    <c:pageSetup paperSize="9" orientation="landscape" horizontalDpi="1200" verticalDpi="12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가는둥근제목체"/>
                <a:ea typeface="가는둥근제목체"/>
                <a:cs typeface="가는둥근제목체"/>
              </a:defRPr>
            </a:pPr>
            <a:r>
              <a:rPr lang="ko-KR" altLang="en-US"/>
              <a:t>장래인구추정</a:t>
            </a:r>
            <a:r>
              <a:rPr lang="en-US" altLang="ko-KR"/>
              <a:t>(</a:t>
            </a:r>
            <a:r>
              <a:rPr lang="ko-KR" altLang="en-US"/>
              <a:t>최근 </a:t>
            </a:r>
            <a:r>
              <a:rPr lang="en-US" altLang="ko-KR"/>
              <a:t>5</a:t>
            </a:r>
            <a:r>
              <a:rPr lang="ko-KR" altLang="en-US"/>
              <a:t>년자료 기준</a:t>
            </a:r>
            <a:r>
              <a:rPr lang="en-US" altLang="ko-KR"/>
              <a:t>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D17-4D0B-A5D1-831DAB83F5DD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D17-4D0B-A5D1-831DAB83F5DD}"/>
            </c:ext>
          </c:extLst>
        </c:ser>
        <c:ser>
          <c:idx val="2"/>
          <c:order val="2"/>
          <c:spPr>
            <a:ln w="12700">
              <a:solidFill>
                <a:srgbClr val="9999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D17-4D0B-A5D1-831DAB83F5DD}"/>
            </c:ext>
          </c:extLst>
        </c:ser>
        <c:ser>
          <c:idx val="3"/>
          <c:order val="3"/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DD17-4D0B-A5D1-831DAB83F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289344"/>
        <c:axId val="207627392"/>
      </c:lineChart>
      <c:catAx>
        <c:axId val="207289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HY울릉도L"/>
                <a:ea typeface="HY울릉도L"/>
                <a:cs typeface="HY울릉도L"/>
              </a:defRPr>
            </a:pPr>
            <a:endParaRPr lang="ko-KR"/>
          </a:p>
        </c:txPr>
        <c:crossAx val="20762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7627392"/>
        <c:scaling>
          <c:orientation val="minMax"/>
          <c:max val="1000000"/>
          <c:min val="5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가는둥근제목체"/>
                    <a:ea typeface="가는둥근제목체"/>
                    <a:cs typeface="가는둥근제목체"/>
                  </a:defRPr>
                </a:pPr>
                <a:r>
                  <a:rPr lang="ko-KR" altLang="en-US"/>
                  <a:t>인 구 </a:t>
                </a:r>
                <a:r>
                  <a:rPr lang="en-US" altLang="ko-KR"/>
                  <a:t>(</a:t>
                </a:r>
                <a:r>
                  <a:rPr lang="ko-KR" altLang="en-US"/>
                  <a:t>인</a:t>
                </a:r>
                <a:r>
                  <a:rPr lang="en-US" altLang="ko-KR"/>
                  <a:t>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HY울릉도L"/>
                <a:ea typeface="HY울릉도L"/>
                <a:cs typeface="HY울릉도L"/>
              </a:defRPr>
            </a:pPr>
            <a:endParaRPr lang="ko-KR"/>
          </a:p>
        </c:txPr>
        <c:crossAx val="207289344"/>
        <c:crosses val="autoZero"/>
        <c:crossBetween val="between"/>
        <c:majorUnit val="100000"/>
        <c:minorUnit val="50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HY울릉도L"/>
              <a:ea typeface="HY울릉도L"/>
              <a:cs typeface="HY울릉도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988" r="0.75000000000000988" t="1" header="0.5" footer="0.5"/>
    <c:pageSetup paperSize="9" orientation="landscape" horizontalDpi="1200" verticalDpi="12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 수학적방법'!$A$4</c:f>
              <c:strCache>
                <c:ptCount val="1"/>
                <c:pt idx="0">
                  <c:v>음성군
(10년)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etal">
              <a:bevelT/>
            </a:sp3d>
          </c:spPr>
          <c:invertIfNegative val="0"/>
          <c:cat>
            <c:strRef>
              <c:f>'1.2 수학적방법'!$C$3:$G$3</c:f>
              <c:strCache>
                <c:ptCount val="5"/>
                <c:pt idx="0">
                  <c:v>2016년</c:v>
                </c:pt>
                <c:pt idx="1">
                  <c:v>2020년</c:v>
                </c:pt>
                <c:pt idx="2">
                  <c:v>2025년</c:v>
                </c:pt>
                <c:pt idx="3">
                  <c:v>2030년</c:v>
                </c:pt>
                <c:pt idx="4">
                  <c:v>2035년</c:v>
                </c:pt>
              </c:strCache>
            </c:strRef>
          </c:cat>
          <c:val>
            <c:numRef>
              <c:f>'1.2 수학적방법'!$C$8:$G$8</c:f>
              <c:numCache>
                <c:formatCode>_(* #,##0_);_(* \(#,##0\);_(* "-"_);_(@_)</c:formatCode>
                <c:ptCount val="5"/>
                <c:pt idx="0">
                  <c:v>106419</c:v>
                </c:pt>
                <c:pt idx="1">
                  <c:v>114535</c:v>
                </c:pt>
                <c:pt idx="2">
                  <c:v>125520</c:v>
                </c:pt>
                <c:pt idx="3">
                  <c:v>137484</c:v>
                </c:pt>
                <c:pt idx="4">
                  <c:v>150375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A-4E66-AD0D-C550FD8098F3}"/>
            </c:ext>
          </c:extLst>
        </c:ser>
        <c:ser>
          <c:idx val="1"/>
          <c:order val="1"/>
          <c:tx>
            <c:strRef>
              <c:f>'1.2 수학적방법'!$A$9</c:f>
              <c:strCache>
                <c:ptCount val="1"/>
                <c:pt idx="0">
                  <c:v>음성군
(5년)</c:v>
                </c:pt>
              </c:strCache>
            </c:strRef>
          </c:tx>
          <c:spPr>
            <a:pattFill prst="lgCheck">
              <a:fgClr>
                <a:schemeClr val="accent1"/>
              </a:fgClr>
              <a:bgClr>
                <a:schemeClr val="bg1"/>
              </a:bgClr>
            </a:pattFill>
            <a:scene3d>
              <a:camera prst="orthographicFront"/>
              <a:lightRig rig="threePt" dir="t"/>
            </a:scene3d>
            <a:sp3d prstMaterial="metal">
              <a:bevelT/>
            </a:sp3d>
          </c:spPr>
          <c:invertIfNegative val="0"/>
          <c:cat>
            <c:strRef>
              <c:f>'1.2 수학적방법'!$C$3:$G$3</c:f>
              <c:strCache>
                <c:ptCount val="5"/>
                <c:pt idx="0">
                  <c:v>2016년</c:v>
                </c:pt>
                <c:pt idx="1">
                  <c:v>2020년</c:v>
                </c:pt>
                <c:pt idx="2">
                  <c:v>2025년</c:v>
                </c:pt>
                <c:pt idx="3">
                  <c:v>2030년</c:v>
                </c:pt>
                <c:pt idx="4">
                  <c:v>2035년</c:v>
                </c:pt>
              </c:strCache>
            </c:strRef>
          </c:cat>
          <c:val>
            <c:numRef>
              <c:f>'1.2 수학적방법'!$C$13:$G$13</c:f>
              <c:numCache>
                <c:formatCode>_(* #,##0_);_(* \(#,##0\);_(* "-"_);_(@_)</c:formatCode>
                <c:ptCount val="5"/>
                <c:pt idx="0">
                  <c:v>106419</c:v>
                </c:pt>
                <c:pt idx="1">
                  <c:v>114795</c:v>
                </c:pt>
                <c:pt idx="2">
                  <c:v>125600</c:v>
                </c:pt>
                <c:pt idx="3">
                  <c:v>136932</c:v>
                </c:pt>
                <c:pt idx="4">
                  <c:v>148879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FA-4E66-AD0D-C550FD809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5408"/>
        <c:axId val="207667200"/>
      </c:barChart>
      <c:catAx>
        <c:axId val="207665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500" b="1"/>
            </a:pPr>
            <a:endParaRPr lang="ko-KR"/>
          </a:p>
        </c:txPr>
        <c:crossAx val="207667200"/>
        <c:crosses val="autoZero"/>
        <c:auto val="1"/>
        <c:lblAlgn val="ctr"/>
        <c:lblOffset val="100"/>
        <c:noMultiLvlLbl val="0"/>
      </c:catAx>
      <c:valAx>
        <c:axId val="2076672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ko-KR" altLang="en-US" sz="1800"/>
                  <a:t>인구</a:t>
                </a:r>
                <a:r>
                  <a:rPr lang="en-US" altLang="ko-KR" sz="1800"/>
                  <a:t>(</a:t>
                </a:r>
                <a:r>
                  <a:rPr lang="ko-KR" altLang="en-US" sz="1800"/>
                  <a:t>인</a:t>
                </a:r>
                <a:r>
                  <a:rPr lang="en-US" altLang="ko-KR" sz="1800"/>
                  <a:t>)</a:t>
                </a:r>
                <a:endParaRPr lang="ko-KR" altLang="en-US" sz="1800"/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500" b="1"/>
            </a:pPr>
            <a:endParaRPr lang="ko-KR"/>
          </a:p>
        </c:txPr>
        <c:crossAx val="207665408"/>
        <c:crosses val="autoZero"/>
        <c:crossBetween val="between"/>
      </c:valAx>
      <c:spPr>
        <a:gradFill>
          <a:gsLst>
            <a:gs pos="0">
              <a:schemeClr val="bg1">
                <a:lumMod val="75000"/>
              </a:schemeClr>
            </a:gs>
            <a:gs pos="50000">
              <a:schemeClr val="bg1">
                <a:lumMod val="95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  <a:scene3d>
          <a:camera prst="orthographicFront"/>
          <a:lightRig rig="threePt" dir="t"/>
        </a:scene3d>
        <a:sp3d prstMaterial="metal">
          <a:bevelT/>
        </a:sp3d>
      </c:spPr>
    </c:plotArea>
    <c:legend>
      <c:legendPos val="t"/>
      <c:legendEntry>
        <c:idx val="0"/>
        <c:txPr>
          <a:bodyPr/>
          <a:lstStyle/>
          <a:p>
            <a:pPr>
              <a:defRPr sz="2500" b="1"/>
            </a:pPr>
            <a:endParaRPr lang="ko-KR"/>
          </a:p>
        </c:txPr>
      </c:legendEntry>
      <c:legendEntry>
        <c:idx val="1"/>
        <c:txPr>
          <a:bodyPr/>
          <a:lstStyle/>
          <a:p>
            <a:pPr>
              <a:defRPr sz="2500" b="1"/>
            </a:pPr>
            <a:endParaRPr lang="ko-KR"/>
          </a:p>
        </c:txPr>
      </c:legendEntry>
      <c:layout>
        <c:manualLayout>
          <c:xMode val="edge"/>
          <c:yMode val="edge"/>
          <c:x val="0.25173930941587086"/>
          <c:y val="1.3154618355605847E-2"/>
          <c:w val="0.5705011905563816"/>
          <c:h val="8.2046173911317161E-2"/>
        </c:manualLayout>
      </c:layout>
      <c:overlay val="0"/>
      <c:txPr>
        <a:bodyPr/>
        <a:lstStyle/>
        <a:p>
          <a:pPr>
            <a:defRPr sz="2500" b="1"/>
          </a:pPr>
          <a:endParaRPr lang="ko-KR"/>
        </a:p>
      </c:txPr>
    </c:legend>
    <c:plotVisOnly val="1"/>
    <c:dispBlanksAs val="gap"/>
    <c:showDLblsOverMax val="0"/>
  </c:chart>
  <c:spPr>
    <a:gradFill>
      <a:gsLst>
        <a:gs pos="0">
          <a:schemeClr val="bg1">
            <a:lumMod val="75000"/>
          </a:schemeClr>
        </a:gs>
        <a:gs pos="50000">
          <a:schemeClr val="bg1">
            <a:lumMod val="95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scene3d>
      <a:camera prst="orthographicFront"/>
      <a:lightRig rig="threePt" dir="t"/>
    </a:scene3d>
    <a:sp3d prstMaterial="metal"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1398742682937827E-2"/>
          <c:y val="3.4668289414642839E-2"/>
          <c:w val="0.86019043152252006"/>
          <c:h val="0.75569357109049884"/>
        </c:manualLayout>
      </c:layout>
      <c:bar3DChart>
        <c:barDir val="col"/>
        <c:grouping val="stacked"/>
        <c:varyColors val="0"/>
        <c:ser>
          <c:idx val="0"/>
          <c:order val="0"/>
          <c:tx>
            <c:v>자연 증가인구</c:v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strRef>
              <c:f>'1.4.조성법총괄(내부이동률 적용)'!$D$3:$W$3</c:f>
              <c:strCache>
                <c:ptCount val="5"/>
                <c:pt idx="0">
                  <c:v>2016년</c:v>
                </c:pt>
                <c:pt idx="1">
                  <c:v>2020년</c:v>
                </c:pt>
                <c:pt idx="2">
                  <c:v>2025년</c:v>
                </c:pt>
                <c:pt idx="3">
                  <c:v>2030년</c:v>
                </c:pt>
                <c:pt idx="4">
                  <c:v>2035년</c:v>
                </c:pt>
              </c:strCache>
            </c:strRef>
          </c:cat>
          <c:val>
            <c:numRef>
              <c:f>'1.4.조성법총괄(내부이동률 적용)'!$D$78:$W$78</c:f>
              <c:numCache>
                <c:formatCode>_(* #,##0_);_(* \(#,##0\);_(* "-"_);_(@_)</c:formatCode>
                <c:ptCount val="5"/>
                <c:pt idx="0">
                  <c:v>106419</c:v>
                </c:pt>
                <c:pt idx="1">
                  <c:v>98660</c:v>
                </c:pt>
                <c:pt idx="2">
                  <c:v>98157</c:v>
                </c:pt>
                <c:pt idx="3">
                  <c:v>97951</c:v>
                </c:pt>
                <c:pt idx="4">
                  <c:v>93133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3A-4848-9543-86C9A86613A3}"/>
            </c:ext>
          </c:extLst>
        </c:ser>
        <c:ser>
          <c:idx val="1"/>
          <c:order val="1"/>
          <c:tx>
            <c:v>사회적 유입인구</c:v>
          </c:tx>
          <c:spPr>
            <a:pattFill prst="openDmnd">
              <a:fgClr>
                <a:schemeClr val="accent1">
                  <a:lumMod val="50000"/>
                </a:schemeClr>
              </a:fgClr>
              <a:bgClr>
                <a:schemeClr val="bg1"/>
              </a:bgClr>
            </a:pattFill>
          </c:spPr>
          <c:invertIfNegative val="0"/>
          <c:cat>
            <c:strRef>
              <c:f>'1.4.조성법총괄(내부이동률 적용)'!$D$3:$W$3</c:f>
              <c:strCache>
                <c:ptCount val="5"/>
                <c:pt idx="0">
                  <c:v>2016년</c:v>
                </c:pt>
                <c:pt idx="1">
                  <c:v>2020년</c:v>
                </c:pt>
                <c:pt idx="2">
                  <c:v>2025년</c:v>
                </c:pt>
                <c:pt idx="3">
                  <c:v>2030년</c:v>
                </c:pt>
                <c:pt idx="4">
                  <c:v>2035년</c:v>
                </c:pt>
              </c:strCache>
            </c:strRef>
          </c:cat>
          <c:val>
            <c:numRef>
              <c:f>'1.4.조성법총괄(내부이동률 적용)'!$D$83:$W$83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13895</c:v>
                </c:pt>
                <c:pt idx="2">
                  <c:v>17373</c:v>
                </c:pt>
                <c:pt idx="3">
                  <c:v>19014</c:v>
                </c:pt>
                <c:pt idx="4">
                  <c:v>45110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3A-4848-9543-86C9A8661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9294848"/>
        <c:axId val="209296384"/>
        <c:axId val="0"/>
      </c:bar3DChart>
      <c:catAx>
        <c:axId val="209294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ko-KR"/>
          </a:p>
        </c:txPr>
        <c:crossAx val="209296384"/>
        <c:crosses val="autoZero"/>
        <c:auto val="1"/>
        <c:lblAlgn val="ctr"/>
        <c:lblOffset val="100"/>
        <c:noMultiLvlLbl val="0"/>
      </c:catAx>
      <c:valAx>
        <c:axId val="209296384"/>
        <c:scaling>
          <c:orientation val="minMax"/>
          <c:min val="0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ko-KR"/>
          </a:p>
        </c:txPr>
        <c:crossAx val="209294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943186225433165"/>
          <c:y val="0.88693847695267602"/>
          <c:w val="0.39747153598927282"/>
          <c:h val="5.9846453619527062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'1.1.1 과거인구현황'!$D$5:$M$5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'1.1.1 과거인구현황'!$D$6:$M$6</c:f>
              <c:numCache>
                <c:formatCode>General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0-F588-4B4B-A2FC-0C29DAAA99F0}"/>
            </c:ext>
          </c:extLst>
        </c:ser>
        <c:ser>
          <c:idx val="1"/>
          <c:order val="1"/>
          <c:spPr>
            <a:solidFill>
              <a:schemeClr val="accent1">
                <a:lumMod val="5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'1.1.1 과거인구현황'!$D$5:$M$5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'1.1.1 과거인구현황'!$D$25:$M$25</c:f>
              <c:numCache>
                <c:formatCode>_(* #,##0_);_(* \(#,##0\);_(* "-"_);_(@_)</c:formatCode>
                <c:ptCount val="10"/>
                <c:pt idx="0">
                  <c:v>10864</c:v>
                </c:pt>
                <c:pt idx="1">
                  <c:v>10686</c:v>
                </c:pt>
                <c:pt idx="2">
                  <c:v>10539</c:v>
                </c:pt>
                <c:pt idx="3">
                  <c:v>11040</c:v>
                </c:pt>
                <c:pt idx="4">
                  <c:v>11213</c:v>
                </c:pt>
                <c:pt idx="5">
                  <c:v>11405</c:v>
                </c:pt>
                <c:pt idx="6">
                  <c:v>11441</c:v>
                </c:pt>
                <c:pt idx="7">
                  <c:v>11333</c:v>
                </c:pt>
                <c:pt idx="8">
                  <c:v>11390</c:v>
                </c:pt>
                <c:pt idx="9">
                  <c:v>11393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88-4B4B-A2FC-0C29DAAA9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132352"/>
        <c:axId val="206133888"/>
      </c:barChart>
      <c:lineChart>
        <c:grouping val="standard"/>
        <c:varyColors val="0"/>
        <c:ser>
          <c:idx val="2"/>
          <c:order val="2"/>
          <c:spPr>
            <a:ln w="34925" cap="rnd">
              <a:solidFill>
                <a:srgbClr val="92D05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'1.1.1 과거인구현황'!$D$5:$M$5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'1.1.1 과거인구현황'!$D$26:$M$26</c:f>
              <c:numCache>
                <c:formatCode>#,##0.0</c:formatCode>
                <c:ptCount val="10"/>
                <c:pt idx="0" formatCode="#,##0.00">
                  <c:v>1.22</c:v>
                </c:pt>
                <c:pt idx="1">
                  <c:v>-1.6</c:v>
                </c:pt>
                <c:pt idx="2">
                  <c:v>-1.4</c:v>
                </c:pt>
                <c:pt idx="3">
                  <c:v>4.8</c:v>
                </c:pt>
                <c:pt idx="4">
                  <c:v>1.6</c:v>
                </c:pt>
                <c:pt idx="5">
                  <c:v>1.7</c:v>
                </c:pt>
                <c:pt idx="6">
                  <c:v>0.3</c:v>
                </c:pt>
                <c:pt idx="7">
                  <c:v>-0.9</c:v>
                </c:pt>
                <c:pt idx="8">
                  <c:v>0.5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88-4B4B-A2FC-0C29DAAA9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145408"/>
        <c:axId val="206143872"/>
      </c:lineChart>
      <c:catAx>
        <c:axId val="20613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206133888"/>
        <c:crosses val="autoZero"/>
        <c:auto val="1"/>
        <c:lblAlgn val="ctr"/>
        <c:lblOffset val="100"/>
        <c:noMultiLvlLbl val="0"/>
      </c:catAx>
      <c:valAx>
        <c:axId val="206133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206132352"/>
        <c:crosses val="autoZero"/>
        <c:crossBetween val="between"/>
      </c:valAx>
      <c:valAx>
        <c:axId val="206143872"/>
        <c:scaling>
          <c:orientation val="minMax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206145408"/>
        <c:crosses val="max"/>
        <c:crossBetween val="between"/>
      </c:valAx>
      <c:catAx>
        <c:axId val="20614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61438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v>영동읍인구</c:v>
          </c:tx>
          <c:spPr>
            <a:solidFill>
              <a:schemeClr val="accent1">
                <a:lumMod val="50000"/>
              </a:schemeClr>
            </a:solidFill>
            <a:ln>
              <a:solidFill>
                <a:schemeClr val="accent1">
                  <a:lumMod val="50000"/>
                </a:schemeClr>
              </a:solidFill>
            </a:ln>
            <a:effectLst/>
          </c:spPr>
          <c:invertIfNegative val="0"/>
          <c:cat>
            <c:strRef>
              <c:f>'1.1.1 과거인구현황'!$D$5:$M$5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'1.1.1 과거인구현황'!$D$9:$M$9</c:f>
              <c:numCache>
                <c:formatCode>_(* #,##0_);_(* \(#,##0\);_(* "-"_);_(@_)</c:formatCode>
                <c:ptCount val="10"/>
                <c:pt idx="0">
                  <c:v>18414</c:v>
                </c:pt>
                <c:pt idx="1">
                  <c:v>18251</c:v>
                </c:pt>
                <c:pt idx="2">
                  <c:v>18588</c:v>
                </c:pt>
                <c:pt idx="3">
                  <c:v>19021</c:v>
                </c:pt>
                <c:pt idx="4">
                  <c:v>18690</c:v>
                </c:pt>
                <c:pt idx="5">
                  <c:v>18920</c:v>
                </c:pt>
                <c:pt idx="6">
                  <c:v>19167</c:v>
                </c:pt>
                <c:pt idx="7">
                  <c:v>19214</c:v>
                </c:pt>
                <c:pt idx="8">
                  <c:v>18986</c:v>
                </c:pt>
                <c:pt idx="9">
                  <c:v>19057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10-4507-8EF3-9233439E21B3}"/>
            </c:ext>
          </c:extLst>
        </c:ser>
        <c:ser>
          <c:idx val="2"/>
          <c:order val="1"/>
          <c:tx>
            <c:v>양강면인구</c:v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'1.1.1 과거인구현황'!$D$5:$M$5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'1.1.1 과거인구현황'!$D$25:$M$25</c:f>
              <c:numCache>
                <c:formatCode>_(* #,##0_);_(* \(#,##0\);_(* "-"_);_(@_)</c:formatCode>
                <c:ptCount val="10"/>
                <c:pt idx="0">
                  <c:v>10864</c:v>
                </c:pt>
                <c:pt idx="1">
                  <c:v>10686</c:v>
                </c:pt>
                <c:pt idx="2">
                  <c:v>10539</c:v>
                </c:pt>
                <c:pt idx="3">
                  <c:v>11040</c:v>
                </c:pt>
                <c:pt idx="4">
                  <c:v>11213</c:v>
                </c:pt>
                <c:pt idx="5">
                  <c:v>11405</c:v>
                </c:pt>
                <c:pt idx="6">
                  <c:v>11441</c:v>
                </c:pt>
                <c:pt idx="7">
                  <c:v>11333</c:v>
                </c:pt>
                <c:pt idx="8">
                  <c:v>11390</c:v>
                </c:pt>
                <c:pt idx="9">
                  <c:v>11393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10-4507-8EF3-9233439E2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457472"/>
        <c:axId val="206459648"/>
      </c:barChart>
      <c:lineChart>
        <c:grouping val="standard"/>
        <c:varyColors val="0"/>
        <c:ser>
          <c:idx val="3"/>
          <c:order val="2"/>
          <c:tx>
            <c:v>영동읍증감률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'1.1.1 과거인구현황'!$D$5:$M$5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'1.1.1 과거인구현황'!$D$10:$M$10</c:f>
              <c:numCache>
                <c:formatCode>#,##0.0</c:formatCode>
                <c:ptCount val="10"/>
                <c:pt idx="0" formatCode="#,##0.00">
                  <c:v>1.43</c:v>
                </c:pt>
                <c:pt idx="1">
                  <c:v>-0.9</c:v>
                </c:pt>
                <c:pt idx="2">
                  <c:v>1.8</c:v>
                </c:pt>
                <c:pt idx="3">
                  <c:v>2.2999999999999998</c:v>
                </c:pt>
                <c:pt idx="4">
                  <c:v>-1.7</c:v>
                </c:pt>
                <c:pt idx="5">
                  <c:v>1.2</c:v>
                </c:pt>
                <c:pt idx="6">
                  <c:v>1.3</c:v>
                </c:pt>
                <c:pt idx="7">
                  <c:v>0.2</c:v>
                </c:pt>
                <c:pt idx="8">
                  <c:v>-1.2</c:v>
                </c:pt>
                <c:pt idx="9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10-4507-8EF3-9233439E21B3}"/>
            </c:ext>
          </c:extLst>
        </c:ser>
        <c:ser>
          <c:idx val="4"/>
          <c:order val="3"/>
          <c:tx>
            <c:v>양강면증감률</c:v>
          </c:tx>
          <c:spPr>
            <a:ln w="28575" cap="sq">
              <a:solidFill>
                <a:srgbClr val="FFC000"/>
              </a:solidFill>
              <a:round/>
            </a:ln>
            <a:effectLst/>
          </c:spPr>
          <c:marker>
            <c:symbol val="x"/>
            <c:size val="8"/>
            <c:spPr>
              <a:solidFill>
                <a:srgbClr val="FFC000"/>
              </a:solidFill>
              <a:ln w="9525" cap="sq">
                <a:solidFill>
                  <a:srgbClr val="FFC000"/>
                </a:solidFill>
              </a:ln>
              <a:effectLst/>
            </c:spPr>
          </c:marker>
          <c:cat>
            <c:strRef>
              <c:f>'1.1.1 과거인구현황'!$D$5:$M$5</c:f>
              <c:strCache>
                <c:ptCount val="10"/>
                <c:pt idx="0">
                  <c:v>2007년</c:v>
                </c:pt>
                <c:pt idx="1">
                  <c:v>2008년</c:v>
                </c:pt>
                <c:pt idx="2">
                  <c:v>2009년</c:v>
                </c:pt>
                <c:pt idx="3">
                  <c:v>2010년</c:v>
                </c:pt>
                <c:pt idx="4">
                  <c:v>2011년</c:v>
                </c:pt>
                <c:pt idx="5">
                  <c:v>2012년</c:v>
                </c:pt>
                <c:pt idx="6">
                  <c:v>2013년</c:v>
                </c:pt>
                <c:pt idx="7">
                  <c:v>2014년</c:v>
                </c:pt>
                <c:pt idx="8">
                  <c:v>2015년</c:v>
                </c:pt>
                <c:pt idx="9">
                  <c:v>2016년</c:v>
                </c:pt>
              </c:strCache>
            </c:strRef>
          </c:cat>
          <c:val>
            <c:numRef>
              <c:f>'1.1.1 과거인구현황'!$D$26:$M$26</c:f>
              <c:numCache>
                <c:formatCode>#,##0.0</c:formatCode>
                <c:ptCount val="10"/>
                <c:pt idx="0" formatCode="#,##0.00">
                  <c:v>1.22</c:v>
                </c:pt>
                <c:pt idx="1">
                  <c:v>-1.6</c:v>
                </c:pt>
                <c:pt idx="2">
                  <c:v>-1.4</c:v>
                </c:pt>
                <c:pt idx="3">
                  <c:v>4.8</c:v>
                </c:pt>
                <c:pt idx="4">
                  <c:v>1.6</c:v>
                </c:pt>
                <c:pt idx="5">
                  <c:v>1.7</c:v>
                </c:pt>
                <c:pt idx="6">
                  <c:v>0.3</c:v>
                </c:pt>
                <c:pt idx="7">
                  <c:v>-0.9</c:v>
                </c:pt>
                <c:pt idx="8">
                  <c:v>0.5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10-4507-8EF3-9233439E2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475264"/>
        <c:axId val="206461184"/>
      </c:lineChart>
      <c:catAx>
        <c:axId val="20645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206459648"/>
        <c:crossesAt val="0"/>
        <c:auto val="1"/>
        <c:lblAlgn val="ctr"/>
        <c:lblOffset val="100"/>
        <c:noMultiLvlLbl val="0"/>
      </c:catAx>
      <c:valAx>
        <c:axId val="20645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206457472"/>
        <c:crosses val="autoZero"/>
        <c:crossBetween val="between"/>
      </c:valAx>
      <c:valAx>
        <c:axId val="206461184"/>
        <c:scaling>
          <c:orientation val="minMax"/>
        </c:scaling>
        <c:delete val="0"/>
        <c:axPos val="r"/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206475264"/>
        <c:crosses val="max"/>
        <c:crossBetween val="between"/>
      </c:valAx>
      <c:catAx>
        <c:axId val="2064752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64611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증가인구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'1.1.1 과거인구현황'!$A$150:$A$159</c:f>
              <c:strCache>
                <c:ptCount val="10"/>
                <c:pt idx="0">
                  <c:v>2004년</c:v>
                </c:pt>
                <c:pt idx="1">
                  <c:v>2005년</c:v>
                </c:pt>
                <c:pt idx="2">
                  <c:v>2006년</c:v>
                </c:pt>
                <c:pt idx="3">
                  <c:v>2007년</c:v>
                </c:pt>
                <c:pt idx="4">
                  <c:v>2008년</c:v>
                </c:pt>
                <c:pt idx="5">
                  <c:v>2009년</c:v>
                </c:pt>
                <c:pt idx="6">
                  <c:v>2010년</c:v>
                </c:pt>
                <c:pt idx="7">
                  <c:v>2011년</c:v>
                </c:pt>
                <c:pt idx="8">
                  <c:v>2012년</c:v>
                </c:pt>
                <c:pt idx="9">
                  <c:v>2013년</c:v>
                </c:pt>
              </c:strCache>
            </c:strRef>
          </c:cat>
          <c:val>
            <c:numRef>
              <c:f>'1.1.1 과거인구현황'!$D$150:$D$159</c:f>
              <c:numCache>
                <c:formatCode>General</c:formatCode>
                <c:ptCount val="1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A4-4DA3-8456-1F5D5C341E28}"/>
            </c:ext>
          </c:extLst>
        </c:ser>
        <c:ser>
          <c:idx val="1"/>
          <c:order val="1"/>
          <c:tx>
            <c:v>자연증가인구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'1.1.1 과거인구현황'!$A$150:$A$159</c:f>
              <c:strCache>
                <c:ptCount val="10"/>
                <c:pt idx="0">
                  <c:v>2004년</c:v>
                </c:pt>
                <c:pt idx="1">
                  <c:v>2005년</c:v>
                </c:pt>
                <c:pt idx="2">
                  <c:v>2006년</c:v>
                </c:pt>
                <c:pt idx="3">
                  <c:v>2007년</c:v>
                </c:pt>
                <c:pt idx="4">
                  <c:v>2008년</c:v>
                </c:pt>
                <c:pt idx="5">
                  <c:v>2009년</c:v>
                </c:pt>
                <c:pt idx="6">
                  <c:v>2010년</c:v>
                </c:pt>
                <c:pt idx="7">
                  <c:v>2011년</c:v>
                </c:pt>
                <c:pt idx="8">
                  <c:v>2012년</c:v>
                </c:pt>
                <c:pt idx="9">
                  <c:v>2013년</c:v>
                </c:pt>
              </c:strCache>
            </c:strRef>
          </c:cat>
          <c:val>
            <c:numRef>
              <c:f>'1.1.1 과거인구현황'!$E$150:$E$159</c:f>
              <c:numCache>
                <c:formatCode>General</c:formatCode>
                <c:ptCount val="1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A4-4DA3-8456-1F5D5C341E28}"/>
            </c:ext>
          </c:extLst>
        </c:ser>
        <c:ser>
          <c:idx val="2"/>
          <c:order val="2"/>
          <c:tx>
            <c:v>사회적유입인구</c:v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'1.1.1 과거인구현황'!$A$150:$A$159</c:f>
              <c:strCache>
                <c:ptCount val="10"/>
                <c:pt idx="0">
                  <c:v>2004년</c:v>
                </c:pt>
                <c:pt idx="1">
                  <c:v>2005년</c:v>
                </c:pt>
                <c:pt idx="2">
                  <c:v>2006년</c:v>
                </c:pt>
                <c:pt idx="3">
                  <c:v>2007년</c:v>
                </c:pt>
                <c:pt idx="4">
                  <c:v>2008년</c:v>
                </c:pt>
                <c:pt idx="5">
                  <c:v>2009년</c:v>
                </c:pt>
                <c:pt idx="6">
                  <c:v>2010년</c:v>
                </c:pt>
                <c:pt idx="7">
                  <c:v>2011년</c:v>
                </c:pt>
                <c:pt idx="8">
                  <c:v>2012년</c:v>
                </c:pt>
                <c:pt idx="9">
                  <c:v>2013년</c:v>
                </c:pt>
              </c:strCache>
            </c:strRef>
          </c:cat>
          <c:val>
            <c:numRef>
              <c:f>'1.1.1 과거인구현황'!$I$150:$I$159</c:f>
              <c:numCache>
                <c:formatCode>General</c:formatCode>
                <c:ptCount val="1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A4-4DA3-8456-1F5D5C341E2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6490240"/>
        <c:axId val="206500224"/>
      </c:lineChart>
      <c:catAx>
        <c:axId val="20649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206500224"/>
        <c:crosses val="autoZero"/>
        <c:auto val="1"/>
        <c:lblAlgn val="ctr"/>
        <c:lblOffset val="100"/>
        <c:noMultiLvlLbl val="0"/>
      </c:catAx>
      <c:valAx>
        <c:axId val="2065002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crossAx val="206490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'1.1.1 과거인구현황'!$A$9:$A$10</c:f>
              <c:strCache>
                <c:ptCount val="1"/>
                <c:pt idx="0">
                  <c:v>음성읍</c:v>
                </c:pt>
              </c:strCache>
            </c:strRef>
          </c:tx>
          <c:spPr>
            <a:gradFill>
              <a:gsLst>
                <a:gs pos="0">
                  <a:schemeClr val="accent1">
                    <a:tint val="66000"/>
                    <a:satMod val="160000"/>
                  </a:schemeClr>
                </a:gs>
                <a:gs pos="50000">
                  <a:schemeClr val="accent1">
                    <a:tint val="44500"/>
                    <a:satMod val="160000"/>
                  </a:schemeClr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5400000" scaled="0"/>
            </a:gradFill>
            <a:scene3d>
              <a:camera prst="orthographicFront"/>
              <a:lightRig rig="threePt" dir="t"/>
            </a:scene3d>
            <a:sp3d prstMaterial="matte">
              <a:bevelT/>
            </a:sp3d>
          </c:spPr>
          <c:invertIfNegative val="0"/>
          <c:cat>
            <c:strRef>
              <c:f>'1.1.1 과거인구현황'!$I$5:$M$6</c:f>
              <c:strCache>
                <c:ptCount val="5"/>
                <c:pt idx="0">
                  <c:v>2012년</c:v>
                </c:pt>
                <c:pt idx="1">
                  <c:v>2013년</c:v>
                </c:pt>
                <c:pt idx="2">
                  <c:v>2014년</c:v>
                </c:pt>
                <c:pt idx="3">
                  <c:v>2015년</c:v>
                </c:pt>
                <c:pt idx="4">
                  <c:v>2016년</c:v>
                </c:pt>
              </c:strCache>
            </c:strRef>
          </c:cat>
          <c:val>
            <c:numRef>
              <c:f>'1.1.1 과거인구현황'!$I$9:$M$9</c:f>
              <c:numCache>
                <c:formatCode>_(* #,##0_);_(* \(#,##0\);_(* "-"_);_(@_)</c:formatCode>
                <c:ptCount val="5"/>
                <c:pt idx="0">
                  <c:v>18920</c:v>
                </c:pt>
                <c:pt idx="1">
                  <c:v>19167</c:v>
                </c:pt>
                <c:pt idx="2">
                  <c:v>19214</c:v>
                </c:pt>
                <c:pt idx="3">
                  <c:v>18986</c:v>
                </c:pt>
                <c:pt idx="4">
                  <c:v>19057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9-4274-9A65-444CF26489C5}"/>
            </c:ext>
          </c:extLst>
        </c:ser>
        <c:ser>
          <c:idx val="2"/>
          <c:order val="1"/>
          <c:tx>
            <c:strRef>
              <c:f>'1.1.1 과거인구현황'!$A$11:$A$12</c:f>
              <c:strCache>
                <c:ptCount val="1"/>
                <c:pt idx="0">
                  <c:v>금왕읍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chemeClr val="accent1"/>
              </a:solidFill>
            </a:ln>
          </c:spPr>
          <c:invertIfNegative val="0"/>
          <c:cat>
            <c:strRef>
              <c:f>'1.1.1 과거인구현황'!$I$5:$M$6</c:f>
              <c:strCache>
                <c:ptCount val="5"/>
                <c:pt idx="0">
                  <c:v>2012년</c:v>
                </c:pt>
                <c:pt idx="1">
                  <c:v>2013년</c:v>
                </c:pt>
                <c:pt idx="2">
                  <c:v>2014년</c:v>
                </c:pt>
                <c:pt idx="3">
                  <c:v>2015년</c:v>
                </c:pt>
                <c:pt idx="4">
                  <c:v>2016년</c:v>
                </c:pt>
              </c:strCache>
            </c:strRef>
          </c:cat>
          <c:val>
            <c:numRef>
              <c:f>'1.1.1 과거인구현황'!$I$11:$M$11</c:f>
              <c:numCache>
                <c:formatCode>#,##0</c:formatCode>
                <c:ptCount val="5"/>
                <c:pt idx="0">
                  <c:v>22563</c:v>
                </c:pt>
                <c:pt idx="1">
                  <c:v>23002</c:v>
                </c:pt>
                <c:pt idx="2" formatCode="_(* #,##0_);_(* \(#,##0\);_(* &quot;-&quot;_);_(@_)">
                  <c:v>23362</c:v>
                </c:pt>
                <c:pt idx="3" formatCode="_(* #,##0_);_(* \(#,##0\);_(* &quot;-&quot;_);_(@_)">
                  <c:v>23334</c:v>
                </c:pt>
                <c:pt idx="4" formatCode="_(* #,##0_);_(* \(#,##0\);_(* &quot;-&quot;_);_(@_)">
                  <c:v>23398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9-4274-9A65-444CF26489C5}"/>
            </c:ext>
          </c:extLst>
        </c:ser>
        <c:ser>
          <c:idx val="3"/>
          <c:order val="2"/>
          <c:tx>
            <c:strRef>
              <c:f>'1.1.1 과거인구현황'!$A$13:$A$14</c:f>
              <c:strCache>
                <c:ptCount val="1"/>
                <c:pt idx="0">
                  <c:v>소이면</c:v>
                </c:pt>
              </c:strCache>
            </c:strRef>
          </c:tx>
          <c:spPr>
            <a:pattFill prst="solidDmnd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cat>
            <c:strRef>
              <c:f>'1.1.1 과거인구현황'!$I$5:$M$6</c:f>
              <c:strCache>
                <c:ptCount val="5"/>
                <c:pt idx="0">
                  <c:v>2012년</c:v>
                </c:pt>
                <c:pt idx="1">
                  <c:v>2013년</c:v>
                </c:pt>
                <c:pt idx="2">
                  <c:v>2014년</c:v>
                </c:pt>
                <c:pt idx="3">
                  <c:v>2015년</c:v>
                </c:pt>
                <c:pt idx="4">
                  <c:v>2016년</c:v>
                </c:pt>
              </c:strCache>
            </c:strRef>
          </c:cat>
          <c:val>
            <c:numRef>
              <c:f>'1.1.1 과거인구현황'!$I$13:$M$13</c:f>
              <c:numCache>
                <c:formatCode>#,##0</c:formatCode>
                <c:ptCount val="5"/>
                <c:pt idx="0">
                  <c:v>3321</c:v>
                </c:pt>
                <c:pt idx="1">
                  <c:v>3291</c:v>
                </c:pt>
                <c:pt idx="2" formatCode="_(* #,##0_);_(* \(#,##0\);_(* &quot;-&quot;_);_(@_)">
                  <c:v>3233</c:v>
                </c:pt>
                <c:pt idx="3" formatCode="_(* #,##0_);_(* \(#,##0\);_(* &quot;-&quot;_);_(@_)">
                  <c:v>3221</c:v>
                </c:pt>
                <c:pt idx="4" formatCode="_(* #,##0_);_(* \(#,##0\);_(* &quot;-&quot;_);_(@_)">
                  <c:v>3240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E9-4274-9A65-444CF26489C5}"/>
            </c:ext>
          </c:extLst>
        </c:ser>
        <c:ser>
          <c:idx val="4"/>
          <c:order val="3"/>
          <c:tx>
            <c:strRef>
              <c:f>'1.1.1 과거인구현황'!$A$15:$A$16</c:f>
              <c:strCache>
                <c:ptCount val="1"/>
                <c:pt idx="0">
                  <c:v>원남면</c:v>
                </c:pt>
              </c:strCache>
            </c:strRef>
          </c:tx>
          <c:spPr>
            <a:pattFill prst="smCheck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cat>
            <c:strRef>
              <c:f>'1.1.1 과거인구현황'!$I$5:$M$6</c:f>
              <c:strCache>
                <c:ptCount val="5"/>
                <c:pt idx="0">
                  <c:v>2012년</c:v>
                </c:pt>
                <c:pt idx="1">
                  <c:v>2013년</c:v>
                </c:pt>
                <c:pt idx="2">
                  <c:v>2014년</c:v>
                </c:pt>
                <c:pt idx="3">
                  <c:v>2015년</c:v>
                </c:pt>
                <c:pt idx="4">
                  <c:v>2016년</c:v>
                </c:pt>
              </c:strCache>
            </c:strRef>
          </c:cat>
          <c:val>
            <c:numRef>
              <c:f>'1.1.1 과거인구현황'!$I$15:$M$15</c:f>
              <c:numCache>
                <c:formatCode>#,##0</c:formatCode>
                <c:ptCount val="5"/>
                <c:pt idx="0">
                  <c:v>3313</c:v>
                </c:pt>
                <c:pt idx="1">
                  <c:v>3326</c:v>
                </c:pt>
                <c:pt idx="2" formatCode="_(* #,##0_);_(* \(#,##0\);_(* &quot;-&quot;_);_(@_)">
                  <c:v>3270</c:v>
                </c:pt>
                <c:pt idx="3" formatCode="_(* #,##0_);_(* \(#,##0\);_(* &quot;-&quot;_);_(@_)">
                  <c:v>3243</c:v>
                </c:pt>
                <c:pt idx="4" formatCode="_(* #,##0_);_(* \(#,##0\);_(* &quot;-&quot;_);_(@_)">
                  <c:v>3317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E9-4274-9A65-444CF26489C5}"/>
            </c:ext>
          </c:extLst>
        </c:ser>
        <c:ser>
          <c:idx val="5"/>
          <c:order val="4"/>
          <c:tx>
            <c:strRef>
              <c:f>'1.1.1 과거인구현황'!$A$17:$A$18</c:f>
              <c:strCache>
                <c:ptCount val="1"/>
                <c:pt idx="0">
                  <c:v>맹동면</c:v>
                </c:pt>
              </c:strCache>
            </c:strRef>
          </c:tx>
          <c:spPr>
            <a:pattFill prst="zigZag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cat>
            <c:strRef>
              <c:f>'1.1.1 과거인구현황'!$I$5:$M$6</c:f>
              <c:strCache>
                <c:ptCount val="5"/>
                <c:pt idx="0">
                  <c:v>2012년</c:v>
                </c:pt>
                <c:pt idx="1">
                  <c:v>2013년</c:v>
                </c:pt>
                <c:pt idx="2">
                  <c:v>2014년</c:v>
                </c:pt>
                <c:pt idx="3">
                  <c:v>2015년</c:v>
                </c:pt>
                <c:pt idx="4">
                  <c:v>2016년</c:v>
                </c:pt>
              </c:strCache>
            </c:strRef>
          </c:cat>
          <c:val>
            <c:numRef>
              <c:f>'1.1.1 과거인구현황'!$I$17:$M$17</c:f>
              <c:numCache>
                <c:formatCode>#,##0</c:formatCode>
                <c:ptCount val="5"/>
                <c:pt idx="0">
                  <c:v>5497</c:v>
                </c:pt>
                <c:pt idx="1">
                  <c:v>5579</c:v>
                </c:pt>
                <c:pt idx="2" formatCode="_(* #,##0_);_(* \(#,##0\);_(* &quot;-&quot;_);_(@_)">
                  <c:v>8143</c:v>
                </c:pt>
                <c:pt idx="3" formatCode="_(* #,##0_);_(* \(#,##0\);_(* &quot;-&quot;_);_(@_)">
                  <c:v>10418</c:v>
                </c:pt>
                <c:pt idx="4" formatCode="_(* #,##0_);_(* \(#,##0\);_(* &quot;-&quot;_);_(@_)">
                  <c:v>12254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E9-4274-9A65-444CF26489C5}"/>
            </c:ext>
          </c:extLst>
        </c:ser>
        <c:ser>
          <c:idx val="6"/>
          <c:order val="5"/>
          <c:tx>
            <c:strRef>
              <c:f>'1.1.1 과거인구현황'!$A$19:$A$20</c:f>
              <c:strCache>
                <c:ptCount val="1"/>
                <c:pt idx="0">
                  <c:v>대소면</c:v>
                </c:pt>
              </c:strCache>
            </c:strRef>
          </c:tx>
          <c:spPr>
            <a:pattFill prst="wdUpDiag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cat>
            <c:strRef>
              <c:f>'1.1.1 과거인구현황'!$I$5:$M$6</c:f>
              <c:strCache>
                <c:ptCount val="5"/>
                <c:pt idx="0">
                  <c:v>2012년</c:v>
                </c:pt>
                <c:pt idx="1">
                  <c:v>2013년</c:v>
                </c:pt>
                <c:pt idx="2">
                  <c:v>2014년</c:v>
                </c:pt>
                <c:pt idx="3">
                  <c:v>2015년</c:v>
                </c:pt>
                <c:pt idx="4">
                  <c:v>2016년</c:v>
                </c:pt>
              </c:strCache>
            </c:strRef>
          </c:cat>
          <c:val>
            <c:numRef>
              <c:f>'1.1.1 과거인구현황'!$I$19:$M$19</c:f>
              <c:numCache>
                <c:formatCode>#,##0</c:formatCode>
                <c:ptCount val="5"/>
                <c:pt idx="0">
                  <c:v>18702</c:v>
                </c:pt>
                <c:pt idx="1">
                  <c:v>19159</c:v>
                </c:pt>
                <c:pt idx="2" formatCode="_(* #,##0_);_(* \(#,##0\);_(* &quot;-&quot;_);_(@_)">
                  <c:v>19132</c:v>
                </c:pt>
                <c:pt idx="3" formatCode="_(* #,##0_);_(* \(#,##0\);_(* &quot;-&quot;_);_(@_)">
                  <c:v>18802</c:v>
                </c:pt>
                <c:pt idx="4" formatCode="_(* #,##0_);_(* \(#,##0\);_(* &quot;-&quot;_);_(@_)">
                  <c:v>18744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E9-4274-9A65-444CF26489C5}"/>
            </c:ext>
          </c:extLst>
        </c:ser>
        <c:ser>
          <c:idx val="7"/>
          <c:order val="6"/>
          <c:tx>
            <c:strRef>
              <c:f>'1.1.1 과거인구현황'!$A$25:$A$26</c:f>
              <c:strCache>
                <c:ptCount val="1"/>
                <c:pt idx="0">
                  <c:v>감곡면</c:v>
                </c:pt>
              </c:strCache>
            </c:strRef>
          </c:tx>
          <c:spPr>
            <a:pattFill prst="dashHorz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cat>
            <c:strRef>
              <c:f>'1.1.1 과거인구현황'!$I$5:$M$6</c:f>
              <c:strCache>
                <c:ptCount val="5"/>
                <c:pt idx="0">
                  <c:v>2012년</c:v>
                </c:pt>
                <c:pt idx="1">
                  <c:v>2013년</c:v>
                </c:pt>
                <c:pt idx="2">
                  <c:v>2014년</c:v>
                </c:pt>
                <c:pt idx="3">
                  <c:v>2015년</c:v>
                </c:pt>
                <c:pt idx="4">
                  <c:v>2016년</c:v>
                </c:pt>
              </c:strCache>
            </c:strRef>
          </c:cat>
          <c:val>
            <c:numRef>
              <c:f>'1.1.1 과거인구현황'!$I$25:$M$25</c:f>
              <c:numCache>
                <c:formatCode>_(* #,##0_);_(* \(#,##0\);_(* "-"_);_(@_)</c:formatCode>
                <c:ptCount val="5"/>
                <c:pt idx="0">
                  <c:v>11405</c:v>
                </c:pt>
                <c:pt idx="1">
                  <c:v>11441</c:v>
                </c:pt>
                <c:pt idx="2">
                  <c:v>11333</c:v>
                </c:pt>
                <c:pt idx="3">
                  <c:v>11390</c:v>
                </c:pt>
                <c:pt idx="4">
                  <c:v>11393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E9-4274-9A65-444CF2648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292480"/>
        <c:axId val="206294016"/>
      </c:barChart>
      <c:catAx>
        <c:axId val="206292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300" b="1"/>
            </a:pPr>
            <a:endParaRPr lang="ko-KR"/>
          </a:p>
        </c:txPr>
        <c:crossAx val="206294016"/>
        <c:crosses val="autoZero"/>
        <c:auto val="1"/>
        <c:lblAlgn val="ctr"/>
        <c:lblOffset val="100"/>
        <c:noMultiLvlLbl val="0"/>
      </c:catAx>
      <c:valAx>
        <c:axId val="206294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300"/>
                </a:pPr>
                <a:r>
                  <a:rPr lang="ko-KR" altLang="en-US" sz="1300"/>
                  <a:t>인구</a:t>
                </a:r>
                <a:r>
                  <a:rPr lang="en-US" altLang="ko-KR" sz="1300"/>
                  <a:t>(</a:t>
                </a:r>
                <a:r>
                  <a:rPr lang="ko-KR" altLang="en-US" sz="1300"/>
                  <a:t>인</a:t>
                </a:r>
                <a:r>
                  <a:rPr lang="en-US" altLang="ko-KR" sz="1300"/>
                  <a:t>)</a:t>
                </a:r>
                <a:endParaRPr lang="ko-KR" altLang="en-US" sz="1300"/>
              </a:p>
            </c:rich>
          </c:tx>
          <c:overlay val="0"/>
        </c:title>
        <c:numFmt formatCode="_(* #,##0_);_(* \(#,##0\);_(* &quot;-&quot;_);_(@_)" sourceLinked="1"/>
        <c:majorTickMark val="none"/>
        <c:minorTickMark val="none"/>
        <c:tickLblPos val="nextTo"/>
        <c:txPr>
          <a:bodyPr/>
          <a:lstStyle/>
          <a:p>
            <a:pPr>
              <a:defRPr sz="1300" b="1"/>
            </a:pPr>
            <a:endParaRPr lang="ko-KR"/>
          </a:p>
        </c:txPr>
        <c:crossAx val="206292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132067836821351"/>
          <c:y val="0.27864366351796388"/>
          <c:w val="8.8679321631786517E-2"/>
          <c:h val="0.68657222641690341"/>
        </c:manualLayout>
      </c:layout>
      <c:overlay val="0"/>
      <c:txPr>
        <a:bodyPr/>
        <a:lstStyle/>
        <a:p>
          <a:pPr>
            <a:defRPr sz="1200" b="1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휴먼태가람체"/>
                <a:ea typeface="휴먼태가람체"/>
                <a:cs typeface="휴먼태가람체"/>
              </a:defRPr>
            </a:pPr>
            <a:r>
              <a:rPr lang="ko-KR" altLang="en-US"/>
              <a:t>공주시 인구변화</a:t>
            </a:r>
          </a:p>
        </c:rich>
      </c:tx>
      <c:layout>
        <c:manualLayout>
          <c:xMode val="edge"/>
          <c:yMode val="edge"/>
          <c:x val="0.36734755094388732"/>
          <c:y val="1.4662756598240475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og"/>
            <c:dispRSqr val="0"/>
            <c:dispEq val="0"/>
          </c:trendline>
          <c:val>
            <c:numRef>
              <c:f>'1.2인구분석'!#REF!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'1.2인구분석'!#REF!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'1.2인구분석'!#REF!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E42-4B0B-B8BF-C6BAAC898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365440"/>
        <c:axId val="206367360"/>
      </c:lineChart>
      <c:catAx>
        <c:axId val="20636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년도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0636736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06367360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06365440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99CC00"/>
        </a:gs>
        <a:gs pos="50000">
          <a:srgbClr val="FFFFFF"/>
        </a:gs>
        <a:gs pos="100000">
          <a:srgbClr val="99CC00"/>
        </a:gs>
      </a:gsLst>
      <a:lin ang="5400000" scaled="1"/>
    </a:gra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78" r="0.75000000000000178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휴먼태가람체"/>
                <a:ea typeface="휴먼태가람체"/>
                <a:cs typeface="휴먼태가람체"/>
              </a:defRPr>
            </a:pPr>
            <a:r>
              <a:rPr lang="ko-KR" altLang="en-US"/>
              <a:t>신관동 인구변화</a:t>
            </a:r>
          </a:p>
        </c:rich>
      </c:tx>
      <c:layout>
        <c:manualLayout>
          <c:xMode val="edge"/>
          <c:yMode val="edge"/>
          <c:x val="0.36734755094388732"/>
          <c:y val="1.470588235294117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og"/>
            <c:dispRSqr val="0"/>
            <c:dispEq val="0"/>
          </c:trendline>
          <c:val>
            <c:numRef>
              <c:f>'1.2인구분석'!#REF!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'1.2인구분석'!#REF!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'1.2인구분석'!#REF!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744-465F-B4D7-6B27E06E0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470336"/>
        <c:axId val="205488896"/>
      </c:lineChart>
      <c:catAx>
        <c:axId val="20547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년도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05488896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05488896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05470336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99CC00"/>
        </a:gs>
        <a:gs pos="50000">
          <a:srgbClr val="FFFFFF"/>
        </a:gs>
        <a:gs pos="100000">
          <a:srgbClr val="99CC00"/>
        </a:gs>
      </a:gsLst>
      <a:lin ang="5400000" scaled="1"/>
    </a:gra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78" r="0.75000000000000178" t="1" header="0.5" footer="0.5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휴먼태가람체"/>
                <a:ea typeface="휴먼태가람체"/>
                <a:cs typeface="휴먼태가람체"/>
              </a:defRPr>
            </a:pPr>
            <a:r>
              <a:rPr lang="ko-KR" altLang="en-US"/>
              <a:t>의당면 인구변화</a:t>
            </a:r>
          </a:p>
        </c:rich>
      </c:tx>
      <c:layout>
        <c:manualLayout>
          <c:xMode val="edge"/>
          <c:yMode val="edge"/>
          <c:x val="0.36734755094388732"/>
          <c:y val="1.470588235294117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og"/>
            <c:dispRSqr val="0"/>
            <c:dispEq val="0"/>
          </c:trendline>
          <c:val>
            <c:numRef>
              <c:f>'1.2인구분석'!#REF!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'1.2인구분석'!#REF!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'1.2인구분석'!#REF!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482-4954-BAC5-7152CB035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503872"/>
        <c:axId val="206378496"/>
      </c:lineChart>
      <c:catAx>
        <c:axId val="20550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년도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06378496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06378496"/>
        <c:scaling>
          <c:orientation val="minMax"/>
          <c:max val="7600"/>
          <c:min val="600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205503872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99CC00"/>
        </a:gs>
        <a:gs pos="50000">
          <a:srgbClr val="FFFFFF"/>
        </a:gs>
        <a:gs pos="100000">
          <a:srgbClr val="99CC00"/>
        </a:gs>
      </a:gsLst>
      <a:lin ang="5400000" scaled="1"/>
    </a:gra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78" r="0.75000000000000178" t="1" header="0.5" footer="0.5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5" Type="http://schemas.openxmlformats.org/officeDocument/2006/relationships/chart" Target="../charts/chart11.xml"/><Relationship Id="rId10" Type="http://schemas.openxmlformats.org/officeDocument/2006/relationships/chart" Target="../charts/chart16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41764</xdr:colOff>
      <xdr:row>59</xdr:row>
      <xdr:rowOff>101111</xdr:rowOff>
    </xdr:from>
    <xdr:to>
      <xdr:col>9</xdr:col>
      <xdr:colOff>64954</xdr:colOff>
      <xdr:row>78</xdr:row>
      <xdr:rowOff>58614</xdr:rowOff>
    </xdr:to>
    <xdr:graphicFrame macro="">
      <xdr:nvGraphicFramePr>
        <xdr:cNvPr id="2" name="차트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41763</xdr:colOff>
      <xdr:row>80</xdr:row>
      <xdr:rowOff>66674</xdr:rowOff>
    </xdr:from>
    <xdr:to>
      <xdr:col>9</xdr:col>
      <xdr:colOff>73269</xdr:colOff>
      <xdr:row>99</xdr:row>
      <xdr:rowOff>29082</xdr:rowOff>
    </xdr:to>
    <xdr:graphicFrame macro="">
      <xdr:nvGraphicFramePr>
        <xdr:cNvPr id="3" name="차트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38832</xdr:colOff>
      <xdr:row>102</xdr:row>
      <xdr:rowOff>42496</xdr:rowOff>
    </xdr:from>
    <xdr:to>
      <xdr:col>9</xdr:col>
      <xdr:colOff>62024</xdr:colOff>
      <xdr:row>120</xdr:row>
      <xdr:rowOff>168519</xdr:rowOff>
    </xdr:to>
    <xdr:graphicFrame macro="">
      <xdr:nvGraphicFramePr>
        <xdr:cNvPr id="4" name="차트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53119</xdr:colOff>
      <xdr:row>123</xdr:row>
      <xdr:rowOff>87923</xdr:rowOff>
    </xdr:from>
    <xdr:to>
      <xdr:col>9</xdr:col>
      <xdr:colOff>61401</xdr:colOff>
      <xdr:row>142</xdr:row>
      <xdr:rowOff>36635</xdr:rowOff>
    </xdr:to>
    <xdr:graphicFrame macro="">
      <xdr:nvGraphicFramePr>
        <xdr:cNvPr id="5" name="차트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663086</xdr:colOff>
      <xdr:row>162</xdr:row>
      <xdr:rowOff>13188</xdr:rowOff>
    </xdr:from>
    <xdr:to>
      <xdr:col>12</xdr:col>
      <xdr:colOff>665530</xdr:colOff>
      <xdr:row>185</xdr:row>
      <xdr:rowOff>139211</xdr:rowOff>
    </xdr:to>
    <xdr:graphicFrame macro="">
      <xdr:nvGraphicFramePr>
        <xdr:cNvPr id="6" name="차트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552450</xdr:colOff>
      <xdr:row>71</xdr:row>
      <xdr:rowOff>104775</xdr:rowOff>
    </xdr:from>
    <xdr:to>
      <xdr:col>21</xdr:col>
      <xdr:colOff>914400</xdr:colOff>
      <xdr:row>95</xdr:row>
      <xdr:rowOff>161925</xdr:rowOff>
    </xdr:to>
    <xdr:graphicFrame macro="">
      <xdr:nvGraphicFramePr>
        <xdr:cNvPr id="7" name="차트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</xdr:colOff>
      <xdr:row>1</xdr:row>
      <xdr:rowOff>0</xdr:rowOff>
    </xdr:from>
    <xdr:to>
      <xdr:col>11</xdr:col>
      <xdr:colOff>628650</xdr:colOff>
      <xdr:row>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28575</xdr:colOff>
      <xdr:row>1</xdr:row>
      <xdr:rowOff>0</xdr:rowOff>
    </xdr:from>
    <xdr:to>
      <xdr:col>11</xdr:col>
      <xdr:colOff>628650</xdr:colOff>
      <xdr:row>1</xdr:row>
      <xdr:rowOff>0</xdr:rowOff>
    </xdr:to>
    <xdr:graphicFrame macro="">
      <xdr:nvGraphicFramePr>
        <xdr:cNvPr id="3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28575</xdr:colOff>
      <xdr:row>1</xdr:row>
      <xdr:rowOff>0</xdr:rowOff>
    </xdr:from>
    <xdr:to>
      <xdr:col>11</xdr:col>
      <xdr:colOff>628650</xdr:colOff>
      <xdr:row>1</xdr:row>
      <xdr:rowOff>0</xdr:rowOff>
    </xdr:to>
    <xdr:graphicFrame macro="">
      <xdr:nvGraphicFramePr>
        <xdr:cNvPr id="4" name="Chart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28575</xdr:colOff>
      <xdr:row>5</xdr:row>
      <xdr:rowOff>28575</xdr:rowOff>
    </xdr:from>
    <xdr:to>
      <xdr:col>11</xdr:col>
      <xdr:colOff>628650</xdr:colOff>
      <xdr:row>16</xdr:row>
      <xdr:rowOff>219075</xdr:rowOff>
    </xdr:to>
    <xdr:graphicFrame macro="">
      <xdr:nvGraphicFramePr>
        <xdr:cNvPr id="5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28575</xdr:colOff>
      <xdr:row>24</xdr:row>
      <xdr:rowOff>28575</xdr:rowOff>
    </xdr:from>
    <xdr:to>
      <xdr:col>11</xdr:col>
      <xdr:colOff>628650</xdr:colOff>
      <xdr:row>35</xdr:row>
      <xdr:rowOff>219075</xdr:rowOff>
    </xdr:to>
    <xdr:graphicFrame macro="">
      <xdr:nvGraphicFramePr>
        <xdr:cNvPr id="6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28575</xdr:colOff>
      <xdr:row>131</xdr:row>
      <xdr:rowOff>38100</xdr:rowOff>
    </xdr:from>
    <xdr:to>
      <xdr:col>11</xdr:col>
      <xdr:colOff>628650</xdr:colOff>
      <xdr:row>142</xdr:row>
      <xdr:rowOff>219075</xdr:rowOff>
    </xdr:to>
    <xdr:graphicFrame macro="">
      <xdr:nvGraphicFramePr>
        <xdr:cNvPr id="7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28575</xdr:colOff>
      <xdr:row>59</xdr:row>
      <xdr:rowOff>47625</xdr:rowOff>
    </xdr:from>
    <xdr:to>
      <xdr:col>11</xdr:col>
      <xdr:colOff>628650</xdr:colOff>
      <xdr:row>70</xdr:row>
      <xdr:rowOff>219075</xdr:rowOff>
    </xdr:to>
    <xdr:graphicFrame macro="">
      <xdr:nvGraphicFramePr>
        <xdr:cNvPr id="9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28575</xdr:colOff>
      <xdr:row>76</xdr:row>
      <xdr:rowOff>19050</xdr:rowOff>
    </xdr:from>
    <xdr:to>
      <xdr:col>11</xdr:col>
      <xdr:colOff>628650</xdr:colOff>
      <xdr:row>87</xdr:row>
      <xdr:rowOff>219075</xdr:rowOff>
    </xdr:to>
    <xdr:graphicFrame macro="">
      <xdr:nvGraphicFramePr>
        <xdr:cNvPr id="10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28575</xdr:colOff>
      <xdr:row>95</xdr:row>
      <xdr:rowOff>28575</xdr:rowOff>
    </xdr:from>
    <xdr:to>
      <xdr:col>11</xdr:col>
      <xdr:colOff>628650</xdr:colOff>
      <xdr:row>106</xdr:row>
      <xdr:rowOff>219075</xdr:rowOff>
    </xdr:to>
    <xdr:graphicFrame macro="">
      <xdr:nvGraphicFramePr>
        <xdr:cNvPr id="11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28575</xdr:colOff>
      <xdr:row>112</xdr:row>
      <xdr:rowOff>19050</xdr:rowOff>
    </xdr:from>
    <xdr:to>
      <xdr:col>11</xdr:col>
      <xdr:colOff>628650</xdr:colOff>
      <xdr:row>123</xdr:row>
      <xdr:rowOff>219075</xdr:rowOff>
    </xdr:to>
    <xdr:graphicFrame macro="">
      <xdr:nvGraphicFramePr>
        <xdr:cNvPr id="12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40</xdr:row>
      <xdr:rowOff>0</xdr:rowOff>
    </xdr:from>
    <xdr:to>
      <xdr:col>11</xdr:col>
      <xdr:colOff>600075</xdr:colOff>
      <xdr:row>51</xdr:row>
      <xdr:rowOff>235323</xdr:rowOff>
    </xdr:to>
    <xdr:graphicFrame macro="">
      <xdr:nvGraphicFramePr>
        <xdr:cNvPr id="17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28575</xdr:colOff>
      <xdr:row>167</xdr:row>
      <xdr:rowOff>38100</xdr:rowOff>
    </xdr:from>
    <xdr:to>
      <xdr:col>11</xdr:col>
      <xdr:colOff>628650</xdr:colOff>
      <xdr:row>178</xdr:row>
      <xdr:rowOff>219075</xdr:rowOff>
    </xdr:to>
    <xdr:graphicFrame macro="">
      <xdr:nvGraphicFramePr>
        <xdr:cNvPr id="13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28575</xdr:colOff>
      <xdr:row>148</xdr:row>
      <xdr:rowOff>19050</xdr:rowOff>
    </xdr:from>
    <xdr:to>
      <xdr:col>11</xdr:col>
      <xdr:colOff>628650</xdr:colOff>
      <xdr:row>159</xdr:row>
      <xdr:rowOff>219075</xdr:rowOff>
    </xdr:to>
    <xdr:graphicFrame macro="">
      <xdr:nvGraphicFramePr>
        <xdr:cNvPr id="14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504824</xdr:colOff>
      <xdr:row>1</xdr:row>
      <xdr:rowOff>276225</xdr:rowOff>
    </xdr:from>
    <xdr:to>
      <xdr:col>22</xdr:col>
      <xdr:colOff>400050</xdr:colOff>
      <xdr:row>14</xdr:row>
      <xdr:rowOff>19050</xdr:rowOff>
    </xdr:to>
    <xdr:graphicFrame macro="">
      <xdr:nvGraphicFramePr>
        <xdr:cNvPr id="8" name="차트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92</xdr:row>
      <xdr:rowOff>47625</xdr:rowOff>
    </xdr:from>
    <xdr:to>
      <xdr:col>8</xdr:col>
      <xdr:colOff>0</xdr:colOff>
      <xdr:row>105</xdr:row>
      <xdr:rowOff>200025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92</xdr:row>
      <xdr:rowOff>47625</xdr:rowOff>
    </xdr:from>
    <xdr:to>
      <xdr:col>8</xdr:col>
      <xdr:colOff>0</xdr:colOff>
      <xdr:row>105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57150</xdr:colOff>
      <xdr:row>2</xdr:row>
      <xdr:rowOff>100010</xdr:rowOff>
    </xdr:from>
    <xdr:to>
      <xdr:col>28</xdr:col>
      <xdr:colOff>519546</xdr:colOff>
      <xdr:row>31</xdr:row>
      <xdr:rowOff>51954</xdr:rowOff>
    </xdr:to>
    <xdr:graphicFrame macro="">
      <xdr:nvGraphicFramePr>
        <xdr:cNvPr id="4" name="차트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180974</xdr:colOff>
      <xdr:row>67</xdr:row>
      <xdr:rowOff>0</xdr:rowOff>
    </xdr:from>
    <xdr:to>
      <xdr:col>52</xdr:col>
      <xdr:colOff>314324</xdr:colOff>
      <xdr:row>93</xdr:row>
      <xdr:rowOff>47625</xdr:rowOff>
    </xdr:to>
    <xdr:graphicFrame macro="">
      <xdr:nvGraphicFramePr>
        <xdr:cNvPr id="2" name="차트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5&#44277;&#44396;\&#48512;&#49548;&#51109;\&#49688;&#47049;&#47749;&#49464;&#49436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h%20H/&#48148;&#53461;%20&#54868;&#47732;/xpopup/down/&#51064;&#44396;&#54616;&#49688;&#47049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Startup" Target="IC&#49688;&#47049;/&#48176;&#49688;&#44288;&#44277;(IC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345;&#54616;-&#51312;&#49457;&#51008;0914\&#48156;&#51452;&#49444;&#44228;\Download\&#47932;&#44032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52397;&#51452;&#49884;\&#52509;&#47049;&#44288;&#47144;%20&#50836;&#52397;&#51088;&#47308;\&#52397;&#51452;&#49884;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4592;&#44228;&#44221;&#48708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345;&#54616;-&#50896;&#51116;&#50980;1042\2006.02.13\My%20Documents\&#49437;&#48393;&#51648;&#54616;&#52264;&#46020;\&#50900;&#49569;Ic&#44368;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project\&#51473;&#48512;&#45236;&#47449;(8&#44277;&#44396;)\&#47784;&#44257;3&#44368;%205@50\&#49345;&#48512;\SHI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CIVIL\EXCLE\DAT\&#44256;&#50577;&#44288;&#51116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49688;&#50896;&#51060;&#51032;&#51648;&#44396;&#53469;&#51648;&#44060;&#48156;/&#49324;&#50629;&#49457;&#48516;&#49437;/&#54532;&#47196;&#51229;&#53944;/&#44160;&#53664;/OO&#46020;&#49884;&#44060;&#48156;&#49324;&#50629;/&#51312;&#49324;&#49444;&#44228;&#48708;&#49328;&#51221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IVIL\EXCLE\DAT\&#44256;&#50577;&#44288;&#51116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&#52397;&#49328;&#47732;\&#49688;&#47049;\CIVIL\EXCLE\DAT\&#44256;&#50577;&#44288;&#51116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h%20H/&#48148;&#53461;%20&#54868;&#47732;/xpopup/down/4.&#52380;&#50504;&#49884;%20&#44228;&#54925;&#51064;&#44396;(&#52509;&#44292;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52397;&#51452;&#49884;\&#52509;&#47049;&#44288;&#47144;%20&#50836;&#52397;&#51088;&#47308;\&#52397;&#51452;&#49884;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수량명세서"/>
      <sheetName val="수량명세서 2"/>
      <sheetName val="Sheet1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구역및 면적결정"/>
      <sheetName val="리별과거인구"/>
      <sheetName val="과거인구추이"/>
      <sheetName val="통계학적 인구추정"/>
      <sheetName val="계획인구"/>
      <sheetName val="관광인구산정"/>
      <sheetName val="비교차트"/>
      <sheetName val="관광인구(휴양림)"/>
      <sheetName val="관광인구(업소)"/>
      <sheetName val="원단위산정"/>
      <sheetName val="계획하수량"/>
      <sheetName val="분구별하수량"/>
    </sheetNames>
    <sheetDataSet>
      <sheetData sheetId="0" refreshError="1"/>
      <sheetData sheetId="1" refreshError="1">
        <row r="4">
          <cell r="B4" t="str">
            <v>가일 1리</v>
          </cell>
          <cell r="C4">
            <v>250</v>
          </cell>
          <cell r="D4">
            <v>266</v>
          </cell>
          <cell r="E4">
            <v>277</v>
          </cell>
          <cell r="F4">
            <v>264</v>
          </cell>
          <cell r="G4">
            <v>266</v>
          </cell>
          <cell r="H4">
            <v>296</v>
          </cell>
          <cell r="I4">
            <v>274</v>
          </cell>
          <cell r="J4">
            <v>275</v>
          </cell>
          <cell r="K4">
            <v>296</v>
          </cell>
          <cell r="L4">
            <v>306</v>
          </cell>
        </row>
        <row r="5">
          <cell r="B5" t="str">
            <v>가일 2리</v>
          </cell>
          <cell r="C5">
            <v>121</v>
          </cell>
          <cell r="D5">
            <v>131</v>
          </cell>
          <cell r="E5">
            <v>117</v>
          </cell>
          <cell r="F5">
            <v>124</v>
          </cell>
          <cell r="G5">
            <v>134</v>
          </cell>
          <cell r="H5">
            <v>140</v>
          </cell>
          <cell r="I5">
            <v>137</v>
          </cell>
          <cell r="J5">
            <v>148</v>
          </cell>
          <cell r="K5">
            <v>148</v>
          </cell>
          <cell r="L5">
            <v>134</v>
          </cell>
        </row>
        <row r="6">
          <cell r="B6" t="str">
            <v>방일 1리</v>
          </cell>
          <cell r="C6">
            <v>93</v>
          </cell>
          <cell r="D6">
            <v>104</v>
          </cell>
          <cell r="E6">
            <v>102</v>
          </cell>
          <cell r="F6">
            <v>104</v>
          </cell>
          <cell r="G6">
            <v>98</v>
          </cell>
          <cell r="H6">
            <v>82</v>
          </cell>
          <cell r="I6">
            <v>76</v>
          </cell>
          <cell r="J6">
            <v>76</v>
          </cell>
          <cell r="K6">
            <v>75</v>
          </cell>
          <cell r="L6">
            <v>79</v>
          </cell>
        </row>
        <row r="7">
          <cell r="B7" t="str">
            <v>방일 2리</v>
          </cell>
          <cell r="C7">
            <v>230</v>
          </cell>
          <cell r="D7">
            <v>218</v>
          </cell>
          <cell r="E7">
            <v>215</v>
          </cell>
          <cell r="F7">
            <v>210</v>
          </cell>
          <cell r="G7">
            <v>206</v>
          </cell>
          <cell r="H7">
            <v>203</v>
          </cell>
          <cell r="I7">
            <v>208</v>
          </cell>
          <cell r="J7">
            <v>217</v>
          </cell>
          <cell r="K7">
            <v>208</v>
          </cell>
          <cell r="L7">
            <v>213</v>
          </cell>
        </row>
        <row r="8">
          <cell r="B8" t="str">
            <v>방일 3리</v>
          </cell>
          <cell r="C8">
            <v>123</v>
          </cell>
          <cell r="D8">
            <v>128</v>
          </cell>
          <cell r="E8">
            <v>124</v>
          </cell>
          <cell r="F8">
            <v>112</v>
          </cell>
          <cell r="G8">
            <v>115</v>
          </cell>
          <cell r="H8">
            <v>110</v>
          </cell>
          <cell r="I8">
            <v>107</v>
          </cell>
          <cell r="J8">
            <v>108</v>
          </cell>
          <cell r="K8">
            <v>120</v>
          </cell>
          <cell r="L8">
            <v>128</v>
          </cell>
        </row>
        <row r="9">
          <cell r="B9" t="str">
            <v>천안 1리</v>
          </cell>
          <cell r="C9">
            <v>251</v>
          </cell>
          <cell r="D9">
            <v>280</v>
          </cell>
          <cell r="E9">
            <v>286</v>
          </cell>
          <cell r="F9">
            <v>266</v>
          </cell>
          <cell r="G9">
            <v>269</v>
          </cell>
          <cell r="H9">
            <v>259</v>
          </cell>
          <cell r="I9">
            <v>264</v>
          </cell>
          <cell r="J9">
            <v>282</v>
          </cell>
          <cell r="K9">
            <v>278</v>
          </cell>
          <cell r="L9">
            <v>298</v>
          </cell>
        </row>
        <row r="10">
          <cell r="B10" t="str">
            <v>천안 2리</v>
          </cell>
          <cell r="C10">
            <v>89</v>
          </cell>
          <cell r="D10">
            <v>92</v>
          </cell>
          <cell r="E10">
            <v>91</v>
          </cell>
          <cell r="F10">
            <v>86</v>
          </cell>
          <cell r="G10">
            <v>76</v>
          </cell>
          <cell r="H10">
            <v>80</v>
          </cell>
          <cell r="I10">
            <v>84</v>
          </cell>
          <cell r="J10">
            <v>88</v>
          </cell>
          <cell r="K10">
            <v>90</v>
          </cell>
          <cell r="L10">
            <v>83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A간지"/>
      <sheetName val="A집계"/>
      <sheetName val="A관자재계"/>
      <sheetName val="A관로"/>
      <sheetName val="A토공계"/>
      <sheetName val="A관로토공"/>
      <sheetName val="A평균H"/>
      <sheetName val="A맨홀계"/>
      <sheetName val="A맨홀"/>
      <sheetName val="A맨홀H"/>
      <sheetName val="A연결관"/>
      <sheetName val="A연결토공"/>
      <sheetName val="A연결조서"/>
      <sheetName val="A터파기단위"/>
      <sheetName val="제목"/>
      <sheetName val="자재"/>
      <sheetName val="집계표"/>
      <sheetName val="관로토공"/>
      <sheetName val="제수변실토공"/>
      <sheetName val="공기변실토공"/>
      <sheetName val="펌프실토공"/>
      <sheetName val="제수변실"/>
      <sheetName val="공기변실"/>
      <sheetName val="제수변보호통"/>
      <sheetName val="지상식소화전"/>
      <sheetName val="펌프실"/>
      <sheetName val="수량양식"/>
      <sheetName val="배수관공(IC)"/>
      <sheetName val="C.배수관공"/>
      <sheetName val="가배수관"/>
      <sheetName val="2.10횡배수관"/>
      <sheetName val="전체현황"/>
      <sheetName val="평균터파기"/>
      <sheetName val="RC관집계"/>
      <sheetName val="RC관현황"/>
      <sheetName val="보강집계"/>
      <sheetName val="보강현황"/>
      <sheetName val="흄관집계"/>
      <sheetName val="흄관현황"/>
      <sheetName val="종배수관집계"/>
      <sheetName val="종배수관현황"/>
      <sheetName val="종배수관단위"/>
      <sheetName val="2.12기존배수관세척"/>
      <sheetName val="2.13날개벽및면벽"/>
      <sheetName val="RC관날개벽"/>
      <sheetName val="보강날개벽"/>
      <sheetName val="흄관날개벽"/>
      <sheetName val="면벽수량집계"/>
      <sheetName val="2.14집수정"/>
      <sheetName val="성토부집수정집계"/>
      <sheetName val="절토부집수정집계"/>
      <sheetName val="집수정현황"/>
      <sheetName val="집수정부분합"/>
      <sheetName val="Sheet13"/>
      <sheetName val="xxxxxx"/>
      <sheetName val="배수관공집계"/>
      <sheetName val="횡집계"/>
      <sheetName val="배수관집계표"/>
      <sheetName val="횡배수관현황"/>
      <sheetName val="날개면벽집계"/>
      <sheetName val="날개벽"/>
      <sheetName val="단위수량"/>
      <sheetName val="평균터파기고"/>
      <sheetName val="평균터파기1"/>
      <sheetName val="H"/>
      <sheetName val="깍기공"/>
      <sheetName val="날개벽유동집계표"/>
      <sheetName val="유입방지턱수량"/>
      <sheetName val="유입방지턱표지"/>
      <sheetName val="유입방지턱단위수량"/>
      <sheetName val="배수관로집계"/>
      <sheetName val="배수관로수량현황"/>
      <sheetName val="배수관로수량집계"/>
      <sheetName val="배수관로수량집계L-8,9,11"/>
      <sheetName val="측구공수량집계표"/>
      <sheetName val="맹암거수량집계표"/>
      <sheetName val="배수관수량집계표"/>
      <sheetName val="배수관공총괄수량집계표"/>
      <sheetName val="절성경계보강공현황및집계 "/>
      <sheetName val="집수정공수량집계표"/>
      <sheetName val="암거공토공수량집계표"/>
      <sheetName val="암거공일반수량집계표"/>
      <sheetName val="암거공철근집계표"/>
      <sheetName val="강판집계표"/>
      <sheetName val="수로보호공현황및집계"/>
      <sheetName val="도수로집계표"/>
      <sheetName val="U형개거집계표"/>
      <sheetName val="침전조집계표"/>
      <sheetName val="석축집계표"/>
      <sheetName val="배수관수량집계(1)"/>
      <sheetName val="배수관수량집계(2)"/>
      <sheetName val="횡배수관공수량집계"/>
      <sheetName val="횡배수관연장조서"/>
      <sheetName val="제작관수량집계"/>
      <sheetName val="토피별RC관현황"/>
      <sheetName val="보강흄관수량집계"/>
      <sheetName val="토피별보강흄관현황"/>
      <sheetName val="흄관수량집계"/>
      <sheetName val="토피별흄관현황"/>
      <sheetName val="종배수관수량집계"/>
      <sheetName val="배수날개면벽수량집계"/>
      <sheetName val="날개벽수량(RC관)"/>
      <sheetName val="날개벽수량(보강흄관)"/>
      <sheetName val="날개벽수량(흄관)"/>
      <sheetName val="면벽수량"/>
      <sheetName val="집수정수량집계(1)"/>
      <sheetName val="집수정수량집계(2)"/>
      <sheetName val="흙쌓기부집수정"/>
      <sheetName val="땅깍기부집수정(1)"/>
      <sheetName val="땅깍기부집수정(2)"/>
      <sheetName val="땅깍기부집수정(3)"/>
      <sheetName val="원가계산서(년도별)"/>
      <sheetName val="집계표(도급)"/>
      <sheetName val="내역서(도급)"/>
      <sheetName val="6월호"/>
      <sheetName val="증감총괄"/>
      <sheetName val="내역"/>
      <sheetName val="잡비"/>
      <sheetName val="증감"/>
      <sheetName val="암거간지1"/>
      <sheetName val="총괄집계"/>
      <sheetName val="구체집계표"/>
      <sheetName val="암거간지2"/>
      <sheetName val="암거간지3"/>
      <sheetName val="암거간지5"/>
      <sheetName val="구체집계2.0x2.0(0-3)"/>
      <sheetName val="구체2.0X2.0(0-3)"/>
      <sheetName val="구체집계2.0x2.0(3-5)"/>
      <sheetName val="구체2.0x2.0(3-5)"/>
      <sheetName val="구체집계2.0x2.0(5-7)"/>
      <sheetName val="구체2.0x2.0(5-7)"/>
      <sheetName val="구체집계2.0x2.0(7-10)"/>
      <sheetName val="구체2.0x2.0(7-10)"/>
      <sheetName val="암거간지2@"/>
      <sheetName val="구체집계2@2.5x2.5"/>
      <sheetName val="구체2@2.5x2.5"/>
      <sheetName val="암거간지"/>
      <sheetName val="구체집계3.0x2.0(0-3)"/>
      <sheetName val="구체3.0x2.0(0-3)"/>
      <sheetName val="구체집계3.0x2.0(6-8)"/>
      <sheetName val="구체3.0x2.0(6-8)"/>
      <sheetName val="암거간지7"/>
      <sheetName val="암거간지8"/>
      <sheetName val="구체집계3.5x3.5(8-10)"/>
      <sheetName val="구체3.5x3.5(8-10)"/>
      <sheetName val="암거간지10"/>
      <sheetName val="구체집계4.5x4.5(2-3)"/>
      <sheetName val="구체4.5x4.5(2-3)"/>
      <sheetName val="구체집계4.5x4.5(4-5)"/>
      <sheetName val="구체4.5x4.5(4-5)"/>
      <sheetName val="암거현황"/>
      <sheetName val="터파기"/>
      <sheetName val="구체2.5x2.0(6-8)"/>
      <sheetName val="구체3.5x3.5-8-10"/>
      <sheetName val="암거간지4"/>
      <sheetName val="갑지"/>
      <sheetName val="목차"/>
      <sheetName val="변경사유서간지"/>
      <sheetName val="변경사유서"/>
      <sheetName val="공사비집계표간지"/>
      <sheetName val="공사비집계표"/>
      <sheetName val="공사비증감내역서간지"/>
      <sheetName val="공사비증감내역서"/>
      <sheetName val="수량산출서간지"/>
      <sheetName val="상림1교간지"/>
      <sheetName val="상림1교수량집계표"/>
      <sheetName val="상림1교(교대A1)당초"/>
      <sheetName val="상림1교(교대A1)변경"/>
      <sheetName val="횡단면도"/>
      <sheetName val="사진대지"/>
      <sheetName val="상림1A1"/>
      <sheetName val="AA3000"/>
      <sheetName val="AA3100"/>
      <sheetName val="비계"/>
      <sheetName val="AA3200"/>
      <sheetName val="동바리"/>
      <sheetName val="AA3300"/>
      <sheetName val="특수거푸집"/>
      <sheetName val="AA3400"/>
      <sheetName val="지급자재명세서(1)"/>
      <sheetName val="지급자재명세서(2)"/>
      <sheetName val="지급자재명세서(3)"/>
      <sheetName val="철근"/>
      <sheetName val="시멘트및콘크리트"/>
      <sheetName val="골재"/>
      <sheetName val="아스콘및코팅재집계표"/>
      <sheetName val="골재집계"/>
      <sheetName val="타공종이월수량"/>
      <sheetName val="타공종이기수량"/>
      <sheetName val="표지(하천명)"/>
      <sheetName val="총괄자재"/>
      <sheetName val="표지"/>
      <sheetName val="제목(집계)"/>
      <sheetName val="주요"/>
      <sheetName val="주요자재"/>
      <sheetName val="제목 (토공)"/>
      <sheetName val="토공집계표"/>
      <sheetName val="토공수량(좌안)"/>
      <sheetName val="토적표좌안"/>
      <sheetName val="규준틀및경계말목 (좌안)"/>
      <sheetName val="제목(호안)"/>
      <sheetName val="호안공집계"/>
      <sheetName val="전석집계"/>
      <sheetName val="전석수량(좌1)"/>
      <sheetName val="전석면적(좌1)"/>
      <sheetName val="u형측구 집계표"/>
      <sheetName val="1지구u형측구"/>
      <sheetName val="2지구u형측구 "/>
      <sheetName val="간지"/>
      <sheetName val="파형강판 총수량집계표"/>
      <sheetName val="통로"/>
      <sheetName val="철근수량 집계표"/>
      <sheetName val="기타공표지"/>
      <sheetName val="기타공유동수량집계"/>
      <sheetName val="a,수로보호공"/>
      <sheetName val="수로보호공집계"/>
      <sheetName val="수로보호공현황(형식1~3)"/>
      <sheetName val="수로보호공현황(형식-4)"/>
      <sheetName val="수로보호공현황(형식-5)"/>
      <sheetName val="b.수로이설"/>
      <sheetName val="c.돌붙임후면배수표지"/>
      <sheetName val="d.기존배수관폐쇄표지"/>
      <sheetName val="e.기존BOX폐쇄표지"/>
      <sheetName val="f기존배수관세척"/>
      <sheetName val="g계단"/>
      <sheetName val="j.제작집수정표지"/>
      <sheetName val="제작집수정유동집"/>
      <sheetName val="제작집수정집계"/>
      <sheetName val="제작집수정현황"/>
      <sheetName val="제작집수정수량(1)"/>
      <sheetName val="제작집수정수량(2)"/>
      <sheetName val="k. 문비"/>
      <sheetName val="문비수량집계"/>
      <sheetName val="문비현황"/>
      <sheetName val="문비단위수량"/>
      <sheetName val="Module1"/>
      <sheetName val="Baby일위대가"/>
      <sheetName val="내역서"/>
      <sheetName val="DATE"/>
      <sheetName val="직노"/>
      <sheetName val="수량산출"/>
      <sheetName val="일반공사"/>
      <sheetName val="C.간지"/>
      <sheetName val="배수관공집계표"/>
      <sheetName val="2.10간지"/>
      <sheetName val="횡배수관집계표(현장)"/>
      <sheetName val="횡배수관현황(현장)"/>
      <sheetName val="평균터파기(현장)"/>
      <sheetName val="횡배수산근(현장)"/>
      <sheetName val="2.11간지"/>
      <sheetName val="종배수관및흄관집계표"/>
      <sheetName val="종배수관수량"/>
      <sheetName val="흄관수집계"/>
      <sheetName val="흄관평균터파기"/>
      <sheetName val="흄관산출(0+725)"/>
      <sheetName val="2.13간지"/>
      <sheetName val="날개벽및면벽집계표"/>
      <sheetName val="날개벽수량집계표"/>
      <sheetName val="날개벽단위수량"/>
      <sheetName val="2.14간지"/>
      <sheetName val="콘크리트집수정수량집계"/>
      <sheetName val="땅깍기부집수정집계"/>
      <sheetName val="시멘트,모래"/>
      <sheetName val="배수관공수량집계"/>
      <sheetName val="면벽단위"/>
      <sheetName val="흄관단위"/>
      <sheetName val="흄관토공수량"/>
      <sheetName val="흄관설치현황"/>
      <sheetName val="보차도경계석"/>
      <sheetName val="신일위"/>
      <sheetName val="변일위"/>
      <sheetName val="재집"/>
      <sheetName val="종평"/>
      <sheetName val="토집"/>
      <sheetName val="담장"/>
      <sheetName val="조경"/>
      <sheetName val="옹집"/>
      <sheetName val="옹벽수량"/>
      <sheetName val="45,46"/>
      <sheetName val="전신환매도율"/>
      <sheetName val="BOQ"/>
      <sheetName val="을지"/>
      <sheetName val=""/>
      <sheetName val="공사비증감"/>
      <sheetName val="역T형옹벽(3.0)"/>
      <sheetName val="우배수"/>
      <sheetName val="교각1"/>
      <sheetName val="토공(우물통,기타) "/>
      <sheetName val="터파기및재료"/>
      <sheetName val="물가시세"/>
      <sheetName val="노임단가"/>
      <sheetName val="1+214(수로)"/>
      <sheetName val="1+185(통로)"/>
      <sheetName val="구체,날개,보강철근수량"/>
      <sheetName val="난간및차수벽철근량"/>
      <sheetName val="접속저판"/>
      <sheetName val="날개벽(시점좌측)"/>
      <sheetName val="총괄갑 "/>
      <sheetName val="#REF"/>
      <sheetName val="A LINE"/>
      <sheetName val="개비온집계"/>
      <sheetName val="개비온 단위"/>
      <sheetName val="정화조동내역"/>
      <sheetName val="INPUT"/>
      <sheetName val="포장공"/>
      <sheetName val="금액내역서"/>
      <sheetName val="실행철강하도"/>
      <sheetName val="만수배관단가"/>
      <sheetName val="FRP배관단가(만수)"/>
      <sheetName val="저"/>
      <sheetName val="CB"/>
      <sheetName val="일위대가(가설)"/>
      <sheetName val="기타#9"/>
      <sheetName val="99총공사내역서"/>
      <sheetName val="수량산출서"/>
      <sheetName val="8.PILE  (돌출)"/>
      <sheetName val="역T형교대(직접기초)"/>
      <sheetName val="가로등내역서"/>
      <sheetName val="일위대가"/>
      <sheetName val="차액보증"/>
      <sheetName val="견적서"/>
      <sheetName val="BOQ(전체)"/>
      <sheetName val="원형1호맨홀토공수량"/>
      <sheetName val="2"/>
      <sheetName val="96보완계획7.12"/>
      <sheetName val="준검 내역서"/>
      <sheetName val="교대(A1)"/>
      <sheetName val="하도금액분계"/>
      <sheetName val="단면가정"/>
      <sheetName val="인사자료총집계"/>
      <sheetName val="BID"/>
      <sheetName val="하부철근수량"/>
      <sheetName val="슬래브(유곡)"/>
      <sheetName val="부대내역"/>
      <sheetName val="수량-가로등"/>
      <sheetName val="단가 "/>
      <sheetName val="노임"/>
      <sheetName val="일위대가표"/>
      <sheetName val="말뚝지지력산정"/>
      <sheetName val="국도접속 차도부수량"/>
      <sheetName val="철근계"/>
      <sheetName val="7.PILE  (돌출)"/>
      <sheetName val="공사개요"/>
      <sheetName val="연결관암거"/>
      <sheetName val="MAIN_TABLE"/>
      <sheetName val="변수값"/>
      <sheetName val="중기상차"/>
      <sheetName val="AS복구"/>
      <sheetName val="중기터파기"/>
      <sheetName val="기초단가"/>
      <sheetName val="내역(설계)"/>
      <sheetName val="TOTAL_BOQ"/>
      <sheetName val="골재산출"/>
      <sheetName val="철거산출근거"/>
      <sheetName val="일위대가목록"/>
      <sheetName val="도급내역"/>
      <sheetName val="VXXXXX"/>
      <sheetName val="단가산출"/>
      <sheetName val="U-TYPE(1)"/>
      <sheetName val="OPGW기별"/>
      <sheetName val="중기일위대가"/>
      <sheetName val="6PILE  (돌출)"/>
      <sheetName val="내역서(삼호)"/>
      <sheetName val="사다리"/>
      <sheetName val="횡배수관"/>
      <sheetName val="ABUT수량-A1"/>
      <sheetName val="guard(mac)"/>
      <sheetName val="DATA2000"/>
      <sheetName val="E총"/>
      <sheetName val="총괄내역서"/>
      <sheetName val="표층포설및다짐"/>
      <sheetName val="COPING"/>
      <sheetName val="제경비"/>
      <sheetName val="5.공종별예산내역서"/>
      <sheetName val="단가조사"/>
      <sheetName val="쌍송교"/>
      <sheetName val="노무비"/>
      <sheetName val="단가"/>
      <sheetName val="내역(2000년)"/>
      <sheetName val="Macro1"/>
      <sheetName val="매매"/>
      <sheetName val="2000년1차"/>
      <sheetName val="토목"/>
      <sheetName val="1차설계변경내역"/>
      <sheetName val="건축공사실행"/>
      <sheetName val="Sheet1 (2)"/>
      <sheetName val="1차증가원가계산"/>
      <sheetName val="7기초"/>
      <sheetName val="덕전리"/>
      <sheetName val="J直材4"/>
      <sheetName val="VXXXXXX"/>
      <sheetName val="표지-내역서 (2)"/>
      <sheetName val="연건보고현황"/>
      <sheetName val="공사비증(-)감대비표"/>
      <sheetName val="원가계산서(1공구)-전기"/>
      <sheetName val="원가계산서(1공구)-소방"/>
      <sheetName val="중총괄표(1공구)"/>
      <sheetName val="소총괄표(1공구)"/>
      <sheetName val="내역서(1공구)"/>
      <sheetName val="변경개요"/>
      <sheetName val="지급자재 단가비교"/>
      <sheetName val="표지-일위대가"/>
      <sheetName val="합산자재"/>
      <sheetName val="일목"/>
      <sheetName val="일위대가(통신)"/>
      <sheetName val="일위"/>
      <sheetName val="원격(노무)"/>
      <sheetName val="원격(자재)"/>
      <sheetName val="일위(원격)"/>
      <sheetName val="원격(노임)"/>
      <sheetName val="옵션"/>
      <sheetName val="감독차량비"/>
      <sheetName val="가로등주설치(9M)"/>
      <sheetName val="가로등주설치(10~12M)"/>
      <sheetName val="보안등설치(5~7M)"/>
      <sheetName val="터널등기구지지금구노무비"/>
      <sheetName val="기계화터파기"/>
      <sheetName val="한전인입공사비(1공구)"/>
      <sheetName val="한전공사비(대전-당진)"/>
      <sheetName val="기초입력 DATA"/>
      <sheetName val="49-119"/>
      <sheetName val="접도구역경계표주현황"/>
      <sheetName val="코드표"/>
      <sheetName val="수목데이타 "/>
      <sheetName val="내역서(기계)"/>
      <sheetName val="유림골조"/>
      <sheetName val="데리네이타현황"/>
      <sheetName val="도급-집계"/>
      <sheetName val="소비자가"/>
      <sheetName val="품셈TABLE"/>
      <sheetName val="단가표"/>
      <sheetName val="관급자재"/>
      <sheetName val="맨홀"/>
      <sheetName val="1,2,3,4,5단위수량"/>
      <sheetName val="일반전기"/>
      <sheetName val="97 사업추정(WEKI)"/>
      <sheetName val="기초일위"/>
      <sheetName val="N賃率-職"/>
      <sheetName val="J형측구단위수량"/>
      <sheetName val="암거날개벽재료집계"/>
      <sheetName val="재정비직인"/>
      <sheetName val="재정비내역"/>
      <sheetName val="지적고시내역"/>
      <sheetName val="기본사항"/>
      <sheetName val="내역(원안-대안)"/>
      <sheetName val="200"/>
      <sheetName val="관급"/>
      <sheetName val="구조물공"/>
      <sheetName val="배수공"/>
      <sheetName val="부대공"/>
      <sheetName val="토공"/>
      <sheetName val="보도포장산출"/>
      <sheetName val="70%"/>
      <sheetName val="집수정공수량집勄표"/>
      <sheetName val="암거공일반수량집계呜"/>
      <sheetName val="수로보호공현황갏집계"/>
      <sheetName val="배수관로수량집Ⳅ"/>
      <sheetName val="변경사유서간줮"/>
      <sheetName val="롴벽단위"/>
      <sheetName val="흀관토공수량"/>
      <sheetName val="FRP배관단가(㧌수)"/>
      <sheetName val="데이타"/>
      <sheetName val="식재인부"/>
      <sheetName val="현금"/>
      <sheetName val="원가계산서"/>
      <sheetName val="진주방향"/>
      <sheetName val="마산방향"/>
      <sheetName val="마산방향철근집계"/>
      <sheetName val="산출서"/>
      <sheetName val="DANGA"/>
      <sheetName val="기본자료"/>
      <sheetName val="집1"/>
      <sheetName val="(A)내역서"/>
      <sheetName val="가도공"/>
      <sheetName val="호표"/>
      <sheetName val="남양시작동자105노65기1.3화1.2"/>
      <sheetName val="자재단가"/>
      <sheetName val="포장수량산출"/>
      <sheetName val="토공총괄집계표"/>
      <sheetName val="제목(수량)"/>
      <sheetName val="수량총괄집계"/>
      <sheetName val="내역서전체"/>
      <sheetName val="용산1(해보)"/>
      <sheetName val="단가산출서"/>
      <sheetName val="수자재단위당"/>
      <sheetName val="공비대비"/>
      <sheetName val="총괄표"/>
      <sheetName val="주형"/>
      <sheetName val="산출근거"/>
      <sheetName val="참고자료"/>
      <sheetName val="참고사항"/>
      <sheetName val="노무비단가"/>
      <sheetName val="WEIGHT LIST"/>
      <sheetName val="절취및터파기"/>
      <sheetName val="부대시설"/>
      <sheetName val="Apt내역"/>
      <sheetName val="일위목록"/>
      <sheetName val="요율"/>
      <sheetName val="(포장)BOQ-실적공사"/>
      <sheetName val="시점교대"/>
      <sheetName val="Sheet15"/>
      <sheetName val="구조     ."/>
      <sheetName val="1.설계조건"/>
      <sheetName val="2공구산출내역"/>
      <sheetName val="내역을"/>
      <sheetName val="일위대가목차"/>
      <sheetName val="DATA98"/>
      <sheetName val="현장"/>
      <sheetName val="연결임시"/>
      <sheetName val="지수"/>
      <sheetName val="식재"/>
      <sheetName val="시설물"/>
      <sheetName val="식재출력용"/>
      <sheetName val="유지관리"/>
      <sheetName val="노면표시수량집계"/>
      <sheetName val="노면표지 수량"/>
      <sheetName val="위치조서"/>
      <sheetName val="9902"/>
      <sheetName val="3.하중산정4.양수압5.지지력"/>
      <sheetName val="기기리스트"/>
      <sheetName val="총차분(토목)"/>
      <sheetName val="전신"/>
      <sheetName val="내역서적용수량"/>
      <sheetName val="퇴직금(울산천상)"/>
      <sheetName val="이토변실(A3-LINE)"/>
      <sheetName val="흄ꔀ수량집계"/>
      <sheetName val="C_배수관공"/>
      <sheetName val="2_10횡배수관"/>
      <sheetName val="2_12기존배수관세척"/>
      <sheetName val="2_13날개벽및면벽"/>
      <sheetName val="2_14집수정"/>
      <sheetName val="구체집계2_0x2_0(0-3)"/>
      <sheetName val="1. 설계조건 2.단면가정 3. 하중계산"/>
      <sheetName val="DATA 입력란"/>
      <sheetName val="TIE-IN"/>
      <sheetName val="6호기"/>
      <sheetName val="교각토공"/>
      <sheetName val="깨기수량"/>
      <sheetName val="설계예산서"/>
      <sheetName val="단가목록"/>
      <sheetName val="장비단가표"/>
      <sheetName val="본선집계표"/>
      <sheetName val="우수받이재료집계표"/>
      <sheetName val="단위중량"/>
      <sheetName val="FRP산출근거"/>
      <sheetName val="상부공"/>
      <sheetName val="수량집계표(舊)"/>
      <sheetName val="단가산출(총괄)"/>
      <sheetName val="일위총괄"/>
      <sheetName val="토공사(흙막이)"/>
      <sheetName val="4)유동표"/>
      <sheetName val="마감산출(다1)"/>
      <sheetName val="000000"/>
      <sheetName val="투찰"/>
      <sheetName val="수안보-MBR1"/>
      <sheetName val="수량집계"/>
      <sheetName val="잡비계산"/>
      <sheetName val="단위수량산출"/>
      <sheetName val="횡배수관집현황(2공구)"/>
      <sheetName val="자재 집계표"/>
      <sheetName val="DATA 입력부"/>
      <sheetName val="기둥(원형)"/>
      <sheetName val="기초공"/>
      <sheetName val="개요"/>
      <sheetName val="구체2_0X2_0(0-3)"/>
      <sheetName val="구체집계2_0x2_0(3-5)"/>
      <sheetName val="구체2_0x2_0(3-5)"/>
      <sheetName val="구체집계2_0x2_0(5-7)"/>
      <sheetName val="구체2_0x2_0(5-7)"/>
      <sheetName val="구체집계2_0x2_0(7-10)"/>
      <sheetName val="구체2_0x2_0(7-10)"/>
      <sheetName val="구체집계2@2_5x2_5"/>
      <sheetName val="구체2@2_5x2_5"/>
      <sheetName val="구체집계3_0x2_0(0-3)"/>
      <sheetName val="구체3_0x2_0(0-3)"/>
      <sheetName val="구체집계3_0x2_0(6-8)"/>
      <sheetName val="구체3_0x2_0(6-8)"/>
      <sheetName val="구체집계3_5x3_5(8-10)"/>
      <sheetName val="구체3_5x3_5(8-10)"/>
      <sheetName val="구체집계4_5x4_5(2-3)"/>
      <sheetName val="구체4_5x4_5(2-3)"/>
      <sheetName val="구체집계4_5x4_5(4-5)"/>
      <sheetName val="구체4_5x4_5(4-5)"/>
      <sheetName val="구체2_5x2_0(6-8)"/>
      <sheetName val="구체3_5x3_5-8-10"/>
      <sheetName val="절성경계보강공현황및집계_"/>
      <sheetName val="파형강판_총수량집계표"/>
      <sheetName val="철근수량_집계표"/>
      <sheetName val="C_간지"/>
      <sheetName val="2_10간지"/>
      <sheetName val="2_11간지"/>
      <sheetName val="2_13간지"/>
      <sheetName val="2_14간지"/>
      <sheetName val="b_수로이설"/>
      <sheetName val="c_돌붙임후면배수표지"/>
      <sheetName val="d_기존배수관폐쇄표지"/>
      <sheetName val="e_기존BOX폐쇄표지"/>
      <sheetName val="j_제작집수정표지"/>
      <sheetName val="k__문비"/>
      <sheetName val="제목_(토공)"/>
      <sheetName val="규준틀및경계말목_(좌안)"/>
      <sheetName val="u형측구_집계표"/>
      <sheetName val="2지구u형측구_"/>
      <sheetName val="총괄갑_"/>
      <sheetName val="역T형옹벽(3_0)"/>
      <sheetName val="96보완계획7_12"/>
      <sheetName val="준검_내역서"/>
      <sheetName val="A_LINE"/>
      <sheetName val="7_PILE__(돌출)"/>
      <sheetName val="토공(우물통,기타)_"/>
      <sheetName val="5_공종별예산내역서"/>
      <sheetName val="소업1교"/>
      <sheetName val="본체"/>
      <sheetName val="1호맨홀토공"/>
      <sheetName val="(집계) 노면표시"/>
      <sheetName val="주요량(96)"/>
      <sheetName val="내역서(사업소)"/>
      <sheetName val="배수공시멘트 및 골재량산출"/>
      <sheetName val="양지교"/>
      <sheetName val="조경시설물"/>
      <sheetName val="급수"/>
      <sheetName val="내역표지"/>
      <sheetName val="경율산정"/>
      <sheetName val="건물"/>
      <sheetName val="1.일반수량산출단면"/>
      <sheetName val="L_RPTB~1"/>
      <sheetName val="공사비_NDE"/>
      <sheetName val="입찰안"/>
      <sheetName val="건축내역"/>
      <sheetName val="도근좌표"/>
      <sheetName val="고정보수량집계"/>
      <sheetName val="토적표(1)"/>
      <sheetName val="고분전시관"/>
      <sheetName val="설비"/>
      <sheetName val="조명시설"/>
      <sheetName val="가설공사비"/>
      <sheetName val="PSCbeam설계"/>
      <sheetName val="을"/>
      <sheetName val="DATA"/>
      <sheetName val="단가산출서총괄"/>
      <sheetName val="환경기계공정표 (3)"/>
      <sheetName val="기본단가표"/>
      <sheetName val="산근(1)"/>
      <sheetName val="맨홀토공"/>
      <sheetName val="마감"/>
      <sheetName val="고창방향"/>
      <sheetName val="총괄"/>
      <sheetName val="천안IP공장자100노100물량110할증"/>
      <sheetName val="앨범표지"/>
      <sheetName val="Total"/>
      <sheetName val="변압기 및 발전기 용량"/>
      <sheetName val="토공사"/>
      <sheetName val="4.주beam"/>
      <sheetName val="도급"/>
      <sheetName val="갱문및옹벽집계"/>
      <sheetName val="조명율표"/>
      <sheetName val="평형공사비"/>
      <sheetName val="웅진교-S2"/>
      <sheetName val="설직재-1"/>
      <sheetName val="표지 (2)"/>
      <sheetName val="산출내역(하도)"/>
      <sheetName val="손익차9월2"/>
      <sheetName val="적용건축"/>
      <sheetName val="패널"/>
      <sheetName val="안정검토"/>
      <sheetName val="9GNG운반"/>
      <sheetName val="당진1,2호기전선관설치및접지4차공사내역서-을지"/>
      <sheetName val="2호맨홀공제수량"/>
      <sheetName val="설계서식"/>
      <sheetName val="단중표"/>
      <sheetName val="공조기(삭제)"/>
      <sheetName val="전력구구조물산근"/>
      <sheetName val="투찰금액"/>
      <sheetName val="취수탑"/>
      <sheetName val="대로근거"/>
      <sheetName val="월말"/>
      <sheetName val="흥양2교토공집계표"/>
      <sheetName val="비탈면보호공수량산출"/>
      <sheetName val="기계경비(시간당)"/>
      <sheetName val="램머"/>
      <sheetName val="설계기준"/>
      <sheetName val="맨홀_공사비"/>
      <sheetName val="도로구조공사비"/>
      <sheetName val="도로토공공사비"/>
      <sheetName val="여수토공사비"/>
      <sheetName val="표  지"/>
      <sheetName val="SORCE1"/>
      <sheetName val="EACT10"/>
      <sheetName val="토 적 표"/>
      <sheetName val="정렬"/>
      <sheetName val="조도계산서 (도서)"/>
      <sheetName val="감리원배치기준"/>
      <sheetName val="변수"/>
      <sheetName val="설계조건 및 단면가정"/>
      <sheetName val="부재치수입력"/>
      <sheetName val="강전사 (2)"/>
      <sheetName val="집수정(600-700)"/>
      <sheetName val="공비현2"/>
      <sheetName val="토공총"/>
      <sheetName val="5지진시"/>
      <sheetName val="날개벽수량표"/>
      <sheetName val="순성토"/>
      <sheetName val="Macro3"/>
      <sheetName val="Macro2"/>
      <sheetName val="단가비교표"/>
      <sheetName val="예산서"/>
      <sheetName val="8설7발"/>
      <sheetName val="증감대비"/>
      <sheetName val="발주설계서(당초)"/>
      <sheetName val="CON'C"/>
      <sheetName val=" 냉각수펌프"/>
      <sheetName val="공조기휀"/>
      <sheetName val="자재목록"/>
      <sheetName val="3지구단위"/>
      <sheetName val="C-C(output)"/>
      <sheetName val="unit 4"/>
      <sheetName val="2.재료비"/>
      <sheetName val="횡배수관설치현황"/>
      <sheetName val="기초자료입력"/>
      <sheetName val="맨홀수량산출"/>
      <sheetName val="평균높이산출근거"/>
      <sheetName val="지수산정"/>
      <sheetName val="98지급계획"/>
      <sheetName val="초기화면"/>
      <sheetName val="기초자료"/>
      <sheetName val="YM-IL1"/>
      <sheetName val="DAN"/>
      <sheetName val="백호우계수"/>
      <sheetName val="집수정단위수량600 "/>
      <sheetName val="Sheet17"/>
      <sheetName val="흄관수睽꛲"/>
      <sheetName val="주차구획선수량"/>
      <sheetName val="설비내역"/>
      <sheetName val="1"/>
      <sheetName val="청천내"/>
      <sheetName val="리스(CIF)산출"/>
      <sheetName val="길어깨(현황)"/>
      <sheetName val="산출"/>
      <sheetName val="기중"/>
      <sheetName val="일위2"/>
      <sheetName val="통합"/>
      <sheetName val="날개벽(TYPE1)"/>
      <sheetName val="제1차변경도급"/>
      <sheetName val="4차월말"/>
      <sheetName val="주beam"/>
      <sheetName val="중분대수량산출"/>
      <sheetName val="두앙"/>
      <sheetName val="7_PILE__ԯ_x0000_缀_x0000_"/>
      <sheetName val="토사(PE)"/>
      <sheetName val="7_PILE__頀⮿︀䛕"/>
      <sheetName val="가도뻸"/>
      <sheetName val="7_PILE__䈀ᅪ԰_x0000_"/>
      <sheetName val="7_PILE__︀ᇕ԰_x0000_"/>
      <sheetName val="일용노임단가"/>
      <sheetName val="1TL종점(1)"/>
      <sheetName val="구조물공1"/>
      <sheetName val="배수및구조물공1"/>
      <sheetName val="97_사업추정(WEKI)"/>
      <sheetName val="농로수량집계"/>
      <sheetName val="농로토공집계"/>
      <sheetName val="SALE"/>
      <sheetName val="기술조건"/>
      <sheetName val="토공집계"/>
      <sheetName val="콘_재료분리(1)"/>
      <sheetName val="Mc1"/>
      <sheetName val="교대(A1-A2)"/>
      <sheetName val="SLAB&quot;1&quot;"/>
      <sheetName val="횡 연장"/>
      <sheetName val="상-교대(A1-A2)"/>
      <sheetName val="단위단가"/>
      <sheetName val="3.하중산정4.지지력"/>
      <sheetName val="바닥판"/>
      <sheetName val="입력DATA"/>
      <sheetName val="▣횡배수수량산출참고"/>
      <sheetName val="설계내역서"/>
      <sheetName val="수목표준대가"/>
      <sheetName val="원가"/>
      <sheetName val="토공분배표"/>
      <sheetName val="1.설계기준"/>
      <sheetName val="기계설비표선정수장"/>
      <sheetName val="상 부"/>
      <sheetName val="1__설계조건_2_단면가정_3__하중계산"/>
      <sheetName val="DATA_입력란"/>
      <sheetName val="깨기"/>
      <sheetName val="변화치수"/>
      <sheetName val="설계서을"/>
      <sheetName val="직재"/>
      <sheetName val="본공사"/>
      <sheetName val="간선계산"/>
      <sheetName val="정부노임단가"/>
      <sheetName val="ESC(K치)"/>
      <sheetName val="근무계획표 (전체)"/>
      <sheetName val="단가 및 재료비"/>
      <sheetName val="중기사용료산출근거"/>
      <sheetName val="구조물"/>
      <sheetName val="공사비증(-)䈀४԰_x0000_"/>
      <sheetName val="맨1"/>
      <sheetName val="환산"/>
      <sheetName val="증감내역서"/>
      <sheetName val="스톱로그내역"/>
      <sheetName val="98NS-N"/>
      <sheetName val="맨홀(2~4)"/>
      <sheetName val="특수기호강도거푸집"/>
      <sheetName val="종배수관면벽신"/>
      <sheetName val="종배수관(신)"/>
      <sheetName val="XL4Poppy"/>
      <sheetName val="-레미콘집계"/>
      <sheetName val="-몰탈콘크리트"/>
      <sheetName val="자갈,시멘트,모래산출"/>
      <sheetName val="-철근집계"/>
      <sheetName val="포장재료(1)"/>
      <sheetName val="-흄관집계"/>
      <sheetName val="실행예산 명세표"/>
      <sheetName val="Sensitivity"/>
      <sheetName val="임시전기공사설계서"/>
      <sheetName val="인건비 "/>
      <sheetName val="산근터빈"/>
      <sheetName val="날개수량1.5"/>
      <sheetName val="노임단가 (2)"/>
      <sheetName val="재료비 (2)"/>
      <sheetName val="C1ㅇ"/>
      <sheetName val="95MAKER"/>
      <sheetName val="유역면적"/>
      <sheetName val="집수정단위수량 "/>
      <sheetName val="상선"/>
      <sheetName val="강교(Sub)"/>
      <sheetName val="일반토공견적"/>
      <sheetName val="상수도토공집계표"/>
      <sheetName val="평교-내역"/>
      <sheetName val="99년신청"/>
      <sheetName val="간지양식"/>
      <sheetName val="접도구역경계표주_x0005__x0000_"/>
      <sheetName val="접도구역경계표주齘_x0013_"/>
      <sheetName val="접도구역경계표주挔_x0012_"/>
      <sheetName val="접도구역경계표주窨_x0013_"/>
      <sheetName val="접도구역경계표주竈_x0013_"/>
      <sheetName val="접도구역경계표주傠_x0013_"/>
      <sheetName val="접도구역경계표주畠_x0013_"/>
      <sheetName val="접도구역경계표주僀_x0013_"/>
      <sheetName val="접도구역경계표주헾】"/>
      <sheetName val="시설물기초"/>
      <sheetName val="일위怀፵"/>
      <sheetName val="자료"/>
      <sheetName val="접도구역경계표주贸_x0013_"/>
      <sheetName val="화설내"/>
      <sheetName val="구체3_5x3_5-8-1԰"/>
      <sheetName val="원가계산서(1԰_x0000_缀_x0000__x0000__x0000_"/>
      <sheetName val="구체집계4_5x4_5_x0005__x0000__x0000__x0000_"/>
      <sheetName val="구체3_0x2_0(԰_x0000_缀_x0000_"/>
      <sheetName val="물가자료"/>
      <sheetName val="구체집계4_5x4_5尜_x0013_層_x0013_闰"/>
      <sheetName val="원가계산서(1ᰀ፜搀፜ን"/>
      <sheetName val="구체3_5x3_5-8-1렀"/>
      <sheetName val="구체3_0x2_0(᳇፜搀፜"/>
      <sheetName val="내역서(설비+소방)"/>
      <sheetName val="구체3_0x2_0(렀቟԰_x0000_"/>
      <sheetName val="구체집계4_5x4_5徸〒_x0005__x0000_"/>
      <sheetName val="통로암거 4.5 ×4.5 토피0~3m  수량 집계표0"/>
      <sheetName val="재료비_(2)"/>
      <sheetName val="라멘기초"/>
      <sheetName val="투洬"/>
      <sheetName val="구체3_0x2_0(ﻇᇕ԰_x0000_"/>
      <sheetName val="구체3_5x3_5-8-1㔀"/>
      <sheetName val="구체3_0x2_0(㗇቎԰_x0000_"/>
      <sheetName val="구체3_0x2_0(㔀቎԰_x0000_"/>
      <sheetName val="구체집계4_5x4丵〒_x0005__x0000__x0000__x0000_"/>
      <sheetName val="접도구역경계표주丵〒"/>
      <sheetName val="구체집계3_0x2尜_x0013_層_x0013_闰〒_x0005_"/>
      <sheetName val="내역1"/>
      <sheetName val="단면설계"/>
      <sheetName val="구체집계4_5x4_5丵〒_x0005__x0000_"/>
      <sheetName val="현장경비"/>
      <sheetName val="구체집계3_0x2壸5丵⿋_x0005__x0000_"/>
      <sheetName val="변경내역"/>
      <sheetName val="구체집계3_0x2喐6嗜6丵⿄_x0005_"/>
      <sheetName val="구체집계4_5x4_5헾】_x0005__x0000_"/>
      <sheetName val="구체3_0x2_0(Ⰰ⡛琀⡛"/>
      <sheetName val="내역서(전체)"/>
      <sheetName val="예가내역서"/>
      <sheetName val="6공구(당초)"/>
      <sheetName val="지급자재缀ᨪ԰_x0000_缀"/>
      <sheetName val="지급자재ᰀ፜搀፜"/>
      <sheetName val="대비"/>
      <sheetName val="원가계산서(1공구)-헾⿆"/>
      <sheetName val="인입관수량총괄"/>
      <sheetName val="돈암사업"/>
      <sheetName val="시점교︀"/>
      <sheetName val="구체3_5x3_5-8-1 "/>
      <sheetName val="구체3_0x2_0( ⱗ氀ⱗ"/>
      <sheetName val="나.다.라.마.바.피복재 산정"/>
      <sheetName val="Back"/>
      <sheetName val="201동 산출근거"/>
      <sheetName val="구체3_0x2_0(䈀ᅪ԰_x0000_"/>
      <sheetName val="초"/>
      <sheetName val="woo(mac)"/>
      <sheetName val="현대물량"/>
      <sheetName val="중기손료"/>
      <sheetName val="기간등록"/>
      <sheetName val="상부집계표"/>
      <sheetName val="경비2내역"/>
      <sheetName val="건축수량산출"/>
      <sheetName val="단砀⫵"/>
      <sheetName val="구체3_5x3_5-8-1退"/>
      <sheetName val="98수문일위"/>
      <sheetName val="COA-17"/>
      <sheetName val="단가표 (2)"/>
      <sheetName val="수량3"/>
      <sheetName val="마스터원본"/>
      <sheetName val="Source"/>
      <sheetName val="Preface"/>
      <sheetName val="안양1공구_건축"/>
      <sheetName val="50201련박스"/>
      <sheetName val="시점부수량산출서"/>
    </sheetNames>
    <definedNames>
      <definedName name="매크로11"/>
      <definedName name="매크로4" sheetId="33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 refreshError="1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 refreshError="1"/>
      <sheetData sheetId="284" refreshError="1"/>
      <sheetData sheetId="285"/>
      <sheetData sheetId="286" refreshError="1"/>
      <sheetData sheetId="287"/>
      <sheetData sheetId="288" refreshError="1"/>
      <sheetData sheetId="289" refreshError="1"/>
      <sheetData sheetId="290" refreshError="1"/>
      <sheetData sheetId="291" refreshError="1"/>
      <sheetData sheetId="292"/>
      <sheetData sheetId="293" refreshError="1"/>
      <sheetData sheetId="294" refreshError="1"/>
      <sheetData sheetId="295" refreshError="1"/>
      <sheetData sheetId="296"/>
      <sheetData sheetId="297"/>
      <sheetData sheetId="298"/>
      <sheetData sheetId="299"/>
      <sheetData sheetId="300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/>
      <sheetData sheetId="312" refreshError="1"/>
      <sheetData sheetId="313" refreshError="1"/>
      <sheetData sheetId="314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/>
      <sheetData sheetId="393" refreshError="1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 refreshError="1"/>
      <sheetData sheetId="418"/>
      <sheetData sheetId="419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/>
      <sheetData sheetId="599"/>
      <sheetData sheetId="600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/>
      <sheetData sheetId="619" refreshError="1"/>
      <sheetData sheetId="620" refreshError="1"/>
      <sheetData sheetId="62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/>
      <sheetData sheetId="641"/>
      <sheetData sheetId="642" refreshError="1"/>
      <sheetData sheetId="643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/>
      <sheetData sheetId="703"/>
      <sheetData sheetId="704"/>
      <sheetData sheetId="705"/>
      <sheetData sheetId="706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/>
      <sheetData sheetId="873"/>
      <sheetData sheetId="874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/>
      <sheetData sheetId="911" refreshError="1"/>
      <sheetData sheetId="912" refreshError="1"/>
      <sheetData sheetId="913" refreshError="1"/>
      <sheetData sheetId="914" refreshError="1"/>
      <sheetData sheetId="915"/>
      <sheetData sheetId="916" refreshError="1"/>
      <sheetData sheetId="91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노임-물가"/>
      <sheetName val="중기산출근거"/>
      <sheetName val="단가산출"/>
      <sheetName val="호표"/>
      <sheetName val="산근"/>
      <sheetName val="공사비"/>
      <sheetName val="건축내역"/>
      <sheetName val="유입량"/>
      <sheetName val="#REF"/>
      <sheetName val="1,2공구원가계산서"/>
      <sheetName val="2공구산출내역"/>
      <sheetName val="1공구산출내역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8">
          <cell r="C48">
            <v>320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gCode"/>
      <sheetName val="메인메뉴"/>
      <sheetName val="1.인구현황"/>
      <sheetName val="Variables"/>
      <sheetName val="hid_1.인구현황"/>
      <sheetName val="sum_인구현황"/>
      <sheetName val="sum_양식장현황"/>
      <sheetName val="sum_토지이용현황"/>
      <sheetName val="sum_농약및비료현황"/>
      <sheetName val="sum_생활용수공급현황 "/>
      <sheetName val="sum_공업용수공급현황"/>
      <sheetName val="sum_산업현황"/>
      <sheetName val="sum_축산현황"/>
    </sheetNames>
    <sheetDataSet>
      <sheetData sheetId="0">
        <row r="102">
          <cell r="B102" t="str">
            <v>금천동</v>
          </cell>
        </row>
        <row r="103">
          <cell r="B103" t="str">
            <v>남문로1가</v>
          </cell>
        </row>
        <row r="104">
          <cell r="B104" t="str">
            <v>남문로2가</v>
          </cell>
        </row>
        <row r="105">
          <cell r="B105" t="str">
            <v>남주동</v>
          </cell>
        </row>
        <row r="106">
          <cell r="B106" t="str">
            <v>내덕동</v>
          </cell>
        </row>
        <row r="107">
          <cell r="B107" t="str">
            <v>대성동</v>
          </cell>
        </row>
        <row r="108">
          <cell r="B108" t="str">
            <v>명암동</v>
          </cell>
        </row>
        <row r="109">
          <cell r="B109" t="str">
            <v>문화동</v>
          </cell>
        </row>
        <row r="110">
          <cell r="B110" t="str">
            <v>방서동</v>
          </cell>
        </row>
        <row r="111">
          <cell r="B111" t="str">
            <v>북문로1가</v>
          </cell>
        </row>
        <row r="112">
          <cell r="B112" t="str">
            <v>북문로2가</v>
          </cell>
        </row>
        <row r="113">
          <cell r="B113" t="str">
            <v>북문로3가</v>
          </cell>
        </row>
        <row r="114">
          <cell r="B114" t="str">
            <v>사천동</v>
          </cell>
        </row>
        <row r="115">
          <cell r="B115" t="str">
            <v>산성동</v>
          </cell>
        </row>
        <row r="116">
          <cell r="B116" t="str">
            <v>서문동</v>
          </cell>
        </row>
        <row r="117">
          <cell r="B117" t="str">
            <v>서운동</v>
          </cell>
        </row>
        <row r="118">
          <cell r="B118" t="str">
            <v>석교동</v>
          </cell>
        </row>
        <row r="119">
          <cell r="B119" t="str">
            <v>수동</v>
          </cell>
        </row>
        <row r="120">
          <cell r="B120" t="str">
            <v>영동</v>
          </cell>
        </row>
        <row r="121">
          <cell r="B121" t="str">
            <v>영운동</v>
          </cell>
        </row>
        <row r="122">
          <cell r="B122" t="str">
            <v>오동동</v>
          </cell>
        </row>
        <row r="123">
          <cell r="B123" t="str">
            <v>외남동</v>
          </cell>
        </row>
        <row r="124">
          <cell r="B124" t="str">
            <v>외평동</v>
          </cell>
        </row>
        <row r="125">
          <cell r="B125" t="str">
            <v>외하동</v>
          </cell>
        </row>
        <row r="126">
          <cell r="B126" t="str">
            <v>용담동</v>
          </cell>
        </row>
        <row r="127">
          <cell r="B127" t="str">
            <v>용암동</v>
          </cell>
        </row>
        <row r="128">
          <cell r="B128" t="str">
            <v>용정동</v>
          </cell>
        </row>
        <row r="129">
          <cell r="B129" t="str">
            <v>우암동</v>
          </cell>
        </row>
        <row r="130">
          <cell r="B130" t="str">
            <v>운동동</v>
          </cell>
        </row>
        <row r="131">
          <cell r="B131" t="str">
            <v>월오동</v>
          </cell>
        </row>
        <row r="132">
          <cell r="B132" t="str">
            <v>율량동</v>
          </cell>
        </row>
        <row r="133">
          <cell r="B133" t="str">
            <v>정북동</v>
          </cell>
        </row>
        <row r="134">
          <cell r="B134" t="str">
            <v>정상동</v>
          </cell>
        </row>
        <row r="135">
          <cell r="B135" t="str">
            <v>정하동</v>
          </cell>
        </row>
        <row r="136">
          <cell r="B136" t="str">
            <v>주성동</v>
          </cell>
        </row>
        <row r="137">
          <cell r="B137" t="str">
            <v>주중동</v>
          </cell>
        </row>
        <row r="138">
          <cell r="B138" t="str">
            <v>지북동</v>
          </cell>
        </row>
        <row r="139">
          <cell r="B139" t="str">
            <v>탑동</v>
          </cell>
        </row>
        <row r="140">
          <cell r="B140" t="str">
            <v>평촌동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계경비"/>
      <sheetName val="수량산출"/>
      <sheetName val="단면가정"/>
      <sheetName val="맨홀"/>
      <sheetName val="A LINE"/>
      <sheetName val="사각맨홀"/>
      <sheetName val="주차구획선수량"/>
      <sheetName val="대치판정"/>
      <sheetName val="날개벽수량표"/>
      <sheetName val="준검 내역서"/>
      <sheetName val="1.설계조건"/>
      <sheetName val="기초자료"/>
      <sheetName val="DATE"/>
      <sheetName val="입력값"/>
      <sheetName val="설계기준 및 하중계산"/>
      <sheetName val="노임단가"/>
      <sheetName val="맨홀수량"/>
      <sheetName val="포장공자재집계표"/>
      <sheetName val="집계표"/>
      <sheetName val="#REF"/>
      <sheetName val="6PILE  (돌출)"/>
      <sheetName val="터파기및재료"/>
      <sheetName val="토사(PE)"/>
      <sheetName val="관접합및부설"/>
      <sheetName val="총괄-1"/>
      <sheetName val="전체"/>
      <sheetName val="신우"/>
      <sheetName val=" 총괄표"/>
      <sheetName val="신공항A-9(원가수정)"/>
      <sheetName val="대로근거"/>
      <sheetName val="일위대가(가설)"/>
      <sheetName val="지구단위계획"/>
      <sheetName val="산근1(인건비)"/>
      <sheetName val="지장물C"/>
      <sheetName val="한강운반비"/>
      <sheetName val="DATA"/>
      <sheetName val="단위수량"/>
      <sheetName val="표지"/>
      <sheetName val="불인산반응조산근"/>
      <sheetName val="Sheet1"/>
      <sheetName val="TYPE-A"/>
      <sheetName val="코드표"/>
      <sheetName val="ABUT수량-A1"/>
      <sheetName val="평균터파기고(1-2,ASP)"/>
      <sheetName val="wall"/>
      <sheetName val="앵커구조계산"/>
      <sheetName val="주요측점"/>
      <sheetName val="데리네이타현황"/>
      <sheetName val="내역서"/>
      <sheetName val="자재단가"/>
      <sheetName val="A-4"/>
      <sheetName val="연습"/>
      <sheetName val="단가산출서(기계)"/>
      <sheetName val="토공정보"/>
      <sheetName val="조건표"/>
      <sheetName val="Sheet1 (2)"/>
      <sheetName val="옹벽수량집계"/>
      <sheetName val="4)유동표"/>
    </sheetNames>
    <sheetDataSet>
      <sheetData sheetId="0" refreshError="1">
        <row r="61">
          <cell r="J61" t="str">
            <v>에어호스(3/4inch)  19mm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1.설계조건 "/>
      <sheetName val="설계기준설명"/>
      <sheetName val="총괄표"/>
      <sheetName val="2.단면가정 (BASE)"/>
      <sheetName val="2.단면가정  (2)"/>
      <sheetName val="2.단면가정  (3)"/>
      <sheetName val="2.단면가정  (4)"/>
      <sheetName val="2.단면가정  (5)"/>
      <sheetName val="2.단면가정  (6)"/>
      <sheetName val="3.하중및토압(탄성,가동)"/>
      <sheetName val="4.하중 5.안정검토(가동)(탄성)"/>
      <sheetName val="3.하중및토압 (고정)"/>
      <sheetName val="4.하중 5.안정검토(고정)"/>
      <sheetName val="6.벽체계산"/>
      <sheetName val="7.흉벽계산(구식)"/>
      <sheetName val="7.흉벽계산(ASCON)"/>
      <sheetName val="7.흉벽계산(CON)"/>
      <sheetName val="8.PILE (원지반)"/>
      <sheetName val="8.PILE  (돌출)"/>
      <sheetName val="두부보강(허용)"/>
      <sheetName val="9.FOOTING(2)"/>
      <sheetName val="9.FOOTING(3)"/>
      <sheetName val="9.FOOTING(4)"/>
      <sheetName val="9.FOOTING(5)"/>
      <sheetName val="9.FOOTING(6)"/>
      <sheetName val="10.날개벽 (A)"/>
      <sheetName val="10.날개벽(B)"/>
      <sheetName val="10.날개벽 (C)"/>
      <sheetName val="11.고정슈교좌면검토"/>
      <sheetName val="11.가동슈교좌면검토 "/>
      <sheetName val="11.탄성슈교좌면검토 "/>
      <sheetName val="12.접속슬라브CON) "/>
      <sheetName val="12.접속슬라브(ASCON)"/>
      <sheetName val="주철근조립도"/>
      <sheetName val="Sheet3"/>
      <sheetName val="Sheet1"/>
      <sheetName val="수량명세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토사(PE)"/>
      <sheetName val="SHIN"/>
    </sheetNames>
    <definedNames>
      <definedName name="Macro1"/>
    </defined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관경고용테이프수집"/>
      <sheetName val="관경고용산근"/>
      <sheetName val="표지"/>
      <sheetName val="1.토총"/>
      <sheetName val="토적"/>
      <sheetName val="가정오수"/>
      <sheetName val="2.관로집"/>
      <sheetName val="관부설"/>
      <sheetName val="가정연결"/>
      <sheetName val="3.구조물집계"/>
      <sheetName val="맨홀높이"/>
      <sheetName val="맨홀2"/>
      <sheetName val="4.포장공"/>
      <sheetName val="관로"/>
      <sheetName val="가정연결관"/>
      <sheetName val="5.부대공"/>
      <sheetName val="(1)가시설공"/>
      <sheetName val="(2)경고"/>
      <sheetName val="(3)기타"/>
      <sheetName val="6.주요자재대"/>
      <sheetName val="7.폐기물"/>
      <sheetName val="왕십리방향"/>
      <sheetName val="중부"/>
      <sheetName val="북부"/>
      <sheetName val="남부"/>
      <sheetName val="summary"/>
      <sheetName val="chart"/>
      <sheetName val="chart update"/>
      <sheetName val="남평1"/>
      <sheetName val="남평2"/>
      <sheetName val="남평3"/>
      <sheetName val="회동1"/>
      <sheetName val="회동2"/>
      <sheetName val="회동3"/>
      <sheetName val="회동4"/>
      <sheetName val="이월도표"/>
      <sheetName val="추적+궁합"/>
      <sheetName val="로또정석"/>
      <sheetName val="최근21회정석"/>
      <sheetName val="당첨금"/>
      <sheetName val="로또그림"/>
      <sheetName val="로또용어"/>
      <sheetName val="로또abc"/>
      <sheetName val="로또10계명"/>
      <sheetName val="Sheet7"/>
      <sheetName val="Sheet6"/>
      <sheetName val="Sheet5"/>
      <sheetName val="Sheet4"/>
      <sheetName val="Sheet3 (2)"/>
      <sheetName val="집수정(600-700)"/>
      <sheetName val="5.배수관로"/>
      <sheetName val="간지"/>
      <sheetName val="주요자재"/>
      <sheetName val="폐기물처리"/>
      <sheetName val="기기리스트"/>
      <sheetName val="3구조물공간지"/>
      <sheetName val="1집계표간지"/>
      <sheetName val="구조물공집계표"/>
      <sheetName val="토공집계표"/>
      <sheetName val="2여과지"/>
      <sheetName val="여과지집계표"/>
      <sheetName val="여과지"/>
      <sheetName val="여과지토적표"/>
      <sheetName val="3배수지"/>
      <sheetName val="배수지집계표"/>
      <sheetName val="배수지"/>
      <sheetName val="배수지토적표"/>
      <sheetName val="4염소투입실"/>
      <sheetName val="염소투입실집계표"/>
      <sheetName val="염소투입실공사"/>
      <sheetName val="자재총괄"/>
      <sheetName val="시멘트레미콘구입량"/>
      <sheetName val="골재구입량"/>
      <sheetName val="지장물보호(수집)"/>
      <sheetName val="지장물산근"/>
      <sheetName val="지장물보호공단위수량"/>
      <sheetName val="3.2 3차처리시설"/>
      <sheetName val="자재집계"/>
      <sheetName val="설비동집계표-전체"/>
      <sheetName val="설비동집계"/>
      <sheetName val="설비동산근"/>
      <sheetName val="불인산저장조집계"/>
      <sheetName val="설비동-불인산저장조"/>
      <sheetName val="자재집계표"/>
      <sheetName val="주요자재집계표"/>
      <sheetName val="토공"/>
      <sheetName val="총괄토공집계"/>
      <sheetName val="시점부토공"/>
      <sheetName val="종점부토공"/>
      <sheetName val="교각토공"/>
      <sheetName val="총괄집계 "/>
      <sheetName val="총괄철근집계(1)"/>
      <sheetName val="총괄철근집계(2)"/>
      <sheetName val="구조물공"/>
      <sheetName val="본체집계"/>
      <sheetName val="본체철근집계"/>
      <sheetName val="날개벽철근집계 "/>
      <sheetName val="본체그림"/>
      <sheetName val="본체수량"/>
      <sheetName val="접속슬래브집계"/>
      <sheetName val="접속(시점)"/>
      <sheetName val="접속(종점)"/>
      <sheetName val="VXXXXX"/>
      <sheetName val="방음벽수량"/>
      <sheetName val="방음벽기초수량"/>
      <sheetName val="방음벽설치현황"/>
      <sheetName val="단위수량"/>
      <sheetName val="가설방음판넬"/>
      <sheetName val="가설방진망"/>
      <sheetName val="세륜세차시설"/>
      <sheetName val="가도수량집계"/>
      <sheetName val="가도토공"/>
      <sheetName val="가도포장수량집계표"/>
      <sheetName val="가포장조서"/>
      <sheetName val="가도단위수량"/>
      <sheetName val="가배수관"/>
      <sheetName val="골재덮개시설"/>
      <sheetName val="준공표지판집계"/>
      <sheetName val="경계표주집계(X)"/>
      <sheetName val="경계수량(X)"/>
      <sheetName val="경계표주단위수량(X)"/>
      <sheetName val="기존도로유지관리비"/>
      <sheetName val="식재공"/>
      <sheetName val="산림복구비"/>
      <sheetName val="가설건물"/>
      <sheetName val="가옥철거조서"/>
      <sheetName val="자재집계산출"/>
      <sheetName val="총괄집계표"/>
      <sheetName val="재료집계표"/>
      <sheetName val="몰탈집계표"/>
      <sheetName val="포장집계표"/>
      <sheetName val="본선부집계"/>
      <sheetName val="TYPE별조서"/>
      <sheetName val="본선부산출"/>
      <sheetName val="진입부보도집계"/>
      <sheetName val="진입보도산출"/>
      <sheetName val="접속도로집계"/>
      <sheetName val="진입로집계"/>
      <sheetName val="진입로"/>
      <sheetName val="점자블럭집계"/>
      <sheetName val="점자블럭산출"/>
      <sheetName val="공제량집계"/>
      <sheetName val="공제량"/>
      <sheetName val="경계석총집계"/>
      <sheetName val="보차도수량집계"/>
      <sheetName val="보차도경계조서"/>
      <sheetName val="보차도산출"/>
      <sheetName val="도로경계석집계"/>
      <sheetName val="도로경계조서"/>
      <sheetName val="도로경계산출"/>
      <sheetName val="1.토공집계"/>
      <sheetName val="2.관대집계표"/>
      <sheetName val="접합"/>
      <sheetName val="3.구조물공"/>
      <sheetName val="7.폐기물집계"/>
      <sheetName val="토실"/>
      <sheetName val="VXXX"/>
      <sheetName val="Recovered_Sheet1"/>
      <sheetName val="관로공집계"/>
      <sheetName val="수밀검사조서"/>
      <sheetName val="본관조서(PVC)"/>
      <sheetName val="PVC접합개소 산출서"/>
      <sheetName val="PVC이중벽관D300집계"/>
      <sheetName val="PVC이중벽관D300집계-OPEN"/>
      <sheetName val="PVCDC300단위집계-OPEN"/>
      <sheetName val="PVCDC300단위수량-OPEN"/>
      <sheetName val="PVC이중벽관D300집계-가설흙막이"/>
      <sheetName val="PVCDC300단위집계-가설흙막이"/>
      <sheetName val="PVCDC300단위수량-가설흙막이"/>
      <sheetName val="전체맨홀집계"/>
      <sheetName val="원형1호맨홀집계표"/>
      <sheetName val="오수맨홀조서"/>
      <sheetName val="원형1맨홀(무근)집계표"/>
      <sheetName val="원형1호맨홀(철근)집계표"/>
      <sheetName val="오수원형1호맨홀단위집계"/>
      <sheetName val="오수원형맨홀1호"/>
      <sheetName val="원형1호맨홀(철근)단위수량집계"/>
      <sheetName val="원형1호맨홀(철근)단위수량"/>
      <sheetName val="고양관재"/>
      <sheetName val="원형맨홀수량"/>
      <sheetName val="음봉방향"/>
      <sheetName val="ABUT수량-A1"/>
      <sheetName val="대치판정"/>
      <sheetName val="지수"/>
      <sheetName val="총괄내역서"/>
      <sheetName val="SG"/>
      <sheetName val="연결관산출조서"/>
      <sheetName val="슬래브"/>
      <sheetName val="군남내역서"/>
      <sheetName val="조명시설"/>
      <sheetName val="데이타"/>
      <sheetName val="우수공"/>
      <sheetName val="원형1호맨홀토공수량"/>
      <sheetName val="일위대가(계측기설치)"/>
      <sheetName val="단위수량산출"/>
      <sheetName val="guard(mac)"/>
      <sheetName val="INTRO."/>
      <sheetName val="터파기및재료"/>
      <sheetName val="#REF"/>
      <sheetName val="1.설계조건"/>
      <sheetName val="단위수량(출력X)"/>
      <sheetName val="수량집계"/>
      <sheetName val="노무비"/>
      <sheetName val="장비집계"/>
      <sheetName val="Sheet1"/>
      <sheetName val="안전시설(수집)"/>
      <sheetName val="안전시설"/>
      <sheetName val="차액보증"/>
      <sheetName val="세부내역"/>
      <sheetName val="일위대가"/>
      <sheetName val="조견표"/>
      <sheetName val="기계경비(일반)"/>
      <sheetName val="산출근거(마산, 만천, 가례)"/>
      <sheetName val="산출근거(남강)"/>
      <sheetName val="산출근거(가설도로 조성)"/>
      <sheetName val="산출근거(가설도로 성토다짐)"/>
      <sheetName val="산출근거(가설도로 살수)"/>
      <sheetName val="산출근거(가설도로 유지보수)"/>
      <sheetName val="자재단가(완)"/>
      <sheetName val="노임단가(완)"/>
      <sheetName val="일위대가_목록"/>
      <sheetName val="일위대가(노임수정(완), 자재 및 물린단산수정필요)"/>
      <sheetName val="2007기계경비산출표(완)"/>
      <sheetName val="단가산출_목록"/>
      <sheetName val="단가산출서"/>
      <sheetName val="시험비 단가"/>
      <sheetName val="내역서"/>
      <sheetName val="일반화물자동차운임"/>
      <sheetName val="식재"/>
      <sheetName val="시설물"/>
      <sheetName val="식재출력용"/>
      <sheetName val="유지관리"/>
      <sheetName val="단가"/>
      <sheetName val="변수값"/>
      <sheetName val="중기상차"/>
      <sheetName val="AS복구"/>
      <sheetName val="중기터파기"/>
      <sheetName val="진주방향"/>
      <sheetName val="지장물보호공"/>
      <sheetName val="사다리-C"/>
      <sheetName val="상수가스보호"/>
      <sheetName val="통신보호"/>
      <sheetName val="전주지지대"/>
      <sheetName val="L형측구(화강석)"/>
      <sheetName val="L형측구(콘크리트)"/>
      <sheetName val="관보호공단위수량표"/>
      <sheetName val="오수받이뚜껑단위수량"/>
      <sheetName val="석축"/>
      <sheetName val="토공유용계획"/>
      <sheetName val="유입관로집계"/>
      <sheetName val="유입관로토적"/>
      <sheetName val="처리장집계"/>
      <sheetName val="처리장토적"/>
      <sheetName val="진입도로토적"/>
      <sheetName val="신당동집계표"/>
      <sheetName val="신당동산출근거"/>
      <sheetName val="공사설명서"/>
      <sheetName val="천방교접속"/>
      <sheetName val="대포2교접속"/>
      <sheetName val="bearing"/>
      <sheetName val="연동내역"/>
      <sheetName val="SPEC"/>
      <sheetName val="수압시험수집"/>
      <sheetName val="수압시험산근"/>
      <sheetName val="DATA"/>
      <sheetName val="수량산출"/>
      <sheetName val="BID"/>
      <sheetName val="노임단가"/>
      <sheetName val="일위대가표"/>
      <sheetName val="기본단가표"/>
      <sheetName val="마산방향"/>
      <sheetName val="마산방향철근집계"/>
      <sheetName val="일위대가목차"/>
      <sheetName val="교대"/>
      <sheetName val="HVAC"/>
      <sheetName val="맨홀수량"/>
      <sheetName val="수목표준대가"/>
      <sheetName val="tggwan(mac)"/>
      <sheetName val="S0"/>
      <sheetName val="견적대비표"/>
      <sheetName val="부대내역"/>
      <sheetName val="산출근거"/>
      <sheetName val="CAL"/>
      <sheetName val="제출내역 (2)"/>
      <sheetName val="계수시트"/>
      <sheetName val="원가계산서"/>
      <sheetName val="bm(CIcable)"/>
      <sheetName val="5.소재"/>
      <sheetName val="토사(PE)"/>
      <sheetName val="공토공단위당"/>
      <sheetName val="A LINE"/>
      <sheetName val="종배수관"/>
      <sheetName val="7단가"/>
      <sheetName val="설비"/>
      <sheetName val="제품"/>
      <sheetName val="횡배수관재료-"/>
      <sheetName val="계산서(직선부)"/>
      <sheetName val="포장재료집계표"/>
      <sheetName val="콘크리트측구연장"/>
      <sheetName val="포장공"/>
      <sheetName val="-몰탈콘크리트"/>
      <sheetName val="-배수구조물공토공"/>
      <sheetName val="토공정보"/>
      <sheetName val="교각1"/>
      <sheetName val="예산명세서"/>
      <sheetName val="설계명세서"/>
      <sheetName val="자료입력"/>
      <sheetName val="용량(1-2)"/>
      <sheetName val="노무단가"/>
      <sheetName val="입찰"/>
      <sheetName val="현경"/>
      <sheetName val="STEEL BOX 단면설계(SEC.8)"/>
      <sheetName val="설계조건"/>
      <sheetName val="(A)내역서"/>
      <sheetName val="공비대비"/>
      <sheetName val="산출내역서집계표"/>
      <sheetName val="1공구"/>
      <sheetName val="가도공"/>
      <sheetName val="전기공사"/>
      <sheetName val="8.PILE  (돌출)"/>
      <sheetName val="산근1,2"/>
      <sheetName val="기계경비"/>
      <sheetName val="기둥(원형)"/>
      <sheetName val="건축내역"/>
      <sheetName val="용집"/>
      <sheetName val="토목"/>
      <sheetName val="JUCKEYK"/>
      <sheetName val="구의33고"/>
      <sheetName val="전기"/>
      <sheetName val="기계상세"/>
      <sheetName val="코드표"/>
      <sheetName val="남양주부대"/>
      <sheetName val="INFO"/>
      <sheetName val="뚝토공"/>
      <sheetName val="보차도경계석"/>
      <sheetName val="수안보-MBR1"/>
      <sheetName val="집계표"/>
      <sheetName val="CABLE SIZE-3"/>
      <sheetName val="경계석"/>
      <sheetName val="노임"/>
      <sheetName val="연결관암거"/>
      <sheetName val="(전기)설계예산서"/>
      <sheetName val="SLAB&quot;1&quot;"/>
      <sheetName val="SE-611"/>
      <sheetName val="3BL공동구 수량"/>
      <sheetName val="구분표"/>
      <sheetName val="시점부교대"/>
      <sheetName val="일위목록"/>
      <sheetName val="요율"/>
      <sheetName val="투찰가"/>
      <sheetName val="목포방향"/>
      <sheetName val="TYPE-A"/>
      <sheetName val="3.바닥판설계"/>
      <sheetName val="금액내역서"/>
      <sheetName val="원가입력"/>
      <sheetName val="static.cal"/>
      <sheetName val="상부수량(1)"/>
      <sheetName val="내역서(기계)"/>
      <sheetName val="인건비 "/>
      <sheetName val="INPUT"/>
      <sheetName val="우각부보강"/>
      <sheetName val="G.R300경비"/>
      <sheetName val="단가조사"/>
      <sheetName val="4차원가계산서"/>
      <sheetName val="합계금액"/>
      <sheetName val="깨기"/>
      <sheetName val="3지구단위"/>
      <sheetName val="지구단위계획"/>
      <sheetName val="DAN"/>
      <sheetName val="6PILE  (돌출)"/>
      <sheetName val="TYPE-1"/>
      <sheetName val="입찰안"/>
      <sheetName val="상수도토공집계표"/>
      <sheetName val="공사개요"/>
      <sheetName val="대로근거"/>
      <sheetName val="중로근거"/>
      <sheetName val="gvl"/>
      <sheetName val="당초계약"/>
      <sheetName val="인건비"/>
      <sheetName val="등록자료"/>
      <sheetName val="날개벽"/>
      <sheetName val="평균터파기고(1-2,ASP)"/>
      <sheetName val="교각(P1)수량"/>
      <sheetName val="RangeObject"/>
      <sheetName val="기둥"/>
      <sheetName val="저판(버림100)"/>
      <sheetName val="자재단가"/>
      <sheetName val="대가수량"/>
      <sheetName val="말뚝지지력산정"/>
      <sheetName val="Sheet17"/>
      <sheetName val="2000전체분"/>
      <sheetName val="2000년1차"/>
      <sheetName val="견적사양비교표"/>
      <sheetName val="CABdata"/>
      <sheetName val="횡배수관"/>
      <sheetName val="설계서을"/>
      <sheetName val="내역(정지)"/>
      <sheetName val="계정"/>
      <sheetName val="수로단위수량"/>
      <sheetName val="제수변수량"/>
      <sheetName val="공기변수량"/>
      <sheetName val="공통가설"/>
      <sheetName val="COVER"/>
      <sheetName val="일위대가(가설)"/>
      <sheetName val="EQT-ESTN"/>
      <sheetName val="6공구(당초)"/>
      <sheetName val="일위대가(목록)"/>
      <sheetName val="산근(목록)"/>
      <sheetName val="재료비"/>
      <sheetName val="이형관중량"/>
      <sheetName val="1-1평균터파기고(1)"/>
      <sheetName val="실행철강하도"/>
      <sheetName val="수량산출서"/>
      <sheetName val="견적서-을지"/>
      <sheetName val="CODE"/>
      <sheetName val="기본자료"/>
      <sheetName val="공사비"/>
      <sheetName val="1호인버트수량"/>
      <sheetName val="기계경비(시간당)"/>
      <sheetName val="노견단위수량"/>
      <sheetName val="광양 3기 유입수"/>
      <sheetName val="내역서변경성원"/>
      <sheetName val="Total"/>
      <sheetName val="매설지선굴착"/>
      <sheetName val="기초자료"/>
      <sheetName val="인건-측정"/>
      <sheetName val="11.우각부 보강"/>
      <sheetName val="물가시세"/>
      <sheetName val="내역"/>
      <sheetName val="목차"/>
      <sheetName val="총괄표 "/>
      <sheetName val="1.재료집계"/>
      <sheetName val="재료집계표(1)"/>
      <sheetName val="2.토공"/>
      <sheetName val="토공수량집계표"/>
      <sheetName val="토적집계표"/>
      <sheetName val="A-LINE"/>
      <sheetName val="B-LINE"/>
      <sheetName val="C-LINE"/>
      <sheetName val="D-LINE"/>
      <sheetName val="E-LINE"/>
      <sheetName val="처리장토공"/>
      <sheetName val="맨홀깨기수량산출"/>
      <sheetName val="PE정화조철거수량산출"/>
      <sheetName val="3.오수관로공"/>
      <sheetName val="관로공재료집계"/>
      <sheetName val="하수관로수량산출"/>
      <sheetName val="하수관연장조서"/>
      <sheetName val="가정하수관수량산출"/>
      <sheetName val="터파기표준토공(비포장)"/>
      <sheetName val="터파기표준토공(콘크리트)"/>
      <sheetName val="터파기표준토공(ASP)"/>
      <sheetName val="터파기표준토공(비포장) (2)"/>
      <sheetName val="터파기표준토공(콘크리트) (2)"/>
      <sheetName val="소행맨홀토공단위수량"/>
      <sheetName val="가정하수관조서"/>
      <sheetName val="가정하수관토공조서"/>
      <sheetName val="가정하수관토공조서 (2)"/>
      <sheetName val="4.구조물공"/>
      <sheetName val="구조물공재료집계표"/>
      <sheetName val="구조물공수량집계표"/>
      <sheetName val="1)옹벽수량산출(H=2.5)"/>
      <sheetName val="옹벽단위수량(2.5)"/>
      <sheetName val="옹벽설치조서"/>
      <sheetName val="맨홀토공수량산출"/>
      <sheetName val="1호맨홀(비포장)"/>
      <sheetName val="1호맨홀(비포장,변경)"/>
      <sheetName val="1호맨홀(콘크리트)"/>
      <sheetName val="1호맨홀(콘크리트,변경)"/>
      <sheetName val="1호맨홀(아스콘덧씌우기)"/>
      <sheetName val="1호맨홀(아스콘덧씌우기,변경)"/>
      <sheetName val="맨홀조서"/>
      <sheetName val="관보호콘크리트수량산출"/>
      <sheetName val="환기구수량산출"/>
      <sheetName val="담장수량산출"/>
      <sheetName val="5.포장공"/>
      <sheetName val="포장공재료집계표"/>
      <sheetName val="ASP포장수량산출"/>
      <sheetName val="콘크리트포장수량산출"/>
      <sheetName val="포장복구면적"/>
      <sheetName val="콘크리트포장"/>
      <sheetName val="6.부대공"/>
      <sheetName val="부대공"/>
      <sheetName val="7.L형옹벽식측구및기타"/>
      <sheetName val="측구집계표"/>
      <sheetName val="측구토공"/>
      <sheetName val="L형옹벽측구"/>
      <sheetName val="L형측구"/>
      <sheetName val="U형플륨관"/>
      <sheetName val="우수수량산출"/>
      <sheetName val="다이크"/>
      <sheetName val="흙막이"/>
      <sheetName val="맨홀방수"/>
      <sheetName val="공사비예산서(토목분)"/>
      <sheetName val="APT"/>
      <sheetName val="지급자재"/>
      <sheetName val="식재가격"/>
      <sheetName val="식재총괄"/>
      <sheetName val="내역서-2"/>
      <sheetName val="C3"/>
      <sheetName val="원가"/>
      <sheetName val="1련박스"/>
      <sheetName val="흄관기초"/>
      <sheetName val="MOTOR"/>
      <sheetName val="SLAB"/>
      <sheetName val="TIE-IN"/>
      <sheetName val="남평내역"/>
      <sheetName val="조건표"/>
      <sheetName val="2021용량계산"/>
      <sheetName val="INPUT-DATA"/>
      <sheetName val="관접합및부설"/>
      <sheetName val="배수공총괄 집계표(횡)"/>
      <sheetName val="보차도경계석집계표(종)"/>
      <sheetName val="보차도경계석 조서"/>
      <sheetName val="보차도경계석단위량"/>
      <sheetName val="경계석집계표(종)"/>
      <sheetName val="경계석단위량"/>
      <sheetName val="배수집계표(종)"/>
      <sheetName val="빗물받이집계"/>
      <sheetName val="빗물받이조서"/>
      <sheetName val="빗물받이단위량"/>
      <sheetName val="맨홀집계표 "/>
      <sheetName val="맨홀단위량"/>
      <sheetName val="구조물철거타공정이월"/>
      <sheetName val="레미콘"/>
      <sheetName val="pe이중벽관"/>
      <sheetName val="pe이중벽관 (우수)"/>
      <sheetName val="D100관"/>
      <sheetName val="D16"/>
      <sheetName val="D20"/>
      <sheetName val="D25"/>
      <sheetName val="D50"/>
      <sheetName val="D75,D100"/>
      <sheetName val="단가일람"/>
      <sheetName val="조경일람"/>
      <sheetName val="내역서(전기)"/>
      <sheetName val="해평견적"/>
      <sheetName val="삭제및변경불가"/>
      <sheetName val="관급자재대"/>
      <sheetName val="데리네이타현황"/>
      <sheetName val="전차선로 물량표"/>
      <sheetName val="한강운반비"/>
      <sheetName val="자재"/>
      <sheetName val="정부노임단가"/>
      <sheetName val="원가계산"/>
      <sheetName val="원가계산 (2)"/>
      <sheetName val="1-4-2.관(약)"/>
      <sheetName val="고압수량(철거)"/>
      <sheetName val="식재인부"/>
      <sheetName val="공종"/>
      <sheetName val="계산서(곡선부)"/>
      <sheetName val="우수받이"/>
      <sheetName val="Sheet1 (2)"/>
      <sheetName val="5.정산서"/>
      <sheetName val="법면단"/>
      <sheetName val="석축설면"/>
      <sheetName val="법면설면"/>
      <sheetName val="석축단"/>
      <sheetName val="법면수집"/>
      <sheetName val="토공 total"/>
      <sheetName val="금액"/>
      <sheetName val="설계내역"/>
      <sheetName val="BD"/>
      <sheetName val="기초입력 DATA"/>
      <sheetName val="P-산#1-1(WOWA1)"/>
      <sheetName val="증감내역서"/>
      <sheetName val="총괄내역서(설계)"/>
      <sheetName val="우배수"/>
      <sheetName val="계산식"/>
      <sheetName val="차수별내역서"/>
      <sheetName val="수지표"/>
      <sheetName val="셀명"/>
      <sheetName val="공사"/>
      <sheetName val="공통(20-91)"/>
      <sheetName val="-치수표(곡선부)"/>
      <sheetName val="상부집계표"/>
      <sheetName val="개산공사비"/>
      <sheetName val="실행대비"/>
      <sheetName val="JUCK"/>
      <sheetName val="램머"/>
      <sheetName val="잡철물"/>
      <sheetName val="플랜트 설치"/>
      <sheetName val="변경내역"/>
      <sheetName val="Data&amp;Result"/>
      <sheetName val="MSG 수량"/>
      <sheetName val="구천"/>
      <sheetName val="9GNG운반"/>
      <sheetName val="입력자료(노무비)"/>
      <sheetName val="시설일위"/>
      <sheetName val="PIPE"/>
      <sheetName val="현장관리비"/>
      <sheetName val="단면가정"/>
      <sheetName val="000 단가"/>
      <sheetName val="우수"/>
      <sheetName val="수량-양식"/>
      <sheetName val="맨홀수량산출"/>
      <sheetName val="가감수량"/>
      <sheetName val="유입량"/>
      <sheetName val="화재 탐지 설비"/>
      <sheetName val="IW-LIST"/>
      <sheetName val="공정계획(내부계획25%,내부w.f)"/>
      <sheetName val="S-F4301"/>
      <sheetName val="activity"/>
      <sheetName val="부재력정리"/>
      <sheetName val="steel data sheet"/>
      <sheetName val="실행내역"/>
      <sheetName val="SEISMIC"/>
      <sheetName val="수입"/>
      <sheetName val="Turki"/>
      <sheetName val="1.2 Staff Schedule"/>
      <sheetName val="총원가.24"/>
      <sheetName val="WIND"/>
      <sheetName val="BCPAB"/>
      <sheetName val="CALCULATION"/>
      <sheetName val="COST"/>
      <sheetName val="콘_재료분리(1)"/>
      <sheetName val="총괄"/>
      <sheetName val="단가산출"/>
      <sheetName val="4)유동표"/>
      <sheetName val="A 견적"/>
      <sheetName val="96노임기준"/>
      <sheetName val="Sheet2"/>
      <sheetName val="MYUN(MAC)"/>
      <sheetName val="VXXXXXXX"/>
      <sheetName val="품셈TABLE"/>
      <sheetName val="전체철근집계"/>
      <sheetName val="4.장비손료"/>
      <sheetName val="가시설(TYPE-A)"/>
      <sheetName val="SORCE1"/>
      <sheetName val="cable-data"/>
      <sheetName val="SILICATE"/>
      <sheetName val="토 적 표"/>
      <sheetName val="woo(mac)"/>
      <sheetName val="도장수량(하1)"/>
      <sheetName val="주형"/>
      <sheetName val="표층포설및다짐"/>
      <sheetName val="RPF_일반수량(35m)"/>
      <sheetName val="1_토총"/>
      <sheetName val="2_관로집"/>
      <sheetName val="3_구조물집계"/>
      <sheetName val="4_포장공"/>
      <sheetName val="5_부대공"/>
      <sheetName val="6_주요자재대"/>
      <sheetName val="7_폐기물"/>
      <sheetName val="1_설계조건"/>
      <sheetName val="5_소재"/>
      <sheetName val="Sheet3_(2)"/>
      <sheetName val="chart_update"/>
      <sheetName val="5_배수관로"/>
      <sheetName val="총괄집계_"/>
      <sheetName val="날개벽철근집계_"/>
      <sheetName val="1_토공집계"/>
      <sheetName val="2_관대집계표"/>
      <sheetName val="3_구조물공"/>
      <sheetName val="7_폐기물집계"/>
      <sheetName val="PVC접합개소_산출서"/>
      <sheetName val="3_2_3차처리시설"/>
      <sheetName val="부하계산서"/>
      <sheetName val="계산근거"/>
      <sheetName val="N賃率-職"/>
      <sheetName val="부하(성남)"/>
      <sheetName val="특수기호강도거푸집"/>
      <sheetName val="종배수관면벽신"/>
      <sheetName val="종배수관(신)"/>
      <sheetName val="장비"/>
      <sheetName val="카렌스센터계량기설치공사"/>
      <sheetName val="Baby일위대가"/>
      <sheetName val="COPING"/>
      <sheetName val="을"/>
      <sheetName val="1.우편집중내역서"/>
      <sheetName val="노무비단가"/>
      <sheetName val="본체"/>
      <sheetName val="위치조서"/>
      <sheetName val="INPUT(덕도방향-시점)"/>
      <sheetName val="포장공제집계"/>
      <sheetName val="기본"/>
      <sheetName val="터널조도"/>
      <sheetName val="교대시점"/>
      <sheetName val="A-4"/>
      <sheetName val="전기산출"/>
      <sheetName val="danga"/>
      <sheetName val="ilch"/>
      <sheetName val="진접"/>
      <sheetName val="설계기준"/>
      <sheetName val="BQ(실행)"/>
      <sheetName val="실행예산"/>
      <sheetName val="토공총괄표"/>
      <sheetName val="준검 내역서"/>
      <sheetName val="IMPEADENCE MAP 취수장"/>
      <sheetName val="新철폐복2"/>
      <sheetName val="新철폐복3"/>
      <sheetName val="80이상"/>
      <sheetName val="1단계총괄내역서"/>
      <sheetName val="EP0618"/>
      <sheetName val="기술부 VENDOR LIST"/>
      <sheetName val="맨홀_토공"/>
      <sheetName val="계산중"/>
      <sheetName val="횡배수관토공수량"/>
      <sheetName val="설계예산"/>
      <sheetName val="역T형단위수량"/>
      <sheetName val="3.하중산정4.지지력"/>
      <sheetName val="물푸기집계"/>
      <sheetName val="관로구간산출(H)"/>
      <sheetName val="물푸기산근"/>
      <sheetName val="매입세율"/>
      <sheetName val="증감대비표(전체변경)"/>
      <sheetName val="원가계산서(공동+분담)"/>
      <sheetName val="원가계산서(공동)"/>
      <sheetName val="원가계산서(분담-지열)"/>
      <sheetName val="공종별증감대비표"/>
      <sheetName val="건축"/>
      <sheetName val="조경"/>
      <sheetName val="기계"/>
      <sheetName val="지열"/>
      <sheetName val="단가산출내역(노임부분수정)"/>
      <sheetName val="WORK"/>
      <sheetName val="갑지(추정)"/>
      <sheetName val="일위대가-1"/>
      <sheetName val="45,46"/>
      <sheetName val="5. 단면설계"/>
      <sheetName val="PIPE내역(FCN)"/>
      <sheetName val="역T형"/>
      <sheetName val="설정"/>
      <sheetName val="보강토옹벽"/>
      <sheetName val="1호수량집계"/>
      <sheetName val="1호산출근거"/>
      <sheetName val="1호그리드"/>
      <sheetName val="2호수량집계"/>
      <sheetName val="2호산출근거"/>
      <sheetName val="2호그리드"/>
      <sheetName val="3호수량집계"/>
      <sheetName val="3호산출근거"/>
      <sheetName val="3호그리드"/>
      <sheetName val="그리드"/>
      <sheetName val="Strip"/>
      <sheetName val="방음벽기초"/>
      <sheetName val="부시수량"/>
      <sheetName val="설명"/>
      <sheetName val="자압1"/>
      <sheetName val="자료"/>
      <sheetName val="잡비계산"/>
      <sheetName val="4차공사"/>
      <sheetName val="총_구조물공"/>
      <sheetName val="참고사항"/>
      <sheetName val="근로자자료입력"/>
      <sheetName val="8.석축단위(H=1.5M)"/>
      <sheetName val="1월요청,실사(운용통보기준)"/>
      <sheetName val="골재집계"/>
      <sheetName val="날개벽(시점좌측)"/>
      <sheetName val="수자재단위당"/>
      <sheetName val="이토변실(A3-LINE)"/>
      <sheetName val="토적표(1)"/>
      <sheetName val="경산"/>
      <sheetName val="갑지"/>
      <sheetName val="약품설비"/>
      <sheetName val="현장관리비집계표"/>
      <sheetName val="2차"/>
      <sheetName val="제원.설계조건"/>
      <sheetName val="슬래브1"/>
      <sheetName val="단가비교표"/>
      <sheetName val="rate"/>
      <sheetName val="3.바닥판  "/>
      <sheetName val="자재집게표 "/>
      <sheetName val="물량집계"/>
      <sheetName val="동해title"/>
      <sheetName val="인부노임"/>
      <sheetName val="기존구조물철거집계계표"/>
      <sheetName val="원계약서"/>
      <sheetName val="당초"/>
      <sheetName val="하수급견적대비"/>
      <sheetName val="1호토공"/>
      <sheetName val="설계예산서"/>
      <sheetName val="안정성검토"/>
      <sheetName val="하중계산"/>
      <sheetName val="대림경상68억"/>
      <sheetName val="POOM_MOTO"/>
      <sheetName val="POOM_MOTO2"/>
      <sheetName val="부재치수입력"/>
      <sheetName val="차선도색현황"/>
      <sheetName val="수문일1"/>
      <sheetName val="상부공"/>
      <sheetName val="토공연장"/>
      <sheetName val="FOB발"/>
      <sheetName val="물가대비표"/>
      <sheetName val="nys"/>
      <sheetName val="교량하부공"/>
      <sheetName val="수로BOX"/>
      <sheetName val="도근좌표"/>
      <sheetName val="L형 옹벽"/>
      <sheetName val="물돌리기수량집계"/>
      <sheetName val="물돌리기연장산출"/>
      <sheetName val="물돌리기"/>
      <sheetName val="내역서적용수량 (지방도893)"/>
      <sheetName val="용소리교"/>
      <sheetName val="pvc vent"/>
      <sheetName val="총공사비집계표"/>
      <sheetName val="일위대가집계"/>
      <sheetName val="설비내역서"/>
      <sheetName val="건축내역서"/>
      <sheetName val="전기내역서"/>
      <sheetName val="기계설비-물가변동"/>
      <sheetName val="옹벽"/>
      <sheetName val="순성토"/>
      <sheetName val="일집"/>
      <sheetName val="일위"/>
      <sheetName val="산근1(인건비)"/>
      <sheetName val="간접"/>
      <sheetName val="99총공사내역서"/>
      <sheetName val="지질조사"/>
      <sheetName val="M-MG1"/>
      <sheetName val="직노"/>
    </sheetNames>
    <sheetDataSet>
      <sheetData sheetId="0" refreshError="1">
        <row r="24">
          <cell r="C24" t="str">
            <v>D=100×11¼˚</v>
          </cell>
        </row>
        <row r="61">
          <cell r="I61" t="str">
            <v>×</v>
          </cell>
        </row>
        <row r="62">
          <cell r="I62" t="str">
            <v>×</v>
          </cell>
        </row>
        <row r="63">
          <cell r="I63" t="str">
            <v>×</v>
          </cell>
        </row>
        <row r="64">
          <cell r="I64" t="str">
            <v>×</v>
          </cell>
        </row>
        <row r="65">
          <cell r="I65" t="str">
            <v>×</v>
          </cell>
        </row>
        <row r="66">
          <cell r="I66" t="str">
            <v>×</v>
          </cell>
        </row>
        <row r="67">
          <cell r="I67" t="str">
            <v>×</v>
          </cell>
        </row>
        <row r="68">
          <cell r="I68" t="str">
            <v>×</v>
          </cell>
        </row>
        <row r="69">
          <cell r="I69" t="str">
            <v>×</v>
          </cell>
        </row>
        <row r="70">
          <cell r="I70" t="str">
            <v>×</v>
          </cell>
        </row>
        <row r="71">
          <cell r="I71" t="str">
            <v>×</v>
          </cell>
        </row>
        <row r="72">
          <cell r="I72" t="str">
            <v>×</v>
          </cell>
        </row>
        <row r="73">
          <cell r="I73" t="str">
            <v>×</v>
          </cell>
        </row>
        <row r="74">
          <cell r="I74" t="str">
            <v>×</v>
          </cell>
        </row>
        <row r="75">
          <cell r="I75" t="str">
            <v>×</v>
          </cell>
        </row>
        <row r="76">
          <cell r="I76" t="str">
            <v>×</v>
          </cell>
        </row>
        <row r="77">
          <cell r="I77" t="str">
            <v>×</v>
          </cell>
        </row>
        <row r="78">
          <cell r="I78" t="str">
            <v>×</v>
          </cell>
        </row>
        <row r="79">
          <cell r="I79" t="str">
            <v>×</v>
          </cell>
        </row>
        <row r="80">
          <cell r="I80" t="str">
            <v>×</v>
          </cell>
        </row>
        <row r="81">
          <cell r="I81" t="str">
            <v>×</v>
          </cell>
        </row>
        <row r="82">
          <cell r="I82" t="str">
            <v>×</v>
          </cell>
        </row>
        <row r="83">
          <cell r="I83" t="str">
            <v>×</v>
          </cell>
        </row>
        <row r="84">
          <cell r="I84" t="str">
            <v>×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용역단가"/>
      <sheetName val="총괄"/>
      <sheetName val="지형현황측량"/>
      <sheetName val="토질조사"/>
      <sheetName val="토지권리조사"/>
      <sheetName val="주택단지"/>
      <sheetName val="지구단위-계획수립"/>
      <sheetName val="단지조성기본및실시설계"/>
      <sheetName val="조경기본및실시설계"/>
      <sheetName val="감리비"/>
      <sheetName val="수량산출"/>
      <sheetName val="H-PILE수량집계"/>
      <sheetName val="쌍송교"/>
    </sheetNames>
    <sheetDataSet>
      <sheetData sheetId="0" refreshError="1">
        <row r="3">
          <cell r="C3">
            <v>8</v>
          </cell>
        </row>
        <row r="5">
          <cell r="B5" t="str">
            <v>구   분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3구조물공간지"/>
      <sheetName val="1집계표간지"/>
      <sheetName val="구조물공집계표"/>
      <sheetName val="토공집계표"/>
      <sheetName val="2여과지"/>
      <sheetName val="여과지집계표"/>
      <sheetName val="여과지"/>
      <sheetName val="여과지토적표"/>
      <sheetName val="3배수지"/>
      <sheetName val="배수지집계표"/>
      <sheetName val="배수지"/>
      <sheetName val="배수지토적표"/>
      <sheetName val="4염소투입실"/>
      <sheetName val="염소투입실집계표"/>
      <sheetName val="염소투입실공사"/>
      <sheetName val="간지"/>
      <sheetName val="자재총괄"/>
      <sheetName val="시멘트레미콘구입량"/>
      <sheetName val="골재구입량"/>
      <sheetName val="1.토공집계"/>
      <sheetName val="2.관대집계표"/>
      <sheetName val="접합"/>
      <sheetName val="3.구조물공"/>
      <sheetName val="4.포장공"/>
      <sheetName val="5.부대공"/>
      <sheetName val="6.주요자재대"/>
      <sheetName val="7.폐기물집계"/>
      <sheetName val="표지"/>
      <sheetName val="1.토총"/>
      <sheetName val="토적"/>
      <sheetName val="가정오수"/>
      <sheetName val="2.관로집"/>
      <sheetName val="관부설"/>
      <sheetName val="가정연결"/>
      <sheetName val="3.구조물집계"/>
      <sheetName val="맨홀높이"/>
      <sheetName val="맨홀2"/>
      <sheetName val="관로"/>
      <sheetName val="가정연결관"/>
      <sheetName val="(1)가시설공"/>
      <sheetName val="(2)경고"/>
      <sheetName val="(3)기타"/>
      <sheetName val="7.폐기물"/>
      <sheetName val="토실"/>
      <sheetName val="지장물보호(수집)"/>
      <sheetName val="지장물산근"/>
      <sheetName val="지장물보호공단위수량"/>
      <sheetName val="자재집계표"/>
      <sheetName val="주요자재집계표"/>
      <sheetName val="토공"/>
      <sheetName val="총괄토공집계"/>
      <sheetName val="시점부토공"/>
      <sheetName val="종점부토공"/>
      <sheetName val="교각토공"/>
      <sheetName val="총괄집계 "/>
      <sheetName val="총괄철근집계(1)"/>
      <sheetName val="총괄철근집계(2)"/>
      <sheetName val="구조물공"/>
      <sheetName val="본체집계"/>
      <sheetName val="본체철근집계"/>
      <sheetName val="날개벽철근집계 "/>
      <sheetName val="본체그림"/>
      <sheetName val="본체수량"/>
      <sheetName val="접속슬래브집계"/>
      <sheetName val="접속(시점)"/>
      <sheetName val="접속(종점)"/>
      <sheetName val="총괄집계표"/>
      <sheetName val="재료집계표"/>
      <sheetName val="몰탈집계표"/>
      <sheetName val="포장집계표"/>
      <sheetName val="본선부집계"/>
      <sheetName val="TYPE별조서"/>
      <sheetName val="본선부산출"/>
      <sheetName val="진입부보도집계"/>
      <sheetName val="진입보도산출"/>
      <sheetName val="접속도로집계"/>
      <sheetName val="진입로집계"/>
      <sheetName val="진입로"/>
      <sheetName val="점자블럭집계"/>
      <sheetName val="점자블럭산출"/>
      <sheetName val="공제량집계"/>
      <sheetName val="공제량"/>
      <sheetName val="경계석총집계"/>
      <sheetName val="보차도수량집계"/>
      <sheetName val="보차도경계조서"/>
      <sheetName val="보차도산출"/>
      <sheetName val="도로경계석집계"/>
      <sheetName val="도로경계조서"/>
      <sheetName val="도로경계산출"/>
      <sheetName val="VXXXXX"/>
      <sheetName val="방음벽수량"/>
      <sheetName val="방음벽기초수량"/>
      <sheetName val="방음벽설치현황"/>
      <sheetName val="단위수량"/>
      <sheetName val="가설방음판넬"/>
      <sheetName val="가설방진망"/>
      <sheetName val="세륜세차시설"/>
      <sheetName val="가도수량집계"/>
      <sheetName val="가도토공"/>
      <sheetName val="가도포장수량집계표"/>
      <sheetName val="가포장조서"/>
      <sheetName val="가도단위수량"/>
      <sheetName val="가배수관"/>
      <sheetName val="골재덮개시설"/>
      <sheetName val="준공표지판집계"/>
      <sheetName val="경계표주집계(X)"/>
      <sheetName val="경계수량(X)"/>
      <sheetName val="경계표주단위수량(X)"/>
      <sheetName val="기존도로유지관리비"/>
      <sheetName val="식재공"/>
      <sheetName val="산림복구비"/>
      <sheetName val="가설건물"/>
      <sheetName val="가옥철거조서"/>
      <sheetName val="자재집계산출"/>
      <sheetName val="Sheet1"/>
      <sheetName val="세부내역"/>
      <sheetName val="일위대가"/>
      <sheetName val="조견표"/>
      <sheetName val="기계경비(일반)"/>
      <sheetName val="산출근거(마산, 만천, 가례)"/>
      <sheetName val="산출근거(남강)"/>
      <sheetName val="산출근거(가설도로 조성)"/>
      <sheetName val="산출근거(가설도로 성토다짐)"/>
      <sheetName val="산출근거(가설도로 살수)"/>
      <sheetName val="산출근거(가설도로 유지보수)"/>
      <sheetName val="VXXX"/>
      <sheetName val="Recovered_Sheet1"/>
      <sheetName val="관로공집계"/>
      <sheetName val="수밀검사조서"/>
      <sheetName val="본관조서(PVC)"/>
      <sheetName val="PVC접합개소 산출서"/>
      <sheetName val="PVC이중벽관D300집계"/>
      <sheetName val="PVC이중벽관D300집계-OPEN"/>
      <sheetName val="PVCDC300단위집계-OPEN"/>
      <sheetName val="PVCDC300단위수량-OPEN"/>
      <sheetName val="PVC이중벽관D300집계-가설흙막이"/>
      <sheetName val="PVCDC300단위집계-가설흙막이"/>
      <sheetName val="PVCDC300단위수량-가설흙막이"/>
      <sheetName val="전체맨홀집계"/>
      <sheetName val="원형1호맨홀집계표"/>
      <sheetName val="오수맨홀조서"/>
      <sheetName val="원형1맨홀(무근)집계표"/>
      <sheetName val="원형1호맨홀(철근)집계표"/>
      <sheetName val="오수원형1호맨홀단위집계"/>
      <sheetName val="오수원형맨홀1호"/>
      <sheetName val="원형1호맨홀(철근)단위수량집계"/>
      <sheetName val="원형1호맨홀(철근)단위수량"/>
      <sheetName val="변수값"/>
      <sheetName val="중기상차"/>
      <sheetName val="AS복구"/>
      <sheetName val="중기터파기"/>
      <sheetName val="guard(mac)"/>
      <sheetName val="bearing"/>
      <sheetName val="연동내역"/>
      <sheetName val="데이타"/>
      <sheetName val="관접합및부설"/>
      <sheetName val="단가"/>
      <sheetName val="식재"/>
      <sheetName val="시설물"/>
      <sheetName val="식재출력용"/>
      <sheetName val="유지관리"/>
      <sheetName val="공사설명서"/>
      <sheetName val="자재단가(완)"/>
      <sheetName val="노임단가(완)"/>
      <sheetName val="일위대가_목록"/>
      <sheetName val="일위대가(노임수정(완), 자재 및 물린단산수정필요)"/>
      <sheetName val="2007기계경비산출표(완)"/>
      <sheetName val="단가산출_목록"/>
      <sheetName val="단가산출서"/>
      <sheetName val="시험비 단가"/>
      <sheetName val="내역서"/>
      <sheetName val="일반화물자동차운임"/>
      <sheetName val="관경고용테이프수집"/>
      <sheetName val="관경고용산근"/>
      <sheetName val="내역"/>
      <sheetName val="총괄내역서"/>
      <sheetName val="SLAB"/>
      <sheetName val="배수공총괄 집계표(횡)"/>
      <sheetName val="보차도경계석집계표(종)"/>
      <sheetName val="보차도경계석 조서"/>
      <sheetName val="보차도경계석단위량"/>
      <sheetName val="경계석집계표(종)"/>
      <sheetName val="경계석"/>
      <sheetName val="경계석단위량"/>
      <sheetName val="배수집계표(종)"/>
      <sheetName val="종배수관"/>
      <sheetName val="빗물받이집계"/>
      <sheetName val="빗물받이조서"/>
      <sheetName val="빗물받이단위량"/>
      <sheetName val="맨홀집계표 "/>
      <sheetName val="맨홀조서"/>
      <sheetName val="맨홀단위량"/>
      <sheetName val="터파기및재료"/>
      <sheetName val="내역서(전기)"/>
      <sheetName val="진주방향"/>
      <sheetName val="장비집계"/>
      <sheetName val="고양관재"/>
      <sheetName val="가도공"/>
      <sheetName val="집계표"/>
      <sheetName val="해평견적"/>
      <sheetName val="수안보-MBR1"/>
      <sheetName val="조명시설"/>
      <sheetName val="구조물철거타공정이월"/>
      <sheetName val="설 계"/>
      <sheetName val="정부노임단가"/>
      <sheetName val="단가일람"/>
      <sheetName val="조경일람"/>
      <sheetName val="레미콘"/>
      <sheetName val="pe이중벽관"/>
      <sheetName val="pe이중벽관 (우수)"/>
      <sheetName val="D100관"/>
      <sheetName val="D16"/>
      <sheetName val="D20"/>
      <sheetName val="D25"/>
      <sheetName val="D50"/>
      <sheetName val="D75,D100"/>
      <sheetName val="입찰"/>
      <sheetName val="현경"/>
      <sheetName val="부대내역"/>
      <sheetName val="5.정산서"/>
      <sheetName val="BD"/>
      <sheetName val="관급자재대"/>
      <sheetName val="수량산출"/>
      <sheetName val="우수받이"/>
      <sheetName val="Sheet1 (2)"/>
      <sheetName val="일위대가목차"/>
      <sheetName val="일위대가표"/>
      <sheetName val="건축내역"/>
      <sheetName val="고압수량(철거)"/>
      <sheetName val="상부공"/>
      <sheetName val="Sheet5"/>
      <sheetName val="안전시설(수집)"/>
      <sheetName val="안전시설"/>
      <sheetName val="지장물보호공"/>
      <sheetName val="사다리-C"/>
      <sheetName val="상수가스보호"/>
      <sheetName val="통신보호"/>
      <sheetName val="전주지지대"/>
      <sheetName val="L형측구(화강석)"/>
      <sheetName val="L형측구(콘크리트)"/>
      <sheetName val="관보호공단위수량표"/>
      <sheetName val="오수받이뚜껑단위수량"/>
      <sheetName val="석축"/>
      <sheetName val="차액보증"/>
      <sheetName val="슬래브"/>
      <sheetName val="원가계산"/>
      <sheetName val="물가대비표"/>
      <sheetName val="설계명세서"/>
      <sheetName val="CODE"/>
      <sheetName val="nys"/>
      <sheetName val="#REF"/>
      <sheetName val="4차원가계산서"/>
      <sheetName val="1-4-2.관(약)"/>
      <sheetName val="L형 옹벽"/>
      <sheetName val="상부집계표"/>
      <sheetName val="6PILE  (돌출)"/>
      <sheetName val="공사비"/>
      <sheetName val="교각1"/>
      <sheetName val="산출근거"/>
      <sheetName val="요율"/>
      <sheetName val="데리네이타현황"/>
      <sheetName val="토공 total"/>
      <sheetName val="전차선로 물량표"/>
      <sheetName val="한강운반비"/>
      <sheetName val="자재"/>
      <sheetName val="공통(20-91)"/>
      <sheetName val="슬래브(유곡)"/>
      <sheetName val="자료"/>
      <sheetName val="계산서(곡선부)"/>
      <sheetName val="포장재료집계표"/>
      <sheetName val="Total"/>
      <sheetName val="식재인부"/>
      <sheetName val="2003상반기노임기준"/>
      <sheetName val="-치수표(곡선부)"/>
      <sheetName val="8.석축단위(H=1.5M)"/>
      <sheetName val="COPING"/>
      <sheetName val="골재집계"/>
      <sheetName val="공사개요"/>
      <sheetName val="날개벽(시점좌측)"/>
      <sheetName val="8.PILE  (돌출)"/>
      <sheetName val="개산공사비"/>
      <sheetName val="매입세율"/>
      <sheetName val="우배수"/>
      <sheetName val="계산식"/>
      <sheetName val="노임단가"/>
      <sheetName val="단가조사서"/>
      <sheetName val="원가계산 (2)"/>
      <sheetName val="삭제및변경불가"/>
      <sheetName val="원가"/>
      <sheetName val="집수정(600-700)"/>
      <sheetName val="수지표"/>
      <sheetName val="셀명"/>
      <sheetName val="토공연장"/>
      <sheetName val="우각부보강"/>
      <sheetName val="신당동집계표"/>
      <sheetName val="견적대비표"/>
      <sheetName val="설계조건"/>
      <sheetName val="금액"/>
      <sheetName val="총괄내역서(설계)"/>
      <sheetName val="가점"/>
      <sheetName val="index"/>
      <sheetName val="etc"/>
      <sheetName val="data"/>
      <sheetName val="증감내역서"/>
      <sheetName val="법면단"/>
      <sheetName val="L_RPTB02_01"/>
      <sheetName val="차수별내역서"/>
      <sheetName val="공사"/>
      <sheetName val="맨홀수량산출"/>
      <sheetName val="석축설면"/>
      <sheetName val="법면설면"/>
      <sheetName val="석축단"/>
      <sheetName val="법면수집"/>
      <sheetName val="전기일위대가"/>
      <sheetName val="실행대비"/>
      <sheetName val="APT"/>
      <sheetName val="기초입력 DATA"/>
      <sheetName val="FOB발"/>
      <sheetName val="총괄집계_"/>
      <sheetName val="날개벽철근집계_"/>
      <sheetName val="PVC접합개소_산출서"/>
      <sheetName val="1_토공집계"/>
      <sheetName val="2_관대집계표"/>
      <sheetName val="3_구조물공"/>
      <sheetName val="4_포장공"/>
      <sheetName val="5_부대공"/>
      <sheetName val="6_주요자재대"/>
      <sheetName val="7_폐기물집계"/>
      <sheetName val="1_토총"/>
      <sheetName val="2_관로집"/>
      <sheetName val="3_구조물집계"/>
      <sheetName val="7_폐기물"/>
      <sheetName val="증감대비표(전체변경)"/>
      <sheetName val="원가계산서(공동+분담)"/>
      <sheetName val="원가계산서(공동)"/>
      <sheetName val="원가계산서(분담-지열)"/>
      <sheetName val="공종별증감대비표"/>
      <sheetName val="건축"/>
      <sheetName val="토목"/>
      <sheetName val="조경"/>
      <sheetName val="기계"/>
      <sheetName val="지열"/>
      <sheetName val="공사요율"/>
      <sheetName val="이름정의"/>
      <sheetName val="초기화면"/>
      <sheetName val="노임단가(2009.상)"/>
      <sheetName val="10.1 중기기초단가"/>
      <sheetName val="ilch"/>
      <sheetName val="실행예산"/>
      <sheetName val="JUCK"/>
      <sheetName val="용역비내역-진짜"/>
      <sheetName val="세금자료"/>
      <sheetName val="노임"/>
      <sheetName val="수로BOX"/>
      <sheetName val="국산화"/>
      <sheetName val="자재단가_사급"/>
      <sheetName val="중기적산목록"/>
      <sheetName val="값"/>
      <sheetName val="POOM_MOTO"/>
      <sheetName val="CON'C"/>
      <sheetName val="★도급내역(2공구)"/>
      <sheetName val="BOX"/>
      <sheetName val="예산서"/>
      <sheetName val="서∼군(2)"/>
      <sheetName val="DATA1"/>
      <sheetName val="깨기 총괄"/>
      <sheetName val="조건표"/>
      <sheetName val="보차도경계석"/>
      <sheetName val="비탈면보호공수량산출"/>
      <sheetName val="단면가정"/>
      <sheetName val="조작대(1연)"/>
      <sheetName val="설계예시"/>
      <sheetName val="이토변실"/>
      <sheetName val="2000,9월 일위"/>
      <sheetName val="공통단가"/>
      <sheetName val="단가조사"/>
      <sheetName val="코드표"/>
      <sheetName val="재료비"/>
      <sheetName val="운반비"/>
      <sheetName val="단가표"/>
      <sheetName val="P-산#1-1(WOWA1)"/>
      <sheetName val="실행내역"/>
      <sheetName val="자재단가"/>
      <sheetName val="경비단가"/>
      <sheetName val="가시설단위수량"/>
      <sheetName val="SORCE1"/>
      <sheetName val="토사(PE)"/>
      <sheetName val="물가자료"/>
      <sheetName val="전기"/>
      <sheetName val="맨홀수량집계"/>
      <sheetName val="3련 BOX"/>
      <sheetName val="설계예산서"/>
      <sheetName val="예산내역서"/>
      <sheetName val="설계내역"/>
      <sheetName val="지급자재"/>
      <sheetName val="인건비 "/>
      <sheetName val="가감수량"/>
      <sheetName val="전체철근집계"/>
      <sheetName val="설비"/>
      <sheetName val="단가및재료비"/>
      <sheetName val="-레미콘집계"/>
      <sheetName val="-몰탈콘크리트"/>
      <sheetName val="자갈,시멘트,모래산출"/>
      <sheetName val="-철근집계"/>
      <sheetName val="포장재료(1)"/>
      <sheetName val="-흄관집계"/>
      <sheetName val="BID"/>
      <sheetName val="잡비계산"/>
      <sheetName val="용수량(생활용수)"/>
      <sheetName val="Sheet2"/>
      <sheetName val="이토변실(A3-LINE)"/>
      <sheetName val="고유코드_설계"/>
      <sheetName val="일위대가(가설)"/>
      <sheetName val="일위산출"/>
      <sheetName val="건축내역서"/>
      <sheetName val="설비내역서"/>
      <sheetName val="전기내역서"/>
      <sheetName val="Macro(차단기)"/>
      <sheetName val="전선 및 전선관"/>
      <sheetName val="H-PILE수량집계"/>
      <sheetName val="T13(P68~72,78)"/>
      <sheetName val="깨기"/>
      <sheetName val="인건비"/>
      <sheetName val="단면A-A(TR)"/>
      <sheetName val="1.설계조건"/>
      <sheetName val="도급"/>
      <sheetName val="관경별내역서"/>
      <sheetName val="마산방향"/>
      <sheetName val="마산방향철근집계"/>
      <sheetName val="집수정단위수량600 "/>
      <sheetName val="S.중기사용료"/>
      <sheetName val="입력란"/>
      <sheetName val="7.PILE  (돌출)"/>
      <sheetName val="관경결정"/>
      <sheetName val="전등설비"/>
      <sheetName val="자압1"/>
      <sheetName val="대로근거"/>
      <sheetName val="중로근거"/>
      <sheetName val="노무"/>
      <sheetName val="중기조종사 단위단가"/>
      <sheetName val="아파트 내역"/>
      <sheetName val="설계"/>
      <sheetName val="일위대가(건축)"/>
      <sheetName val="토공집계"/>
      <sheetName val="[고양관재.XLSŝ보차도경계석집계표(종)"/>
      <sheetName val="기초단가"/>
      <sheetName val="자압"/>
      <sheetName val="Sheet17"/>
      <sheetName val="Y-WORK"/>
      <sheetName val="INPUT"/>
      <sheetName val="1-1"/>
      <sheetName val="부시수량"/>
      <sheetName val="평가데이터"/>
      <sheetName val="공구"/>
      <sheetName val="중부"/>
      <sheetName val="북부"/>
      <sheetName val="남부"/>
      <sheetName val="summary"/>
      <sheetName val="chart"/>
      <sheetName val="chart update"/>
      <sheetName val="남평1"/>
      <sheetName val="남평2"/>
      <sheetName val="남평3"/>
      <sheetName val="회동1"/>
      <sheetName val="회동2"/>
      <sheetName val="회동3"/>
      <sheetName val="회동4"/>
      <sheetName val="이월도표"/>
      <sheetName val="추적+궁합"/>
      <sheetName val="로또정석"/>
      <sheetName val="최근21회정석"/>
      <sheetName val="당첨금"/>
      <sheetName val="로또그림"/>
      <sheetName val="로또용어"/>
      <sheetName val="로또abc"/>
      <sheetName val="로또10계명"/>
      <sheetName val="Sheet7"/>
      <sheetName val="Sheet6"/>
      <sheetName val="Sheet4"/>
      <sheetName val="Sheet3 (2)"/>
      <sheetName val="통관-유입(벌어짐)유출(도수)"/>
      <sheetName val="D"/>
      <sheetName val="내역갑지"/>
      <sheetName val="말뚝지지력산정"/>
      <sheetName val="산출"/>
      <sheetName val="파일의이용"/>
      <sheetName val="5.모델링"/>
      <sheetName val="99노임단가"/>
      <sheetName val="데크수량집계표 (3)"/>
      <sheetName val="수량(숲생태관람데크)"/>
      <sheetName val="수량(암석원관람데크)"/>
      <sheetName val="수량(개비자관람데크)"/>
      <sheetName val="만병초관람데크"/>
      <sheetName val="난간A"/>
      <sheetName val="난간B"/>
      <sheetName val="습지원관람데크"/>
      <sheetName val="전망대"/>
      <sheetName val="전망데크"/>
      <sheetName val="데크산책로A"/>
      <sheetName val="데크산책로B"/>
      <sheetName val="데크산책로C"/>
      <sheetName val="관람데크A"/>
      <sheetName val="관람데크B"/>
      <sheetName val="관람데크C"/>
      <sheetName val="입구계단A"/>
      <sheetName val="입구계단B"/>
      <sheetName val="입구계단C"/>
      <sheetName val="입구계단D"/>
      <sheetName val="입구계단E"/>
      <sheetName val="암석원관람데크"/>
      <sheetName val="숲생태관람데크"/>
      <sheetName val="개비자관람데크"/>
      <sheetName val="Cost bd-&quot;A&quot;"/>
      <sheetName val="ABUT수량-A1"/>
      <sheetName val="조건"/>
      <sheetName val="wall"/>
      <sheetName val="원형1호맨홀토공수량"/>
      <sheetName val="일위대가 "/>
      <sheetName val="견적"/>
      <sheetName val="경  비 "/>
      <sheetName val="노무비"/>
      <sheetName val="2.토목공사"/>
      <sheetName val="위치조서"/>
      <sheetName val="70%"/>
      <sheetName val="인천성심병원"/>
      <sheetName val="HVAC"/>
      <sheetName val="계장 품셈표"/>
      <sheetName val="내역서단가산출용"/>
      <sheetName val="40단가산출서"/>
      <sheetName val="40집계"/>
      <sheetName val="기초자료입력"/>
      <sheetName val="물가시세"/>
      <sheetName val="자재목록"/>
      <sheetName val="일위목록"/>
      <sheetName val="중기목록"/>
      <sheetName val="단가목록"/>
      <sheetName val="배수장토목공사비"/>
      <sheetName val="7월11일"/>
      <sheetName val="기본단가표"/>
      <sheetName val="강교(Sub)"/>
      <sheetName val="개비온집계"/>
      <sheetName val="개비온 단위"/>
      <sheetName val="97노임단가"/>
      <sheetName val="공사비증감"/>
      <sheetName val="안정검토(온1)"/>
      <sheetName val="주형"/>
      <sheetName val="수량BOQ"/>
      <sheetName val="부하계산서"/>
      <sheetName val="LP-S"/>
      <sheetName val="공사비 증감 내역서"/>
      <sheetName val="조명율표"/>
      <sheetName val="기계경비(시간당)"/>
      <sheetName val="램머"/>
      <sheetName val="전기실(고압)"/>
      <sheetName val="상호참고자료"/>
      <sheetName val="공사기본내용입력"/>
      <sheetName val="발주처자료입력"/>
      <sheetName val="회사기본자료"/>
      <sheetName val="하자보증자료"/>
      <sheetName val="기술자관련자료"/>
      <sheetName val="기본일위"/>
      <sheetName val="중기사용료"/>
      <sheetName val="역T형"/>
      <sheetName val="암거공"/>
      <sheetName val="신당동산출근거"/>
      <sheetName val="남평내역"/>
      <sheetName val="준검 내역서"/>
      <sheetName val="산근"/>
      <sheetName val="자재대"/>
      <sheetName val="3.공통공사대비"/>
      <sheetName val="자재코드"/>
      <sheetName val="1호인버트수량"/>
      <sheetName val="교량하부공"/>
      <sheetName val="부대tu"/>
      <sheetName val="WORK"/>
      <sheetName val="배수공"/>
      <sheetName val="측구공"/>
      <sheetName val="지구단위계획내역서"/>
      <sheetName val="내역서01"/>
      <sheetName val="일위대가 1"/>
      <sheetName val="설계내역서"/>
      <sheetName val="산거 1(인력투입)"/>
      <sheetName val="일위대가 2"/>
      <sheetName val="일위대가 3"/>
      <sheetName val="토공(우물통,기타) "/>
      <sheetName val="데이터"/>
      <sheetName val="구분표"/>
      <sheetName val="구간별"/>
      <sheetName val="입찰안"/>
      <sheetName val="5.배수관로"/>
      <sheetName val="주요자재"/>
      <sheetName val="폐기물처리"/>
      <sheetName val="토공유용계획"/>
      <sheetName val="유입관로집계"/>
      <sheetName val="유입관로토적"/>
      <sheetName val="처리장집계"/>
      <sheetName val="처리장토적"/>
      <sheetName val="진입도로토적"/>
      <sheetName val="천방교접속"/>
      <sheetName val="대포2교접속"/>
      <sheetName val="SPEC"/>
      <sheetName val="수압시험수집"/>
      <sheetName val="수압시험산근"/>
      <sheetName val="참조-(2)"/>
      <sheetName val="Macro2"/>
      <sheetName val="Macro1"/>
      <sheetName val="원가계산서"/>
      <sheetName val="인부노임"/>
      <sheetName val="기계경비"/>
      <sheetName val="1호맨홀토공"/>
      <sheetName val="산출근거(마산,_만천,_가례)"/>
      <sheetName val="산출근거(가설도로_조성)"/>
      <sheetName val="산출근거(가설도로_성토다짐)"/>
      <sheetName val="산출근거(가설도로_살수)"/>
      <sheetName val="산출근거(가설도로_유지보수)"/>
      <sheetName val="일위대가(노임수정(완),_자재_및_물린단산수정필요)"/>
      <sheetName val="시험비_단가"/>
      <sheetName val="1-4-2_관(약)"/>
      <sheetName val="배수공총괄_집계표(횡)"/>
      <sheetName val="보차도경계석_조서"/>
      <sheetName val="맨홀집계표_"/>
      <sheetName val="Sheet1_(2)"/>
      <sheetName val="전차선로_물량표"/>
      <sheetName val="pe이중벽관_(우수)"/>
      <sheetName val="토목검측서"/>
      <sheetName val="토적표"/>
      <sheetName val="배수공수집"/>
      <sheetName val="소비자가"/>
      <sheetName val="MOTOR"/>
      <sheetName val="내역서갑지"/>
      <sheetName val="내역서을지"/>
      <sheetName val="교각별철근수량집계표"/>
      <sheetName val="단가산출"/>
      <sheetName val="b_balju"/>
      <sheetName val="노견단위수량"/>
      <sheetName val="산출내역서"/>
      <sheetName val="입찰견적보고서"/>
      <sheetName val="총계"/>
      <sheetName val="배수지집꓄표"/>
      <sheetName val="밀도포장수량집계표"/>
      <sheetName val="유입부"/>
      <sheetName val="SLAB&quot;1&quot;"/>
      <sheetName val="오수관연장산출"/>
      <sheetName val="전력구구조물산근"/>
      <sheetName val="토목공사"/>
      <sheetName val="손익분석"/>
      <sheetName val="견적서을지"/>
      <sheetName val="SG"/>
      <sheetName val="충주"/>
      <sheetName val="심사물량"/>
      <sheetName val="심사계산"/>
      <sheetName val="5.2.6~7공사요율"/>
      <sheetName val="EACT10"/>
      <sheetName val="목록"/>
      <sheetName val="COVER"/>
      <sheetName val="내역서적용수량"/>
      <sheetName val="3.하중산정4.지지력"/>
      <sheetName val="을"/>
      <sheetName val="영동(D)"/>
      <sheetName val="참고사항"/>
      <sheetName val="근로자자료입력"/>
      <sheetName val="시가지우회도로공내역서"/>
      <sheetName val="BQ(실행)"/>
      <sheetName val="갑지"/>
      <sheetName val="송장"/>
      <sheetName val="철근정산"/>
      <sheetName val="골막이(야매)"/>
      <sheetName val="공사명입력"/>
      <sheetName val="교사기준면적(초등)"/>
      <sheetName val="재료비단가"/>
      <sheetName val="투자비"/>
      <sheetName val="조성원가DATA"/>
      <sheetName val="사업비"/>
      <sheetName val="경산"/>
      <sheetName val="인건-측정"/>
      <sheetName val="기존도수로깨기"/>
      <sheetName val="수량총"/>
      <sheetName val="토공총"/>
      <sheetName val="총_구조물공"/>
      <sheetName val="설명"/>
      <sheetName val="4차공사"/>
      <sheetName val="A1-DATA"/>
      <sheetName val="단면"/>
      <sheetName val="type-F"/>
      <sheetName val="음봉방향"/>
      <sheetName val="신광초조도계선사업"/>
      <sheetName val="수자재단위당"/>
      <sheetName val="횡배수관재료-"/>
      <sheetName val="계산서(직선부)"/>
      <sheetName val="콘크리트측구연장"/>
      <sheetName val="포장공"/>
      <sheetName val="-배수구조물공토공"/>
      <sheetName val="예산명세서"/>
      <sheetName val="자료입력"/>
      <sheetName val="우수공"/>
      <sheetName val="철콘"/>
      <sheetName val="원형맨홀수량"/>
      <sheetName val="계림(함평)"/>
      <sheetName val="계림(장성)"/>
      <sheetName val="기기리스트"/>
      <sheetName val="왕십리방향"/>
      <sheetName val="연결관산출조서"/>
      <sheetName val="bm(CIcable)"/>
      <sheetName val="5.소재"/>
      <sheetName val="노무단가"/>
      <sheetName val="3.2 3차처리시설"/>
      <sheetName val="자재집계"/>
      <sheetName val="설비동집계표-전체"/>
      <sheetName val="설비동집계"/>
      <sheetName val="설비동산근"/>
      <sheetName val="불인산저장조집계"/>
      <sheetName val="설비동-불인산저장조"/>
      <sheetName val="구의33고"/>
      <sheetName val="기계상세"/>
      <sheetName val="수목표준대가"/>
      <sheetName val="우수"/>
      <sheetName val="단가결정"/>
      <sheetName val="G.R300경비"/>
      <sheetName val="매설지선굴착"/>
      <sheetName val="총괄표"/>
      <sheetName val="적현로"/>
      <sheetName val="INTRO."/>
      <sheetName val="공토공단위당"/>
      <sheetName val="일위대가(계측기설치)"/>
      <sheetName val="제품"/>
      <sheetName val="지수"/>
      <sheetName val="토공정보"/>
      <sheetName val="TYPE-1"/>
      <sheetName val="단위수량(출력X)"/>
      <sheetName val="수량집계"/>
      <sheetName val="토적표(2차기성)"/>
      <sheetName val="교각계산"/>
      <sheetName val="단가산출내역(노임부분수정)"/>
      <sheetName val="1,2공구원가계산서"/>
      <sheetName val="2공구산출내역"/>
      <sheetName val="1공구산출내역서"/>
      <sheetName val="기초코드"/>
      <sheetName val="실행철강하도"/>
      <sheetName val="백호우계수"/>
      <sheetName val="진천방향"/>
      <sheetName val="CTEMCOST"/>
      <sheetName val="외천교"/>
      <sheetName val="2.고용보험료산출근거"/>
      <sheetName val="역T형(H=6.0) (2)"/>
      <sheetName val="계약서"/>
      <sheetName val="࠶IĂ_x0000_嫗ऀࠀ"/>
      <sheetName val="ITEM"/>
      <sheetName val="제잡비계산"/>
      <sheetName val="6-1. 관개량조서"/>
      <sheetName val="1호맨홀가감수량"/>
      <sheetName val="가시설(TYPE-A)"/>
      <sheetName val="1-1평균터파기고(1)"/>
      <sheetName val="1호맨홀수량산출"/>
      <sheetName val="교대(A1-A2)"/>
      <sheetName val="역T형교대(말뚝기초)"/>
      <sheetName val="버스운행안내"/>
      <sheetName val="예방접종계획"/>
      <sheetName val="근태계획서"/>
      <sheetName val="단위단가"/>
      <sheetName val="영업소산출근거"/>
      <sheetName val="2차기성내역서"/>
      <sheetName val="기술자자료입력"/>
      <sheetName val="산근터빈"/>
      <sheetName val="각종양식"/>
      <sheetName val="시설물일위"/>
      <sheetName val="하중계산"/>
      <sheetName val="토목(대안)"/>
      <sheetName val="일반수량"/>
      <sheetName val="접합 및 부설 "/>
      <sheetName val="EP0618"/>
      <sheetName val="구체"/>
      <sheetName val="좌측날개벽"/>
      <sheetName val="우측날개벽"/>
      <sheetName val="빗물받이(910-510-410)"/>
      <sheetName val="S0"/>
      <sheetName val="돌담교 상부수량"/>
      <sheetName val="산출근거1"/>
      <sheetName val="공종"/>
      <sheetName val="계수시트"/>
      <sheetName val="단위수량산출"/>
      <sheetName val="A LINE"/>
      <sheetName val="용량(1-2)"/>
      <sheetName val="교대"/>
      <sheetName val="부하(성남)"/>
      <sheetName val="구동"/>
      <sheetName val="2005(공무2)"/>
      <sheetName val="감시비교(자동제어비교)"/>
      <sheetName val="노임단가명세표"/>
      <sheetName val="단가적용기준"/>
      <sheetName val="총괄 내역서"/>
      <sheetName val="배수내역"/>
      <sheetName val="TOTAL_BOQ"/>
      <sheetName val="동일대내"/>
      <sheetName val="노무비 근거"/>
      <sheetName val="b_balju_cho"/>
      <sheetName val="변수"/>
      <sheetName val="관급자재"/>
      <sheetName val="지수적용공사비내역서"/>
      <sheetName val="DATA 입력란"/>
      <sheetName val="토목주소"/>
      <sheetName val="프랜트면허"/>
      <sheetName val="계정"/>
      <sheetName val="쌍송교"/>
      <sheetName val="cal"/>
      <sheetName val="3연box"/>
      <sheetName val="기둥(원형)"/>
      <sheetName val="공종목록표"/>
      <sheetName val="U-TYPE(1)"/>
      <sheetName val="원가서"/>
      <sheetName val="투찰"/>
      <sheetName val="공비대비"/>
      <sheetName val="고상실행"/>
      <sheetName val="FB25JN"/>
      <sheetName val="LOPCALC"/>
      <sheetName val="중기일위대가"/>
      <sheetName val="배수공1"/>
      <sheetName val="단가 (2)"/>
      <sheetName val="일위대가-2"/>
      <sheetName val="일위대가-1"/>
      <sheetName val="개별직종노임단가(2003.9)"/>
      <sheetName val="가시설수량"/>
      <sheetName val="기본"/>
      <sheetName val="명세서"/>
      <sheetName val="설비동거푸집"/>
      <sheetName val="설비동기타"/>
      <sheetName val="SPC노임(5월)"/>
      <sheetName val="맨홀수량산출(A-LINE)"/>
      <sheetName val="2"/>
      <sheetName val="예정공정표"/>
      <sheetName val="ⴭⴭⴭⴭ"/>
      <sheetName val="토목내역서"/>
      <sheetName val="공사비예산서(토목분)"/>
      <sheetName val="기계경비산출기준"/>
      <sheetName val="취수탑"/>
      <sheetName val="간지 (세)"/>
      <sheetName val="기둥"/>
      <sheetName val="저판(버림100)"/>
      <sheetName val="98수문일위"/>
      <sheetName val="경율산정.XLS"/>
      <sheetName val="수량"/>
      <sheetName val="관련자료입력"/>
      <sheetName val="기계경비시간당손료목록"/>
      <sheetName val="기계경비적용기준"/>
      <sheetName val="삼보지질"/>
      <sheetName val="점자블럭산_x0002_"/>
      <sheetName val="일위대가단가표"/>
      <sheetName val="2호맨홀공제수량"/>
      <sheetName val="CON기초"/>
      <sheetName val="actual"/>
      <sheetName val="산정표"/>
      <sheetName val="4.고용보험"/>
      <sheetName val="3.고용보험료산출근거"/>
      <sheetName val="판"/>
      <sheetName val="내역서1999.8최종"/>
      <sheetName val="철거산출근거"/>
      <sheetName val="약품공급2"/>
      <sheetName val="준공평가"/>
      <sheetName val="화설내"/>
      <sheetName val="하중조건(평상시)"/>
      <sheetName val="1공구"/>
      <sheetName val="물돌리기수량집계"/>
      <sheetName val="물돌리기연장산출"/>
      <sheetName val="물돌리기"/>
      <sheetName val="도근좌표"/>
      <sheetName val="노임단가 (2)"/>
      <sheetName val="옹벽(수량)"/>
      <sheetName val="ASCEandUBC"/>
      <sheetName val="품목"/>
      <sheetName val="직접경비"/>
      <sheetName val="직접인건비"/>
      <sheetName val="001"/>
      <sheetName val="A-4"/>
      <sheetName val="용소리교"/>
      <sheetName val="CT "/>
      <sheetName val="토공A"/>
      <sheetName val="공사비내역서"/>
      <sheetName val="설계기준"/>
      <sheetName val="내역1"/>
      <sheetName val="관로토공"/>
      <sheetName val="3BL공동구 수량"/>
      <sheetName val="신호등일위대가"/>
      <sheetName val="1차 내역서"/>
      <sheetName val="효성CB 1P기초"/>
      <sheetName val="전기단가조사서"/>
      <sheetName val="unitpric"/>
      <sheetName val="6호기"/>
      <sheetName val="DATA2"/>
      <sheetName val="입력"/>
      <sheetName val="1.수인터널"/>
      <sheetName val="STEEL BOX 단면설계(SEC.8)"/>
      <sheetName val="(A)내역서"/>
      <sheetName val="GT 1050x650"/>
      <sheetName val="설계예산2"/>
      <sheetName val="직공비"/>
      <sheetName val="토목원가계산"/>
      <sheetName val="증감대비"/>
      <sheetName val="중기사용료산출근거"/>
      <sheetName val="단가산출2"/>
      <sheetName val="단가 및 재료비"/>
      <sheetName val="대치판정"/>
      <sheetName val="01.10월"/>
      <sheetName val="용수량_생활용수_"/>
      <sheetName val="신우"/>
      <sheetName val="I.설계조건"/>
      <sheetName val="Graph (LGEN)"/>
      <sheetName val="out_prog"/>
      <sheetName val="선적schedule (2)"/>
      <sheetName val="하수급견적대비"/>
      <sheetName val="산출1"/>
      <sheetName val="배수공 주요자재 집계표"/>
      <sheetName val="토공개요"/>
      <sheetName val="토공(1)"/>
      <sheetName val="견적서"/>
      <sheetName val="냉천부속동"/>
      <sheetName val="표준건축비"/>
      <sheetName val="을지"/>
      <sheetName val="특수선일위대가"/>
      <sheetName val="공문(신)"/>
      <sheetName val="청천내"/>
      <sheetName val="방음벽기초"/>
      <sheetName val="Site Expenses"/>
      <sheetName val="SRC-B3U2"/>
      <sheetName val="elecdtla"/>
      <sheetName val="기계경비일람"/>
      <sheetName val="비계공사"/>
      <sheetName val="경상비"/>
      <sheetName val="매입세"/>
      <sheetName val="조정금액결과표 (차수별)"/>
      <sheetName val="pier(각형)"/>
      <sheetName val="철근총괄집계표"/>
      <sheetName val="96보완계획7.12"/>
      <sheetName val="수입"/>
      <sheetName val="자재수량"/>
      <sheetName val="철집"/>
      <sheetName val="11.우각부 보강"/>
      <sheetName val="단가비교표"/>
      <sheetName val="s"/>
      <sheetName val="연결임시"/>
      <sheetName val="3련_BOX"/>
      <sheetName val="1_토공집계1"/>
      <sheetName val="2_관대집계표1"/>
      <sheetName val="3_구조물공1"/>
      <sheetName val="4_포장공1"/>
      <sheetName val="5_부대공1"/>
      <sheetName val="6_주요자재대1"/>
      <sheetName val="7_폐기물집계1"/>
      <sheetName val="1_토총1"/>
      <sheetName val="2_관로집1"/>
      <sheetName val="3_구조물집계1"/>
      <sheetName val="7_폐기물1"/>
      <sheetName val="총괄집계_1"/>
      <sheetName val="날개벽철근집계_1"/>
      <sheetName val="PVC접합개소_산출서1"/>
      <sheetName val="산출근거(마산,_만천,_가례)1"/>
      <sheetName val="산출근거(가설도로_조성)1"/>
      <sheetName val="산출근거(가설도로_성토다짐)1"/>
      <sheetName val="산출근거(가설도로_살수)1"/>
      <sheetName val="산출근거(가설도로_유지보수)1"/>
      <sheetName val="일위대가(노임수정(완),_자재_및_물린단산수정필요)1"/>
      <sheetName val="시험비_단가1"/>
      <sheetName val="배수공총괄_집계표(횡)1"/>
      <sheetName val="보차도경계석_조서1"/>
      <sheetName val="맨홀집계표_1"/>
      <sheetName val="전차선로_물량표1"/>
      <sheetName val="1-4-2_관(약)1"/>
      <sheetName val="pe이중벽관_(우수)1"/>
      <sheetName val="Sheet1_(2)1"/>
      <sheetName val="3련_BOX1"/>
      <sheetName val="건축일위"/>
      <sheetName val="그라우팅일위"/>
    </sheetNames>
    <sheetDataSet>
      <sheetData sheetId="0" refreshError="1">
        <row r="24">
          <cell r="B24" t="str">
            <v>수평곡관</v>
          </cell>
        </row>
        <row r="61">
          <cell r="I61" t="str">
            <v>×</v>
          </cell>
        </row>
        <row r="62">
          <cell r="I62" t="str">
            <v>×</v>
          </cell>
        </row>
        <row r="63">
          <cell r="I63" t="str">
            <v>×</v>
          </cell>
        </row>
        <row r="64">
          <cell r="I64" t="str">
            <v>×</v>
          </cell>
        </row>
        <row r="65">
          <cell r="I65" t="str">
            <v>×</v>
          </cell>
        </row>
        <row r="66">
          <cell r="I66" t="str">
            <v>×</v>
          </cell>
        </row>
        <row r="67">
          <cell r="I67" t="str">
            <v>×</v>
          </cell>
        </row>
        <row r="68">
          <cell r="I68" t="str">
            <v>×</v>
          </cell>
        </row>
        <row r="69">
          <cell r="I69" t="str">
            <v>×</v>
          </cell>
        </row>
        <row r="70">
          <cell r="I70" t="str">
            <v>×</v>
          </cell>
        </row>
        <row r="71">
          <cell r="I71" t="str">
            <v>×</v>
          </cell>
        </row>
        <row r="72">
          <cell r="I72" t="str">
            <v>×</v>
          </cell>
        </row>
        <row r="73">
          <cell r="I73" t="str">
            <v>×</v>
          </cell>
        </row>
        <row r="74">
          <cell r="I74" t="str">
            <v>×</v>
          </cell>
        </row>
        <row r="75">
          <cell r="I75" t="str">
            <v>×</v>
          </cell>
        </row>
        <row r="76">
          <cell r="I76" t="str">
            <v>×</v>
          </cell>
        </row>
        <row r="77">
          <cell r="I77" t="str">
            <v>×</v>
          </cell>
        </row>
        <row r="78">
          <cell r="I78" t="str">
            <v>×</v>
          </cell>
        </row>
        <row r="79">
          <cell r="I79" t="str">
            <v>×</v>
          </cell>
        </row>
        <row r="80">
          <cell r="I80" t="str">
            <v>×</v>
          </cell>
        </row>
        <row r="81">
          <cell r="I81" t="str">
            <v>×</v>
          </cell>
        </row>
        <row r="82">
          <cell r="I82" t="str">
            <v>×</v>
          </cell>
        </row>
        <row r="83">
          <cell r="I83" t="str">
            <v>×</v>
          </cell>
        </row>
        <row r="84">
          <cell r="I84" t="str">
            <v>×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 refreshError="1"/>
      <sheetData sheetId="194" refreshError="1"/>
      <sheetData sheetId="195" refreshError="1"/>
      <sheetData sheetId="196" refreshError="1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 refreshError="1"/>
      <sheetData sheetId="220" refreshError="1"/>
      <sheetData sheetId="221" refreshError="1"/>
      <sheetData sheetId="222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표지"/>
      <sheetName val="1.토총"/>
      <sheetName val="토적"/>
      <sheetName val="가정오수"/>
      <sheetName val="2.관로집"/>
      <sheetName val="관부설"/>
      <sheetName val="가정연결"/>
      <sheetName val="3.구조물집계"/>
      <sheetName val="맨홀높이"/>
      <sheetName val="맨홀2"/>
      <sheetName val="4.포장공"/>
      <sheetName val="관로"/>
      <sheetName val="가정연결관"/>
      <sheetName val="5.부대공"/>
      <sheetName val="(1)가시설공"/>
      <sheetName val="(2)경고"/>
      <sheetName val="(3)기타"/>
      <sheetName val="6.주요자재대"/>
      <sheetName val="7.폐기물"/>
      <sheetName val="토실"/>
      <sheetName val="안전시설(수집)"/>
      <sheetName val="안전시설"/>
      <sheetName val="신당동집계표"/>
      <sheetName val="남평내역"/>
      <sheetName val="1호인버트수량"/>
      <sheetName val="교량하부공"/>
      <sheetName val="토사(PE)"/>
      <sheetName val="조건표"/>
      <sheetName val="기계경비(시간당)"/>
      <sheetName val="램머"/>
      <sheetName val="설비"/>
      <sheetName val="요율"/>
      <sheetName val="자재대"/>
      <sheetName val="내역"/>
      <sheetName val="토목"/>
      <sheetName val="G.R300경비"/>
      <sheetName val="터파기및재료"/>
      <sheetName val="일위대가표"/>
      <sheetName val="WORK"/>
      <sheetName val="데이터"/>
      <sheetName val="초기화면"/>
      <sheetName val="코드표"/>
      <sheetName val="자재코드"/>
      <sheetName val="이름정의"/>
      <sheetName val="관로토공"/>
      <sheetName val="고양관재"/>
      <sheetName val="구조물공"/>
      <sheetName val="부대공"/>
      <sheetName val="배수공"/>
      <sheetName val="토공"/>
      <sheetName val="포장공"/>
      <sheetName val="구분표"/>
      <sheetName val="계산서(곡선부)"/>
      <sheetName val="포장재료집계표"/>
      <sheetName val="기계가격"/>
      <sheetName val="수로BOX"/>
      <sheetName val="간지"/>
      <sheetName val="자재총괄"/>
      <sheetName val="시멘트레미콘구입량"/>
      <sheetName val="골재구입량"/>
      <sheetName val="3구조물공간지"/>
      <sheetName val="1집계표간지"/>
      <sheetName val="구조물공집계표"/>
      <sheetName val="토공집계표"/>
      <sheetName val="2여과지"/>
      <sheetName val="여과지집계표"/>
      <sheetName val="여과지"/>
      <sheetName val="여과지토적표"/>
      <sheetName val="3배수지"/>
      <sheetName val="배수지집계표"/>
      <sheetName val="배수지"/>
      <sheetName val="배수지토적표"/>
      <sheetName val="4염소투입실"/>
      <sheetName val="염소투입실집계표"/>
      <sheetName val="염소투입실공사"/>
      <sheetName val="지장물보호(수집)"/>
      <sheetName val="지장물산근"/>
      <sheetName val="지장물보호공단위수량"/>
      <sheetName val="자재집계표"/>
      <sheetName val="주요자재집계표"/>
      <sheetName val="총괄토공집계"/>
      <sheetName val="시점부토공"/>
      <sheetName val="종점부토공"/>
      <sheetName val="교각토공"/>
      <sheetName val="총괄집계 "/>
      <sheetName val="총괄철근집계(1)"/>
      <sheetName val="총괄철근집계(2)"/>
      <sheetName val="본체집계"/>
      <sheetName val="본체철근집계"/>
      <sheetName val="날개벽철근집계 "/>
      <sheetName val="본체그림"/>
      <sheetName val="본체수량"/>
      <sheetName val="접속슬래브집계"/>
      <sheetName val="접속(시점)"/>
      <sheetName val="접속(종점)"/>
      <sheetName val="1.토공집계"/>
      <sheetName val="2.관대집계표"/>
      <sheetName val="접합"/>
      <sheetName val="3.구조물공"/>
      <sheetName val="7.폐기물집계"/>
      <sheetName val="VXXXXX"/>
      <sheetName val="방음벽수량"/>
      <sheetName val="방음벽기초수량"/>
      <sheetName val="방음벽설치현황"/>
      <sheetName val="단위수량"/>
      <sheetName val="가설방음판넬"/>
      <sheetName val="가설방진망"/>
      <sheetName val="세륜세차시설"/>
      <sheetName val="가도수량집계"/>
      <sheetName val="가도토공"/>
      <sheetName val="가도포장수량집계표"/>
      <sheetName val="가포장조서"/>
      <sheetName val="가도단위수량"/>
      <sheetName val="가배수관"/>
      <sheetName val="골재덮개시설"/>
      <sheetName val="준공표지판집계"/>
      <sheetName val="경계표주집계(X)"/>
      <sheetName val="경계수량(X)"/>
      <sheetName val="경계표주단위수량(X)"/>
      <sheetName val="기존도로유지관리비"/>
      <sheetName val="식재공"/>
      <sheetName val="산림복구비"/>
      <sheetName val="가설건물"/>
      <sheetName val="가옥철거조서"/>
      <sheetName val="자재집계산출"/>
      <sheetName val="Sheet1"/>
      <sheetName val="우수받이"/>
      <sheetName val="Sheet1 (2)"/>
      <sheetName val="총괄집계표"/>
      <sheetName val="재료집계표"/>
      <sheetName val="몰탈집계표"/>
      <sheetName val="포장집계표"/>
      <sheetName val="본선부집계"/>
      <sheetName val="TYPE별조서"/>
      <sheetName val="본선부산출"/>
      <sheetName val="진입부보도집계"/>
      <sheetName val="진입보도산출"/>
      <sheetName val="접속도로집계"/>
      <sheetName val="진입로집계"/>
      <sheetName val="진입로"/>
      <sheetName val="점자블럭집계"/>
      <sheetName val="점자블럭산출"/>
      <sheetName val="공제량집계"/>
      <sheetName val="공제량"/>
      <sheetName val="경계석총집계"/>
      <sheetName val="보차도수량집계"/>
      <sheetName val="보차도경계조서"/>
      <sheetName val="보차도산출"/>
      <sheetName val="도로경계석집계"/>
      <sheetName val="도로경계조서"/>
      <sheetName val="도로경계산출"/>
      <sheetName val="VXXX"/>
      <sheetName val="Recovered_Sheet1"/>
      <sheetName val="관로공집계"/>
      <sheetName val="수밀검사조서"/>
      <sheetName val="본관조서(PVC)"/>
      <sheetName val="PVC접합개소 산출서"/>
      <sheetName val="PVC이중벽관D300집계"/>
      <sheetName val="PVC이중벽관D300집계-OPEN"/>
      <sheetName val="PVCDC300단위집계-OPEN"/>
      <sheetName val="PVCDC300단위수량-OPEN"/>
      <sheetName val="PVC이중벽관D300집계-가설흙막이"/>
      <sheetName val="PVCDC300단위집계-가설흙막이"/>
      <sheetName val="PVCDC300단위수량-가설흙막이"/>
      <sheetName val="전체맨홀집계"/>
      <sheetName val="원형1호맨홀집계표"/>
      <sheetName val="오수맨홀조서"/>
      <sheetName val="원형1맨홀(무근)집계표"/>
      <sheetName val="원형1호맨홀(철근)집계표"/>
      <sheetName val="오수원형1호맨홀단위집계"/>
      <sheetName val="오수원형맨홀1호"/>
      <sheetName val="원형1호맨홀(철근)단위수량집계"/>
      <sheetName val="원형1호맨홀(철근)단위수량"/>
      <sheetName val="식재"/>
      <sheetName val="시설물"/>
      <sheetName val="식재출력용"/>
      <sheetName val="유지관리"/>
      <sheetName val="단가"/>
      <sheetName val="배수공총괄 집계표(횡)"/>
      <sheetName val="보차도경계석집계표(종)"/>
      <sheetName val="보차도경계석 조서"/>
      <sheetName val="보차도경계석단위량"/>
      <sheetName val="경계석집계표(종)"/>
      <sheetName val="경계석"/>
      <sheetName val="경계석단위량"/>
      <sheetName val="배수집계표(종)"/>
      <sheetName val="종배수관"/>
      <sheetName val="빗물받이집계"/>
      <sheetName val="빗물받이조서"/>
      <sheetName val="빗물받이단위량"/>
      <sheetName val="맨홀집계표 "/>
      <sheetName val="맨홀조서"/>
      <sheetName val="맨홀단위량"/>
      <sheetName val="세부내역"/>
      <sheetName val="일위대가"/>
      <sheetName val="조견표"/>
      <sheetName val="기계경비(일반)"/>
      <sheetName val="산출근거(마산, 만천, 가례)"/>
      <sheetName val="산출근거(남강)"/>
      <sheetName val="산출근거(가설도로 조성)"/>
      <sheetName val="산출근거(가설도로 성토다짐)"/>
      <sheetName val="산출근거(가설도로 살수)"/>
      <sheetName val="산출근거(가설도로 유지보수)"/>
      <sheetName val="수량산출"/>
      <sheetName val="데이타"/>
      <sheetName val="bearing"/>
      <sheetName val="연동내역"/>
      <sheetName val="지장물보호공"/>
      <sheetName val="사다리-C"/>
      <sheetName val="상수가스보호"/>
      <sheetName val="통신보호"/>
      <sheetName val="전주지지대"/>
      <sheetName val="L형측구(화강석)"/>
      <sheetName val="L형측구(콘크리트)"/>
      <sheetName val="관보호공단위수량표"/>
      <sheetName val="오수받이뚜껑단위수량"/>
      <sheetName val="석축"/>
      <sheetName val="관경고용테이프수집"/>
      <sheetName val="관경고용산근"/>
      <sheetName val="경산"/>
      <sheetName val="부대tu"/>
      <sheetName val="설계명세서"/>
      <sheetName val="일위대가 1"/>
      <sheetName val="설계내역서"/>
      <sheetName val="산거 1(인력투입)"/>
      <sheetName val="일위대가 2"/>
      <sheetName val="일위대가 3"/>
      <sheetName val="측구공"/>
      <sheetName val="산출근거"/>
      <sheetName val="내역서01"/>
      <sheetName val="토공(우물통,기타) "/>
      <sheetName val="인건비 "/>
      <sheetName val="구간별"/>
      <sheetName val="지구단위계획내역서"/>
      <sheetName val="2호맨홀공제수량"/>
      <sheetName val="가시설수량"/>
      <sheetName val="고유코드_설계"/>
      <sheetName val="A1"/>
      <sheetName val="용소리교"/>
      <sheetName val="평가내역"/>
      <sheetName val="Sensitivity"/>
      <sheetName val="청천내"/>
      <sheetName val="기본일위"/>
      <sheetName val="맨홀수량산출"/>
      <sheetName val="중기손료"/>
      <sheetName val="노임"/>
      <sheetName val="철거산출근거"/>
      <sheetName val="전차선로 물량표"/>
      <sheetName val="한강운반비"/>
      <sheetName val="#REF"/>
      <sheetName val="공통(20-91)"/>
      <sheetName val="집계표"/>
      <sheetName val="시행예산"/>
      <sheetName val="공구"/>
      <sheetName val="석축설면"/>
      <sheetName val="법면단"/>
      <sheetName val="배수관집계"/>
      <sheetName val="설계조건"/>
      <sheetName val="안정계산"/>
      <sheetName val="단면검토"/>
      <sheetName val="SORCE1"/>
      <sheetName val="맨홀수량산출(A-LINE)"/>
      <sheetName val="연결임시"/>
      <sheetName val="공토공단위당"/>
      <sheetName val="옹벽기초자료"/>
      <sheetName val="현황산출서"/>
      <sheetName val="투입집계표"/>
      <sheetName val="이형관재료표(A-L)"/>
      <sheetName val="구조물"/>
      <sheetName val="레미콘"/>
      <sheetName val="pe이중벽관"/>
      <sheetName val="pe이중벽관 (우수)"/>
      <sheetName val="D100관"/>
      <sheetName val="D16"/>
      <sheetName val="D20"/>
      <sheetName val="D25"/>
      <sheetName val="D50"/>
      <sheetName val="D75,D100"/>
      <sheetName val="변수값"/>
      <sheetName val="중기상차"/>
      <sheetName val="AS복구"/>
      <sheetName val="중기터파기"/>
      <sheetName val="공사설명서"/>
      <sheetName val="자재단가(완)"/>
      <sheetName val="노임단가(완)"/>
      <sheetName val="일위대가_목록"/>
      <sheetName val="일위대가(노임수정(완), 자재 및 물린단산수정필요)"/>
      <sheetName val="2007기계경비산출표(완)"/>
      <sheetName val="단가산출_목록"/>
      <sheetName val="단가산출서"/>
      <sheetName val="시험비 단가"/>
      <sheetName val="내역서"/>
      <sheetName val="일반화물자동차운임"/>
      <sheetName val="내역서(전기)"/>
      <sheetName val="진주방향"/>
      <sheetName val="신당동산출근거"/>
      <sheetName val="준검 내역서"/>
      <sheetName val="산근"/>
      <sheetName val="해평견적"/>
      <sheetName val="수안보-MBR1"/>
      <sheetName val="조명시설"/>
      <sheetName val="단가일람"/>
      <sheetName val="조경일람"/>
      <sheetName val="총괄내역서"/>
      <sheetName val="장비집계"/>
      <sheetName val="일위대가목차"/>
      <sheetName val="관급자재대"/>
      <sheetName val="SLAB"/>
      <sheetName val="관접합및부설"/>
      <sheetName val="구조물철거타공정이월"/>
      <sheetName val="정부노임단가"/>
      <sheetName val="5.정산서"/>
      <sheetName val="가도공"/>
      <sheetName val="부대내역"/>
      <sheetName val="Sheet5"/>
      <sheetName val="입찰"/>
      <sheetName val="현경"/>
      <sheetName val="4차원가계산서"/>
      <sheetName val="1-4-2.관(약)"/>
      <sheetName val="L형 옹벽"/>
      <sheetName val="공사비"/>
      <sheetName val="DATA1"/>
      <sheetName val="삭제및변경불가"/>
      <sheetName val="날개벽(시점좌측)"/>
      <sheetName val="토공 total"/>
      <sheetName val="고압수량(철거)"/>
      <sheetName val="건축내역"/>
      <sheetName val="차액보증"/>
      <sheetName val="슬래브"/>
      <sheetName val="원가계산"/>
      <sheetName val="상부공"/>
      <sheetName val="BD"/>
      <sheetName val="교각1"/>
      <sheetName val="T13(P68~72,78)"/>
      <sheetName val="-치수표(곡선부)"/>
      <sheetName val="우배수"/>
      <sheetName val="계산식"/>
      <sheetName val="상부집계표"/>
      <sheetName val="데리네이타현황"/>
      <sheetName val="수지표"/>
      <sheetName val="셀명"/>
      <sheetName val="공사"/>
      <sheetName val="견적대비표"/>
      <sheetName val="식재인부"/>
      <sheetName val="차수별내역서"/>
      <sheetName val="총괄내역서(설계)"/>
      <sheetName val="실행내역"/>
      <sheetName val="자료"/>
      <sheetName val="guard(mac)"/>
      <sheetName val="노임단가"/>
      <sheetName val="자재단가"/>
      <sheetName val="경비단가"/>
      <sheetName val="8.석축단위(H=1.5M)"/>
      <sheetName val="자압1"/>
      <sheetName val="공사개요"/>
      <sheetName val="3.공통공사대비"/>
      <sheetName val="공종"/>
      <sheetName val="내역서(교량)전체"/>
      <sheetName val="1-1합"/>
      <sheetName val="1-1오"/>
      <sheetName val="1-1우"/>
      <sheetName val="ygd1-2"/>
      <sheetName val="ygr1-3"/>
      <sheetName val="ygr1-2"/>
      <sheetName val="ygr1-4"/>
      <sheetName val="이토변실(A3-LINE)"/>
      <sheetName val="토사(PE "/>
      <sheetName val="해외(원화)"/>
      <sheetName val="분석투자 내역(광명)"/>
      <sheetName val="DATA 입력란"/>
      <sheetName val="1. 설계조건 2.단면가정 3. 하중계산"/>
      <sheetName val="토적기초자료"/>
      <sheetName val="교각별철근수량집계표"/>
      <sheetName val="파이프류"/>
      <sheetName val="토사(PE_x0009_"/>
      <sheetName val="1_토총"/>
      <sheetName val="2_관로집"/>
      <sheetName val="3_구조물집계"/>
      <sheetName val="4_포장공"/>
      <sheetName val="5_부대공"/>
      <sheetName val="6_주요자재대"/>
      <sheetName val="7_폐기물"/>
      <sheetName val="Control"/>
      <sheetName val="내#일산설치"/>
      <sheetName val="1호맨홀자연토공"/>
      <sheetName val="도수로현황"/>
      <sheetName val="골재집계"/>
      <sheetName val="자갈,시멘트,모래산출"/>
      <sheetName val="직접경비"/>
      <sheetName val="직접인건비"/>
      <sheetName val="가시설단위수량"/>
      <sheetName val="2@ BOX"/>
      <sheetName val="MOTOR"/>
      <sheetName val="국산화"/>
      <sheetName val="교각별수량"/>
      <sheetName val="9902"/>
      <sheetName val="변경원가서갑"/>
      <sheetName val="지구단위계획"/>
      <sheetName val="횡배수관설치현황"/>
      <sheetName val="범례표"/>
      <sheetName val="방음벽기초"/>
      <sheetName val="우수"/>
      <sheetName val="기초공"/>
      <sheetName val="기둥(원형)"/>
      <sheetName val="경율산정.XLS"/>
      <sheetName val="날개벽수량표"/>
      <sheetName val="기본단가표"/>
      <sheetName val="도대하도변경최종정산조경"/>
      <sheetName val="01.10월"/>
      <sheetName val="3연box"/>
      <sheetName val="단 box"/>
      <sheetName val="평균터파기고(1-2,ASP)"/>
      <sheetName val="전력구구조물산근"/>
      <sheetName val="일위대가(교통성검토)"/>
      <sheetName val="일위총괄"/>
      <sheetName val="일대가(도시계획시설결정)"/>
      <sheetName val="보정율산정근거"/>
      <sheetName val="환경성 산출근거"/>
      <sheetName val="일위대가(사전환경성)"/>
      <sheetName val="요율적용(건설)"/>
      <sheetName val="재해성 산출근거"/>
      <sheetName val="일위대가(재해성검토)"/>
      <sheetName val="적성평가 산출근거"/>
      <sheetName val="일위대가(토지적성평가)"/>
      <sheetName val="계수시트"/>
      <sheetName val="마산방향"/>
      <sheetName val="TOTAL_BOQ"/>
      <sheetName val="Sheet2"/>
      <sheetName val="구천"/>
      <sheetName val="중부"/>
      <sheetName val="북부"/>
      <sheetName val="남부"/>
      <sheetName val="이월도표"/>
      <sheetName val="추적+궁합"/>
      <sheetName val="로또정석"/>
      <sheetName val="최근21회정석"/>
      <sheetName val="당첨금"/>
      <sheetName val="로또그림"/>
      <sheetName val="로또용어"/>
      <sheetName val="로또abc"/>
      <sheetName val="로또10계명"/>
      <sheetName val="Sheet7"/>
      <sheetName val="Sheet6"/>
      <sheetName val="Sheet4"/>
      <sheetName val="Sheet3 (2)"/>
      <sheetName val="summary"/>
      <sheetName val="chart"/>
      <sheetName val="chart update"/>
      <sheetName val="남평1"/>
      <sheetName val="남평2"/>
      <sheetName val="남평3"/>
      <sheetName val="회동1"/>
      <sheetName val="회동2"/>
      <sheetName val="회동3"/>
      <sheetName val="회동4"/>
      <sheetName val="인구"/>
      <sheetName val="환경평가"/>
      <sheetName val="상반기손익차2총괄"/>
      <sheetName val="총괄표"/>
      <sheetName val="공사비_NDE"/>
      <sheetName val="기자재대비표"/>
      <sheetName val="합계"/>
      <sheetName val="일위목록"/>
      <sheetName val="H PILE수량"/>
      <sheetName val="토목검측서"/>
      <sheetName val="SG"/>
      <sheetName val="도급"/>
      <sheetName val="21301동"/>
      <sheetName val="wall"/>
      <sheetName val="금액내역서"/>
      <sheetName val="실행철강하도"/>
      <sheetName val="구역화물"/>
      <sheetName val="지구단위계획수립(공사수행)"/>
      <sheetName val="주공 갑지"/>
      <sheetName val="에너지요금"/>
      <sheetName val="ABUT수량-A1"/>
      <sheetName val="토목공사일반"/>
      <sheetName val="APT"/>
      <sheetName val="고재중량"/>
      <sheetName val="수량BOQ"/>
      <sheetName val="을지"/>
      <sheetName val="SULKEA"/>
      <sheetName val="3련 BOX"/>
    </sheetNames>
    <sheetDataSet>
      <sheetData sheetId="0" refreshError="1">
        <row r="24">
          <cell r="B24" t="str">
            <v>수평곡관</v>
          </cell>
        </row>
        <row r="61">
          <cell r="I61" t="str">
            <v>×</v>
          </cell>
        </row>
        <row r="62">
          <cell r="I62" t="str">
            <v>×</v>
          </cell>
        </row>
        <row r="63">
          <cell r="I63" t="str">
            <v>×</v>
          </cell>
        </row>
        <row r="64">
          <cell r="I64" t="str">
            <v>×</v>
          </cell>
        </row>
        <row r="65">
          <cell r="I65" t="str">
            <v>×</v>
          </cell>
        </row>
        <row r="66">
          <cell r="I66" t="str">
            <v>×</v>
          </cell>
        </row>
        <row r="67">
          <cell r="I67" t="str">
            <v>×</v>
          </cell>
        </row>
        <row r="68">
          <cell r="I68" t="str">
            <v>×</v>
          </cell>
        </row>
        <row r="69">
          <cell r="I69" t="str">
            <v>×</v>
          </cell>
        </row>
        <row r="70">
          <cell r="I70" t="str">
            <v>×</v>
          </cell>
        </row>
        <row r="71">
          <cell r="I71" t="str">
            <v>×</v>
          </cell>
        </row>
        <row r="72">
          <cell r="I72" t="str">
            <v>×</v>
          </cell>
        </row>
        <row r="73">
          <cell r="I73" t="str">
            <v>×</v>
          </cell>
        </row>
        <row r="74">
          <cell r="I74" t="str">
            <v>×</v>
          </cell>
        </row>
        <row r="75">
          <cell r="I75" t="str">
            <v>×</v>
          </cell>
        </row>
        <row r="76">
          <cell r="I76" t="str">
            <v>×</v>
          </cell>
        </row>
        <row r="77">
          <cell r="I77" t="str">
            <v>×</v>
          </cell>
        </row>
        <row r="78">
          <cell r="I78" t="str">
            <v>×</v>
          </cell>
        </row>
        <row r="79">
          <cell r="I79" t="str">
            <v>×</v>
          </cell>
        </row>
        <row r="80">
          <cell r="I80" t="str">
            <v>×</v>
          </cell>
        </row>
        <row r="81">
          <cell r="I81" t="str">
            <v>×</v>
          </cell>
        </row>
        <row r="82">
          <cell r="I82" t="str">
            <v>×</v>
          </cell>
        </row>
        <row r="83">
          <cell r="I83" t="str">
            <v>×</v>
          </cell>
        </row>
        <row r="84">
          <cell r="I84" t="str">
            <v>×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/>
      <sheetData sheetId="37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과거인구"/>
      <sheetName val="2.인구분석"/>
      <sheetName val="3.인구추정식결정"/>
      <sheetName val="4.사회적유입"/>
      <sheetName val="5.계획인구 추정"/>
      <sheetName val="과거인구"/>
      <sheetName val="과거인구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0</v>
          </cell>
          <cell r="C2">
            <v>1</v>
          </cell>
          <cell r="D2">
            <v>2</v>
          </cell>
          <cell r="E2">
            <v>3</v>
          </cell>
          <cell r="F2">
            <v>4</v>
          </cell>
          <cell r="G2">
            <v>5</v>
          </cell>
          <cell r="H2">
            <v>6</v>
          </cell>
          <cell r="I2">
            <v>7</v>
          </cell>
          <cell r="J2">
            <v>8</v>
          </cell>
          <cell r="K2">
            <v>9</v>
          </cell>
          <cell r="L2">
            <v>10</v>
          </cell>
          <cell r="M2">
            <v>11</v>
          </cell>
          <cell r="N2">
            <v>12</v>
          </cell>
          <cell r="O2">
            <v>13</v>
          </cell>
          <cell r="P2">
            <v>14</v>
          </cell>
          <cell r="Q2">
            <v>15</v>
          </cell>
        </row>
        <row r="3">
          <cell r="B3" t="str">
            <v>서산시</v>
          </cell>
          <cell r="C3" t="str">
            <v>대산읍</v>
          </cell>
          <cell r="D3" t="str">
            <v>인지면</v>
          </cell>
          <cell r="E3" t="str">
            <v>부석면</v>
          </cell>
          <cell r="F3" t="str">
            <v>팔봉면</v>
          </cell>
          <cell r="G3" t="str">
            <v>지곡면</v>
          </cell>
          <cell r="H3" t="str">
            <v>성연면</v>
          </cell>
          <cell r="I3" t="str">
            <v>음암면</v>
          </cell>
          <cell r="J3" t="str">
            <v>운산면</v>
          </cell>
          <cell r="K3" t="str">
            <v>해미면</v>
          </cell>
          <cell r="L3" t="str">
            <v>고북면</v>
          </cell>
          <cell r="M3" t="str">
            <v>부촌동</v>
          </cell>
          <cell r="N3" t="str">
            <v>동문동</v>
          </cell>
          <cell r="O3" t="str">
            <v>활성동</v>
          </cell>
          <cell r="P3" t="str">
            <v>수석동</v>
          </cell>
          <cell r="Q3" t="str">
            <v>석남동</v>
          </cell>
        </row>
        <row r="4">
          <cell r="A4">
            <v>1991</v>
          </cell>
          <cell r="B4">
            <v>148522</v>
          </cell>
          <cell r="C4">
            <v>24726</v>
          </cell>
          <cell r="D4">
            <v>5830</v>
          </cell>
          <cell r="E4">
            <v>11070</v>
          </cell>
          <cell r="F4">
            <v>5784</v>
          </cell>
          <cell r="G4">
            <v>6409</v>
          </cell>
          <cell r="H4">
            <v>4365</v>
          </cell>
          <cell r="I4">
            <v>7858</v>
          </cell>
          <cell r="J4">
            <v>8872</v>
          </cell>
          <cell r="K4">
            <v>9738</v>
          </cell>
          <cell r="L4">
            <v>7940</v>
          </cell>
          <cell r="M4">
            <v>55930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A5">
            <v>1992</v>
          </cell>
          <cell r="B5">
            <v>145552</v>
          </cell>
          <cell r="C5">
            <v>25120</v>
          </cell>
          <cell r="D5">
            <v>5257</v>
          </cell>
          <cell r="E5">
            <v>10248</v>
          </cell>
          <cell r="F5">
            <v>5347</v>
          </cell>
          <cell r="G5">
            <v>5890</v>
          </cell>
          <cell r="H5">
            <v>4174</v>
          </cell>
          <cell r="I5">
            <v>7523</v>
          </cell>
          <cell r="J5">
            <v>8555</v>
          </cell>
          <cell r="K5">
            <v>9315</v>
          </cell>
          <cell r="L5">
            <v>7320</v>
          </cell>
          <cell r="M5">
            <v>11755</v>
          </cell>
          <cell r="N5">
            <v>17989</v>
          </cell>
          <cell r="O5">
            <v>10871</v>
          </cell>
          <cell r="P5">
            <v>7681</v>
          </cell>
          <cell r="Q5">
            <v>8507</v>
          </cell>
        </row>
        <row r="6">
          <cell r="A6">
            <v>1993</v>
          </cell>
          <cell r="B6">
            <v>144689</v>
          </cell>
          <cell r="C6">
            <v>16558</v>
          </cell>
          <cell r="D6">
            <v>6254</v>
          </cell>
          <cell r="E6">
            <v>10579</v>
          </cell>
          <cell r="F6">
            <v>5994</v>
          </cell>
          <cell r="G6">
            <v>6463</v>
          </cell>
          <cell r="H6">
            <v>4691</v>
          </cell>
          <cell r="I6">
            <v>8224</v>
          </cell>
          <cell r="J6">
            <v>8918</v>
          </cell>
          <cell r="K6">
            <v>13231</v>
          </cell>
          <cell r="L6">
            <v>8529</v>
          </cell>
          <cell r="M6">
            <v>11355</v>
          </cell>
          <cell r="N6">
            <v>17289</v>
          </cell>
          <cell r="O6">
            <v>10595</v>
          </cell>
          <cell r="P6">
            <v>6985</v>
          </cell>
          <cell r="Q6">
            <v>9024</v>
          </cell>
        </row>
        <row r="7">
          <cell r="A7">
            <v>1994</v>
          </cell>
          <cell r="B7">
            <v>140786</v>
          </cell>
          <cell r="C7">
            <v>16614</v>
          </cell>
          <cell r="D7">
            <v>6128</v>
          </cell>
          <cell r="E7">
            <v>10092</v>
          </cell>
          <cell r="F7">
            <v>5737</v>
          </cell>
          <cell r="G7">
            <v>6154</v>
          </cell>
          <cell r="H7">
            <v>4496</v>
          </cell>
          <cell r="I7">
            <v>8461</v>
          </cell>
          <cell r="J7">
            <v>8574</v>
          </cell>
          <cell r="K7">
            <v>9931</v>
          </cell>
          <cell r="L7">
            <v>8349</v>
          </cell>
          <cell r="M7">
            <v>11096</v>
          </cell>
          <cell r="N7">
            <v>16815</v>
          </cell>
          <cell r="O7">
            <v>10112</v>
          </cell>
          <cell r="P7">
            <v>7474</v>
          </cell>
          <cell r="Q7">
            <v>10753</v>
          </cell>
        </row>
        <row r="8">
          <cell r="A8">
            <v>1995</v>
          </cell>
          <cell r="B8">
            <v>140331</v>
          </cell>
          <cell r="C8">
            <v>16731</v>
          </cell>
          <cell r="D8">
            <v>5988</v>
          </cell>
          <cell r="E8">
            <v>9675</v>
          </cell>
          <cell r="F8">
            <v>5472</v>
          </cell>
          <cell r="G8">
            <v>5881</v>
          </cell>
          <cell r="H8">
            <v>4275</v>
          </cell>
          <cell r="I8">
            <v>8337</v>
          </cell>
          <cell r="J8">
            <v>8134</v>
          </cell>
          <cell r="K8">
            <v>9761</v>
          </cell>
          <cell r="L8">
            <v>8117</v>
          </cell>
          <cell r="M8">
            <v>11364</v>
          </cell>
          <cell r="N8">
            <v>16682</v>
          </cell>
          <cell r="O8">
            <v>9669</v>
          </cell>
          <cell r="P8">
            <v>8375</v>
          </cell>
          <cell r="Q8">
            <v>11870</v>
          </cell>
        </row>
        <row r="9">
          <cell r="A9">
            <v>1996</v>
          </cell>
          <cell r="B9">
            <v>142331</v>
          </cell>
          <cell r="C9">
            <v>18182</v>
          </cell>
          <cell r="D9">
            <v>5786</v>
          </cell>
          <cell r="E9">
            <v>9320</v>
          </cell>
          <cell r="F9">
            <v>5272</v>
          </cell>
          <cell r="G9">
            <v>5699</v>
          </cell>
          <cell r="H9">
            <v>4117</v>
          </cell>
          <cell r="I9">
            <v>8507</v>
          </cell>
          <cell r="J9">
            <v>7830</v>
          </cell>
          <cell r="K9">
            <v>9504</v>
          </cell>
          <cell r="L9">
            <v>7903</v>
          </cell>
          <cell r="M9">
            <v>12000</v>
          </cell>
          <cell r="N9">
            <v>15731</v>
          </cell>
          <cell r="O9">
            <v>8782</v>
          </cell>
          <cell r="P9">
            <v>11881</v>
          </cell>
          <cell r="Q9">
            <v>11817</v>
          </cell>
        </row>
        <row r="10">
          <cell r="A10">
            <v>1997</v>
          </cell>
          <cell r="B10">
            <v>146187</v>
          </cell>
          <cell r="C10">
            <v>18606</v>
          </cell>
          <cell r="D10">
            <v>5532</v>
          </cell>
          <cell r="E10">
            <v>8889</v>
          </cell>
          <cell r="F10">
            <v>4966</v>
          </cell>
          <cell r="G10">
            <v>5457</v>
          </cell>
          <cell r="H10">
            <v>3952</v>
          </cell>
          <cell r="I10">
            <v>8819</v>
          </cell>
          <cell r="J10">
            <v>7582</v>
          </cell>
          <cell r="K10">
            <v>9328</v>
          </cell>
          <cell r="L10">
            <v>8135</v>
          </cell>
          <cell r="M10">
            <v>14433</v>
          </cell>
          <cell r="N10">
            <v>16605</v>
          </cell>
          <cell r="O10">
            <v>8151</v>
          </cell>
          <cell r="P10">
            <v>13940</v>
          </cell>
          <cell r="Q10">
            <v>11792</v>
          </cell>
        </row>
        <row r="11">
          <cell r="A11">
            <v>1998</v>
          </cell>
          <cell r="B11">
            <v>149785</v>
          </cell>
          <cell r="C11">
            <v>20023</v>
          </cell>
          <cell r="D11">
            <v>5452</v>
          </cell>
          <cell r="E11">
            <v>8550</v>
          </cell>
          <cell r="F11">
            <v>4801</v>
          </cell>
          <cell r="G11">
            <v>5324</v>
          </cell>
          <cell r="H11">
            <v>3951</v>
          </cell>
          <cell r="I11">
            <v>9250</v>
          </cell>
          <cell r="J11">
            <v>7425</v>
          </cell>
          <cell r="K11">
            <v>9821</v>
          </cell>
          <cell r="L11">
            <v>9117</v>
          </cell>
          <cell r="M11">
            <v>14740</v>
          </cell>
          <cell r="N11">
            <v>16807</v>
          </cell>
          <cell r="O11">
            <v>8053</v>
          </cell>
          <cell r="P11">
            <v>14356</v>
          </cell>
          <cell r="Q11">
            <v>12115</v>
          </cell>
        </row>
        <row r="12">
          <cell r="A12">
            <v>1999</v>
          </cell>
          <cell r="B12">
            <v>150820</v>
          </cell>
          <cell r="C12">
            <v>20169</v>
          </cell>
          <cell r="D12">
            <v>5709</v>
          </cell>
          <cell r="E12">
            <v>8302</v>
          </cell>
          <cell r="F12">
            <v>4610</v>
          </cell>
          <cell r="G12">
            <v>5141</v>
          </cell>
          <cell r="H12">
            <v>3915</v>
          </cell>
          <cell r="I12">
            <v>9418</v>
          </cell>
          <cell r="J12">
            <v>7269</v>
          </cell>
          <cell r="K12">
            <v>9800</v>
          </cell>
          <cell r="L12">
            <v>9530</v>
          </cell>
          <cell r="M12">
            <v>14842</v>
          </cell>
          <cell r="N12">
            <v>16667</v>
          </cell>
          <cell r="O12">
            <v>7811</v>
          </cell>
          <cell r="P12">
            <v>14282</v>
          </cell>
          <cell r="Q12">
            <v>13355</v>
          </cell>
        </row>
        <row r="13">
          <cell r="A13">
            <v>2000</v>
          </cell>
          <cell r="B13">
            <v>151021</v>
          </cell>
          <cell r="C13">
            <v>19646</v>
          </cell>
          <cell r="D13">
            <v>6219</v>
          </cell>
          <cell r="E13">
            <v>8068</v>
          </cell>
          <cell r="F13">
            <v>4496</v>
          </cell>
          <cell r="G13">
            <v>5030</v>
          </cell>
          <cell r="H13">
            <v>3911</v>
          </cell>
          <cell r="I13">
            <v>9364</v>
          </cell>
          <cell r="J13">
            <v>7048</v>
          </cell>
          <cell r="K13">
            <v>9685</v>
          </cell>
          <cell r="L13">
            <v>9715</v>
          </cell>
          <cell r="M13">
            <v>14889</v>
          </cell>
          <cell r="N13">
            <v>16896</v>
          </cell>
          <cell r="O13">
            <v>7542</v>
          </cell>
          <cell r="P13">
            <v>14185</v>
          </cell>
          <cell r="Q13">
            <v>14327</v>
          </cell>
        </row>
        <row r="14">
          <cell r="A14">
            <v>2001</v>
          </cell>
          <cell r="B14">
            <v>150329</v>
          </cell>
          <cell r="C14">
            <v>19530</v>
          </cell>
          <cell r="D14">
            <v>6297</v>
          </cell>
          <cell r="E14">
            <v>7805</v>
          </cell>
          <cell r="F14">
            <v>4373</v>
          </cell>
          <cell r="G14">
            <v>4896</v>
          </cell>
          <cell r="H14">
            <v>3715</v>
          </cell>
          <cell r="I14">
            <v>9435</v>
          </cell>
          <cell r="J14">
            <v>6914</v>
          </cell>
          <cell r="K14">
            <v>9407</v>
          </cell>
          <cell r="L14">
            <v>9727</v>
          </cell>
          <cell r="M14">
            <v>16070</v>
          </cell>
          <cell r="N14">
            <v>16702</v>
          </cell>
          <cell r="O14">
            <v>7327</v>
          </cell>
          <cell r="P14">
            <v>13885</v>
          </cell>
          <cell r="Q14">
            <v>14246</v>
          </cell>
        </row>
        <row r="15">
          <cell r="A15">
            <v>2002</v>
          </cell>
          <cell r="B15">
            <v>150504</v>
          </cell>
          <cell r="C15">
            <v>19213</v>
          </cell>
          <cell r="D15">
            <v>6086</v>
          </cell>
          <cell r="E15">
            <v>7605</v>
          </cell>
          <cell r="F15">
            <v>4221</v>
          </cell>
          <cell r="G15">
            <v>4776</v>
          </cell>
          <cell r="H15">
            <v>3685</v>
          </cell>
          <cell r="I15">
            <v>10531</v>
          </cell>
          <cell r="J15">
            <v>6933</v>
          </cell>
          <cell r="K15">
            <v>9391</v>
          </cell>
          <cell r="L15">
            <v>9706</v>
          </cell>
          <cell r="M15">
            <v>17321</v>
          </cell>
          <cell r="N15">
            <v>16383</v>
          </cell>
          <cell r="O15">
            <v>6895</v>
          </cell>
          <cell r="P15">
            <v>13835</v>
          </cell>
          <cell r="Q15">
            <v>13923</v>
          </cell>
        </row>
        <row r="16">
          <cell r="A16">
            <v>2003</v>
          </cell>
          <cell r="B16">
            <v>148697</v>
          </cell>
          <cell r="C16">
            <v>18367</v>
          </cell>
          <cell r="D16">
            <v>5994</v>
          </cell>
          <cell r="E16">
            <v>7359</v>
          </cell>
          <cell r="F16">
            <v>4017</v>
          </cell>
          <cell r="G16">
            <v>4580</v>
          </cell>
          <cell r="H16">
            <v>3427</v>
          </cell>
          <cell r="I16">
            <v>10696</v>
          </cell>
          <cell r="J16">
            <v>6845</v>
          </cell>
          <cell r="K16">
            <v>9120</v>
          </cell>
          <cell r="L16">
            <v>9465</v>
          </cell>
          <cell r="M16">
            <v>18829</v>
          </cell>
          <cell r="N16">
            <v>16034</v>
          </cell>
          <cell r="O16">
            <v>6674</v>
          </cell>
          <cell r="P16">
            <v>13597</v>
          </cell>
          <cell r="Q16">
            <v>13693</v>
          </cell>
        </row>
        <row r="17">
          <cell r="A17">
            <v>2004</v>
          </cell>
          <cell r="B17">
            <v>152494</v>
          </cell>
          <cell r="C17">
            <v>18447</v>
          </cell>
          <cell r="D17">
            <v>6684</v>
          </cell>
          <cell r="E17">
            <v>7291</v>
          </cell>
          <cell r="F17">
            <v>3993</v>
          </cell>
          <cell r="G17">
            <v>4764</v>
          </cell>
          <cell r="H17">
            <v>3635</v>
          </cell>
          <cell r="I17">
            <v>10931</v>
          </cell>
          <cell r="J17">
            <v>6678</v>
          </cell>
          <cell r="K17">
            <v>9312</v>
          </cell>
          <cell r="L17">
            <v>9340</v>
          </cell>
          <cell r="M17">
            <v>18856</v>
          </cell>
          <cell r="N17">
            <v>16179</v>
          </cell>
          <cell r="O17">
            <v>6474</v>
          </cell>
          <cell r="P17">
            <v>13029</v>
          </cell>
          <cell r="Q17">
            <v>16881</v>
          </cell>
        </row>
        <row r="18">
          <cell r="A18">
            <v>2005</v>
          </cell>
          <cell r="B18">
            <v>150890</v>
          </cell>
          <cell r="C18">
            <v>17901</v>
          </cell>
          <cell r="D18">
            <v>7219</v>
          </cell>
          <cell r="E18">
            <v>7010</v>
          </cell>
          <cell r="F18">
            <v>3723</v>
          </cell>
          <cell r="G18">
            <v>4513</v>
          </cell>
          <cell r="H18">
            <v>3353</v>
          </cell>
          <cell r="I18">
            <v>10575</v>
          </cell>
          <cell r="J18">
            <v>6408</v>
          </cell>
          <cell r="K18">
            <v>9035</v>
          </cell>
          <cell r="L18">
            <v>9196</v>
          </cell>
          <cell r="M18">
            <v>18982</v>
          </cell>
          <cell r="N18">
            <v>16454</v>
          </cell>
          <cell r="O18">
            <v>6193</v>
          </cell>
          <cell r="P18">
            <v>13104</v>
          </cell>
          <cell r="Q18">
            <v>17224</v>
          </cell>
        </row>
      </sheetData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gCode"/>
      <sheetName val="메인메뉴"/>
      <sheetName val="1.인구현황"/>
      <sheetName val="Variables"/>
      <sheetName val="hid_1.인구현황"/>
      <sheetName val="sum_인구현황"/>
      <sheetName val="sum_양식장현황"/>
      <sheetName val="sum_토지이용현황"/>
      <sheetName val="sum_농약및비료현황"/>
      <sheetName val="sum_생활용수공급현황 "/>
      <sheetName val="sum_공업용수공급현황"/>
      <sheetName val="sum_산업현황"/>
      <sheetName val="sum_축산현황"/>
    </sheetNames>
    <sheetDataSet>
      <sheetData sheetId="0">
        <row r="1">
          <cell r="B1" t="str">
            <v>충청북도</v>
          </cell>
        </row>
        <row r="101">
          <cell r="B101" t="str">
            <v>청주시흥덕구</v>
          </cell>
        </row>
        <row r="102">
          <cell r="B102" t="str">
            <v>가경동</v>
          </cell>
        </row>
        <row r="103">
          <cell r="B103" t="str">
            <v>강서동</v>
          </cell>
        </row>
        <row r="104">
          <cell r="B104" t="str">
            <v>개신동</v>
          </cell>
        </row>
        <row r="105">
          <cell r="B105" t="str">
            <v>남촌동</v>
          </cell>
        </row>
        <row r="106">
          <cell r="B106" t="str">
            <v>내곡동</v>
          </cell>
        </row>
        <row r="107">
          <cell r="B107" t="str">
            <v>동막동</v>
          </cell>
        </row>
        <row r="108">
          <cell r="B108" t="str">
            <v>모충동</v>
          </cell>
        </row>
        <row r="109">
          <cell r="B109" t="str">
            <v>문암동</v>
          </cell>
        </row>
        <row r="110">
          <cell r="B110" t="str">
            <v>미평동</v>
          </cell>
        </row>
        <row r="111">
          <cell r="B111" t="str">
            <v>복대동</v>
          </cell>
        </row>
        <row r="112">
          <cell r="B112" t="str">
            <v>봉명동</v>
          </cell>
        </row>
        <row r="113">
          <cell r="B113" t="str">
            <v>분평동</v>
          </cell>
        </row>
        <row r="114">
          <cell r="B114" t="str">
            <v>비하동</v>
          </cell>
        </row>
        <row r="115">
          <cell r="B115" t="str">
            <v>사직동</v>
          </cell>
        </row>
        <row r="116">
          <cell r="B116" t="str">
            <v>사창동</v>
          </cell>
        </row>
        <row r="117">
          <cell r="B117" t="str">
            <v>산남동</v>
          </cell>
        </row>
        <row r="118">
          <cell r="B118" t="str">
            <v>상신동</v>
          </cell>
        </row>
        <row r="119">
          <cell r="B119" t="str">
            <v>서촌동</v>
          </cell>
        </row>
        <row r="120">
          <cell r="B120" t="str">
            <v>석곡동</v>
          </cell>
        </row>
        <row r="121">
          <cell r="B121" t="str">
            <v>석소동</v>
          </cell>
        </row>
        <row r="122">
          <cell r="B122" t="str">
            <v>성화동</v>
          </cell>
        </row>
        <row r="123">
          <cell r="B123" t="str">
            <v>송절동</v>
          </cell>
        </row>
        <row r="124">
          <cell r="B124" t="str">
            <v>송정동</v>
          </cell>
        </row>
        <row r="125">
          <cell r="B125" t="str">
            <v>수곡동</v>
          </cell>
        </row>
        <row r="126">
          <cell r="B126" t="str">
            <v>수의동</v>
          </cell>
        </row>
        <row r="127">
          <cell r="B127" t="str">
            <v>신대동</v>
          </cell>
        </row>
        <row r="128">
          <cell r="B128" t="str">
            <v>신봉동</v>
          </cell>
        </row>
        <row r="129">
          <cell r="B129" t="str">
            <v>신성동</v>
          </cell>
        </row>
        <row r="130">
          <cell r="B130" t="str">
            <v>신전동</v>
          </cell>
        </row>
        <row r="131">
          <cell r="B131" t="str">
            <v>신촌동</v>
          </cell>
        </row>
        <row r="132">
          <cell r="B132" t="str">
            <v>외북동</v>
          </cell>
        </row>
        <row r="133">
          <cell r="B133" t="str">
            <v>운천동</v>
          </cell>
        </row>
        <row r="134">
          <cell r="B134" t="str">
            <v>원평동</v>
          </cell>
        </row>
        <row r="135">
          <cell r="B135" t="str">
            <v>장성동</v>
          </cell>
        </row>
        <row r="136">
          <cell r="B136" t="str">
            <v>장암동</v>
          </cell>
        </row>
        <row r="137">
          <cell r="B137" t="str">
            <v>정봉동</v>
          </cell>
        </row>
        <row r="138">
          <cell r="B138" t="str">
            <v>죽림동</v>
          </cell>
        </row>
        <row r="139">
          <cell r="B139" t="str">
            <v>지동동</v>
          </cell>
        </row>
        <row r="140">
          <cell r="B140" t="str">
            <v>평동</v>
          </cell>
        </row>
        <row r="141">
          <cell r="B141" t="str">
            <v>향정동</v>
          </cell>
        </row>
        <row r="142">
          <cell r="B142" t="str">
            <v>현암동</v>
          </cell>
        </row>
        <row r="143">
          <cell r="B143" t="str">
            <v>화계동</v>
          </cell>
        </row>
        <row r="144">
          <cell r="B144" t="str">
            <v>휴암동</v>
          </cell>
        </row>
        <row r="10002">
          <cell r="CQ10002" t="str">
            <v>수변구역</v>
          </cell>
        </row>
        <row r="10003">
          <cell r="CQ10003" t="str">
            <v>특정지역</v>
          </cell>
        </row>
        <row r="10004">
          <cell r="CQ10004" t="str">
            <v>일반지역</v>
          </cell>
        </row>
        <row r="10005">
          <cell r="CQ10005" t="str">
            <v>수변+특정지역</v>
          </cell>
        </row>
      </sheetData>
      <sheetData sheetId="1"/>
      <sheetData sheetId="2"/>
      <sheetData sheetId="3">
        <row r="1">
          <cell r="E1" t="str">
            <v/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P161"/>
  <sheetViews>
    <sheetView view="pageBreakPreview" zoomScaleNormal="100" zoomScaleSheetLayoutView="100" workbookViewId="0">
      <selection activeCell="J14" sqref="J14"/>
    </sheetView>
  </sheetViews>
  <sheetFormatPr defaultRowHeight="13.5"/>
  <cols>
    <col min="1" max="11" width="8.75" style="178" customWidth="1"/>
    <col min="12" max="12" width="9.75" style="178" bestFit="1" customWidth="1"/>
    <col min="13" max="13" width="10.875" style="178" bestFit="1" customWidth="1"/>
    <col min="14" max="15" width="8.625" style="178" customWidth="1"/>
    <col min="16" max="20" width="9" style="178" customWidth="1"/>
    <col min="21" max="21" width="16.375" style="178" customWidth="1"/>
    <col min="22" max="31" width="14.75" style="178" customWidth="1"/>
    <col min="32" max="32" width="14.375" style="178" customWidth="1"/>
    <col min="33" max="16384" width="9" style="178"/>
  </cols>
  <sheetData>
    <row r="1" spans="1:41" ht="18" customHeight="1">
      <c r="A1" s="177" t="s">
        <v>188</v>
      </c>
    </row>
    <row r="2" spans="1:41" ht="18" customHeight="1">
      <c r="A2" s="179" t="s">
        <v>635</v>
      </c>
    </row>
    <row r="3" spans="1:41" ht="18" customHeight="1">
      <c r="A3" s="2255" t="s">
        <v>189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1"/>
      <c r="Q3" s="181"/>
      <c r="R3" s="181"/>
      <c r="S3" s="181"/>
      <c r="T3" s="181"/>
      <c r="U3" s="181"/>
      <c r="V3" s="181"/>
      <c r="W3" s="181"/>
      <c r="X3" s="181"/>
      <c r="Y3" s="182"/>
      <c r="Z3" s="181"/>
      <c r="AA3" s="182"/>
      <c r="AB3" s="183"/>
      <c r="AC3" s="181"/>
      <c r="AD3" s="181"/>
      <c r="AE3" s="181"/>
      <c r="AF3" s="181"/>
      <c r="AG3" s="181"/>
      <c r="AH3" s="181"/>
      <c r="AI3" s="181"/>
      <c r="AJ3" s="181"/>
      <c r="AK3" s="181"/>
      <c r="AL3" s="181"/>
      <c r="AM3" s="181"/>
      <c r="AN3" s="181"/>
      <c r="AO3" s="182"/>
    </row>
    <row r="4" spans="1:41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5" t="s">
        <v>190</v>
      </c>
      <c r="P4" s="180"/>
      <c r="Q4" s="180"/>
      <c r="R4" s="180"/>
      <c r="S4" s="180"/>
      <c r="T4" s="180"/>
      <c r="U4" s="180"/>
      <c r="V4" s="180"/>
      <c r="W4" s="180"/>
      <c r="X4" s="180"/>
      <c r="Y4" s="186"/>
      <c r="Z4" s="180"/>
      <c r="AA4" s="186"/>
      <c r="AB4" s="187"/>
      <c r="AC4" s="180"/>
      <c r="AD4" s="180"/>
      <c r="AE4" s="180"/>
      <c r="AF4" s="180"/>
      <c r="AG4" s="180"/>
      <c r="AH4" s="180"/>
      <c r="AI4" s="180"/>
      <c r="AJ4" s="180"/>
      <c r="AK4" s="180"/>
      <c r="AL4" s="180"/>
      <c r="AM4" s="180"/>
      <c r="AN4" s="180"/>
      <c r="AO4" s="186"/>
    </row>
    <row r="5" spans="1:41" ht="17.45" customHeight="1">
      <c r="A5" s="2264" t="s">
        <v>191</v>
      </c>
      <c r="B5" s="2264"/>
      <c r="C5" s="2265" t="s">
        <v>192</v>
      </c>
      <c r="D5" s="2265" t="s">
        <v>193</v>
      </c>
      <c r="E5" s="2265" t="s">
        <v>194</v>
      </c>
      <c r="F5" s="2265" t="s">
        <v>195</v>
      </c>
      <c r="G5" s="2265" t="s">
        <v>196</v>
      </c>
      <c r="H5" s="2265" t="s">
        <v>197</v>
      </c>
      <c r="I5" s="2265" t="s">
        <v>198</v>
      </c>
      <c r="J5" s="2265" t="s">
        <v>199</v>
      </c>
      <c r="K5" s="2265" t="s">
        <v>625</v>
      </c>
      <c r="L5" s="2263" t="s">
        <v>633</v>
      </c>
      <c r="M5" s="2263" t="s">
        <v>1218</v>
      </c>
      <c r="N5" s="2263" t="s">
        <v>201</v>
      </c>
      <c r="O5" s="2263"/>
      <c r="P5" s="180"/>
      <c r="Q5" s="180"/>
      <c r="R5" s="180"/>
      <c r="S5" s="180"/>
      <c r="T5" s="180"/>
      <c r="U5" s="180"/>
      <c r="V5" s="180"/>
      <c r="W5" s="180"/>
      <c r="X5" s="180"/>
      <c r="Y5" s="186"/>
      <c r="Z5" s="180"/>
      <c r="AA5" s="186"/>
      <c r="AB5" s="187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6"/>
    </row>
    <row r="6" spans="1:41" ht="17.45" customHeight="1">
      <c r="A6" s="2264"/>
      <c r="B6" s="2264"/>
      <c r="C6" s="2266"/>
      <c r="D6" s="2266"/>
      <c r="E6" s="2266"/>
      <c r="F6" s="2266"/>
      <c r="G6" s="2266"/>
      <c r="H6" s="2266"/>
      <c r="I6" s="2266"/>
      <c r="J6" s="2266"/>
      <c r="K6" s="2266"/>
      <c r="L6" s="2267"/>
      <c r="M6" s="2267"/>
      <c r="N6" s="1946" t="s">
        <v>203</v>
      </c>
      <c r="O6" s="1946" t="s">
        <v>205</v>
      </c>
      <c r="P6" s="180"/>
      <c r="Q6" s="180"/>
      <c r="R6" s="180"/>
      <c r="S6" s="180"/>
      <c r="T6" s="180"/>
      <c r="U6" s="180"/>
      <c r="V6" s="180"/>
      <c r="W6" s="180"/>
      <c r="X6" s="180"/>
      <c r="Y6" s="186"/>
      <c r="Z6" s="180"/>
      <c r="AA6" s="186"/>
      <c r="AB6" s="187"/>
      <c r="AC6" s="180"/>
      <c r="AD6" s="180"/>
      <c r="AE6" s="180"/>
      <c r="AF6" s="180"/>
      <c r="AG6" s="180"/>
      <c r="AH6" s="180"/>
      <c r="AI6" s="180"/>
      <c r="AJ6" s="180"/>
      <c r="AK6" s="180"/>
      <c r="AL6" s="180"/>
      <c r="AM6" s="180"/>
      <c r="AN6" s="180"/>
      <c r="AO6" s="186"/>
    </row>
    <row r="7" spans="1:41" ht="17.45" customHeight="1">
      <c r="A7" s="2270" t="s">
        <v>634</v>
      </c>
      <c r="B7" s="1944" t="s">
        <v>206</v>
      </c>
      <c r="C7" s="718">
        <v>90159</v>
      </c>
      <c r="D7" s="718">
        <v>92520</v>
      </c>
      <c r="E7" s="718">
        <v>94144</v>
      </c>
      <c r="F7" s="718">
        <v>94580</v>
      </c>
      <c r="G7" s="719">
        <v>96214</v>
      </c>
      <c r="H7" s="719">
        <v>96993</v>
      </c>
      <c r="I7" s="719">
        <v>98279</v>
      </c>
      <c r="J7" s="719">
        <v>99952</v>
      </c>
      <c r="K7" s="719">
        <v>102796</v>
      </c>
      <c r="L7" s="719">
        <v>104316</v>
      </c>
      <c r="M7" s="719">
        <v>106419</v>
      </c>
      <c r="N7" s="188"/>
      <c r="O7" s="188"/>
      <c r="P7" s="180"/>
      <c r="Q7" s="189">
        <f>+D7-C7</f>
        <v>2361</v>
      </c>
      <c r="R7" s="189">
        <f t="shared" ref="R7:Z7" si="0">+E7-D7</f>
        <v>1624</v>
      </c>
      <c r="S7" s="189">
        <f t="shared" si="0"/>
        <v>436</v>
      </c>
      <c r="T7" s="189">
        <f t="shared" si="0"/>
        <v>1634</v>
      </c>
      <c r="U7" s="189">
        <f t="shared" si="0"/>
        <v>779</v>
      </c>
      <c r="V7" s="189">
        <f t="shared" si="0"/>
        <v>1286</v>
      </c>
      <c r="W7" s="189">
        <f t="shared" si="0"/>
        <v>1673</v>
      </c>
      <c r="X7" s="189">
        <f t="shared" si="0"/>
        <v>2844</v>
      </c>
      <c r="Y7" s="190">
        <f t="shared" si="0"/>
        <v>1520</v>
      </c>
      <c r="Z7" s="189">
        <f t="shared" si="0"/>
        <v>2103</v>
      </c>
      <c r="AA7" s="190"/>
      <c r="AB7" s="187"/>
      <c r="AC7" s="180"/>
      <c r="AD7" s="180"/>
      <c r="AE7" s="180"/>
      <c r="AF7" s="180"/>
      <c r="AG7" s="180"/>
      <c r="AH7" s="180"/>
      <c r="AI7" s="180"/>
      <c r="AJ7" s="180"/>
      <c r="AK7" s="180"/>
      <c r="AL7" s="180"/>
      <c r="AM7" s="180"/>
      <c r="AN7" s="180"/>
      <c r="AO7" s="186"/>
    </row>
    <row r="8" spans="1:41" ht="17.45" customHeight="1">
      <c r="A8" s="2271"/>
      <c r="B8" s="1945" t="s">
        <v>207</v>
      </c>
      <c r="C8" s="191"/>
      <c r="D8" s="192">
        <f>+ROUND((D7-C7)/C7*100,2)</f>
        <v>2.62</v>
      </c>
      <c r="E8" s="192">
        <f>+ROUND((E7-D7)/D7*100,2)</f>
        <v>1.76</v>
      </c>
      <c r="F8" s="192">
        <f t="shared" ref="F8:M8" si="1">+ROUND((F7-E7)/E7*100,2)</f>
        <v>0.46</v>
      </c>
      <c r="G8" s="192">
        <f t="shared" si="1"/>
        <v>1.73</v>
      </c>
      <c r="H8" s="192">
        <f t="shared" si="1"/>
        <v>0.81</v>
      </c>
      <c r="I8" s="192">
        <f t="shared" si="1"/>
        <v>1.33</v>
      </c>
      <c r="J8" s="192">
        <f t="shared" si="1"/>
        <v>1.7</v>
      </c>
      <c r="K8" s="192">
        <f t="shared" si="1"/>
        <v>2.85</v>
      </c>
      <c r="L8" s="192">
        <f t="shared" si="1"/>
        <v>1.48</v>
      </c>
      <c r="M8" s="192">
        <f t="shared" si="1"/>
        <v>2.02</v>
      </c>
      <c r="N8" s="687">
        <f>ROUND(((M7/I7)^(1/4)-1)*100,2)</f>
        <v>2.0099999999999998</v>
      </c>
      <c r="O8" s="687">
        <f>ROUND(((M7/D7)^(1/9)-1)*100,2)</f>
        <v>1.57</v>
      </c>
      <c r="P8" s="193"/>
      <c r="Q8" s="180"/>
      <c r="R8" s="180"/>
      <c r="S8" s="180"/>
      <c r="T8" s="180"/>
      <c r="U8" s="180"/>
      <c r="V8" s="180"/>
      <c r="W8" s="180"/>
      <c r="X8" s="180"/>
      <c r="Y8" s="186"/>
      <c r="Z8" s="180"/>
      <c r="AA8" s="186"/>
      <c r="AB8" s="187"/>
      <c r="AC8" s="180"/>
      <c r="AD8" s="180"/>
      <c r="AE8" s="180"/>
      <c r="AF8" s="180"/>
      <c r="AG8" s="180"/>
      <c r="AH8" s="180"/>
      <c r="AI8" s="180"/>
      <c r="AJ8" s="180"/>
      <c r="AK8" s="180"/>
      <c r="AL8" s="180"/>
      <c r="AM8" s="180"/>
      <c r="AN8" s="180"/>
      <c r="AO8" s="186"/>
    </row>
    <row r="9" spans="1:41" ht="17.45" customHeight="1">
      <c r="A9" s="2270" t="s">
        <v>636</v>
      </c>
      <c r="B9" s="1944" t="s">
        <v>208</v>
      </c>
      <c r="C9" s="718">
        <v>18154</v>
      </c>
      <c r="D9" s="718">
        <v>18414</v>
      </c>
      <c r="E9" s="718">
        <v>18251</v>
      </c>
      <c r="F9" s="718">
        <v>18588</v>
      </c>
      <c r="G9" s="719">
        <v>19021</v>
      </c>
      <c r="H9" s="719">
        <v>18690</v>
      </c>
      <c r="I9" s="719">
        <v>18920</v>
      </c>
      <c r="J9" s="719">
        <v>19167</v>
      </c>
      <c r="K9" s="719">
        <v>19214</v>
      </c>
      <c r="L9" s="719">
        <v>18986</v>
      </c>
      <c r="M9" s="719">
        <v>19057</v>
      </c>
      <c r="N9" s="188"/>
      <c r="O9" s="188"/>
      <c r="P9" s="180"/>
      <c r="Q9" s="180"/>
      <c r="R9" s="180"/>
      <c r="S9" s="180"/>
      <c r="T9" s="180">
        <v>19963</v>
      </c>
      <c r="U9" s="180"/>
      <c r="V9" s="180"/>
      <c r="W9" s="180"/>
      <c r="X9" s="180"/>
      <c r="Y9" s="186"/>
      <c r="Z9" s="180"/>
      <c r="AA9" s="186"/>
      <c r="AB9" s="187"/>
      <c r="AC9" s="180"/>
      <c r="AD9" s="180"/>
      <c r="AE9" s="180"/>
      <c r="AF9" s="180"/>
      <c r="AG9" s="180"/>
      <c r="AH9" s="180"/>
      <c r="AI9" s="180"/>
      <c r="AJ9" s="180"/>
      <c r="AK9" s="180"/>
      <c r="AL9" s="180"/>
      <c r="AM9" s="180"/>
      <c r="AN9" s="180"/>
      <c r="AO9" s="186"/>
    </row>
    <row r="10" spans="1:41" ht="17.45" customHeight="1">
      <c r="A10" s="2271"/>
      <c r="B10" s="1945" t="s">
        <v>209</v>
      </c>
      <c r="C10" s="191"/>
      <c r="D10" s="192">
        <f>+ROUND((D9-C9)/C9*100,2)</f>
        <v>1.43</v>
      </c>
      <c r="E10" s="194">
        <f t="shared" ref="E10:M10" si="2">+ROUND((E9-D9)/D9*100,1)</f>
        <v>-0.9</v>
      </c>
      <c r="F10" s="194">
        <f t="shared" si="2"/>
        <v>1.8</v>
      </c>
      <c r="G10" s="194">
        <f t="shared" si="2"/>
        <v>2.2999999999999998</v>
      </c>
      <c r="H10" s="194">
        <f t="shared" si="2"/>
        <v>-1.7</v>
      </c>
      <c r="I10" s="194">
        <f t="shared" si="2"/>
        <v>1.2</v>
      </c>
      <c r="J10" s="194">
        <f t="shared" si="2"/>
        <v>1.3</v>
      </c>
      <c r="K10" s="194">
        <f t="shared" si="2"/>
        <v>0.2</v>
      </c>
      <c r="L10" s="194">
        <f t="shared" si="2"/>
        <v>-1.2</v>
      </c>
      <c r="M10" s="194">
        <f t="shared" si="2"/>
        <v>0.4</v>
      </c>
      <c r="N10" s="687">
        <f>ROUND(((M9/I9)^(1/4)-1)*100,2)</f>
        <v>0.18</v>
      </c>
      <c r="O10" s="687">
        <f>ROUND(((M9/D9)^(1/9)-1)*100,2)</f>
        <v>0.38</v>
      </c>
      <c r="P10" s="193"/>
      <c r="Q10" s="180"/>
      <c r="R10" s="180"/>
      <c r="S10" s="180"/>
      <c r="T10" s="195">
        <v>19905</v>
      </c>
      <c r="U10" s="196">
        <f>+ROUND((T10-T9)/T9*100,2)</f>
        <v>-0.28999999999999998</v>
      </c>
      <c r="V10" s="180"/>
      <c r="W10" s="180"/>
      <c r="X10" s="180"/>
      <c r="Y10" s="186"/>
      <c r="Z10" s="180"/>
      <c r="AA10" s="186"/>
      <c r="AB10" s="187"/>
      <c r="AC10" s="180"/>
      <c r="AD10" s="180"/>
      <c r="AE10" s="180"/>
      <c r="AF10" s="180"/>
      <c r="AG10" s="180"/>
      <c r="AH10" s="180"/>
      <c r="AI10" s="180"/>
      <c r="AJ10" s="180"/>
      <c r="AK10" s="180"/>
      <c r="AL10" s="180"/>
      <c r="AM10" s="180"/>
      <c r="AN10" s="180"/>
      <c r="AO10" s="186"/>
    </row>
    <row r="11" spans="1:41" ht="17.45" customHeight="1">
      <c r="A11" s="2270" t="s">
        <v>637</v>
      </c>
      <c r="B11" s="1944" t="s">
        <v>133</v>
      </c>
      <c r="C11" s="720">
        <v>19788</v>
      </c>
      <c r="D11" s="721">
        <v>20615</v>
      </c>
      <c r="E11" s="721">
        <v>22162</v>
      </c>
      <c r="F11" s="720">
        <v>22357</v>
      </c>
      <c r="G11" s="720">
        <v>22538</v>
      </c>
      <c r="H11" s="720">
        <v>22572</v>
      </c>
      <c r="I11" s="722">
        <v>22563</v>
      </c>
      <c r="J11" s="722">
        <v>23002</v>
      </c>
      <c r="K11" s="723">
        <v>23362</v>
      </c>
      <c r="L11" s="723">
        <v>23334</v>
      </c>
      <c r="M11" s="723">
        <v>23398</v>
      </c>
      <c r="N11" s="688"/>
      <c r="O11" s="688"/>
      <c r="P11" s="193"/>
      <c r="Q11" s="180"/>
      <c r="R11" s="180"/>
      <c r="S11" s="180"/>
      <c r="T11" s="195">
        <v>20037</v>
      </c>
      <c r="U11" s="196">
        <f t="shared" ref="U11:U19" si="3">+ROUND((T11-T10)/T10*100,2)</f>
        <v>0.66</v>
      </c>
      <c r="V11" s="180"/>
      <c r="W11" s="180"/>
      <c r="X11" s="180"/>
      <c r="Y11" s="186"/>
      <c r="Z11" s="180"/>
      <c r="AA11" s="186"/>
      <c r="AB11" s="187"/>
      <c r="AC11" s="180"/>
      <c r="AD11" s="180"/>
      <c r="AE11" s="180"/>
      <c r="AF11" s="180"/>
      <c r="AG11" s="180"/>
      <c r="AH11" s="180"/>
      <c r="AI11" s="180"/>
      <c r="AJ11" s="180"/>
      <c r="AK11" s="180"/>
      <c r="AL11" s="180"/>
      <c r="AM11" s="180"/>
      <c r="AN11" s="180"/>
      <c r="AO11" s="186"/>
    </row>
    <row r="12" spans="1:41" ht="17.45" customHeight="1">
      <c r="A12" s="2271"/>
      <c r="B12" s="1945" t="s">
        <v>207</v>
      </c>
      <c r="C12" s="191"/>
      <c r="D12" s="192">
        <f>+ROUND((D11-C11)/C11*100,2)</f>
        <v>4.18</v>
      </c>
      <c r="E12" s="194">
        <f t="shared" ref="E12:M12" si="4">+ROUND((E11-D11)/D11*100,1)</f>
        <v>7.5</v>
      </c>
      <c r="F12" s="194">
        <f t="shared" si="4"/>
        <v>0.9</v>
      </c>
      <c r="G12" s="194">
        <f t="shared" si="4"/>
        <v>0.8</v>
      </c>
      <c r="H12" s="194">
        <f t="shared" si="4"/>
        <v>0.2</v>
      </c>
      <c r="I12" s="194">
        <f t="shared" si="4"/>
        <v>0</v>
      </c>
      <c r="J12" s="194">
        <f t="shared" si="4"/>
        <v>1.9</v>
      </c>
      <c r="K12" s="194">
        <f t="shared" si="4"/>
        <v>1.6</v>
      </c>
      <c r="L12" s="194">
        <f t="shared" si="4"/>
        <v>-0.1</v>
      </c>
      <c r="M12" s="194">
        <f t="shared" si="4"/>
        <v>0.3</v>
      </c>
      <c r="N12" s="687">
        <f>ROUND(((M11/I11)^(1/4)-1)*100,2)</f>
        <v>0.91</v>
      </c>
      <c r="O12" s="687">
        <f>ROUND(((M11/D11)^(1/9)-1)*100,2)</f>
        <v>1.42</v>
      </c>
      <c r="P12" s="193"/>
      <c r="Q12" s="180"/>
      <c r="R12" s="180"/>
      <c r="S12" s="180"/>
      <c r="T12" s="195">
        <v>20080</v>
      </c>
      <c r="U12" s="196">
        <f t="shared" si="3"/>
        <v>0.21</v>
      </c>
      <c r="V12" s="180"/>
      <c r="W12" s="180"/>
      <c r="X12" s="180"/>
      <c r="Y12" s="186"/>
      <c r="Z12" s="180"/>
      <c r="AA12" s="186"/>
      <c r="AB12" s="187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6"/>
    </row>
    <row r="13" spans="1:41" ht="17.45" customHeight="1">
      <c r="A13" s="2270" t="s">
        <v>638</v>
      </c>
      <c r="B13" s="1944" t="s">
        <v>133</v>
      </c>
      <c r="C13" s="720">
        <v>3499</v>
      </c>
      <c r="D13" s="721">
        <v>3500</v>
      </c>
      <c r="E13" s="721">
        <v>3493</v>
      </c>
      <c r="F13" s="720">
        <v>3452</v>
      </c>
      <c r="G13" s="720">
        <v>3452</v>
      </c>
      <c r="H13" s="720">
        <v>3386</v>
      </c>
      <c r="I13" s="722">
        <v>3321</v>
      </c>
      <c r="J13" s="722">
        <v>3291</v>
      </c>
      <c r="K13" s="723">
        <v>3233</v>
      </c>
      <c r="L13" s="723">
        <v>3221</v>
      </c>
      <c r="M13" s="723">
        <v>3240</v>
      </c>
      <c r="N13" s="688"/>
      <c r="O13" s="688"/>
      <c r="P13" s="193"/>
      <c r="Q13" s="180"/>
      <c r="R13" s="180"/>
      <c r="S13" s="180"/>
      <c r="T13" s="195">
        <v>20229</v>
      </c>
      <c r="U13" s="196">
        <f t="shared" si="3"/>
        <v>0.74</v>
      </c>
      <c r="V13" s="180"/>
      <c r="W13" s="180"/>
      <c r="X13" s="180"/>
      <c r="Y13" s="186"/>
      <c r="Z13" s="180"/>
      <c r="AA13" s="186"/>
      <c r="AB13" s="187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6"/>
    </row>
    <row r="14" spans="1:41" ht="17.45" customHeight="1">
      <c r="A14" s="2271"/>
      <c r="B14" s="1945" t="s">
        <v>210</v>
      </c>
      <c r="C14" s="1945"/>
      <c r="D14" s="192">
        <f>+ROUND((D13-C13)/C13*100,2)</f>
        <v>0.03</v>
      </c>
      <c r="E14" s="194">
        <f t="shared" ref="E14:M14" si="5">+ROUND((E13-D13)/D13*100,1)</f>
        <v>-0.2</v>
      </c>
      <c r="F14" s="194">
        <f t="shared" si="5"/>
        <v>-1.2</v>
      </c>
      <c r="G14" s="194">
        <f t="shared" si="5"/>
        <v>0</v>
      </c>
      <c r="H14" s="194">
        <f t="shared" si="5"/>
        <v>-1.9</v>
      </c>
      <c r="I14" s="194">
        <f t="shared" si="5"/>
        <v>-1.9</v>
      </c>
      <c r="J14" s="194">
        <f t="shared" si="5"/>
        <v>-0.9</v>
      </c>
      <c r="K14" s="194">
        <f t="shared" si="5"/>
        <v>-1.8</v>
      </c>
      <c r="L14" s="194">
        <f t="shared" si="5"/>
        <v>-0.4</v>
      </c>
      <c r="M14" s="194">
        <f t="shared" si="5"/>
        <v>0.6</v>
      </c>
      <c r="N14" s="687">
        <f>ROUND(((M13/I13)^(1/4)-1)*100,2)</f>
        <v>-0.62</v>
      </c>
      <c r="O14" s="687">
        <f>ROUND(((M13/D13)^(1/9)-1)*100,2)</f>
        <v>-0.85</v>
      </c>
      <c r="P14" s="2091"/>
      <c r="Q14" s="184"/>
      <c r="R14" s="184"/>
      <c r="S14" s="184"/>
      <c r="T14" s="2092">
        <v>20689</v>
      </c>
      <c r="U14" s="2093">
        <f t="shared" si="3"/>
        <v>2.27</v>
      </c>
      <c r="V14" s="184"/>
      <c r="W14" s="184"/>
      <c r="X14" s="184"/>
      <c r="Y14" s="205"/>
      <c r="Z14" s="180"/>
      <c r="AA14" s="186"/>
      <c r="AB14" s="187"/>
      <c r="AC14" s="180"/>
      <c r="AD14" s="180"/>
      <c r="AE14" s="180"/>
      <c r="AF14" s="180"/>
      <c r="AG14" s="180"/>
      <c r="AH14" s="180"/>
      <c r="AI14" s="180"/>
      <c r="AJ14" s="180"/>
      <c r="AK14" s="180"/>
      <c r="AL14" s="180"/>
      <c r="AM14" s="180"/>
      <c r="AN14" s="180"/>
      <c r="AO14" s="186"/>
    </row>
    <row r="15" spans="1:41" ht="17.45" customHeight="1">
      <c r="A15" s="2272" t="s">
        <v>639</v>
      </c>
      <c r="B15" s="2016" t="s">
        <v>133</v>
      </c>
      <c r="C15" s="2017">
        <v>3455</v>
      </c>
      <c r="D15" s="2018">
        <v>3377</v>
      </c>
      <c r="E15" s="2018">
        <v>3359</v>
      </c>
      <c r="F15" s="2017">
        <v>3318</v>
      </c>
      <c r="G15" s="2017">
        <v>3364</v>
      </c>
      <c r="H15" s="2017">
        <v>3307</v>
      </c>
      <c r="I15" s="2019">
        <v>3313</v>
      </c>
      <c r="J15" s="2019">
        <v>3326</v>
      </c>
      <c r="K15" s="2020">
        <v>3270</v>
      </c>
      <c r="L15" s="2020">
        <v>3243</v>
      </c>
      <c r="M15" s="2020">
        <v>3317</v>
      </c>
      <c r="N15" s="2021"/>
      <c r="O15" s="2021"/>
      <c r="P15" s="193"/>
      <c r="Q15" s="180"/>
      <c r="R15" s="180"/>
      <c r="S15" s="180"/>
      <c r="T15" s="195">
        <v>21271</v>
      </c>
      <c r="U15" s="2022">
        <f t="shared" si="3"/>
        <v>2.81</v>
      </c>
      <c r="V15" s="180"/>
      <c r="W15" s="180"/>
      <c r="X15" s="180"/>
      <c r="Y15" s="180"/>
      <c r="Z15" s="180"/>
      <c r="AA15" s="186"/>
      <c r="AB15" s="187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6"/>
    </row>
    <row r="16" spans="1:41" ht="17.45" customHeight="1">
      <c r="A16" s="2273"/>
      <c r="B16" s="2125" t="s">
        <v>210</v>
      </c>
      <c r="C16" s="2125"/>
      <c r="D16" s="2126">
        <f>+ROUND((D15-C15)/C15*100,2)</f>
        <v>-2.2599999999999998</v>
      </c>
      <c r="E16" s="2127">
        <f t="shared" ref="E16:M16" si="6">+ROUND((E15-D15)/D15*100,1)</f>
        <v>-0.5</v>
      </c>
      <c r="F16" s="2127">
        <f t="shared" si="6"/>
        <v>-1.2</v>
      </c>
      <c r="G16" s="2127">
        <f t="shared" si="6"/>
        <v>1.4</v>
      </c>
      <c r="H16" s="2127">
        <f t="shared" si="6"/>
        <v>-1.7</v>
      </c>
      <c r="I16" s="2127">
        <f t="shared" si="6"/>
        <v>0.2</v>
      </c>
      <c r="J16" s="2127">
        <f t="shared" si="6"/>
        <v>0.4</v>
      </c>
      <c r="K16" s="2127">
        <f t="shared" si="6"/>
        <v>-1.7</v>
      </c>
      <c r="L16" s="2127">
        <f t="shared" si="6"/>
        <v>-0.8</v>
      </c>
      <c r="M16" s="2127">
        <f t="shared" si="6"/>
        <v>2.2999999999999998</v>
      </c>
      <c r="N16" s="2128">
        <f>ROUND(((M15/I15)^(1/4)-1)*100,2)</f>
        <v>0.03</v>
      </c>
      <c r="O16" s="2128">
        <f>ROUND(((M15/D15)^(1/9)-1)*100,2)</f>
        <v>-0.2</v>
      </c>
      <c r="P16" s="193"/>
      <c r="Q16" s="180"/>
      <c r="R16" s="180"/>
      <c r="S16" s="180"/>
      <c r="T16" s="197">
        <v>21767</v>
      </c>
      <c r="U16" s="198">
        <f t="shared" si="3"/>
        <v>2.33</v>
      </c>
      <c r="V16" s="180"/>
      <c r="W16" s="180"/>
      <c r="X16" s="180"/>
      <c r="Y16" s="180"/>
      <c r="Z16" s="180"/>
      <c r="AA16" s="186"/>
      <c r="AB16" s="187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6"/>
    </row>
    <row r="17" spans="1:42" ht="17.45" customHeight="1">
      <c r="A17" s="2270" t="s">
        <v>640</v>
      </c>
      <c r="B17" s="1944" t="s">
        <v>211</v>
      </c>
      <c r="C17" s="720">
        <v>4906</v>
      </c>
      <c r="D17" s="721">
        <v>5165</v>
      </c>
      <c r="E17" s="721">
        <v>5233</v>
      </c>
      <c r="F17" s="720">
        <v>5071</v>
      </c>
      <c r="G17" s="720">
        <v>5253</v>
      </c>
      <c r="H17" s="720">
        <v>5574</v>
      </c>
      <c r="I17" s="722">
        <v>5497</v>
      </c>
      <c r="J17" s="722">
        <v>5579</v>
      </c>
      <c r="K17" s="723">
        <v>8143</v>
      </c>
      <c r="L17" s="723">
        <v>10418</v>
      </c>
      <c r="M17" s="723">
        <v>12254</v>
      </c>
      <c r="N17" s="688"/>
      <c r="O17" s="688"/>
      <c r="P17" s="2185"/>
      <c r="Q17" s="181"/>
      <c r="R17" s="181"/>
      <c r="S17" s="181"/>
      <c r="T17" s="2186">
        <v>22025</v>
      </c>
      <c r="U17" s="2187">
        <f t="shared" si="3"/>
        <v>1.19</v>
      </c>
      <c r="V17" s="181"/>
      <c r="W17" s="181"/>
      <c r="X17" s="181"/>
      <c r="Y17" s="182"/>
      <c r="Z17" s="180"/>
      <c r="AA17" s="186"/>
      <c r="AB17" s="187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6"/>
    </row>
    <row r="18" spans="1:42" ht="17.45" customHeight="1">
      <c r="A18" s="2271"/>
      <c r="B18" s="1945" t="s">
        <v>210</v>
      </c>
      <c r="C18" s="191"/>
      <c r="D18" s="192">
        <f>+ROUND((D17-C17)/C17*100,2)</f>
        <v>5.28</v>
      </c>
      <c r="E18" s="194">
        <f t="shared" ref="E18:M18" si="7">+ROUND((E17-D17)/D17*100,1)</f>
        <v>1.3</v>
      </c>
      <c r="F18" s="194">
        <f t="shared" si="7"/>
        <v>-3.1</v>
      </c>
      <c r="G18" s="194">
        <f t="shared" si="7"/>
        <v>3.6</v>
      </c>
      <c r="H18" s="194">
        <f t="shared" si="7"/>
        <v>6.1</v>
      </c>
      <c r="I18" s="194">
        <f t="shared" si="7"/>
        <v>-1.4</v>
      </c>
      <c r="J18" s="194">
        <f t="shared" si="7"/>
        <v>1.5</v>
      </c>
      <c r="K18" s="194">
        <f t="shared" si="7"/>
        <v>46</v>
      </c>
      <c r="L18" s="194">
        <f t="shared" si="7"/>
        <v>27.9</v>
      </c>
      <c r="M18" s="194">
        <f t="shared" si="7"/>
        <v>17.600000000000001</v>
      </c>
      <c r="N18" s="687">
        <f>ROUND(((M17/I17)^(1/4)-1)*100,2)</f>
        <v>22.19</v>
      </c>
      <c r="O18" s="687">
        <f>ROUND(((M17/D17)^(1/9)-1)*100,2)</f>
        <v>10.08</v>
      </c>
      <c r="P18" s="193"/>
      <c r="Q18" s="180"/>
      <c r="R18" s="180"/>
      <c r="S18" s="180"/>
      <c r="T18" s="195">
        <v>22293</v>
      </c>
      <c r="U18" s="196">
        <f t="shared" si="3"/>
        <v>1.22</v>
      </c>
      <c r="V18" s="180"/>
      <c r="W18" s="180"/>
      <c r="X18" s="180"/>
      <c r="Y18" s="186"/>
      <c r="Z18" s="180"/>
      <c r="AA18" s="186"/>
      <c r="AB18" s="187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6"/>
    </row>
    <row r="19" spans="1:42" ht="17.45" customHeight="1">
      <c r="A19" s="2270" t="s">
        <v>641</v>
      </c>
      <c r="B19" s="1944" t="s">
        <v>211</v>
      </c>
      <c r="C19" s="720">
        <v>16125</v>
      </c>
      <c r="D19" s="721">
        <v>16912</v>
      </c>
      <c r="E19" s="721">
        <v>17123</v>
      </c>
      <c r="F19" s="720">
        <v>17334</v>
      </c>
      <c r="G19" s="720">
        <v>17604</v>
      </c>
      <c r="H19" s="720">
        <v>17831</v>
      </c>
      <c r="I19" s="722">
        <v>18702</v>
      </c>
      <c r="J19" s="722">
        <v>19159</v>
      </c>
      <c r="K19" s="723">
        <v>19132</v>
      </c>
      <c r="L19" s="723">
        <v>18802</v>
      </c>
      <c r="M19" s="723">
        <v>18744</v>
      </c>
      <c r="N19" s="688"/>
      <c r="O19" s="688"/>
      <c r="P19" s="193"/>
      <c r="Q19" s="180"/>
      <c r="R19" s="180"/>
      <c r="S19" s="180"/>
      <c r="T19" s="197">
        <v>22554</v>
      </c>
      <c r="U19" s="198">
        <f t="shared" si="3"/>
        <v>1.17</v>
      </c>
      <c r="V19" s="180"/>
      <c r="W19" s="180"/>
      <c r="X19" s="180"/>
      <c r="Y19" s="186"/>
      <c r="Z19" s="180"/>
      <c r="AA19" s="186"/>
      <c r="AB19" s="187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6"/>
    </row>
    <row r="20" spans="1:42" ht="17.45" customHeight="1">
      <c r="A20" s="2271"/>
      <c r="B20" s="1945" t="s">
        <v>210</v>
      </c>
      <c r="C20" s="191"/>
      <c r="D20" s="192">
        <f>+ROUND((D19-C19)/C19*100,2)</f>
        <v>4.88</v>
      </c>
      <c r="E20" s="194">
        <f t="shared" ref="E20:M20" si="8">+ROUND((E19-D19)/D19*100,1)</f>
        <v>1.2</v>
      </c>
      <c r="F20" s="194">
        <f t="shared" si="8"/>
        <v>1.2</v>
      </c>
      <c r="G20" s="194">
        <f t="shared" si="8"/>
        <v>1.6</v>
      </c>
      <c r="H20" s="194">
        <f t="shared" si="8"/>
        <v>1.3</v>
      </c>
      <c r="I20" s="194">
        <f t="shared" si="8"/>
        <v>4.9000000000000004</v>
      </c>
      <c r="J20" s="194">
        <f t="shared" si="8"/>
        <v>2.4</v>
      </c>
      <c r="K20" s="194">
        <f t="shared" si="8"/>
        <v>-0.1</v>
      </c>
      <c r="L20" s="194">
        <f t="shared" si="8"/>
        <v>-1.7</v>
      </c>
      <c r="M20" s="194">
        <f t="shared" si="8"/>
        <v>-0.3</v>
      </c>
      <c r="N20" s="687">
        <f>ROUND(((M19/I19)^(1/4)-1)*100,2)</f>
        <v>0.06</v>
      </c>
      <c r="O20" s="687">
        <f>ROUND(((M19/D19)^(1/9)-1)*100,2)</f>
        <v>1.1499999999999999</v>
      </c>
      <c r="P20" s="193"/>
      <c r="Q20" s="180"/>
      <c r="R20" s="180"/>
      <c r="S20" s="180"/>
      <c r="T20" s="199"/>
      <c r="U20" s="199">
        <v>2003</v>
      </c>
      <c r="V20" s="199">
        <v>2004</v>
      </c>
      <c r="W20" s="199">
        <v>2005</v>
      </c>
      <c r="X20" s="199">
        <v>2006</v>
      </c>
      <c r="Y20" s="199">
        <v>2007</v>
      </c>
      <c r="Z20" s="2095">
        <v>2008</v>
      </c>
      <c r="AA20" s="199">
        <v>2009</v>
      </c>
      <c r="AB20" s="199">
        <v>2010</v>
      </c>
      <c r="AC20" s="199">
        <v>2011</v>
      </c>
      <c r="AD20" s="199">
        <v>2012</v>
      </c>
      <c r="AE20" s="199">
        <v>2013</v>
      </c>
      <c r="AF20" s="199">
        <v>2014</v>
      </c>
      <c r="AG20" s="180"/>
      <c r="AH20" s="180"/>
      <c r="AI20" s="180"/>
      <c r="AJ20" s="180"/>
      <c r="AK20" s="180"/>
      <c r="AL20" s="180"/>
      <c r="AM20" s="180"/>
      <c r="AN20" s="180"/>
      <c r="AO20" s="186"/>
    </row>
    <row r="21" spans="1:42" ht="17.45" customHeight="1">
      <c r="A21" s="2270" t="s">
        <v>642</v>
      </c>
      <c r="B21" s="1944" t="s">
        <v>206</v>
      </c>
      <c r="C21" s="720">
        <v>8346</v>
      </c>
      <c r="D21" s="721">
        <v>8527</v>
      </c>
      <c r="E21" s="721">
        <v>8679</v>
      </c>
      <c r="F21" s="720">
        <v>8768</v>
      </c>
      <c r="G21" s="720">
        <v>8838</v>
      </c>
      <c r="H21" s="720">
        <v>9306</v>
      </c>
      <c r="I21" s="722">
        <v>9393</v>
      </c>
      <c r="J21" s="722">
        <v>9575</v>
      </c>
      <c r="K21" s="723">
        <v>9739</v>
      </c>
      <c r="L21" s="723">
        <v>9571</v>
      </c>
      <c r="M21" s="723">
        <v>9613</v>
      </c>
      <c r="N21" s="688"/>
      <c r="O21" s="688"/>
      <c r="P21" s="193"/>
      <c r="Q21" s="180"/>
      <c r="R21" s="180"/>
      <c r="S21" s="180"/>
      <c r="T21" s="197">
        <v>22554</v>
      </c>
      <c r="U21" s="198" t="e">
        <f t="shared" ref="U21" si="9">+ROUND((T21-T20)/T20*100,2)</f>
        <v>#DIV/0!</v>
      </c>
      <c r="V21" s="180"/>
      <c r="W21" s="180"/>
      <c r="X21" s="180"/>
      <c r="Y21" s="186"/>
      <c r="Z21" s="180"/>
      <c r="AA21" s="186"/>
      <c r="AB21" s="187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6"/>
    </row>
    <row r="22" spans="1:42" ht="17.45" customHeight="1">
      <c r="A22" s="2271"/>
      <c r="B22" s="1945" t="s">
        <v>210</v>
      </c>
      <c r="C22" s="191"/>
      <c r="D22" s="192">
        <f>+ROUND((D21-C21)/C21*100,2)</f>
        <v>2.17</v>
      </c>
      <c r="E22" s="194">
        <f t="shared" ref="E22" si="10">+ROUND((E21-D21)/D21*100,1)</f>
        <v>1.8</v>
      </c>
      <c r="F22" s="194">
        <f t="shared" ref="F22" si="11">+ROUND((F21-E21)/E21*100,1)</f>
        <v>1</v>
      </c>
      <c r="G22" s="194">
        <f t="shared" ref="G22" si="12">+ROUND((G21-F21)/F21*100,1)</f>
        <v>0.8</v>
      </c>
      <c r="H22" s="194">
        <f t="shared" ref="H22" si="13">+ROUND((H21-G21)/G21*100,1)</f>
        <v>5.3</v>
      </c>
      <c r="I22" s="194">
        <f t="shared" ref="I22" si="14">+ROUND((I21-H21)/H21*100,1)</f>
        <v>0.9</v>
      </c>
      <c r="J22" s="194">
        <f t="shared" ref="J22" si="15">+ROUND((J21-I21)/I21*100,1)</f>
        <v>1.9</v>
      </c>
      <c r="K22" s="194">
        <f t="shared" ref="K22" si="16">+ROUND((K21-J21)/J21*100,1)</f>
        <v>1.7</v>
      </c>
      <c r="L22" s="194">
        <f t="shared" ref="L22" si="17">+ROUND((L21-K21)/K21*100,1)</f>
        <v>-1.7</v>
      </c>
      <c r="M22" s="194">
        <f t="shared" ref="M22" si="18">+ROUND((M21-L21)/L21*100,1)</f>
        <v>0.4</v>
      </c>
      <c r="N22" s="687">
        <f>ROUND(((M21/I21)^(1/4)-1)*100,2)</f>
        <v>0.57999999999999996</v>
      </c>
      <c r="O22" s="687">
        <f>ROUND(((M21/D21)^(1/9)-1)*100,2)</f>
        <v>1.34</v>
      </c>
      <c r="P22" s="193"/>
      <c r="Q22" s="180"/>
      <c r="R22" s="180"/>
      <c r="S22" s="180"/>
      <c r="T22" s="199"/>
      <c r="U22" s="199">
        <v>2003</v>
      </c>
      <c r="V22" s="199">
        <v>2004</v>
      </c>
      <c r="W22" s="199">
        <v>2005</v>
      </c>
      <c r="X22" s="199">
        <v>2006</v>
      </c>
      <c r="Y22" s="199">
        <v>2007</v>
      </c>
      <c r="Z22" s="2095">
        <v>2008</v>
      </c>
      <c r="AA22" s="199">
        <v>2009</v>
      </c>
      <c r="AB22" s="199">
        <v>2010</v>
      </c>
      <c r="AC22" s="199">
        <v>2011</v>
      </c>
      <c r="AD22" s="199">
        <v>2012</v>
      </c>
      <c r="AE22" s="199">
        <v>2013</v>
      </c>
      <c r="AF22" s="199">
        <v>2014</v>
      </c>
      <c r="AG22" s="180"/>
      <c r="AH22" s="180"/>
      <c r="AI22" s="180"/>
      <c r="AJ22" s="180"/>
      <c r="AK22" s="180"/>
      <c r="AL22" s="180"/>
      <c r="AM22" s="180"/>
      <c r="AN22" s="180"/>
      <c r="AO22" s="186"/>
    </row>
    <row r="23" spans="1:42" ht="17.45" customHeight="1">
      <c r="A23" s="2270" t="s">
        <v>643</v>
      </c>
      <c r="B23" s="1944" t="s">
        <v>206</v>
      </c>
      <c r="C23" s="720">
        <v>5153</v>
      </c>
      <c r="D23" s="721">
        <v>5146</v>
      </c>
      <c r="E23" s="721">
        <v>5158</v>
      </c>
      <c r="F23" s="720">
        <v>5153</v>
      </c>
      <c r="G23" s="720">
        <v>5104</v>
      </c>
      <c r="H23" s="720">
        <v>5114</v>
      </c>
      <c r="I23" s="722">
        <v>5165</v>
      </c>
      <c r="J23" s="722">
        <v>5412</v>
      </c>
      <c r="K23" s="723">
        <v>5370</v>
      </c>
      <c r="L23" s="723">
        <v>5351</v>
      </c>
      <c r="M23" s="723">
        <v>5403</v>
      </c>
      <c r="N23" s="688"/>
      <c r="O23" s="688"/>
      <c r="P23" s="193"/>
      <c r="Q23" s="180"/>
      <c r="R23" s="180"/>
      <c r="S23" s="180"/>
      <c r="T23" s="197">
        <v>22554</v>
      </c>
      <c r="U23" s="198" t="e">
        <f t="shared" ref="U23" si="19">+ROUND((T23-T22)/T22*100,2)</f>
        <v>#DIV/0!</v>
      </c>
      <c r="V23" s="180"/>
      <c r="W23" s="180"/>
      <c r="X23" s="180"/>
      <c r="Y23" s="186"/>
      <c r="Z23" s="180"/>
      <c r="AA23" s="186"/>
      <c r="AB23" s="187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6"/>
    </row>
    <row r="24" spans="1:42" ht="17.45" customHeight="1">
      <c r="A24" s="2271"/>
      <c r="B24" s="1945" t="s">
        <v>210</v>
      </c>
      <c r="C24" s="191"/>
      <c r="D24" s="192">
        <f>+ROUND((D23-C23)/C23*100,2)</f>
        <v>-0.14000000000000001</v>
      </c>
      <c r="E24" s="194">
        <f t="shared" ref="E24" si="20">+ROUND((E23-D23)/D23*100,1)</f>
        <v>0.2</v>
      </c>
      <c r="F24" s="194">
        <f t="shared" ref="F24" si="21">+ROUND((F23-E23)/E23*100,1)</f>
        <v>-0.1</v>
      </c>
      <c r="G24" s="194">
        <f t="shared" ref="G24" si="22">+ROUND((G23-F23)/F23*100,1)</f>
        <v>-1</v>
      </c>
      <c r="H24" s="194">
        <f t="shared" ref="H24" si="23">+ROUND((H23-G23)/G23*100,1)</f>
        <v>0.2</v>
      </c>
      <c r="I24" s="194">
        <f t="shared" ref="I24" si="24">+ROUND((I23-H23)/H23*100,1)</f>
        <v>1</v>
      </c>
      <c r="J24" s="194">
        <f t="shared" ref="J24" si="25">+ROUND((J23-I23)/I23*100,1)</f>
        <v>4.8</v>
      </c>
      <c r="K24" s="194">
        <f t="shared" ref="K24" si="26">+ROUND((K23-J23)/J23*100,1)</f>
        <v>-0.8</v>
      </c>
      <c r="L24" s="194">
        <f t="shared" ref="L24" si="27">+ROUND((L23-K23)/K23*100,1)</f>
        <v>-0.4</v>
      </c>
      <c r="M24" s="194">
        <f t="shared" ref="M24" si="28">+ROUND((M23-L23)/L23*100,1)</f>
        <v>1</v>
      </c>
      <c r="N24" s="687">
        <f>ROUND(((M23/I23)^(1/4)-1)*100,2)</f>
        <v>1.1299999999999999</v>
      </c>
      <c r="O24" s="687">
        <f>ROUND(((M23/D23)^(1/9)-1)*100,2)</f>
        <v>0.54</v>
      </c>
      <c r="P24" s="193"/>
      <c r="Q24" s="180"/>
      <c r="R24" s="180"/>
      <c r="S24" s="180"/>
      <c r="T24" s="199"/>
      <c r="U24" s="199">
        <v>2003</v>
      </c>
      <c r="V24" s="199">
        <v>2004</v>
      </c>
      <c r="W24" s="199">
        <v>2005</v>
      </c>
      <c r="X24" s="199">
        <v>2006</v>
      </c>
      <c r="Y24" s="199">
        <v>2007</v>
      </c>
      <c r="Z24" s="2095">
        <v>2008</v>
      </c>
      <c r="AA24" s="199">
        <v>2009</v>
      </c>
      <c r="AB24" s="199">
        <v>2010</v>
      </c>
      <c r="AC24" s="199">
        <v>2011</v>
      </c>
      <c r="AD24" s="199">
        <v>2012</v>
      </c>
      <c r="AE24" s="199">
        <v>2013</v>
      </c>
      <c r="AF24" s="199">
        <v>2014</v>
      </c>
      <c r="AG24" s="180"/>
      <c r="AH24" s="180"/>
      <c r="AI24" s="180"/>
      <c r="AJ24" s="180"/>
      <c r="AK24" s="180"/>
      <c r="AL24" s="180"/>
      <c r="AM24" s="180"/>
      <c r="AN24" s="180"/>
      <c r="AO24" s="186"/>
    </row>
    <row r="25" spans="1:42" ht="17.45" customHeight="1">
      <c r="A25" s="2270" t="s">
        <v>644</v>
      </c>
      <c r="B25" s="1944" t="s">
        <v>212</v>
      </c>
      <c r="C25" s="718">
        <v>10733</v>
      </c>
      <c r="D25" s="718">
        <v>10864</v>
      </c>
      <c r="E25" s="718">
        <v>10686</v>
      </c>
      <c r="F25" s="718">
        <v>10539</v>
      </c>
      <c r="G25" s="719">
        <v>11040</v>
      </c>
      <c r="H25" s="719">
        <v>11213</v>
      </c>
      <c r="I25" s="719">
        <v>11405</v>
      </c>
      <c r="J25" s="719">
        <v>11441</v>
      </c>
      <c r="K25" s="719">
        <v>11333</v>
      </c>
      <c r="L25" s="719">
        <v>11390</v>
      </c>
      <c r="M25" s="719">
        <v>11393</v>
      </c>
      <c r="N25" s="188"/>
      <c r="O25" s="188"/>
      <c r="P25" s="180"/>
      <c r="Q25" s="180"/>
      <c r="R25" s="180"/>
      <c r="S25" s="180"/>
      <c r="T25" s="199" t="s">
        <v>213</v>
      </c>
      <c r="U25" s="200">
        <v>48386823</v>
      </c>
      <c r="V25" s="200">
        <v>48583805</v>
      </c>
      <c r="W25" s="200">
        <v>48782274</v>
      </c>
      <c r="X25" s="200">
        <v>48991779</v>
      </c>
      <c r="Y25" s="202">
        <v>49268928</v>
      </c>
      <c r="Z25" s="201">
        <v>49540367</v>
      </c>
      <c r="AA25" s="202">
        <v>49773145</v>
      </c>
      <c r="AB25" s="203">
        <v>50515666</v>
      </c>
      <c r="AC25" s="199">
        <v>50734284</v>
      </c>
      <c r="AD25" s="199">
        <v>50948272</v>
      </c>
      <c r="AE25" s="199">
        <v>51141463</v>
      </c>
      <c r="AF25" s="641">
        <v>51327916</v>
      </c>
      <c r="AG25" s="689"/>
      <c r="AH25" s="687">
        <f>ROUND(((AF25/AB25)^(1/4)-1)*100,2)</f>
        <v>0.4</v>
      </c>
      <c r="AI25" s="687">
        <f>ROUND(((AF25/W25)^(1/9)-1)*100,2)</f>
        <v>0.56999999999999995</v>
      </c>
      <c r="AJ25" s="180"/>
      <c r="AK25" s="180"/>
      <c r="AL25" s="180"/>
      <c r="AM25" s="180"/>
      <c r="AN25" s="180"/>
      <c r="AO25" s="180"/>
      <c r="AP25" s="186"/>
    </row>
    <row r="26" spans="1:42" ht="17.45" customHeight="1">
      <c r="A26" s="2271"/>
      <c r="B26" s="1945" t="s">
        <v>210</v>
      </c>
      <c r="C26" s="1945"/>
      <c r="D26" s="192">
        <f>+ROUND((D25-C25)/C25*100,2)</f>
        <v>1.22</v>
      </c>
      <c r="E26" s="194">
        <f t="shared" ref="E26:M26" si="29">+ROUND((E25-D25)/D25*100,1)</f>
        <v>-1.6</v>
      </c>
      <c r="F26" s="194">
        <f t="shared" si="29"/>
        <v>-1.4</v>
      </c>
      <c r="G26" s="194">
        <f t="shared" si="29"/>
        <v>4.8</v>
      </c>
      <c r="H26" s="194">
        <f t="shared" si="29"/>
        <v>1.6</v>
      </c>
      <c r="I26" s="194">
        <f t="shared" si="29"/>
        <v>1.7</v>
      </c>
      <c r="J26" s="194">
        <f t="shared" si="29"/>
        <v>0.3</v>
      </c>
      <c r="K26" s="194">
        <f t="shared" si="29"/>
        <v>-0.9</v>
      </c>
      <c r="L26" s="194">
        <f t="shared" si="29"/>
        <v>0.5</v>
      </c>
      <c r="M26" s="194">
        <f t="shared" si="29"/>
        <v>0</v>
      </c>
      <c r="N26" s="687">
        <f>ROUND(((M25/I25)^(1/4)-1)*100,2)</f>
        <v>-0.03</v>
      </c>
      <c r="O26" s="687">
        <f>ROUND(((M25/D25)^(1/9)-1)*100,2)</f>
        <v>0.53</v>
      </c>
      <c r="P26" s="193"/>
      <c r="Q26" s="180"/>
      <c r="R26" s="180"/>
      <c r="S26" s="180"/>
      <c r="T26" s="199" t="s">
        <v>214</v>
      </c>
      <c r="U26" s="200">
        <v>1489635</v>
      </c>
      <c r="V26" s="200">
        <v>1488945</v>
      </c>
      <c r="W26" s="200">
        <v>1488803</v>
      </c>
      <c r="X26" s="200">
        <v>1494559</v>
      </c>
      <c r="Y26" s="202">
        <v>1506608</v>
      </c>
      <c r="Z26" s="201">
        <v>1519587</v>
      </c>
      <c r="AA26" s="202">
        <v>1527478</v>
      </c>
      <c r="AB26" s="203">
        <v>1549528</v>
      </c>
      <c r="AC26" s="199">
        <v>1562903</v>
      </c>
      <c r="AD26" s="199">
        <v>1565628</v>
      </c>
      <c r="AE26" s="199">
        <v>1572732</v>
      </c>
      <c r="AF26" s="641">
        <v>1578933</v>
      </c>
      <c r="AG26" s="689"/>
      <c r="AH26" s="687">
        <f>ROUND(((AF26/AB26)^(1/4)-1)*100,2)</f>
        <v>0.47</v>
      </c>
      <c r="AI26" s="687">
        <f>ROUND(((AF26/W26)^(1/9)-1)*100,2)</f>
        <v>0.66</v>
      </c>
      <c r="AJ26" s="180"/>
      <c r="AK26" s="180"/>
      <c r="AL26" s="180"/>
      <c r="AM26" s="180"/>
      <c r="AN26" s="180"/>
      <c r="AO26" s="180"/>
      <c r="AP26" s="186"/>
    </row>
    <row r="27" spans="1:42" ht="17.45" customHeight="1">
      <c r="A27" s="187"/>
      <c r="B27" s="180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180"/>
      <c r="O27" s="180"/>
      <c r="P27" s="193"/>
      <c r="Q27" s="180"/>
      <c r="R27" s="180"/>
      <c r="S27" s="180"/>
      <c r="T27" s="199" t="s">
        <v>217</v>
      </c>
      <c r="U27" s="199"/>
      <c r="V27" s="199"/>
      <c r="W27" s="694">
        <v>52188</v>
      </c>
      <c r="X27" s="695">
        <v>51226</v>
      </c>
      <c r="Y27" s="2188">
        <v>50568</v>
      </c>
      <c r="Z27" s="696">
        <v>50756</v>
      </c>
      <c r="AA27" s="697">
        <f>AA28+AA29</f>
        <v>88299</v>
      </c>
      <c r="AB27" s="698">
        <v>50985</v>
      </c>
      <c r="AC27" s="699">
        <v>51139</v>
      </c>
      <c r="AD27" s="695">
        <f>AD28+AD29</f>
        <v>88623</v>
      </c>
      <c r="AE27" s="695">
        <v>51071</v>
      </c>
      <c r="AF27" s="700">
        <v>51358</v>
      </c>
      <c r="AG27" s="180"/>
      <c r="AH27" s="687">
        <f>ROUND(((AF27/AB27)^(1/4)-1)*100,2)</f>
        <v>0.18</v>
      </c>
      <c r="AI27" s="687">
        <f>ROUND(((AF27/W27)^(1/9)-1)*100,2)</f>
        <v>-0.18</v>
      </c>
      <c r="AJ27" s="180"/>
      <c r="AK27" s="180"/>
      <c r="AL27" s="180"/>
      <c r="AM27" s="180"/>
      <c r="AN27" s="180"/>
      <c r="AO27" s="186"/>
    </row>
    <row r="28" spans="1:42" ht="17.45" customHeight="1">
      <c r="A28" s="204"/>
      <c r="B28" s="184"/>
      <c r="C28" s="184"/>
      <c r="D28" s="184"/>
      <c r="E28" s="184"/>
      <c r="F28" s="184"/>
      <c r="G28" s="184"/>
      <c r="H28" s="184"/>
      <c r="I28" s="184"/>
      <c r="J28" s="184"/>
      <c r="K28" s="184"/>
      <c r="L28" s="184"/>
      <c r="M28" s="2189"/>
      <c r="N28" s="184"/>
      <c r="O28" s="184"/>
      <c r="P28" s="2091"/>
      <c r="Q28" s="184"/>
      <c r="R28" s="184"/>
      <c r="S28" s="184"/>
      <c r="T28" s="199" t="s">
        <v>215</v>
      </c>
      <c r="U28" s="199"/>
      <c r="V28" s="199"/>
      <c r="W28" s="2190">
        <v>30846</v>
      </c>
      <c r="X28" s="2190">
        <v>30814</v>
      </c>
      <c r="Y28" s="2191">
        <v>31483</v>
      </c>
      <c r="Z28" s="690">
        <v>32534</v>
      </c>
      <c r="AA28" s="691">
        <v>33511</v>
      </c>
      <c r="AB28" s="691">
        <v>33928</v>
      </c>
      <c r="AC28" s="691">
        <v>34420</v>
      </c>
      <c r="AD28" s="691">
        <v>34707</v>
      </c>
      <c r="AE28" s="691">
        <v>35035</v>
      </c>
      <c r="AF28" s="692">
        <v>35358</v>
      </c>
      <c r="AG28" s="180"/>
      <c r="AH28" s="687">
        <f>ROUND(((AF28/AB28)^(1/4)-1)*100,2)</f>
        <v>1.04</v>
      </c>
      <c r="AI28" s="687">
        <f>ROUND(((AF28/W28)^(1/9)-1)*100,2)</f>
        <v>1.53</v>
      </c>
      <c r="AJ28" s="180"/>
      <c r="AK28" s="180"/>
      <c r="AL28" s="180"/>
      <c r="AM28" s="180"/>
      <c r="AN28" s="180"/>
      <c r="AO28" s="186"/>
    </row>
    <row r="29" spans="1:42" ht="17.45" customHeight="1">
      <c r="A29" s="187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206"/>
      <c r="N29" s="180"/>
      <c r="O29" s="180"/>
      <c r="P29" s="193"/>
      <c r="Q29" s="180"/>
      <c r="R29" s="180"/>
      <c r="S29" s="180"/>
      <c r="T29" s="2139" t="s">
        <v>216</v>
      </c>
      <c r="U29" s="2139"/>
      <c r="V29" s="2139"/>
      <c r="W29" s="2139">
        <v>56134</v>
      </c>
      <c r="X29" s="2139">
        <v>55537</v>
      </c>
      <c r="Y29" s="2139">
        <v>55249</v>
      </c>
      <c r="Z29" s="199">
        <v>55170</v>
      </c>
      <c r="AA29" s="199">
        <v>54788</v>
      </c>
      <c r="AB29" s="199">
        <v>54725</v>
      </c>
      <c r="AC29" s="199">
        <v>54228</v>
      </c>
      <c r="AD29" s="199">
        <v>53916</v>
      </c>
      <c r="AE29" s="199">
        <v>53468</v>
      </c>
      <c r="AF29" s="199">
        <v>53237</v>
      </c>
      <c r="AG29" s="180"/>
      <c r="AH29" s="687">
        <f>ROUND(((AF29/AB29)^(1/4)-1)*100,2)</f>
        <v>-0.69</v>
      </c>
      <c r="AI29" s="687">
        <f>ROUND(((AF29/W29)^(1/9)-1)*100,2)</f>
        <v>-0.59</v>
      </c>
      <c r="AJ29" s="180"/>
      <c r="AK29" s="180"/>
      <c r="AL29" s="180"/>
      <c r="AM29" s="180"/>
      <c r="AN29" s="180"/>
      <c r="AO29" s="186"/>
    </row>
    <row r="30" spans="1:42" ht="17.45" customHeight="1">
      <c r="A30" s="187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206"/>
      <c r="N30" s="180"/>
      <c r="O30" s="180"/>
      <c r="P30" s="193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6"/>
      <c r="AB30" s="187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6"/>
    </row>
    <row r="31" spans="1:42" ht="17.45" customHeight="1">
      <c r="A31" s="187"/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206"/>
      <c r="N31" s="180"/>
      <c r="O31" s="180"/>
      <c r="P31" s="193"/>
      <c r="Q31" s="180"/>
      <c r="R31" s="180"/>
      <c r="S31" s="180"/>
      <c r="T31" s="180"/>
      <c r="U31" s="180"/>
      <c r="V31" s="180"/>
      <c r="W31" s="180"/>
      <c r="X31" s="180"/>
      <c r="Y31" s="180"/>
      <c r="Z31" s="180"/>
      <c r="AA31" s="186"/>
      <c r="AB31" s="187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6"/>
    </row>
    <row r="32" spans="1:42" ht="17.45" customHeight="1">
      <c r="A32" s="187"/>
      <c r="B32" s="180"/>
      <c r="C32" s="180"/>
      <c r="D32" s="180"/>
      <c r="E32" s="180"/>
      <c r="F32" s="180"/>
      <c r="G32" s="180"/>
      <c r="H32" s="180"/>
      <c r="I32" s="180"/>
      <c r="J32" s="180"/>
      <c r="K32" s="180"/>
      <c r="L32" s="180"/>
      <c r="M32" s="206"/>
      <c r="N32" s="180"/>
      <c r="O32" s="180"/>
      <c r="P32" s="193"/>
      <c r="Q32" s="180"/>
      <c r="R32" s="180"/>
      <c r="S32" s="180"/>
      <c r="T32" s="180"/>
      <c r="U32" s="180"/>
      <c r="V32" s="180"/>
      <c r="W32" s="180"/>
      <c r="X32" s="180"/>
      <c r="Y32" s="180"/>
      <c r="Z32" s="180"/>
      <c r="AA32" s="186"/>
      <c r="AB32" s="20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205"/>
    </row>
    <row r="33" spans="1:29" ht="17.45" customHeight="1">
      <c r="A33" s="187"/>
      <c r="B33" s="180"/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206"/>
      <c r="N33" s="180"/>
      <c r="O33" s="180"/>
      <c r="P33" s="193"/>
      <c r="Q33" s="180"/>
      <c r="R33" s="180"/>
      <c r="S33" s="180"/>
      <c r="T33" s="180"/>
      <c r="U33" s="180"/>
      <c r="V33" s="180"/>
      <c r="W33" s="180"/>
      <c r="X33" s="180"/>
      <c r="Y33" s="180"/>
      <c r="Z33" s="180"/>
      <c r="AA33" s="186"/>
    </row>
    <row r="34" spans="1:29" ht="17.45" customHeight="1">
      <c r="A34" s="187"/>
      <c r="B34" s="180"/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206"/>
      <c r="N34" s="180"/>
      <c r="O34" s="180"/>
      <c r="P34" s="193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6"/>
    </row>
    <row r="35" spans="1:29">
      <c r="A35" s="187"/>
      <c r="B35" s="180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206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6"/>
    </row>
    <row r="36" spans="1:29">
      <c r="A36" s="187"/>
      <c r="B36" s="180"/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  <c r="AA36" s="186"/>
    </row>
    <row r="37" spans="1:29">
      <c r="A37" s="187"/>
      <c r="B37" s="180"/>
      <c r="C37" s="180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6"/>
    </row>
    <row r="38" spans="1:29">
      <c r="A38" s="187"/>
      <c r="B38" s="180"/>
      <c r="C38" s="180"/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  <c r="R38" s="180"/>
      <c r="S38" s="180"/>
      <c r="T38" s="180"/>
      <c r="U38" s="180"/>
      <c r="V38" s="180"/>
      <c r="W38" s="180"/>
      <c r="X38" s="180"/>
      <c r="Y38" s="180"/>
      <c r="Z38" s="180"/>
      <c r="AA38" s="186"/>
    </row>
    <row r="39" spans="1:29">
      <c r="A39" s="187"/>
      <c r="B39" s="180"/>
      <c r="C39" s="180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6"/>
    </row>
    <row r="40" spans="1:29">
      <c r="A40" s="187"/>
      <c r="B40" s="180"/>
      <c r="C40" s="180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6"/>
    </row>
    <row r="41" spans="1:29">
      <c r="A41" s="187"/>
      <c r="B41" s="180"/>
      <c r="C41" s="180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6"/>
    </row>
    <row r="42" spans="1:29">
      <c r="A42" s="2274" t="s">
        <v>85</v>
      </c>
      <c r="B42" s="2274"/>
      <c r="C42" s="207"/>
      <c r="D42" s="2277" t="str">
        <f>+A7</f>
        <v>음성군</v>
      </c>
      <c r="E42" s="2277"/>
      <c r="F42" s="2274" t="str">
        <f>+A9</f>
        <v>음성읍</v>
      </c>
      <c r="G42" s="2274"/>
      <c r="H42" s="2268" t="str">
        <f>+A11</f>
        <v>금왕읍</v>
      </c>
      <c r="I42" s="2269"/>
      <c r="J42" s="2268" t="str">
        <f>+A13</f>
        <v>소이면</v>
      </c>
      <c r="K42" s="2269"/>
      <c r="L42" s="2268" t="str">
        <f>+A15</f>
        <v>원남면</v>
      </c>
      <c r="M42" s="2269"/>
      <c r="N42" s="2268" t="str">
        <f>+A17</f>
        <v>맹동면</v>
      </c>
      <c r="O42" s="2269"/>
      <c r="P42" s="2268" t="str">
        <f>+A19</f>
        <v>대소면</v>
      </c>
      <c r="Q42" s="2269"/>
      <c r="R42" s="2274" t="str">
        <f>+A25</f>
        <v>감곡면</v>
      </c>
      <c r="S42" s="2274"/>
      <c r="T42" s="2274"/>
      <c r="U42" s="2274"/>
      <c r="V42" s="2274"/>
      <c r="W42" s="2274"/>
      <c r="X42" s="2274"/>
      <c r="Y42" s="2274"/>
      <c r="Z42" s="2274"/>
      <c r="AA42" s="2274"/>
    </row>
    <row r="43" spans="1:29">
      <c r="A43" s="2274"/>
      <c r="B43" s="2274"/>
      <c r="C43" s="207"/>
      <c r="D43" s="208" t="s">
        <v>133</v>
      </c>
      <c r="E43" s="208" t="s">
        <v>207</v>
      </c>
      <c r="F43" s="207" t="s">
        <v>133</v>
      </c>
      <c r="G43" s="207" t="s">
        <v>207</v>
      </c>
      <c r="H43" s="207"/>
      <c r="I43" s="208" t="s">
        <v>207</v>
      </c>
      <c r="J43" s="207"/>
      <c r="K43" s="208" t="s">
        <v>207</v>
      </c>
      <c r="L43" s="207"/>
      <c r="M43" s="208" t="s">
        <v>207</v>
      </c>
      <c r="N43" s="207"/>
      <c r="O43" s="208" t="s">
        <v>207</v>
      </c>
      <c r="P43" s="207"/>
      <c r="Q43" s="208" t="s">
        <v>207</v>
      </c>
      <c r="R43" s="207" t="s">
        <v>133</v>
      </c>
      <c r="S43" s="207" t="s">
        <v>207</v>
      </c>
      <c r="T43" s="207"/>
      <c r="U43" s="207"/>
      <c r="V43" s="207"/>
      <c r="W43" s="207"/>
      <c r="X43" s="207"/>
      <c r="Y43" s="207"/>
      <c r="Z43" s="207"/>
      <c r="AA43" s="207"/>
    </row>
    <row r="44" spans="1:29">
      <c r="A44" s="2268">
        <v>2003</v>
      </c>
      <c r="B44" s="2269"/>
      <c r="C44" s="207"/>
      <c r="D44" s="208">
        <f>+C7</f>
        <v>90159</v>
      </c>
      <c r="E44" s="208"/>
      <c r="F44" s="207">
        <f>+C9</f>
        <v>18154</v>
      </c>
      <c r="G44" s="207"/>
      <c r="H44" s="207">
        <f>+C11</f>
        <v>19788</v>
      </c>
      <c r="I44" s="208"/>
      <c r="J44" s="207">
        <f>+C13</f>
        <v>3499</v>
      </c>
      <c r="K44" s="208"/>
      <c r="L44" s="207">
        <f>+C15</f>
        <v>3455</v>
      </c>
      <c r="M44" s="208"/>
      <c r="N44" s="207">
        <f>+C17</f>
        <v>4906</v>
      </c>
      <c r="O44" s="208"/>
      <c r="P44" s="207">
        <f>+C19</f>
        <v>16125</v>
      </c>
      <c r="Q44" s="208"/>
      <c r="R44" s="207">
        <f>+C25</f>
        <v>10733</v>
      </c>
      <c r="S44" s="207"/>
      <c r="T44" s="207"/>
      <c r="U44" s="207"/>
      <c r="V44" s="207"/>
      <c r="W44" s="207"/>
      <c r="X44" s="207"/>
      <c r="Y44" s="207"/>
      <c r="Z44" s="207"/>
      <c r="AA44" s="207"/>
    </row>
    <row r="45" spans="1:29">
      <c r="A45" s="2275">
        <v>2004</v>
      </c>
      <c r="B45" s="2275"/>
      <c r="C45" s="209"/>
      <c r="D45" s="210">
        <f>+D7</f>
        <v>92520</v>
      </c>
      <c r="E45" s="212">
        <f t="shared" ref="E45:E55" si="30">+ROUND((D45-D44)/D44*100,1)</f>
        <v>2.6</v>
      </c>
      <c r="F45" s="210">
        <f>+D9</f>
        <v>18414</v>
      </c>
      <c r="G45" s="212">
        <f>+ROUND((F45-F44)/F44*100,1)</f>
        <v>1.4</v>
      </c>
      <c r="H45" s="211">
        <f>+D11</f>
        <v>20615</v>
      </c>
      <c r="I45" s="212">
        <f>+ROUND((H45-H44)/H44*100,1)</f>
        <v>4.2</v>
      </c>
      <c r="J45" s="210">
        <f>+D13</f>
        <v>3500</v>
      </c>
      <c r="K45" s="212">
        <f>+ROUND((J45-J44)/J44*100,1)</f>
        <v>0</v>
      </c>
      <c r="L45" s="210">
        <f>+D15</f>
        <v>3377</v>
      </c>
      <c r="M45" s="212">
        <f>+ROUND((L45-L44)/L44*100,1)</f>
        <v>-2.2999999999999998</v>
      </c>
      <c r="N45" s="210">
        <f>+D17</f>
        <v>5165</v>
      </c>
      <c r="O45" s="212">
        <f>+ROUND((N45-N44)/N44*100,1)</f>
        <v>5.3</v>
      </c>
      <c r="P45" s="210">
        <f>+D19</f>
        <v>16912</v>
      </c>
      <c r="Q45" s="212">
        <f>+ROUND((P45-P44)/P44*100,1)</f>
        <v>4.9000000000000004</v>
      </c>
      <c r="R45" s="210">
        <f>+D25</f>
        <v>10864</v>
      </c>
      <c r="S45" s="212">
        <f>+ROUND((R45-R44)/R44*100,1)</f>
        <v>1.2</v>
      </c>
      <c r="T45" s="210"/>
      <c r="U45" s="207"/>
      <c r="V45" s="210"/>
      <c r="W45" s="207"/>
      <c r="X45" s="210"/>
      <c r="Y45" s="207"/>
      <c r="Z45" s="210"/>
      <c r="AA45" s="207"/>
      <c r="AB45" s="694">
        <v>52188</v>
      </c>
      <c r="AC45" s="690">
        <v>30846</v>
      </c>
    </row>
    <row r="46" spans="1:29">
      <c r="A46" s="2275">
        <v>2005</v>
      </c>
      <c r="B46" s="2275"/>
      <c r="C46" s="209"/>
      <c r="D46" s="210">
        <f>+E7</f>
        <v>94144</v>
      </c>
      <c r="E46" s="212">
        <f t="shared" si="30"/>
        <v>1.8</v>
      </c>
      <c r="F46" s="210">
        <f>+E9</f>
        <v>18251</v>
      </c>
      <c r="G46" s="212">
        <f t="shared" ref="G46:G55" si="31">+ROUND((F46-F45)/F45*100,1)</f>
        <v>-0.9</v>
      </c>
      <c r="H46" s="211">
        <f>+E11</f>
        <v>22162</v>
      </c>
      <c r="I46" s="212">
        <f t="shared" ref="I46:I55" si="32">+ROUND((H46-H45)/H45*100,1)</f>
        <v>7.5</v>
      </c>
      <c r="J46" s="210">
        <f>+E13</f>
        <v>3493</v>
      </c>
      <c r="K46" s="212">
        <f t="shared" ref="K46:K55" si="33">+ROUND((J46-J45)/J45*100,1)</f>
        <v>-0.2</v>
      </c>
      <c r="L46" s="210">
        <f>+E15</f>
        <v>3359</v>
      </c>
      <c r="M46" s="212">
        <f t="shared" ref="M46:M55" si="34">+ROUND((L46-L45)/L45*100,1)</f>
        <v>-0.5</v>
      </c>
      <c r="N46" s="210">
        <f>+E17</f>
        <v>5233</v>
      </c>
      <c r="O46" s="212">
        <f t="shared" ref="O46:O54" si="35">+ROUND((N46-N45)/N45*100,1)</f>
        <v>1.3</v>
      </c>
      <c r="P46" s="210">
        <f>+E19</f>
        <v>17123</v>
      </c>
      <c r="Q46" s="212">
        <f t="shared" ref="Q46:Q55" si="36">+ROUND((P46-P45)/P45*100,1)</f>
        <v>1.2</v>
      </c>
      <c r="R46" s="210">
        <f>+E25</f>
        <v>10686</v>
      </c>
      <c r="S46" s="212">
        <f t="shared" ref="S46:S55" si="37">+ROUND((R46-R45)/R45*100,1)</f>
        <v>-1.6</v>
      </c>
      <c r="T46" s="210"/>
      <c r="U46" s="212"/>
      <c r="V46" s="210"/>
      <c r="W46" s="212"/>
      <c r="X46" s="210"/>
      <c r="Y46" s="212"/>
      <c r="Z46" s="210"/>
      <c r="AA46" s="212"/>
      <c r="AB46" s="695">
        <v>51226</v>
      </c>
      <c r="AC46" s="690">
        <v>30814</v>
      </c>
    </row>
    <row r="47" spans="1:29">
      <c r="A47" s="2276">
        <v>2006</v>
      </c>
      <c r="B47" s="2276"/>
      <c r="C47" s="213"/>
      <c r="D47" s="214">
        <f>+F7</f>
        <v>94580</v>
      </c>
      <c r="E47" s="215">
        <f t="shared" si="30"/>
        <v>0.5</v>
      </c>
      <c r="F47" s="214">
        <f>+F9</f>
        <v>18588</v>
      </c>
      <c r="G47" s="215">
        <f t="shared" si="31"/>
        <v>1.8</v>
      </c>
      <c r="H47" s="216">
        <f>+F11</f>
        <v>22357</v>
      </c>
      <c r="I47" s="215">
        <f t="shared" si="32"/>
        <v>0.9</v>
      </c>
      <c r="J47" s="214">
        <f>+F13</f>
        <v>3452</v>
      </c>
      <c r="K47" s="215">
        <f t="shared" si="33"/>
        <v>-1.2</v>
      </c>
      <c r="L47" s="214">
        <f>+F15</f>
        <v>3318</v>
      </c>
      <c r="M47" s="215">
        <f t="shared" si="34"/>
        <v>-1.2</v>
      </c>
      <c r="N47" s="214">
        <f>+F17</f>
        <v>5071</v>
      </c>
      <c r="O47" s="215">
        <f t="shared" si="35"/>
        <v>-3.1</v>
      </c>
      <c r="P47" s="214">
        <f>+F19</f>
        <v>17334</v>
      </c>
      <c r="Q47" s="215">
        <f t="shared" si="36"/>
        <v>1.2</v>
      </c>
      <c r="R47" s="214">
        <f>+F25</f>
        <v>10539</v>
      </c>
      <c r="S47" s="215">
        <f t="shared" si="37"/>
        <v>-1.4</v>
      </c>
      <c r="T47" s="214"/>
      <c r="U47" s="215"/>
      <c r="V47" s="214"/>
      <c r="W47" s="215"/>
      <c r="X47" s="214"/>
      <c r="Y47" s="215"/>
      <c r="Z47" s="214"/>
      <c r="AA47" s="215"/>
      <c r="AB47" s="696">
        <v>50568</v>
      </c>
      <c r="AC47" s="690">
        <v>31483</v>
      </c>
    </row>
    <row r="48" spans="1:29">
      <c r="A48" s="2275">
        <v>2007</v>
      </c>
      <c r="B48" s="2275"/>
      <c r="C48" s="209"/>
      <c r="D48" s="210">
        <f>+G7</f>
        <v>96214</v>
      </c>
      <c r="E48" s="212">
        <f t="shared" si="30"/>
        <v>1.7</v>
      </c>
      <c r="F48" s="210">
        <f>+G9</f>
        <v>19021</v>
      </c>
      <c r="G48" s="212">
        <f t="shared" si="31"/>
        <v>2.2999999999999998</v>
      </c>
      <c r="H48" s="211">
        <f>+G11</f>
        <v>22538</v>
      </c>
      <c r="I48" s="212">
        <f t="shared" si="32"/>
        <v>0.8</v>
      </c>
      <c r="J48" s="210">
        <f>+G13</f>
        <v>3452</v>
      </c>
      <c r="K48" s="212">
        <f t="shared" si="33"/>
        <v>0</v>
      </c>
      <c r="L48" s="210">
        <f>+G15</f>
        <v>3364</v>
      </c>
      <c r="M48" s="212">
        <f t="shared" si="34"/>
        <v>1.4</v>
      </c>
      <c r="N48" s="210">
        <f>+G17</f>
        <v>5253</v>
      </c>
      <c r="O48" s="212">
        <f t="shared" si="35"/>
        <v>3.6</v>
      </c>
      <c r="P48" s="210">
        <f>+G19</f>
        <v>17604</v>
      </c>
      <c r="Q48" s="212">
        <f t="shared" si="36"/>
        <v>1.6</v>
      </c>
      <c r="R48" s="210">
        <f>+G25</f>
        <v>11040</v>
      </c>
      <c r="S48" s="212">
        <f t="shared" si="37"/>
        <v>4.8</v>
      </c>
      <c r="T48" s="210"/>
      <c r="U48" s="212"/>
      <c r="V48" s="210"/>
      <c r="W48" s="212"/>
      <c r="X48" s="210"/>
      <c r="Y48" s="212"/>
      <c r="Z48" s="210"/>
      <c r="AA48" s="212"/>
      <c r="AB48" s="696">
        <v>50756</v>
      </c>
      <c r="AC48" s="690">
        <v>32534</v>
      </c>
    </row>
    <row r="49" spans="1:29">
      <c r="A49" s="2275">
        <v>2008</v>
      </c>
      <c r="B49" s="2275"/>
      <c r="C49" s="209"/>
      <c r="D49" s="210">
        <f>+H7</f>
        <v>96993</v>
      </c>
      <c r="E49" s="212">
        <f t="shared" si="30"/>
        <v>0.8</v>
      </c>
      <c r="F49" s="210">
        <f>+H9</f>
        <v>18690</v>
      </c>
      <c r="G49" s="212">
        <f t="shared" si="31"/>
        <v>-1.7</v>
      </c>
      <c r="H49" s="211">
        <f>+H11</f>
        <v>22572</v>
      </c>
      <c r="I49" s="212">
        <f t="shared" si="32"/>
        <v>0.2</v>
      </c>
      <c r="J49" s="210">
        <f>+H13</f>
        <v>3386</v>
      </c>
      <c r="K49" s="212">
        <f t="shared" si="33"/>
        <v>-1.9</v>
      </c>
      <c r="L49" s="210">
        <f>+H15</f>
        <v>3307</v>
      </c>
      <c r="M49" s="212">
        <f t="shared" si="34"/>
        <v>-1.7</v>
      </c>
      <c r="N49" s="210">
        <f>+H17</f>
        <v>5574</v>
      </c>
      <c r="O49" s="212">
        <f t="shared" si="35"/>
        <v>6.1</v>
      </c>
      <c r="P49" s="210">
        <f>+H19</f>
        <v>17831</v>
      </c>
      <c r="Q49" s="212">
        <f t="shared" si="36"/>
        <v>1.3</v>
      </c>
      <c r="R49" s="210">
        <f>+H25</f>
        <v>11213</v>
      </c>
      <c r="S49" s="212">
        <f t="shared" si="37"/>
        <v>1.6</v>
      </c>
      <c r="T49" s="210"/>
      <c r="U49" s="212"/>
      <c r="V49" s="210"/>
      <c r="W49" s="212"/>
      <c r="X49" s="210"/>
      <c r="Y49" s="212"/>
      <c r="Z49" s="210"/>
      <c r="AA49" s="212"/>
      <c r="AB49" s="697">
        <f>AC49+AD49</f>
        <v>33511</v>
      </c>
      <c r="AC49" s="691">
        <v>33511</v>
      </c>
    </row>
    <row r="50" spans="1:29">
      <c r="A50" s="2275">
        <v>2009</v>
      </c>
      <c r="B50" s="2275"/>
      <c r="C50" s="209"/>
      <c r="D50" s="210">
        <f>+I7</f>
        <v>98279</v>
      </c>
      <c r="E50" s="212">
        <f t="shared" si="30"/>
        <v>1.3</v>
      </c>
      <c r="F50" s="210">
        <f>+I9</f>
        <v>18920</v>
      </c>
      <c r="G50" s="212">
        <f t="shared" si="31"/>
        <v>1.2</v>
      </c>
      <c r="H50" s="211">
        <f>+I11</f>
        <v>22563</v>
      </c>
      <c r="I50" s="212">
        <f t="shared" si="32"/>
        <v>0</v>
      </c>
      <c r="J50" s="210">
        <f>+I13</f>
        <v>3321</v>
      </c>
      <c r="K50" s="212">
        <f t="shared" si="33"/>
        <v>-1.9</v>
      </c>
      <c r="L50" s="210">
        <f>+I15</f>
        <v>3313</v>
      </c>
      <c r="M50" s="212">
        <f t="shared" si="34"/>
        <v>0.2</v>
      </c>
      <c r="N50" s="210">
        <f>+I17</f>
        <v>5497</v>
      </c>
      <c r="O50" s="212">
        <f t="shared" si="35"/>
        <v>-1.4</v>
      </c>
      <c r="P50" s="210">
        <f>+I19</f>
        <v>18702</v>
      </c>
      <c r="Q50" s="212">
        <f t="shared" si="36"/>
        <v>4.9000000000000004</v>
      </c>
      <c r="R50" s="210">
        <f>+I25</f>
        <v>11405</v>
      </c>
      <c r="S50" s="212">
        <f t="shared" si="37"/>
        <v>1.7</v>
      </c>
      <c r="T50" s="210"/>
      <c r="U50" s="212"/>
      <c r="V50" s="210"/>
      <c r="W50" s="212"/>
      <c r="X50" s="210"/>
      <c r="Y50" s="212"/>
      <c r="Z50" s="210"/>
      <c r="AA50" s="212"/>
      <c r="AB50" s="698">
        <v>50985</v>
      </c>
      <c r="AC50" s="691">
        <v>33928</v>
      </c>
    </row>
    <row r="51" spans="1:29">
      <c r="A51" s="2275">
        <v>2010</v>
      </c>
      <c r="B51" s="2275"/>
      <c r="C51" s="209"/>
      <c r="D51" s="210">
        <f>+J7</f>
        <v>99952</v>
      </c>
      <c r="E51" s="212">
        <f t="shared" si="30"/>
        <v>1.7</v>
      </c>
      <c r="F51" s="210">
        <f>+J9</f>
        <v>19167</v>
      </c>
      <c r="G51" s="212">
        <f t="shared" si="31"/>
        <v>1.3</v>
      </c>
      <c r="H51" s="211">
        <f>+J11</f>
        <v>23002</v>
      </c>
      <c r="I51" s="212">
        <f t="shared" si="32"/>
        <v>1.9</v>
      </c>
      <c r="J51" s="210">
        <f>+J13</f>
        <v>3291</v>
      </c>
      <c r="K51" s="212">
        <f t="shared" si="33"/>
        <v>-0.9</v>
      </c>
      <c r="L51" s="210">
        <f>+J15</f>
        <v>3326</v>
      </c>
      <c r="M51" s="212">
        <f t="shared" si="34"/>
        <v>0.4</v>
      </c>
      <c r="N51" s="210">
        <f>+J17</f>
        <v>5579</v>
      </c>
      <c r="O51" s="212">
        <f t="shared" si="35"/>
        <v>1.5</v>
      </c>
      <c r="P51" s="210">
        <f>+J19</f>
        <v>19159</v>
      </c>
      <c r="Q51" s="212">
        <f t="shared" si="36"/>
        <v>2.4</v>
      </c>
      <c r="R51" s="210">
        <f>+J25</f>
        <v>11441</v>
      </c>
      <c r="S51" s="212">
        <f t="shared" si="37"/>
        <v>0.3</v>
      </c>
      <c r="T51" s="210"/>
      <c r="U51" s="212"/>
      <c r="V51" s="210"/>
      <c r="W51" s="212"/>
      <c r="X51" s="210"/>
      <c r="Y51" s="212"/>
      <c r="Z51" s="210"/>
      <c r="AA51" s="212"/>
      <c r="AB51" s="699">
        <v>51139</v>
      </c>
      <c r="AC51" s="691">
        <v>34420</v>
      </c>
    </row>
    <row r="52" spans="1:29">
      <c r="A52" s="2275">
        <v>2011</v>
      </c>
      <c r="B52" s="2275"/>
      <c r="C52" s="209"/>
      <c r="D52" s="210">
        <f>+K7</f>
        <v>102796</v>
      </c>
      <c r="E52" s="212">
        <f t="shared" si="30"/>
        <v>2.8</v>
      </c>
      <c r="F52" s="210">
        <f>+K9</f>
        <v>19214</v>
      </c>
      <c r="G52" s="212">
        <f t="shared" si="31"/>
        <v>0.2</v>
      </c>
      <c r="H52" s="211">
        <f>+K11</f>
        <v>23362</v>
      </c>
      <c r="I52" s="212">
        <f t="shared" si="32"/>
        <v>1.6</v>
      </c>
      <c r="J52" s="210">
        <f>+K13</f>
        <v>3233</v>
      </c>
      <c r="K52" s="212">
        <f t="shared" si="33"/>
        <v>-1.8</v>
      </c>
      <c r="L52" s="210">
        <f>+K15</f>
        <v>3270</v>
      </c>
      <c r="M52" s="212">
        <f t="shared" si="34"/>
        <v>-1.7</v>
      </c>
      <c r="N52" s="210">
        <f>+K17</f>
        <v>8143</v>
      </c>
      <c r="O52" s="212">
        <f t="shared" si="35"/>
        <v>46</v>
      </c>
      <c r="P52" s="210">
        <f>+K19</f>
        <v>19132</v>
      </c>
      <c r="Q52" s="212">
        <f t="shared" si="36"/>
        <v>-0.1</v>
      </c>
      <c r="R52" s="210">
        <f>+K25</f>
        <v>11333</v>
      </c>
      <c r="S52" s="212">
        <f t="shared" si="37"/>
        <v>-0.9</v>
      </c>
      <c r="T52" s="210"/>
      <c r="U52" s="212"/>
      <c r="V52" s="210"/>
      <c r="W52" s="212"/>
      <c r="X52" s="210"/>
      <c r="Y52" s="212"/>
      <c r="Z52" s="210"/>
      <c r="AA52" s="212"/>
      <c r="AB52" s="695">
        <f>AC52+AD52</f>
        <v>34707</v>
      </c>
      <c r="AC52" s="691">
        <v>34707</v>
      </c>
    </row>
    <row r="53" spans="1:29">
      <c r="A53" s="2275">
        <v>2012</v>
      </c>
      <c r="B53" s="2275"/>
      <c r="C53" s="209"/>
      <c r="D53" s="210">
        <f>+L7</f>
        <v>104316</v>
      </c>
      <c r="E53" s="212">
        <f t="shared" si="30"/>
        <v>1.5</v>
      </c>
      <c r="F53" s="210">
        <f>+L9</f>
        <v>18986</v>
      </c>
      <c r="G53" s="212">
        <f t="shared" si="31"/>
        <v>-1.2</v>
      </c>
      <c r="H53" s="211">
        <f>+L11</f>
        <v>23334</v>
      </c>
      <c r="I53" s="212">
        <f t="shared" si="32"/>
        <v>-0.1</v>
      </c>
      <c r="J53" s="210">
        <f>+L13</f>
        <v>3221</v>
      </c>
      <c r="K53" s="212">
        <f t="shared" si="33"/>
        <v>-0.4</v>
      </c>
      <c r="L53" s="210">
        <f>+L15</f>
        <v>3243</v>
      </c>
      <c r="M53" s="212">
        <f t="shared" si="34"/>
        <v>-0.8</v>
      </c>
      <c r="N53" s="210">
        <f>+L17</f>
        <v>10418</v>
      </c>
      <c r="O53" s="212">
        <f t="shared" si="35"/>
        <v>27.9</v>
      </c>
      <c r="P53" s="210">
        <f>+L19</f>
        <v>18802</v>
      </c>
      <c r="Q53" s="212">
        <f t="shared" si="36"/>
        <v>-1.7</v>
      </c>
      <c r="R53" s="210">
        <f>+L25</f>
        <v>11390</v>
      </c>
      <c r="S53" s="212">
        <f t="shared" si="37"/>
        <v>0.5</v>
      </c>
      <c r="T53" s="210"/>
      <c r="U53" s="212"/>
      <c r="V53" s="210"/>
      <c r="W53" s="212"/>
      <c r="X53" s="210"/>
      <c r="Y53" s="212"/>
      <c r="Z53" s="210"/>
      <c r="AA53" s="212"/>
      <c r="AB53" s="695">
        <v>51071</v>
      </c>
      <c r="AC53" s="691">
        <v>35035</v>
      </c>
    </row>
    <row r="54" spans="1:29">
      <c r="A54" s="2275">
        <v>2013</v>
      </c>
      <c r="B54" s="2275"/>
      <c r="C54" s="209"/>
      <c r="D54" s="210">
        <f>+M7</f>
        <v>106419</v>
      </c>
      <c r="E54" s="212">
        <f t="shared" si="30"/>
        <v>2</v>
      </c>
      <c r="F54" s="210">
        <f>+M9</f>
        <v>19057</v>
      </c>
      <c r="G54" s="212">
        <f t="shared" si="31"/>
        <v>0.4</v>
      </c>
      <c r="H54" s="211">
        <f>+M11</f>
        <v>23398</v>
      </c>
      <c r="I54" s="212">
        <f t="shared" si="32"/>
        <v>0.3</v>
      </c>
      <c r="J54" s="210">
        <f>+M13</f>
        <v>3240</v>
      </c>
      <c r="K54" s="212">
        <f t="shared" si="33"/>
        <v>0.6</v>
      </c>
      <c r="L54" s="210">
        <f>+M15</f>
        <v>3317</v>
      </c>
      <c r="M54" s="212">
        <f t="shared" si="34"/>
        <v>2.2999999999999998</v>
      </c>
      <c r="N54" s="210">
        <f>+M17</f>
        <v>12254</v>
      </c>
      <c r="O54" s="212">
        <f t="shared" si="35"/>
        <v>17.600000000000001</v>
      </c>
      <c r="P54" s="210">
        <f>+M19</f>
        <v>18744</v>
      </c>
      <c r="Q54" s="212">
        <f t="shared" si="36"/>
        <v>-0.3</v>
      </c>
      <c r="R54" s="210">
        <f>+M25</f>
        <v>11393</v>
      </c>
      <c r="S54" s="212">
        <f t="shared" si="37"/>
        <v>0</v>
      </c>
      <c r="T54" s="210"/>
      <c r="U54" s="212"/>
      <c r="V54" s="210"/>
      <c r="W54" s="212"/>
      <c r="X54" s="210"/>
      <c r="Y54" s="212"/>
      <c r="Z54" s="210"/>
      <c r="AA54" s="212"/>
      <c r="AB54" s="700">
        <v>51358</v>
      </c>
      <c r="AC54" s="692">
        <v>35358</v>
      </c>
    </row>
    <row r="55" spans="1:29" ht="13.5" hidden="1" customHeight="1">
      <c r="A55" s="2275">
        <v>2014</v>
      </c>
      <c r="B55" s="2275"/>
      <c r="C55" s="209"/>
      <c r="D55" s="210" t="e">
        <f>+#REF!</f>
        <v>#REF!</v>
      </c>
      <c r="E55" s="212" t="e">
        <f t="shared" si="30"/>
        <v>#REF!</v>
      </c>
      <c r="F55" s="210" t="e">
        <f>+#REF!</f>
        <v>#REF!</v>
      </c>
      <c r="G55" s="212" t="e">
        <f t="shared" si="31"/>
        <v>#REF!</v>
      </c>
      <c r="H55" s="211"/>
      <c r="I55" s="212">
        <f t="shared" si="32"/>
        <v>-100</v>
      </c>
      <c r="J55" s="212"/>
      <c r="K55" s="212">
        <f t="shared" si="33"/>
        <v>-100</v>
      </c>
      <c r="L55" s="212"/>
      <c r="M55" s="212">
        <f t="shared" si="34"/>
        <v>-100</v>
      </c>
      <c r="N55" s="212">
        <f>+M17</f>
        <v>12254</v>
      </c>
      <c r="O55" s="212">
        <f>+ROUND((N54-N53)/N53*100,1)</f>
        <v>17.600000000000001</v>
      </c>
      <c r="P55" s="212"/>
      <c r="Q55" s="212">
        <f t="shared" si="36"/>
        <v>-100</v>
      </c>
      <c r="R55" s="217" t="e">
        <f>+#REF!</f>
        <v>#REF!</v>
      </c>
      <c r="S55" s="212" t="e">
        <f t="shared" si="37"/>
        <v>#REF!</v>
      </c>
      <c r="T55" s="217"/>
      <c r="U55" s="212"/>
      <c r="V55" s="217"/>
      <c r="W55" s="212"/>
      <c r="X55" s="217"/>
      <c r="Y55" s="212"/>
      <c r="Z55" s="217"/>
      <c r="AA55" s="212"/>
    </row>
    <row r="56" spans="1:29">
      <c r="A56" s="2275" t="s">
        <v>200</v>
      </c>
      <c r="B56" s="209" t="s">
        <v>204</v>
      </c>
      <c r="C56" s="209"/>
      <c r="D56" s="218"/>
      <c r="E56" s="212">
        <f>+O8</f>
        <v>1.57</v>
      </c>
      <c r="F56" s="217"/>
      <c r="G56" s="212">
        <f>+O10</f>
        <v>0.38</v>
      </c>
      <c r="H56" s="211"/>
      <c r="I56" s="212">
        <f>+S8</f>
        <v>0</v>
      </c>
      <c r="J56" s="212"/>
      <c r="K56" s="212">
        <f>+U8</f>
        <v>0</v>
      </c>
      <c r="L56" s="212"/>
      <c r="M56" s="212">
        <f>+W8</f>
        <v>0</v>
      </c>
      <c r="O56" s="212">
        <f>+Z8</f>
        <v>0</v>
      </c>
      <c r="P56" s="212"/>
      <c r="Q56" s="212">
        <f>+AB8</f>
        <v>0</v>
      </c>
      <c r="R56" s="217"/>
      <c r="S56" s="212">
        <f>+O26</f>
        <v>0.53</v>
      </c>
      <c r="T56" s="217"/>
      <c r="U56" s="212"/>
      <c r="V56" s="217"/>
      <c r="W56" s="212"/>
      <c r="X56" s="217"/>
      <c r="Y56" s="212"/>
      <c r="Z56" s="217"/>
      <c r="AA56" s="212"/>
    </row>
    <row r="57" spans="1:29">
      <c r="A57" s="2275"/>
      <c r="B57" s="209" t="s">
        <v>202</v>
      </c>
      <c r="C57" s="209"/>
      <c r="D57" s="218"/>
      <c r="E57" s="212">
        <f>+N8</f>
        <v>2.0099999999999998</v>
      </c>
      <c r="F57" s="217"/>
      <c r="G57" s="212">
        <f>+N10</f>
        <v>0.18</v>
      </c>
      <c r="H57" s="211"/>
      <c r="I57" s="212">
        <f>+R8</f>
        <v>0</v>
      </c>
      <c r="J57" s="212"/>
      <c r="K57" s="212">
        <f>+T8</f>
        <v>0</v>
      </c>
      <c r="L57" s="212"/>
      <c r="M57" s="212">
        <f>+V8</f>
        <v>0</v>
      </c>
      <c r="N57" s="212"/>
      <c r="O57" s="212">
        <f>+Y8</f>
        <v>0</v>
      </c>
      <c r="P57" s="212"/>
      <c r="Q57" s="212">
        <f>+AA8</f>
        <v>0</v>
      </c>
      <c r="R57" s="217"/>
      <c r="S57" s="212">
        <f>+N26</f>
        <v>-0.03</v>
      </c>
      <c r="T57" s="217"/>
      <c r="U57" s="212"/>
      <c r="V57" s="217"/>
      <c r="W57" s="212"/>
      <c r="X57" s="217"/>
      <c r="Y57" s="212"/>
      <c r="Z57" s="217"/>
      <c r="AA57" s="212"/>
    </row>
    <row r="59" spans="1:29">
      <c r="E59" s="178" t="s">
        <v>217</v>
      </c>
    </row>
    <row r="76" spans="5:5">
      <c r="E76" s="178" t="s">
        <v>218</v>
      </c>
    </row>
    <row r="80" spans="5:5">
      <c r="E80" s="178" t="s">
        <v>218</v>
      </c>
    </row>
    <row r="102" spans="5:5">
      <c r="E102" s="178" t="s">
        <v>219</v>
      </c>
    </row>
    <row r="111" spans="5:5">
      <c r="E111" s="178" t="s">
        <v>220</v>
      </c>
    </row>
    <row r="123" spans="5:5">
      <c r="E123" s="178" t="s">
        <v>220</v>
      </c>
    </row>
    <row r="148" spans="1:10" ht="13.5" customHeight="1">
      <c r="A148" s="2283" t="s">
        <v>221</v>
      </c>
      <c r="B148" s="2283" t="s">
        <v>222</v>
      </c>
      <c r="C148" s="219"/>
      <c r="D148" s="219" t="s">
        <v>222</v>
      </c>
      <c r="E148" s="2278" t="s">
        <v>223</v>
      </c>
      <c r="F148" s="2279"/>
      <c r="G148" s="2279"/>
      <c r="H148" s="2280"/>
      <c r="I148" s="2278" t="s">
        <v>224</v>
      </c>
      <c r="J148" s="2280"/>
    </row>
    <row r="149" spans="1:10" ht="14.25" thickBot="1">
      <c r="A149" s="2284"/>
      <c r="B149" s="2284"/>
      <c r="C149" s="220"/>
      <c r="D149" s="220" t="s">
        <v>225</v>
      </c>
      <c r="E149" s="221" t="s">
        <v>226</v>
      </c>
      <c r="F149" s="221" t="s">
        <v>227</v>
      </c>
      <c r="G149" s="221" t="s">
        <v>228</v>
      </c>
      <c r="H149" s="221" t="s">
        <v>229</v>
      </c>
      <c r="I149" s="221" t="s">
        <v>230</v>
      </c>
      <c r="J149" s="221" t="s">
        <v>229</v>
      </c>
    </row>
    <row r="150" spans="1:10" ht="14.25" thickTop="1">
      <c r="A150" s="222" t="s">
        <v>231</v>
      </c>
      <c r="B150" s="223"/>
      <c r="C150" s="223"/>
      <c r="D150" s="223"/>
      <c r="E150" s="222"/>
      <c r="F150" s="222"/>
      <c r="G150" s="222"/>
      <c r="H150" s="222"/>
      <c r="I150" s="223"/>
      <c r="J150" s="222"/>
    </row>
    <row r="151" spans="1:10">
      <c r="A151" s="224" t="s">
        <v>232</v>
      </c>
      <c r="B151" s="225"/>
      <c r="C151" s="225"/>
      <c r="D151" s="224"/>
      <c r="E151" s="224"/>
      <c r="F151" s="224"/>
      <c r="G151" s="224"/>
      <c r="H151" s="224"/>
      <c r="I151" s="224"/>
      <c r="J151" s="224"/>
    </row>
    <row r="152" spans="1:10">
      <c r="A152" s="224" t="s">
        <v>192</v>
      </c>
      <c r="B152" s="225"/>
      <c r="C152" s="225"/>
      <c r="D152" s="224"/>
      <c r="E152" s="224"/>
      <c r="F152" s="224"/>
      <c r="G152" s="224"/>
      <c r="H152" s="224"/>
      <c r="I152" s="224"/>
      <c r="J152" s="224"/>
    </row>
    <row r="153" spans="1:10">
      <c r="A153" s="224" t="s">
        <v>193</v>
      </c>
      <c r="B153" s="225"/>
      <c r="C153" s="225"/>
      <c r="D153" s="224"/>
      <c r="E153" s="224"/>
      <c r="F153" s="224"/>
      <c r="G153" s="224"/>
      <c r="H153" s="224"/>
      <c r="I153" s="224"/>
      <c r="J153" s="224"/>
    </row>
    <row r="154" spans="1:10">
      <c r="A154" s="224" t="s">
        <v>194</v>
      </c>
      <c r="B154" s="225"/>
      <c r="C154" s="225"/>
      <c r="D154" s="224"/>
      <c r="E154" s="224"/>
      <c r="F154" s="224"/>
      <c r="G154" s="224"/>
      <c r="H154" s="224"/>
      <c r="I154" s="224"/>
      <c r="J154" s="224"/>
    </row>
    <row r="155" spans="1:10">
      <c r="A155" s="224" t="s">
        <v>195</v>
      </c>
      <c r="B155" s="225"/>
      <c r="C155" s="225"/>
      <c r="D155" s="224"/>
      <c r="E155" s="224"/>
      <c r="F155" s="224"/>
      <c r="G155" s="224"/>
      <c r="H155" s="224"/>
      <c r="I155" s="224"/>
      <c r="J155" s="224"/>
    </row>
    <row r="156" spans="1:10">
      <c r="A156" s="224" t="s">
        <v>196</v>
      </c>
      <c r="B156" s="225"/>
      <c r="C156" s="225"/>
      <c r="D156" s="224"/>
      <c r="E156" s="224"/>
      <c r="F156" s="224"/>
      <c r="G156" s="224"/>
      <c r="H156" s="224"/>
      <c r="I156" s="224"/>
      <c r="J156" s="224"/>
    </row>
    <row r="157" spans="1:10">
      <c r="A157" s="224" t="s">
        <v>197</v>
      </c>
      <c r="B157" s="225"/>
      <c r="C157" s="225"/>
      <c r="D157" s="224"/>
      <c r="E157" s="224"/>
      <c r="F157" s="224"/>
      <c r="G157" s="224"/>
      <c r="H157" s="224"/>
      <c r="I157" s="224"/>
      <c r="J157" s="224"/>
    </row>
    <row r="158" spans="1:10">
      <c r="A158" s="224" t="s">
        <v>198</v>
      </c>
      <c r="B158" s="225"/>
      <c r="C158" s="225"/>
      <c r="D158" s="224"/>
      <c r="E158" s="224"/>
      <c r="F158" s="224"/>
      <c r="G158" s="224"/>
      <c r="H158" s="224"/>
      <c r="I158" s="224"/>
      <c r="J158" s="224"/>
    </row>
    <row r="159" spans="1:10">
      <c r="A159" s="224" t="s">
        <v>199</v>
      </c>
      <c r="B159" s="225"/>
      <c r="C159" s="225"/>
      <c r="D159" s="224"/>
      <c r="E159" s="224"/>
      <c r="F159" s="224"/>
      <c r="G159" s="224"/>
      <c r="H159" s="224"/>
      <c r="I159" s="224"/>
      <c r="J159" s="224"/>
    </row>
    <row r="160" spans="1:10" ht="13.5" customHeight="1">
      <c r="A160" s="2281" t="s">
        <v>233</v>
      </c>
      <c r="B160" s="2282"/>
      <c r="C160" s="226"/>
      <c r="D160" s="224">
        <v>63</v>
      </c>
      <c r="E160" s="224">
        <v>-258</v>
      </c>
      <c r="F160" s="224"/>
      <c r="G160" s="224"/>
      <c r="H160" s="224">
        <v>-200</v>
      </c>
      <c r="I160" s="224">
        <v>321</v>
      </c>
      <c r="J160" s="224">
        <v>29</v>
      </c>
    </row>
    <row r="161" spans="1:10" ht="13.5" customHeight="1">
      <c r="A161" s="2281" t="s">
        <v>234</v>
      </c>
      <c r="B161" s="2282"/>
      <c r="C161" s="226"/>
      <c r="D161" s="224">
        <v>-321</v>
      </c>
      <c r="E161" s="224">
        <v>-218</v>
      </c>
      <c r="F161" s="224"/>
      <c r="G161" s="224"/>
      <c r="H161" s="224">
        <v>-106</v>
      </c>
      <c r="I161" s="224">
        <v>-103</v>
      </c>
      <c r="J161" s="224">
        <v>32</v>
      </c>
    </row>
  </sheetData>
  <mergeCells count="55">
    <mergeCell ref="A161:B161"/>
    <mergeCell ref="C5:C6"/>
    <mergeCell ref="A44:B44"/>
    <mergeCell ref="A56:A57"/>
    <mergeCell ref="A148:A149"/>
    <mergeCell ref="B148:B149"/>
    <mergeCell ref="A49:B49"/>
    <mergeCell ref="E148:H148"/>
    <mergeCell ref="I148:J148"/>
    <mergeCell ref="A160:B160"/>
    <mergeCell ref="A50:B50"/>
    <mergeCell ref="A51:B51"/>
    <mergeCell ref="A52:B52"/>
    <mergeCell ref="A53:B53"/>
    <mergeCell ref="A54:B54"/>
    <mergeCell ref="A55:B55"/>
    <mergeCell ref="Z42:AA42"/>
    <mergeCell ref="A45:B45"/>
    <mergeCell ref="A46:B46"/>
    <mergeCell ref="A47:B47"/>
    <mergeCell ref="A48:B48"/>
    <mergeCell ref="N42:O42"/>
    <mergeCell ref="P42:Q42"/>
    <mergeCell ref="R42:S42"/>
    <mergeCell ref="T42:U42"/>
    <mergeCell ref="V42:W42"/>
    <mergeCell ref="X42:Y42"/>
    <mergeCell ref="A42:B43"/>
    <mergeCell ref="D42:E42"/>
    <mergeCell ref="F42:G42"/>
    <mergeCell ref="H42:I42"/>
    <mergeCell ref="J42:K42"/>
    <mergeCell ref="L42:M42"/>
    <mergeCell ref="A19:A20"/>
    <mergeCell ref="A25:A26"/>
    <mergeCell ref="A7:A8"/>
    <mergeCell ref="A9:A10"/>
    <mergeCell ref="A11:A12"/>
    <mergeCell ref="A13:A14"/>
    <mergeCell ref="A15:A16"/>
    <mergeCell ref="A17:A18"/>
    <mergeCell ref="A21:A22"/>
    <mergeCell ref="A23:A24"/>
    <mergeCell ref="N5:O5"/>
    <mergeCell ref="A5:B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honeticPr fontId="3" type="noConversion"/>
  <pageMargins left="0.78740157480314965" right="0.78740157480314965" top="0.59055118110236227" bottom="0.59055118110236227" header="0.51181102362204722" footer="0.51181102362204722"/>
  <pageSetup paperSize="9" scale="88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CX230"/>
  <sheetViews>
    <sheetView view="pageBreakPreview" zoomScaleNormal="100" zoomScaleSheetLayoutView="100" workbookViewId="0">
      <selection activeCell="A4" sqref="A4"/>
    </sheetView>
  </sheetViews>
  <sheetFormatPr defaultRowHeight="14.85" customHeight="1"/>
  <cols>
    <col min="1" max="2" width="12.125" style="325" customWidth="1"/>
    <col min="3" max="5" width="13" style="326" customWidth="1"/>
    <col min="6" max="6" width="12.875" style="326" customWidth="1"/>
    <col min="7" max="7" width="13" style="326" customWidth="1"/>
    <col min="8" max="8" width="13.125" style="326" customWidth="1"/>
    <col min="9" max="10" width="12.125" style="326" customWidth="1"/>
    <col min="11" max="11" width="14.375" style="326" bestFit="1" customWidth="1"/>
    <col min="12" max="12" width="11" style="326" customWidth="1"/>
    <col min="13" max="13" width="10" style="326" customWidth="1"/>
    <col min="14" max="14" width="10.875" style="326" customWidth="1"/>
    <col min="15" max="15" width="13.75" style="326" customWidth="1"/>
    <col min="16" max="16" width="10" style="326" customWidth="1"/>
    <col min="17" max="17" width="13.25" style="326" customWidth="1"/>
    <col min="18" max="18" width="14.375" style="326" customWidth="1"/>
    <col min="19" max="19" width="10" style="326" customWidth="1"/>
    <col min="20" max="20" width="10.875" style="326" customWidth="1"/>
    <col min="21" max="21" width="11.375" style="326" customWidth="1"/>
    <col min="22" max="22" width="15.375" style="326" customWidth="1"/>
    <col min="23" max="24" width="10.75" style="326" customWidth="1"/>
    <col min="25" max="25" width="14.375" style="326" customWidth="1"/>
    <col min="26" max="26" width="10.75" style="326" customWidth="1"/>
    <col min="27" max="27" width="11.75" style="326" customWidth="1"/>
    <col min="28" max="28" width="10" style="326" customWidth="1"/>
    <col min="29" max="29" width="15.375" style="326" customWidth="1"/>
    <col min="30" max="30" width="10" style="326" customWidth="1"/>
    <col min="31" max="31" width="10.75" style="326" customWidth="1"/>
    <col min="32" max="32" width="14.875" style="326" customWidth="1"/>
    <col min="33" max="33" width="11.5" style="326" customWidth="1"/>
    <col min="34" max="34" width="10" style="326" customWidth="1"/>
    <col min="35" max="35" width="10.75" style="326" customWidth="1"/>
    <col min="36" max="36" width="13.5" style="326" customWidth="1"/>
    <col min="37" max="37" width="9" style="326"/>
    <col min="38" max="38" width="10.75" style="326" bestFit="1" customWidth="1"/>
    <col min="39" max="39" width="13.75" style="326" customWidth="1"/>
    <col min="40" max="40" width="9" style="326"/>
    <col min="41" max="41" width="10.625" style="326" customWidth="1"/>
    <col min="42" max="42" width="9" style="326"/>
    <col min="43" max="43" width="14.25" style="326" customWidth="1"/>
    <col min="44" max="44" width="10.75" style="326" bestFit="1" customWidth="1"/>
    <col min="45" max="45" width="11.625" style="326" customWidth="1"/>
    <col min="46" max="46" width="13.75" style="326" customWidth="1"/>
    <col min="47" max="47" width="10.625" style="326" customWidth="1"/>
    <col min="48" max="49" width="9" style="326"/>
    <col min="50" max="50" width="14.125" style="326" customWidth="1"/>
    <col min="51" max="51" width="11" style="326" customWidth="1"/>
    <col min="52" max="52" width="10.75" style="326" bestFit="1" customWidth="1"/>
    <col min="53" max="53" width="13.5" style="326" customWidth="1"/>
    <col min="54" max="55" width="9" style="326"/>
    <col min="56" max="56" width="10.75" style="326" bestFit="1" customWidth="1"/>
    <col min="57" max="57" width="14" style="326" customWidth="1"/>
    <col min="58" max="58" width="9" style="326"/>
    <col min="59" max="59" width="10.75" style="326" customWidth="1"/>
    <col min="60" max="60" width="12.75" style="326" customWidth="1"/>
    <col min="61" max="61" width="9" style="326"/>
    <col min="62" max="62" width="10.75" style="326" bestFit="1" customWidth="1"/>
    <col min="63" max="63" width="11.5" style="326" customWidth="1"/>
    <col min="64" max="64" width="13.625" style="326" customWidth="1"/>
    <col min="65" max="65" width="10.625" style="326" customWidth="1"/>
    <col min="66" max="66" width="10.75" style="326" bestFit="1" customWidth="1"/>
    <col min="67" max="67" width="12.375" style="326" customWidth="1"/>
    <col min="68" max="70" width="9" style="326"/>
    <col min="71" max="71" width="15.75" style="326" customWidth="1"/>
    <col min="72" max="72" width="9" style="326"/>
    <col min="73" max="73" width="10.75" style="326" bestFit="1" customWidth="1"/>
    <col min="74" max="74" width="12.625" style="326" customWidth="1"/>
    <col min="75" max="77" width="9" style="326"/>
    <col min="78" max="78" width="13.625" style="326" customWidth="1"/>
    <col min="79" max="79" width="9" style="326"/>
    <col min="80" max="80" width="10.75" style="326" bestFit="1" customWidth="1"/>
    <col min="81" max="81" width="12.5" style="326" customWidth="1"/>
    <col min="82" max="84" width="9" style="326"/>
    <col min="85" max="85" width="12.875" style="326" customWidth="1"/>
    <col min="86" max="86" width="9" style="326"/>
    <col min="87" max="87" width="10.75" style="326" bestFit="1" customWidth="1"/>
    <col min="88" max="88" width="13.875" style="326" customWidth="1"/>
    <col min="89" max="91" width="9" style="326"/>
    <col min="92" max="92" width="14.125" style="326" customWidth="1"/>
    <col min="93" max="93" width="9" style="326"/>
    <col min="94" max="94" width="10.75" style="326" bestFit="1" customWidth="1"/>
    <col min="95" max="95" width="13.25" style="326" customWidth="1"/>
    <col min="96" max="98" width="9" style="326"/>
    <col min="99" max="99" width="13.25" style="326" customWidth="1"/>
    <col min="100" max="100" width="9" style="326"/>
    <col min="101" max="101" width="10.75" style="326" bestFit="1" customWidth="1"/>
    <col min="102" max="102" width="13.875" style="326" customWidth="1"/>
    <col min="103" max="250" width="9" style="326"/>
    <col min="251" max="252" width="12.125" style="326" customWidth="1"/>
    <col min="253" max="255" width="13" style="326" customWidth="1"/>
    <col min="256" max="256" width="12.875" style="326" customWidth="1"/>
    <col min="257" max="257" width="13" style="326" customWidth="1"/>
    <col min="258" max="258" width="13.125" style="326" customWidth="1"/>
    <col min="259" max="260" width="12.125" style="326" customWidth="1"/>
    <col min="261" max="261" width="14.375" style="326" bestFit="1" customWidth="1"/>
    <col min="262" max="262" width="11" style="326" customWidth="1"/>
    <col min="263" max="263" width="10" style="326" customWidth="1"/>
    <col min="264" max="264" width="10.875" style="326" customWidth="1"/>
    <col min="265" max="265" width="13.75" style="326" customWidth="1"/>
    <col min="266" max="266" width="10" style="326" customWidth="1"/>
    <col min="267" max="267" width="13.25" style="326" customWidth="1"/>
    <col min="268" max="268" width="14.375" style="326" customWidth="1"/>
    <col min="269" max="269" width="10" style="326" customWidth="1"/>
    <col min="270" max="270" width="10.875" style="326" customWidth="1"/>
    <col min="271" max="271" width="11.375" style="326" customWidth="1"/>
    <col min="272" max="272" width="15.375" style="326" customWidth="1"/>
    <col min="273" max="274" width="10.75" style="326" customWidth="1"/>
    <col min="275" max="275" width="14.375" style="326" customWidth="1"/>
    <col min="276" max="276" width="10.75" style="326" customWidth="1"/>
    <col min="277" max="277" width="11.75" style="326" customWidth="1"/>
    <col min="278" max="278" width="10" style="326" customWidth="1"/>
    <col min="279" max="279" width="15.375" style="326" customWidth="1"/>
    <col min="280" max="280" width="10" style="326" customWidth="1"/>
    <col min="281" max="281" width="10.75" style="326" customWidth="1"/>
    <col min="282" max="282" width="14.875" style="326" customWidth="1"/>
    <col min="283" max="283" width="11.5" style="326" customWidth="1"/>
    <col min="284" max="284" width="10" style="326" customWidth="1"/>
    <col min="285" max="285" width="10.75" style="326" customWidth="1"/>
    <col min="286" max="286" width="13.5" style="326" customWidth="1"/>
    <col min="287" max="287" width="9" style="326"/>
    <col min="288" max="288" width="10.75" style="326" bestFit="1" customWidth="1"/>
    <col min="289" max="289" width="13.75" style="326" customWidth="1"/>
    <col min="290" max="290" width="9" style="326"/>
    <col min="291" max="291" width="10.625" style="326" customWidth="1"/>
    <col min="292" max="292" width="9" style="326"/>
    <col min="293" max="293" width="14.25" style="326" customWidth="1"/>
    <col min="294" max="294" width="10.75" style="326" bestFit="1" customWidth="1"/>
    <col min="295" max="295" width="11.625" style="326" customWidth="1"/>
    <col min="296" max="296" width="13.75" style="326" customWidth="1"/>
    <col min="297" max="297" width="10.625" style="326" customWidth="1"/>
    <col min="298" max="299" width="9" style="326"/>
    <col min="300" max="300" width="14.125" style="326" customWidth="1"/>
    <col min="301" max="301" width="11" style="326" customWidth="1"/>
    <col min="302" max="302" width="10.75" style="326" bestFit="1" customWidth="1"/>
    <col min="303" max="303" width="13.5" style="326" customWidth="1"/>
    <col min="304" max="305" width="9" style="326"/>
    <col min="306" max="306" width="10.75" style="326" bestFit="1" customWidth="1"/>
    <col min="307" max="307" width="14" style="326" customWidth="1"/>
    <col min="308" max="308" width="9" style="326"/>
    <col min="309" max="309" width="10.75" style="326" customWidth="1"/>
    <col min="310" max="310" width="12.75" style="326" customWidth="1"/>
    <col min="311" max="311" width="9" style="326"/>
    <col min="312" max="312" width="10.75" style="326" bestFit="1" customWidth="1"/>
    <col min="313" max="313" width="11.5" style="326" customWidth="1"/>
    <col min="314" max="314" width="13.625" style="326" customWidth="1"/>
    <col min="315" max="315" width="10.625" style="326" customWidth="1"/>
    <col min="316" max="316" width="10.75" style="326" bestFit="1" customWidth="1"/>
    <col min="317" max="317" width="12.375" style="326" customWidth="1"/>
    <col min="318" max="320" width="9" style="326"/>
    <col min="321" max="321" width="15.75" style="326" customWidth="1"/>
    <col min="322" max="322" width="9" style="326"/>
    <col min="323" max="323" width="10.75" style="326" bestFit="1" customWidth="1"/>
    <col min="324" max="324" width="12.625" style="326" customWidth="1"/>
    <col min="325" max="327" width="9" style="326"/>
    <col min="328" max="328" width="13.625" style="326" customWidth="1"/>
    <col min="329" max="329" width="9" style="326"/>
    <col min="330" max="330" width="10.75" style="326" bestFit="1" customWidth="1"/>
    <col min="331" max="331" width="12.5" style="326" customWidth="1"/>
    <col min="332" max="334" width="9" style="326"/>
    <col min="335" max="335" width="12.875" style="326" customWidth="1"/>
    <col min="336" max="336" width="9" style="326"/>
    <col min="337" max="337" width="10.75" style="326" bestFit="1" customWidth="1"/>
    <col min="338" max="338" width="13.875" style="326" customWidth="1"/>
    <col min="339" max="341" width="9" style="326"/>
    <col min="342" max="342" width="14.125" style="326" customWidth="1"/>
    <col min="343" max="343" width="9" style="326"/>
    <col min="344" max="344" width="10.75" style="326" bestFit="1" customWidth="1"/>
    <col min="345" max="345" width="13.25" style="326" customWidth="1"/>
    <col min="346" max="348" width="9" style="326"/>
    <col min="349" max="349" width="13.25" style="326" customWidth="1"/>
    <col min="350" max="350" width="9" style="326"/>
    <col min="351" max="351" width="10.75" style="326" bestFit="1" customWidth="1"/>
    <col min="352" max="352" width="13.875" style="326" customWidth="1"/>
    <col min="353" max="355" width="9" style="326"/>
    <col min="356" max="356" width="13.625" style="326" customWidth="1"/>
    <col min="357" max="357" width="9" style="326"/>
    <col min="358" max="358" width="10.75" style="326" bestFit="1" customWidth="1"/>
    <col min="359" max="359" width="13" style="326" customWidth="1"/>
    <col min="360" max="506" width="9" style="326"/>
    <col min="507" max="508" width="12.125" style="326" customWidth="1"/>
    <col min="509" max="511" width="13" style="326" customWidth="1"/>
    <col min="512" max="512" width="12.875" style="326" customWidth="1"/>
    <col min="513" max="513" width="13" style="326" customWidth="1"/>
    <col min="514" max="514" width="13.125" style="326" customWidth="1"/>
    <col min="515" max="516" width="12.125" style="326" customWidth="1"/>
    <col min="517" max="517" width="14.375" style="326" bestFit="1" customWidth="1"/>
    <col min="518" max="518" width="11" style="326" customWidth="1"/>
    <col min="519" max="519" width="10" style="326" customWidth="1"/>
    <col min="520" max="520" width="10.875" style="326" customWidth="1"/>
    <col min="521" max="521" width="13.75" style="326" customWidth="1"/>
    <col min="522" max="522" width="10" style="326" customWidth="1"/>
    <col min="523" max="523" width="13.25" style="326" customWidth="1"/>
    <col min="524" max="524" width="14.375" style="326" customWidth="1"/>
    <col min="525" max="525" width="10" style="326" customWidth="1"/>
    <col min="526" max="526" width="10.875" style="326" customWidth="1"/>
    <col min="527" max="527" width="11.375" style="326" customWidth="1"/>
    <col min="528" max="528" width="15.375" style="326" customWidth="1"/>
    <col min="529" max="530" width="10.75" style="326" customWidth="1"/>
    <col min="531" max="531" width="14.375" style="326" customWidth="1"/>
    <col min="532" max="532" width="10.75" style="326" customWidth="1"/>
    <col min="533" max="533" width="11.75" style="326" customWidth="1"/>
    <col min="534" max="534" width="10" style="326" customWidth="1"/>
    <col min="535" max="535" width="15.375" style="326" customWidth="1"/>
    <col min="536" max="536" width="10" style="326" customWidth="1"/>
    <col min="537" max="537" width="10.75" style="326" customWidth="1"/>
    <col min="538" max="538" width="14.875" style="326" customWidth="1"/>
    <col min="539" max="539" width="11.5" style="326" customWidth="1"/>
    <col min="540" max="540" width="10" style="326" customWidth="1"/>
    <col min="541" max="541" width="10.75" style="326" customWidth="1"/>
    <col min="542" max="542" width="13.5" style="326" customWidth="1"/>
    <col min="543" max="543" width="9" style="326"/>
    <col min="544" max="544" width="10.75" style="326" bestFit="1" customWidth="1"/>
    <col min="545" max="545" width="13.75" style="326" customWidth="1"/>
    <col min="546" max="546" width="9" style="326"/>
    <col min="547" max="547" width="10.625" style="326" customWidth="1"/>
    <col min="548" max="548" width="9" style="326"/>
    <col min="549" max="549" width="14.25" style="326" customWidth="1"/>
    <col min="550" max="550" width="10.75" style="326" bestFit="1" customWidth="1"/>
    <col min="551" max="551" width="11.625" style="326" customWidth="1"/>
    <col min="552" max="552" width="13.75" style="326" customWidth="1"/>
    <col min="553" max="553" width="10.625" style="326" customWidth="1"/>
    <col min="554" max="555" width="9" style="326"/>
    <col min="556" max="556" width="14.125" style="326" customWidth="1"/>
    <col min="557" max="557" width="11" style="326" customWidth="1"/>
    <col min="558" max="558" width="10.75" style="326" bestFit="1" customWidth="1"/>
    <col min="559" max="559" width="13.5" style="326" customWidth="1"/>
    <col min="560" max="561" width="9" style="326"/>
    <col min="562" max="562" width="10.75" style="326" bestFit="1" customWidth="1"/>
    <col min="563" max="563" width="14" style="326" customWidth="1"/>
    <col min="564" max="564" width="9" style="326"/>
    <col min="565" max="565" width="10.75" style="326" customWidth="1"/>
    <col min="566" max="566" width="12.75" style="326" customWidth="1"/>
    <col min="567" max="567" width="9" style="326"/>
    <col min="568" max="568" width="10.75" style="326" bestFit="1" customWidth="1"/>
    <col min="569" max="569" width="11.5" style="326" customWidth="1"/>
    <col min="570" max="570" width="13.625" style="326" customWidth="1"/>
    <col min="571" max="571" width="10.625" style="326" customWidth="1"/>
    <col min="572" max="572" width="10.75" style="326" bestFit="1" customWidth="1"/>
    <col min="573" max="573" width="12.375" style="326" customWidth="1"/>
    <col min="574" max="576" width="9" style="326"/>
    <col min="577" max="577" width="15.75" style="326" customWidth="1"/>
    <col min="578" max="578" width="9" style="326"/>
    <col min="579" max="579" width="10.75" style="326" bestFit="1" customWidth="1"/>
    <col min="580" max="580" width="12.625" style="326" customWidth="1"/>
    <col min="581" max="583" width="9" style="326"/>
    <col min="584" max="584" width="13.625" style="326" customWidth="1"/>
    <col min="585" max="585" width="9" style="326"/>
    <col min="586" max="586" width="10.75" style="326" bestFit="1" customWidth="1"/>
    <col min="587" max="587" width="12.5" style="326" customWidth="1"/>
    <col min="588" max="590" width="9" style="326"/>
    <col min="591" max="591" width="12.875" style="326" customWidth="1"/>
    <col min="592" max="592" width="9" style="326"/>
    <col min="593" max="593" width="10.75" style="326" bestFit="1" customWidth="1"/>
    <col min="594" max="594" width="13.875" style="326" customWidth="1"/>
    <col min="595" max="597" width="9" style="326"/>
    <col min="598" max="598" width="14.125" style="326" customWidth="1"/>
    <col min="599" max="599" width="9" style="326"/>
    <col min="600" max="600" width="10.75" style="326" bestFit="1" customWidth="1"/>
    <col min="601" max="601" width="13.25" style="326" customWidth="1"/>
    <col min="602" max="604" width="9" style="326"/>
    <col min="605" max="605" width="13.25" style="326" customWidth="1"/>
    <col min="606" max="606" width="9" style="326"/>
    <col min="607" max="607" width="10.75" style="326" bestFit="1" customWidth="1"/>
    <col min="608" max="608" width="13.875" style="326" customWidth="1"/>
    <col min="609" max="611" width="9" style="326"/>
    <col min="612" max="612" width="13.625" style="326" customWidth="1"/>
    <col min="613" max="613" width="9" style="326"/>
    <col min="614" max="614" width="10.75" style="326" bestFit="1" customWidth="1"/>
    <col min="615" max="615" width="13" style="326" customWidth="1"/>
    <col min="616" max="762" width="9" style="326"/>
    <col min="763" max="764" width="12.125" style="326" customWidth="1"/>
    <col min="765" max="767" width="13" style="326" customWidth="1"/>
    <col min="768" max="768" width="12.875" style="326" customWidth="1"/>
    <col min="769" max="769" width="13" style="326" customWidth="1"/>
    <col min="770" max="770" width="13.125" style="326" customWidth="1"/>
    <col min="771" max="772" width="12.125" style="326" customWidth="1"/>
    <col min="773" max="773" width="14.375" style="326" bestFit="1" customWidth="1"/>
    <col min="774" max="774" width="11" style="326" customWidth="1"/>
    <col min="775" max="775" width="10" style="326" customWidth="1"/>
    <col min="776" max="776" width="10.875" style="326" customWidth="1"/>
    <col min="777" max="777" width="13.75" style="326" customWidth="1"/>
    <col min="778" max="778" width="10" style="326" customWidth="1"/>
    <col min="779" max="779" width="13.25" style="326" customWidth="1"/>
    <col min="780" max="780" width="14.375" style="326" customWidth="1"/>
    <col min="781" max="781" width="10" style="326" customWidth="1"/>
    <col min="782" max="782" width="10.875" style="326" customWidth="1"/>
    <col min="783" max="783" width="11.375" style="326" customWidth="1"/>
    <col min="784" max="784" width="15.375" style="326" customWidth="1"/>
    <col min="785" max="786" width="10.75" style="326" customWidth="1"/>
    <col min="787" max="787" width="14.375" style="326" customWidth="1"/>
    <col min="788" max="788" width="10.75" style="326" customWidth="1"/>
    <col min="789" max="789" width="11.75" style="326" customWidth="1"/>
    <col min="790" max="790" width="10" style="326" customWidth="1"/>
    <col min="791" max="791" width="15.375" style="326" customWidth="1"/>
    <col min="792" max="792" width="10" style="326" customWidth="1"/>
    <col min="793" max="793" width="10.75" style="326" customWidth="1"/>
    <col min="794" max="794" width="14.875" style="326" customWidth="1"/>
    <col min="795" max="795" width="11.5" style="326" customWidth="1"/>
    <col min="796" max="796" width="10" style="326" customWidth="1"/>
    <col min="797" max="797" width="10.75" style="326" customWidth="1"/>
    <col min="798" max="798" width="13.5" style="326" customWidth="1"/>
    <col min="799" max="799" width="9" style="326"/>
    <col min="800" max="800" width="10.75" style="326" bestFit="1" customWidth="1"/>
    <col min="801" max="801" width="13.75" style="326" customWidth="1"/>
    <col min="802" max="802" width="9" style="326"/>
    <col min="803" max="803" width="10.625" style="326" customWidth="1"/>
    <col min="804" max="804" width="9" style="326"/>
    <col min="805" max="805" width="14.25" style="326" customWidth="1"/>
    <col min="806" max="806" width="10.75" style="326" bestFit="1" customWidth="1"/>
    <col min="807" max="807" width="11.625" style="326" customWidth="1"/>
    <col min="808" max="808" width="13.75" style="326" customWidth="1"/>
    <col min="809" max="809" width="10.625" style="326" customWidth="1"/>
    <col min="810" max="811" width="9" style="326"/>
    <col min="812" max="812" width="14.125" style="326" customWidth="1"/>
    <col min="813" max="813" width="11" style="326" customWidth="1"/>
    <col min="814" max="814" width="10.75" style="326" bestFit="1" customWidth="1"/>
    <col min="815" max="815" width="13.5" style="326" customWidth="1"/>
    <col min="816" max="817" width="9" style="326"/>
    <col min="818" max="818" width="10.75" style="326" bestFit="1" customWidth="1"/>
    <col min="819" max="819" width="14" style="326" customWidth="1"/>
    <col min="820" max="820" width="9" style="326"/>
    <col min="821" max="821" width="10.75" style="326" customWidth="1"/>
    <col min="822" max="822" width="12.75" style="326" customWidth="1"/>
    <col min="823" max="823" width="9" style="326"/>
    <col min="824" max="824" width="10.75" style="326" bestFit="1" customWidth="1"/>
    <col min="825" max="825" width="11.5" style="326" customWidth="1"/>
    <col min="826" max="826" width="13.625" style="326" customWidth="1"/>
    <col min="827" max="827" width="10.625" style="326" customWidth="1"/>
    <col min="828" max="828" width="10.75" style="326" bestFit="1" customWidth="1"/>
    <col min="829" max="829" width="12.375" style="326" customWidth="1"/>
    <col min="830" max="832" width="9" style="326"/>
    <col min="833" max="833" width="15.75" style="326" customWidth="1"/>
    <col min="834" max="834" width="9" style="326"/>
    <col min="835" max="835" width="10.75" style="326" bestFit="1" customWidth="1"/>
    <col min="836" max="836" width="12.625" style="326" customWidth="1"/>
    <col min="837" max="839" width="9" style="326"/>
    <col min="840" max="840" width="13.625" style="326" customWidth="1"/>
    <col min="841" max="841" width="9" style="326"/>
    <col min="842" max="842" width="10.75" style="326" bestFit="1" customWidth="1"/>
    <col min="843" max="843" width="12.5" style="326" customWidth="1"/>
    <col min="844" max="846" width="9" style="326"/>
    <col min="847" max="847" width="12.875" style="326" customWidth="1"/>
    <col min="848" max="848" width="9" style="326"/>
    <col min="849" max="849" width="10.75" style="326" bestFit="1" customWidth="1"/>
    <col min="850" max="850" width="13.875" style="326" customWidth="1"/>
    <col min="851" max="853" width="9" style="326"/>
    <col min="854" max="854" width="14.125" style="326" customWidth="1"/>
    <col min="855" max="855" width="9" style="326"/>
    <col min="856" max="856" width="10.75" style="326" bestFit="1" customWidth="1"/>
    <col min="857" max="857" width="13.25" style="326" customWidth="1"/>
    <col min="858" max="860" width="9" style="326"/>
    <col min="861" max="861" width="13.25" style="326" customWidth="1"/>
    <col min="862" max="862" width="9" style="326"/>
    <col min="863" max="863" width="10.75" style="326" bestFit="1" customWidth="1"/>
    <col min="864" max="864" width="13.875" style="326" customWidth="1"/>
    <col min="865" max="867" width="9" style="326"/>
    <col min="868" max="868" width="13.625" style="326" customWidth="1"/>
    <col min="869" max="869" width="9" style="326"/>
    <col min="870" max="870" width="10.75" style="326" bestFit="1" customWidth="1"/>
    <col min="871" max="871" width="13" style="326" customWidth="1"/>
    <col min="872" max="1018" width="9" style="326"/>
    <col min="1019" max="1020" width="12.125" style="326" customWidth="1"/>
    <col min="1021" max="1023" width="13" style="326" customWidth="1"/>
    <col min="1024" max="1024" width="12.875" style="326" customWidth="1"/>
    <col min="1025" max="1025" width="13" style="326" customWidth="1"/>
    <col min="1026" max="1026" width="13.125" style="326" customWidth="1"/>
    <col min="1027" max="1028" width="12.125" style="326" customWidth="1"/>
    <col min="1029" max="1029" width="14.375" style="326" bestFit="1" customWidth="1"/>
    <col min="1030" max="1030" width="11" style="326" customWidth="1"/>
    <col min="1031" max="1031" width="10" style="326" customWidth="1"/>
    <col min="1032" max="1032" width="10.875" style="326" customWidth="1"/>
    <col min="1033" max="1033" width="13.75" style="326" customWidth="1"/>
    <col min="1034" max="1034" width="10" style="326" customWidth="1"/>
    <col min="1035" max="1035" width="13.25" style="326" customWidth="1"/>
    <col min="1036" max="1036" width="14.375" style="326" customWidth="1"/>
    <col min="1037" max="1037" width="10" style="326" customWidth="1"/>
    <col min="1038" max="1038" width="10.875" style="326" customWidth="1"/>
    <col min="1039" max="1039" width="11.375" style="326" customWidth="1"/>
    <col min="1040" max="1040" width="15.375" style="326" customWidth="1"/>
    <col min="1041" max="1042" width="10.75" style="326" customWidth="1"/>
    <col min="1043" max="1043" width="14.375" style="326" customWidth="1"/>
    <col min="1044" max="1044" width="10.75" style="326" customWidth="1"/>
    <col min="1045" max="1045" width="11.75" style="326" customWidth="1"/>
    <col min="1046" max="1046" width="10" style="326" customWidth="1"/>
    <col min="1047" max="1047" width="15.375" style="326" customWidth="1"/>
    <col min="1048" max="1048" width="10" style="326" customWidth="1"/>
    <col min="1049" max="1049" width="10.75" style="326" customWidth="1"/>
    <col min="1050" max="1050" width="14.875" style="326" customWidth="1"/>
    <col min="1051" max="1051" width="11.5" style="326" customWidth="1"/>
    <col min="1052" max="1052" width="10" style="326" customWidth="1"/>
    <col min="1053" max="1053" width="10.75" style="326" customWidth="1"/>
    <col min="1054" max="1054" width="13.5" style="326" customWidth="1"/>
    <col min="1055" max="1055" width="9" style="326"/>
    <col min="1056" max="1056" width="10.75" style="326" bestFit="1" customWidth="1"/>
    <col min="1057" max="1057" width="13.75" style="326" customWidth="1"/>
    <col min="1058" max="1058" width="9" style="326"/>
    <col min="1059" max="1059" width="10.625" style="326" customWidth="1"/>
    <col min="1060" max="1060" width="9" style="326"/>
    <col min="1061" max="1061" width="14.25" style="326" customWidth="1"/>
    <col min="1062" max="1062" width="10.75" style="326" bestFit="1" customWidth="1"/>
    <col min="1063" max="1063" width="11.625" style="326" customWidth="1"/>
    <col min="1064" max="1064" width="13.75" style="326" customWidth="1"/>
    <col min="1065" max="1065" width="10.625" style="326" customWidth="1"/>
    <col min="1066" max="1067" width="9" style="326"/>
    <col min="1068" max="1068" width="14.125" style="326" customWidth="1"/>
    <col min="1069" max="1069" width="11" style="326" customWidth="1"/>
    <col min="1070" max="1070" width="10.75" style="326" bestFit="1" customWidth="1"/>
    <col min="1071" max="1071" width="13.5" style="326" customWidth="1"/>
    <col min="1072" max="1073" width="9" style="326"/>
    <col min="1074" max="1074" width="10.75" style="326" bestFit="1" customWidth="1"/>
    <col min="1075" max="1075" width="14" style="326" customWidth="1"/>
    <col min="1076" max="1076" width="9" style="326"/>
    <col min="1077" max="1077" width="10.75" style="326" customWidth="1"/>
    <col min="1078" max="1078" width="12.75" style="326" customWidth="1"/>
    <col min="1079" max="1079" width="9" style="326"/>
    <col min="1080" max="1080" width="10.75" style="326" bestFit="1" customWidth="1"/>
    <col min="1081" max="1081" width="11.5" style="326" customWidth="1"/>
    <col min="1082" max="1082" width="13.625" style="326" customWidth="1"/>
    <col min="1083" max="1083" width="10.625" style="326" customWidth="1"/>
    <col min="1084" max="1084" width="10.75" style="326" bestFit="1" customWidth="1"/>
    <col min="1085" max="1085" width="12.375" style="326" customWidth="1"/>
    <col min="1086" max="1088" width="9" style="326"/>
    <col min="1089" max="1089" width="15.75" style="326" customWidth="1"/>
    <col min="1090" max="1090" width="9" style="326"/>
    <col min="1091" max="1091" width="10.75" style="326" bestFit="1" customWidth="1"/>
    <col min="1092" max="1092" width="12.625" style="326" customWidth="1"/>
    <col min="1093" max="1095" width="9" style="326"/>
    <col min="1096" max="1096" width="13.625" style="326" customWidth="1"/>
    <col min="1097" max="1097" width="9" style="326"/>
    <col min="1098" max="1098" width="10.75" style="326" bestFit="1" customWidth="1"/>
    <col min="1099" max="1099" width="12.5" style="326" customWidth="1"/>
    <col min="1100" max="1102" width="9" style="326"/>
    <col min="1103" max="1103" width="12.875" style="326" customWidth="1"/>
    <col min="1104" max="1104" width="9" style="326"/>
    <col min="1105" max="1105" width="10.75" style="326" bestFit="1" customWidth="1"/>
    <col min="1106" max="1106" width="13.875" style="326" customWidth="1"/>
    <col min="1107" max="1109" width="9" style="326"/>
    <col min="1110" max="1110" width="14.125" style="326" customWidth="1"/>
    <col min="1111" max="1111" width="9" style="326"/>
    <col min="1112" max="1112" width="10.75" style="326" bestFit="1" customWidth="1"/>
    <col min="1113" max="1113" width="13.25" style="326" customWidth="1"/>
    <col min="1114" max="1116" width="9" style="326"/>
    <col min="1117" max="1117" width="13.25" style="326" customWidth="1"/>
    <col min="1118" max="1118" width="9" style="326"/>
    <col min="1119" max="1119" width="10.75" style="326" bestFit="1" customWidth="1"/>
    <col min="1120" max="1120" width="13.875" style="326" customWidth="1"/>
    <col min="1121" max="1123" width="9" style="326"/>
    <col min="1124" max="1124" width="13.625" style="326" customWidth="1"/>
    <col min="1125" max="1125" width="9" style="326"/>
    <col min="1126" max="1126" width="10.75" style="326" bestFit="1" customWidth="1"/>
    <col min="1127" max="1127" width="13" style="326" customWidth="1"/>
    <col min="1128" max="1274" width="9" style="326"/>
    <col min="1275" max="1276" width="12.125" style="326" customWidth="1"/>
    <col min="1277" max="1279" width="13" style="326" customWidth="1"/>
    <col min="1280" max="1280" width="12.875" style="326" customWidth="1"/>
    <col min="1281" max="1281" width="13" style="326" customWidth="1"/>
    <col min="1282" max="1282" width="13.125" style="326" customWidth="1"/>
    <col min="1283" max="1284" width="12.125" style="326" customWidth="1"/>
    <col min="1285" max="1285" width="14.375" style="326" bestFit="1" customWidth="1"/>
    <col min="1286" max="1286" width="11" style="326" customWidth="1"/>
    <col min="1287" max="1287" width="10" style="326" customWidth="1"/>
    <col min="1288" max="1288" width="10.875" style="326" customWidth="1"/>
    <col min="1289" max="1289" width="13.75" style="326" customWidth="1"/>
    <col min="1290" max="1290" width="10" style="326" customWidth="1"/>
    <col min="1291" max="1291" width="13.25" style="326" customWidth="1"/>
    <col min="1292" max="1292" width="14.375" style="326" customWidth="1"/>
    <col min="1293" max="1293" width="10" style="326" customWidth="1"/>
    <col min="1294" max="1294" width="10.875" style="326" customWidth="1"/>
    <col min="1295" max="1295" width="11.375" style="326" customWidth="1"/>
    <col min="1296" max="1296" width="15.375" style="326" customWidth="1"/>
    <col min="1297" max="1298" width="10.75" style="326" customWidth="1"/>
    <col min="1299" max="1299" width="14.375" style="326" customWidth="1"/>
    <col min="1300" max="1300" width="10.75" style="326" customWidth="1"/>
    <col min="1301" max="1301" width="11.75" style="326" customWidth="1"/>
    <col min="1302" max="1302" width="10" style="326" customWidth="1"/>
    <col min="1303" max="1303" width="15.375" style="326" customWidth="1"/>
    <col min="1304" max="1304" width="10" style="326" customWidth="1"/>
    <col min="1305" max="1305" width="10.75" style="326" customWidth="1"/>
    <col min="1306" max="1306" width="14.875" style="326" customWidth="1"/>
    <col min="1307" max="1307" width="11.5" style="326" customWidth="1"/>
    <col min="1308" max="1308" width="10" style="326" customWidth="1"/>
    <col min="1309" max="1309" width="10.75" style="326" customWidth="1"/>
    <col min="1310" max="1310" width="13.5" style="326" customWidth="1"/>
    <col min="1311" max="1311" width="9" style="326"/>
    <col min="1312" max="1312" width="10.75" style="326" bestFit="1" customWidth="1"/>
    <col min="1313" max="1313" width="13.75" style="326" customWidth="1"/>
    <col min="1314" max="1314" width="9" style="326"/>
    <col min="1315" max="1315" width="10.625" style="326" customWidth="1"/>
    <col min="1316" max="1316" width="9" style="326"/>
    <col min="1317" max="1317" width="14.25" style="326" customWidth="1"/>
    <col min="1318" max="1318" width="10.75" style="326" bestFit="1" customWidth="1"/>
    <col min="1319" max="1319" width="11.625" style="326" customWidth="1"/>
    <col min="1320" max="1320" width="13.75" style="326" customWidth="1"/>
    <col min="1321" max="1321" width="10.625" style="326" customWidth="1"/>
    <col min="1322" max="1323" width="9" style="326"/>
    <col min="1324" max="1324" width="14.125" style="326" customWidth="1"/>
    <col min="1325" max="1325" width="11" style="326" customWidth="1"/>
    <col min="1326" max="1326" width="10.75" style="326" bestFit="1" customWidth="1"/>
    <col min="1327" max="1327" width="13.5" style="326" customWidth="1"/>
    <col min="1328" max="1329" width="9" style="326"/>
    <col min="1330" max="1330" width="10.75" style="326" bestFit="1" customWidth="1"/>
    <col min="1331" max="1331" width="14" style="326" customWidth="1"/>
    <col min="1332" max="1332" width="9" style="326"/>
    <col min="1333" max="1333" width="10.75" style="326" customWidth="1"/>
    <col min="1334" max="1334" width="12.75" style="326" customWidth="1"/>
    <col min="1335" max="1335" width="9" style="326"/>
    <col min="1336" max="1336" width="10.75" style="326" bestFit="1" customWidth="1"/>
    <col min="1337" max="1337" width="11.5" style="326" customWidth="1"/>
    <col min="1338" max="1338" width="13.625" style="326" customWidth="1"/>
    <col min="1339" max="1339" width="10.625" style="326" customWidth="1"/>
    <col min="1340" max="1340" width="10.75" style="326" bestFit="1" customWidth="1"/>
    <col min="1341" max="1341" width="12.375" style="326" customWidth="1"/>
    <col min="1342" max="1344" width="9" style="326"/>
    <col min="1345" max="1345" width="15.75" style="326" customWidth="1"/>
    <col min="1346" max="1346" width="9" style="326"/>
    <col min="1347" max="1347" width="10.75" style="326" bestFit="1" customWidth="1"/>
    <col min="1348" max="1348" width="12.625" style="326" customWidth="1"/>
    <col min="1349" max="1351" width="9" style="326"/>
    <col min="1352" max="1352" width="13.625" style="326" customWidth="1"/>
    <col min="1353" max="1353" width="9" style="326"/>
    <col min="1354" max="1354" width="10.75" style="326" bestFit="1" customWidth="1"/>
    <col min="1355" max="1355" width="12.5" style="326" customWidth="1"/>
    <col min="1356" max="1358" width="9" style="326"/>
    <col min="1359" max="1359" width="12.875" style="326" customWidth="1"/>
    <col min="1360" max="1360" width="9" style="326"/>
    <col min="1361" max="1361" width="10.75" style="326" bestFit="1" customWidth="1"/>
    <col min="1362" max="1362" width="13.875" style="326" customWidth="1"/>
    <col min="1363" max="1365" width="9" style="326"/>
    <col min="1366" max="1366" width="14.125" style="326" customWidth="1"/>
    <col min="1367" max="1367" width="9" style="326"/>
    <col min="1368" max="1368" width="10.75" style="326" bestFit="1" customWidth="1"/>
    <col min="1369" max="1369" width="13.25" style="326" customWidth="1"/>
    <col min="1370" max="1372" width="9" style="326"/>
    <col min="1373" max="1373" width="13.25" style="326" customWidth="1"/>
    <col min="1374" max="1374" width="9" style="326"/>
    <col min="1375" max="1375" width="10.75" style="326" bestFit="1" customWidth="1"/>
    <col min="1376" max="1376" width="13.875" style="326" customWidth="1"/>
    <col min="1377" max="1379" width="9" style="326"/>
    <col min="1380" max="1380" width="13.625" style="326" customWidth="1"/>
    <col min="1381" max="1381" width="9" style="326"/>
    <col min="1382" max="1382" width="10.75" style="326" bestFit="1" customWidth="1"/>
    <col min="1383" max="1383" width="13" style="326" customWidth="1"/>
    <col min="1384" max="1530" width="9" style="326"/>
    <col min="1531" max="1532" width="12.125" style="326" customWidth="1"/>
    <col min="1533" max="1535" width="13" style="326" customWidth="1"/>
    <col min="1536" max="1536" width="12.875" style="326" customWidth="1"/>
    <col min="1537" max="1537" width="13" style="326" customWidth="1"/>
    <col min="1538" max="1538" width="13.125" style="326" customWidth="1"/>
    <col min="1539" max="1540" width="12.125" style="326" customWidth="1"/>
    <col min="1541" max="1541" width="14.375" style="326" bestFit="1" customWidth="1"/>
    <col min="1542" max="1542" width="11" style="326" customWidth="1"/>
    <col min="1543" max="1543" width="10" style="326" customWidth="1"/>
    <col min="1544" max="1544" width="10.875" style="326" customWidth="1"/>
    <col min="1545" max="1545" width="13.75" style="326" customWidth="1"/>
    <col min="1546" max="1546" width="10" style="326" customWidth="1"/>
    <col min="1547" max="1547" width="13.25" style="326" customWidth="1"/>
    <col min="1548" max="1548" width="14.375" style="326" customWidth="1"/>
    <col min="1549" max="1549" width="10" style="326" customWidth="1"/>
    <col min="1550" max="1550" width="10.875" style="326" customWidth="1"/>
    <col min="1551" max="1551" width="11.375" style="326" customWidth="1"/>
    <col min="1552" max="1552" width="15.375" style="326" customWidth="1"/>
    <col min="1553" max="1554" width="10.75" style="326" customWidth="1"/>
    <col min="1555" max="1555" width="14.375" style="326" customWidth="1"/>
    <col min="1556" max="1556" width="10.75" style="326" customWidth="1"/>
    <col min="1557" max="1557" width="11.75" style="326" customWidth="1"/>
    <col min="1558" max="1558" width="10" style="326" customWidth="1"/>
    <col min="1559" max="1559" width="15.375" style="326" customWidth="1"/>
    <col min="1560" max="1560" width="10" style="326" customWidth="1"/>
    <col min="1561" max="1561" width="10.75" style="326" customWidth="1"/>
    <col min="1562" max="1562" width="14.875" style="326" customWidth="1"/>
    <col min="1563" max="1563" width="11.5" style="326" customWidth="1"/>
    <col min="1564" max="1564" width="10" style="326" customWidth="1"/>
    <col min="1565" max="1565" width="10.75" style="326" customWidth="1"/>
    <col min="1566" max="1566" width="13.5" style="326" customWidth="1"/>
    <col min="1567" max="1567" width="9" style="326"/>
    <col min="1568" max="1568" width="10.75" style="326" bestFit="1" customWidth="1"/>
    <col min="1569" max="1569" width="13.75" style="326" customWidth="1"/>
    <col min="1570" max="1570" width="9" style="326"/>
    <col min="1571" max="1571" width="10.625" style="326" customWidth="1"/>
    <col min="1572" max="1572" width="9" style="326"/>
    <col min="1573" max="1573" width="14.25" style="326" customWidth="1"/>
    <col min="1574" max="1574" width="10.75" style="326" bestFit="1" customWidth="1"/>
    <col min="1575" max="1575" width="11.625" style="326" customWidth="1"/>
    <col min="1576" max="1576" width="13.75" style="326" customWidth="1"/>
    <col min="1577" max="1577" width="10.625" style="326" customWidth="1"/>
    <col min="1578" max="1579" width="9" style="326"/>
    <col min="1580" max="1580" width="14.125" style="326" customWidth="1"/>
    <col min="1581" max="1581" width="11" style="326" customWidth="1"/>
    <col min="1582" max="1582" width="10.75" style="326" bestFit="1" customWidth="1"/>
    <col min="1583" max="1583" width="13.5" style="326" customWidth="1"/>
    <col min="1584" max="1585" width="9" style="326"/>
    <col min="1586" max="1586" width="10.75" style="326" bestFit="1" customWidth="1"/>
    <col min="1587" max="1587" width="14" style="326" customWidth="1"/>
    <col min="1588" max="1588" width="9" style="326"/>
    <col min="1589" max="1589" width="10.75" style="326" customWidth="1"/>
    <col min="1590" max="1590" width="12.75" style="326" customWidth="1"/>
    <col min="1591" max="1591" width="9" style="326"/>
    <col min="1592" max="1592" width="10.75" style="326" bestFit="1" customWidth="1"/>
    <col min="1593" max="1593" width="11.5" style="326" customWidth="1"/>
    <col min="1594" max="1594" width="13.625" style="326" customWidth="1"/>
    <col min="1595" max="1595" width="10.625" style="326" customWidth="1"/>
    <col min="1596" max="1596" width="10.75" style="326" bestFit="1" customWidth="1"/>
    <col min="1597" max="1597" width="12.375" style="326" customWidth="1"/>
    <col min="1598" max="1600" width="9" style="326"/>
    <col min="1601" max="1601" width="15.75" style="326" customWidth="1"/>
    <col min="1602" max="1602" width="9" style="326"/>
    <col min="1603" max="1603" width="10.75" style="326" bestFit="1" customWidth="1"/>
    <col min="1604" max="1604" width="12.625" style="326" customWidth="1"/>
    <col min="1605" max="1607" width="9" style="326"/>
    <col min="1608" max="1608" width="13.625" style="326" customWidth="1"/>
    <col min="1609" max="1609" width="9" style="326"/>
    <col min="1610" max="1610" width="10.75" style="326" bestFit="1" customWidth="1"/>
    <col min="1611" max="1611" width="12.5" style="326" customWidth="1"/>
    <col min="1612" max="1614" width="9" style="326"/>
    <col min="1615" max="1615" width="12.875" style="326" customWidth="1"/>
    <col min="1616" max="1616" width="9" style="326"/>
    <col min="1617" max="1617" width="10.75" style="326" bestFit="1" customWidth="1"/>
    <col min="1618" max="1618" width="13.875" style="326" customWidth="1"/>
    <col min="1619" max="1621" width="9" style="326"/>
    <col min="1622" max="1622" width="14.125" style="326" customWidth="1"/>
    <col min="1623" max="1623" width="9" style="326"/>
    <col min="1624" max="1624" width="10.75" style="326" bestFit="1" customWidth="1"/>
    <col min="1625" max="1625" width="13.25" style="326" customWidth="1"/>
    <col min="1626" max="1628" width="9" style="326"/>
    <col min="1629" max="1629" width="13.25" style="326" customWidth="1"/>
    <col min="1630" max="1630" width="9" style="326"/>
    <col min="1631" max="1631" width="10.75" style="326" bestFit="1" customWidth="1"/>
    <col min="1632" max="1632" width="13.875" style="326" customWidth="1"/>
    <col min="1633" max="1635" width="9" style="326"/>
    <col min="1636" max="1636" width="13.625" style="326" customWidth="1"/>
    <col min="1637" max="1637" width="9" style="326"/>
    <col min="1638" max="1638" width="10.75" style="326" bestFit="1" customWidth="1"/>
    <col min="1639" max="1639" width="13" style="326" customWidth="1"/>
    <col min="1640" max="1786" width="9" style="326"/>
    <col min="1787" max="1788" width="12.125" style="326" customWidth="1"/>
    <col min="1789" max="1791" width="13" style="326" customWidth="1"/>
    <col min="1792" max="1792" width="12.875" style="326" customWidth="1"/>
    <col min="1793" max="1793" width="13" style="326" customWidth="1"/>
    <col min="1794" max="1794" width="13.125" style="326" customWidth="1"/>
    <col min="1795" max="1796" width="12.125" style="326" customWidth="1"/>
    <col min="1797" max="1797" width="14.375" style="326" bestFit="1" customWidth="1"/>
    <col min="1798" max="1798" width="11" style="326" customWidth="1"/>
    <col min="1799" max="1799" width="10" style="326" customWidth="1"/>
    <col min="1800" max="1800" width="10.875" style="326" customWidth="1"/>
    <col min="1801" max="1801" width="13.75" style="326" customWidth="1"/>
    <col min="1802" max="1802" width="10" style="326" customWidth="1"/>
    <col min="1803" max="1803" width="13.25" style="326" customWidth="1"/>
    <col min="1804" max="1804" width="14.375" style="326" customWidth="1"/>
    <col min="1805" max="1805" width="10" style="326" customWidth="1"/>
    <col min="1806" max="1806" width="10.875" style="326" customWidth="1"/>
    <col min="1807" max="1807" width="11.375" style="326" customWidth="1"/>
    <col min="1808" max="1808" width="15.375" style="326" customWidth="1"/>
    <col min="1809" max="1810" width="10.75" style="326" customWidth="1"/>
    <col min="1811" max="1811" width="14.375" style="326" customWidth="1"/>
    <col min="1812" max="1812" width="10.75" style="326" customWidth="1"/>
    <col min="1813" max="1813" width="11.75" style="326" customWidth="1"/>
    <col min="1814" max="1814" width="10" style="326" customWidth="1"/>
    <col min="1815" max="1815" width="15.375" style="326" customWidth="1"/>
    <col min="1816" max="1816" width="10" style="326" customWidth="1"/>
    <col min="1817" max="1817" width="10.75" style="326" customWidth="1"/>
    <col min="1818" max="1818" width="14.875" style="326" customWidth="1"/>
    <col min="1819" max="1819" width="11.5" style="326" customWidth="1"/>
    <col min="1820" max="1820" width="10" style="326" customWidth="1"/>
    <col min="1821" max="1821" width="10.75" style="326" customWidth="1"/>
    <col min="1822" max="1822" width="13.5" style="326" customWidth="1"/>
    <col min="1823" max="1823" width="9" style="326"/>
    <col min="1824" max="1824" width="10.75" style="326" bestFit="1" customWidth="1"/>
    <col min="1825" max="1825" width="13.75" style="326" customWidth="1"/>
    <col min="1826" max="1826" width="9" style="326"/>
    <col min="1827" max="1827" width="10.625" style="326" customWidth="1"/>
    <col min="1828" max="1828" width="9" style="326"/>
    <col min="1829" max="1829" width="14.25" style="326" customWidth="1"/>
    <col min="1830" max="1830" width="10.75" style="326" bestFit="1" customWidth="1"/>
    <col min="1831" max="1831" width="11.625" style="326" customWidth="1"/>
    <col min="1832" max="1832" width="13.75" style="326" customWidth="1"/>
    <col min="1833" max="1833" width="10.625" style="326" customWidth="1"/>
    <col min="1834" max="1835" width="9" style="326"/>
    <col min="1836" max="1836" width="14.125" style="326" customWidth="1"/>
    <col min="1837" max="1837" width="11" style="326" customWidth="1"/>
    <col min="1838" max="1838" width="10.75" style="326" bestFit="1" customWidth="1"/>
    <col min="1839" max="1839" width="13.5" style="326" customWidth="1"/>
    <col min="1840" max="1841" width="9" style="326"/>
    <col min="1842" max="1842" width="10.75" style="326" bestFit="1" customWidth="1"/>
    <col min="1843" max="1843" width="14" style="326" customWidth="1"/>
    <col min="1844" max="1844" width="9" style="326"/>
    <col min="1845" max="1845" width="10.75" style="326" customWidth="1"/>
    <col min="1846" max="1846" width="12.75" style="326" customWidth="1"/>
    <col min="1847" max="1847" width="9" style="326"/>
    <col min="1848" max="1848" width="10.75" style="326" bestFit="1" customWidth="1"/>
    <col min="1849" max="1849" width="11.5" style="326" customWidth="1"/>
    <col min="1850" max="1850" width="13.625" style="326" customWidth="1"/>
    <col min="1851" max="1851" width="10.625" style="326" customWidth="1"/>
    <col min="1852" max="1852" width="10.75" style="326" bestFit="1" customWidth="1"/>
    <col min="1853" max="1853" width="12.375" style="326" customWidth="1"/>
    <col min="1854" max="1856" width="9" style="326"/>
    <col min="1857" max="1857" width="15.75" style="326" customWidth="1"/>
    <col min="1858" max="1858" width="9" style="326"/>
    <col min="1859" max="1859" width="10.75" style="326" bestFit="1" customWidth="1"/>
    <col min="1860" max="1860" width="12.625" style="326" customWidth="1"/>
    <col min="1861" max="1863" width="9" style="326"/>
    <col min="1864" max="1864" width="13.625" style="326" customWidth="1"/>
    <col min="1865" max="1865" width="9" style="326"/>
    <col min="1866" max="1866" width="10.75" style="326" bestFit="1" customWidth="1"/>
    <col min="1867" max="1867" width="12.5" style="326" customWidth="1"/>
    <col min="1868" max="1870" width="9" style="326"/>
    <col min="1871" max="1871" width="12.875" style="326" customWidth="1"/>
    <col min="1872" max="1872" width="9" style="326"/>
    <col min="1873" max="1873" width="10.75" style="326" bestFit="1" customWidth="1"/>
    <col min="1874" max="1874" width="13.875" style="326" customWidth="1"/>
    <col min="1875" max="1877" width="9" style="326"/>
    <col min="1878" max="1878" width="14.125" style="326" customWidth="1"/>
    <col min="1879" max="1879" width="9" style="326"/>
    <col min="1880" max="1880" width="10.75" style="326" bestFit="1" customWidth="1"/>
    <col min="1881" max="1881" width="13.25" style="326" customWidth="1"/>
    <col min="1882" max="1884" width="9" style="326"/>
    <col min="1885" max="1885" width="13.25" style="326" customWidth="1"/>
    <col min="1886" max="1886" width="9" style="326"/>
    <col min="1887" max="1887" width="10.75" style="326" bestFit="1" customWidth="1"/>
    <col min="1888" max="1888" width="13.875" style="326" customWidth="1"/>
    <col min="1889" max="1891" width="9" style="326"/>
    <col min="1892" max="1892" width="13.625" style="326" customWidth="1"/>
    <col min="1893" max="1893" width="9" style="326"/>
    <col min="1894" max="1894" width="10.75" style="326" bestFit="1" customWidth="1"/>
    <col min="1895" max="1895" width="13" style="326" customWidth="1"/>
    <col min="1896" max="2042" width="9" style="326"/>
    <col min="2043" max="2044" width="12.125" style="326" customWidth="1"/>
    <col min="2045" max="2047" width="13" style="326" customWidth="1"/>
    <col min="2048" max="2048" width="12.875" style="326" customWidth="1"/>
    <col min="2049" max="2049" width="13" style="326" customWidth="1"/>
    <col min="2050" max="2050" width="13.125" style="326" customWidth="1"/>
    <col min="2051" max="2052" width="12.125" style="326" customWidth="1"/>
    <col min="2053" max="2053" width="14.375" style="326" bestFit="1" customWidth="1"/>
    <col min="2054" max="2054" width="11" style="326" customWidth="1"/>
    <col min="2055" max="2055" width="10" style="326" customWidth="1"/>
    <col min="2056" max="2056" width="10.875" style="326" customWidth="1"/>
    <col min="2057" max="2057" width="13.75" style="326" customWidth="1"/>
    <col min="2058" max="2058" width="10" style="326" customWidth="1"/>
    <col min="2059" max="2059" width="13.25" style="326" customWidth="1"/>
    <col min="2060" max="2060" width="14.375" style="326" customWidth="1"/>
    <col min="2061" max="2061" width="10" style="326" customWidth="1"/>
    <col min="2062" max="2062" width="10.875" style="326" customWidth="1"/>
    <col min="2063" max="2063" width="11.375" style="326" customWidth="1"/>
    <col min="2064" max="2064" width="15.375" style="326" customWidth="1"/>
    <col min="2065" max="2066" width="10.75" style="326" customWidth="1"/>
    <col min="2067" max="2067" width="14.375" style="326" customWidth="1"/>
    <col min="2068" max="2068" width="10.75" style="326" customWidth="1"/>
    <col min="2069" max="2069" width="11.75" style="326" customWidth="1"/>
    <col min="2070" max="2070" width="10" style="326" customWidth="1"/>
    <col min="2071" max="2071" width="15.375" style="326" customWidth="1"/>
    <col min="2072" max="2072" width="10" style="326" customWidth="1"/>
    <col min="2073" max="2073" width="10.75" style="326" customWidth="1"/>
    <col min="2074" max="2074" width="14.875" style="326" customWidth="1"/>
    <col min="2075" max="2075" width="11.5" style="326" customWidth="1"/>
    <col min="2076" max="2076" width="10" style="326" customWidth="1"/>
    <col min="2077" max="2077" width="10.75" style="326" customWidth="1"/>
    <col min="2078" max="2078" width="13.5" style="326" customWidth="1"/>
    <col min="2079" max="2079" width="9" style="326"/>
    <col min="2080" max="2080" width="10.75" style="326" bestFit="1" customWidth="1"/>
    <col min="2081" max="2081" width="13.75" style="326" customWidth="1"/>
    <col min="2082" max="2082" width="9" style="326"/>
    <col min="2083" max="2083" width="10.625" style="326" customWidth="1"/>
    <col min="2084" max="2084" width="9" style="326"/>
    <col min="2085" max="2085" width="14.25" style="326" customWidth="1"/>
    <col min="2086" max="2086" width="10.75" style="326" bestFit="1" customWidth="1"/>
    <col min="2087" max="2087" width="11.625" style="326" customWidth="1"/>
    <col min="2088" max="2088" width="13.75" style="326" customWidth="1"/>
    <col min="2089" max="2089" width="10.625" style="326" customWidth="1"/>
    <col min="2090" max="2091" width="9" style="326"/>
    <col min="2092" max="2092" width="14.125" style="326" customWidth="1"/>
    <col min="2093" max="2093" width="11" style="326" customWidth="1"/>
    <col min="2094" max="2094" width="10.75" style="326" bestFit="1" customWidth="1"/>
    <col min="2095" max="2095" width="13.5" style="326" customWidth="1"/>
    <col min="2096" max="2097" width="9" style="326"/>
    <col min="2098" max="2098" width="10.75" style="326" bestFit="1" customWidth="1"/>
    <col min="2099" max="2099" width="14" style="326" customWidth="1"/>
    <col min="2100" max="2100" width="9" style="326"/>
    <col min="2101" max="2101" width="10.75" style="326" customWidth="1"/>
    <col min="2102" max="2102" width="12.75" style="326" customWidth="1"/>
    <col min="2103" max="2103" width="9" style="326"/>
    <col min="2104" max="2104" width="10.75" style="326" bestFit="1" customWidth="1"/>
    <col min="2105" max="2105" width="11.5" style="326" customWidth="1"/>
    <col min="2106" max="2106" width="13.625" style="326" customWidth="1"/>
    <col min="2107" max="2107" width="10.625" style="326" customWidth="1"/>
    <col min="2108" max="2108" width="10.75" style="326" bestFit="1" customWidth="1"/>
    <col min="2109" max="2109" width="12.375" style="326" customWidth="1"/>
    <col min="2110" max="2112" width="9" style="326"/>
    <col min="2113" max="2113" width="15.75" style="326" customWidth="1"/>
    <col min="2114" max="2114" width="9" style="326"/>
    <col min="2115" max="2115" width="10.75" style="326" bestFit="1" customWidth="1"/>
    <col min="2116" max="2116" width="12.625" style="326" customWidth="1"/>
    <col min="2117" max="2119" width="9" style="326"/>
    <col min="2120" max="2120" width="13.625" style="326" customWidth="1"/>
    <col min="2121" max="2121" width="9" style="326"/>
    <col min="2122" max="2122" width="10.75" style="326" bestFit="1" customWidth="1"/>
    <col min="2123" max="2123" width="12.5" style="326" customWidth="1"/>
    <col min="2124" max="2126" width="9" style="326"/>
    <col min="2127" max="2127" width="12.875" style="326" customWidth="1"/>
    <col min="2128" max="2128" width="9" style="326"/>
    <col min="2129" max="2129" width="10.75" style="326" bestFit="1" customWidth="1"/>
    <col min="2130" max="2130" width="13.875" style="326" customWidth="1"/>
    <col min="2131" max="2133" width="9" style="326"/>
    <col min="2134" max="2134" width="14.125" style="326" customWidth="1"/>
    <col min="2135" max="2135" width="9" style="326"/>
    <col min="2136" max="2136" width="10.75" style="326" bestFit="1" customWidth="1"/>
    <col min="2137" max="2137" width="13.25" style="326" customWidth="1"/>
    <col min="2138" max="2140" width="9" style="326"/>
    <col min="2141" max="2141" width="13.25" style="326" customWidth="1"/>
    <col min="2142" max="2142" width="9" style="326"/>
    <col min="2143" max="2143" width="10.75" style="326" bestFit="1" customWidth="1"/>
    <col min="2144" max="2144" width="13.875" style="326" customWidth="1"/>
    <col min="2145" max="2147" width="9" style="326"/>
    <col min="2148" max="2148" width="13.625" style="326" customWidth="1"/>
    <col min="2149" max="2149" width="9" style="326"/>
    <col min="2150" max="2150" width="10.75" style="326" bestFit="1" customWidth="1"/>
    <col min="2151" max="2151" width="13" style="326" customWidth="1"/>
    <col min="2152" max="2298" width="9" style="326"/>
    <col min="2299" max="2300" width="12.125" style="326" customWidth="1"/>
    <col min="2301" max="2303" width="13" style="326" customWidth="1"/>
    <col min="2304" max="2304" width="12.875" style="326" customWidth="1"/>
    <col min="2305" max="2305" width="13" style="326" customWidth="1"/>
    <col min="2306" max="2306" width="13.125" style="326" customWidth="1"/>
    <col min="2307" max="2308" width="12.125" style="326" customWidth="1"/>
    <col min="2309" max="2309" width="14.375" style="326" bestFit="1" customWidth="1"/>
    <col min="2310" max="2310" width="11" style="326" customWidth="1"/>
    <col min="2311" max="2311" width="10" style="326" customWidth="1"/>
    <col min="2312" max="2312" width="10.875" style="326" customWidth="1"/>
    <col min="2313" max="2313" width="13.75" style="326" customWidth="1"/>
    <col min="2314" max="2314" width="10" style="326" customWidth="1"/>
    <col min="2315" max="2315" width="13.25" style="326" customWidth="1"/>
    <col min="2316" max="2316" width="14.375" style="326" customWidth="1"/>
    <col min="2317" max="2317" width="10" style="326" customWidth="1"/>
    <col min="2318" max="2318" width="10.875" style="326" customWidth="1"/>
    <col min="2319" max="2319" width="11.375" style="326" customWidth="1"/>
    <col min="2320" max="2320" width="15.375" style="326" customWidth="1"/>
    <col min="2321" max="2322" width="10.75" style="326" customWidth="1"/>
    <col min="2323" max="2323" width="14.375" style="326" customWidth="1"/>
    <col min="2324" max="2324" width="10.75" style="326" customWidth="1"/>
    <col min="2325" max="2325" width="11.75" style="326" customWidth="1"/>
    <col min="2326" max="2326" width="10" style="326" customWidth="1"/>
    <col min="2327" max="2327" width="15.375" style="326" customWidth="1"/>
    <col min="2328" max="2328" width="10" style="326" customWidth="1"/>
    <col min="2329" max="2329" width="10.75" style="326" customWidth="1"/>
    <col min="2330" max="2330" width="14.875" style="326" customWidth="1"/>
    <col min="2331" max="2331" width="11.5" style="326" customWidth="1"/>
    <col min="2332" max="2332" width="10" style="326" customWidth="1"/>
    <col min="2333" max="2333" width="10.75" style="326" customWidth="1"/>
    <col min="2334" max="2334" width="13.5" style="326" customWidth="1"/>
    <col min="2335" max="2335" width="9" style="326"/>
    <col min="2336" max="2336" width="10.75" style="326" bestFit="1" customWidth="1"/>
    <col min="2337" max="2337" width="13.75" style="326" customWidth="1"/>
    <col min="2338" max="2338" width="9" style="326"/>
    <col min="2339" max="2339" width="10.625" style="326" customWidth="1"/>
    <col min="2340" max="2340" width="9" style="326"/>
    <col min="2341" max="2341" width="14.25" style="326" customWidth="1"/>
    <col min="2342" max="2342" width="10.75" style="326" bestFit="1" customWidth="1"/>
    <col min="2343" max="2343" width="11.625" style="326" customWidth="1"/>
    <col min="2344" max="2344" width="13.75" style="326" customWidth="1"/>
    <col min="2345" max="2345" width="10.625" style="326" customWidth="1"/>
    <col min="2346" max="2347" width="9" style="326"/>
    <col min="2348" max="2348" width="14.125" style="326" customWidth="1"/>
    <col min="2349" max="2349" width="11" style="326" customWidth="1"/>
    <col min="2350" max="2350" width="10.75" style="326" bestFit="1" customWidth="1"/>
    <col min="2351" max="2351" width="13.5" style="326" customWidth="1"/>
    <col min="2352" max="2353" width="9" style="326"/>
    <col min="2354" max="2354" width="10.75" style="326" bestFit="1" customWidth="1"/>
    <col min="2355" max="2355" width="14" style="326" customWidth="1"/>
    <col min="2356" max="2356" width="9" style="326"/>
    <col min="2357" max="2357" width="10.75" style="326" customWidth="1"/>
    <col min="2358" max="2358" width="12.75" style="326" customWidth="1"/>
    <col min="2359" max="2359" width="9" style="326"/>
    <col min="2360" max="2360" width="10.75" style="326" bestFit="1" customWidth="1"/>
    <col min="2361" max="2361" width="11.5" style="326" customWidth="1"/>
    <col min="2362" max="2362" width="13.625" style="326" customWidth="1"/>
    <col min="2363" max="2363" width="10.625" style="326" customWidth="1"/>
    <col min="2364" max="2364" width="10.75" style="326" bestFit="1" customWidth="1"/>
    <col min="2365" max="2365" width="12.375" style="326" customWidth="1"/>
    <col min="2366" max="2368" width="9" style="326"/>
    <col min="2369" max="2369" width="15.75" style="326" customWidth="1"/>
    <col min="2370" max="2370" width="9" style="326"/>
    <col min="2371" max="2371" width="10.75" style="326" bestFit="1" customWidth="1"/>
    <col min="2372" max="2372" width="12.625" style="326" customWidth="1"/>
    <col min="2373" max="2375" width="9" style="326"/>
    <col min="2376" max="2376" width="13.625" style="326" customWidth="1"/>
    <col min="2377" max="2377" width="9" style="326"/>
    <col min="2378" max="2378" width="10.75" style="326" bestFit="1" customWidth="1"/>
    <col min="2379" max="2379" width="12.5" style="326" customWidth="1"/>
    <col min="2380" max="2382" width="9" style="326"/>
    <col min="2383" max="2383" width="12.875" style="326" customWidth="1"/>
    <col min="2384" max="2384" width="9" style="326"/>
    <col min="2385" max="2385" width="10.75" style="326" bestFit="1" customWidth="1"/>
    <col min="2386" max="2386" width="13.875" style="326" customWidth="1"/>
    <col min="2387" max="2389" width="9" style="326"/>
    <col min="2390" max="2390" width="14.125" style="326" customWidth="1"/>
    <col min="2391" max="2391" width="9" style="326"/>
    <col min="2392" max="2392" width="10.75" style="326" bestFit="1" customWidth="1"/>
    <col min="2393" max="2393" width="13.25" style="326" customWidth="1"/>
    <col min="2394" max="2396" width="9" style="326"/>
    <col min="2397" max="2397" width="13.25" style="326" customWidth="1"/>
    <col min="2398" max="2398" width="9" style="326"/>
    <col min="2399" max="2399" width="10.75" style="326" bestFit="1" customWidth="1"/>
    <col min="2400" max="2400" width="13.875" style="326" customWidth="1"/>
    <col min="2401" max="2403" width="9" style="326"/>
    <col min="2404" max="2404" width="13.625" style="326" customWidth="1"/>
    <col min="2405" max="2405" width="9" style="326"/>
    <col min="2406" max="2406" width="10.75" style="326" bestFit="1" customWidth="1"/>
    <col min="2407" max="2407" width="13" style="326" customWidth="1"/>
    <col min="2408" max="2554" width="9" style="326"/>
    <col min="2555" max="2556" width="12.125" style="326" customWidth="1"/>
    <col min="2557" max="2559" width="13" style="326" customWidth="1"/>
    <col min="2560" max="2560" width="12.875" style="326" customWidth="1"/>
    <col min="2561" max="2561" width="13" style="326" customWidth="1"/>
    <col min="2562" max="2562" width="13.125" style="326" customWidth="1"/>
    <col min="2563" max="2564" width="12.125" style="326" customWidth="1"/>
    <col min="2565" max="2565" width="14.375" style="326" bestFit="1" customWidth="1"/>
    <col min="2566" max="2566" width="11" style="326" customWidth="1"/>
    <col min="2567" max="2567" width="10" style="326" customWidth="1"/>
    <col min="2568" max="2568" width="10.875" style="326" customWidth="1"/>
    <col min="2569" max="2569" width="13.75" style="326" customWidth="1"/>
    <col min="2570" max="2570" width="10" style="326" customWidth="1"/>
    <col min="2571" max="2571" width="13.25" style="326" customWidth="1"/>
    <col min="2572" max="2572" width="14.375" style="326" customWidth="1"/>
    <col min="2573" max="2573" width="10" style="326" customWidth="1"/>
    <col min="2574" max="2574" width="10.875" style="326" customWidth="1"/>
    <col min="2575" max="2575" width="11.375" style="326" customWidth="1"/>
    <col min="2576" max="2576" width="15.375" style="326" customWidth="1"/>
    <col min="2577" max="2578" width="10.75" style="326" customWidth="1"/>
    <col min="2579" max="2579" width="14.375" style="326" customWidth="1"/>
    <col min="2580" max="2580" width="10.75" style="326" customWidth="1"/>
    <col min="2581" max="2581" width="11.75" style="326" customWidth="1"/>
    <col min="2582" max="2582" width="10" style="326" customWidth="1"/>
    <col min="2583" max="2583" width="15.375" style="326" customWidth="1"/>
    <col min="2584" max="2584" width="10" style="326" customWidth="1"/>
    <col min="2585" max="2585" width="10.75" style="326" customWidth="1"/>
    <col min="2586" max="2586" width="14.875" style="326" customWidth="1"/>
    <col min="2587" max="2587" width="11.5" style="326" customWidth="1"/>
    <col min="2588" max="2588" width="10" style="326" customWidth="1"/>
    <col min="2589" max="2589" width="10.75" style="326" customWidth="1"/>
    <col min="2590" max="2590" width="13.5" style="326" customWidth="1"/>
    <col min="2591" max="2591" width="9" style="326"/>
    <col min="2592" max="2592" width="10.75" style="326" bestFit="1" customWidth="1"/>
    <col min="2593" max="2593" width="13.75" style="326" customWidth="1"/>
    <col min="2594" max="2594" width="9" style="326"/>
    <col min="2595" max="2595" width="10.625" style="326" customWidth="1"/>
    <col min="2596" max="2596" width="9" style="326"/>
    <col min="2597" max="2597" width="14.25" style="326" customWidth="1"/>
    <col min="2598" max="2598" width="10.75" style="326" bestFit="1" customWidth="1"/>
    <col min="2599" max="2599" width="11.625" style="326" customWidth="1"/>
    <col min="2600" max="2600" width="13.75" style="326" customWidth="1"/>
    <col min="2601" max="2601" width="10.625" style="326" customWidth="1"/>
    <col min="2602" max="2603" width="9" style="326"/>
    <col min="2604" max="2604" width="14.125" style="326" customWidth="1"/>
    <col min="2605" max="2605" width="11" style="326" customWidth="1"/>
    <col min="2606" max="2606" width="10.75" style="326" bestFit="1" customWidth="1"/>
    <col min="2607" max="2607" width="13.5" style="326" customWidth="1"/>
    <col min="2608" max="2609" width="9" style="326"/>
    <col min="2610" max="2610" width="10.75" style="326" bestFit="1" customWidth="1"/>
    <col min="2611" max="2611" width="14" style="326" customWidth="1"/>
    <col min="2612" max="2612" width="9" style="326"/>
    <col min="2613" max="2613" width="10.75" style="326" customWidth="1"/>
    <col min="2614" max="2614" width="12.75" style="326" customWidth="1"/>
    <col min="2615" max="2615" width="9" style="326"/>
    <col min="2616" max="2616" width="10.75" style="326" bestFit="1" customWidth="1"/>
    <col min="2617" max="2617" width="11.5" style="326" customWidth="1"/>
    <col min="2618" max="2618" width="13.625" style="326" customWidth="1"/>
    <col min="2619" max="2619" width="10.625" style="326" customWidth="1"/>
    <col min="2620" max="2620" width="10.75" style="326" bestFit="1" customWidth="1"/>
    <col min="2621" max="2621" width="12.375" style="326" customWidth="1"/>
    <col min="2622" max="2624" width="9" style="326"/>
    <col min="2625" max="2625" width="15.75" style="326" customWidth="1"/>
    <col min="2626" max="2626" width="9" style="326"/>
    <col min="2627" max="2627" width="10.75" style="326" bestFit="1" customWidth="1"/>
    <col min="2628" max="2628" width="12.625" style="326" customWidth="1"/>
    <col min="2629" max="2631" width="9" style="326"/>
    <col min="2632" max="2632" width="13.625" style="326" customWidth="1"/>
    <col min="2633" max="2633" width="9" style="326"/>
    <col min="2634" max="2634" width="10.75" style="326" bestFit="1" customWidth="1"/>
    <col min="2635" max="2635" width="12.5" style="326" customWidth="1"/>
    <col min="2636" max="2638" width="9" style="326"/>
    <col min="2639" max="2639" width="12.875" style="326" customWidth="1"/>
    <col min="2640" max="2640" width="9" style="326"/>
    <col min="2641" max="2641" width="10.75" style="326" bestFit="1" customWidth="1"/>
    <col min="2642" max="2642" width="13.875" style="326" customWidth="1"/>
    <col min="2643" max="2645" width="9" style="326"/>
    <col min="2646" max="2646" width="14.125" style="326" customWidth="1"/>
    <col min="2647" max="2647" width="9" style="326"/>
    <col min="2648" max="2648" width="10.75" style="326" bestFit="1" customWidth="1"/>
    <col min="2649" max="2649" width="13.25" style="326" customWidth="1"/>
    <col min="2650" max="2652" width="9" style="326"/>
    <col min="2653" max="2653" width="13.25" style="326" customWidth="1"/>
    <col min="2654" max="2654" width="9" style="326"/>
    <col min="2655" max="2655" width="10.75" style="326" bestFit="1" customWidth="1"/>
    <col min="2656" max="2656" width="13.875" style="326" customWidth="1"/>
    <col min="2657" max="2659" width="9" style="326"/>
    <col min="2660" max="2660" width="13.625" style="326" customWidth="1"/>
    <col min="2661" max="2661" width="9" style="326"/>
    <col min="2662" max="2662" width="10.75" style="326" bestFit="1" customWidth="1"/>
    <col min="2663" max="2663" width="13" style="326" customWidth="1"/>
    <col min="2664" max="2810" width="9" style="326"/>
    <col min="2811" max="2812" width="12.125" style="326" customWidth="1"/>
    <col min="2813" max="2815" width="13" style="326" customWidth="1"/>
    <col min="2816" max="2816" width="12.875" style="326" customWidth="1"/>
    <col min="2817" max="2817" width="13" style="326" customWidth="1"/>
    <col min="2818" max="2818" width="13.125" style="326" customWidth="1"/>
    <col min="2819" max="2820" width="12.125" style="326" customWidth="1"/>
    <col min="2821" max="2821" width="14.375" style="326" bestFit="1" customWidth="1"/>
    <col min="2822" max="2822" width="11" style="326" customWidth="1"/>
    <col min="2823" max="2823" width="10" style="326" customWidth="1"/>
    <col min="2824" max="2824" width="10.875" style="326" customWidth="1"/>
    <col min="2825" max="2825" width="13.75" style="326" customWidth="1"/>
    <col min="2826" max="2826" width="10" style="326" customWidth="1"/>
    <col min="2827" max="2827" width="13.25" style="326" customWidth="1"/>
    <col min="2828" max="2828" width="14.375" style="326" customWidth="1"/>
    <col min="2829" max="2829" width="10" style="326" customWidth="1"/>
    <col min="2830" max="2830" width="10.875" style="326" customWidth="1"/>
    <col min="2831" max="2831" width="11.375" style="326" customWidth="1"/>
    <col min="2832" max="2832" width="15.375" style="326" customWidth="1"/>
    <col min="2833" max="2834" width="10.75" style="326" customWidth="1"/>
    <col min="2835" max="2835" width="14.375" style="326" customWidth="1"/>
    <col min="2836" max="2836" width="10.75" style="326" customWidth="1"/>
    <col min="2837" max="2837" width="11.75" style="326" customWidth="1"/>
    <col min="2838" max="2838" width="10" style="326" customWidth="1"/>
    <col min="2839" max="2839" width="15.375" style="326" customWidth="1"/>
    <col min="2840" max="2840" width="10" style="326" customWidth="1"/>
    <col min="2841" max="2841" width="10.75" style="326" customWidth="1"/>
    <col min="2842" max="2842" width="14.875" style="326" customWidth="1"/>
    <col min="2843" max="2843" width="11.5" style="326" customWidth="1"/>
    <col min="2844" max="2844" width="10" style="326" customWidth="1"/>
    <col min="2845" max="2845" width="10.75" style="326" customWidth="1"/>
    <col min="2846" max="2846" width="13.5" style="326" customWidth="1"/>
    <col min="2847" max="2847" width="9" style="326"/>
    <col min="2848" max="2848" width="10.75" style="326" bestFit="1" customWidth="1"/>
    <col min="2849" max="2849" width="13.75" style="326" customWidth="1"/>
    <col min="2850" max="2850" width="9" style="326"/>
    <col min="2851" max="2851" width="10.625" style="326" customWidth="1"/>
    <col min="2852" max="2852" width="9" style="326"/>
    <col min="2853" max="2853" width="14.25" style="326" customWidth="1"/>
    <col min="2854" max="2854" width="10.75" style="326" bestFit="1" customWidth="1"/>
    <col min="2855" max="2855" width="11.625" style="326" customWidth="1"/>
    <col min="2856" max="2856" width="13.75" style="326" customWidth="1"/>
    <col min="2857" max="2857" width="10.625" style="326" customWidth="1"/>
    <col min="2858" max="2859" width="9" style="326"/>
    <col min="2860" max="2860" width="14.125" style="326" customWidth="1"/>
    <col min="2861" max="2861" width="11" style="326" customWidth="1"/>
    <col min="2862" max="2862" width="10.75" style="326" bestFit="1" customWidth="1"/>
    <col min="2863" max="2863" width="13.5" style="326" customWidth="1"/>
    <col min="2864" max="2865" width="9" style="326"/>
    <col min="2866" max="2866" width="10.75" style="326" bestFit="1" customWidth="1"/>
    <col min="2867" max="2867" width="14" style="326" customWidth="1"/>
    <col min="2868" max="2868" width="9" style="326"/>
    <col min="2869" max="2869" width="10.75" style="326" customWidth="1"/>
    <col min="2870" max="2870" width="12.75" style="326" customWidth="1"/>
    <col min="2871" max="2871" width="9" style="326"/>
    <col min="2872" max="2872" width="10.75" style="326" bestFit="1" customWidth="1"/>
    <col min="2873" max="2873" width="11.5" style="326" customWidth="1"/>
    <col min="2874" max="2874" width="13.625" style="326" customWidth="1"/>
    <col min="2875" max="2875" width="10.625" style="326" customWidth="1"/>
    <col min="2876" max="2876" width="10.75" style="326" bestFit="1" customWidth="1"/>
    <col min="2877" max="2877" width="12.375" style="326" customWidth="1"/>
    <col min="2878" max="2880" width="9" style="326"/>
    <col min="2881" max="2881" width="15.75" style="326" customWidth="1"/>
    <col min="2882" max="2882" width="9" style="326"/>
    <col min="2883" max="2883" width="10.75" style="326" bestFit="1" customWidth="1"/>
    <col min="2884" max="2884" width="12.625" style="326" customWidth="1"/>
    <col min="2885" max="2887" width="9" style="326"/>
    <col min="2888" max="2888" width="13.625" style="326" customWidth="1"/>
    <col min="2889" max="2889" width="9" style="326"/>
    <col min="2890" max="2890" width="10.75" style="326" bestFit="1" customWidth="1"/>
    <col min="2891" max="2891" width="12.5" style="326" customWidth="1"/>
    <col min="2892" max="2894" width="9" style="326"/>
    <col min="2895" max="2895" width="12.875" style="326" customWidth="1"/>
    <col min="2896" max="2896" width="9" style="326"/>
    <col min="2897" max="2897" width="10.75" style="326" bestFit="1" customWidth="1"/>
    <col min="2898" max="2898" width="13.875" style="326" customWidth="1"/>
    <col min="2899" max="2901" width="9" style="326"/>
    <col min="2902" max="2902" width="14.125" style="326" customWidth="1"/>
    <col min="2903" max="2903" width="9" style="326"/>
    <col min="2904" max="2904" width="10.75" style="326" bestFit="1" customWidth="1"/>
    <col min="2905" max="2905" width="13.25" style="326" customWidth="1"/>
    <col min="2906" max="2908" width="9" style="326"/>
    <col min="2909" max="2909" width="13.25" style="326" customWidth="1"/>
    <col min="2910" max="2910" width="9" style="326"/>
    <col min="2911" max="2911" width="10.75" style="326" bestFit="1" customWidth="1"/>
    <col min="2912" max="2912" width="13.875" style="326" customWidth="1"/>
    <col min="2913" max="2915" width="9" style="326"/>
    <col min="2916" max="2916" width="13.625" style="326" customWidth="1"/>
    <col min="2917" max="2917" width="9" style="326"/>
    <col min="2918" max="2918" width="10.75" style="326" bestFit="1" customWidth="1"/>
    <col min="2919" max="2919" width="13" style="326" customWidth="1"/>
    <col min="2920" max="3066" width="9" style="326"/>
    <col min="3067" max="3068" width="12.125" style="326" customWidth="1"/>
    <col min="3069" max="3071" width="13" style="326" customWidth="1"/>
    <col min="3072" max="3072" width="12.875" style="326" customWidth="1"/>
    <col min="3073" max="3073" width="13" style="326" customWidth="1"/>
    <col min="3074" max="3074" width="13.125" style="326" customWidth="1"/>
    <col min="3075" max="3076" width="12.125" style="326" customWidth="1"/>
    <col min="3077" max="3077" width="14.375" style="326" bestFit="1" customWidth="1"/>
    <col min="3078" max="3078" width="11" style="326" customWidth="1"/>
    <col min="3079" max="3079" width="10" style="326" customWidth="1"/>
    <col min="3080" max="3080" width="10.875" style="326" customWidth="1"/>
    <col min="3081" max="3081" width="13.75" style="326" customWidth="1"/>
    <col min="3082" max="3082" width="10" style="326" customWidth="1"/>
    <col min="3083" max="3083" width="13.25" style="326" customWidth="1"/>
    <col min="3084" max="3084" width="14.375" style="326" customWidth="1"/>
    <col min="3085" max="3085" width="10" style="326" customWidth="1"/>
    <col min="3086" max="3086" width="10.875" style="326" customWidth="1"/>
    <col min="3087" max="3087" width="11.375" style="326" customWidth="1"/>
    <col min="3088" max="3088" width="15.375" style="326" customWidth="1"/>
    <col min="3089" max="3090" width="10.75" style="326" customWidth="1"/>
    <col min="3091" max="3091" width="14.375" style="326" customWidth="1"/>
    <col min="3092" max="3092" width="10.75" style="326" customWidth="1"/>
    <col min="3093" max="3093" width="11.75" style="326" customWidth="1"/>
    <col min="3094" max="3094" width="10" style="326" customWidth="1"/>
    <col min="3095" max="3095" width="15.375" style="326" customWidth="1"/>
    <col min="3096" max="3096" width="10" style="326" customWidth="1"/>
    <col min="3097" max="3097" width="10.75" style="326" customWidth="1"/>
    <col min="3098" max="3098" width="14.875" style="326" customWidth="1"/>
    <col min="3099" max="3099" width="11.5" style="326" customWidth="1"/>
    <col min="3100" max="3100" width="10" style="326" customWidth="1"/>
    <col min="3101" max="3101" width="10.75" style="326" customWidth="1"/>
    <col min="3102" max="3102" width="13.5" style="326" customWidth="1"/>
    <col min="3103" max="3103" width="9" style="326"/>
    <col min="3104" max="3104" width="10.75" style="326" bestFit="1" customWidth="1"/>
    <col min="3105" max="3105" width="13.75" style="326" customWidth="1"/>
    <col min="3106" max="3106" width="9" style="326"/>
    <col min="3107" max="3107" width="10.625" style="326" customWidth="1"/>
    <col min="3108" max="3108" width="9" style="326"/>
    <col min="3109" max="3109" width="14.25" style="326" customWidth="1"/>
    <col min="3110" max="3110" width="10.75" style="326" bestFit="1" customWidth="1"/>
    <col min="3111" max="3111" width="11.625" style="326" customWidth="1"/>
    <col min="3112" max="3112" width="13.75" style="326" customWidth="1"/>
    <col min="3113" max="3113" width="10.625" style="326" customWidth="1"/>
    <col min="3114" max="3115" width="9" style="326"/>
    <col min="3116" max="3116" width="14.125" style="326" customWidth="1"/>
    <col min="3117" max="3117" width="11" style="326" customWidth="1"/>
    <col min="3118" max="3118" width="10.75" style="326" bestFit="1" customWidth="1"/>
    <col min="3119" max="3119" width="13.5" style="326" customWidth="1"/>
    <col min="3120" max="3121" width="9" style="326"/>
    <col min="3122" max="3122" width="10.75" style="326" bestFit="1" customWidth="1"/>
    <col min="3123" max="3123" width="14" style="326" customWidth="1"/>
    <col min="3124" max="3124" width="9" style="326"/>
    <col min="3125" max="3125" width="10.75" style="326" customWidth="1"/>
    <col min="3126" max="3126" width="12.75" style="326" customWidth="1"/>
    <col min="3127" max="3127" width="9" style="326"/>
    <col min="3128" max="3128" width="10.75" style="326" bestFit="1" customWidth="1"/>
    <col min="3129" max="3129" width="11.5" style="326" customWidth="1"/>
    <col min="3130" max="3130" width="13.625" style="326" customWidth="1"/>
    <col min="3131" max="3131" width="10.625" style="326" customWidth="1"/>
    <col min="3132" max="3132" width="10.75" style="326" bestFit="1" customWidth="1"/>
    <col min="3133" max="3133" width="12.375" style="326" customWidth="1"/>
    <col min="3134" max="3136" width="9" style="326"/>
    <col min="3137" max="3137" width="15.75" style="326" customWidth="1"/>
    <col min="3138" max="3138" width="9" style="326"/>
    <col min="3139" max="3139" width="10.75" style="326" bestFit="1" customWidth="1"/>
    <col min="3140" max="3140" width="12.625" style="326" customWidth="1"/>
    <col min="3141" max="3143" width="9" style="326"/>
    <col min="3144" max="3144" width="13.625" style="326" customWidth="1"/>
    <col min="3145" max="3145" width="9" style="326"/>
    <col min="3146" max="3146" width="10.75" style="326" bestFit="1" customWidth="1"/>
    <col min="3147" max="3147" width="12.5" style="326" customWidth="1"/>
    <col min="3148" max="3150" width="9" style="326"/>
    <col min="3151" max="3151" width="12.875" style="326" customWidth="1"/>
    <col min="3152" max="3152" width="9" style="326"/>
    <col min="3153" max="3153" width="10.75" style="326" bestFit="1" customWidth="1"/>
    <col min="3154" max="3154" width="13.875" style="326" customWidth="1"/>
    <col min="3155" max="3157" width="9" style="326"/>
    <col min="3158" max="3158" width="14.125" style="326" customWidth="1"/>
    <col min="3159" max="3159" width="9" style="326"/>
    <col min="3160" max="3160" width="10.75" style="326" bestFit="1" customWidth="1"/>
    <col min="3161" max="3161" width="13.25" style="326" customWidth="1"/>
    <col min="3162" max="3164" width="9" style="326"/>
    <col min="3165" max="3165" width="13.25" style="326" customWidth="1"/>
    <col min="3166" max="3166" width="9" style="326"/>
    <col min="3167" max="3167" width="10.75" style="326" bestFit="1" customWidth="1"/>
    <col min="3168" max="3168" width="13.875" style="326" customWidth="1"/>
    <col min="3169" max="3171" width="9" style="326"/>
    <col min="3172" max="3172" width="13.625" style="326" customWidth="1"/>
    <col min="3173" max="3173" width="9" style="326"/>
    <col min="3174" max="3174" width="10.75" style="326" bestFit="1" customWidth="1"/>
    <col min="3175" max="3175" width="13" style="326" customWidth="1"/>
    <col min="3176" max="3322" width="9" style="326"/>
    <col min="3323" max="3324" width="12.125" style="326" customWidth="1"/>
    <col min="3325" max="3327" width="13" style="326" customWidth="1"/>
    <col min="3328" max="3328" width="12.875" style="326" customWidth="1"/>
    <col min="3329" max="3329" width="13" style="326" customWidth="1"/>
    <col min="3330" max="3330" width="13.125" style="326" customWidth="1"/>
    <col min="3331" max="3332" width="12.125" style="326" customWidth="1"/>
    <col min="3333" max="3333" width="14.375" style="326" bestFit="1" customWidth="1"/>
    <col min="3334" max="3334" width="11" style="326" customWidth="1"/>
    <col min="3335" max="3335" width="10" style="326" customWidth="1"/>
    <col min="3336" max="3336" width="10.875" style="326" customWidth="1"/>
    <col min="3337" max="3337" width="13.75" style="326" customWidth="1"/>
    <col min="3338" max="3338" width="10" style="326" customWidth="1"/>
    <col min="3339" max="3339" width="13.25" style="326" customWidth="1"/>
    <col min="3340" max="3340" width="14.375" style="326" customWidth="1"/>
    <col min="3341" max="3341" width="10" style="326" customWidth="1"/>
    <col min="3342" max="3342" width="10.875" style="326" customWidth="1"/>
    <col min="3343" max="3343" width="11.375" style="326" customWidth="1"/>
    <col min="3344" max="3344" width="15.375" style="326" customWidth="1"/>
    <col min="3345" max="3346" width="10.75" style="326" customWidth="1"/>
    <col min="3347" max="3347" width="14.375" style="326" customWidth="1"/>
    <col min="3348" max="3348" width="10.75" style="326" customWidth="1"/>
    <col min="3349" max="3349" width="11.75" style="326" customWidth="1"/>
    <col min="3350" max="3350" width="10" style="326" customWidth="1"/>
    <col min="3351" max="3351" width="15.375" style="326" customWidth="1"/>
    <col min="3352" max="3352" width="10" style="326" customWidth="1"/>
    <col min="3353" max="3353" width="10.75" style="326" customWidth="1"/>
    <col min="3354" max="3354" width="14.875" style="326" customWidth="1"/>
    <col min="3355" max="3355" width="11.5" style="326" customWidth="1"/>
    <col min="3356" max="3356" width="10" style="326" customWidth="1"/>
    <col min="3357" max="3357" width="10.75" style="326" customWidth="1"/>
    <col min="3358" max="3358" width="13.5" style="326" customWidth="1"/>
    <col min="3359" max="3359" width="9" style="326"/>
    <col min="3360" max="3360" width="10.75" style="326" bestFit="1" customWidth="1"/>
    <col min="3361" max="3361" width="13.75" style="326" customWidth="1"/>
    <col min="3362" max="3362" width="9" style="326"/>
    <col min="3363" max="3363" width="10.625" style="326" customWidth="1"/>
    <col min="3364" max="3364" width="9" style="326"/>
    <col min="3365" max="3365" width="14.25" style="326" customWidth="1"/>
    <col min="3366" max="3366" width="10.75" style="326" bestFit="1" customWidth="1"/>
    <col min="3367" max="3367" width="11.625" style="326" customWidth="1"/>
    <col min="3368" max="3368" width="13.75" style="326" customWidth="1"/>
    <col min="3369" max="3369" width="10.625" style="326" customWidth="1"/>
    <col min="3370" max="3371" width="9" style="326"/>
    <col min="3372" max="3372" width="14.125" style="326" customWidth="1"/>
    <col min="3373" max="3373" width="11" style="326" customWidth="1"/>
    <col min="3374" max="3374" width="10.75" style="326" bestFit="1" customWidth="1"/>
    <col min="3375" max="3375" width="13.5" style="326" customWidth="1"/>
    <col min="3376" max="3377" width="9" style="326"/>
    <col min="3378" max="3378" width="10.75" style="326" bestFit="1" customWidth="1"/>
    <col min="3379" max="3379" width="14" style="326" customWidth="1"/>
    <col min="3380" max="3380" width="9" style="326"/>
    <col min="3381" max="3381" width="10.75" style="326" customWidth="1"/>
    <col min="3382" max="3382" width="12.75" style="326" customWidth="1"/>
    <col min="3383" max="3383" width="9" style="326"/>
    <col min="3384" max="3384" width="10.75" style="326" bestFit="1" customWidth="1"/>
    <col min="3385" max="3385" width="11.5" style="326" customWidth="1"/>
    <col min="3386" max="3386" width="13.625" style="326" customWidth="1"/>
    <col min="3387" max="3387" width="10.625" style="326" customWidth="1"/>
    <col min="3388" max="3388" width="10.75" style="326" bestFit="1" customWidth="1"/>
    <col min="3389" max="3389" width="12.375" style="326" customWidth="1"/>
    <col min="3390" max="3392" width="9" style="326"/>
    <col min="3393" max="3393" width="15.75" style="326" customWidth="1"/>
    <col min="3394" max="3394" width="9" style="326"/>
    <col min="3395" max="3395" width="10.75" style="326" bestFit="1" customWidth="1"/>
    <col min="3396" max="3396" width="12.625" style="326" customWidth="1"/>
    <col min="3397" max="3399" width="9" style="326"/>
    <col min="3400" max="3400" width="13.625" style="326" customWidth="1"/>
    <col min="3401" max="3401" width="9" style="326"/>
    <col min="3402" max="3402" width="10.75" style="326" bestFit="1" customWidth="1"/>
    <col min="3403" max="3403" width="12.5" style="326" customWidth="1"/>
    <col min="3404" max="3406" width="9" style="326"/>
    <col min="3407" max="3407" width="12.875" style="326" customWidth="1"/>
    <col min="3408" max="3408" width="9" style="326"/>
    <col min="3409" max="3409" width="10.75" style="326" bestFit="1" customWidth="1"/>
    <col min="3410" max="3410" width="13.875" style="326" customWidth="1"/>
    <col min="3411" max="3413" width="9" style="326"/>
    <col min="3414" max="3414" width="14.125" style="326" customWidth="1"/>
    <col min="3415" max="3415" width="9" style="326"/>
    <col min="3416" max="3416" width="10.75" style="326" bestFit="1" customWidth="1"/>
    <col min="3417" max="3417" width="13.25" style="326" customWidth="1"/>
    <col min="3418" max="3420" width="9" style="326"/>
    <col min="3421" max="3421" width="13.25" style="326" customWidth="1"/>
    <col min="3422" max="3422" width="9" style="326"/>
    <col min="3423" max="3423" width="10.75" style="326" bestFit="1" customWidth="1"/>
    <col min="3424" max="3424" width="13.875" style="326" customWidth="1"/>
    <col min="3425" max="3427" width="9" style="326"/>
    <col min="3428" max="3428" width="13.625" style="326" customWidth="1"/>
    <col min="3429" max="3429" width="9" style="326"/>
    <col min="3430" max="3430" width="10.75" style="326" bestFit="1" customWidth="1"/>
    <col min="3431" max="3431" width="13" style="326" customWidth="1"/>
    <col min="3432" max="3578" width="9" style="326"/>
    <col min="3579" max="3580" width="12.125" style="326" customWidth="1"/>
    <col min="3581" max="3583" width="13" style="326" customWidth="1"/>
    <col min="3584" max="3584" width="12.875" style="326" customWidth="1"/>
    <col min="3585" max="3585" width="13" style="326" customWidth="1"/>
    <col min="3586" max="3586" width="13.125" style="326" customWidth="1"/>
    <col min="3587" max="3588" width="12.125" style="326" customWidth="1"/>
    <col min="3589" max="3589" width="14.375" style="326" bestFit="1" customWidth="1"/>
    <col min="3590" max="3590" width="11" style="326" customWidth="1"/>
    <col min="3591" max="3591" width="10" style="326" customWidth="1"/>
    <col min="3592" max="3592" width="10.875" style="326" customWidth="1"/>
    <col min="3593" max="3593" width="13.75" style="326" customWidth="1"/>
    <col min="3594" max="3594" width="10" style="326" customWidth="1"/>
    <col min="3595" max="3595" width="13.25" style="326" customWidth="1"/>
    <col min="3596" max="3596" width="14.375" style="326" customWidth="1"/>
    <col min="3597" max="3597" width="10" style="326" customWidth="1"/>
    <col min="3598" max="3598" width="10.875" style="326" customWidth="1"/>
    <col min="3599" max="3599" width="11.375" style="326" customWidth="1"/>
    <col min="3600" max="3600" width="15.375" style="326" customWidth="1"/>
    <col min="3601" max="3602" width="10.75" style="326" customWidth="1"/>
    <col min="3603" max="3603" width="14.375" style="326" customWidth="1"/>
    <col min="3604" max="3604" width="10.75" style="326" customWidth="1"/>
    <col min="3605" max="3605" width="11.75" style="326" customWidth="1"/>
    <col min="3606" max="3606" width="10" style="326" customWidth="1"/>
    <col min="3607" max="3607" width="15.375" style="326" customWidth="1"/>
    <col min="3608" max="3608" width="10" style="326" customWidth="1"/>
    <col min="3609" max="3609" width="10.75" style="326" customWidth="1"/>
    <col min="3610" max="3610" width="14.875" style="326" customWidth="1"/>
    <col min="3611" max="3611" width="11.5" style="326" customWidth="1"/>
    <col min="3612" max="3612" width="10" style="326" customWidth="1"/>
    <col min="3613" max="3613" width="10.75" style="326" customWidth="1"/>
    <col min="3614" max="3614" width="13.5" style="326" customWidth="1"/>
    <col min="3615" max="3615" width="9" style="326"/>
    <col min="3616" max="3616" width="10.75" style="326" bestFit="1" customWidth="1"/>
    <col min="3617" max="3617" width="13.75" style="326" customWidth="1"/>
    <col min="3618" max="3618" width="9" style="326"/>
    <col min="3619" max="3619" width="10.625" style="326" customWidth="1"/>
    <col min="3620" max="3620" width="9" style="326"/>
    <col min="3621" max="3621" width="14.25" style="326" customWidth="1"/>
    <col min="3622" max="3622" width="10.75" style="326" bestFit="1" customWidth="1"/>
    <col min="3623" max="3623" width="11.625" style="326" customWidth="1"/>
    <col min="3624" max="3624" width="13.75" style="326" customWidth="1"/>
    <col min="3625" max="3625" width="10.625" style="326" customWidth="1"/>
    <col min="3626" max="3627" width="9" style="326"/>
    <col min="3628" max="3628" width="14.125" style="326" customWidth="1"/>
    <col min="3629" max="3629" width="11" style="326" customWidth="1"/>
    <col min="3630" max="3630" width="10.75" style="326" bestFit="1" customWidth="1"/>
    <col min="3631" max="3631" width="13.5" style="326" customWidth="1"/>
    <col min="3632" max="3633" width="9" style="326"/>
    <col min="3634" max="3634" width="10.75" style="326" bestFit="1" customWidth="1"/>
    <col min="3635" max="3635" width="14" style="326" customWidth="1"/>
    <col min="3636" max="3636" width="9" style="326"/>
    <col min="3637" max="3637" width="10.75" style="326" customWidth="1"/>
    <col min="3638" max="3638" width="12.75" style="326" customWidth="1"/>
    <col min="3639" max="3639" width="9" style="326"/>
    <col min="3640" max="3640" width="10.75" style="326" bestFit="1" customWidth="1"/>
    <col min="3641" max="3641" width="11.5" style="326" customWidth="1"/>
    <col min="3642" max="3642" width="13.625" style="326" customWidth="1"/>
    <col min="3643" max="3643" width="10.625" style="326" customWidth="1"/>
    <col min="3644" max="3644" width="10.75" style="326" bestFit="1" customWidth="1"/>
    <col min="3645" max="3645" width="12.375" style="326" customWidth="1"/>
    <col min="3646" max="3648" width="9" style="326"/>
    <col min="3649" max="3649" width="15.75" style="326" customWidth="1"/>
    <col min="3650" max="3650" width="9" style="326"/>
    <col min="3651" max="3651" width="10.75" style="326" bestFit="1" customWidth="1"/>
    <col min="3652" max="3652" width="12.625" style="326" customWidth="1"/>
    <col min="3653" max="3655" width="9" style="326"/>
    <col min="3656" max="3656" width="13.625" style="326" customWidth="1"/>
    <col min="3657" max="3657" width="9" style="326"/>
    <col min="3658" max="3658" width="10.75" style="326" bestFit="1" customWidth="1"/>
    <col min="3659" max="3659" width="12.5" style="326" customWidth="1"/>
    <col min="3660" max="3662" width="9" style="326"/>
    <col min="3663" max="3663" width="12.875" style="326" customWidth="1"/>
    <col min="3664" max="3664" width="9" style="326"/>
    <col min="3665" max="3665" width="10.75" style="326" bestFit="1" customWidth="1"/>
    <col min="3666" max="3666" width="13.875" style="326" customWidth="1"/>
    <col min="3667" max="3669" width="9" style="326"/>
    <col min="3670" max="3670" width="14.125" style="326" customWidth="1"/>
    <col min="3671" max="3671" width="9" style="326"/>
    <col min="3672" max="3672" width="10.75" style="326" bestFit="1" customWidth="1"/>
    <col min="3673" max="3673" width="13.25" style="326" customWidth="1"/>
    <col min="3674" max="3676" width="9" style="326"/>
    <col min="3677" max="3677" width="13.25" style="326" customWidth="1"/>
    <col min="3678" max="3678" width="9" style="326"/>
    <col min="3679" max="3679" width="10.75" style="326" bestFit="1" customWidth="1"/>
    <col min="3680" max="3680" width="13.875" style="326" customWidth="1"/>
    <col min="3681" max="3683" width="9" style="326"/>
    <col min="3684" max="3684" width="13.625" style="326" customWidth="1"/>
    <col min="3685" max="3685" width="9" style="326"/>
    <col min="3686" max="3686" width="10.75" style="326" bestFit="1" customWidth="1"/>
    <col min="3687" max="3687" width="13" style="326" customWidth="1"/>
    <col min="3688" max="3834" width="9" style="326"/>
    <col min="3835" max="3836" width="12.125" style="326" customWidth="1"/>
    <col min="3837" max="3839" width="13" style="326" customWidth="1"/>
    <col min="3840" max="3840" width="12.875" style="326" customWidth="1"/>
    <col min="3841" max="3841" width="13" style="326" customWidth="1"/>
    <col min="3842" max="3842" width="13.125" style="326" customWidth="1"/>
    <col min="3843" max="3844" width="12.125" style="326" customWidth="1"/>
    <col min="3845" max="3845" width="14.375" style="326" bestFit="1" customWidth="1"/>
    <col min="3846" max="3846" width="11" style="326" customWidth="1"/>
    <col min="3847" max="3847" width="10" style="326" customWidth="1"/>
    <col min="3848" max="3848" width="10.875" style="326" customWidth="1"/>
    <col min="3849" max="3849" width="13.75" style="326" customWidth="1"/>
    <col min="3850" max="3850" width="10" style="326" customWidth="1"/>
    <col min="3851" max="3851" width="13.25" style="326" customWidth="1"/>
    <col min="3852" max="3852" width="14.375" style="326" customWidth="1"/>
    <col min="3853" max="3853" width="10" style="326" customWidth="1"/>
    <col min="3854" max="3854" width="10.875" style="326" customWidth="1"/>
    <col min="3855" max="3855" width="11.375" style="326" customWidth="1"/>
    <col min="3856" max="3856" width="15.375" style="326" customWidth="1"/>
    <col min="3857" max="3858" width="10.75" style="326" customWidth="1"/>
    <col min="3859" max="3859" width="14.375" style="326" customWidth="1"/>
    <col min="3860" max="3860" width="10.75" style="326" customWidth="1"/>
    <col min="3861" max="3861" width="11.75" style="326" customWidth="1"/>
    <col min="3862" max="3862" width="10" style="326" customWidth="1"/>
    <col min="3863" max="3863" width="15.375" style="326" customWidth="1"/>
    <col min="3864" max="3864" width="10" style="326" customWidth="1"/>
    <col min="3865" max="3865" width="10.75" style="326" customWidth="1"/>
    <col min="3866" max="3866" width="14.875" style="326" customWidth="1"/>
    <col min="3867" max="3867" width="11.5" style="326" customWidth="1"/>
    <col min="3868" max="3868" width="10" style="326" customWidth="1"/>
    <col min="3869" max="3869" width="10.75" style="326" customWidth="1"/>
    <col min="3870" max="3870" width="13.5" style="326" customWidth="1"/>
    <col min="3871" max="3871" width="9" style="326"/>
    <col min="3872" max="3872" width="10.75" style="326" bestFit="1" customWidth="1"/>
    <col min="3873" max="3873" width="13.75" style="326" customWidth="1"/>
    <col min="3874" max="3874" width="9" style="326"/>
    <col min="3875" max="3875" width="10.625" style="326" customWidth="1"/>
    <col min="3876" max="3876" width="9" style="326"/>
    <col min="3877" max="3877" width="14.25" style="326" customWidth="1"/>
    <col min="3878" max="3878" width="10.75" style="326" bestFit="1" customWidth="1"/>
    <col min="3879" max="3879" width="11.625" style="326" customWidth="1"/>
    <col min="3880" max="3880" width="13.75" style="326" customWidth="1"/>
    <col min="3881" max="3881" width="10.625" style="326" customWidth="1"/>
    <col min="3882" max="3883" width="9" style="326"/>
    <col min="3884" max="3884" width="14.125" style="326" customWidth="1"/>
    <col min="3885" max="3885" width="11" style="326" customWidth="1"/>
    <col min="3886" max="3886" width="10.75" style="326" bestFit="1" customWidth="1"/>
    <col min="3887" max="3887" width="13.5" style="326" customWidth="1"/>
    <col min="3888" max="3889" width="9" style="326"/>
    <col min="3890" max="3890" width="10.75" style="326" bestFit="1" customWidth="1"/>
    <col min="3891" max="3891" width="14" style="326" customWidth="1"/>
    <col min="3892" max="3892" width="9" style="326"/>
    <col min="3893" max="3893" width="10.75" style="326" customWidth="1"/>
    <col min="3894" max="3894" width="12.75" style="326" customWidth="1"/>
    <col min="3895" max="3895" width="9" style="326"/>
    <col min="3896" max="3896" width="10.75" style="326" bestFit="1" customWidth="1"/>
    <col min="3897" max="3897" width="11.5" style="326" customWidth="1"/>
    <col min="3898" max="3898" width="13.625" style="326" customWidth="1"/>
    <col min="3899" max="3899" width="10.625" style="326" customWidth="1"/>
    <col min="3900" max="3900" width="10.75" style="326" bestFit="1" customWidth="1"/>
    <col min="3901" max="3901" width="12.375" style="326" customWidth="1"/>
    <col min="3902" max="3904" width="9" style="326"/>
    <col min="3905" max="3905" width="15.75" style="326" customWidth="1"/>
    <col min="3906" max="3906" width="9" style="326"/>
    <col min="3907" max="3907" width="10.75" style="326" bestFit="1" customWidth="1"/>
    <col min="3908" max="3908" width="12.625" style="326" customWidth="1"/>
    <col min="3909" max="3911" width="9" style="326"/>
    <col min="3912" max="3912" width="13.625" style="326" customWidth="1"/>
    <col min="3913" max="3913" width="9" style="326"/>
    <col min="3914" max="3914" width="10.75" style="326" bestFit="1" customWidth="1"/>
    <col min="3915" max="3915" width="12.5" style="326" customWidth="1"/>
    <col min="3916" max="3918" width="9" style="326"/>
    <col min="3919" max="3919" width="12.875" style="326" customWidth="1"/>
    <col min="3920" max="3920" width="9" style="326"/>
    <col min="3921" max="3921" width="10.75" style="326" bestFit="1" customWidth="1"/>
    <col min="3922" max="3922" width="13.875" style="326" customWidth="1"/>
    <col min="3923" max="3925" width="9" style="326"/>
    <col min="3926" max="3926" width="14.125" style="326" customWidth="1"/>
    <col min="3927" max="3927" width="9" style="326"/>
    <col min="3928" max="3928" width="10.75" style="326" bestFit="1" customWidth="1"/>
    <col min="3929" max="3929" width="13.25" style="326" customWidth="1"/>
    <col min="3930" max="3932" width="9" style="326"/>
    <col min="3933" max="3933" width="13.25" style="326" customWidth="1"/>
    <col min="3934" max="3934" width="9" style="326"/>
    <col min="3935" max="3935" width="10.75" style="326" bestFit="1" customWidth="1"/>
    <col min="3936" max="3936" width="13.875" style="326" customWidth="1"/>
    <col min="3937" max="3939" width="9" style="326"/>
    <col min="3940" max="3940" width="13.625" style="326" customWidth="1"/>
    <col min="3941" max="3941" width="9" style="326"/>
    <col min="3942" max="3942" width="10.75" style="326" bestFit="1" customWidth="1"/>
    <col min="3943" max="3943" width="13" style="326" customWidth="1"/>
    <col min="3944" max="4090" width="9" style="326"/>
    <col min="4091" max="4092" width="12.125" style="326" customWidth="1"/>
    <col min="4093" max="4095" width="13" style="326" customWidth="1"/>
    <col min="4096" max="4096" width="12.875" style="326" customWidth="1"/>
    <col min="4097" max="4097" width="13" style="326" customWidth="1"/>
    <col min="4098" max="4098" width="13.125" style="326" customWidth="1"/>
    <col min="4099" max="4100" width="12.125" style="326" customWidth="1"/>
    <col min="4101" max="4101" width="14.375" style="326" bestFit="1" customWidth="1"/>
    <col min="4102" max="4102" width="11" style="326" customWidth="1"/>
    <col min="4103" max="4103" width="10" style="326" customWidth="1"/>
    <col min="4104" max="4104" width="10.875" style="326" customWidth="1"/>
    <col min="4105" max="4105" width="13.75" style="326" customWidth="1"/>
    <col min="4106" max="4106" width="10" style="326" customWidth="1"/>
    <col min="4107" max="4107" width="13.25" style="326" customWidth="1"/>
    <col min="4108" max="4108" width="14.375" style="326" customWidth="1"/>
    <col min="4109" max="4109" width="10" style="326" customWidth="1"/>
    <col min="4110" max="4110" width="10.875" style="326" customWidth="1"/>
    <col min="4111" max="4111" width="11.375" style="326" customWidth="1"/>
    <col min="4112" max="4112" width="15.375" style="326" customWidth="1"/>
    <col min="4113" max="4114" width="10.75" style="326" customWidth="1"/>
    <col min="4115" max="4115" width="14.375" style="326" customWidth="1"/>
    <col min="4116" max="4116" width="10.75" style="326" customWidth="1"/>
    <col min="4117" max="4117" width="11.75" style="326" customWidth="1"/>
    <col min="4118" max="4118" width="10" style="326" customWidth="1"/>
    <col min="4119" max="4119" width="15.375" style="326" customWidth="1"/>
    <col min="4120" max="4120" width="10" style="326" customWidth="1"/>
    <col min="4121" max="4121" width="10.75" style="326" customWidth="1"/>
    <col min="4122" max="4122" width="14.875" style="326" customWidth="1"/>
    <col min="4123" max="4123" width="11.5" style="326" customWidth="1"/>
    <col min="4124" max="4124" width="10" style="326" customWidth="1"/>
    <col min="4125" max="4125" width="10.75" style="326" customWidth="1"/>
    <col min="4126" max="4126" width="13.5" style="326" customWidth="1"/>
    <col min="4127" max="4127" width="9" style="326"/>
    <col min="4128" max="4128" width="10.75" style="326" bestFit="1" customWidth="1"/>
    <col min="4129" max="4129" width="13.75" style="326" customWidth="1"/>
    <col min="4130" max="4130" width="9" style="326"/>
    <col min="4131" max="4131" width="10.625" style="326" customWidth="1"/>
    <col min="4132" max="4132" width="9" style="326"/>
    <col min="4133" max="4133" width="14.25" style="326" customWidth="1"/>
    <col min="4134" max="4134" width="10.75" style="326" bestFit="1" customWidth="1"/>
    <col min="4135" max="4135" width="11.625" style="326" customWidth="1"/>
    <col min="4136" max="4136" width="13.75" style="326" customWidth="1"/>
    <col min="4137" max="4137" width="10.625" style="326" customWidth="1"/>
    <col min="4138" max="4139" width="9" style="326"/>
    <col min="4140" max="4140" width="14.125" style="326" customWidth="1"/>
    <col min="4141" max="4141" width="11" style="326" customWidth="1"/>
    <col min="4142" max="4142" width="10.75" style="326" bestFit="1" customWidth="1"/>
    <col min="4143" max="4143" width="13.5" style="326" customWidth="1"/>
    <col min="4144" max="4145" width="9" style="326"/>
    <col min="4146" max="4146" width="10.75" style="326" bestFit="1" customWidth="1"/>
    <col min="4147" max="4147" width="14" style="326" customWidth="1"/>
    <col min="4148" max="4148" width="9" style="326"/>
    <col min="4149" max="4149" width="10.75" style="326" customWidth="1"/>
    <col min="4150" max="4150" width="12.75" style="326" customWidth="1"/>
    <col min="4151" max="4151" width="9" style="326"/>
    <col min="4152" max="4152" width="10.75" style="326" bestFit="1" customWidth="1"/>
    <col min="4153" max="4153" width="11.5" style="326" customWidth="1"/>
    <col min="4154" max="4154" width="13.625" style="326" customWidth="1"/>
    <col min="4155" max="4155" width="10.625" style="326" customWidth="1"/>
    <col min="4156" max="4156" width="10.75" style="326" bestFit="1" customWidth="1"/>
    <col min="4157" max="4157" width="12.375" style="326" customWidth="1"/>
    <col min="4158" max="4160" width="9" style="326"/>
    <col min="4161" max="4161" width="15.75" style="326" customWidth="1"/>
    <col min="4162" max="4162" width="9" style="326"/>
    <col min="4163" max="4163" width="10.75" style="326" bestFit="1" customWidth="1"/>
    <col min="4164" max="4164" width="12.625" style="326" customWidth="1"/>
    <col min="4165" max="4167" width="9" style="326"/>
    <col min="4168" max="4168" width="13.625" style="326" customWidth="1"/>
    <col min="4169" max="4169" width="9" style="326"/>
    <col min="4170" max="4170" width="10.75" style="326" bestFit="1" customWidth="1"/>
    <col min="4171" max="4171" width="12.5" style="326" customWidth="1"/>
    <col min="4172" max="4174" width="9" style="326"/>
    <col min="4175" max="4175" width="12.875" style="326" customWidth="1"/>
    <col min="4176" max="4176" width="9" style="326"/>
    <col min="4177" max="4177" width="10.75" style="326" bestFit="1" customWidth="1"/>
    <col min="4178" max="4178" width="13.875" style="326" customWidth="1"/>
    <col min="4179" max="4181" width="9" style="326"/>
    <col min="4182" max="4182" width="14.125" style="326" customWidth="1"/>
    <col min="4183" max="4183" width="9" style="326"/>
    <col min="4184" max="4184" width="10.75" style="326" bestFit="1" customWidth="1"/>
    <col min="4185" max="4185" width="13.25" style="326" customWidth="1"/>
    <col min="4186" max="4188" width="9" style="326"/>
    <col min="4189" max="4189" width="13.25" style="326" customWidth="1"/>
    <col min="4190" max="4190" width="9" style="326"/>
    <col min="4191" max="4191" width="10.75" style="326" bestFit="1" customWidth="1"/>
    <col min="4192" max="4192" width="13.875" style="326" customWidth="1"/>
    <col min="4193" max="4195" width="9" style="326"/>
    <col min="4196" max="4196" width="13.625" style="326" customWidth="1"/>
    <col min="4197" max="4197" width="9" style="326"/>
    <col min="4198" max="4198" width="10.75" style="326" bestFit="1" customWidth="1"/>
    <col min="4199" max="4199" width="13" style="326" customWidth="1"/>
    <col min="4200" max="4346" width="9" style="326"/>
    <col min="4347" max="4348" width="12.125" style="326" customWidth="1"/>
    <col min="4349" max="4351" width="13" style="326" customWidth="1"/>
    <col min="4352" max="4352" width="12.875" style="326" customWidth="1"/>
    <col min="4353" max="4353" width="13" style="326" customWidth="1"/>
    <col min="4354" max="4354" width="13.125" style="326" customWidth="1"/>
    <col min="4355" max="4356" width="12.125" style="326" customWidth="1"/>
    <col min="4357" max="4357" width="14.375" style="326" bestFit="1" customWidth="1"/>
    <col min="4358" max="4358" width="11" style="326" customWidth="1"/>
    <col min="4359" max="4359" width="10" style="326" customWidth="1"/>
    <col min="4360" max="4360" width="10.875" style="326" customWidth="1"/>
    <col min="4361" max="4361" width="13.75" style="326" customWidth="1"/>
    <col min="4362" max="4362" width="10" style="326" customWidth="1"/>
    <col min="4363" max="4363" width="13.25" style="326" customWidth="1"/>
    <col min="4364" max="4364" width="14.375" style="326" customWidth="1"/>
    <col min="4365" max="4365" width="10" style="326" customWidth="1"/>
    <col min="4366" max="4366" width="10.875" style="326" customWidth="1"/>
    <col min="4367" max="4367" width="11.375" style="326" customWidth="1"/>
    <col min="4368" max="4368" width="15.375" style="326" customWidth="1"/>
    <col min="4369" max="4370" width="10.75" style="326" customWidth="1"/>
    <col min="4371" max="4371" width="14.375" style="326" customWidth="1"/>
    <col min="4372" max="4372" width="10.75" style="326" customWidth="1"/>
    <col min="4373" max="4373" width="11.75" style="326" customWidth="1"/>
    <col min="4374" max="4374" width="10" style="326" customWidth="1"/>
    <col min="4375" max="4375" width="15.375" style="326" customWidth="1"/>
    <col min="4376" max="4376" width="10" style="326" customWidth="1"/>
    <col min="4377" max="4377" width="10.75" style="326" customWidth="1"/>
    <col min="4378" max="4378" width="14.875" style="326" customWidth="1"/>
    <col min="4379" max="4379" width="11.5" style="326" customWidth="1"/>
    <col min="4380" max="4380" width="10" style="326" customWidth="1"/>
    <col min="4381" max="4381" width="10.75" style="326" customWidth="1"/>
    <col min="4382" max="4382" width="13.5" style="326" customWidth="1"/>
    <col min="4383" max="4383" width="9" style="326"/>
    <col min="4384" max="4384" width="10.75" style="326" bestFit="1" customWidth="1"/>
    <col min="4385" max="4385" width="13.75" style="326" customWidth="1"/>
    <col min="4386" max="4386" width="9" style="326"/>
    <col min="4387" max="4387" width="10.625" style="326" customWidth="1"/>
    <col min="4388" max="4388" width="9" style="326"/>
    <col min="4389" max="4389" width="14.25" style="326" customWidth="1"/>
    <col min="4390" max="4390" width="10.75" style="326" bestFit="1" customWidth="1"/>
    <col min="4391" max="4391" width="11.625" style="326" customWidth="1"/>
    <col min="4392" max="4392" width="13.75" style="326" customWidth="1"/>
    <col min="4393" max="4393" width="10.625" style="326" customWidth="1"/>
    <col min="4394" max="4395" width="9" style="326"/>
    <col min="4396" max="4396" width="14.125" style="326" customWidth="1"/>
    <col min="4397" max="4397" width="11" style="326" customWidth="1"/>
    <col min="4398" max="4398" width="10.75" style="326" bestFit="1" customWidth="1"/>
    <col min="4399" max="4399" width="13.5" style="326" customWidth="1"/>
    <col min="4400" max="4401" width="9" style="326"/>
    <col min="4402" max="4402" width="10.75" style="326" bestFit="1" customWidth="1"/>
    <col min="4403" max="4403" width="14" style="326" customWidth="1"/>
    <col min="4404" max="4404" width="9" style="326"/>
    <col min="4405" max="4405" width="10.75" style="326" customWidth="1"/>
    <col min="4406" max="4406" width="12.75" style="326" customWidth="1"/>
    <col min="4407" max="4407" width="9" style="326"/>
    <col min="4408" max="4408" width="10.75" style="326" bestFit="1" customWidth="1"/>
    <col min="4409" max="4409" width="11.5" style="326" customWidth="1"/>
    <col min="4410" max="4410" width="13.625" style="326" customWidth="1"/>
    <col min="4411" max="4411" width="10.625" style="326" customWidth="1"/>
    <col min="4412" max="4412" width="10.75" style="326" bestFit="1" customWidth="1"/>
    <col min="4413" max="4413" width="12.375" style="326" customWidth="1"/>
    <col min="4414" max="4416" width="9" style="326"/>
    <col min="4417" max="4417" width="15.75" style="326" customWidth="1"/>
    <col min="4418" max="4418" width="9" style="326"/>
    <col min="4419" max="4419" width="10.75" style="326" bestFit="1" customWidth="1"/>
    <col min="4420" max="4420" width="12.625" style="326" customWidth="1"/>
    <col min="4421" max="4423" width="9" style="326"/>
    <col min="4424" max="4424" width="13.625" style="326" customWidth="1"/>
    <col min="4425" max="4425" width="9" style="326"/>
    <col min="4426" max="4426" width="10.75" style="326" bestFit="1" customWidth="1"/>
    <col min="4427" max="4427" width="12.5" style="326" customWidth="1"/>
    <col min="4428" max="4430" width="9" style="326"/>
    <col min="4431" max="4431" width="12.875" style="326" customWidth="1"/>
    <col min="4432" max="4432" width="9" style="326"/>
    <col min="4433" max="4433" width="10.75" style="326" bestFit="1" customWidth="1"/>
    <col min="4434" max="4434" width="13.875" style="326" customWidth="1"/>
    <col min="4435" max="4437" width="9" style="326"/>
    <col min="4438" max="4438" width="14.125" style="326" customWidth="1"/>
    <col min="4439" max="4439" width="9" style="326"/>
    <col min="4440" max="4440" width="10.75" style="326" bestFit="1" customWidth="1"/>
    <col min="4441" max="4441" width="13.25" style="326" customWidth="1"/>
    <col min="4442" max="4444" width="9" style="326"/>
    <col min="4445" max="4445" width="13.25" style="326" customWidth="1"/>
    <col min="4446" max="4446" width="9" style="326"/>
    <col min="4447" max="4447" width="10.75" style="326" bestFit="1" customWidth="1"/>
    <col min="4448" max="4448" width="13.875" style="326" customWidth="1"/>
    <col min="4449" max="4451" width="9" style="326"/>
    <col min="4452" max="4452" width="13.625" style="326" customWidth="1"/>
    <col min="4453" max="4453" width="9" style="326"/>
    <col min="4454" max="4454" width="10.75" style="326" bestFit="1" customWidth="1"/>
    <col min="4455" max="4455" width="13" style="326" customWidth="1"/>
    <col min="4456" max="4602" width="9" style="326"/>
    <col min="4603" max="4604" width="12.125" style="326" customWidth="1"/>
    <col min="4605" max="4607" width="13" style="326" customWidth="1"/>
    <col min="4608" max="4608" width="12.875" style="326" customWidth="1"/>
    <col min="4609" max="4609" width="13" style="326" customWidth="1"/>
    <col min="4610" max="4610" width="13.125" style="326" customWidth="1"/>
    <col min="4611" max="4612" width="12.125" style="326" customWidth="1"/>
    <col min="4613" max="4613" width="14.375" style="326" bestFit="1" customWidth="1"/>
    <col min="4614" max="4614" width="11" style="326" customWidth="1"/>
    <col min="4615" max="4615" width="10" style="326" customWidth="1"/>
    <col min="4616" max="4616" width="10.875" style="326" customWidth="1"/>
    <col min="4617" max="4617" width="13.75" style="326" customWidth="1"/>
    <col min="4618" max="4618" width="10" style="326" customWidth="1"/>
    <col min="4619" max="4619" width="13.25" style="326" customWidth="1"/>
    <col min="4620" max="4620" width="14.375" style="326" customWidth="1"/>
    <col min="4621" max="4621" width="10" style="326" customWidth="1"/>
    <col min="4622" max="4622" width="10.875" style="326" customWidth="1"/>
    <col min="4623" max="4623" width="11.375" style="326" customWidth="1"/>
    <col min="4624" max="4624" width="15.375" style="326" customWidth="1"/>
    <col min="4625" max="4626" width="10.75" style="326" customWidth="1"/>
    <col min="4627" max="4627" width="14.375" style="326" customWidth="1"/>
    <col min="4628" max="4628" width="10.75" style="326" customWidth="1"/>
    <col min="4629" max="4629" width="11.75" style="326" customWidth="1"/>
    <col min="4630" max="4630" width="10" style="326" customWidth="1"/>
    <col min="4631" max="4631" width="15.375" style="326" customWidth="1"/>
    <col min="4632" max="4632" width="10" style="326" customWidth="1"/>
    <col min="4633" max="4633" width="10.75" style="326" customWidth="1"/>
    <col min="4634" max="4634" width="14.875" style="326" customWidth="1"/>
    <col min="4635" max="4635" width="11.5" style="326" customWidth="1"/>
    <col min="4636" max="4636" width="10" style="326" customWidth="1"/>
    <col min="4637" max="4637" width="10.75" style="326" customWidth="1"/>
    <col min="4638" max="4638" width="13.5" style="326" customWidth="1"/>
    <col min="4639" max="4639" width="9" style="326"/>
    <col min="4640" max="4640" width="10.75" style="326" bestFit="1" customWidth="1"/>
    <col min="4641" max="4641" width="13.75" style="326" customWidth="1"/>
    <col min="4642" max="4642" width="9" style="326"/>
    <col min="4643" max="4643" width="10.625" style="326" customWidth="1"/>
    <col min="4644" max="4644" width="9" style="326"/>
    <col min="4645" max="4645" width="14.25" style="326" customWidth="1"/>
    <col min="4646" max="4646" width="10.75" style="326" bestFit="1" customWidth="1"/>
    <col min="4647" max="4647" width="11.625" style="326" customWidth="1"/>
    <col min="4648" max="4648" width="13.75" style="326" customWidth="1"/>
    <col min="4649" max="4649" width="10.625" style="326" customWidth="1"/>
    <col min="4650" max="4651" width="9" style="326"/>
    <col min="4652" max="4652" width="14.125" style="326" customWidth="1"/>
    <col min="4653" max="4653" width="11" style="326" customWidth="1"/>
    <col min="4654" max="4654" width="10.75" style="326" bestFit="1" customWidth="1"/>
    <col min="4655" max="4655" width="13.5" style="326" customWidth="1"/>
    <col min="4656" max="4657" width="9" style="326"/>
    <col min="4658" max="4658" width="10.75" style="326" bestFit="1" customWidth="1"/>
    <col min="4659" max="4659" width="14" style="326" customWidth="1"/>
    <col min="4660" max="4660" width="9" style="326"/>
    <col min="4661" max="4661" width="10.75" style="326" customWidth="1"/>
    <col min="4662" max="4662" width="12.75" style="326" customWidth="1"/>
    <col min="4663" max="4663" width="9" style="326"/>
    <col min="4664" max="4664" width="10.75" style="326" bestFit="1" customWidth="1"/>
    <col min="4665" max="4665" width="11.5" style="326" customWidth="1"/>
    <col min="4666" max="4666" width="13.625" style="326" customWidth="1"/>
    <col min="4667" max="4667" width="10.625" style="326" customWidth="1"/>
    <col min="4668" max="4668" width="10.75" style="326" bestFit="1" customWidth="1"/>
    <col min="4669" max="4669" width="12.375" style="326" customWidth="1"/>
    <col min="4670" max="4672" width="9" style="326"/>
    <col min="4673" max="4673" width="15.75" style="326" customWidth="1"/>
    <col min="4674" max="4674" width="9" style="326"/>
    <col min="4675" max="4675" width="10.75" style="326" bestFit="1" customWidth="1"/>
    <col min="4676" max="4676" width="12.625" style="326" customWidth="1"/>
    <col min="4677" max="4679" width="9" style="326"/>
    <col min="4680" max="4680" width="13.625" style="326" customWidth="1"/>
    <col min="4681" max="4681" width="9" style="326"/>
    <col min="4682" max="4682" width="10.75" style="326" bestFit="1" customWidth="1"/>
    <col min="4683" max="4683" width="12.5" style="326" customWidth="1"/>
    <col min="4684" max="4686" width="9" style="326"/>
    <col min="4687" max="4687" width="12.875" style="326" customWidth="1"/>
    <col min="4688" max="4688" width="9" style="326"/>
    <col min="4689" max="4689" width="10.75" style="326" bestFit="1" customWidth="1"/>
    <col min="4690" max="4690" width="13.875" style="326" customWidth="1"/>
    <col min="4691" max="4693" width="9" style="326"/>
    <col min="4694" max="4694" width="14.125" style="326" customWidth="1"/>
    <col min="4695" max="4695" width="9" style="326"/>
    <col min="4696" max="4696" width="10.75" style="326" bestFit="1" customWidth="1"/>
    <col min="4697" max="4697" width="13.25" style="326" customWidth="1"/>
    <col min="4698" max="4700" width="9" style="326"/>
    <col min="4701" max="4701" width="13.25" style="326" customWidth="1"/>
    <col min="4702" max="4702" width="9" style="326"/>
    <col min="4703" max="4703" width="10.75" style="326" bestFit="1" customWidth="1"/>
    <col min="4704" max="4704" width="13.875" style="326" customWidth="1"/>
    <col min="4705" max="4707" width="9" style="326"/>
    <col min="4708" max="4708" width="13.625" style="326" customWidth="1"/>
    <col min="4709" max="4709" width="9" style="326"/>
    <col min="4710" max="4710" width="10.75" style="326" bestFit="1" customWidth="1"/>
    <col min="4711" max="4711" width="13" style="326" customWidth="1"/>
    <col min="4712" max="4858" width="9" style="326"/>
    <col min="4859" max="4860" width="12.125" style="326" customWidth="1"/>
    <col min="4861" max="4863" width="13" style="326" customWidth="1"/>
    <col min="4864" max="4864" width="12.875" style="326" customWidth="1"/>
    <col min="4865" max="4865" width="13" style="326" customWidth="1"/>
    <col min="4866" max="4866" width="13.125" style="326" customWidth="1"/>
    <col min="4867" max="4868" width="12.125" style="326" customWidth="1"/>
    <col min="4869" max="4869" width="14.375" style="326" bestFit="1" customWidth="1"/>
    <col min="4870" max="4870" width="11" style="326" customWidth="1"/>
    <col min="4871" max="4871" width="10" style="326" customWidth="1"/>
    <col min="4872" max="4872" width="10.875" style="326" customWidth="1"/>
    <col min="4873" max="4873" width="13.75" style="326" customWidth="1"/>
    <col min="4874" max="4874" width="10" style="326" customWidth="1"/>
    <col min="4875" max="4875" width="13.25" style="326" customWidth="1"/>
    <col min="4876" max="4876" width="14.375" style="326" customWidth="1"/>
    <col min="4877" max="4877" width="10" style="326" customWidth="1"/>
    <col min="4878" max="4878" width="10.875" style="326" customWidth="1"/>
    <col min="4879" max="4879" width="11.375" style="326" customWidth="1"/>
    <col min="4880" max="4880" width="15.375" style="326" customWidth="1"/>
    <col min="4881" max="4882" width="10.75" style="326" customWidth="1"/>
    <col min="4883" max="4883" width="14.375" style="326" customWidth="1"/>
    <col min="4884" max="4884" width="10.75" style="326" customWidth="1"/>
    <col min="4885" max="4885" width="11.75" style="326" customWidth="1"/>
    <col min="4886" max="4886" width="10" style="326" customWidth="1"/>
    <col min="4887" max="4887" width="15.375" style="326" customWidth="1"/>
    <col min="4888" max="4888" width="10" style="326" customWidth="1"/>
    <col min="4889" max="4889" width="10.75" style="326" customWidth="1"/>
    <col min="4890" max="4890" width="14.875" style="326" customWidth="1"/>
    <col min="4891" max="4891" width="11.5" style="326" customWidth="1"/>
    <col min="4892" max="4892" width="10" style="326" customWidth="1"/>
    <col min="4893" max="4893" width="10.75" style="326" customWidth="1"/>
    <col min="4894" max="4894" width="13.5" style="326" customWidth="1"/>
    <col min="4895" max="4895" width="9" style="326"/>
    <col min="4896" max="4896" width="10.75" style="326" bestFit="1" customWidth="1"/>
    <col min="4897" max="4897" width="13.75" style="326" customWidth="1"/>
    <col min="4898" max="4898" width="9" style="326"/>
    <col min="4899" max="4899" width="10.625" style="326" customWidth="1"/>
    <col min="4900" max="4900" width="9" style="326"/>
    <col min="4901" max="4901" width="14.25" style="326" customWidth="1"/>
    <col min="4902" max="4902" width="10.75" style="326" bestFit="1" customWidth="1"/>
    <col min="4903" max="4903" width="11.625" style="326" customWidth="1"/>
    <col min="4904" max="4904" width="13.75" style="326" customWidth="1"/>
    <col min="4905" max="4905" width="10.625" style="326" customWidth="1"/>
    <col min="4906" max="4907" width="9" style="326"/>
    <col min="4908" max="4908" width="14.125" style="326" customWidth="1"/>
    <col min="4909" max="4909" width="11" style="326" customWidth="1"/>
    <col min="4910" max="4910" width="10.75" style="326" bestFit="1" customWidth="1"/>
    <col min="4911" max="4911" width="13.5" style="326" customWidth="1"/>
    <col min="4912" max="4913" width="9" style="326"/>
    <col min="4914" max="4914" width="10.75" style="326" bestFit="1" customWidth="1"/>
    <col min="4915" max="4915" width="14" style="326" customWidth="1"/>
    <col min="4916" max="4916" width="9" style="326"/>
    <col min="4917" max="4917" width="10.75" style="326" customWidth="1"/>
    <col min="4918" max="4918" width="12.75" style="326" customWidth="1"/>
    <col min="4919" max="4919" width="9" style="326"/>
    <col min="4920" max="4920" width="10.75" style="326" bestFit="1" customWidth="1"/>
    <col min="4921" max="4921" width="11.5" style="326" customWidth="1"/>
    <col min="4922" max="4922" width="13.625" style="326" customWidth="1"/>
    <col min="4923" max="4923" width="10.625" style="326" customWidth="1"/>
    <col min="4924" max="4924" width="10.75" style="326" bestFit="1" customWidth="1"/>
    <col min="4925" max="4925" width="12.375" style="326" customWidth="1"/>
    <col min="4926" max="4928" width="9" style="326"/>
    <col min="4929" max="4929" width="15.75" style="326" customWidth="1"/>
    <col min="4930" max="4930" width="9" style="326"/>
    <col min="4931" max="4931" width="10.75" style="326" bestFit="1" customWidth="1"/>
    <col min="4932" max="4932" width="12.625" style="326" customWidth="1"/>
    <col min="4933" max="4935" width="9" style="326"/>
    <col min="4936" max="4936" width="13.625" style="326" customWidth="1"/>
    <col min="4937" max="4937" width="9" style="326"/>
    <col min="4938" max="4938" width="10.75" style="326" bestFit="1" customWidth="1"/>
    <col min="4939" max="4939" width="12.5" style="326" customWidth="1"/>
    <col min="4940" max="4942" width="9" style="326"/>
    <col min="4943" max="4943" width="12.875" style="326" customWidth="1"/>
    <col min="4944" max="4944" width="9" style="326"/>
    <col min="4945" max="4945" width="10.75" style="326" bestFit="1" customWidth="1"/>
    <col min="4946" max="4946" width="13.875" style="326" customWidth="1"/>
    <col min="4947" max="4949" width="9" style="326"/>
    <col min="4950" max="4950" width="14.125" style="326" customWidth="1"/>
    <col min="4951" max="4951" width="9" style="326"/>
    <col min="4952" max="4952" width="10.75" style="326" bestFit="1" customWidth="1"/>
    <col min="4953" max="4953" width="13.25" style="326" customWidth="1"/>
    <col min="4954" max="4956" width="9" style="326"/>
    <col min="4957" max="4957" width="13.25" style="326" customWidth="1"/>
    <col min="4958" max="4958" width="9" style="326"/>
    <col min="4959" max="4959" width="10.75" style="326" bestFit="1" customWidth="1"/>
    <col min="4960" max="4960" width="13.875" style="326" customWidth="1"/>
    <col min="4961" max="4963" width="9" style="326"/>
    <col min="4964" max="4964" width="13.625" style="326" customWidth="1"/>
    <col min="4965" max="4965" width="9" style="326"/>
    <col min="4966" max="4966" width="10.75" style="326" bestFit="1" customWidth="1"/>
    <col min="4967" max="4967" width="13" style="326" customWidth="1"/>
    <col min="4968" max="5114" width="9" style="326"/>
    <col min="5115" max="5116" width="12.125" style="326" customWidth="1"/>
    <col min="5117" max="5119" width="13" style="326" customWidth="1"/>
    <col min="5120" max="5120" width="12.875" style="326" customWidth="1"/>
    <col min="5121" max="5121" width="13" style="326" customWidth="1"/>
    <col min="5122" max="5122" width="13.125" style="326" customWidth="1"/>
    <col min="5123" max="5124" width="12.125" style="326" customWidth="1"/>
    <col min="5125" max="5125" width="14.375" style="326" bestFit="1" customWidth="1"/>
    <col min="5126" max="5126" width="11" style="326" customWidth="1"/>
    <col min="5127" max="5127" width="10" style="326" customWidth="1"/>
    <col min="5128" max="5128" width="10.875" style="326" customWidth="1"/>
    <col min="5129" max="5129" width="13.75" style="326" customWidth="1"/>
    <col min="5130" max="5130" width="10" style="326" customWidth="1"/>
    <col min="5131" max="5131" width="13.25" style="326" customWidth="1"/>
    <col min="5132" max="5132" width="14.375" style="326" customWidth="1"/>
    <col min="5133" max="5133" width="10" style="326" customWidth="1"/>
    <col min="5134" max="5134" width="10.875" style="326" customWidth="1"/>
    <col min="5135" max="5135" width="11.375" style="326" customWidth="1"/>
    <col min="5136" max="5136" width="15.375" style="326" customWidth="1"/>
    <col min="5137" max="5138" width="10.75" style="326" customWidth="1"/>
    <col min="5139" max="5139" width="14.375" style="326" customWidth="1"/>
    <col min="5140" max="5140" width="10.75" style="326" customWidth="1"/>
    <col min="5141" max="5141" width="11.75" style="326" customWidth="1"/>
    <col min="5142" max="5142" width="10" style="326" customWidth="1"/>
    <col min="5143" max="5143" width="15.375" style="326" customWidth="1"/>
    <col min="5144" max="5144" width="10" style="326" customWidth="1"/>
    <col min="5145" max="5145" width="10.75" style="326" customWidth="1"/>
    <col min="5146" max="5146" width="14.875" style="326" customWidth="1"/>
    <col min="5147" max="5147" width="11.5" style="326" customWidth="1"/>
    <col min="5148" max="5148" width="10" style="326" customWidth="1"/>
    <col min="5149" max="5149" width="10.75" style="326" customWidth="1"/>
    <col min="5150" max="5150" width="13.5" style="326" customWidth="1"/>
    <col min="5151" max="5151" width="9" style="326"/>
    <col min="5152" max="5152" width="10.75" style="326" bestFit="1" customWidth="1"/>
    <col min="5153" max="5153" width="13.75" style="326" customWidth="1"/>
    <col min="5154" max="5154" width="9" style="326"/>
    <col min="5155" max="5155" width="10.625" style="326" customWidth="1"/>
    <col min="5156" max="5156" width="9" style="326"/>
    <col min="5157" max="5157" width="14.25" style="326" customWidth="1"/>
    <col min="5158" max="5158" width="10.75" style="326" bestFit="1" customWidth="1"/>
    <col min="5159" max="5159" width="11.625" style="326" customWidth="1"/>
    <col min="5160" max="5160" width="13.75" style="326" customWidth="1"/>
    <col min="5161" max="5161" width="10.625" style="326" customWidth="1"/>
    <col min="5162" max="5163" width="9" style="326"/>
    <col min="5164" max="5164" width="14.125" style="326" customWidth="1"/>
    <col min="5165" max="5165" width="11" style="326" customWidth="1"/>
    <col min="5166" max="5166" width="10.75" style="326" bestFit="1" customWidth="1"/>
    <col min="5167" max="5167" width="13.5" style="326" customWidth="1"/>
    <col min="5168" max="5169" width="9" style="326"/>
    <col min="5170" max="5170" width="10.75" style="326" bestFit="1" customWidth="1"/>
    <col min="5171" max="5171" width="14" style="326" customWidth="1"/>
    <col min="5172" max="5172" width="9" style="326"/>
    <col min="5173" max="5173" width="10.75" style="326" customWidth="1"/>
    <col min="5174" max="5174" width="12.75" style="326" customWidth="1"/>
    <col min="5175" max="5175" width="9" style="326"/>
    <col min="5176" max="5176" width="10.75" style="326" bestFit="1" customWidth="1"/>
    <col min="5177" max="5177" width="11.5" style="326" customWidth="1"/>
    <col min="5178" max="5178" width="13.625" style="326" customWidth="1"/>
    <col min="5179" max="5179" width="10.625" style="326" customWidth="1"/>
    <col min="5180" max="5180" width="10.75" style="326" bestFit="1" customWidth="1"/>
    <col min="5181" max="5181" width="12.375" style="326" customWidth="1"/>
    <col min="5182" max="5184" width="9" style="326"/>
    <col min="5185" max="5185" width="15.75" style="326" customWidth="1"/>
    <col min="5186" max="5186" width="9" style="326"/>
    <col min="5187" max="5187" width="10.75" style="326" bestFit="1" customWidth="1"/>
    <col min="5188" max="5188" width="12.625" style="326" customWidth="1"/>
    <col min="5189" max="5191" width="9" style="326"/>
    <col min="5192" max="5192" width="13.625" style="326" customWidth="1"/>
    <col min="5193" max="5193" width="9" style="326"/>
    <col min="5194" max="5194" width="10.75" style="326" bestFit="1" customWidth="1"/>
    <col min="5195" max="5195" width="12.5" style="326" customWidth="1"/>
    <col min="5196" max="5198" width="9" style="326"/>
    <col min="5199" max="5199" width="12.875" style="326" customWidth="1"/>
    <col min="5200" max="5200" width="9" style="326"/>
    <col min="5201" max="5201" width="10.75" style="326" bestFit="1" customWidth="1"/>
    <col min="5202" max="5202" width="13.875" style="326" customWidth="1"/>
    <col min="5203" max="5205" width="9" style="326"/>
    <col min="5206" max="5206" width="14.125" style="326" customWidth="1"/>
    <col min="5207" max="5207" width="9" style="326"/>
    <col min="5208" max="5208" width="10.75" style="326" bestFit="1" customWidth="1"/>
    <col min="5209" max="5209" width="13.25" style="326" customWidth="1"/>
    <col min="5210" max="5212" width="9" style="326"/>
    <col min="5213" max="5213" width="13.25" style="326" customWidth="1"/>
    <col min="5214" max="5214" width="9" style="326"/>
    <col min="5215" max="5215" width="10.75" style="326" bestFit="1" customWidth="1"/>
    <col min="5216" max="5216" width="13.875" style="326" customWidth="1"/>
    <col min="5217" max="5219" width="9" style="326"/>
    <col min="5220" max="5220" width="13.625" style="326" customWidth="1"/>
    <col min="5221" max="5221" width="9" style="326"/>
    <col min="5222" max="5222" width="10.75" style="326" bestFit="1" customWidth="1"/>
    <col min="5223" max="5223" width="13" style="326" customWidth="1"/>
    <col min="5224" max="5370" width="9" style="326"/>
    <col min="5371" max="5372" width="12.125" style="326" customWidth="1"/>
    <col min="5373" max="5375" width="13" style="326" customWidth="1"/>
    <col min="5376" max="5376" width="12.875" style="326" customWidth="1"/>
    <col min="5377" max="5377" width="13" style="326" customWidth="1"/>
    <col min="5378" max="5378" width="13.125" style="326" customWidth="1"/>
    <col min="5379" max="5380" width="12.125" style="326" customWidth="1"/>
    <col min="5381" max="5381" width="14.375" style="326" bestFit="1" customWidth="1"/>
    <col min="5382" max="5382" width="11" style="326" customWidth="1"/>
    <col min="5383" max="5383" width="10" style="326" customWidth="1"/>
    <col min="5384" max="5384" width="10.875" style="326" customWidth="1"/>
    <col min="5385" max="5385" width="13.75" style="326" customWidth="1"/>
    <col min="5386" max="5386" width="10" style="326" customWidth="1"/>
    <col min="5387" max="5387" width="13.25" style="326" customWidth="1"/>
    <col min="5388" max="5388" width="14.375" style="326" customWidth="1"/>
    <col min="5389" max="5389" width="10" style="326" customWidth="1"/>
    <col min="5390" max="5390" width="10.875" style="326" customWidth="1"/>
    <col min="5391" max="5391" width="11.375" style="326" customWidth="1"/>
    <col min="5392" max="5392" width="15.375" style="326" customWidth="1"/>
    <col min="5393" max="5394" width="10.75" style="326" customWidth="1"/>
    <col min="5395" max="5395" width="14.375" style="326" customWidth="1"/>
    <col min="5396" max="5396" width="10.75" style="326" customWidth="1"/>
    <col min="5397" max="5397" width="11.75" style="326" customWidth="1"/>
    <col min="5398" max="5398" width="10" style="326" customWidth="1"/>
    <col min="5399" max="5399" width="15.375" style="326" customWidth="1"/>
    <col min="5400" max="5400" width="10" style="326" customWidth="1"/>
    <col min="5401" max="5401" width="10.75" style="326" customWidth="1"/>
    <col min="5402" max="5402" width="14.875" style="326" customWidth="1"/>
    <col min="5403" max="5403" width="11.5" style="326" customWidth="1"/>
    <col min="5404" max="5404" width="10" style="326" customWidth="1"/>
    <col min="5405" max="5405" width="10.75" style="326" customWidth="1"/>
    <col min="5406" max="5406" width="13.5" style="326" customWidth="1"/>
    <col min="5407" max="5407" width="9" style="326"/>
    <col min="5408" max="5408" width="10.75" style="326" bestFit="1" customWidth="1"/>
    <col min="5409" max="5409" width="13.75" style="326" customWidth="1"/>
    <col min="5410" max="5410" width="9" style="326"/>
    <col min="5411" max="5411" width="10.625" style="326" customWidth="1"/>
    <col min="5412" max="5412" width="9" style="326"/>
    <col min="5413" max="5413" width="14.25" style="326" customWidth="1"/>
    <col min="5414" max="5414" width="10.75" style="326" bestFit="1" customWidth="1"/>
    <col min="5415" max="5415" width="11.625" style="326" customWidth="1"/>
    <col min="5416" max="5416" width="13.75" style="326" customWidth="1"/>
    <col min="5417" max="5417" width="10.625" style="326" customWidth="1"/>
    <col min="5418" max="5419" width="9" style="326"/>
    <col min="5420" max="5420" width="14.125" style="326" customWidth="1"/>
    <col min="5421" max="5421" width="11" style="326" customWidth="1"/>
    <col min="5422" max="5422" width="10.75" style="326" bestFit="1" customWidth="1"/>
    <col min="5423" max="5423" width="13.5" style="326" customWidth="1"/>
    <col min="5424" max="5425" width="9" style="326"/>
    <col min="5426" max="5426" width="10.75" style="326" bestFit="1" customWidth="1"/>
    <col min="5427" max="5427" width="14" style="326" customWidth="1"/>
    <col min="5428" max="5428" width="9" style="326"/>
    <col min="5429" max="5429" width="10.75" style="326" customWidth="1"/>
    <col min="5430" max="5430" width="12.75" style="326" customWidth="1"/>
    <col min="5431" max="5431" width="9" style="326"/>
    <col min="5432" max="5432" width="10.75" style="326" bestFit="1" customWidth="1"/>
    <col min="5433" max="5433" width="11.5" style="326" customWidth="1"/>
    <col min="5434" max="5434" width="13.625" style="326" customWidth="1"/>
    <col min="5435" max="5435" width="10.625" style="326" customWidth="1"/>
    <col min="5436" max="5436" width="10.75" style="326" bestFit="1" customWidth="1"/>
    <col min="5437" max="5437" width="12.375" style="326" customWidth="1"/>
    <col min="5438" max="5440" width="9" style="326"/>
    <col min="5441" max="5441" width="15.75" style="326" customWidth="1"/>
    <col min="5442" max="5442" width="9" style="326"/>
    <col min="5443" max="5443" width="10.75" style="326" bestFit="1" customWidth="1"/>
    <col min="5444" max="5444" width="12.625" style="326" customWidth="1"/>
    <col min="5445" max="5447" width="9" style="326"/>
    <col min="5448" max="5448" width="13.625" style="326" customWidth="1"/>
    <col min="5449" max="5449" width="9" style="326"/>
    <col min="5450" max="5450" width="10.75" style="326" bestFit="1" customWidth="1"/>
    <col min="5451" max="5451" width="12.5" style="326" customWidth="1"/>
    <col min="5452" max="5454" width="9" style="326"/>
    <col min="5455" max="5455" width="12.875" style="326" customWidth="1"/>
    <col min="5456" max="5456" width="9" style="326"/>
    <col min="5457" max="5457" width="10.75" style="326" bestFit="1" customWidth="1"/>
    <col min="5458" max="5458" width="13.875" style="326" customWidth="1"/>
    <col min="5459" max="5461" width="9" style="326"/>
    <col min="5462" max="5462" width="14.125" style="326" customWidth="1"/>
    <col min="5463" max="5463" width="9" style="326"/>
    <col min="5464" max="5464" width="10.75" style="326" bestFit="1" customWidth="1"/>
    <col min="5465" max="5465" width="13.25" style="326" customWidth="1"/>
    <col min="5466" max="5468" width="9" style="326"/>
    <col min="5469" max="5469" width="13.25" style="326" customWidth="1"/>
    <col min="5470" max="5470" width="9" style="326"/>
    <col min="5471" max="5471" width="10.75" style="326" bestFit="1" customWidth="1"/>
    <col min="5472" max="5472" width="13.875" style="326" customWidth="1"/>
    <col min="5473" max="5475" width="9" style="326"/>
    <col min="5476" max="5476" width="13.625" style="326" customWidth="1"/>
    <col min="5477" max="5477" width="9" style="326"/>
    <col min="5478" max="5478" width="10.75" style="326" bestFit="1" customWidth="1"/>
    <col min="5479" max="5479" width="13" style="326" customWidth="1"/>
    <col min="5480" max="5626" width="9" style="326"/>
    <col min="5627" max="5628" width="12.125" style="326" customWidth="1"/>
    <col min="5629" max="5631" width="13" style="326" customWidth="1"/>
    <col min="5632" max="5632" width="12.875" style="326" customWidth="1"/>
    <col min="5633" max="5633" width="13" style="326" customWidth="1"/>
    <col min="5634" max="5634" width="13.125" style="326" customWidth="1"/>
    <col min="5635" max="5636" width="12.125" style="326" customWidth="1"/>
    <col min="5637" max="5637" width="14.375" style="326" bestFit="1" customWidth="1"/>
    <col min="5638" max="5638" width="11" style="326" customWidth="1"/>
    <col min="5639" max="5639" width="10" style="326" customWidth="1"/>
    <col min="5640" max="5640" width="10.875" style="326" customWidth="1"/>
    <col min="5641" max="5641" width="13.75" style="326" customWidth="1"/>
    <col min="5642" max="5642" width="10" style="326" customWidth="1"/>
    <col min="5643" max="5643" width="13.25" style="326" customWidth="1"/>
    <col min="5644" max="5644" width="14.375" style="326" customWidth="1"/>
    <col min="5645" max="5645" width="10" style="326" customWidth="1"/>
    <col min="5646" max="5646" width="10.875" style="326" customWidth="1"/>
    <col min="5647" max="5647" width="11.375" style="326" customWidth="1"/>
    <col min="5648" max="5648" width="15.375" style="326" customWidth="1"/>
    <col min="5649" max="5650" width="10.75" style="326" customWidth="1"/>
    <col min="5651" max="5651" width="14.375" style="326" customWidth="1"/>
    <col min="5652" max="5652" width="10.75" style="326" customWidth="1"/>
    <col min="5653" max="5653" width="11.75" style="326" customWidth="1"/>
    <col min="5654" max="5654" width="10" style="326" customWidth="1"/>
    <col min="5655" max="5655" width="15.375" style="326" customWidth="1"/>
    <col min="5656" max="5656" width="10" style="326" customWidth="1"/>
    <col min="5657" max="5657" width="10.75" style="326" customWidth="1"/>
    <col min="5658" max="5658" width="14.875" style="326" customWidth="1"/>
    <col min="5659" max="5659" width="11.5" style="326" customWidth="1"/>
    <col min="5660" max="5660" width="10" style="326" customWidth="1"/>
    <col min="5661" max="5661" width="10.75" style="326" customWidth="1"/>
    <col min="5662" max="5662" width="13.5" style="326" customWidth="1"/>
    <col min="5663" max="5663" width="9" style="326"/>
    <col min="5664" max="5664" width="10.75" style="326" bestFit="1" customWidth="1"/>
    <col min="5665" max="5665" width="13.75" style="326" customWidth="1"/>
    <col min="5666" max="5666" width="9" style="326"/>
    <col min="5667" max="5667" width="10.625" style="326" customWidth="1"/>
    <col min="5668" max="5668" width="9" style="326"/>
    <col min="5669" max="5669" width="14.25" style="326" customWidth="1"/>
    <col min="5670" max="5670" width="10.75" style="326" bestFit="1" customWidth="1"/>
    <col min="5671" max="5671" width="11.625" style="326" customWidth="1"/>
    <col min="5672" max="5672" width="13.75" style="326" customWidth="1"/>
    <col min="5673" max="5673" width="10.625" style="326" customWidth="1"/>
    <col min="5674" max="5675" width="9" style="326"/>
    <col min="5676" max="5676" width="14.125" style="326" customWidth="1"/>
    <col min="5677" max="5677" width="11" style="326" customWidth="1"/>
    <col min="5678" max="5678" width="10.75" style="326" bestFit="1" customWidth="1"/>
    <col min="5679" max="5679" width="13.5" style="326" customWidth="1"/>
    <col min="5680" max="5681" width="9" style="326"/>
    <col min="5682" max="5682" width="10.75" style="326" bestFit="1" customWidth="1"/>
    <col min="5683" max="5683" width="14" style="326" customWidth="1"/>
    <col min="5684" max="5684" width="9" style="326"/>
    <col min="5685" max="5685" width="10.75" style="326" customWidth="1"/>
    <col min="5686" max="5686" width="12.75" style="326" customWidth="1"/>
    <col min="5687" max="5687" width="9" style="326"/>
    <col min="5688" max="5688" width="10.75" style="326" bestFit="1" customWidth="1"/>
    <col min="5689" max="5689" width="11.5" style="326" customWidth="1"/>
    <col min="5690" max="5690" width="13.625" style="326" customWidth="1"/>
    <col min="5691" max="5691" width="10.625" style="326" customWidth="1"/>
    <col min="5692" max="5692" width="10.75" style="326" bestFit="1" customWidth="1"/>
    <col min="5693" max="5693" width="12.375" style="326" customWidth="1"/>
    <col min="5694" max="5696" width="9" style="326"/>
    <col min="5697" max="5697" width="15.75" style="326" customWidth="1"/>
    <col min="5698" max="5698" width="9" style="326"/>
    <col min="5699" max="5699" width="10.75" style="326" bestFit="1" customWidth="1"/>
    <col min="5700" max="5700" width="12.625" style="326" customWidth="1"/>
    <col min="5701" max="5703" width="9" style="326"/>
    <col min="5704" max="5704" width="13.625" style="326" customWidth="1"/>
    <col min="5705" max="5705" width="9" style="326"/>
    <col min="5706" max="5706" width="10.75" style="326" bestFit="1" customWidth="1"/>
    <col min="5707" max="5707" width="12.5" style="326" customWidth="1"/>
    <col min="5708" max="5710" width="9" style="326"/>
    <col min="5711" max="5711" width="12.875" style="326" customWidth="1"/>
    <col min="5712" max="5712" width="9" style="326"/>
    <col min="5713" max="5713" width="10.75" style="326" bestFit="1" customWidth="1"/>
    <col min="5714" max="5714" width="13.875" style="326" customWidth="1"/>
    <col min="5715" max="5717" width="9" style="326"/>
    <col min="5718" max="5718" width="14.125" style="326" customWidth="1"/>
    <col min="5719" max="5719" width="9" style="326"/>
    <col min="5720" max="5720" width="10.75" style="326" bestFit="1" customWidth="1"/>
    <col min="5721" max="5721" width="13.25" style="326" customWidth="1"/>
    <col min="5722" max="5724" width="9" style="326"/>
    <col min="5725" max="5725" width="13.25" style="326" customWidth="1"/>
    <col min="5726" max="5726" width="9" style="326"/>
    <col min="5727" max="5727" width="10.75" style="326" bestFit="1" customWidth="1"/>
    <col min="5728" max="5728" width="13.875" style="326" customWidth="1"/>
    <col min="5729" max="5731" width="9" style="326"/>
    <col min="5732" max="5732" width="13.625" style="326" customWidth="1"/>
    <col min="5733" max="5733" width="9" style="326"/>
    <col min="5734" max="5734" width="10.75" style="326" bestFit="1" customWidth="1"/>
    <col min="5735" max="5735" width="13" style="326" customWidth="1"/>
    <col min="5736" max="5882" width="9" style="326"/>
    <col min="5883" max="5884" width="12.125" style="326" customWidth="1"/>
    <col min="5885" max="5887" width="13" style="326" customWidth="1"/>
    <col min="5888" max="5888" width="12.875" style="326" customWidth="1"/>
    <col min="5889" max="5889" width="13" style="326" customWidth="1"/>
    <col min="5890" max="5890" width="13.125" style="326" customWidth="1"/>
    <col min="5891" max="5892" width="12.125" style="326" customWidth="1"/>
    <col min="5893" max="5893" width="14.375" style="326" bestFit="1" customWidth="1"/>
    <col min="5894" max="5894" width="11" style="326" customWidth="1"/>
    <col min="5895" max="5895" width="10" style="326" customWidth="1"/>
    <col min="5896" max="5896" width="10.875" style="326" customWidth="1"/>
    <col min="5897" max="5897" width="13.75" style="326" customWidth="1"/>
    <col min="5898" max="5898" width="10" style="326" customWidth="1"/>
    <col min="5899" max="5899" width="13.25" style="326" customWidth="1"/>
    <col min="5900" max="5900" width="14.375" style="326" customWidth="1"/>
    <col min="5901" max="5901" width="10" style="326" customWidth="1"/>
    <col min="5902" max="5902" width="10.875" style="326" customWidth="1"/>
    <col min="5903" max="5903" width="11.375" style="326" customWidth="1"/>
    <col min="5904" max="5904" width="15.375" style="326" customWidth="1"/>
    <col min="5905" max="5906" width="10.75" style="326" customWidth="1"/>
    <col min="5907" max="5907" width="14.375" style="326" customWidth="1"/>
    <col min="5908" max="5908" width="10.75" style="326" customWidth="1"/>
    <col min="5909" max="5909" width="11.75" style="326" customWidth="1"/>
    <col min="5910" max="5910" width="10" style="326" customWidth="1"/>
    <col min="5911" max="5911" width="15.375" style="326" customWidth="1"/>
    <col min="5912" max="5912" width="10" style="326" customWidth="1"/>
    <col min="5913" max="5913" width="10.75" style="326" customWidth="1"/>
    <col min="5914" max="5914" width="14.875" style="326" customWidth="1"/>
    <col min="5915" max="5915" width="11.5" style="326" customWidth="1"/>
    <col min="5916" max="5916" width="10" style="326" customWidth="1"/>
    <col min="5917" max="5917" width="10.75" style="326" customWidth="1"/>
    <col min="5918" max="5918" width="13.5" style="326" customWidth="1"/>
    <col min="5919" max="5919" width="9" style="326"/>
    <col min="5920" max="5920" width="10.75" style="326" bestFit="1" customWidth="1"/>
    <col min="5921" max="5921" width="13.75" style="326" customWidth="1"/>
    <col min="5922" max="5922" width="9" style="326"/>
    <col min="5923" max="5923" width="10.625" style="326" customWidth="1"/>
    <col min="5924" max="5924" width="9" style="326"/>
    <col min="5925" max="5925" width="14.25" style="326" customWidth="1"/>
    <col min="5926" max="5926" width="10.75" style="326" bestFit="1" customWidth="1"/>
    <col min="5927" max="5927" width="11.625" style="326" customWidth="1"/>
    <col min="5928" max="5928" width="13.75" style="326" customWidth="1"/>
    <col min="5929" max="5929" width="10.625" style="326" customWidth="1"/>
    <col min="5930" max="5931" width="9" style="326"/>
    <col min="5932" max="5932" width="14.125" style="326" customWidth="1"/>
    <col min="5933" max="5933" width="11" style="326" customWidth="1"/>
    <col min="5934" max="5934" width="10.75" style="326" bestFit="1" customWidth="1"/>
    <col min="5935" max="5935" width="13.5" style="326" customWidth="1"/>
    <col min="5936" max="5937" width="9" style="326"/>
    <col min="5938" max="5938" width="10.75" style="326" bestFit="1" customWidth="1"/>
    <col min="5939" max="5939" width="14" style="326" customWidth="1"/>
    <col min="5940" max="5940" width="9" style="326"/>
    <col min="5941" max="5941" width="10.75" style="326" customWidth="1"/>
    <col min="5942" max="5942" width="12.75" style="326" customWidth="1"/>
    <col min="5943" max="5943" width="9" style="326"/>
    <col min="5944" max="5944" width="10.75" style="326" bestFit="1" customWidth="1"/>
    <col min="5945" max="5945" width="11.5" style="326" customWidth="1"/>
    <col min="5946" max="5946" width="13.625" style="326" customWidth="1"/>
    <col min="5947" max="5947" width="10.625" style="326" customWidth="1"/>
    <col min="5948" max="5948" width="10.75" style="326" bestFit="1" customWidth="1"/>
    <col min="5949" max="5949" width="12.375" style="326" customWidth="1"/>
    <col min="5950" max="5952" width="9" style="326"/>
    <col min="5953" max="5953" width="15.75" style="326" customWidth="1"/>
    <col min="5954" max="5954" width="9" style="326"/>
    <col min="5955" max="5955" width="10.75" style="326" bestFit="1" customWidth="1"/>
    <col min="5956" max="5956" width="12.625" style="326" customWidth="1"/>
    <col min="5957" max="5959" width="9" style="326"/>
    <col min="5960" max="5960" width="13.625" style="326" customWidth="1"/>
    <col min="5961" max="5961" width="9" style="326"/>
    <col min="5962" max="5962" width="10.75" style="326" bestFit="1" customWidth="1"/>
    <col min="5963" max="5963" width="12.5" style="326" customWidth="1"/>
    <col min="5964" max="5966" width="9" style="326"/>
    <col min="5967" max="5967" width="12.875" style="326" customWidth="1"/>
    <col min="5968" max="5968" width="9" style="326"/>
    <col min="5969" max="5969" width="10.75" style="326" bestFit="1" customWidth="1"/>
    <col min="5970" max="5970" width="13.875" style="326" customWidth="1"/>
    <col min="5971" max="5973" width="9" style="326"/>
    <col min="5974" max="5974" width="14.125" style="326" customWidth="1"/>
    <col min="5975" max="5975" width="9" style="326"/>
    <col min="5976" max="5976" width="10.75" style="326" bestFit="1" customWidth="1"/>
    <col min="5977" max="5977" width="13.25" style="326" customWidth="1"/>
    <col min="5978" max="5980" width="9" style="326"/>
    <col min="5981" max="5981" width="13.25" style="326" customWidth="1"/>
    <col min="5982" max="5982" width="9" style="326"/>
    <col min="5983" max="5983" width="10.75" style="326" bestFit="1" customWidth="1"/>
    <col min="5984" max="5984" width="13.875" style="326" customWidth="1"/>
    <col min="5985" max="5987" width="9" style="326"/>
    <col min="5988" max="5988" width="13.625" style="326" customWidth="1"/>
    <col min="5989" max="5989" width="9" style="326"/>
    <col min="5990" max="5990" width="10.75" style="326" bestFit="1" customWidth="1"/>
    <col min="5991" max="5991" width="13" style="326" customWidth="1"/>
    <col min="5992" max="6138" width="9" style="326"/>
    <col min="6139" max="6140" width="12.125" style="326" customWidth="1"/>
    <col min="6141" max="6143" width="13" style="326" customWidth="1"/>
    <col min="6144" max="6144" width="12.875" style="326" customWidth="1"/>
    <col min="6145" max="6145" width="13" style="326" customWidth="1"/>
    <col min="6146" max="6146" width="13.125" style="326" customWidth="1"/>
    <col min="6147" max="6148" width="12.125" style="326" customWidth="1"/>
    <col min="6149" max="6149" width="14.375" style="326" bestFit="1" customWidth="1"/>
    <col min="6150" max="6150" width="11" style="326" customWidth="1"/>
    <col min="6151" max="6151" width="10" style="326" customWidth="1"/>
    <col min="6152" max="6152" width="10.875" style="326" customWidth="1"/>
    <col min="6153" max="6153" width="13.75" style="326" customWidth="1"/>
    <col min="6154" max="6154" width="10" style="326" customWidth="1"/>
    <col min="6155" max="6155" width="13.25" style="326" customWidth="1"/>
    <col min="6156" max="6156" width="14.375" style="326" customWidth="1"/>
    <col min="6157" max="6157" width="10" style="326" customWidth="1"/>
    <col min="6158" max="6158" width="10.875" style="326" customWidth="1"/>
    <col min="6159" max="6159" width="11.375" style="326" customWidth="1"/>
    <col min="6160" max="6160" width="15.375" style="326" customWidth="1"/>
    <col min="6161" max="6162" width="10.75" style="326" customWidth="1"/>
    <col min="6163" max="6163" width="14.375" style="326" customWidth="1"/>
    <col min="6164" max="6164" width="10.75" style="326" customWidth="1"/>
    <col min="6165" max="6165" width="11.75" style="326" customWidth="1"/>
    <col min="6166" max="6166" width="10" style="326" customWidth="1"/>
    <col min="6167" max="6167" width="15.375" style="326" customWidth="1"/>
    <col min="6168" max="6168" width="10" style="326" customWidth="1"/>
    <col min="6169" max="6169" width="10.75" style="326" customWidth="1"/>
    <col min="6170" max="6170" width="14.875" style="326" customWidth="1"/>
    <col min="6171" max="6171" width="11.5" style="326" customWidth="1"/>
    <col min="6172" max="6172" width="10" style="326" customWidth="1"/>
    <col min="6173" max="6173" width="10.75" style="326" customWidth="1"/>
    <col min="6174" max="6174" width="13.5" style="326" customWidth="1"/>
    <col min="6175" max="6175" width="9" style="326"/>
    <col min="6176" max="6176" width="10.75" style="326" bestFit="1" customWidth="1"/>
    <col min="6177" max="6177" width="13.75" style="326" customWidth="1"/>
    <col min="6178" max="6178" width="9" style="326"/>
    <col min="6179" max="6179" width="10.625" style="326" customWidth="1"/>
    <col min="6180" max="6180" width="9" style="326"/>
    <col min="6181" max="6181" width="14.25" style="326" customWidth="1"/>
    <col min="6182" max="6182" width="10.75" style="326" bestFit="1" customWidth="1"/>
    <col min="6183" max="6183" width="11.625" style="326" customWidth="1"/>
    <col min="6184" max="6184" width="13.75" style="326" customWidth="1"/>
    <col min="6185" max="6185" width="10.625" style="326" customWidth="1"/>
    <col min="6186" max="6187" width="9" style="326"/>
    <col min="6188" max="6188" width="14.125" style="326" customWidth="1"/>
    <col min="6189" max="6189" width="11" style="326" customWidth="1"/>
    <col min="6190" max="6190" width="10.75" style="326" bestFit="1" customWidth="1"/>
    <col min="6191" max="6191" width="13.5" style="326" customWidth="1"/>
    <col min="6192" max="6193" width="9" style="326"/>
    <col min="6194" max="6194" width="10.75" style="326" bestFit="1" customWidth="1"/>
    <col min="6195" max="6195" width="14" style="326" customWidth="1"/>
    <col min="6196" max="6196" width="9" style="326"/>
    <col min="6197" max="6197" width="10.75" style="326" customWidth="1"/>
    <col min="6198" max="6198" width="12.75" style="326" customWidth="1"/>
    <col min="6199" max="6199" width="9" style="326"/>
    <col min="6200" max="6200" width="10.75" style="326" bestFit="1" customWidth="1"/>
    <col min="6201" max="6201" width="11.5" style="326" customWidth="1"/>
    <col min="6202" max="6202" width="13.625" style="326" customWidth="1"/>
    <col min="6203" max="6203" width="10.625" style="326" customWidth="1"/>
    <col min="6204" max="6204" width="10.75" style="326" bestFit="1" customWidth="1"/>
    <col min="6205" max="6205" width="12.375" style="326" customWidth="1"/>
    <col min="6206" max="6208" width="9" style="326"/>
    <col min="6209" max="6209" width="15.75" style="326" customWidth="1"/>
    <col min="6210" max="6210" width="9" style="326"/>
    <col min="6211" max="6211" width="10.75" style="326" bestFit="1" customWidth="1"/>
    <col min="6212" max="6212" width="12.625" style="326" customWidth="1"/>
    <col min="6213" max="6215" width="9" style="326"/>
    <col min="6216" max="6216" width="13.625" style="326" customWidth="1"/>
    <col min="6217" max="6217" width="9" style="326"/>
    <col min="6218" max="6218" width="10.75" style="326" bestFit="1" customWidth="1"/>
    <col min="6219" max="6219" width="12.5" style="326" customWidth="1"/>
    <col min="6220" max="6222" width="9" style="326"/>
    <col min="6223" max="6223" width="12.875" style="326" customWidth="1"/>
    <col min="6224" max="6224" width="9" style="326"/>
    <col min="6225" max="6225" width="10.75" style="326" bestFit="1" customWidth="1"/>
    <col min="6226" max="6226" width="13.875" style="326" customWidth="1"/>
    <col min="6227" max="6229" width="9" style="326"/>
    <col min="6230" max="6230" width="14.125" style="326" customWidth="1"/>
    <col min="6231" max="6231" width="9" style="326"/>
    <col min="6232" max="6232" width="10.75" style="326" bestFit="1" customWidth="1"/>
    <col min="6233" max="6233" width="13.25" style="326" customWidth="1"/>
    <col min="6234" max="6236" width="9" style="326"/>
    <col min="6237" max="6237" width="13.25" style="326" customWidth="1"/>
    <col min="6238" max="6238" width="9" style="326"/>
    <col min="6239" max="6239" width="10.75" style="326" bestFit="1" customWidth="1"/>
    <col min="6240" max="6240" width="13.875" style="326" customWidth="1"/>
    <col min="6241" max="6243" width="9" style="326"/>
    <col min="6244" max="6244" width="13.625" style="326" customWidth="1"/>
    <col min="6245" max="6245" width="9" style="326"/>
    <col min="6246" max="6246" width="10.75" style="326" bestFit="1" customWidth="1"/>
    <col min="6247" max="6247" width="13" style="326" customWidth="1"/>
    <col min="6248" max="6394" width="9" style="326"/>
    <col min="6395" max="6396" width="12.125" style="326" customWidth="1"/>
    <col min="6397" max="6399" width="13" style="326" customWidth="1"/>
    <col min="6400" max="6400" width="12.875" style="326" customWidth="1"/>
    <col min="6401" max="6401" width="13" style="326" customWidth="1"/>
    <col min="6402" max="6402" width="13.125" style="326" customWidth="1"/>
    <col min="6403" max="6404" width="12.125" style="326" customWidth="1"/>
    <col min="6405" max="6405" width="14.375" style="326" bestFit="1" customWidth="1"/>
    <col min="6406" max="6406" width="11" style="326" customWidth="1"/>
    <col min="6407" max="6407" width="10" style="326" customWidth="1"/>
    <col min="6408" max="6408" width="10.875" style="326" customWidth="1"/>
    <col min="6409" max="6409" width="13.75" style="326" customWidth="1"/>
    <col min="6410" max="6410" width="10" style="326" customWidth="1"/>
    <col min="6411" max="6411" width="13.25" style="326" customWidth="1"/>
    <col min="6412" max="6412" width="14.375" style="326" customWidth="1"/>
    <col min="6413" max="6413" width="10" style="326" customWidth="1"/>
    <col min="6414" max="6414" width="10.875" style="326" customWidth="1"/>
    <col min="6415" max="6415" width="11.375" style="326" customWidth="1"/>
    <col min="6416" max="6416" width="15.375" style="326" customWidth="1"/>
    <col min="6417" max="6418" width="10.75" style="326" customWidth="1"/>
    <col min="6419" max="6419" width="14.375" style="326" customWidth="1"/>
    <col min="6420" max="6420" width="10.75" style="326" customWidth="1"/>
    <col min="6421" max="6421" width="11.75" style="326" customWidth="1"/>
    <col min="6422" max="6422" width="10" style="326" customWidth="1"/>
    <col min="6423" max="6423" width="15.375" style="326" customWidth="1"/>
    <col min="6424" max="6424" width="10" style="326" customWidth="1"/>
    <col min="6425" max="6425" width="10.75" style="326" customWidth="1"/>
    <col min="6426" max="6426" width="14.875" style="326" customWidth="1"/>
    <col min="6427" max="6427" width="11.5" style="326" customWidth="1"/>
    <col min="6428" max="6428" width="10" style="326" customWidth="1"/>
    <col min="6429" max="6429" width="10.75" style="326" customWidth="1"/>
    <col min="6430" max="6430" width="13.5" style="326" customWidth="1"/>
    <col min="6431" max="6431" width="9" style="326"/>
    <col min="6432" max="6432" width="10.75" style="326" bestFit="1" customWidth="1"/>
    <col min="6433" max="6433" width="13.75" style="326" customWidth="1"/>
    <col min="6434" max="6434" width="9" style="326"/>
    <col min="6435" max="6435" width="10.625" style="326" customWidth="1"/>
    <col min="6436" max="6436" width="9" style="326"/>
    <col min="6437" max="6437" width="14.25" style="326" customWidth="1"/>
    <col min="6438" max="6438" width="10.75" style="326" bestFit="1" customWidth="1"/>
    <col min="6439" max="6439" width="11.625" style="326" customWidth="1"/>
    <col min="6440" max="6440" width="13.75" style="326" customWidth="1"/>
    <col min="6441" max="6441" width="10.625" style="326" customWidth="1"/>
    <col min="6442" max="6443" width="9" style="326"/>
    <col min="6444" max="6444" width="14.125" style="326" customWidth="1"/>
    <col min="6445" max="6445" width="11" style="326" customWidth="1"/>
    <col min="6446" max="6446" width="10.75" style="326" bestFit="1" customWidth="1"/>
    <col min="6447" max="6447" width="13.5" style="326" customWidth="1"/>
    <col min="6448" max="6449" width="9" style="326"/>
    <col min="6450" max="6450" width="10.75" style="326" bestFit="1" customWidth="1"/>
    <col min="6451" max="6451" width="14" style="326" customWidth="1"/>
    <col min="6452" max="6452" width="9" style="326"/>
    <col min="6453" max="6453" width="10.75" style="326" customWidth="1"/>
    <col min="6454" max="6454" width="12.75" style="326" customWidth="1"/>
    <col min="6455" max="6455" width="9" style="326"/>
    <col min="6456" max="6456" width="10.75" style="326" bestFit="1" customWidth="1"/>
    <col min="6457" max="6457" width="11.5" style="326" customWidth="1"/>
    <col min="6458" max="6458" width="13.625" style="326" customWidth="1"/>
    <col min="6459" max="6459" width="10.625" style="326" customWidth="1"/>
    <col min="6460" max="6460" width="10.75" style="326" bestFit="1" customWidth="1"/>
    <col min="6461" max="6461" width="12.375" style="326" customWidth="1"/>
    <col min="6462" max="6464" width="9" style="326"/>
    <col min="6465" max="6465" width="15.75" style="326" customWidth="1"/>
    <col min="6466" max="6466" width="9" style="326"/>
    <col min="6467" max="6467" width="10.75" style="326" bestFit="1" customWidth="1"/>
    <col min="6468" max="6468" width="12.625" style="326" customWidth="1"/>
    <col min="6469" max="6471" width="9" style="326"/>
    <col min="6472" max="6472" width="13.625" style="326" customWidth="1"/>
    <col min="6473" max="6473" width="9" style="326"/>
    <col min="6474" max="6474" width="10.75" style="326" bestFit="1" customWidth="1"/>
    <col min="6475" max="6475" width="12.5" style="326" customWidth="1"/>
    <col min="6476" max="6478" width="9" style="326"/>
    <col min="6479" max="6479" width="12.875" style="326" customWidth="1"/>
    <col min="6480" max="6480" width="9" style="326"/>
    <col min="6481" max="6481" width="10.75" style="326" bestFit="1" customWidth="1"/>
    <col min="6482" max="6482" width="13.875" style="326" customWidth="1"/>
    <col min="6483" max="6485" width="9" style="326"/>
    <col min="6486" max="6486" width="14.125" style="326" customWidth="1"/>
    <col min="6487" max="6487" width="9" style="326"/>
    <col min="6488" max="6488" width="10.75" style="326" bestFit="1" customWidth="1"/>
    <col min="6489" max="6489" width="13.25" style="326" customWidth="1"/>
    <col min="6490" max="6492" width="9" style="326"/>
    <col min="6493" max="6493" width="13.25" style="326" customWidth="1"/>
    <col min="6494" max="6494" width="9" style="326"/>
    <col min="6495" max="6495" width="10.75" style="326" bestFit="1" customWidth="1"/>
    <col min="6496" max="6496" width="13.875" style="326" customWidth="1"/>
    <col min="6497" max="6499" width="9" style="326"/>
    <col min="6500" max="6500" width="13.625" style="326" customWidth="1"/>
    <col min="6501" max="6501" width="9" style="326"/>
    <col min="6502" max="6502" width="10.75" style="326" bestFit="1" customWidth="1"/>
    <col min="6503" max="6503" width="13" style="326" customWidth="1"/>
    <col min="6504" max="6650" width="9" style="326"/>
    <col min="6651" max="6652" width="12.125" style="326" customWidth="1"/>
    <col min="6653" max="6655" width="13" style="326" customWidth="1"/>
    <col min="6656" max="6656" width="12.875" style="326" customWidth="1"/>
    <col min="6657" max="6657" width="13" style="326" customWidth="1"/>
    <col min="6658" max="6658" width="13.125" style="326" customWidth="1"/>
    <col min="6659" max="6660" width="12.125" style="326" customWidth="1"/>
    <col min="6661" max="6661" width="14.375" style="326" bestFit="1" customWidth="1"/>
    <col min="6662" max="6662" width="11" style="326" customWidth="1"/>
    <col min="6663" max="6663" width="10" style="326" customWidth="1"/>
    <col min="6664" max="6664" width="10.875" style="326" customWidth="1"/>
    <col min="6665" max="6665" width="13.75" style="326" customWidth="1"/>
    <col min="6666" max="6666" width="10" style="326" customWidth="1"/>
    <col min="6667" max="6667" width="13.25" style="326" customWidth="1"/>
    <col min="6668" max="6668" width="14.375" style="326" customWidth="1"/>
    <col min="6669" max="6669" width="10" style="326" customWidth="1"/>
    <col min="6670" max="6670" width="10.875" style="326" customWidth="1"/>
    <col min="6671" max="6671" width="11.375" style="326" customWidth="1"/>
    <col min="6672" max="6672" width="15.375" style="326" customWidth="1"/>
    <col min="6673" max="6674" width="10.75" style="326" customWidth="1"/>
    <col min="6675" max="6675" width="14.375" style="326" customWidth="1"/>
    <col min="6676" max="6676" width="10.75" style="326" customWidth="1"/>
    <col min="6677" max="6677" width="11.75" style="326" customWidth="1"/>
    <col min="6678" max="6678" width="10" style="326" customWidth="1"/>
    <col min="6679" max="6679" width="15.375" style="326" customWidth="1"/>
    <col min="6680" max="6680" width="10" style="326" customWidth="1"/>
    <col min="6681" max="6681" width="10.75" style="326" customWidth="1"/>
    <col min="6682" max="6682" width="14.875" style="326" customWidth="1"/>
    <col min="6683" max="6683" width="11.5" style="326" customWidth="1"/>
    <col min="6684" max="6684" width="10" style="326" customWidth="1"/>
    <col min="6685" max="6685" width="10.75" style="326" customWidth="1"/>
    <col min="6686" max="6686" width="13.5" style="326" customWidth="1"/>
    <col min="6687" max="6687" width="9" style="326"/>
    <col min="6688" max="6688" width="10.75" style="326" bestFit="1" customWidth="1"/>
    <col min="6689" max="6689" width="13.75" style="326" customWidth="1"/>
    <col min="6690" max="6690" width="9" style="326"/>
    <col min="6691" max="6691" width="10.625" style="326" customWidth="1"/>
    <col min="6692" max="6692" width="9" style="326"/>
    <col min="6693" max="6693" width="14.25" style="326" customWidth="1"/>
    <col min="6694" max="6694" width="10.75" style="326" bestFit="1" customWidth="1"/>
    <col min="6695" max="6695" width="11.625" style="326" customWidth="1"/>
    <col min="6696" max="6696" width="13.75" style="326" customWidth="1"/>
    <col min="6697" max="6697" width="10.625" style="326" customWidth="1"/>
    <col min="6698" max="6699" width="9" style="326"/>
    <col min="6700" max="6700" width="14.125" style="326" customWidth="1"/>
    <col min="6701" max="6701" width="11" style="326" customWidth="1"/>
    <col min="6702" max="6702" width="10.75" style="326" bestFit="1" customWidth="1"/>
    <col min="6703" max="6703" width="13.5" style="326" customWidth="1"/>
    <col min="6704" max="6705" width="9" style="326"/>
    <col min="6706" max="6706" width="10.75" style="326" bestFit="1" customWidth="1"/>
    <col min="6707" max="6707" width="14" style="326" customWidth="1"/>
    <col min="6708" max="6708" width="9" style="326"/>
    <col min="6709" max="6709" width="10.75" style="326" customWidth="1"/>
    <col min="6710" max="6710" width="12.75" style="326" customWidth="1"/>
    <col min="6711" max="6711" width="9" style="326"/>
    <col min="6712" max="6712" width="10.75" style="326" bestFit="1" customWidth="1"/>
    <col min="6713" max="6713" width="11.5" style="326" customWidth="1"/>
    <col min="6714" max="6714" width="13.625" style="326" customWidth="1"/>
    <col min="6715" max="6715" width="10.625" style="326" customWidth="1"/>
    <col min="6716" max="6716" width="10.75" style="326" bestFit="1" customWidth="1"/>
    <col min="6717" max="6717" width="12.375" style="326" customWidth="1"/>
    <col min="6718" max="6720" width="9" style="326"/>
    <col min="6721" max="6721" width="15.75" style="326" customWidth="1"/>
    <col min="6722" max="6722" width="9" style="326"/>
    <col min="6723" max="6723" width="10.75" style="326" bestFit="1" customWidth="1"/>
    <col min="6724" max="6724" width="12.625" style="326" customWidth="1"/>
    <col min="6725" max="6727" width="9" style="326"/>
    <col min="6728" max="6728" width="13.625" style="326" customWidth="1"/>
    <col min="6729" max="6729" width="9" style="326"/>
    <col min="6730" max="6730" width="10.75" style="326" bestFit="1" customWidth="1"/>
    <col min="6731" max="6731" width="12.5" style="326" customWidth="1"/>
    <col min="6732" max="6734" width="9" style="326"/>
    <col min="6735" max="6735" width="12.875" style="326" customWidth="1"/>
    <col min="6736" max="6736" width="9" style="326"/>
    <col min="6737" max="6737" width="10.75" style="326" bestFit="1" customWidth="1"/>
    <col min="6738" max="6738" width="13.875" style="326" customWidth="1"/>
    <col min="6739" max="6741" width="9" style="326"/>
    <col min="6742" max="6742" width="14.125" style="326" customWidth="1"/>
    <col min="6743" max="6743" width="9" style="326"/>
    <col min="6744" max="6744" width="10.75" style="326" bestFit="1" customWidth="1"/>
    <col min="6745" max="6745" width="13.25" style="326" customWidth="1"/>
    <col min="6746" max="6748" width="9" style="326"/>
    <col min="6749" max="6749" width="13.25" style="326" customWidth="1"/>
    <col min="6750" max="6750" width="9" style="326"/>
    <col min="6751" max="6751" width="10.75" style="326" bestFit="1" customWidth="1"/>
    <col min="6752" max="6752" width="13.875" style="326" customWidth="1"/>
    <col min="6753" max="6755" width="9" style="326"/>
    <col min="6756" max="6756" width="13.625" style="326" customWidth="1"/>
    <col min="6757" max="6757" width="9" style="326"/>
    <col min="6758" max="6758" width="10.75" style="326" bestFit="1" customWidth="1"/>
    <col min="6759" max="6759" width="13" style="326" customWidth="1"/>
    <col min="6760" max="6906" width="9" style="326"/>
    <col min="6907" max="6908" width="12.125" style="326" customWidth="1"/>
    <col min="6909" max="6911" width="13" style="326" customWidth="1"/>
    <col min="6912" max="6912" width="12.875" style="326" customWidth="1"/>
    <col min="6913" max="6913" width="13" style="326" customWidth="1"/>
    <col min="6914" max="6914" width="13.125" style="326" customWidth="1"/>
    <col min="6915" max="6916" width="12.125" style="326" customWidth="1"/>
    <col min="6917" max="6917" width="14.375" style="326" bestFit="1" customWidth="1"/>
    <col min="6918" max="6918" width="11" style="326" customWidth="1"/>
    <col min="6919" max="6919" width="10" style="326" customWidth="1"/>
    <col min="6920" max="6920" width="10.875" style="326" customWidth="1"/>
    <col min="6921" max="6921" width="13.75" style="326" customWidth="1"/>
    <col min="6922" max="6922" width="10" style="326" customWidth="1"/>
    <col min="6923" max="6923" width="13.25" style="326" customWidth="1"/>
    <col min="6924" max="6924" width="14.375" style="326" customWidth="1"/>
    <col min="6925" max="6925" width="10" style="326" customWidth="1"/>
    <col min="6926" max="6926" width="10.875" style="326" customWidth="1"/>
    <col min="6927" max="6927" width="11.375" style="326" customWidth="1"/>
    <col min="6928" max="6928" width="15.375" style="326" customWidth="1"/>
    <col min="6929" max="6930" width="10.75" style="326" customWidth="1"/>
    <col min="6931" max="6931" width="14.375" style="326" customWidth="1"/>
    <col min="6932" max="6932" width="10.75" style="326" customWidth="1"/>
    <col min="6933" max="6933" width="11.75" style="326" customWidth="1"/>
    <col min="6934" max="6934" width="10" style="326" customWidth="1"/>
    <col min="6935" max="6935" width="15.375" style="326" customWidth="1"/>
    <col min="6936" max="6936" width="10" style="326" customWidth="1"/>
    <col min="6937" max="6937" width="10.75" style="326" customWidth="1"/>
    <col min="6938" max="6938" width="14.875" style="326" customWidth="1"/>
    <col min="6939" max="6939" width="11.5" style="326" customWidth="1"/>
    <col min="6940" max="6940" width="10" style="326" customWidth="1"/>
    <col min="6941" max="6941" width="10.75" style="326" customWidth="1"/>
    <col min="6942" max="6942" width="13.5" style="326" customWidth="1"/>
    <col min="6943" max="6943" width="9" style="326"/>
    <col min="6944" max="6944" width="10.75" style="326" bestFit="1" customWidth="1"/>
    <col min="6945" max="6945" width="13.75" style="326" customWidth="1"/>
    <col min="6946" max="6946" width="9" style="326"/>
    <col min="6947" max="6947" width="10.625" style="326" customWidth="1"/>
    <col min="6948" max="6948" width="9" style="326"/>
    <col min="6949" max="6949" width="14.25" style="326" customWidth="1"/>
    <col min="6950" max="6950" width="10.75" style="326" bestFit="1" customWidth="1"/>
    <col min="6951" max="6951" width="11.625" style="326" customWidth="1"/>
    <col min="6952" max="6952" width="13.75" style="326" customWidth="1"/>
    <col min="6953" max="6953" width="10.625" style="326" customWidth="1"/>
    <col min="6954" max="6955" width="9" style="326"/>
    <col min="6956" max="6956" width="14.125" style="326" customWidth="1"/>
    <col min="6957" max="6957" width="11" style="326" customWidth="1"/>
    <col min="6958" max="6958" width="10.75" style="326" bestFit="1" customWidth="1"/>
    <col min="6959" max="6959" width="13.5" style="326" customWidth="1"/>
    <col min="6960" max="6961" width="9" style="326"/>
    <col min="6962" max="6962" width="10.75" style="326" bestFit="1" customWidth="1"/>
    <col min="6963" max="6963" width="14" style="326" customWidth="1"/>
    <col min="6964" max="6964" width="9" style="326"/>
    <col min="6965" max="6965" width="10.75" style="326" customWidth="1"/>
    <col min="6966" max="6966" width="12.75" style="326" customWidth="1"/>
    <col min="6967" max="6967" width="9" style="326"/>
    <col min="6968" max="6968" width="10.75" style="326" bestFit="1" customWidth="1"/>
    <col min="6969" max="6969" width="11.5" style="326" customWidth="1"/>
    <col min="6970" max="6970" width="13.625" style="326" customWidth="1"/>
    <col min="6971" max="6971" width="10.625" style="326" customWidth="1"/>
    <col min="6972" max="6972" width="10.75" style="326" bestFit="1" customWidth="1"/>
    <col min="6973" max="6973" width="12.375" style="326" customWidth="1"/>
    <col min="6974" max="6976" width="9" style="326"/>
    <col min="6977" max="6977" width="15.75" style="326" customWidth="1"/>
    <col min="6978" max="6978" width="9" style="326"/>
    <col min="6979" max="6979" width="10.75" style="326" bestFit="1" customWidth="1"/>
    <col min="6980" max="6980" width="12.625" style="326" customWidth="1"/>
    <col min="6981" max="6983" width="9" style="326"/>
    <col min="6984" max="6984" width="13.625" style="326" customWidth="1"/>
    <col min="6985" max="6985" width="9" style="326"/>
    <col min="6986" max="6986" width="10.75" style="326" bestFit="1" customWidth="1"/>
    <col min="6987" max="6987" width="12.5" style="326" customWidth="1"/>
    <col min="6988" max="6990" width="9" style="326"/>
    <col min="6991" max="6991" width="12.875" style="326" customWidth="1"/>
    <col min="6992" max="6992" width="9" style="326"/>
    <col min="6993" max="6993" width="10.75" style="326" bestFit="1" customWidth="1"/>
    <col min="6994" max="6994" width="13.875" style="326" customWidth="1"/>
    <col min="6995" max="6997" width="9" style="326"/>
    <col min="6998" max="6998" width="14.125" style="326" customWidth="1"/>
    <col min="6999" max="6999" width="9" style="326"/>
    <col min="7000" max="7000" width="10.75" style="326" bestFit="1" customWidth="1"/>
    <col min="7001" max="7001" width="13.25" style="326" customWidth="1"/>
    <col min="7002" max="7004" width="9" style="326"/>
    <col min="7005" max="7005" width="13.25" style="326" customWidth="1"/>
    <col min="7006" max="7006" width="9" style="326"/>
    <col min="7007" max="7007" width="10.75" style="326" bestFit="1" customWidth="1"/>
    <col min="7008" max="7008" width="13.875" style="326" customWidth="1"/>
    <col min="7009" max="7011" width="9" style="326"/>
    <col min="7012" max="7012" width="13.625" style="326" customWidth="1"/>
    <col min="7013" max="7013" width="9" style="326"/>
    <col min="7014" max="7014" width="10.75" style="326" bestFit="1" customWidth="1"/>
    <col min="7015" max="7015" width="13" style="326" customWidth="1"/>
    <col min="7016" max="7162" width="9" style="326"/>
    <col min="7163" max="7164" width="12.125" style="326" customWidth="1"/>
    <col min="7165" max="7167" width="13" style="326" customWidth="1"/>
    <col min="7168" max="7168" width="12.875" style="326" customWidth="1"/>
    <col min="7169" max="7169" width="13" style="326" customWidth="1"/>
    <col min="7170" max="7170" width="13.125" style="326" customWidth="1"/>
    <col min="7171" max="7172" width="12.125" style="326" customWidth="1"/>
    <col min="7173" max="7173" width="14.375" style="326" bestFit="1" customWidth="1"/>
    <col min="7174" max="7174" width="11" style="326" customWidth="1"/>
    <col min="7175" max="7175" width="10" style="326" customWidth="1"/>
    <col min="7176" max="7176" width="10.875" style="326" customWidth="1"/>
    <col min="7177" max="7177" width="13.75" style="326" customWidth="1"/>
    <col min="7178" max="7178" width="10" style="326" customWidth="1"/>
    <col min="7179" max="7179" width="13.25" style="326" customWidth="1"/>
    <col min="7180" max="7180" width="14.375" style="326" customWidth="1"/>
    <col min="7181" max="7181" width="10" style="326" customWidth="1"/>
    <col min="7182" max="7182" width="10.875" style="326" customWidth="1"/>
    <col min="7183" max="7183" width="11.375" style="326" customWidth="1"/>
    <col min="7184" max="7184" width="15.375" style="326" customWidth="1"/>
    <col min="7185" max="7186" width="10.75" style="326" customWidth="1"/>
    <col min="7187" max="7187" width="14.375" style="326" customWidth="1"/>
    <col min="7188" max="7188" width="10.75" style="326" customWidth="1"/>
    <col min="7189" max="7189" width="11.75" style="326" customWidth="1"/>
    <col min="7190" max="7190" width="10" style="326" customWidth="1"/>
    <col min="7191" max="7191" width="15.375" style="326" customWidth="1"/>
    <col min="7192" max="7192" width="10" style="326" customWidth="1"/>
    <col min="7193" max="7193" width="10.75" style="326" customWidth="1"/>
    <col min="7194" max="7194" width="14.875" style="326" customWidth="1"/>
    <col min="7195" max="7195" width="11.5" style="326" customWidth="1"/>
    <col min="7196" max="7196" width="10" style="326" customWidth="1"/>
    <col min="7197" max="7197" width="10.75" style="326" customWidth="1"/>
    <col min="7198" max="7198" width="13.5" style="326" customWidth="1"/>
    <col min="7199" max="7199" width="9" style="326"/>
    <col min="7200" max="7200" width="10.75" style="326" bestFit="1" customWidth="1"/>
    <col min="7201" max="7201" width="13.75" style="326" customWidth="1"/>
    <col min="7202" max="7202" width="9" style="326"/>
    <col min="7203" max="7203" width="10.625" style="326" customWidth="1"/>
    <col min="7204" max="7204" width="9" style="326"/>
    <col min="7205" max="7205" width="14.25" style="326" customWidth="1"/>
    <col min="7206" max="7206" width="10.75" style="326" bestFit="1" customWidth="1"/>
    <col min="7207" max="7207" width="11.625" style="326" customWidth="1"/>
    <col min="7208" max="7208" width="13.75" style="326" customWidth="1"/>
    <col min="7209" max="7209" width="10.625" style="326" customWidth="1"/>
    <col min="7210" max="7211" width="9" style="326"/>
    <col min="7212" max="7212" width="14.125" style="326" customWidth="1"/>
    <col min="7213" max="7213" width="11" style="326" customWidth="1"/>
    <col min="7214" max="7214" width="10.75" style="326" bestFit="1" customWidth="1"/>
    <col min="7215" max="7215" width="13.5" style="326" customWidth="1"/>
    <col min="7216" max="7217" width="9" style="326"/>
    <col min="7218" max="7218" width="10.75" style="326" bestFit="1" customWidth="1"/>
    <col min="7219" max="7219" width="14" style="326" customWidth="1"/>
    <col min="7220" max="7220" width="9" style="326"/>
    <col min="7221" max="7221" width="10.75" style="326" customWidth="1"/>
    <col min="7222" max="7222" width="12.75" style="326" customWidth="1"/>
    <col min="7223" max="7223" width="9" style="326"/>
    <col min="7224" max="7224" width="10.75" style="326" bestFit="1" customWidth="1"/>
    <col min="7225" max="7225" width="11.5" style="326" customWidth="1"/>
    <col min="7226" max="7226" width="13.625" style="326" customWidth="1"/>
    <col min="7227" max="7227" width="10.625" style="326" customWidth="1"/>
    <col min="7228" max="7228" width="10.75" style="326" bestFit="1" customWidth="1"/>
    <col min="7229" max="7229" width="12.375" style="326" customWidth="1"/>
    <col min="7230" max="7232" width="9" style="326"/>
    <col min="7233" max="7233" width="15.75" style="326" customWidth="1"/>
    <col min="7234" max="7234" width="9" style="326"/>
    <col min="7235" max="7235" width="10.75" style="326" bestFit="1" customWidth="1"/>
    <col min="7236" max="7236" width="12.625" style="326" customWidth="1"/>
    <col min="7237" max="7239" width="9" style="326"/>
    <col min="7240" max="7240" width="13.625" style="326" customWidth="1"/>
    <col min="7241" max="7241" width="9" style="326"/>
    <col min="7242" max="7242" width="10.75" style="326" bestFit="1" customWidth="1"/>
    <col min="7243" max="7243" width="12.5" style="326" customWidth="1"/>
    <col min="7244" max="7246" width="9" style="326"/>
    <col min="7247" max="7247" width="12.875" style="326" customWidth="1"/>
    <col min="7248" max="7248" width="9" style="326"/>
    <col min="7249" max="7249" width="10.75" style="326" bestFit="1" customWidth="1"/>
    <col min="7250" max="7250" width="13.875" style="326" customWidth="1"/>
    <col min="7251" max="7253" width="9" style="326"/>
    <col min="7254" max="7254" width="14.125" style="326" customWidth="1"/>
    <col min="7255" max="7255" width="9" style="326"/>
    <col min="7256" max="7256" width="10.75" style="326" bestFit="1" customWidth="1"/>
    <col min="7257" max="7257" width="13.25" style="326" customWidth="1"/>
    <col min="7258" max="7260" width="9" style="326"/>
    <col min="7261" max="7261" width="13.25" style="326" customWidth="1"/>
    <col min="7262" max="7262" width="9" style="326"/>
    <col min="7263" max="7263" width="10.75" style="326" bestFit="1" customWidth="1"/>
    <col min="7264" max="7264" width="13.875" style="326" customWidth="1"/>
    <col min="7265" max="7267" width="9" style="326"/>
    <col min="7268" max="7268" width="13.625" style="326" customWidth="1"/>
    <col min="7269" max="7269" width="9" style="326"/>
    <col min="7270" max="7270" width="10.75" style="326" bestFit="1" customWidth="1"/>
    <col min="7271" max="7271" width="13" style="326" customWidth="1"/>
    <col min="7272" max="7418" width="9" style="326"/>
    <col min="7419" max="7420" width="12.125" style="326" customWidth="1"/>
    <col min="7421" max="7423" width="13" style="326" customWidth="1"/>
    <col min="7424" max="7424" width="12.875" style="326" customWidth="1"/>
    <col min="7425" max="7425" width="13" style="326" customWidth="1"/>
    <col min="7426" max="7426" width="13.125" style="326" customWidth="1"/>
    <col min="7427" max="7428" width="12.125" style="326" customWidth="1"/>
    <col min="7429" max="7429" width="14.375" style="326" bestFit="1" customWidth="1"/>
    <col min="7430" max="7430" width="11" style="326" customWidth="1"/>
    <col min="7431" max="7431" width="10" style="326" customWidth="1"/>
    <col min="7432" max="7432" width="10.875" style="326" customWidth="1"/>
    <col min="7433" max="7433" width="13.75" style="326" customWidth="1"/>
    <col min="7434" max="7434" width="10" style="326" customWidth="1"/>
    <col min="7435" max="7435" width="13.25" style="326" customWidth="1"/>
    <col min="7436" max="7436" width="14.375" style="326" customWidth="1"/>
    <col min="7437" max="7437" width="10" style="326" customWidth="1"/>
    <col min="7438" max="7438" width="10.875" style="326" customWidth="1"/>
    <col min="7439" max="7439" width="11.375" style="326" customWidth="1"/>
    <col min="7440" max="7440" width="15.375" style="326" customWidth="1"/>
    <col min="7441" max="7442" width="10.75" style="326" customWidth="1"/>
    <col min="7443" max="7443" width="14.375" style="326" customWidth="1"/>
    <col min="7444" max="7444" width="10.75" style="326" customWidth="1"/>
    <col min="7445" max="7445" width="11.75" style="326" customWidth="1"/>
    <col min="7446" max="7446" width="10" style="326" customWidth="1"/>
    <col min="7447" max="7447" width="15.375" style="326" customWidth="1"/>
    <col min="7448" max="7448" width="10" style="326" customWidth="1"/>
    <col min="7449" max="7449" width="10.75" style="326" customWidth="1"/>
    <col min="7450" max="7450" width="14.875" style="326" customWidth="1"/>
    <col min="7451" max="7451" width="11.5" style="326" customWidth="1"/>
    <col min="7452" max="7452" width="10" style="326" customWidth="1"/>
    <col min="7453" max="7453" width="10.75" style="326" customWidth="1"/>
    <col min="7454" max="7454" width="13.5" style="326" customWidth="1"/>
    <col min="7455" max="7455" width="9" style="326"/>
    <col min="7456" max="7456" width="10.75" style="326" bestFit="1" customWidth="1"/>
    <col min="7457" max="7457" width="13.75" style="326" customWidth="1"/>
    <col min="7458" max="7458" width="9" style="326"/>
    <col min="7459" max="7459" width="10.625" style="326" customWidth="1"/>
    <col min="7460" max="7460" width="9" style="326"/>
    <col min="7461" max="7461" width="14.25" style="326" customWidth="1"/>
    <col min="7462" max="7462" width="10.75" style="326" bestFit="1" customWidth="1"/>
    <col min="7463" max="7463" width="11.625" style="326" customWidth="1"/>
    <col min="7464" max="7464" width="13.75" style="326" customWidth="1"/>
    <col min="7465" max="7465" width="10.625" style="326" customWidth="1"/>
    <col min="7466" max="7467" width="9" style="326"/>
    <col min="7468" max="7468" width="14.125" style="326" customWidth="1"/>
    <col min="7469" max="7469" width="11" style="326" customWidth="1"/>
    <col min="7470" max="7470" width="10.75" style="326" bestFit="1" customWidth="1"/>
    <col min="7471" max="7471" width="13.5" style="326" customWidth="1"/>
    <col min="7472" max="7473" width="9" style="326"/>
    <col min="7474" max="7474" width="10.75" style="326" bestFit="1" customWidth="1"/>
    <col min="7475" max="7475" width="14" style="326" customWidth="1"/>
    <col min="7476" max="7476" width="9" style="326"/>
    <col min="7477" max="7477" width="10.75" style="326" customWidth="1"/>
    <col min="7478" max="7478" width="12.75" style="326" customWidth="1"/>
    <col min="7479" max="7479" width="9" style="326"/>
    <col min="7480" max="7480" width="10.75" style="326" bestFit="1" customWidth="1"/>
    <col min="7481" max="7481" width="11.5" style="326" customWidth="1"/>
    <col min="7482" max="7482" width="13.625" style="326" customWidth="1"/>
    <col min="7483" max="7483" width="10.625" style="326" customWidth="1"/>
    <col min="7484" max="7484" width="10.75" style="326" bestFit="1" customWidth="1"/>
    <col min="7485" max="7485" width="12.375" style="326" customWidth="1"/>
    <col min="7486" max="7488" width="9" style="326"/>
    <col min="7489" max="7489" width="15.75" style="326" customWidth="1"/>
    <col min="7490" max="7490" width="9" style="326"/>
    <col min="7491" max="7491" width="10.75" style="326" bestFit="1" customWidth="1"/>
    <col min="7492" max="7492" width="12.625" style="326" customWidth="1"/>
    <col min="7493" max="7495" width="9" style="326"/>
    <col min="7496" max="7496" width="13.625" style="326" customWidth="1"/>
    <col min="7497" max="7497" width="9" style="326"/>
    <col min="7498" max="7498" width="10.75" style="326" bestFit="1" customWidth="1"/>
    <col min="7499" max="7499" width="12.5" style="326" customWidth="1"/>
    <col min="7500" max="7502" width="9" style="326"/>
    <col min="7503" max="7503" width="12.875" style="326" customWidth="1"/>
    <col min="7504" max="7504" width="9" style="326"/>
    <col min="7505" max="7505" width="10.75" style="326" bestFit="1" customWidth="1"/>
    <col min="7506" max="7506" width="13.875" style="326" customWidth="1"/>
    <col min="7507" max="7509" width="9" style="326"/>
    <col min="7510" max="7510" width="14.125" style="326" customWidth="1"/>
    <col min="7511" max="7511" width="9" style="326"/>
    <col min="7512" max="7512" width="10.75" style="326" bestFit="1" customWidth="1"/>
    <col min="7513" max="7513" width="13.25" style="326" customWidth="1"/>
    <col min="7514" max="7516" width="9" style="326"/>
    <col min="7517" max="7517" width="13.25" style="326" customWidth="1"/>
    <col min="7518" max="7518" width="9" style="326"/>
    <col min="7519" max="7519" width="10.75" style="326" bestFit="1" customWidth="1"/>
    <col min="7520" max="7520" width="13.875" style="326" customWidth="1"/>
    <col min="7521" max="7523" width="9" style="326"/>
    <col min="7524" max="7524" width="13.625" style="326" customWidth="1"/>
    <col min="7525" max="7525" width="9" style="326"/>
    <col min="7526" max="7526" width="10.75" style="326" bestFit="1" customWidth="1"/>
    <col min="7527" max="7527" width="13" style="326" customWidth="1"/>
    <col min="7528" max="7674" width="9" style="326"/>
    <col min="7675" max="7676" width="12.125" style="326" customWidth="1"/>
    <col min="7677" max="7679" width="13" style="326" customWidth="1"/>
    <col min="7680" max="7680" width="12.875" style="326" customWidth="1"/>
    <col min="7681" max="7681" width="13" style="326" customWidth="1"/>
    <col min="7682" max="7682" width="13.125" style="326" customWidth="1"/>
    <col min="7683" max="7684" width="12.125" style="326" customWidth="1"/>
    <col min="7685" max="7685" width="14.375" style="326" bestFit="1" customWidth="1"/>
    <col min="7686" max="7686" width="11" style="326" customWidth="1"/>
    <col min="7687" max="7687" width="10" style="326" customWidth="1"/>
    <col min="7688" max="7688" width="10.875" style="326" customWidth="1"/>
    <col min="7689" max="7689" width="13.75" style="326" customWidth="1"/>
    <col min="7690" max="7690" width="10" style="326" customWidth="1"/>
    <col min="7691" max="7691" width="13.25" style="326" customWidth="1"/>
    <col min="7692" max="7692" width="14.375" style="326" customWidth="1"/>
    <col min="7693" max="7693" width="10" style="326" customWidth="1"/>
    <col min="7694" max="7694" width="10.875" style="326" customWidth="1"/>
    <col min="7695" max="7695" width="11.375" style="326" customWidth="1"/>
    <col min="7696" max="7696" width="15.375" style="326" customWidth="1"/>
    <col min="7697" max="7698" width="10.75" style="326" customWidth="1"/>
    <col min="7699" max="7699" width="14.375" style="326" customWidth="1"/>
    <col min="7700" max="7700" width="10.75" style="326" customWidth="1"/>
    <col min="7701" max="7701" width="11.75" style="326" customWidth="1"/>
    <col min="7702" max="7702" width="10" style="326" customWidth="1"/>
    <col min="7703" max="7703" width="15.375" style="326" customWidth="1"/>
    <col min="7704" max="7704" width="10" style="326" customWidth="1"/>
    <col min="7705" max="7705" width="10.75" style="326" customWidth="1"/>
    <col min="7706" max="7706" width="14.875" style="326" customWidth="1"/>
    <col min="7707" max="7707" width="11.5" style="326" customWidth="1"/>
    <col min="7708" max="7708" width="10" style="326" customWidth="1"/>
    <col min="7709" max="7709" width="10.75" style="326" customWidth="1"/>
    <col min="7710" max="7710" width="13.5" style="326" customWidth="1"/>
    <col min="7711" max="7711" width="9" style="326"/>
    <col min="7712" max="7712" width="10.75" style="326" bestFit="1" customWidth="1"/>
    <col min="7713" max="7713" width="13.75" style="326" customWidth="1"/>
    <col min="7714" max="7714" width="9" style="326"/>
    <col min="7715" max="7715" width="10.625" style="326" customWidth="1"/>
    <col min="7716" max="7716" width="9" style="326"/>
    <col min="7717" max="7717" width="14.25" style="326" customWidth="1"/>
    <col min="7718" max="7718" width="10.75" style="326" bestFit="1" customWidth="1"/>
    <col min="7719" max="7719" width="11.625" style="326" customWidth="1"/>
    <col min="7720" max="7720" width="13.75" style="326" customWidth="1"/>
    <col min="7721" max="7721" width="10.625" style="326" customWidth="1"/>
    <col min="7722" max="7723" width="9" style="326"/>
    <col min="7724" max="7724" width="14.125" style="326" customWidth="1"/>
    <col min="7725" max="7725" width="11" style="326" customWidth="1"/>
    <col min="7726" max="7726" width="10.75" style="326" bestFit="1" customWidth="1"/>
    <col min="7727" max="7727" width="13.5" style="326" customWidth="1"/>
    <col min="7728" max="7729" width="9" style="326"/>
    <col min="7730" max="7730" width="10.75" style="326" bestFit="1" customWidth="1"/>
    <col min="7731" max="7731" width="14" style="326" customWidth="1"/>
    <col min="7732" max="7732" width="9" style="326"/>
    <col min="7733" max="7733" width="10.75" style="326" customWidth="1"/>
    <col min="7734" max="7734" width="12.75" style="326" customWidth="1"/>
    <col min="7735" max="7735" width="9" style="326"/>
    <col min="7736" max="7736" width="10.75" style="326" bestFit="1" customWidth="1"/>
    <col min="7737" max="7737" width="11.5" style="326" customWidth="1"/>
    <col min="7738" max="7738" width="13.625" style="326" customWidth="1"/>
    <col min="7739" max="7739" width="10.625" style="326" customWidth="1"/>
    <col min="7740" max="7740" width="10.75" style="326" bestFit="1" customWidth="1"/>
    <col min="7741" max="7741" width="12.375" style="326" customWidth="1"/>
    <col min="7742" max="7744" width="9" style="326"/>
    <col min="7745" max="7745" width="15.75" style="326" customWidth="1"/>
    <col min="7746" max="7746" width="9" style="326"/>
    <col min="7747" max="7747" width="10.75" style="326" bestFit="1" customWidth="1"/>
    <col min="7748" max="7748" width="12.625" style="326" customWidth="1"/>
    <col min="7749" max="7751" width="9" style="326"/>
    <col min="7752" max="7752" width="13.625" style="326" customWidth="1"/>
    <col min="7753" max="7753" width="9" style="326"/>
    <col min="7754" max="7754" width="10.75" style="326" bestFit="1" customWidth="1"/>
    <col min="7755" max="7755" width="12.5" style="326" customWidth="1"/>
    <col min="7756" max="7758" width="9" style="326"/>
    <col min="7759" max="7759" width="12.875" style="326" customWidth="1"/>
    <col min="7760" max="7760" width="9" style="326"/>
    <col min="7761" max="7761" width="10.75" style="326" bestFit="1" customWidth="1"/>
    <col min="7762" max="7762" width="13.875" style="326" customWidth="1"/>
    <col min="7763" max="7765" width="9" style="326"/>
    <col min="7766" max="7766" width="14.125" style="326" customWidth="1"/>
    <col min="7767" max="7767" width="9" style="326"/>
    <col min="7768" max="7768" width="10.75" style="326" bestFit="1" customWidth="1"/>
    <col min="7769" max="7769" width="13.25" style="326" customWidth="1"/>
    <col min="7770" max="7772" width="9" style="326"/>
    <col min="7773" max="7773" width="13.25" style="326" customWidth="1"/>
    <col min="7774" max="7774" width="9" style="326"/>
    <col min="7775" max="7775" width="10.75" style="326" bestFit="1" customWidth="1"/>
    <col min="7776" max="7776" width="13.875" style="326" customWidth="1"/>
    <col min="7777" max="7779" width="9" style="326"/>
    <col min="7780" max="7780" width="13.625" style="326" customWidth="1"/>
    <col min="7781" max="7781" width="9" style="326"/>
    <col min="7782" max="7782" width="10.75" style="326" bestFit="1" customWidth="1"/>
    <col min="7783" max="7783" width="13" style="326" customWidth="1"/>
    <col min="7784" max="7930" width="9" style="326"/>
    <col min="7931" max="7932" width="12.125" style="326" customWidth="1"/>
    <col min="7933" max="7935" width="13" style="326" customWidth="1"/>
    <col min="7936" max="7936" width="12.875" style="326" customWidth="1"/>
    <col min="7937" max="7937" width="13" style="326" customWidth="1"/>
    <col min="7938" max="7938" width="13.125" style="326" customWidth="1"/>
    <col min="7939" max="7940" width="12.125" style="326" customWidth="1"/>
    <col min="7941" max="7941" width="14.375" style="326" bestFit="1" customWidth="1"/>
    <col min="7942" max="7942" width="11" style="326" customWidth="1"/>
    <col min="7943" max="7943" width="10" style="326" customWidth="1"/>
    <col min="7944" max="7944" width="10.875" style="326" customWidth="1"/>
    <col min="7945" max="7945" width="13.75" style="326" customWidth="1"/>
    <col min="7946" max="7946" width="10" style="326" customWidth="1"/>
    <col min="7947" max="7947" width="13.25" style="326" customWidth="1"/>
    <col min="7948" max="7948" width="14.375" style="326" customWidth="1"/>
    <col min="7949" max="7949" width="10" style="326" customWidth="1"/>
    <col min="7950" max="7950" width="10.875" style="326" customWidth="1"/>
    <col min="7951" max="7951" width="11.375" style="326" customWidth="1"/>
    <col min="7952" max="7952" width="15.375" style="326" customWidth="1"/>
    <col min="7953" max="7954" width="10.75" style="326" customWidth="1"/>
    <col min="7955" max="7955" width="14.375" style="326" customWidth="1"/>
    <col min="7956" max="7956" width="10.75" style="326" customWidth="1"/>
    <col min="7957" max="7957" width="11.75" style="326" customWidth="1"/>
    <col min="7958" max="7958" width="10" style="326" customWidth="1"/>
    <col min="7959" max="7959" width="15.375" style="326" customWidth="1"/>
    <col min="7960" max="7960" width="10" style="326" customWidth="1"/>
    <col min="7961" max="7961" width="10.75" style="326" customWidth="1"/>
    <col min="7962" max="7962" width="14.875" style="326" customWidth="1"/>
    <col min="7963" max="7963" width="11.5" style="326" customWidth="1"/>
    <col min="7964" max="7964" width="10" style="326" customWidth="1"/>
    <col min="7965" max="7965" width="10.75" style="326" customWidth="1"/>
    <col min="7966" max="7966" width="13.5" style="326" customWidth="1"/>
    <col min="7967" max="7967" width="9" style="326"/>
    <col min="7968" max="7968" width="10.75" style="326" bestFit="1" customWidth="1"/>
    <col min="7969" max="7969" width="13.75" style="326" customWidth="1"/>
    <col min="7970" max="7970" width="9" style="326"/>
    <col min="7971" max="7971" width="10.625" style="326" customWidth="1"/>
    <col min="7972" max="7972" width="9" style="326"/>
    <col min="7973" max="7973" width="14.25" style="326" customWidth="1"/>
    <col min="7974" max="7974" width="10.75" style="326" bestFit="1" customWidth="1"/>
    <col min="7975" max="7975" width="11.625" style="326" customWidth="1"/>
    <col min="7976" max="7976" width="13.75" style="326" customWidth="1"/>
    <col min="7977" max="7977" width="10.625" style="326" customWidth="1"/>
    <col min="7978" max="7979" width="9" style="326"/>
    <col min="7980" max="7980" width="14.125" style="326" customWidth="1"/>
    <col min="7981" max="7981" width="11" style="326" customWidth="1"/>
    <col min="7982" max="7982" width="10.75" style="326" bestFit="1" customWidth="1"/>
    <col min="7983" max="7983" width="13.5" style="326" customWidth="1"/>
    <col min="7984" max="7985" width="9" style="326"/>
    <col min="7986" max="7986" width="10.75" style="326" bestFit="1" customWidth="1"/>
    <col min="7987" max="7987" width="14" style="326" customWidth="1"/>
    <col min="7988" max="7988" width="9" style="326"/>
    <col min="7989" max="7989" width="10.75" style="326" customWidth="1"/>
    <col min="7990" max="7990" width="12.75" style="326" customWidth="1"/>
    <col min="7991" max="7991" width="9" style="326"/>
    <col min="7992" max="7992" width="10.75" style="326" bestFit="1" customWidth="1"/>
    <col min="7993" max="7993" width="11.5" style="326" customWidth="1"/>
    <col min="7994" max="7994" width="13.625" style="326" customWidth="1"/>
    <col min="7995" max="7995" width="10.625" style="326" customWidth="1"/>
    <col min="7996" max="7996" width="10.75" style="326" bestFit="1" customWidth="1"/>
    <col min="7997" max="7997" width="12.375" style="326" customWidth="1"/>
    <col min="7998" max="8000" width="9" style="326"/>
    <col min="8001" max="8001" width="15.75" style="326" customWidth="1"/>
    <col min="8002" max="8002" width="9" style="326"/>
    <col min="8003" max="8003" width="10.75" style="326" bestFit="1" customWidth="1"/>
    <col min="8004" max="8004" width="12.625" style="326" customWidth="1"/>
    <col min="8005" max="8007" width="9" style="326"/>
    <col min="8008" max="8008" width="13.625" style="326" customWidth="1"/>
    <col min="8009" max="8009" width="9" style="326"/>
    <col min="8010" max="8010" width="10.75" style="326" bestFit="1" customWidth="1"/>
    <col min="8011" max="8011" width="12.5" style="326" customWidth="1"/>
    <col min="8012" max="8014" width="9" style="326"/>
    <col min="8015" max="8015" width="12.875" style="326" customWidth="1"/>
    <col min="8016" max="8016" width="9" style="326"/>
    <col min="8017" max="8017" width="10.75" style="326" bestFit="1" customWidth="1"/>
    <col min="8018" max="8018" width="13.875" style="326" customWidth="1"/>
    <col min="8019" max="8021" width="9" style="326"/>
    <col min="8022" max="8022" width="14.125" style="326" customWidth="1"/>
    <col min="8023" max="8023" width="9" style="326"/>
    <col min="8024" max="8024" width="10.75" style="326" bestFit="1" customWidth="1"/>
    <col min="8025" max="8025" width="13.25" style="326" customWidth="1"/>
    <col min="8026" max="8028" width="9" style="326"/>
    <col min="8029" max="8029" width="13.25" style="326" customWidth="1"/>
    <col min="8030" max="8030" width="9" style="326"/>
    <col min="8031" max="8031" width="10.75" style="326" bestFit="1" customWidth="1"/>
    <col min="8032" max="8032" width="13.875" style="326" customWidth="1"/>
    <col min="8033" max="8035" width="9" style="326"/>
    <col min="8036" max="8036" width="13.625" style="326" customWidth="1"/>
    <col min="8037" max="8037" width="9" style="326"/>
    <col min="8038" max="8038" width="10.75" style="326" bestFit="1" customWidth="1"/>
    <col min="8039" max="8039" width="13" style="326" customWidth="1"/>
    <col min="8040" max="8186" width="9" style="326"/>
    <col min="8187" max="8188" width="12.125" style="326" customWidth="1"/>
    <col min="8189" max="8191" width="13" style="326" customWidth="1"/>
    <col min="8192" max="8192" width="12.875" style="326" customWidth="1"/>
    <col min="8193" max="8193" width="13" style="326" customWidth="1"/>
    <col min="8194" max="8194" width="13.125" style="326" customWidth="1"/>
    <col min="8195" max="8196" width="12.125" style="326" customWidth="1"/>
    <col min="8197" max="8197" width="14.375" style="326" bestFit="1" customWidth="1"/>
    <col min="8198" max="8198" width="11" style="326" customWidth="1"/>
    <col min="8199" max="8199" width="10" style="326" customWidth="1"/>
    <col min="8200" max="8200" width="10.875" style="326" customWidth="1"/>
    <col min="8201" max="8201" width="13.75" style="326" customWidth="1"/>
    <col min="8202" max="8202" width="10" style="326" customWidth="1"/>
    <col min="8203" max="8203" width="13.25" style="326" customWidth="1"/>
    <col min="8204" max="8204" width="14.375" style="326" customWidth="1"/>
    <col min="8205" max="8205" width="10" style="326" customWidth="1"/>
    <col min="8206" max="8206" width="10.875" style="326" customWidth="1"/>
    <col min="8207" max="8207" width="11.375" style="326" customWidth="1"/>
    <col min="8208" max="8208" width="15.375" style="326" customWidth="1"/>
    <col min="8209" max="8210" width="10.75" style="326" customWidth="1"/>
    <col min="8211" max="8211" width="14.375" style="326" customWidth="1"/>
    <col min="8212" max="8212" width="10.75" style="326" customWidth="1"/>
    <col min="8213" max="8213" width="11.75" style="326" customWidth="1"/>
    <col min="8214" max="8214" width="10" style="326" customWidth="1"/>
    <col min="8215" max="8215" width="15.375" style="326" customWidth="1"/>
    <col min="8216" max="8216" width="10" style="326" customWidth="1"/>
    <col min="8217" max="8217" width="10.75" style="326" customWidth="1"/>
    <col min="8218" max="8218" width="14.875" style="326" customWidth="1"/>
    <col min="8219" max="8219" width="11.5" style="326" customWidth="1"/>
    <col min="8220" max="8220" width="10" style="326" customWidth="1"/>
    <col min="8221" max="8221" width="10.75" style="326" customWidth="1"/>
    <col min="8222" max="8222" width="13.5" style="326" customWidth="1"/>
    <col min="8223" max="8223" width="9" style="326"/>
    <col min="8224" max="8224" width="10.75" style="326" bestFit="1" customWidth="1"/>
    <col min="8225" max="8225" width="13.75" style="326" customWidth="1"/>
    <col min="8226" max="8226" width="9" style="326"/>
    <col min="8227" max="8227" width="10.625" style="326" customWidth="1"/>
    <col min="8228" max="8228" width="9" style="326"/>
    <col min="8229" max="8229" width="14.25" style="326" customWidth="1"/>
    <col min="8230" max="8230" width="10.75" style="326" bestFit="1" customWidth="1"/>
    <col min="8231" max="8231" width="11.625" style="326" customWidth="1"/>
    <col min="8232" max="8232" width="13.75" style="326" customWidth="1"/>
    <col min="8233" max="8233" width="10.625" style="326" customWidth="1"/>
    <col min="8234" max="8235" width="9" style="326"/>
    <col min="8236" max="8236" width="14.125" style="326" customWidth="1"/>
    <col min="8237" max="8237" width="11" style="326" customWidth="1"/>
    <col min="8238" max="8238" width="10.75" style="326" bestFit="1" customWidth="1"/>
    <col min="8239" max="8239" width="13.5" style="326" customWidth="1"/>
    <col min="8240" max="8241" width="9" style="326"/>
    <col min="8242" max="8242" width="10.75" style="326" bestFit="1" customWidth="1"/>
    <col min="8243" max="8243" width="14" style="326" customWidth="1"/>
    <col min="8244" max="8244" width="9" style="326"/>
    <col min="8245" max="8245" width="10.75" style="326" customWidth="1"/>
    <col min="8246" max="8246" width="12.75" style="326" customWidth="1"/>
    <col min="8247" max="8247" width="9" style="326"/>
    <col min="8248" max="8248" width="10.75" style="326" bestFit="1" customWidth="1"/>
    <col min="8249" max="8249" width="11.5" style="326" customWidth="1"/>
    <col min="8250" max="8250" width="13.625" style="326" customWidth="1"/>
    <col min="8251" max="8251" width="10.625" style="326" customWidth="1"/>
    <col min="8252" max="8252" width="10.75" style="326" bestFit="1" customWidth="1"/>
    <col min="8253" max="8253" width="12.375" style="326" customWidth="1"/>
    <col min="8254" max="8256" width="9" style="326"/>
    <col min="8257" max="8257" width="15.75" style="326" customWidth="1"/>
    <col min="8258" max="8258" width="9" style="326"/>
    <col min="8259" max="8259" width="10.75" style="326" bestFit="1" customWidth="1"/>
    <col min="8260" max="8260" width="12.625" style="326" customWidth="1"/>
    <col min="8261" max="8263" width="9" style="326"/>
    <col min="8264" max="8264" width="13.625" style="326" customWidth="1"/>
    <col min="8265" max="8265" width="9" style="326"/>
    <col min="8266" max="8266" width="10.75" style="326" bestFit="1" customWidth="1"/>
    <col min="8267" max="8267" width="12.5" style="326" customWidth="1"/>
    <col min="8268" max="8270" width="9" style="326"/>
    <col min="8271" max="8271" width="12.875" style="326" customWidth="1"/>
    <col min="8272" max="8272" width="9" style="326"/>
    <col min="8273" max="8273" width="10.75" style="326" bestFit="1" customWidth="1"/>
    <col min="8274" max="8274" width="13.875" style="326" customWidth="1"/>
    <col min="8275" max="8277" width="9" style="326"/>
    <col min="8278" max="8278" width="14.125" style="326" customWidth="1"/>
    <col min="8279" max="8279" width="9" style="326"/>
    <col min="8280" max="8280" width="10.75" style="326" bestFit="1" customWidth="1"/>
    <col min="8281" max="8281" width="13.25" style="326" customWidth="1"/>
    <col min="8282" max="8284" width="9" style="326"/>
    <col min="8285" max="8285" width="13.25" style="326" customWidth="1"/>
    <col min="8286" max="8286" width="9" style="326"/>
    <col min="8287" max="8287" width="10.75" style="326" bestFit="1" customWidth="1"/>
    <col min="8288" max="8288" width="13.875" style="326" customWidth="1"/>
    <col min="8289" max="8291" width="9" style="326"/>
    <col min="8292" max="8292" width="13.625" style="326" customWidth="1"/>
    <col min="8293" max="8293" width="9" style="326"/>
    <col min="8294" max="8294" width="10.75" style="326" bestFit="1" customWidth="1"/>
    <col min="8295" max="8295" width="13" style="326" customWidth="1"/>
    <col min="8296" max="8442" width="9" style="326"/>
    <col min="8443" max="8444" width="12.125" style="326" customWidth="1"/>
    <col min="8445" max="8447" width="13" style="326" customWidth="1"/>
    <col min="8448" max="8448" width="12.875" style="326" customWidth="1"/>
    <col min="8449" max="8449" width="13" style="326" customWidth="1"/>
    <col min="8450" max="8450" width="13.125" style="326" customWidth="1"/>
    <col min="8451" max="8452" width="12.125" style="326" customWidth="1"/>
    <col min="8453" max="8453" width="14.375" style="326" bestFit="1" customWidth="1"/>
    <col min="8454" max="8454" width="11" style="326" customWidth="1"/>
    <col min="8455" max="8455" width="10" style="326" customWidth="1"/>
    <col min="8456" max="8456" width="10.875" style="326" customWidth="1"/>
    <col min="8457" max="8457" width="13.75" style="326" customWidth="1"/>
    <col min="8458" max="8458" width="10" style="326" customWidth="1"/>
    <col min="8459" max="8459" width="13.25" style="326" customWidth="1"/>
    <col min="8460" max="8460" width="14.375" style="326" customWidth="1"/>
    <col min="8461" max="8461" width="10" style="326" customWidth="1"/>
    <col min="8462" max="8462" width="10.875" style="326" customWidth="1"/>
    <col min="8463" max="8463" width="11.375" style="326" customWidth="1"/>
    <col min="8464" max="8464" width="15.375" style="326" customWidth="1"/>
    <col min="8465" max="8466" width="10.75" style="326" customWidth="1"/>
    <col min="8467" max="8467" width="14.375" style="326" customWidth="1"/>
    <col min="8468" max="8468" width="10.75" style="326" customWidth="1"/>
    <col min="8469" max="8469" width="11.75" style="326" customWidth="1"/>
    <col min="8470" max="8470" width="10" style="326" customWidth="1"/>
    <col min="8471" max="8471" width="15.375" style="326" customWidth="1"/>
    <col min="8472" max="8472" width="10" style="326" customWidth="1"/>
    <col min="8473" max="8473" width="10.75" style="326" customWidth="1"/>
    <col min="8474" max="8474" width="14.875" style="326" customWidth="1"/>
    <col min="8475" max="8475" width="11.5" style="326" customWidth="1"/>
    <col min="8476" max="8476" width="10" style="326" customWidth="1"/>
    <col min="8477" max="8477" width="10.75" style="326" customWidth="1"/>
    <col min="8478" max="8478" width="13.5" style="326" customWidth="1"/>
    <col min="8479" max="8479" width="9" style="326"/>
    <col min="8480" max="8480" width="10.75" style="326" bestFit="1" customWidth="1"/>
    <col min="8481" max="8481" width="13.75" style="326" customWidth="1"/>
    <col min="8482" max="8482" width="9" style="326"/>
    <col min="8483" max="8483" width="10.625" style="326" customWidth="1"/>
    <col min="8484" max="8484" width="9" style="326"/>
    <col min="8485" max="8485" width="14.25" style="326" customWidth="1"/>
    <col min="8486" max="8486" width="10.75" style="326" bestFit="1" customWidth="1"/>
    <col min="8487" max="8487" width="11.625" style="326" customWidth="1"/>
    <col min="8488" max="8488" width="13.75" style="326" customWidth="1"/>
    <col min="8489" max="8489" width="10.625" style="326" customWidth="1"/>
    <col min="8490" max="8491" width="9" style="326"/>
    <col min="8492" max="8492" width="14.125" style="326" customWidth="1"/>
    <col min="8493" max="8493" width="11" style="326" customWidth="1"/>
    <col min="8494" max="8494" width="10.75" style="326" bestFit="1" customWidth="1"/>
    <col min="8495" max="8495" width="13.5" style="326" customWidth="1"/>
    <col min="8496" max="8497" width="9" style="326"/>
    <col min="8498" max="8498" width="10.75" style="326" bestFit="1" customWidth="1"/>
    <col min="8499" max="8499" width="14" style="326" customWidth="1"/>
    <col min="8500" max="8500" width="9" style="326"/>
    <col min="8501" max="8501" width="10.75" style="326" customWidth="1"/>
    <col min="8502" max="8502" width="12.75" style="326" customWidth="1"/>
    <col min="8503" max="8503" width="9" style="326"/>
    <col min="8504" max="8504" width="10.75" style="326" bestFit="1" customWidth="1"/>
    <col min="8505" max="8505" width="11.5" style="326" customWidth="1"/>
    <col min="8506" max="8506" width="13.625" style="326" customWidth="1"/>
    <col min="8507" max="8507" width="10.625" style="326" customWidth="1"/>
    <col min="8508" max="8508" width="10.75" style="326" bestFit="1" customWidth="1"/>
    <col min="8509" max="8509" width="12.375" style="326" customWidth="1"/>
    <col min="8510" max="8512" width="9" style="326"/>
    <col min="8513" max="8513" width="15.75" style="326" customWidth="1"/>
    <col min="8514" max="8514" width="9" style="326"/>
    <col min="8515" max="8515" width="10.75" style="326" bestFit="1" customWidth="1"/>
    <col min="8516" max="8516" width="12.625" style="326" customWidth="1"/>
    <col min="8517" max="8519" width="9" style="326"/>
    <col min="8520" max="8520" width="13.625" style="326" customWidth="1"/>
    <col min="8521" max="8521" width="9" style="326"/>
    <col min="8522" max="8522" width="10.75" style="326" bestFit="1" customWidth="1"/>
    <col min="8523" max="8523" width="12.5" style="326" customWidth="1"/>
    <col min="8524" max="8526" width="9" style="326"/>
    <col min="8527" max="8527" width="12.875" style="326" customWidth="1"/>
    <col min="8528" max="8528" width="9" style="326"/>
    <col min="8529" max="8529" width="10.75" style="326" bestFit="1" customWidth="1"/>
    <col min="8530" max="8530" width="13.875" style="326" customWidth="1"/>
    <col min="8531" max="8533" width="9" style="326"/>
    <col min="8534" max="8534" width="14.125" style="326" customWidth="1"/>
    <col min="8535" max="8535" width="9" style="326"/>
    <col min="8536" max="8536" width="10.75" style="326" bestFit="1" customWidth="1"/>
    <col min="8537" max="8537" width="13.25" style="326" customWidth="1"/>
    <col min="8538" max="8540" width="9" style="326"/>
    <col min="8541" max="8541" width="13.25" style="326" customWidth="1"/>
    <col min="8542" max="8542" width="9" style="326"/>
    <col min="8543" max="8543" width="10.75" style="326" bestFit="1" customWidth="1"/>
    <col min="8544" max="8544" width="13.875" style="326" customWidth="1"/>
    <col min="8545" max="8547" width="9" style="326"/>
    <col min="8548" max="8548" width="13.625" style="326" customWidth="1"/>
    <col min="8549" max="8549" width="9" style="326"/>
    <col min="8550" max="8550" width="10.75" style="326" bestFit="1" customWidth="1"/>
    <col min="8551" max="8551" width="13" style="326" customWidth="1"/>
    <col min="8552" max="8698" width="9" style="326"/>
    <col min="8699" max="8700" width="12.125" style="326" customWidth="1"/>
    <col min="8701" max="8703" width="13" style="326" customWidth="1"/>
    <col min="8704" max="8704" width="12.875" style="326" customWidth="1"/>
    <col min="8705" max="8705" width="13" style="326" customWidth="1"/>
    <col min="8706" max="8706" width="13.125" style="326" customWidth="1"/>
    <col min="8707" max="8708" width="12.125" style="326" customWidth="1"/>
    <col min="8709" max="8709" width="14.375" style="326" bestFit="1" customWidth="1"/>
    <col min="8710" max="8710" width="11" style="326" customWidth="1"/>
    <col min="8711" max="8711" width="10" style="326" customWidth="1"/>
    <col min="8712" max="8712" width="10.875" style="326" customWidth="1"/>
    <col min="8713" max="8713" width="13.75" style="326" customWidth="1"/>
    <col min="8714" max="8714" width="10" style="326" customWidth="1"/>
    <col min="8715" max="8715" width="13.25" style="326" customWidth="1"/>
    <col min="8716" max="8716" width="14.375" style="326" customWidth="1"/>
    <col min="8717" max="8717" width="10" style="326" customWidth="1"/>
    <col min="8718" max="8718" width="10.875" style="326" customWidth="1"/>
    <col min="8719" max="8719" width="11.375" style="326" customWidth="1"/>
    <col min="8720" max="8720" width="15.375" style="326" customWidth="1"/>
    <col min="8721" max="8722" width="10.75" style="326" customWidth="1"/>
    <col min="8723" max="8723" width="14.375" style="326" customWidth="1"/>
    <col min="8724" max="8724" width="10.75" style="326" customWidth="1"/>
    <col min="8725" max="8725" width="11.75" style="326" customWidth="1"/>
    <col min="8726" max="8726" width="10" style="326" customWidth="1"/>
    <col min="8727" max="8727" width="15.375" style="326" customWidth="1"/>
    <col min="8728" max="8728" width="10" style="326" customWidth="1"/>
    <col min="8729" max="8729" width="10.75" style="326" customWidth="1"/>
    <col min="8730" max="8730" width="14.875" style="326" customWidth="1"/>
    <col min="8731" max="8731" width="11.5" style="326" customWidth="1"/>
    <col min="8732" max="8732" width="10" style="326" customWidth="1"/>
    <col min="8733" max="8733" width="10.75" style="326" customWidth="1"/>
    <col min="8734" max="8734" width="13.5" style="326" customWidth="1"/>
    <col min="8735" max="8735" width="9" style="326"/>
    <col min="8736" max="8736" width="10.75" style="326" bestFit="1" customWidth="1"/>
    <col min="8737" max="8737" width="13.75" style="326" customWidth="1"/>
    <col min="8738" max="8738" width="9" style="326"/>
    <col min="8739" max="8739" width="10.625" style="326" customWidth="1"/>
    <col min="8740" max="8740" width="9" style="326"/>
    <col min="8741" max="8741" width="14.25" style="326" customWidth="1"/>
    <col min="8742" max="8742" width="10.75" style="326" bestFit="1" customWidth="1"/>
    <col min="8743" max="8743" width="11.625" style="326" customWidth="1"/>
    <col min="8744" max="8744" width="13.75" style="326" customWidth="1"/>
    <col min="8745" max="8745" width="10.625" style="326" customWidth="1"/>
    <col min="8746" max="8747" width="9" style="326"/>
    <col min="8748" max="8748" width="14.125" style="326" customWidth="1"/>
    <col min="8749" max="8749" width="11" style="326" customWidth="1"/>
    <col min="8750" max="8750" width="10.75" style="326" bestFit="1" customWidth="1"/>
    <col min="8751" max="8751" width="13.5" style="326" customWidth="1"/>
    <col min="8752" max="8753" width="9" style="326"/>
    <col min="8754" max="8754" width="10.75" style="326" bestFit="1" customWidth="1"/>
    <col min="8755" max="8755" width="14" style="326" customWidth="1"/>
    <col min="8756" max="8756" width="9" style="326"/>
    <col min="8757" max="8757" width="10.75" style="326" customWidth="1"/>
    <col min="8758" max="8758" width="12.75" style="326" customWidth="1"/>
    <col min="8759" max="8759" width="9" style="326"/>
    <col min="8760" max="8760" width="10.75" style="326" bestFit="1" customWidth="1"/>
    <col min="8761" max="8761" width="11.5" style="326" customWidth="1"/>
    <col min="8762" max="8762" width="13.625" style="326" customWidth="1"/>
    <col min="8763" max="8763" width="10.625" style="326" customWidth="1"/>
    <col min="8764" max="8764" width="10.75" style="326" bestFit="1" customWidth="1"/>
    <col min="8765" max="8765" width="12.375" style="326" customWidth="1"/>
    <col min="8766" max="8768" width="9" style="326"/>
    <col min="8769" max="8769" width="15.75" style="326" customWidth="1"/>
    <col min="8770" max="8770" width="9" style="326"/>
    <col min="8771" max="8771" width="10.75" style="326" bestFit="1" customWidth="1"/>
    <col min="8772" max="8772" width="12.625" style="326" customWidth="1"/>
    <col min="8773" max="8775" width="9" style="326"/>
    <col min="8776" max="8776" width="13.625" style="326" customWidth="1"/>
    <col min="8777" max="8777" width="9" style="326"/>
    <col min="8778" max="8778" width="10.75" style="326" bestFit="1" customWidth="1"/>
    <col min="8779" max="8779" width="12.5" style="326" customWidth="1"/>
    <col min="8780" max="8782" width="9" style="326"/>
    <col min="8783" max="8783" width="12.875" style="326" customWidth="1"/>
    <col min="8784" max="8784" width="9" style="326"/>
    <col min="8785" max="8785" width="10.75" style="326" bestFit="1" customWidth="1"/>
    <col min="8786" max="8786" width="13.875" style="326" customWidth="1"/>
    <col min="8787" max="8789" width="9" style="326"/>
    <col min="8790" max="8790" width="14.125" style="326" customWidth="1"/>
    <col min="8791" max="8791" width="9" style="326"/>
    <col min="8792" max="8792" width="10.75" style="326" bestFit="1" customWidth="1"/>
    <col min="8793" max="8793" width="13.25" style="326" customWidth="1"/>
    <col min="8794" max="8796" width="9" style="326"/>
    <col min="8797" max="8797" width="13.25" style="326" customWidth="1"/>
    <col min="8798" max="8798" width="9" style="326"/>
    <col min="8799" max="8799" width="10.75" style="326" bestFit="1" customWidth="1"/>
    <col min="8800" max="8800" width="13.875" style="326" customWidth="1"/>
    <col min="8801" max="8803" width="9" style="326"/>
    <col min="8804" max="8804" width="13.625" style="326" customWidth="1"/>
    <col min="8805" max="8805" width="9" style="326"/>
    <col min="8806" max="8806" width="10.75" style="326" bestFit="1" customWidth="1"/>
    <col min="8807" max="8807" width="13" style="326" customWidth="1"/>
    <col min="8808" max="8954" width="9" style="326"/>
    <col min="8955" max="8956" width="12.125" style="326" customWidth="1"/>
    <col min="8957" max="8959" width="13" style="326" customWidth="1"/>
    <col min="8960" max="8960" width="12.875" style="326" customWidth="1"/>
    <col min="8961" max="8961" width="13" style="326" customWidth="1"/>
    <col min="8962" max="8962" width="13.125" style="326" customWidth="1"/>
    <col min="8963" max="8964" width="12.125" style="326" customWidth="1"/>
    <col min="8965" max="8965" width="14.375" style="326" bestFit="1" customWidth="1"/>
    <col min="8966" max="8966" width="11" style="326" customWidth="1"/>
    <col min="8967" max="8967" width="10" style="326" customWidth="1"/>
    <col min="8968" max="8968" width="10.875" style="326" customWidth="1"/>
    <col min="8969" max="8969" width="13.75" style="326" customWidth="1"/>
    <col min="8970" max="8970" width="10" style="326" customWidth="1"/>
    <col min="8971" max="8971" width="13.25" style="326" customWidth="1"/>
    <col min="8972" max="8972" width="14.375" style="326" customWidth="1"/>
    <col min="8973" max="8973" width="10" style="326" customWidth="1"/>
    <col min="8974" max="8974" width="10.875" style="326" customWidth="1"/>
    <col min="8975" max="8975" width="11.375" style="326" customWidth="1"/>
    <col min="8976" max="8976" width="15.375" style="326" customWidth="1"/>
    <col min="8977" max="8978" width="10.75" style="326" customWidth="1"/>
    <col min="8979" max="8979" width="14.375" style="326" customWidth="1"/>
    <col min="8980" max="8980" width="10.75" style="326" customWidth="1"/>
    <col min="8981" max="8981" width="11.75" style="326" customWidth="1"/>
    <col min="8982" max="8982" width="10" style="326" customWidth="1"/>
    <col min="8983" max="8983" width="15.375" style="326" customWidth="1"/>
    <col min="8984" max="8984" width="10" style="326" customWidth="1"/>
    <col min="8985" max="8985" width="10.75" style="326" customWidth="1"/>
    <col min="8986" max="8986" width="14.875" style="326" customWidth="1"/>
    <col min="8987" max="8987" width="11.5" style="326" customWidth="1"/>
    <col min="8988" max="8988" width="10" style="326" customWidth="1"/>
    <col min="8989" max="8989" width="10.75" style="326" customWidth="1"/>
    <col min="8990" max="8990" width="13.5" style="326" customWidth="1"/>
    <col min="8991" max="8991" width="9" style="326"/>
    <col min="8992" max="8992" width="10.75" style="326" bestFit="1" customWidth="1"/>
    <col min="8993" max="8993" width="13.75" style="326" customWidth="1"/>
    <col min="8994" max="8994" width="9" style="326"/>
    <col min="8995" max="8995" width="10.625" style="326" customWidth="1"/>
    <col min="8996" max="8996" width="9" style="326"/>
    <col min="8997" max="8997" width="14.25" style="326" customWidth="1"/>
    <col min="8998" max="8998" width="10.75" style="326" bestFit="1" customWidth="1"/>
    <col min="8999" max="8999" width="11.625" style="326" customWidth="1"/>
    <col min="9000" max="9000" width="13.75" style="326" customWidth="1"/>
    <col min="9001" max="9001" width="10.625" style="326" customWidth="1"/>
    <col min="9002" max="9003" width="9" style="326"/>
    <col min="9004" max="9004" width="14.125" style="326" customWidth="1"/>
    <col min="9005" max="9005" width="11" style="326" customWidth="1"/>
    <col min="9006" max="9006" width="10.75" style="326" bestFit="1" customWidth="1"/>
    <col min="9007" max="9007" width="13.5" style="326" customWidth="1"/>
    <col min="9008" max="9009" width="9" style="326"/>
    <col min="9010" max="9010" width="10.75" style="326" bestFit="1" customWidth="1"/>
    <col min="9011" max="9011" width="14" style="326" customWidth="1"/>
    <col min="9012" max="9012" width="9" style="326"/>
    <col min="9013" max="9013" width="10.75" style="326" customWidth="1"/>
    <col min="9014" max="9014" width="12.75" style="326" customWidth="1"/>
    <col min="9015" max="9015" width="9" style="326"/>
    <col min="9016" max="9016" width="10.75" style="326" bestFit="1" customWidth="1"/>
    <col min="9017" max="9017" width="11.5" style="326" customWidth="1"/>
    <col min="9018" max="9018" width="13.625" style="326" customWidth="1"/>
    <col min="9019" max="9019" width="10.625" style="326" customWidth="1"/>
    <col min="9020" max="9020" width="10.75" style="326" bestFit="1" customWidth="1"/>
    <col min="9021" max="9021" width="12.375" style="326" customWidth="1"/>
    <col min="9022" max="9024" width="9" style="326"/>
    <col min="9025" max="9025" width="15.75" style="326" customWidth="1"/>
    <col min="9026" max="9026" width="9" style="326"/>
    <col min="9027" max="9027" width="10.75" style="326" bestFit="1" customWidth="1"/>
    <col min="9028" max="9028" width="12.625" style="326" customWidth="1"/>
    <col min="9029" max="9031" width="9" style="326"/>
    <col min="9032" max="9032" width="13.625" style="326" customWidth="1"/>
    <col min="9033" max="9033" width="9" style="326"/>
    <col min="9034" max="9034" width="10.75" style="326" bestFit="1" customWidth="1"/>
    <col min="9035" max="9035" width="12.5" style="326" customWidth="1"/>
    <col min="9036" max="9038" width="9" style="326"/>
    <col min="9039" max="9039" width="12.875" style="326" customWidth="1"/>
    <col min="9040" max="9040" width="9" style="326"/>
    <col min="9041" max="9041" width="10.75" style="326" bestFit="1" customWidth="1"/>
    <col min="9042" max="9042" width="13.875" style="326" customWidth="1"/>
    <col min="9043" max="9045" width="9" style="326"/>
    <col min="9046" max="9046" width="14.125" style="326" customWidth="1"/>
    <col min="9047" max="9047" width="9" style="326"/>
    <col min="9048" max="9048" width="10.75" style="326" bestFit="1" customWidth="1"/>
    <col min="9049" max="9049" width="13.25" style="326" customWidth="1"/>
    <col min="9050" max="9052" width="9" style="326"/>
    <col min="9053" max="9053" width="13.25" style="326" customWidth="1"/>
    <col min="9054" max="9054" width="9" style="326"/>
    <col min="9055" max="9055" width="10.75" style="326" bestFit="1" customWidth="1"/>
    <col min="9056" max="9056" width="13.875" style="326" customWidth="1"/>
    <col min="9057" max="9059" width="9" style="326"/>
    <col min="9060" max="9060" width="13.625" style="326" customWidth="1"/>
    <col min="9061" max="9061" width="9" style="326"/>
    <col min="9062" max="9062" width="10.75" style="326" bestFit="1" customWidth="1"/>
    <col min="9063" max="9063" width="13" style="326" customWidth="1"/>
    <col min="9064" max="9210" width="9" style="326"/>
    <col min="9211" max="9212" width="12.125" style="326" customWidth="1"/>
    <col min="9213" max="9215" width="13" style="326" customWidth="1"/>
    <col min="9216" max="9216" width="12.875" style="326" customWidth="1"/>
    <col min="9217" max="9217" width="13" style="326" customWidth="1"/>
    <col min="9218" max="9218" width="13.125" style="326" customWidth="1"/>
    <col min="9219" max="9220" width="12.125" style="326" customWidth="1"/>
    <col min="9221" max="9221" width="14.375" style="326" bestFit="1" customWidth="1"/>
    <col min="9222" max="9222" width="11" style="326" customWidth="1"/>
    <col min="9223" max="9223" width="10" style="326" customWidth="1"/>
    <col min="9224" max="9224" width="10.875" style="326" customWidth="1"/>
    <col min="9225" max="9225" width="13.75" style="326" customWidth="1"/>
    <col min="9226" max="9226" width="10" style="326" customWidth="1"/>
    <col min="9227" max="9227" width="13.25" style="326" customWidth="1"/>
    <col min="9228" max="9228" width="14.375" style="326" customWidth="1"/>
    <col min="9229" max="9229" width="10" style="326" customWidth="1"/>
    <col min="9230" max="9230" width="10.875" style="326" customWidth="1"/>
    <col min="9231" max="9231" width="11.375" style="326" customWidth="1"/>
    <col min="9232" max="9232" width="15.375" style="326" customWidth="1"/>
    <col min="9233" max="9234" width="10.75" style="326" customWidth="1"/>
    <col min="9235" max="9235" width="14.375" style="326" customWidth="1"/>
    <col min="9236" max="9236" width="10.75" style="326" customWidth="1"/>
    <col min="9237" max="9237" width="11.75" style="326" customWidth="1"/>
    <col min="9238" max="9238" width="10" style="326" customWidth="1"/>
    <col min="9239" max="9239" width="15.375" style="326" customWidth="1"/>
    <col min="9240" max="9240" width="10" style="326" customWidth="1"/>
    <col min="9241" max="9241" width="10.75" style="326" customWidth="1"/>
    <col min="9242" max="9242" width="14.875" style="326" customWidth="1"/>
    <col min="9243" max="9243" width="11.5" style="326" customWidth="1"/>
    <col min="9244" max="9244" width="10" style="326" customWidth="1"/>
    <col min="9245" max="9245" width="10.75" style="326" customWidth="1"/>
    <col min="9246" max="9246" width="13.5" style="326" customWidth="1"/>
    <col min="9247" max="9247" width="9" style="326"/>
    <col min="9248" max="9248" width="10.75" style="326" bestFit="1" customWidth="1"/>
    <col min="9249" max="9249" width="13.75" style="326" customWidth="1"/>
    <col min="9250" max="9250" width="9" style="326"/>
    <col min="9251" max="9251" width="10.625" style="326" customWidth="1"/>
    <col min="9252" max="9252" width="9" style="326"/>
    <col min="9253" max="9253" width="14.25" style="326" customWidth="1"/>
    <col min="9254" max="9254" width="10.75" style="326" bestFit="1" customWidth="1"/>
    <col min="9255" max="9255" width="11.625" style="326" customWidth="1"/>
    <col min="9256" max="9256" width="13.75" style="326" customWidth="1"/>
    <col min="9257" max="9257" width="10.625" style="326" customWidth="1"/>
    <col min="9258" max="9259" width="9" style="326"/>
    <col min="9260" max="9260" width="14.125" style="326" customWidth="1"/>
    <col min="9261" max="9261" width="11" style="326" customWidth="1"/>
    <col min="9262" max="9262" width="10.75" style="326" bestFit="1" customWidth="1"/>
    <col min="9263" max="9263" width="13.5" style="326" customWidth="1"/>
    <col min="9264" max="9265" width="9" style="326"/>
    <col min="9266" max="9266" width="10.75" style="326" bestFit="1" customWidth="1"/>
    <col min="9267" max="9267" width="14" style="326" customWidth="1"/>
    <col min="9268" max="9268" width="9" style="326"/>
    <col min="9269" max="9269" width="10.75" style="326" customWidth="1"/>
    <col min="9270" max="9270" width="12.75" style="326" customWidth="1"/>
    <col min="9271" max="9271" width="9" style="326"/>
    <col min="9272" max="9272" width="10.75" style="326" bestFit="1" customWidth="1"/>
    <col min="9273" max="9273" width="11.5" style="326" customWidth="1"/>
    <col min="9274" max="9274" width="13.625" style="326" customWidth="1"/>
    <col min="9275" max="9275" width="10.625" style="326" customWidth="1"/>
    <col min="9276" max="9276" width="10.75" style="326" bestFit="1" customWidth="1"/>
    <col min="9277" max="9277" width="12.375" style="326" customWidth="1"/>
    <col min="9278" max="9280" width="9" style="326"/>
    <col min="9281" max="9281" width="15.75" style="326" customWidth="1"/>
    <col min="9282" max="9282" width="9" style="326"/>
    <col min="9283" max="9283" width="10.75" style="326" bestFit="1" customWidth="1"/>
    <col min="9284" max="9284" width="12.625" style="326" customWidth="1"/>
    <col min="9285" max="9287" width="9" style="326"/>
    <col min="9288" max="9288" width="13.625" style="326" customWidth="1"/>
    <col min="9289" max="9289" width="9" style="326"/>
    <col min="9290" max="9290" width="10.75" style="326" bestFit="1" customWidth="1"/>
    <col min="9291" max="9291" width="12.5" style="326" customWidth="1"/>
    <col min="9292" max="9294" width="9" style="326"/>
    <col min="9295" max="9295" width="12.875" style="326" customWidth="1"/>
    <col min="9296" max="9296" width="9" style="326"/>
    <col min="9297" max="9297" width="10.75" style="326" bestFit="1" customWidth="1"/>
    <col min="9298" max="9298" width="13.875" style="326" customWidth="1"/>
    <col min="9299" max="9301" width="9" style="326"/>
    <col min="9302" max="9302" width="14.125" style="326" customWidth="1"/>
    <col min="9303" max="9303" width="9" style="326"/>
    <col min="9304" max="9304" width="10.75" style="326" bestFit="1" customWidth="1"/>
    <col min="9305" max="9305" width="13.25" style="326" customWidth="1"/>
    <col min="9306" max="9308" width="9" style="326"/>
    <col min="9309" max="9309" width="13.25" style="326" customWidth="1"/>
    <col min="9310" max="9310" width="9" style="326"/>
    <col min="9311" max="9311" width="10.75" style="326" bestFit="1" customWidth="1"/>
    <col min="9312" max="9312" width="13.875" style="326" customWidth="1"/>
    <col min="9313" max="9315" width="9" style="326"/>
    <col min="9316" max="9316" width="13.625" style="326" customWidth="1"/>
    <col min="9317" max="9317" width="9" style="326"/>
    <col min="9318" max="9318" width="10.75" style="326" bestFit="1" customWidth="1"/>
    <col min="9319" max="9319" width="13" style="326" customWidth="1"/>
    <col min="9320" max="9466" width="9" style="326"/>
    <col min="9467" max="9468" width="12.125" style="326" customWidth="1"/>
    <col min="9469" max="9471" width="13" style="326" customWidth="1"/>
    <col min="9472" max="9472" width="12.875" style="326" customWidth="1"/>
    <col min="9473" max="9473" width="13" style="326" customWidth="1"/>
    <col min="9474" max="9474" width="13.125" style="326" customWidth="1"/>
    <col min="9475" max="9476" width="12.125" style="326" customWidth="1"/>
    <col min="9477" max="9477" width="14.375" style="326" bestFit="1" customWidth="1"/>
    <col min="9478" max="9478" width="11" style="326" customWidth="1"/>
    <col min="9479" max="9479" width="10" style="326" customWidth="1"/>
    <col min="9480" max="9480" width="10.875" style="326" customWidth="1"/>
    <col min="9481" max="9481" width="13.75" style="326" customWidth="1"/>
    <col min="9482" max="9482" width="10" style="326" customWidth="1"/>
    <col min="9483" max="9483" width="13.25" style="326" customWidth="1"/>
    <col min="9484" max="9484" width="14.375" style="326" customWidth="1"/>
    <col min="9485" max="9485" width="10" style="326" customWidth="1"/>
    <col min="9486" max="9486" width="10.875" style="326" customWidth="1"/>
    <col min="9487" max="9487" width="11.375" style="326" customWidth="1"/>
    <col min="9488" max="9488" width="15.375" style="326" customWidth="1"/>
    <col min="9489" max="9490" width="10.75" style="326" customWidth="1"/>
    <col min="9491" max="9491" width="14.375" style="326" customWidth="1"/>
    <col min="9492" max="9492" width="10.75" style="326" customWidth="1"/>
    <col min="9493" max="9493" width="11.75" style="326" customWidth="1"/>
    <col min="9494" max="9494" width="10" style="326" customWidth="1"/>
    <col min="9495" max="9495" width="15.375" style="326" customWidth="1"/>
    <col min="9496" max="9496" width="10" style="326" customWidth="1"/>
    <col min="9497" max="9497" width="10.75" style="326" customWidth="1"/>
    <col min="9498" max="9498" width="14.875" style="326" customWidth="1"/>
    <col min="9499" max="9499" width="11.5" style="326" customWidth="1"/>
    <col min="9500" max="9500" width="10" style="326" customWidth="1"/>
    <col min="9501" max="9501" width="10.75" style="326" customWidth="1"/>
    <col min="9502" max="9502" width="13.5" style="326" customWidth="1"/>
    <col min="9503" max="9503" width="9" style="326"/>
    <col min="9504" max="9504" width="10.75" style="326" bestFit="1" customWidth="1"/>
    <col min="9505" max="9505" width="13.75" style="326" customWidth="1"/>
    <col min="9506" max="9506" width="9" style="326"/>
    <col min="9507" max="9507" width="10.625" style="326" customWidth="1"/>
    <col min="9508" max="9508" width="9" style="326"/>
    <col min="9509" max="9509" width="14.25" style="326" customWidth="1"/>
    <col min="9510" max="9510" width="10.75" style="326" bestFit="1" customWidth="1"/>
    <col min="9511" max="9511" width="11.625" style="326" customWidth="1"/>
    <col min="9512" max="9512" width="13.75" style="326" customWidth="1"/>
    <col min="9513" max="9513" width="10.625" style="326" customWidth="1"/>
    <col min="9514" max="9515" width="9" style="326"/>
    <col min="9516" max="9516" width="14.125" style="326" customWidth="1"/>
    <col min="9517" max="9517" width="11" style="326" customWidth="1"/>
    <col min="9518" max="9518" width="10.75" style="326" bestFit="1" customWidth="1"/>
    <col min="9519" max="9519" width="13.5" style="326" customWidth="1"/>
    <col min="9520" max="9521" width="9" style="326"/>
    <col min="9522" max="9522" width="10.75" style="326" bestFit="1" customWidth="1"/>
    <col min="9523" max="9523" width="14" style="326" customWidth="1"/>
    <col min="9524" max="9524" width="9" style="326"/>
    <col min="9525" max="9525" width="10.75" style="326" customWidth="1"/>
    <col min="9526" max="9526" width="12.75" style="326" customWidth="1"/>
    <col min="9527" max="9527" width="9" style="326"/>
    <col min="9528" max="9528" width="10.75" style="326" bestFit="1" customWidth="1"/>
    <col min="9529" max="9529" width="11.5" style="326" customWidth="1"/>
    <col min="9530" max="9530" width="13.625" style="326" customWidth="1"/>
    <col min="9531" max="9531" width="10.625" style="326" customWidth="1"/>
    <col min="9532" max="9532" width="10.75" style="326" bestFit="1" customWidth="1"/>
    <col min="9533" max="9533" width="12.375" style="326" customWidth="1"/>
    <col min="9534" max="9536" width="9" style="326"/>
    <col min="9537" max="9537" width="15.75" style="326" customWidth="1"/>
    <col min="9538" max="9538" width="9" style="326"/>
    <col min="9539" max="9539" width="10.75" style="326" bestFit="1" customWidth="1"/>
    <col min="9540" max="9540" width="12.625" style="326" customWidth="1"/>
    <col min="9541" max="9543" width="9" style="326"/>
    <col min="9544" max="9544" width="13.625" style="326" customWidth="1"/>
    <col min="9545" max="9545" width="9" style="326"/>
    <col min="9546" max="9546" width="10.75" style="326" bestFit="1" customWidth="1"/>
    <col min="9547" max="9547" width="12.5" style="326" customWidth="1"/>
    <col min="9548" max="9550" width="9" style="326"/>
    <col min="9551" max="9551" width="12.875" style="326" customWidth="1"/>
    <col min="9552" max="9552" width="9" style="326"/>
    <col min="9553" max="9553" width="10.75" style="326" bestFit="1" customWidth="1"/>
    <col min="9554" max="9554" width="13.875" style="326" customWidth="1"/>
    <col min="9555" max="9557" width="9" style="326"/>
    <col min="9558" max="9558" width="14.125" style="326" customWidth="1"/>
    <col min="9559" max="9559" width="9" style="326"/>
    <col min="9560" max="9560" width="10.75" style="326" bestFit="1" customWidth="1"/>
    <col min="9561" max="9561" width="13.25" style="326" customWidth="1"/>
    <col min="9562" max="9564" width="9" style="326"/>
    <col min="9565" max="9565" width="13.25" style="326" customWidth="1"/>
    <col min="9566" max="9566" width="9" style="326"/>
    <col min="9567" max="9567" width="10.75" style="326" bestFit="1" customWidth="1"/>
    <col min="9568" max="9568" width="13.875" style="326" customWidth="1"/>
    <col min="9569" max="9571" width="9" style="326"/>
    <col min="9572" max="9572" width="13.625" style="326" customWidth="1"/>
    <col min="9573" max="9573" width="9" style="326"/>
    <col min="9574" max="9574" width="10.75" style="326" bestFit="1" customWidth="1"/>
    <col min="9575" max="9575" width="13" style="326" customWidth="1"/>
    <col min="9576" max="9722" width="9" style="326"/>
    <col min="9723" max="9724" width="12.125" style="326" customWidth="1"/>
    <col min="9725" max="9727" width="13" style="326" customWidth="1"/>
    <col min="9728" max="9728" width="12.875" style="326" customWidth="1"/>
    <col min="9729" max="9729" width="13" style="326" customWidth="1"/>
    <col min="9730" max="9730" width="13.125" style="326" customWidth="1"/>
    <col min="9731" max="9732" width="12.125" style="326" customWidth="1"/>
    <col min="9733" max="9733" width="14.375" style="326" bestFit="1" customWidth="1"/>
    <col min="9734" max="9734" width="11" style="326" customWidth="1"/>
    <col min="9735" max="9735" width="10" style="326" customWidth="1"/>
    <col min="9736" max="9736" width="10.875" style="326" customWidth="1"/>
    <col min="9737" max="9737" width="13.75" style="326" customWidth="1"/>
    <col min="9738" max="9738" width="10" style="326" customWidth="1"/>
    <col min="9739" max="9739" width="13.25" style="326" customWidth="1"/>
    <col min="9740" max="9740" width="14.375" style="326" customWidth="1"/>
    <col min="9741" max="9741" width="10" style="326" customWidth="1"/>
    <col min="9742" max="9742" width="10.875" style="326" customWidth="1"/>
    <col min="9743" max="9743" width="11.375" style="326" customWidth="1"/>
    <col min="9744" max="9744" width="15.375" style="326" customWidth="1"/>
    <col min="9745" max="9746" width="10.75" style="326" customWidth="1"/>
    <col min="9747" max="9747" width="14.375" style="326" customWidth="1"/>
    <col min="9748" max="9748" width="10.75" style="326" customWidth="1"/>
    <col min="9749" max="9749" width="11.75" style="326" customWidth="1"/>
    <col min="9750" max="9750" width="10" style="326" customWidth="1"/>
    <col min="9751" max="9751" width="15.375" style="326" customWidth="1"/>
    <col min="9752" max="9752" width="10" style="326" customWidth="1"/>
    <col min="9753" max="9753" width="10.75" style="326" customWidth="1"/>
    <col min="9754" max="9754" width="14.875" style="326" customWidth="1"/>
    <col min="9755" max="9755" width="11.5" style="326" customWidth="1"/>
    <col min="9756" max="9756" width="10" style="326" customWidth="1"/>
    <col min="9757" max="9757" width="10.75" style="326" customWidth="1"/>
    <col min="9758" max="9758" width="13.5" style="326" customWidth="1"/>
    <col min="9759" max="9759" width="9" style="326"/>
    <col min="9760" max="9760" width="10.75" style="326" bestFit="1" customWidth="1"/>
    <col min="9761" max="9761" width="13.75" style="326" customWidth="1"/>
    <col min="9762" max="9762" width="9" style="326"/>
    <col min="9763" max="9763" width="10.625" style="326" customWidth="1"/>
    <col min="9764" max="9764" width="9" style="326"/>
    <col min="9765" max="9765" width="14.25" style="326" customWidth="1"/>
    <col min="9766" max="9766" width="10.75" style="326" bestFit="1" customWidth="1"/>
    <col min="9767" max="9767" width="11.625" style="326" customWidth="1"/>
    <col min="9768" max="9768" width="13.75" style="326" customWidth="1"/>
    <col min="9769" max="9769" width="10.625" style="326" customWidth="1"/>
    <col min="9770" max="9771" width="9" style="326"/>
    <col min="9772" max="9772" width="14.125" style="326" customWidth="1"/>
    <col min="9773" max="9773" width="11" style="326" customWidth="1"/>
    <col min="9774" max="9774" width="10.75" style="326" bestFit="1" customWidth="1"/>
    <col min="9775" max="9775" width="13.5" style="326" customWidth="1"/>
    <col min="9776" max="9777" width="9" style="326"/>
    <col min="9778" max="9778" width="10.75" style="326" bestFit="1" customWidth="1"/>
    <col min="9779" max="9779" width="14" style="326" customWidth="1"/>
    <col min="9780" max="9780" width="9" style="326"/>
    <col min="9781" max="9781" width="10.75" style="326" customWidth="1"/>
    <col min="9782" max="9782" width="12.75" style="326" customWidth="1"/>
    <col min="9783" max="9783" width="9" style="326"/>
    <col min="9784" max="9784" width="10.75" style="326" bestFit="1" customWidth="1"/>
    <col min="9785" max="9785" width="11.5" style="326" customWidth="1"/>
    <col min="9786" max="9786" width="13.625" style="326" customWidth="1"/>
    <col min="9787" max="9787" width="10.625" style="326" customWidth="1"/>
    <col min="9788" max="9788" width="10.75" style="326" bestFit="1" customWidth="1"/>
    <col min="9789" max="9789" width="12.375" style="326" customWidth="1"/>
    <col min="9790" max="9792" width="9" style="326"/>
    <col min="9793" max="9793" width="15.75" style="326" customWidth="1"/>
    <col min="9794" max="9794" width="9" style="326"/>
    <col min="9795" max="9795" width="10.75" style="326" bestFit="1" customWidth="1"/>
    <col min="9796" max="9796" width="12.625" style="326" customWidth="1"/>
    <col min="9797" max="9799" width="9" style="326"/>
    <col min="9800" max="9800" width="13.625" style="326" customWidth="1"/>
    <col min="9801" max="9801" width="9" style="326"/>
    <col min="9802" max="9802" width="10.75" style="326" bestFit="1" customWidth="1"/>
    <col min="9803" max="9803" width="12.5" style="326" customWidth="1"/>
    <col min="9804" max="9806" width="9" style="326"/>
    <col min="9807" max="9807" width="12.875" style="326" customWidth="1"/>
    <col min="9808" max="9808" width="9" style="326"/>
    <col min="9809" max="9809" width="10.75" style="326" bestFit="1" customWidth="1"/>
    <col min="9810" max="9810" width="13.875" style="326" customWidth="1"/>
    <col min="9811" max="9813" width="9" style="326"/>
    <col min="9814" max="9814" width="14.125" style="326" customWidth="1"/>
    <col min="9815" max="9815" width="9" style="326"/>
    <col min="9816" max="9816" width="10.75" style="326" bestFit="1" customWidth="1"/>
    <col min="9817" max="9817" width="13.25" style="326" customWidth="1"/>
    <col min="9818" max="9820" width="9" style="326"/>
    <col min="9821" max="9821" width="13.25" style="326" customWidth="1"/>
    <col min="9822" max="9822" width="9" style="326"/>
    <col min="9823" max="9823" width="10.75" style="326" bestFit="1" customWidth="1"/>
    <col min="9824" max="9824" width="13.875" style="326" customWidth="1"/>
    <col min="9825" max="9827" width="9" style="326"/>
    <col min="9828" max="9828" width="13.625" style="326" customWidth="1"/>
    <col min="9829" max="9829" width="9" style="326"/>
    <col min="9830" max="9830" width="10.75" style="326" bestFit="1" customWidth="1"/>
    <col min="9831" max="9831" width="13" style="326" customWidth="1"/>
    <col min="9832" max="9978" width="9" style="326"/>
    <col min="9979" max="9980" width="12.125" style="326" customWidth="1"/>
    <col min="9981" max="9983" width="13" style="326" customWidth="1"/>
    <col min="9984" max="9984" width="12.875" style="326" customWidth="1"/>
    <col min="9985" max="9985" width="13" style="326" customWidth="1"/>
    <col min="9986" max="9986" width="13.125" style="326" customWidth="1"/>
    <col min="9987" max="9988" width="12.125" style="326" customWidth="1"/>
    <col min="9989" max="9989" width="14.375" style="326" bestFit="1" customWidth="1"/>
    <col min="9990" max="9990" width="11" style="326" customWidth="1"/>
    <col min="9991" max="9991" width="10" style="326" customWidth="1"/>
    <col min="9992" max="9992" width="10.875" style="326" customWidth="1"/>
    <col min="9993" max="9993" width="13.75" style="326" customWidth="1"/>
    <col min="9994" max="9994" width="10" style="326" customWidth="1"/>
    <col min="9995" max="9995" width="13.25" style="326" customWidth="1"/>
    <col min="9996" max="9996" width="14.375" style="326" customWidth="1"/>
    <col min="9997" max="9997" width="10" style="326" customWidth="1"/>
    <col min="9998" max="9998" width="10.875" style="326" customWidth="1"/>
    <col min="9999" max="9999" width="11.375" style="326" customWidth="1"/>
    <col min="10000" max="10000" width="15.375" style="326" customWidth="1"/>
    <col min="10001" max="10002" width="10.75" style="326" customWidth="1"/>
    <col min="10003" max="10003" width="14.375" style="326" customWidth="1"/>
    <col min="10004" max="10004" width="10.75" style="326" customWidth="1"/>
    <col min="10005" max="10005" width="11.75" style="326" customWidth="1"/>
    <col min="10006" max="10006" width="10" style="326" customWidth="1"/>
    <col min="10007" max="10007" width="15.375" style="326" customWidth="1"/>
    <col min="10008" max="10008" width="10" style="326" customWidth="1"/>
    <col min="10009" max="10009" width="10.75" style="326" customWidth="1"/>
    <col min="10010" max="10010" width="14.875" style="326" customWidth="1"/>
    <col min="10011" max="10011" width="11.5" style="326" customWidth="1"/>
    <col min="10012" max="10012" width="10" style="326" customWidth="1"/>
    <col min="10013" max="10013" width="10.75" style="326" customWidth="1"/>
    <col min="10014" max="10014" width="13.5" style="326" customWidth="1"/>
    <col min="10015" max="10015" width="9" style="326"/>
    <col min="10016" max="10016" width="10.75" style="326" bestFit="1" customWidth="1"/>
    <col min="10017" max="10017" width="13.75" style="326" customWidth="1"/>
    <col min="10018" max="10018" width="9" style="326"/>
    <col min="10019" max="10019" width="10.625" style="326" customWidth="1"/>
    <col min="10020" max="10020" width="9" style="326"/>
    <col min="10021" max="10021" width="14.25" style="326" customWidth="1"/>
    <col min="10022" max="10022" width="10.75" style="326" bestFit="1" customWidth="1"/>
    <col min="10023" max="10023" width="11.625" style="326" customWidth="1"/>
    <col min="10024" max="10024" width="13.75" style="326" customWidth="1"/>
    <col min="10025" max="10025" width="10.625" style="326" customWidth="1"/>
    <col min="10026" max="10027" width="9" style="326"/>
    <col min="10028" max="10028" width="14.125" style="326" customWidth="1"/>
    <col min="10029" max="10029" width="11" style="326" customWidth="1"/>
    <col min="10030" max="10030" width="10.75" style="326" bestFit="1" customWidth="1"/>
    <col min="10031" max="10031" width="13.5" style="326" customWidth="1"/>
    <col min="10032" max="10033" width="9" style="326"/>
    <col min="10034" max="10034" width="10.75" style="326" bestFit="1" customWidth="1"/>
    <col min="10035" max="10035" width="14" style="326" customWidth="1"/>
    <col min="10036" max="10036" width="9" style="326"/>
    <col min="10037" max="10037" width="10.75" style="326" customWidth="1"/>
    <col min="10038" max="10038" width="12.75" style="326" customWidth="1"/>
    <col min="10039" max="10039" width="9" style="326"/>
    <col min="10040" max="10040" width="10.75" style="326" bestFit="1" customWidth="1"/>
    <col min="10041" max="10041" width="11.5" style="326" customWidth="1"/>
    <col min="10042" max="10042" width="13.625" style="326" customWidth="1"/>
    <col min="10043" max="10043" width="10.625" style="326" customWidth="1"/>
    <col min="10044" max="10044" width="10.75" style="326" bestFit="1" customWidth="1"/>
    <col min="10045" max="10045" width="12.375" style="326" customWidth="1"/>
    <col min="10046" max="10048" width="9" style="326"/>
    <col min="10049" max="10049" width="15.75" style="326" customWidth="1"/>
    <col min="10050" max="10050" width="9" style="326"/>
    <col min="10051" max="10051" width="10.75" style="326" bestFit="1" customWidth="1"/>
    <col min="10052" max="10052" width="12.625" style="326" customWidth="1"/>
    <col min="10053" max="10055" width="9" style="326"/>
    <col min="10056" max="10056" width="13.625" style="326" customWidth="1"/>
    <col min="10057" max="10057" width="9" style="326"/>
    <col min="10058" max="10058" width="10.75" style="326" bestFit="1" customWidth="1"/>
    <col min="10059" max="10059" width="12.5" style="326" customWidth="1"/>
    <col min="10060" max="10062" width="9" style="326"/>
    <col min="10063" max="10063" width="12.875" style="326" customWidth="1"/>
    <col min="10064" max="10064" width="9" style="326"/>
    <col min="10065" max="10065" width="10.75" style="326" bestFit="1" customWidth="1"/>
    <col min="10066" max="10066" width="13.875" style="326" customWidth="1"/>
    <col min="10067" max="10069" width="9" style="326"/>
    <col min="10070" max="10070" width="14.125" style="326" customWidth="1"/>
    <col min="10071" max="10071" width="9" style="326"/>
    <col min="10072" max="10072" width="10.75" style="326" bestFit="1" customWidth="1"/>
    <col min="10073" max="10073" width="13.25" style="326" customWidth="1"/>
    <col min="10074" max="10076" width="9" style="326"/>
    <col min="10077" max="10077" width="13.25" style="326" customWidth="1"/>
    <col min="10078" max="10078" width="9" style="326"/>
    <col min="10079" max="10079" width="10.75" style="326" bestFit="1" customWidth="1"/>
    <col min="10080" max="10080" width="13.875" style="326" customWidth="1"/>
    <col min="10081" max="10083" width="9" style="326"/>
    <col min="10084" max="10084" width="13.625" style="326" customWidth="1"/>
    <col min="10085" max="10085" width="9" style="326"/>
    <col min="10086" max="10086" width="10.75" style="326" bestFit="1" customWidth="1"/>
    <col min="10087" max="10087" width="13" style="326" customWidth="1"/>
    <col min="10088" max="10234" width="9" style="326"/>
    <col min="10235" max="10236" width="12.125" style="326" customWidth="1"/>
    <col min="10237" max="10239" width="13" style="326" customWidth="1"/>
    <col min="10240" max="10240" width="12.875" style="326" customWidth="1"/>
    <col min="10241" max="10241" width="13" style="326" customWidth="1"/>
    <col min="10242" max="10242" width="13.125" style="326" customWidth="1"/>
    <col min="10243" max="10244" width="12.125" style="326" customWidth="1"/>
    <col min="10245" max="10245" width="14.375" style="326" bestFit="1" customWidth="1"/>
    <col min="10246" max="10246" width="11" style="326" customWidth="1"/>
    <col min="10247" max="10247" width="10" style="326" customWidth="1"/>
    <col min="10248" max="10248" width="10.875" style="326" customWidth="1"/>
    <col min="10249" max="10249" width="13.75" style="326" customWidth="1"/>
    <col min="10250" max="10250" width="10" style="326" customWidth="1"/>
    <col min="10251" max="10251" width="13.25" style="326" customWidth="1"/>
    <col min="10252" max="10252" width="14.375" style="326" customWidth="1"/>
    <col min="10253" max="10253" width="10" style="326" customWidth="1"/>
    <col min="10254" max="10254" width="10.875" style="326" customWidth="1"/>
    <col min="10255" max="10255" width="11.375" style="326" customWidth="1"/>
    <col min="10256" max="10256" width="15.375" style="326" customWidth="1"/>
    <col min="10257" max="10258" width="10.75" style="326" customWidth="1"/>
    <col min="10259" max="10259" width="14.375" style="326" customWidth="1"/>
    <col min="10260" max="10260" width="10.75" style="326" customWidth="1"/>
    <col min="10261" max="10261" width="11.75" style="326" customWidth="1"/>
    <col min="10262" max="10262" width="10" style="326" customWidth="1"/>
    <col min="10263" max="10263" width="15.375" style="326" customWidth="1"/>
    <col min="10264" max="10264" width="10" style="326" customWidth="1"/>
    <col min="10265" max="10265" width="10.75" style="326" customWidth="1"/>
    <col min="10266" max="10266" width="14.875" style="326" customWidth="1"/>
    <col min="10267" max="10267" width="11.5" style="326" customWidth="1"/>
    <col min="10268" max="10268" width="10" style="326" customWidth="1"/>
    <col min="10269" max="10269" width="10.75" style="326" customWidth="1"/>
    <col min="10270" max="10270" width="13.5" style="326" customWidth="1"/>
    <col min="10271" max="10271" width="9" style="326"/>
    <col min="10272" max="10272" width="10.75" style="326" bestFit="1" customWidth="1"/>
    <col min="10273" max="10273" width="13.75" style="326" customWidth="1"/>
    <col min="10274" max="10274" width="9" style="326"/>
    <col min="10275" max="10275" width="10.625" style="326" customWidth="1"/>
    <col min="10276" max="10276" width="9" style="326"/>
    <col min="10277" max="10277" width="14.25" style="326" customWidth="1"/>
    <col min="10278" max="10278" width="10.75" style="326" bestFit="1" customWidth="1"/>
    <col min="10279" max="10279" width="11.625" style="326" customWidth="1"/>
    <col min="10280" max="10280" width="13.75" style="326" customWidth="1"/>
    <col min="10281" max="10281" width="10.625" style="326" customWidth="1"/>
    <col min="10282" max="10283" width="9" style="326"/>
    <col min="10284" max="10284" width="14.125" style="326" customWidth="1"/>
    <col min="10285" max="10285" width="11" style="326" customWidth="1"/>
    <col min="10286" max="10286" width="10.75" style="326" bestFit="1" customWidth="1"/>
    <col min="10287" max="10287" width="13.5" style="326" customWidth="1"/>
    <col min="10288" max="10289" width="9" style="326"/>
    <col min="10290" max="10290" width="10.75" style="326" bestFit="1" customWidth="1"/>
    <col min="10291" max="10291" width="14" style="326" customWidth="1"/>
    <col min="10292" max="10292" width="9" style="326"/>
    <col min="10293" max="10293" width="10.75" style="326" customWidth="1"/>
    <col min="10294" max="10294" width="12.75" style="326" customWidth="1"/>
    <col min="10295" max="10295" width="9" style="326"/>
    <col min="10296" max="10296" width="10.75" style="326" bestFit="1" customWidth="1"/>
    <col min="10297" max="10297" width="11.5" style="326" customWidth="1"/>
    <col min="10298" max="10298" width="13.625" style="326" customWidth="1"/>
    <col min="10299" max="10299" width="10.625" style="326" customWidth="1"/>
    <col min="10300" max="10300" width="10.75" style="326" bestFit="1" customWidth="1"/>
    <col min="10301" max="10301" width="12.375" style="326" customWidth="1"/>
    <col min="10302" max="10304" width="9" style="326"/>
    <col min="10305" max="10305" width="15.75" style="326" customWidth="1"/>
    <col min="10306" max="10306" width="9" style="326"/>
    <col min="10307" max="10307" width="10.75" style="326" bestFit="1" customWidth="1"/>
    <col min="10308" max="10308" width="12.625" style="326" customWidth="1"/>
    <col min="10309" max="10311" width="9" style="326"/>
    <col min="10312" max="10312" width="13.625" style="326" customWidth="1"/>
    <col min="10313" max="10313" width="9" style="326"/>
    <col min="10314" max="10314" width="10.75" style="326" bestFit="1" customWidth="1"/>
    <col min="10315" max="10315" width="12.5" style="326" customWidth="1"/>
    <col min="10316" max="10318" width="9" style="326"/>
    <col min="10319" max="10319" width="12.875" style="326" customWidth="1"/>
    <col min="10320" max="10320" width="9" style="326"/>
    <col min="10321" max="10321" width="10.75" style="326" bestFit="1" customWidth="1"/>
    <col min="10322" max="10322" width="13.875" style="326" customWidth="1"/>
    <col min="10323" max="10325" width="9" style="326"/>
    <col min="10326" max="10326" width="14.125" style="326" customWidth="1"/>
    <col min="10327" max="10327" width="9" style="326"/>
    <col min="10328" max="10328" width="10.75" style="326" bestFit="1" customWidth="1"/>
    <col min="10329" max="10329" width="13.25" style="326" customWidth="1"/>
    <col min="10330" max="10332" width="9" style="326"/>
    <col min="10333" max="10333" width="13.25" style="326" customWidth="1"/>
    <col min="10334" max="10334" width="9" style="326"/>
    <col min="10335" max="10335" width="10.75" style="326" bestFit="1" customWidth="1"/>
    <col min="10336" max="10336" width="13.875" style="326" customWidth="1"/>
    <col min="10337" max="10339" width="9" style="326"/>
    <col min="10340" max="10340" width="13.625" style="326" customWidth="1"/>
    <col min="10341" max="10341" width="9" style="326"/>
    <col min="10342" max="10342" width="10.75" style="326" bestFit="1" customWidth="1"/>
    <col min="10343" max="10343" width="13" style="326" customWidth="1"/>
    <col min="10344" max="10490" width="9" style="326"/>
    <col min="10491" max="10492" width="12.125" style="326" customWidth="1"/>
    <col min="10493" max="10495" width="13" style="326" customWidth="1"/>
    <col min="10496" max="10496" width="12.875" style="326" customWidth="1"/>
    <col min="10497" max="10497" width="13" style="326" customWidth="1"/>
    <col min="10498" max="10498" width="13.125" style="326" customWidth="1"/>
    <col min="10499" max="10500" width="12.125" style="326" customWidth="1"/>
    <col min="10501" max="10501" width="14.375" style="326" bestFit="1" customWidth="1"/>
    <col min="10502" max="10502" width="11" style="326" customWidth="1"/>
    <col min="10503" max="10503" width="10" style="326" customWidth="1"/>
    <col min="10504" max="10504" width="10.875" style="326" customWidth="1"/>
    <col min="10505" max="10505" width="13.75" style="326" customWidth="1"/>
    <col min="10506" max="10506" width="10" style="326" customWidth="1"/>
    <col min="10507" max="10507" width="13.25" style="326" customWidth="1"/>
    <col min="10508" max="10508" width="14.375" style="326" customWidth="1"/>
    <col min="10509" max="10509" width="10" style="326" customWidth="1"/>
    <col min="10510" max="10510" width="10.875" style="326" customWidth="1"/>
    <col min="10511" max="10511" width="11.375" style="326" customWidth="1"/>
    <col min="10512" max="10512" width="15.375" style="326" customWidth="1"/>
    <col min="10513" max="10514" width="10.75" style="326" customWidth="1"/>
    <col min="10515" max="10515" width="14.375" style="326" customWidth="1"/>
    <col min="10516" max="10516" width="10.75" style="326" customWidth="1"/>
    <col min="10517" max="10517" width="11.75" style="326" customWidth="1"/>
    <col min="10518" max="10518" width="10" style="326" customWidth="1"/>
    <col min="10519" max="10519" width="15.375" style="326" customWidth="1"/>
    <col min="10520" max="10520" width="10" style="326" customWidth="1"/>
    <col min="10521" max="10521" width="10.75" style="326" customWidth="1"/>
    <col min="10522" max="10522" width="14.875" style="326" customWidth="1"/>
    <col min="10523" max="10523" width="11.5" style="326" customWidth="1"/>
    <col min="10524" max="10524" width="10" style="326" customWidth="1"/>
    <col min="10525" max="10525" width="10.75" style="326" customWidth="1"/>
    <col min="10526" max="10526" width="13.5" style="326" customWidth="1"/>
    <col min="10527" max="10527" width="9" style="326"/>
    <col min="10528" max="10528" width="10.75" style="326" bestFit="1" customWidth="1"/>
    <col min="10529" max="10529" width="13.75" style="326" customWidth="1"/>
    <col min="10530" max="10530" width="9" style="326"/>
    <col min="10531" max="10531" width="10.625" style="326" customWidth="1"/>
    <col min="10532" max="10532" width="9" style="326"/>
    <col min="10533" max="10533" width="14.25" style="326" customWidth="1"/>
    <col min="10534" max="10534" width="10.75" style="326" bestFit="1" customWidth="1"/>
    <col min="10535" max="10535" width="11.625" style="326" customWidth="1"/>
    <col min="10536" max="10536" width="13.75" style="326" customWidth="1"/>
    <col min="10537" max="10537" width="10.625" style="326" customWidth="1"/>
    <col min="10538" max="10539" width="9" style="326"/>
    <col min="10540" max="10540" width="14.125" style="326" customWidth="1"/>
    <col min="10541" max="10541" width="11" style="326" customWidth="1"/>
    <col min="10542" max="10542" width="10.75" style="326" bestFit="1" customWidth="1"/>
    <col min="10543" max="10543" width="13.5" style="326" customWidth="1"/>
    <col min="10544" max="10545" width="9" style="326"/>
    <col min="10546" max="10546" width="10.75" style="326" bestFit="1" customWidth="1"/>
    <col min="10547" max="10547" width="14" style="326" customWidth="1"/>
    <col min="10548" max="10548" width="9" style="326"/>
    <col min="10549" max="10549" width="10.75" style="326" customWidth="1"/>
    <col min="10550" max="10550" width="12.75" style="326" customWidth="1"/>
    <col min="10551" max="10551" width="9" style="326"/>
    <col min="10552" max="10552" width="10.75" style="326" bestFit="1" customWidth="1"/>
    <col min="10553" max="10553" width="11.5" style="326" customWidth="1"/>
    <col min="10554" max="10554" width="13.625" style="326" customWidth="1"/>
    <col min="10555" max="10555" width="10.625" style="326" customWidth="1"/>
    <col min="10556" max="10556" width="10.75" style="326" bestFit="1" customWidth="1"/>
    <col min="10557" max="10557" width="12.375" style="326" customWidth="1"/>
    <col min="10558" max="10560" width="9" style="326"/>
    <col min="10561" max="10561" width="15.75" style="326" customWidth="1"/>
    <col min="10562" max="10562" width="9" style="326"/>
    <col min="10563" max="10563" width="10.75" style="326" bestFit="1" customWidth="1"/>
    <col min="10564" max="10564" width="12.625" style="326" customWidth="1"/>
    <col min="10565" max="10567" width="9" style="326"/>
    <col min="10568" max="10568" width="13.625" style="326" customWidth="1"/>
    <col min="10569" max="10569" width="9" style="326"/>
    <col min="10570" max="10570" width="10.75" style="326" bestFit="1" customWidth="1"/>
    <col min="10571" max="10571" width="12.5" style="326" customWidth="1"/>
    <col min="10572" max="10574" width="9" style="326"/>
    <col min="10575" max="10575" width="12.875" style="326" customWidth="1"/>
    <col min="10576" max="10576" width="9" style="326"/>
    <col min="10577" max="10577" width="10.75" style="326" bestFit="1" customWidth="1"/>
    <col min="10578" max="10578" width="13.875" style="326" customWidth="1"/>
    <col min="10579" max="10581" width="9" style="326"/>
    <col min="10582" max="10582" width="14.125" style="326" customWidth="1"/>
    <col min="10583" max="10583" width="9" style="326"/>
    <col min="10584" max="10584" width="10.75" style="326" bestFit="1" customWidth="1"/>
    <col min="10585" max="10585" width="13.25" style="326" customWidth="1"/>
    <col min="10586" max="10588" width="9" style="326"/>
    <col min="10589" max="10589" width="13.25" style="326" customWidth="1"/>
    <col min="10590" max="10590" width="9" style="326"/>
    <col min="10591" max="10591" width="10.75" style="326" bestFit="1" customWidth="1"/>
    <col min="10592" max="10592" width="13.875" style="326" customWidth="1"/>
    <col min="10593" max="10595" width="9" style="326"/>
    <col min="10596" max="10596" width="13.625" style="326" customWidth="1"/>
    <col min="10597" max="10597" width="9" style="326"/>
    <col min="10598" max="10598" width="10.75" style="326" bestFit="1" customWidth="1"/>
    <col min="10599" max="10599" width="13" style="326" customWidth="1"/>
    <col min="10600" max="10746" width="9" style="326"/>
    <col min="10747" max="10748" width="12.125" style="326" customWidth="1"/>
    <col min="10749" max="10751" width="13" style="326" customWidth="1"/>
    <col min="10752" max="10752" width="12.875" style="326" customWidth="1"/>
    <col min="10753" max="10753" width="13" style="326" customWidth="1"/>
    <col min="10754" max="10754" width="13.125" style="326" customWidth="1"/>
    <col min="10755" max="10756" width="12.125" style="326" customWidth="1"/>
    <col min="10757" max="10757" width="14.375" style="326" bestFit="1" customWidth="1"/>
    <col min="10758" max="10758" width="11" style="326" customWidth="1"/>
    <col min="10759" max="10759" width="10" style="326" customWidth="1"/>
    <col min="10760" max="10760" width="10.875" style="326" customWidth="1"/>
    <col min="10761" max="10761" width="13.75" style="326" customWidth="1"/>
    <col min="10762" max="10762" width="10" style="326" customWidth="1"/>
    <col min="10763" max="10763" width="13.25" style="326" customWidth="1"/>
    <col min="10764" max="10764" width="14.375" style="326" customWidth="1"/>
    <col min="10765" max="10765" width="10" style="326" customWidth="1"/>
    <col min="10766" max="10766" width="10.875" style="326" customWidth="1"/>
    <col min="10767" max="10767" width="11.375" style="326" customWidth="1"/>
    <col min="10768" max="10768" width="15.375" style="326" customWidth="1"/>
    <col min="10769" max="10770" width="10.75" style="326" customWidth="1"/>
    <col min="10771" max="10771" width="14.375" style="326" customWidth="1"/>
    <col min="10772" max="10772" width="10.75" style="326" customWidth="1"/>
    <col min="10773" max="10773" width="11.75" style="326" customWidth="1"/>
    <col min="10774" max="10774" width="10" style="326" customWidth="1"/>
    <col min="10775" max="10775" width="15.375" style="326" customWidth="1"/>
    <col min="10776" max="10776" width="10" style="326" customWidth="1"/>
    <col min="10777" max="10777" width="10.75" style="326" customWidth="1"/>
    <col min="10778" max="10778" width="14.875" style="326" customWidth="1"/>
    <col min="10779" max="10779" width="11.5" style="326" customWidth="1"/>
    <col min="10780" max="10780" width="10" style="326" customWidth="1"/>
    <col min="10781" max="10781" width="10.75" style="326" customWidth="1"/>
    <col min="10782" max="10782" width="13.5" style="326" customWidth="1"/>
    <col min="10783" max="10783" width="9" style="326"/>
    <col min="10784" max="10784" width="10.75" style="326" bestFit="1" customWidth="1"/>
    <col min="10785" max="10785" width="13.75" style="326" customWidth="1"/>
    <col min="10786" max="10786" width="9" style="326"/>
    <col min="10787" max="10787" width="10.625" style="326" customWidth="1"/>
    <col min="10788" max="10788" width="9" style="326"/>
    <col min="10789" max="10789" width="14.25" style="326" customWidth="1"/>
    <col min="10790" max="10790" width="10.75" style="326" bestFit="1" customWidth="1"/>
    <col min="10791" max="10791" width="11.625" style="326" customWidth="1"/>
    <col min="10792" max="10792" width="13.75" style="326" customWidth="1"/>
    <col min="10793" max="10793" width="10.625" style="326" customWidth="1"/>
    <col min="10794" max="10795" width="9" style="326"/>
    <col min="10796" max="10796" width="14.125" style="326" customWidth="1"/>
    <col min="10797" max="10797" width="11" style="326" customWidth="1"/>
    <col min="10798" max="10798" width="10.75" style="326" bestFit="1" customWidth="1"/>
    <col min="10799" max="10799" width="13.5" style="326" customWidth="1"/>
    <col min="10800" max="10801" width="9" style="326"/>
    <col min="10802" max="10802" width="10.75" style="326" bestFit="1" customWidth="1"/>
    <col min="10803" max="10803" width="14" style="326" customWidth="1"/>
    <col min="10804" max="10804" width="9" style="326"/>
    <col min="10805" max="10805" width="10.75" style="326" customWidth="1"/>
    <col min="10806" max="10806" width="12.75" style="326" customWidth="1"/>
    <col min="10807" max="10807" width="9" style="326"/>
    <col min="10808" max="10808" width="10.75" style="326" bestFit="1" customWidth="1"/>
    <col min="10809" max="10809" width="11.5" style="326" customWidth="1"/>
    <col min="10810" max="10810" width="13.625" style="326" customWidth="1"/>
    <col min="10811" max="10811" width="10.625" style="326" customWidth="1"/>
    <col min="10812" max="10812" width="10.75" style="326" bestFit="1" customWidth="1"/>
    <col min="10813" max="10813" width="12.375" style="326" customWidth="1"/>
    <col min="10814" max="10816" width="9" style="326"/>
    <col min="10817" max="10817" width="15.75" style="326" customWidth="1"/>
    <col min="10818" max="10818" width="9" style="326"/>
    <col min="10819" max="10819" width="10.75" style="326" bestFit="1" customWidth="1"/>
    <col min="10820" max="10820" width="12.625" style="326" customWidth="1"/>
    <col min="10821" max="10823" width="9" style="326"/>
    <col min="10824" max="10824" width="13.625" style="326" customWidth="1"/>
    <col min="10825" max="10825" width="9" style="326"/>
    <col min="10826" max="10826" width="10.75" style="326" bestFit="1" customWidth="1"/>
    <col min="10827" max="10827" width="12.5" style="326" customWidth="1"/>
    <col min="10828" max="10830" width="9" style="326"/>
    <col min="10831" max="10831" width="12.875" style="326" customWidth="1"/>
    <col min="10832" max="10832" width="9" style="326"/>
    <col min="10833" max="10833" width="10.75" style="326" bestFit="1" customWidth="1"/>
    <col min="10834" max="10834" width="13.875" style="326" customWidth="1"/>
    <col min="10835" max="10837" width="9" style="326"/>
    <col min="10838" max="10838" width="14.125" style="326" customWidth="1"/>
    <col min="10839" max="10839" width="9" style="326"/>
    <col min="10840" max="10840" width="10.75" style="326" bestFit="1" customWidth="1"/>
    <col min="10841" max="10841" width="13.25" style="326" customWidth="1"/>
    <col min="10842" max="10844" width="9" style="326"/>
    <col min="10845" max="10845" width="13.25" style="326" customWidth="1"/>
    <col min="10846" max="10846" width="9" style="326"/>
    <col min="10847" max="10847" width="10.75" style="326" bestFit="1" customWidth="1"/>
    <col min="10848" max="10848" width="13.875" style="326" customWidth="1"/>
    <col min="10849" max="10851" width="9" style="326"/>
    <col min="10852" max="10852" width="13.625" style="326" customWidth="1"/>
    <col min="10853" max="10853" width="9" style="326"/>
    <col min="10854" max="10854" width="10.75" style="326" bestFit="1" customWidth="1"/>
    <col min="10855" max="10855" width="13" style="326" customWidth="1"/>
    <col min="10856" max="11002" width="9" style="326"/>
    <col min="11003" max="11004" width="12.125" style="326" customWidth="1"/>
    <col min="11005" max="11007" width="13" style="326" customWidth="1"/>
    <col min="11008" max="11008" width="12.875" style="326" customWidth="1"/>
    <col min="11009" max="11009" width="13" style="326" customWidth="1"/>
    <col min="11010" max="11010" width="13.125" style="326" customWidth="1"/>
    <col min="11011" max="11012" width="12.125" style="326" customWidth="1"/>
    <col min="11013" max="11013" width="14.375" style="326" bestFit="1" customWidth="1"/>
    <col min="11014" max="11014" width="11" style="326" customWidth="1"/>
    <col min="11015" max="11015" width="10" style="326" customWidth="1"/>
    <col min="11016" max="11016" width="10.875" style="326" customWidth="1"/>
    <col min="11017" max="11017" width="13.75" style="326" customWidth="1"/>
    <col min="11018" max="11018" width="10" style="326" customWidth="1"/>
    <col min="11019" max="11019" width="13.25" style="326" customWidth="1"/>
    <col min="11020" max="11020" width="14.375" style="326" customWidth="1"/>
    <col min="11021" max="11021" width="10" style="326" customWidth="1"/>
    <col min="11022" max="11022" width="10.875" style="326" customWidth="1"/>
    <col min="11023" max="11023" width="11.375" style="326" customWidth="1"/>
    <col min="11024" max="11024" width="15.375" style="326" customWidth="1"/>
    <col min="11025" max="11026" width="10.75" style="326" customWidth="1"/>
    <col min="11027" max="11027" width="14.375" style="326" customWidth="1"/>
    <col min="11028" max="11028" width="10.75" style="326" customWidth="1"/>
    <col min="11029" max="11029" width="11.75" style="326" customWidth="1"/>
    <col min="11030" max="11030" width="10" style="326" customWidth="1"/>
    <col min="11031" max="11031" width="15.375" style="326" customWidth="1"/>
    <col min="11032" max="11032" width="10" style="326" customWidth="1"/>
    <col min="11033" max="11033" width="10.75" style="326" customWidth="1"/>
    <col min="11034" max="11034" width="14.875" style="326" customWidth="1"/>
    <col min="11035" max="11035" width="11.5" style="326" customWidth="1"/>
    <col min="11036" max="11036" width="10" style="326" customWidth="1"/>
    <col min="11037" max="11037" width="10.75" style="326" customWidth="1"/>
    <col min="11038" max="11038" width="13.5" style="326" customWidth="1"/>
    <col min="11039" max="11039" width="9" style="326"/>
    <col min="11040" max="11040" width="10.75" style="326" bestFit="1" customWidth="1"/>
    <col min="11041" max="11041" width="13.75" style="326" customWidth="1"/>
    <col min="11042" max="11042" width="9" style="326"/>
    <col min="11043" max="11043" width="10.625" style="326" customWidth="1"/>
    <col min="11044" max="11044" width="9" style="326"/>
    <col min="11045" max="11045" width="14.25" style="326" customWidth="1"/>
    <col min="11046" max="11046" width="10.75" style="326" bestFit="1" customWidth="1"/>
    <col min="11047" max="11047" width="11.625" style="326" customWidth="1"/>
    <col min="11048" max="11048" width="13.75" style="326" customWidth="1"/>
    <col min="11049" max="11049" width="10.625" style="326" customWidth="1"/>
    <col min="11050" max="11051" width="9" style="326"/>
    <col min="11052" max="11052" width="14.125" style="326" customWidth="1"/>
    <col min="11053" max="11053" width="11" style="326" customWidth="1"/>
    <col min="11054" max="11054" width="10.75" style="326" bestFit="1" customWidth="1"/>
    <col min="11055" max="11055" width="13.5" style="326" customWidth="1"/>
    <col min="11056" max="11057" width="9" style="326"/>
    <col min="11058" max="11058" width="10.75" style="326" bestFit="1" customWidth="1"/>
    <col min="11059" max="11059" width="14" style="326" customWidth="1"/>
    <col min="11060" max="11060" width="9" style="326"/>
    <col min="11061" max="11061" width="10.75" style="326" customWidth="1"/>
    <col min="11062" max="11062" width="12.75" style="326" customWidth="1"/>
    <col min="11063" max="11063" width="9" style="326"/>
    <col min="11064" max="11064" width="10.75" style="326" bestFit="1" customWidth="1"/>
    <col min="11065" max="11065" width="11.5" style="326" customWidth="1"/>
    <col min="11066" max="11066" width="13.625" style="326" customWidth="1"/>
    <col min="11067" max="11067" width="10.625" style="326" customWidth="1"/>
    <col min="11068" max="11068" width="10.75" style="326" bestFit="1" customWidth="1"/>
    <col min="11069" max="11069" width="12.375" style="326" customWidth="1"/>
    <col min="11070" max="11072" width="9" style="326"/>
    <col min="11073" max="11073" width="15.75" style="326" customWidth="1"/>
    <col min="11074" max="11074" width="9" style="326"/>
    <col min="11075" max="11075" width="10.75" style="326" bestFit="1" customWidth="1"/>
    <col min="11076" max="11076" width="12.625" style="326" customWidth="1"/>
    <col min="11077" max="11079" width="9" style="326"/>
    <col min="11080" max="11080" width="13.625" style="326" customWidth="1"/>
    <col min="11081" max="11081" width="9" style="326"/>
    <col min="11082" max="11082" width="10.75" style="326" bestFit="1" customWidth="1"/>
    <col min="11083" max="11083" width="12.5" style="326" customWidth="1"/>
    <col min="11084" max="11086" width="9" style="326"/>
    <col min="11087" max="11087" width="12.875" style="326" customWidth="1"/>
    <col min="11088" max="11088" width="9" style="326"/>
    <col min="11089" max="11089" width="10.75" style="326" bestFit="1" customWidth="1"/>
    <col min="11090" max="11090" width="13.875" style="326" customWidth="1"/>
    <col min="11091" max="11093" width="9" style="326"/>
    <col min="11094" max="11094" width="14.125" style="326" customWidth="1"/>
    <col min="11095" max="11095" width="9" style="326"/>
    <col min="11096" max="11096" width="10.75" style="326" bestFit="1" customWidth="1"/>
    <col min="11097" max="11097" width="13.25" style="326" customWidth="1"/>
    <col min="11098" max="11100" width="9" style="326"/>
    <col min="11101" max="11101" width="13.25" style="326" customWidth="1"/>
    <col min="11102" max="11102" width="9" style="326"/>
    <col min="11103" max="11103" width="10.75" style="326" bestFit="1" customWidth="1"/>
    <col min="11104" max="11104" width="13.875" style="326" customWidth="1"/>
    <col min="11105" max="11107" width="9" style="326"/>
    <col min="11108" max="11108" width="13.625" style="326" customWidth="1"/>
    <col min="11109" max="11109" width="9" style="326"/>
    <col min="11110" max="11110" width="10.75" style="326" bestFit="1" customWidth="1"/>
    <col min="11111" max="11111" width="13" style="326" customWidth="1"/>
    <col min="11112" max="11258" width="9" style="326"/>
    <col min="11259" max="11260" width="12.125" style="326" customWidth="1"/>
    <col min="11261" max="11263" width="13" style="326" customWidth="1"/>
    <col min="11264" max="11264" width="12.875" style="326" customWidth="1"/>
    <col min="11265" max="11265" width="13" style="326" customWidth="1"/>
    <col min="11266" max="11266" width="13.125" style="326" customWidth="1"/>
    <col min="11267" max="11268" width="12.125" style="326" customWidth="1"/>
    <col min="11269" max="11269" width="14.375" style="326" bestFit="1" customWidth="1"/>
    <col min="11270" max="11270" width="11" style="326" customWidth="1"/>
    <col min="11271" max="11271" width="10" style="326" customWidth="1"/>
    <col min="11272" max="11272" width="10.875" style="326" customWidth="1"/>
    <col min="11273" max="11273" width="13.75" style="326" customWidth="1"/>
    <col min="11274" max="11274" width="10" style="326" customWidth="1"/>
    <col min="11275" max="11275" width="13.25" style="326" customWidth="1"/>
    <col min="11276" max="11276" width="14.375" style="326" customWidth="1"/>
    <col min="11277" max="11277" width="10" style="326" customWidth="1"/>
    <col min="11278" max="11278" width="10.875" style="326" customWidth="1"/>
    <col min="11279" max="11279" width="11.375" style="326" customWidth="1"/>
    <col min="11280" max="11280" width="15.375" style="326" customWidth="1"/>
    <col min="11281" max="11282" width="10.75" style="326" customWidth="1"/>
    <col min="11283" max="11283" width="14.375" style="326" customWidth="1"/>
    <col min="11284" max="11284" width="10.75" style="326" customWidth="1"/>
    <col min="11285" max="11285" width="11.75" style="326" customWidth="1"/>
    <col min="11286" max="11286" width="10" style="326" customWidth="1"/>
    <col min="11287" max="11287" width="15.375" style="326" customWidth="1"/>
    <col min="11288" max="11288" width="10" style="326" customWidth="1"/>
    <col min="11289" max="11289" width="10.75" style="326" customWidth="1"/>
    <col min="11290" max="11290" width="14.875" style="326" customWidth="1"/>
    <col min="11291" max="11291" width="11.5" style="326" customWidth="1"/>
    <col min="11292" max="11292" width="10" style="326" customWidth="1"/>
    <col min="11293" max="11293" width="10.75" style="326" customWidth="1"/>
    <col min="11294" max="11294" width="13.5" style="326" customWidth="1"/>
    <col min="11295" max="11295" width="9" style="326"/>
    <col min="11296" max="11296" width="10.75" style="326" bestFit="1" customWidth="1"/>
    <col min="11297" max="11297" width="13.75" style="326" customWidth="1"/>
    <col min="11298" max="11298" width="9" style="326"/>
    <col min="11299" max="11299" width="10.625" style="326" customWidth="1"/>
    <col min="11300" max="11300" width="9" style="326"/>
    <col min="11301" max="11301" width="14.25" style="326" customWidth="1"/>
    <col min="11302" max="11302" width="10.75" style="326" bestFit="1" customWidth="1"/>
    <col min="11303" max="11303" width="11.625" style="326" customWidth="1"/>
    <col min="11304" max="11304" width="13.75" style="326" customWidth="1"/>
    <col min="11305" max="11305" width="10.625" style="326" customWidth="1"/>
    <col min="11306" max="11307" width="9" style="326"/>
    <col min="11308" max="11308" width="14.125" style="326" customWidth="1"/>
    <col min="11309" max="11309" width="11" style="326" customWidth="1"/>
    <col min="11310" max="11310" width="10.75" style="326" bestFit="1" customWidth="1"/>
    <col min="11311" max="11311" width="13.5" style="326" customWidth="1"/>
    <col min="11312" max="11313" width="9" style="326"/>
    <col min="11314" max="11314" width="10.75" style="326" bestFit="1" customWidth="1"/>
    <col min="11315" max="11315" width="14" style="326" customWidth="1"/>
    <col min="11316" max="11316" width="9" style="326"/>
    <col min="11317" max="11317" width="10.75" style="326" customWidth="1"/>
    <col min="11318" max="11318" width="12.75" style="326" customWidth="1"/>
    <col min="11319" max="11319" width="9" style="326"/>
    <col min="11320" max="11320" width="10.75" style="326" bestFit="1" customWidth="1"/>
    <col min="11321" max="11321" width="11.5" style="326" customWidth="1"/>
    <col min="11322" max="11322" width="13.625" style="326" customWidth="1"/>
    <col min="11323" max="11323" width="10.625" style="326" customWidth="1"/>
    <col min="11324" max="11324" width="10.75" style="326" bestFit="1" customWidth="1"/>
    <col min="11325" max="11325" width="12.375" style="326" customWidth="1"/>
    <col min="11326" max="11328" width="9" style="326"/>
    <col min="11329" max="11329" width="15.75" style="326" customWidth="1"/>
    <col min="11330" max="11330" width="9" style="326"/>
    <col min="11331" max="11331" width="10.75" style="326" bestFit="1" customWidth="1"/>
    <col min="11332" max="11332" width="12.625" style="326" customWidth="1"/>
    <col min="11333" max="11335" width="9" style="326"/>
    <col min="11336" max="11336" width="13.625" style="326" customWidth="1"/>
    <col min="11337" max="11337" width="9" style="326"/>
    <col min="11338" max="11338" width="10.75" style="326" bestFit="1" customWidth="1"/>
    <col min="11339" max="11339" width="12.5" style="326" customWidth="1"/>
    <col min="11340" max="11342" width="9" style="326"/>
    <col min="11343" max="11343" width="12.875" style="326" customWidth="1"/>
    <col min="11344" max="11344" width="9" style="326"/>
    <col min="11345" max="11345" width="10.75" style="326" bestFit="1" customWidth="1"/>
    <col min="11346" max="11346" width="13.875" style="326" customWidth="1"/>
    <col min="11347" max="11349" width="9" style="326"/>
    <col min="11350" max="11350" width="14.125" style="326" customWidth="1"/>
    <col min="11351" max="11351" width="9" style="326"/>
    <col min="11352" max="11352" width="10.75" style="326" bestFit="1" customWidth="1"/>
    <col min="11353" max="11353" width="13.25" style="326" customWidth="1"/>
    <col min="11354" max="11356" width="9" style="326"/>
    <col min="11357" max="11357" width="13.25" style="326" customWidth="1"/>
    <col min="11358" max="11358" width="9" style="326"/>
    <col min="11359" max="11359" width="10.75" style="326" bestFit="1" customWidth="1"/>
    <col min="11360" max="11360" width="13.875" style="326" customWidth="1"/>
    <col min="11361" max="11363" width="9" style="326"/>
    <col min="11364" max="11364" width="13.625" style="326" customWidth="1"/>
    <col min="11365" max="11365" width="9" style="326"/>
    <col min="11366" max="11366" width="10.75" style="326" bestFit="1" customWidth="1"/>
    <col min="11367" max="11367" width="13" style="326" customWidth="1"/>
    <col min="11368" max="11514" width="9" style="326"/>
    <col min="11515" max="11516" width="12.125" style="326" customWidth="1"/>
    <col min="11517" max="11519" width="13" style="326" customWidth="1"/>
    <col min="11520" max="11520" width="12.875" style="326" customWidth="1"/>
    <col min="11521" max="11521" width="13" style="326" customWidth="1"/>
    <col min="11522" max="11522" width="13.125" style="326" customWidth="1"/>
    <col min="11523" max="11524" width="12.125" style="326" customWidth="1"/>
    <col min="11525" max="11525" width="14.375" style="326" bestFit="1" customWidth="1"/>
    <col min="11526" max="11526" width="11" style="326" customWidth="1"/>
    <col min="11527" max="11527" width="10" style="326" customWidth="1"/>
    <col min="11528" max="11528" width="10.875" style="326" customWidth="1"/>
    <col min="11529" max="11529" width="13.75" style="326" customWidth="1"/>
    <col min="11530" max="11530" width="10" style="326" customWidth="1"/>
    <col min="11531" max="11531" width="13.25" style="326" customWidth="1"/>
    <col min="11532" max="11532" width="14.375" style="326" customWidth="1"/>
    <col min="11533" max="11533" width="10" style="326" customWidth="1"/>
    <col min="11534" max="11534" width="10.875" style="326" customWidth="1"/>
    <col min="11535" max="11535" width="11.375" style="326" customWidth="1"/>
    <col min="11536" max="11536" width="15.375" style="326" customWidth="1"/>
    <col min="11537" max="11538" width="10.75" style="326" customWidth="1"/>
    <col min="11539" max="11539" width="14.375" style="326" customWidth="1"/>
    <col min="11540" max="11540" width="10.75" style="326" customWidth="1"/>
    <col min="11541" max="11541" width="11.75" style="326" customWidth="1"/>
    <col min="11542" max="11542" width="10" style="326" customWidth="1"/>
    <col min="11543" max="11543" width="15.375" style="326" customWidth="1"/>
    <col min="11544" max="11544" width="10" style="326" customWidth="1"/>
    <col min="11545" max="11545" width="10.75" style="326" customWidth="1"/>
    <col min="11546" max="11546" width="14.875" style="326" customWidth="1"/>
    <col min="11547" max="11547" width="11.5" style="326" customWidth="1"/>
    <col min="11548" max="11548" width="10" style="326" customWidth="1"/>
    <col min="11549" max="11549" width="10.75" style="326" customWidth="1"/>
    <col min="11550" max="11550" width="13.5" style="326" customWidth="1"/>
    <col min="11551" max="11551" width="9" style="326"/>
    <col min="11552" max="11552" width="10.75" style="326" bestFit="1" customWidth="1"/>
    <col min="11553" max="11553" width="13.75" style="326" customWidth="1"/>
    <col min="11554" max="11554" width="9" style="326"/>
    <col min="11555" max="11555" width="10.625" style="326" customWidth="1"/>
    <col min="11556" max="11556" width="9" style="326"/>
    <col min="11557" max="11557" width="14.25" style="326" customWidth="1"/>
    <col min="11558" max="11558" width="10.75" style="326" bestFit="1" customWidth="1"/>
    <col min="11559" max="11559" width="11.625" style="326" customWidth="1"/>
    <col min="11560" max="11560" width="13.75" style="326" customWidth="1"/>
    <col min="11561" max="11561" width="10.625" style="326" customWidth="1"/>
    <col min="11562" max="11563" width="9" style="326"/>
    <col min="11564" max="11564" width="14.125" style="326" customWidth="1"/>
    <col min="11565" max="11565" width="11" style="326" customWidth="1"/>
    <col min="11566" max="11566" width="10.75" style="326" bestFit="1" customWidth="1"/>
    <col min="11567" max="11567" width="13.5" style="326" customWidth="1"/>
    <col min="11568" max="11569" width="9" style="326"/>
    <col min="11570" max="11570" width="10.75" style="326" bestFit="1" customWidth="1"/>
    <col min="11571" max="11571" width="14" style="326" customWidth="1"/>
    <col min="11572" max="11572" width="9" style="326"/>
    <col min="11573" max="11573" width="10.75" style="326" customWidth="1"/>
    <col min="11574" max="11574" width="12.75" style="326" customWidth="1"/>
    <col min="11575" max="11575" width="9" style="326"/>
    <col min="11576" max="11576" width="10.75" style="326" bestFit="1" customWidth="1"/>
    <col min="11577" max="11577" width="11.5" style="326" customWidth="1"/>
    <col min="11578" max="11578" width="13.625" style="326" customWidth="1"/>
    <col min="11579" max="11579" width="10.625" style="326" customWidth="1"/>
    <col min="11580" max="11580" width="10.75" style="326" bestFit="1" customWidth="1"/>
    <col min="11581" max="11581" width="12.375" style="326" customWidth="1"/>
    <col min="11582" max="11584" width="9" style="326"/>
    <col min="11585" max="11585" width="15.75" style="326" customWidth="1"/>
    <col min="11586" max="11586" width="9" style="326"/>
    <col min="11587" max="11587" width="10.75" style="326" bestFit="1" customWidth="1"/>
    <col min="11588" max="11588" width="12.625" style="326" customWidth="1"/>
    <col min="11589" max="11591" width="9" style="326"/>
    <col min="11592" max="11592" width="13.625" style="326" customWidth="1"/>
    <col min="11593" max="11593" width="9" style="326"/>
    <col min="11594" max="11594" width="10.75" style="326" bestFit="1" customWidth="1"/>
    <col min="11595" max="11595" width="12.5" style="326" customWidth="1"/>
    <col min="11596" max="11598" width="9" style="326"/>
    <col min="11599" max="11599" width="12.875" style="326" customWidth="1"/>
    <col min="11600" max="11600" width="9" style="326"/>
    <col min="11601" max="11601" width="10.75" style="326" bestFit="1" customWidth="1"/>
    <col min="11602" max="11602" width="13.875" style="326" customWidth="1"/>
    <col min="11603" max="11605" width="9" style="326"/>
    <col min="11606" max="11606" width="14.125" style="326" customWidth="1"/>
    <col min="11607" max="11607" width="9" style="326"/>
    <col min="11608" max="11608" width="10.75" style="326" bestFit="1" customWidth="1"/>
    <col min="11609" max="11609" width="13.25" style="326" customWidth="1"/>
    <col min="11610" max="11612" width="9" style="326"/>
    <col min="11613" max="11613" width="13.25" style="326" customWidth="1"/>
    <col min="11614" max="11614" width="9" style="326"/>
    <col min="11615" max="11615" width="10.75" style="326" bestFit="1" customWidth="1"/>
    <col min="11616" max="11616" width="13.875" style="326" customWidth="1"/>
    <col min="11617" max="11619" width="9" style="326"/>
    <col min="11620" max="11620" width="13.625" style="326" customWidth="1"/>
    <col min="11621" max="11621" width="9" style="326"/>
    <col min="11622" max="11622" width="10.75" style="326" bestFit="1" customWidth="1"/>
    <col min="11623" max="11623" width="13" style="326" customWidth="1"/>
    <col min="11624" max="11770" width="9" style="326"/>
    <col min="11771" max="11772" width="12.125" style="326" customWidth="1"/>
    <col min="11773" max="11775" width="13" style="326" customWidth="1"/>
    <col min="11776" max="11776" width="12.875" style="326" customWidth="1"/>
    <col min="11777" max="11777" width="13" style="326" customWidth="1"/>
    <col min="11778" max="11778" width="13.125" style="326" customWidth="1"/>
    <col min="11779" max="11780" width="12.125" style="326" customWidth="1"/>
    <col min="11781" max="11781" width="14.375" style="326" bestFit="1" customWidth="1"/>
    <col min="11782" max="11782" width="11" style="326" customWidth="1"/>
    <col min="11783" max="11783" width="10" style="326" customWidth="1"/>
    <col min="11784" max="11784" width="10.875" style="326" customWidth="1"/>
    <col min="11785" max="11785" width="13.75" style="326" customWidth="1"/>
    <col min="11786" max="11786" width="10" style="326" customWidth="1"/>
    <col min="11787" max="11787" width="13.25" style="326" customWidth="1"/>
    <col min="11788" max="11788" width="14.375" style="326" customWidth="1"/>
    <col min="11789" max="11789" width="10" style="326" customWidth="1"/>
    <col min="11790" max="11790" width="10.875" style="326" customWidth="1"/>
    <col min="11791" max="11791" width="11.375" style="326" customWidth="1"/>
    <col min="11792" max="11792" width="15.375" style="326" customWidth="1"/>
    <col min="11793" max="11794" width="10.75" style="326" customWidth="1"/>
    <col min="11795" max="11795" width="14.375" style="326" customWidth="1"/>
    <col min="11796" max="11796" width="10.75" style="326" customWidth="1"/>
    <col min="11797" max="11797" width="11.75" style="326" customWidth="1"/>
    <col min="11798" max="11798" width="10" style="326" customWidth="1"/>
    <col min="11799" max="11799" width="15.375" style="326" customWidth="1"/>
    <col min="11800" max="11800" width="10" style="326" customWidth="1"/>
    <col min="11801" max="11801" width="10.75" style="326" customWidth="1"/>
    <col min="11802" max="11802" width="14.875" style="326" customWidth="1"/>
    <col min="11803" max="11803" width="11.5" style="326" customWidth="1"/>
    <col min="11804" max="11804" width="10" style="326" customWidth="1"/>
    <col min="11805" max="11805" width="10.75" style="326" customWidth="1"/>
    <col min="11806" max="11806" width="13.5" style="326" customWidth="1"/>
    <col min="11807" max="11807" width="9" style="326"/>
    <col min="11808" max="11808" width="10.75" style="326" bestFit="1" customWidth="1"/>
    <col min="11809" max="11809" width="13.75" style="326" customWidth="1"/>
    <col min="11810" max="11810" width="9" style="326"/>
    <col min="11811" max="11811" width="10.625" style="326" customWidth="1"/>
    <col min="11812" max="11812" width="9" style="326"/>
    <col min="11813" max="11813" width="14.25" style="326" customWidth="1"/>
    <col min="11814" max="11814" width="10.75" style="326" bestFit="1" customWidth="1"/>
    <col min="11815" max="11815" width="11.625" style="326" customWidth="1"/>
    <col min="11816" max="11816" width="13.75" style="326" customWidth="1"/>
    <col min="11817" max="11817" width="10.625" style="326" customWidth="1"/>
    <col min="11818" max="11819" width="9" style="326"/>
    <col min="11820" max="11820" width="14.125" style="326" customWidth="1"/>
    <col min="11821" max="11821" width="11" style="326" customWidth="1"/>
    <col min="11822" max="11822" width="10.75" style="326" bestFit="1" customWidth="1"/>
    <col min="11823" max="11823" width="13.5" style="326" customWidth="1"/>
    <col min="11824" max="11825" width="9" style="326"/>
    <col min="11826" max="11826" width="10.75" style="326" bestFit="1" customWidth="1"/>
    <col min="11827" max="11827" width="14" style="326" customWidth="1"/>
    <col min="11828" max="11828" width="9" style="326"/>
    <col min="11829" max="11829" width="10.75" style="326" customWidth="1"/>
    <col min="11830" max="11830" width="12.75" style="326" customWidth="1"/>
    <col min="11831" max="11831" width="9" style="326"/>
    <col min="11832" max="11832" width="10.75" style="326" bestFit="1" customWidth="1"/>
    <col min="11833" max="11833" width="11.5" style="326" customWidth="1"/>
    <col min="11834" max="11834" width="13.625" style="326" customWidth="1"/>
    <col min="11835" max="11835" width="10.625" style="326" customWidth="1"/>
    <col min="11836" max="11836" width="10.75" style="326" bestFit="1" customWidth="1"/>
    <col min="11837" max="11837" width="12.375" style="326" customWidth="1"/>
    <col min="11838" max="11840" width="9" style="326"/>
    <col min="11841" max="11841" width="15.75" style="326" customWidth="1"/>
    <col min="11842" max="11842" width="9" style="326"/>
    <col min="11843" max="11843" width="10.75" style="326" bestFit="1" customWidth="1"/>
    <col min="11844" max="11844" width="12.625" style="326" customWidth="1"/>
    <col min="11845" max="11847" width="9" style="326"/>
    <col min="11848" max="11848" width="13.625" style="326" customWidth="1"/>
    <col min="11849" max="11849" width="9" style="326"/>
    <col min="11850" max="11850" width="10.75" style="326" bestFit="1" customWidth="1"/>
    <col min="11851" max="11851" width="12.5" style="326" customWidth="1"/>
    <col min="11852" max="11854" width="9" style="326"/>
    <col min="11855" max="11855" width="12.875" style="326" customWidth="1"/>
    <col min="11856" max="11856" width="9" style="326"/>
    <col min="11857" max="11857" width="10.75" style="326" bestFit="1" customWidth="1"/>
    <col min="11858" max="11858" width="13.875" style="326" customWidth="1"/>
    <col min="11859" max="11861" width="9" style="326"/>
    <col min="11862" max="11862" width="14.125" style="326" customWidth="1"/>
    <col min="11863" max="11863" width="9" style="326"/>
    <col min="11864" max="11864" width="10.75" style="326" bestFit="1" customWidth="1"/>
    <col min="11865" max="11865" width="13.25" style="326" customWidth="1"/>
    <col min="11866" max="11868" width="9" style="326"/>
    <col min="11869" max="11869" width="13.25" style="326" customWidth="1"/>
    <col min="11870" max="11870" width="9" style="326"/>
    <col min="11871" max="11871" width="10.75" style="326" bestFit="1" customWidth="1"/>
    <col min="11872" max="11872" width="13.875" style="326" customWidth="1"/>
    <col min="11873" max="11875" width="9" style="326"/>
    <col min="11876" max="11876" width="13.625" style="326" customWidth="1"/>
    <col min="11877" max="11877" width="9" style="326"/>
    <col min="11878" max="11878" width="10.75" style="326" bestFit="1" customWidth="1"/>
    <col min="11879" max="11879" width="13" style="326" customWidth="1"/>
    <col min="11880" max="12026" width="9" style="326"/>
    <col min="12027" max="12028" width="12.125" style="326" customWidth="1"/>
    <col min="12029" max="12031" width="13" style="326" customWidth="1"/>
    <col min="12032" max="12032" width="12.875" style="326" customWidth="1"/>
    <col min="12033" max="12033" width="13" style="326" customWidth="1"/>
    <col min="12034" max="12034" width="13.125" style="326" customWidth="1"/>
    <col min="12035" max="12036" width="12.125" style="326" customWidth="1"/>
    <col min="12037" max="12037" width="14.375" style="326" bestFit="1" customWidth="1"/>
    <col min="12038" max="12038" width="11" style="326" customWidth="1"/>
    <col min="12039" max="12039" width="10" style="326" customWidth="1"/>
    <col min="12040" max="12040" width="10.875" style="326" customWidth="1"/>
    <col min="12041" max="12041" width="13.75" style="326" customWidth="1"/>
    <col min="12042" max="12042" width="10" style="326" customWidth="1"/>
    <col min="12043" max="12043" width="13.25" style="326" customWidth="1"/>
    <col min="12044" max="12044" width="14.375" style="326" customWidth="1"/>
    <col min="12045" max="12045" width="10" style="326" customWidth="1"/>
    <col min="12046" max="12046" width="10.875" style="326" customWidth="1"/>
    <col min="12047" max="12047" width="11.375" style="326" customWidth="1"/>
    <col min="12048" max="12048" width="15.375" style="326" customWidth="1"/>
    <col min="12049" max="12050" width="10.75" style="326" customWidth="1"/>
    <col min="12051" max="12051" width="14.375" style="326" customWidth="1"/>
    <col min="12052" max="12052" width="10.75" style="326" customWidth="1"/>
    <col min="12053" max="12053" width="11.75" style="326" customWidth="1"/>
    <col min="12054" max="12054" width="10" style="326" customWidth="1"/>
    <col min="12055" max="12055" width="15.375" style="326" customWidth="1"/>
    <col min="12056" max="12056" width="10" style="326" customWidth="1"/>
    <col min="12057" max="12057" width="10.75" style="326" customWidth="1"/>
    <col min="12058" max="12058" width="14.875" style="326" customWidth="1"/>
    <col min="12059" max="12059" width="11.5" style="326" customWidth="1"/>
    <col min="12060" max="12060" width="10" style="326" customWidth="1"/>
    <col min="12061" max="12061" width="10.75" style="326" customWidth="1"/>
    <col min="12062" max="12062" width="13.5" style="326" customWidth="1"/>
    <col min="12063" max="12063" width="9" style="326"/>
    <col min="12064" max="12064" width="10.75" style="326" bestFit="1" customWidth="1"/>
    <col min="12065" max="12065" width="13.75" style="326" customWidth="1"/>
    <col min="12066" max="12066" width="9" style="326"/>
    <col min="12067" max="12067" width="10.625" style="326" customWidth="1"/>
    <col min="12068" max="12068" width="9" style="326"/>
    <col min="12069" max="12069" width="14.25" style="326" customWidth="1"/>
    <col min="12070" max="12070" width="10.75" style="326" bestFit="1" customWidth="1"/>
    <col min="12071" max="12071" width="11.625" style="326" customWidth="1"/>
    <col min="12072" max="12072" width="13.75" style="326" customWidth="1"/>
    <col min="12073" max="12073" width="10.625" style="326" customWidth="1"/>
    <col min="12074" max="12075" width="9" style="326"/>
    <col min="12076" max="12076" width="14.125" style="326" customWidth="1"/>
    <col min="12077" max="12077" width="11" style="326" customWidth="1"/>
    <col min="12078" max="12078" width="10.75" style="326" bestFit="1" customWidth="1"/>
    <col min="12079" max="12079" width="13.5" style="326" customWidth="1"/>
    <col min="12080" max="12081" width="9" style="326"/>
    <col min="12082" max="12082" width="10.75" style="326" bestFit="1" customWidth="1"/>
    <col min="12083" max="12083" width="14" style="326" customWidth="1"/>
    <col min="12084" max="12084" width="9" style="326"/>
    <col min="12085" max="12085" width="10.75" style="326" customWidth="1"/>
    <col min="12086" max="12086" width="12.75" style="326" customWidth="1"/>
    <col min="12087" max="12087" width="9" style="326"/>
    <col min="12088" max="12088" width="10.75" style="326" bestFit="1" customWidth="1"/>
    <col min="12089" max="12089" width="11.5" style="326" customWidth="1"/>
    <col min="12090" max="12090" width="13.625" style="326" customWidth="1"/>
    <col min="12091" max="12091" width="10.625" style="326" customWidth="1"/>
    <col min="12092" max="12092" width="10.75" style="326" bestFit="1" customWidth="1"/>
    <col min="12093" max="12093" width="12.375" style="326" customWidth="1"/>
    <col min="12094" max="12096" width="9" style="326"/>
    <col min="12097" max="12097" width="15.75" style="326" customWidth="1"/>
    <col min="12098" max="12098" width="9" style="326"/>
    <col min="12099" max="12099" width="10.75" style="326" bestFit="1" customWidth="1"/>
    <col min="12100" max="12100" width="12.625" style="326" customWidth="1"/>
    <col min="12101" max="12103" width="9" style="326"/>
    <col min="12104" max="12104" width="13.625" style="326" customWidth="1"/>
    <col min="12105" max="12105" width="9" style="326"/>
    <col min="12106" max="12106" width="10.75" style="326" bestFit="1" customWidth="1"/>
    <col min="12107" max="12107" width="12.5" style="326" customWidth="1"/>
    <col min="12108" max="12110" width="9" style="326"/>
    <col min="12111" max="12111" width="12.875" style="326" customWidth="1"/>
    <col min="12112" max="12112" width="9" style="326"/>
    <col min="12113" max="12113" width="10.75" style="326" bestFit="1" customWidth="1"/>
    <col min="12114" max="12114" width="13.875" style="326" customWidth="1"/>
    <col min="12115" max="12117" width="9" style="326"/>
    <col min="12118" max="12118" width="14.125" style="326" customWidth="1"/>
    <col min="12119" max="12119" width="9" style="326"/>
    <col min="12120" max="12120" width="10.75" style="326" bestFit="1" customWidth="1"/>
    <col min="12121" max="12121" width="13.25" style="326" customWidth="1"/>
    <col min="12122" max="12124" width="9" style="326"/>
    <col min="12125" max="12125" width="13.25" style="326" customWidth="1"/>
    <col min="12126" max="12126" width="9" style="326"/>
    <col min="12127" max="12127" width="10.75" style="326" bestFit="1" customWidth="1"/>
    <col min="12128" max="12128" width="13.875" style="326" customWidth="1"/>
    <col min="12129" max="12131" width="9" style="326"/>
    <col min="12132" max="12132" width="13.625" style="326" customWidth="1"/>
    <col min="12133" max="12133" width="9" style="326"/>
    <col min="12134" max="12134" width="10.75" style="326" bestFit="1" customWidth="1"/>
    <col min="12135" max="12135" width="13" style="326" customWidth="1"/>
    <col min="12136" max="12282" width="9" style="326"/>
    <col min="12283" max="12284" width="12.125" style="326" customWidth="1"/>
    <col min="12285" max="12287" width="13" style="326" customWidth="1"/>
    <col min="12288" max="12288" width="12.875" style="326" customWidth="1"/>
    <col min="12289" max="12289" width="13" style="326" customWidth="1"/>
    <col min="12290" max="12290" width="13.125" style="326" customWidth="1"/>
    <col min="12291" max="12292" width="12.125" style="326" customWidth="1"/>
    <col min="12293" max="12293" width="14.375" style="326" bestFit="1" customWidth="1"/>
    <col min="12294" max="12294" width="11" style="326" customWidth="1"/>
    <col min="12295" max="12295" width="10" style="326" customWidth="1"/>
    <col min="12296" max="12296" width="10.875" style="326" customWidth="1"/>
    <col min="12297" max="12297" width="13.75" style="326" customWidth="1"/>
    <col min="12298" max="12298" width="10" style="326" customWidth="1"/>
    <col min="12299" max="12299" width="13.25" style="326" customWidth="1"/>
    <col min="12300" max="12300" width="14.375" style="326" customWidth="1"/>
    <col min="12301" max="12301" width="10" style="326" customWidth="1"/>
    <col min="12302" max="12302" width="10.875" style="326" customWidth="1"/>
    <col min="12303" max="12303" width="11.375" style="326" customWidth="1"/>
    <col min="12304" max="12304" width="15.375" style="326" customWidth="1"/>
    <col min="12305" max="12306" width="10.75" style="326" customWidth="1"/>
    <col min="12307" max="12307" width="14.375" style="326" customWidth="1"/>
    <col min="12308" max="12308" width="10.75" style="326" customWidth="1"/>
    <col min="12309" max="12309" width="11.75" style="326" customWidth="1"/>
    <col min="12310" max="12310" width="10" style="326" customWidth="1"/>
    <col min="12311" max="12311" width="15.375" style="326" customWidth="1"/>
    <col min="12312" max="12312" width="10" style="326" customWidth="1"/>
    <col min="12313" max="12313" width="10.75" style="326" customWidth="1"/>
    <col min="12314" max="12314" width="14.875" style="326" customWidth="1"/>
    <col min="12315" max="12315" width="11.5" style="326" customWidth="1"/>
    <col min="12316" max="12316" width="10" style="326" customWidth="1"/>
    <col min="12317" max="12317" width="10.75" style="326" customWidth="1"/>
    <col min="12318" max="12318" width="13.5" style="326" customWidth="1"/>
    <col min="12319" max="12319" width="9" style="326"/>
    <col min="12320" max="12320" width="10.75" style="326" bestFit="1" customWidth="1"/>
    <col min="12321" max="12321" width="13.75" style="326" customWidth="1"/>
    <col min="12322" max="12322" width="9" style="326"/>
    <col min="12323" max="12323" width="10.625" style="326" customWidth="1"/>
    <col min="12324" max="12324" width="9" style="326"/>
    <col min="12325" max="12325" width="14.25" style="326" customWidth="1"/>
    <col min="12326" max="12326" width="10.75" style="326" bestFit="1" customWidth="1"/>
    <col min="12327" max="12327" width="11.625" style="326" customWidth="1"/>
    <col min="12328" max="12328" width="13.75" style="326" customWidth="1"/>
    <col min="12329" max="12329" width="10.625" style="326" customWidth="1"/>
    <col min="12330" max="12331" width="9" style="326"/>
    <col min="12332" max="12332" width="14.125" style="326" customWidth="1"/>
    <col min="12333" max="12333" width="11" style="326" customWidth="1"/>
    <col min="12334" max="12334" width="10.75" style="326" bestFit="1" customWidth="1"/>
    <col min="12335" max="12335" width="13.5" style="326" customWidth="1"/>
    <col min="12336" max="12337" width="9" style="326"/>
    <col min="12338" max="12338" width="10.75" style="326" bestFit="1" customWidth="1"/>
    <col min="12339" max="12339" width="14" style="326" customWidth="1"/>
    <col min="12340" max="12340" width="9" style="326"/>
    <col min="12341" max="12341" width="10.75" style="326" customWidth="1"/>
    <col min="12342" max="12342" width="12.75" style="326" customWidth="1"/>
    <col min="12343" max="12343" width="9" style="326"/>
    <col min="12344" max="12344" width="10.75" style="326" bestFit="1" customWidth="1"/>
    <col min="12345" max="12345" width="11.5" style="326" customWidth="1"/>
    <col min="12346" max="12346" width="13.625" style="326" customWidth="1"/>
    <col min="12347" max="12347" width="10.625" style="326" customWidth="1"/>
    <col min="12348" max="12348" width="10.75" style="326" bestFit="1" customWidth="1"/>
    <col min="12349" max="12349" width="12.375" style="326" customWidth="1"/>
    <col min="12350" max="12352" width="9" style="326"/>
    <col min="12353" max="12353" width="15.75" style="326" customWidth="1"/>
    <col min="12354" max="12354" width="9" style="326"/>
    <col min="12355" max="12355" width="10.75" style="326" bestFit="1" customWidth="1"/>
    <col min="12356" max="12356" width="12.625" style="326" customWidth="1"/>
    <col min="12357" max="12359" width="9" style="326"/>
    <col min="12360" max="12360" width="13.625" style="326" customWidth="1"/>
    <col min="12361" max="12361" width="9" style="326"/>
    <col min="12362" max="12362" width="10.75" style="326" bestFit="1" customWidth="1"/>
    <col min="12363" max="12363" width="12.5" style="326" customWidth="1"/>
    <col min="12364" max="12366" width="9" style="326"/>
    <col min="12367" max="12367" width="12.875" style="326" customWidth="1"/>
    <col min="12368" max="12368" width="9" style="326"/>
    <col min="12369" max="12369" width="10.75" style="326" bestFit="1" customWidth="1"/>
    <col min="12370" max="12370" width="13.875" style="326" customWidth="1"/>
    <col min="12371" max="12373" width="9" style="326"/>
    <col min="12374" max="12374" width="14.125" style="326" customWidth="1"/>
    <col min="12375" max="12375" width="9" style="326"/>
    <col min="12376" max="12376" width="10.75" style="326" bestFit="1" customWidth="1"/>
    <col min="12377" max="12377" width="13.25" style="326" customWidth="1"/>
    <col min="12378" max="12380" width="9" style="326"/>
    <col min="12381" max="12381" width="13.25" style="326" customWidth="1"/>
    <col min="12382" max="12382" width="9" style="326"/>
    <col min="12383" max="12383" width="10.75" style="326" bestFit="1" customWidth="1"/>
    <col min="12384" max="12384" width="13.875" style="326" customWidth="1"/>
    <col min="12385" max="12387" width="9" style="326"/>
    <col min="12388" max="12388" width="13.625" style="326" customWidth="1"/>
    <col min="12389" max="12389" width="9" style="326"/>
    <col min="12390" max="12390" width="10.75" style="326" bestFit="1" customWidth="1"/>
    <col min="12391" max="12391" width="13" style="326" customWidth="1"/>
    <col min="12392" max="12538" width="9" style="326"/>
    <col min="12539" max="12540" width="12.125" style="326" customWidth="1"/>
    <col min="12541" max="12543" width="13" style="326" customWidth="1"/>
    <col min="12544" max="12544" width="12.875" style="326" customWidth="1"/>
    <col min="12545" max="12545" width="13" style="326" customWidth="1"/>
    <col min="12546" max="12546" width="13.125" style="326" customWidth="1"/>
    <col min="12547" max="12548" width="12.125" style="326" customWidth="1"/>
    <col min="12549" max="12549" width="14.375" style="326" bestFit="1" customWidth="1"/>
    <col min="12550" max="12550" width="11" style="326" customWidth="1"/>
    <col min="12551" max="12551" width="10" style="326" customWidth="1"/>
    <col min="12552" max="12552" width="10.875" style="326" customWidth="1"/>
    <col min="12553" max="12553" width="13.75" style="326" customWidth="1"/>
    <col min="12554" max="12554" width="10" style="326" customWidth="1"/>
    <col min="12555" max="12555" width="13.25" style="326" customWidth="1"/>
    <col min="12556" max="12556" width="14.375" style="326" customWidth="1"/>
    <col min="12557" max="12557" width="10" style="326" customWidth="1"/>
    <col min="12558" max="12558" width="10.875" style="326" customWidth="1"/>
    <col min="12559" max="12559" width="11.375" style="326" customWidth="1"/>
    <col min="12560" max="12560" width="15.375" style="326" customWidth="1"/>
    <col min="12561" max="12562" width="10.75" style="326" customWidth="1"/>
    <col min="12563" max="12563" width="14.375" style="326" customWidth="1"/>
    <col min="12564" max="12564" width="10.75" style="326" customWidth="1"/>
    <col min="12565" max="12565" width="11.75" style="326" customWidth="1"/>
    <col min="12566" max="12566" width="10" style="326" customWidth="1"/>
    <col min="12567" max="12567" width="15.375" style="326" customWidth="1"/>
    <col min="12568" max="12568" width="10" style="326" customWidth="1"/>
    <col min="12569" max="12569" width="10.75" style="326" customWidth="1"/>
    <col min="12570" max="12570" width="14.875" style="326" customWidth="1"/>
    <col min="12571" max="12571" width="11.5" style="326" customWidth="1"/>
    <col min="12572" max="12572" width="10" style="326" customWidth="1"/>
    <col min="12573" max="12573" width="10.75" style="326" customWidth="1"/>
    <col min="12574" max="12574" width="13.5" style="326" customWidth="1"/>
    <col min="12575" max="12575" width="9" style="326"/>
    <col min="12576" max="12576" width="10.75" style="326" bestFit="1" customWidth="1"/>
    <col min="12577" max="12577" width="13.75" style="326" customWidth="1"/>
    <col min="12578" max="12578" width="9" style="326"/>
    <col min="12579" max="12579" width="10.625" style="326" customWidth="1"/>
    <col min="12580" max="12580" width="9" style="326"/>
    <col min="12581" max="12581" width="14.25" style="326" customWidth="1"/>
    <col min="12582" max="12582" width="10.75" style="326" bestFit="1" customWidth="1"/>
    <col min="12583" max="12583" width="11.625" style="326" customWidth="1"/>
    <col min="12584" max="12584" width="13.75" style="326" customWidth="1"/>
    <col min="12585" max="12585" width="10.625" style="326" customWidth="1"/>
    <col min="12586" max="12587" width="9" style="326"/>
    <col min="12588" max="12588" width="14.125" style="326" customWidth="1"/>
    <col min="12589" max="12589" width="11" style="326" customWidth="1"/>
    <col min="12590" max="12590" width="10.75" style="326" bestFit="1" customWidth="1"/>
    <col min="12591" max="12591" width="13.5" style="326" customWidth="1"/>
    <col min="12592" max="12593" width="9" style="326"/>
    <col min="12594" max="12594" width="10.75" style="326" bestFit="1" customWidth="1"/>
    <col min="12595" max="12595" width="14" style="326" customWidth="1"/>
    <col min="12596" max="12596" width="9" style="326"/>
    <col min="12597" max="12597" width="10.75" style="326" customWidth="1"/>
    <col min="12598" max="12598" width="12.75" style="326" customWidth="1"/>
    <col min="12599" max="12599" width="9" style="326"/>
    <col min="12600" max="12600" width="10.75" style="326" bestFit="1" customWidth="1"/>
    <col min="12601" max="12601" width="11.5" style="326" customWidth="1"/>
    <col min="12602" max="12602" width="13.625" style="326" customWidth="1"/>
    <col min="12603" max="12603" width="10.625" style="326" customWidth="1"/>
    <col min="12604" max="12604" width="10.75" style="326" bestFit="1" customWidth="1"/>
    <col min="12605" max="12605" width="12.375" style="326" customWidth="1"/>
    <col min="12606" max="12608" width="9" style="326"/>
    <col min="12609" max="12609" width="15.75" style="326" customWidth="1"/>
    <col min="12610" max="12610" width="9" style="326"/>
    <col min="12611" max="12611" width="10.75" style="326" bestFit="1" customWidth="1"/>
    <col min="12612" max="12612" width="12.625" style="326" customWidth="1"/>
    <col min="12613" max="12615" width="9" style="326"/>
    <col min="12616" max="12616" width="13.625" style="326" customWidth="1"/>
    <col min="12617" max="12617" width="9" style="326"/>
    <col min="12618" max="12618" width="10.75" style="326" bestFit="1" customWidth="1"/>
    <col min="12619" max="12619" width="12.5" style="326" customWidth="1"/>
    <col min="12620" max="12622" width="9" style="326"/>
    <col min="12623" max="12623" width="12.875" style="326" customWidth="1"/>
    <col min="12624" max="12624" width="9" style="326"/>
    <col min="12625" max="12625" width="10.75" style="326" bestFit="1" customWidth="1"/>
    <col min="12626" max="12626" width="13.875" style="326" customWidth="1"/>
    <col min="12627" max="12629" width="9" style="326"/>
    <col min="12630" max="12630" width="14.125" style="326" customWidth="1"/>
    <col min="12631" max="12631" width="9" style="326"/>
    <col min="12632" max="12632" width="10.75" style="326" bestFit="1" customWidth="1"/>
    <col min="12633" max="12633" width="13.25" style="326" customWidth="1"/>
    <col min="12634" max="12636" width="9" style="326"/>
    <col min="12637" max="12637" width="13.25" style="326" customWidth="1"/>
    <col min="12638" max="12638" width="9" style="326"/>
    <col min="12639" max="12639" width="10.75" style="326" bestFit="1" customWidth="1"/>
    <col min="12640" max="12640" width="13.875" style="326" customWidth="1"/>
    <col min="12641" max="12643" width="9" style="326"/>
    <col min="12644" max="12644" width="13.625" style="326" customWidth="1"/>
    <col min="12645" max="12645" width="9" style="326"/>
    <col min="12646" max="12646" width="10.75" style="326" bestFit="1" customWidth="1"/>
    <col min="12647" max="12647" width="13" style="326" customWidth="1"/>
    <col min="12648" max="12794" width="9" style="326"/>
    <col min="12795" max="12796" width="12.125" style="326" customWidth="1"/>
    <col min="12797" max="12799" width="13" style="326" customWidth="1"/>
    <col min="12800" max="12800" width="12.875" style="326" customWidth="1"/>
    <col min="12801" max="12801" width="13" style="326" customWidth="1"/>
    <col min="12802" max="12802" width="13.125" style="326" customWidth="1"/>
    <col min="12803" max="12804" width="12.125" style="326" customWidth="1"/>
    <col min="12805" max="12805" width="14.375" style="326" bestFit="1" customWidth="1"/>
    <col min="12806" max="12806" width="11" style="326" customWidth="1"/>
    <col min="12807" max="12807" width="10" style="326" customWidth="1"/>
    <col min="12808" max="12808" width="10.875" style="326" customWidth="1"/>
    <col min="12809" max="12809" width="13.75" style="326" customWidth="1"/>
    <col min="12810" max="12810" width="10" style="326" customWidth="1"/>
    <col min="12811" max="12811" width="13.25" style="326" customWidth="1"/>
    <col min="12812" max="12812" width="14.375" style="326" customWidth="1"/>
    <col min="12813" max="12813" width="10" style="326" customWidth="1"/>
    <col min="12814" max="12814" width="10.875" style="326" customWidth="1"/>
    <col min="12815" max="12815" width="11.375" style="326" customWidth="1"/>
    <col min="12816" max="12816" width="15.375" style="326" customWidth="1"/>
    <col min="12817" max="12818" width="10.75" style="326" customWidth="1"/>
    <col min="12819" max="12819" width="14.375" style="326" customWidth="1"/>
    <col min="12820" max="12820" width="10.75" style="326" customWidth="1"/>
    <col min="12821" max="12821" width="11.75" style="326" customWidth="1"/>
    <col min="12822" max="12822" width="10" style="326" customWidth="1"/>
    <col min="12823" max="12823" width="15.375" style="326" customWidth="1"/>
    <col min="12824" max="12824" width="10" style="326" customWidth="1"/>
    <col min="12825" max="12825" width="10.75" style="326" customWidth="1"/>
    <col min="12826" max="12826" width="14.875" style="326" customWidth="1"/>
    <col min="12827" max="12827" width="11.5" style="326" customWidth="1"/>
    <col min="12828" max="12828" width="10" style="326" customWidth="1"/>
    <col min="12829" max="12829" width="10.75" style="326" customWidth="1"/>
    <col min="12830" max="12830" width="13.5" style="326" customWidth="1"/>
    <col min="12831" max="12831" width="9" style="326"/>
    <col min="12832" max="12832" width="10.75" style="326" bestFit="1" customWidth="1"/>
    <col min="12833" max="12833" width="13.75" style="326" customWidth="1"/>
    <col min="12834" max="12834" width="9" style="326"/>
    <col min="12835" max="12835" width="10.625" style="326" customWidth="1"/>
    <col min="12836" max="12836" width="9" style="326"/>
    <col min="12837" max="12837" width="14.25" style="326" customWidth="1"/>
    <col min="12838" max="12838" width="10.75" style="326" bestFit="1" customWidth="1"/>
    <col min="12839" max="12839" width="11.625" style="326" customWidth="1"/>
    <col min="12840" max="12840" width="13.75" style="326" customWidth="1"/>
    <col min="12841" max="12841" width="10.625" style="326" customWidth="1"/>
    <col min="12842" max="12843" width="9" style="326"/>
    <col min="12844" max="12844" width="14.125" style="326" customWidth="1"/>
    <col min="12845" max="12845" width="11" style="326" customWidth="1"/>
    <col min="12846" max="12846" width="10.75" style="326" bestFit="1" customWidth="1"/>
    <col min="12847" max="12847" width="13.5" style="326" customWidth="1"/>
    <col min="12848" max="12849" width="9" style="326"/>
    <col min="12850" max="12850" width="10.75" style="326" bestFit="1" customWidth="1"/>
    <col min="12851" max="12851" width="14" style="326" customWidth="1"/>
    <col min="12852" max="12852" width="9" style="326"/>
    <col min="12853" max="12853" width="10.75" style="326" customWidth="1"/>
    <col min="12854" max="12854" width="12.75" style="326" customWidth="1"/>
    <col min="12855" max="12855" width="9" style="326"/>
    <col min="12856" max="12856" width="10.75" style="326" bestFit="1" customWidth="1"/>
    <col min="12857" max="12857" width="11.5" style="326" customWidth="1"/>
    <col min="12858" max="12858" width="13.625" style="326" customWidth="1"/>
    <col min="12859" max="12859" width="10.625" style="326" customWidth="1"/>
    <col min="12860" max="12860" width="10.75" style="326" bestFit="1" customWidth="1"/>
    <col min="12861" max="12861" width="12.375" style="326" customWidth="1"/>
    <col min="12862" max="12864" width="9" style="326"/>
    <col min="12865" max="12865" width="15.75" style="326" customWidth="1"/>
    <col min="12866" max="12866" width="9" style="326"/>
    <col min="12867" max="12867" width="10.75" style="326" bestFit="1" customWidth="1"/>
    <col min="12868" max="12868" width="12.625" style="326" customWidth="1"/>
    <col min="12869" max="12871" width="9" style="326"/>
    <col min="12872" max="12872" width="13.625" style="326" customWidth="1"/>
    <col min="12873" max="12873" width="9" style="326"/>
    <col min="12874" max="12874" width="10.75" style="326" bestFit="1" customWidth="1"/>
    <col min="12875" max="12875" width="12.5" style="326" customWidth="1"/>
    <col min="12876" max="12878" width="9" style="326"/>
    <col min="12879" max="12879" width="12.875" style="326" customWidth="1"/>
    <col min="12880" max="12880" width="9" style="326"/>
    <col min="12881" max="12881" width="10.75" style="326" bestFit="1" customWidth="1"/>
    <col min="12882" max="12882" width="13.875" style="326" customWidth="1"/>
    <col min="12883" max="12885" width="9" style="326"/>
    <col min="12886" max="12886" width="14.125" style="326" customWidth="1"/>
    <col min="12887" max="12887" width="9" style="326"/>
    <col min="12888" max="12888" width="10.75" style="326" bestFit="1" customWidth="1"/>
    <col min="12889" max="12889" width="13.25" style="326" customWidth="1"/>
    <col min="12890" max="12892" width="9" style="326"/>
    <col min="12893" max="12893" width="13.25" style="326" customWidth="1"/>
    <col min="12894" max="12894" width="9" style="326"/>
    <col min="12895" max="12895" width="10.75" style="326" bestFit="1" customWidth="1"/>
    <col min="12896" max="12896" width="13.875" style="326" customWidth="1"/>
    <col min="12897" max="12899" width="9" style="326"/>
    <col min="12900" max="12900" width="13.625" style="326" customWidth="1"/>
    <col min="12901" max="12901" width="9" style="326"/>
    <col min="12902" max="12902" width="10.75" style="326" bestFit="1" customWidth="1"/>
    <col min="12903" max="12903" width="13" style="326" customWidth="1"/>
    <col min="12904" max="13050" width="9" style="326"/>
    <col min="13051" max="13052" width="12.125" style="326" customWidth="1"/>
    <col min="13053" max="13055" width="13" style="326" customWidth="1"/>
    <col min="13056" max="13056" width="12.875" style="326" customWidth="1"/>
    <col min="13057" max="13057" width="13" style="326" customWidth="1"/>
    <col min="13058" max="13058" width="13.125" style="326" customWidth="1"/>
    <col min="13059" max="13060" width="12.125" style="326" customWidth="1"/>
    <col min="13061" max="13061" width="14.375" style="326" bestFit="1" customWidth="1"/>
    <col min="13062" max="13062" width="11" style="326" customWidth="1"/>
    <col min="13063" max="13063" width="10" style="326" customWidth="1"/>
    <col min="13064" max="13064" width="10.875" style="326" customWidth="1"/>
    <col min="13065" max="13065" width="13.75" style="326" customWidth="1"/>
    <col min="13066" max="13066" width="10" style="326" customWidth="1"/>
    <col min="13067" max="13067" width="13.25" style="326" customWidth="1"/>
    <col min="13068" max="13068" width="14.375" style="326" customWidth="1"/>
    <col min="13069" max="13069" width="10" style="326" customWidth="1"/>
    <col min="13070" max="13070" width="10.875" style="326" customWidth="1"/>
    <col min="13071" max="13071" width="11.375" style="326" customWidth="1"/>
    <col min="13072" max="13072" width="15.375" style="326" customWidth="1"/>
    <col min="13073" max="13074" width="10.75" style="326" customWidth="1"/>
    <col min="13075" max="13075" width="14.375" style="326" customWidth="1"/>
    <col min="13076" max="13076" width="10.75" style="326" customWidth="1"/>
    <col min="13077" max="13077" width="11.75" style="326" customWidth="1"/>
    <col min="13078" max="13078" width="10" style="326" customWidth="1"/>
    <col min="13079" max="13079" width="15.375" style="326" customWidth="1"/>
    <col min="13080" max="13080" width="10" style="326" customWidth="1"/>
    <col min="13081" max="13081" width="10.75" style="326" customWidth="1"/>
    <col min="13082" max="13082" width="14.875" style="326" customWidth="1"/>
    <col min="13083" max="13083" width="11.5" style="326" customWidth="1"/>
    <col min="13084" max="13084" width="10" style="326" customWidth="1"/>
    <col min="13085" max="13085" width="10.75" style="326" customWidth="1"/>
    <col min="13086" max="13086" width="13.5" style="326" customWidth="1"/>
    <col min="13087" max="13087" width="9" style="326"/>
    <col min="13088" max="13088" width="10.75" style="326" bestFit="1" customWidth="1"/>
    <col min="13089" max="13089" width="13.75" style="326" customWidth="1"/>
    <col min="13090" max="13090" width="9" style="326"/>
    <col min="13091" max="13091" width="10.625" style="326" customWidth="1"/>
    <col min="13092" max="13092" width="9" style="326"/>
    <col min="13093" max="13093" width="14.25" style="326" customWidth="1"/>
    <col min="13094" max="13094" width="10.75" style="326" bestFit="1" customWidth="1"/>
    <col min="13095" max="13095" width="11.625" style="326" customWidth="1"/>
    <col min="13096" max="13096" width="13.75" style="326" customWidth="1"/>
    <col min="13097" max="13097" width="10.625" style="326" customWidth="1"/>
    <col min="13098" max="13099" width="9" style="326"/>
    <col min="13100" max="13100" width="14.125" style="326" customWidth="1"/>
    <col min="13101" max="13101" width="11" style="326" customWidth="1"/>
    <col min="13102" max="13102" width="10.75" style="326" bestFit="1" customWidth="1"/>
    <col min="13103" max="13103" width="13.5" style="326" customWidth="1"/>
    <col min="13104" max="13105" width="9" style="326"/>
    <col min="13106" max="13106" width="10.75" style="326" bestFit="1" customWidth="1"/>
    <col min="13107" max="13107" width="14" style="326" customWidth="1"/>
    <col min="13108" max="13108" width="9" style="326"/>
    <col min="13109" max="13109" width="10.75" style="326" customWidth="1"/>
    <col min="13110" max="13110" width="12.75" style="326" customWidth="1"/>
    <col min="13111" max="13111" width="9" style="326"/>
    <col min="13112" max="13112" width="10.75" style="326" bestFit="1" customWidth="1"/>
    <col min="13113" max="13113" width="11.5" style="326" customWidth="1"/>
    <col min="13114" max="13114" width="13.625" style="326" customWidth="1"/>
    <col min="13115" max="13115" width="10.625" style="326" customWidth="1"/>
    <col min="13116" max="13116" width="10.75" style="326" bestFit="1" customWidth="1"/>
    <col min="13117" max="13117" width="12.375" style="326" customWidth="1"/>
    <col min="13118" max="13120" width="9" style="326"/>
    <col min="13121" max="13121" width="15.75" style="326" customWidth="1"/>
    <col min="13122" max="13122" width="9" style="326"/>
    <col min="13123" max="13123" width="10.75" style="326" bestFit="1" customWidth="1"/>
    <col min="13124" max="13124" width="12.625" style="326" customWidth="1"/>
    <col min="13125" max="13127" width="9" style="326"/>
    <col min="13128" max="13128" width="13.625" style="326" customWidth="1"/>
    <col min="13129" max="13129" width="9" style="326"/>
    <col min="13130" max="13130" width="10.75" style="326" bestFit="1" customWidth="1"/>
    <col min="13131" max="13131" width="12.5" style="326" customWidth="1"/>
    <col min="13132" max="13134" width="9" style="326"/>
    <col min="13135" max="13135" width="12.875" style="326" customWidth="1"/>
    <col min="13136" max="13136" width="9" style="326"/>
    <col min="13137" max="13137" width="10.75" style="326" bestFit="1" customWidth="1"/>
    <col min="13138" max="13138" width="13.875" style="326" customWidth="1"/>
    <col min="13139" max="13141" width="9" style="326"/>
    <col min="13142" max="13142" width="14.125" style="326" customWidth="1"/>
    <col min="13143" max="13143" width="9" style="326"/>
    <col min="13144" max="13144" width="10.75" style="326" bestFit="1" customWidth="1"/>
    <col min="13145" max="13145" width="13.25" style="326" customWidth="1"/>
    <col min="13146" max="13148" width="9" style="326"/>
    <col min="13149" max="13149" width="13.25" style="326" customWidth="1"/>
    <col min="13150" max="13150" width="9" style="326"/>
    <col min="13151" max="13151" width="10.75" style="326" bestFit="1" customWidth="1"/>
    <col min="13152" max="13152" width="13.875" style="326" customWidth="1"/>
    <col min="13153" max="13155" width="9" style="326"/>
    <col min="13156" max="13156" width="13.625" style="326" customWidth="1"/>
    <col min="13157" max="13157" width="9" style="326"/>
    <col min="13158" max="13158" width="10.75" style="326" bestFit="1" customWidth="1"/>
    <col min="13159" max="13159" width="13" style="326" customWidth="1"/>
    <col min="13160" max="13306" width="9" style="326"/>
    <col min="13307" max="13308" width="12.125" style="326" customWidth="1"/>
    <col min="13309" max="13311" width="13" style="326" customWidth="1"/>
    <col min="13312" max="13312" width="12.875" style="326" customWidth="1"/>
    <col min="13313" max="13313" width="13" style="326" customWidth="1"/>
    <col min="13314" max="13314" width="13.125" style="326" customWidth="1"/>
    <col min="13315" max="13316" width="12.125" style="326" customWidth="1"/>
    <col min="13317" max="13317" width="14.375" style="326" bestFit="1" customWidth="1"/>
    <col min="13318" max="13318" width="11" style="326" customWidth="1"/>
    <col min="13319" max="13319" width="10" style="326" customWidth="1"/>
    <col min="13320" max="13320" width="10.875" style="326" customWidth="1"/>
    <col min="13321" max="13321" width="13.75" style="326" customWidth="1"/>
    <col min="13322" max="13322" width="10" style="326" customWidth="1"/>
    <col min="13323" max="13323" width="13.25" style="326" customWidth="1"/>
    <col min="13324" max="13324" width="14.375" style="326" customWidth="1"/>
    <col min="13325" max="13325" width="10" style="326" customWidth="1"/>
    <col min="13326" max="13326" width="10.875" style="326" customWidth="1"/>
    <col min="13327" max="13327" width="11.375" style="326" customWidth="1"/>
    <col min="13328" max="13328" width="15.375" style="326" customWidth="1"/>
    <col min="13329" max="13330" width="10.75" style="326" customWidth="1"/>
    <col min="13331" max="13331" width="14.375" style="326" customWidth="1"/>
    <col min="13332" max="13332" width="10.75" style="326" customWidth="1"/>
    <col min="13333" max="13333" width="11.75" style="326" customWidth="1"/>
    <col min="13334" max="13334" width="10" style="326" customWidth="1"/>
    <col min="13335" max="13335" width="15.375" style="326" customWidth="1"/>
    <col min="13336" max="13336" width="10" style="326" customWidth="1"/>
    <col min="13337" max="13337" width="10.75" style="326" customWidth="1"/>
    <col min="13338" max="13338" width="14.875" style="326" customWidth="1"/>
    <col min="13339" max="13339" width="11.5" style="326" customWidth="1"/>
    <col min="13340" max="13340" width="10" style="326" customWidth="1"/>
    <col min="13341" max="13341" width="10.75" style="326" customWidth="1"/>
    <col min="13342" max="13342" width="13.5" style="326" customWidth="1"/>
    <col min="13343" max="13343" width="9" style="326"/>
    <col min="13344" max="13344" width="10.75" style="326" bestFit="1" customWidth="1"/>
    <col min="13345" max="13345" width="13.75" style="326" customWidth="1"/>
    <col min="13346" max="13346" width="9" style="326"/>
    <col min="13347" max="13347" width="10.625" style="326" customWidth="1"/>
    <col min="13348" max="13348" width="9" style="326"/>
    <col min="13349" max="13349" width="14.25" style="326" customWidth="1"/>
    <col min="13350" max="13350" width="10.75" style="326" bestFit="1" customWidth="1"/>
    <col min="13351" max="13351" width="11.625" style="326" customWidth="1"/>
    <col min="13352" max="13352" width="13.75" style="326" customWidth="1"/>
    <col min="13353" max="13353" width="10.625" style="326" customWidth="1"/>
    <col min="13354" max="13355" width="9" style="326"/>
    <col min="13356" max="13356" width="14.125" style="326" customWidth="1"/>
    <col min="13357" max="13357" width="11" style="326" customWidth="1"/>
    <col min="13358" max="13358" width="10.75" style="326" bestFit="1" customWidth="1"/>
    <col min="13359" max="13359" width="13.5" style="326" customWidth="1"/>
    <col min="13360" max="13361" width="9" style="326"/>
    <col min="13362" max="13362" width="10.75" style="326" bestFit="1" customWidth="1"/>
    <col min="13363" max="13363" width="14" style="326" customWidth="1"/>
    <col min="13364" max="13364" width="9" style="326"/>
    <col min="13365" max="13365" width="10.75" style="326" customWidth="1"/>
    <col min="13366" max="13366" width="12.75" style="326" customWidth="1"/>
    <col min="13367" max="13367" width="9" style="326"/>
    <col min="13368" max="13368" width="10.75" style="326" bestFit="1" customWidth="1"/>
    <col min="13369" max="13369" width="11.5" style="326" customWidth="1"/>
    <col min="13370" max="13370" width="13.625" style="326" customWidth="1"/>
    <col min="13371" max="13371" width="10.625" style="326" customWidth="1"/>
    <col min="13372" max="13372" width="10.75" style="326" bestFit="1" customWidth="1"/>
    <col min="13373" max="13373" width="12.375" style="326" customWidth="1"/>
    <col min="13374" max="13376" width="9" style="326"/>
    <col min="13377" max="13377" width="15.75" style="326" customWidth="1"/>
    <col min="13378" max="13378" width="9" style="326"/>
    <col min="13379" max="13379" width="10.75" style="326" bestFit="1" customWidth="1"/>
    <col min="13380" max="13380" width="12.625" style="326" customWidth="1"/>
    <col min="13381" max="13383" width="9" style="326"/>
    <col min="13384" max="13384" width="13.625" style="326" customWidth="1"/>
    <col min="13385" max="13385" width="9" style="326"/>
    <col min="13386" max="13386" width="10.75" style="326" bestFit="1" customWidth="1"/>
    <col min="13387" max="13387" width="12.5" style="326" customWidth="1"/>
    <col min="13388" max="13390" width="9" style="326"/>
    <col min="13391" max="13391" width="12.875" style="326" customWidth="1"/>
    <col min="13392" max="13392" width="9" style="326"/>
    <col min="13393" max="13393" width="10.75" style="326" bestFit="1" customWidth="1"/>
    <col min="13394" max="13394" width="13.875" style="326" customWidth="1"/>
    <col min="13395" max="13397" width="9" style="326"/>
    <col min="13398" max="13398" width="14.125" style="326" customWidth="1"/>
    <col min="13399" max="13399" width="9" style="326"/>
    <col min="13400" max="13400" width="10.75" style="326" bestFit="1" customWidth="1"/>
    <col min="13401" max="13401" width="13.25" style="326" customWidth="1"/>
    <col min="13402" max="13404" width="9" style="326"/>
    <col min="13405" max="13405" width="13.25" style="326" customWidth="1"/>
    <col min="13406" max="13406" width="9" style="326"/>
    <col min="13407" max="13407" width="10.75" style="326" bestFit="1" customWidth="1"/>
    <col min="13408" max="13408" width="13.875" style="326" customWidth="1"/>
    <col min="13409" max="13411" width="9" style="326"/>
    <col min="13412" max="13412" width="13.625" style="326" customWidth="1"/>
    <col min="13413" max="13413" width="9" style="326"/>
    <col min="13414" max="13414" width="10.75" style="326" bestFit="1" customWidth="1"/>
    <col min="13415" max="13415" width="13" style="326" customWidth="1"/>
    <col min="13416" max="13562" width="9" style="326"/>
    <col min="13563" max="13564" width="12.125" style="326" customWidth="1"/>
    <col min="13565" max="13567" width="13" style="326" customWidth="1"/>
    <col min="13568" max="13568" width="12.875" style="326" customWidth="1"/>
    <col min="13569" max="13569" width="13" style="326" customWidth="1"/>
    <col min="13570" max="13570" width="13.125" style="326" customWidth="1"/>
    <col min="13571" max="13572" width="12.125" style="326" customWidth="1"/>
    <col min="13573" max="13573" width="14.375" style="326" bestFit="1" customWidth="1"/>
    <col min="13574" max="13574" width="11" style="326" customWidth="1"/>
    <col min="13575" max="13575" width="10" style="326" customWidth="1"/>
    <col min="13576" max="13576" width="10.875" style="326" customWidth="1"/>
    <col min="13577" max="13577" width="13.75" style="326" customWidth="1"/>
    <col min="13578" max="13578" width="10" style="326" customWidth="1"/>
    <col min="13579" max="13579" width="13.25" style="326" customWidth="1"/>
    <col min="13580" max="13580" width="14.375" style="326" customWidth="1"/>
    <col min="13581" max="13581" width="10" style="326" customWidth="1"/>
    <col min="13582" max="13582" width="10.875" style="326" customWidth="1"/>
    <col min="13583" max="13583" width="11.375" style="326" customWidth="1"/>
    <col min="13584" max="13584" width="15.375" style="326" customWidth="1"/>
    <col min="13585" max="13586" width="10.75" style="326" customWidth="1"/>
    <col min="13587" max="13587" width="14.375" style="326" customWidth="1"/>
    <col min="13588" max="13588" width="10.75" style="326" customWidth="1"/>
    <col min="13589" max="13589" width="11.75" style="326" customWidth="1"/>
    <col min="13590" max="13590" width="10" style="326" customWidth="1"/>
    <col min="13591" max="13591" width="15.375" style="326" customWidth="1"/>
    <col min="13592" max="13592" width="10" style="326" customWidth="1"/>
    <col min="13593" max="13593" width="10.75" style="326" customWidth="1"/>
    <col min="13594" max="13594" width="14.875" style="326" customWidth="1"/>
    <col min="13595" max="13595" width="11.5" style="326" customWidth="1"/>
    <col min="13596" max="13596" width="10" style="326" customWidth="1"/>
    <col min="13597" max="13597" width="10.75" style="326" customWidth="1"/>
    <col min="13598" max="13598" width="13.5" style="326" customWidth="1"/>
    <col min="13599" max="13599" width="9" style="326"/>
    <col min="13600" max="13600" width="10.75" style="326" bestFit="1" customWidth="1"/>
    <col min="13601" max="13601" width="13.75" style="326" customWidth="1"/>
    <col min="13602" max="13602" width="9" style="326"/>
    <col min="13603" max="13603" width="10.625" style="326" customWidth="1"/>
    <col min="13604" max="13604" width="9" style="326"/>
    <col min="13605" max="13605" width="14.25" style="326" customWidth="1"/>
    <col min="13606" max="13606" width="10.75" style="326" bestFit="1" customWidth="1"/>
    <col min="13607" max="13607" width="11.625" style="326" customWidth="1"/>
    <col min="13608" max="13608" width="13.75" style="326" customWidth="1"/>
    <col min="13609" max="13609" width="10.625" style="326" customWidth="1"/>
    <col min="13610" max="13611" width="9" style="326"/>
    <col min="13612" max="13612" width="14.125" style="326" customWidth="1"/>
    <col min="13613" max="13613" width="11" style="326" customWidth="1"/>
    <col min="13614" max="13614" width="10.75" style="326" bestFit="1" customWidth="1"/>
    <col min="13615" max="13615" width="13.5" style="326" customWidth="1"/>
    <col min="13616" max="13617" width="9" style="326"/>
    <col min="13618" max="13618" width="10.75" style="326" bestFit="1" customWidth="1"/>
    <col min="13619" max="13619" width="14" style="326" customWidth="1"/>
    <col min="13620" max="13620" width="9" style="326"/>
    <col min="13621" max="13621" width="10.75" style="326" customWidth="1"/>
    <col min="13622" max="13622" width="12.75" style="326" customWidth="1"/>
    <col min="13623" max="13623" width="9" style="326"/>
    <col min="13624" max="13624" width="10.75" style="326" bestFit="1" customWidth="1"/>
    <col min="13625" max="13625" width="11.5" style="326" customWidth="1"/>
    <col min="13626" max="13626" width="13.625" style="326" customWidth="1"/>
    <col min="13627" max="13627" width="10.625" style="326" customWidth="1"/>
    <col min="13628" max="13628" width="10.75" style="326" bestFit="1" customWidth="1"/>
    <col min="13629" max="13629" width="12.375" style="326" customWidth="1"/>
    <col min="13630" max="13632" width="9" style="326"/>
    <col min="13633" max="13633" width="15.75" style="326" customWidth="1"/>
    <col min="13634" max="13634" width="9" style="326"/>
    <col min="13635" max="13635" width="10.75" style="326" bestFit="1" customWidth="1"/>
    <col min="13636" max="13636" width="12.625" style="326" customWidth="1"/>
    <col min="13637" max="13639" width="9" style="326"/>
    <col min="13640" max="13640" width="13.625" style="326" customWidth="1"/>
    <col min="13641" max="13641" width="9" style="326"/>
    <col min="13642" max="13642" width="10.75" style="326" bestFit="1" customWidth="1"/>
    <col min="13643" max="13643" width="12.5" style="326" customWidth="1"/>
    <col min="13644" max="13646" width="9" style="326"/>
    <col min="13647" max="13647" width="12.875" style="326" customWidth="1"/>
    <col min="13648" max="13648" width="9" style="326"/>
    <col min="13649" max="13649" width="10.75" style="326" bestFit="1" customWidth="1"/>
    <col min="13650" max="13650" width="13.875" style="326" customWidth="1"/>
    <col min="13651" max="13653" width="9" style="326"/>
    <col min="13654" max="13654" width="14.125" style="326" customWidth="1"/>
    <col min="13655" max="13655" width="9" style="326"/>
    <col min="13656" max="13656" width="10.75" style="326" bestFit="1" customWidth="1"/>
    <col min="13657" max="13657" width="13.25" style="326" customWidth="1"/>
    <col min="13658" max="13660" width="9" style="326"/>
    <col min="13661" max="13661" width="13.25" style="326" customWidth="1"/>
    <col min="13662" max="13662" width="9" style="326"/>
    <col min="13663" max="13663" width="10.75" style="326" bestFit="1" customWidth="1"/>
    <col min="13664" max="13664" width="13.875" style="326" customWidth="1"/>
    <col min="13665" max="13667" width="9" style="326"/>
    <col min="13668" max="13668" width="13.625" style="326" customWidth="1"/>
    <col min="13669" max="13669" width="9" style="326"/>
    <col min="13670" max="13670" width="10.75" style="326" bestFit="1" customWidth="1"/>
    <col min="13671" max="13671" width="13" style="326" customWidth="1"/>
    <col min="13672" max="13818" width="9" style="326"/>
    <col min="13819" max="13820" width="12.125" style="326" customWidth="1"/>
    <col min="13821" max="13823" width="13" style="326" customWidth="1"/>
    <col min="13824" max="13824" width="12.875" style="326" customWidth="1"/>
    <col min="13825" max="13825" width="13" style="326" customWidth="1"/>
    <col min="13826" max="13826" width="13.125" style="326" customWidth="1"/>
    <col min="13827" max="13828" width="12.125" style="326" customWidth="1"/>
    <col min="13829" max="13829" width="14.375" style="326" bestFit="1" customWidth="1"/>
    <col min="13830" max="13830" width="11" style="326" customWidth="1"/>
    <col min="13831" max="13831" width="10" style="326" customWidth="1"/>
    <col min="13832" max="13832" width="10.875" style="326" customWidth="1"/>
    <col min="13833" max="13833" width="13.75" style="326" customWidth="1"/>
    <col min="13834" max="13834" width="10" style="326" customWidth="1"/>
    <col min="13835" max="13835" width="13.25" style="326" customWidth="1"/>
    <col min="13836" max="13836" width="14.375" style="326" customWidth="1"/>
    <col min="13837" max="13837" width="10" style="326" customWidth="1"/>
    <col min="13838" max="13838" width="10.875" style="326" customWidth="1"/>
    <col min="13839" max="13839" width="11.375" style="326" customWidth="1"/>
    <col min="13840" max="13840" width="15.375" style="326" customWidth="1"/>
    <col min="13841" max="13842" width="10.75" style="326" customWidth="1"/>
    <col min="13843" max="13843" width="14.375" style="326" customWidth="1"/>
    <col min="13844" max="13844" width="10.75" style="326" customWidth="1"/>
    <col min="13845" max="13845" width="11.75" style="326" customWidth="1"/>
    <col min="13846" max="13846" width="10" style="326" customWidth="1"/>
    <col min="13847" max="13847" width="15.375" style="326" customWidth="1"/>
    <col min="13848" max="13848" width="10" style="326" customWidth="1"/>
    <col min="13849" max="13849" width="10.75" style="326" customWidth="1"/>
    <col min="13850" max="13850" width="14.875" style="326" customWidth="1"/>
    <col min="13851" max="13851" width="11.5" style="326" customWidth="1"/>
    <col min="13852" max="13852" width="10" style="326" customWidth="1"/>
    <col min="13853" max="13853" width="10.75" style="326" customWidth="1"/>
    <col min="13854" max="13854" width="13.5" style="326" customWidth="1"/>
    <col min="13855" max="13855" width="9" style="326"/>
    <col min="13856" max="13856" width="10.75" style="326" bestFit="1" customWidth="1"/>
    <col min="13857" max="13857" width="13.75" style="326" customWidth="1"/>
    <col min="13858" max="13858" width="9" style="326"/>
    <col min="13859" max="13859" width="10.625" style="326" customWidth="1"/>
    <col min="13860" max="13860" width="9" style="326"/>
    <col min="13861" max="13861" width="14.25" style="326" customWidth="1"/>
    <col min="13862" max="13862" width="10.75" style="326" bestFit="1" customWidth="1"/>
    <col min="13863" max="13863" width="11.625" style="326" customWidth="1"/>
    <col min="13864" max="13864" width="13.75" style="326" customWidth="1"/>
    <col min="13865" max="13865" width="10.625" style="326" customWidth="1"/>
    <col min="13866" max="13867" width="9" style="326"/>
    <col min="13868" max="13868" width="14.125" style="326" customWidth="1"/>
    <col min="13869" max="13869" width="11" style="326" customWidth="1"/>
    <col min="13870" max="13870" width="10.75" style="326" bestFit="1" customWidth="1"/>
    <col min="13871" max="13871" width="13.5" style="326" customWidth="1"/>
    <col min="13872" max="13873" width="9" style="326"/>
    <col min="13874" max="13874" width="10.75" style="326" bestFit="1" customWidth="1"/>
    <col min="13875" max="13875" width="14" style="326" customWidth="1"/>
    <col min="13876" max="13876" width="9" style="326"/>
    <col min="13877" max="13877" width="10.75" style="326" customWidth="1"/>
    <col min="13878" max="13878" width="12.75" style="326" customWidth="1"/>
    <col min="13879" max="13879" width="9" style="326"/>
    <col min="13880" max="13880" width="10.75" style="326" bestFit="1" customWidth="1"/>
    <col min="13881" max="13881" width="11.5" style="326" customWidth="1"/>
    <col min="13882" max="13882" width="13.625" style="326" customWidth="1"/>
    <col min="13883" max="13883" width="10.625" style="326" customWidth="1"/>
    <col min="13884" max="13884" width="10.75" style="326" bestFit="1" customWidth="1"/>
    <col min="13885" max="13885" width="12.375" style="326" customWidth="1"/>
    <col min="13886" max="13888" width="9" style="326"/>
    <col min="13889" max="13889" width="15.75" style="326" customWidth="1"/>
    <col min="13890" max="13890" width="9" style="326"/>
    <col min="13891" max="13891" width="10.75" style="326" bestFit="1" customWidth="1"/>
    <col min="13892" max="13892" width="12.625" style="326" customWidth="1"/>
    <col min="13893" max="13895" width="9" style="326"/>
    <col min="13896" max="13896" width="13.625" style="326" customWidth="1"/>
    <col min="13897" max="13897" width="9" style="326"/>
    <col min="13898" max="13898" width="10.75" style="326" bestFit="1" customWidth="1"/>
    <col min="13899" max="13899" width="12.5" style="326" customWidth="1"/>
    <col min="13900" max="13902" width="9" style="326"/>
    <col min="13903" max="13903" width="12.875" style="326" customWidth="1"/>
    <col min="13904" max="13904" width="9" style="326"/>
    <col min="13905" max="13905" width="10.75" style="326" bestFit="1" customWidth="1"/>
    <col min="13906" max="13906" width="13.875" style="326" customWidth="1"/>
    <col min="13907" max="13909" width="9" style="326"/>
    <col min="13910" max="13910" width="14.125" style="326" customWidth="1"/>
    <col min="13911" max="13911" width="9" style="326"/>
    <col min="13912" max="13912" width="10.75" style="326" bestFit="1" customWidth="1"/>
    <col min="13913" max="13913" width="13.25" style="326" customWidth="1"/>
    <col min="13914" max="13916" width="9" style="326"/>
    <col min="13917" max="13917" width="13.25" style="326" customWidth="1"/>
    <col min="13918" max="13918" width="9" style="326"/>
    <col min="13919" max="13919" width="10.75" style="326" bestFit="1" customWidth="1"/>
    <col min="13920" max="13920" width="13.875" style="326" customWidth="1"/>
    <col min="13921" max="13923" width="9" style="326"/>
    <col min="13924" max="13924" width="13.625" style="326" customWidth="1"/>
    <col min="13925" max="13925" width="9" style="326"/>
    <col min="13926" max="13926" width="10.75" style="326" bestFit="1" customWidth="1"/>
    <col min="13927" max="13927" width="13" style="326" customWidth="1"/>
    <col min="13928" max="14074" width="9" style="326"/>
    <col min="14075" max="14076" width="12.125" style="326" customWidth="1"/>
    <col min="14077" max="14079" width="13" style="326" customWidth="1"/>
    <col min="14080" max="14080" width="12.875" style="326" customWidth="1"/>
    <col min="14081" max="14081" width="13" style="326" customWidth="1"/>
    <col min="14082" max="14082" width="13.125" style="326" customWidth="1"/>
    <col min="14083" max="14084" width="12.125" style="326" customWidth="1"/>
    <col min="14085" max="14085" width="14.375" style="326" bestFit="1" customWidth="1"/>
    <col min="14086" max="14086" width="11" style="326" customWidth="1"/>
    <col min="14087" max="14087" width="10" style="326" customWidth="1"/>
    <col min="14088" max="14088" width="10.875" style="326" customWidth="1"/>
    <col min="14089" max="14089" width="13.75" style="326" customWidth="1"/>
    <col min="14090" max="14090" width="10" style="326" customWidth="1"/>
    <col min="14091" max="14091" width="13.25" style="326" customWidth="1"/>
    <col min="14092" max="14092" width="14.375" style="326" customWidth="1"/>
    <col min="14093" max="14093" width="10" style="326" customWidth="1"/>
    <col min="14094" max="14094" width="10.875" style="326" customWidth="1"/>
    <col min="14095" max="14095" width="11.375" style="326" customWidth="1"/>
    <col min="14096" max="14096" width="15.375" style="326" customWidth="1"/>
    <col min="14097" max="14098" width="10.75" style="326" customWidth="1"/>
    <col min="14099" max="14099" width="14.375" style="326" customWidth="1"/>
    <col min="14100" max="14100" width="10.75" style="326" customWidth="1"/>
    <col min="14101" max="14101" width="11.75" style="326" customWidth="1"/>
    <col min="14102" max="14102" width="10" style="326" customWidth="1"/>
    <col min="14103" max="14103" width="15.375" style="326" customWidth="1"/>
    <col min="14104" max="14104" width="10" style="326" customWidth="1"/>
    <col min="14105" max="14105" width="10.75" style="326" customWidth="1"/>
    <col min="14106" max="14106" width="14.875" style="326" customWidth="1"/>
    <col min="14107" max="14107" width="11.5" style="326" customWidth="1"/>
    <col min="14108" max="14108" width="10" style="326" customWidth="1"/>
    <col min="14109" max="14109" width="10.75" style="326" customWidth="1"/>
    <col min="14110" max="14110" width="13.5" style="326" customWidth="1"/>
    <col min="14111" max="14111" width="9" style="326"/>
    <col min="14112" max="14112" width="10.75" style="326" bestFit="1" customWidth="1"/>
    <col min="14113" max="14113" width="13.75" style="326" customWidth="1"/>
    <col min="14114" max="14114" width="9" style="326"/>
    <col min="14115" max="14115" width="10.625" style="326" customWidth="1"/>
    <col min="14116" max="14116" width="9" style="326"/>
    <col min="14117" max="14117" width="14.25" style="326" customWidth="1"/>
    <col min="14118" max="14118" width="10.75" style="326" bestFit="1" customWidth="1"/>
    <col min="14119" max="14119" width="11.625" style="326" customWidth="1"/>
    <col min="14120" max="14120" width="13.75" style="326" customWidth="1"/>
    <col min="14121" max="14121" width="10.625" style="326" customWidth="1"/>
    <col min="14122" max="14123" width="9" style="326"/>
    <col min="14124" max="14124" width="14.125" style="326" customWidth="1"/>
    <col min="14125" max="14125" width="11" style="326" customWidth="1"/>
    <col min="14126" max="14126" width="10.75" style="326" bestFit="1" customWidth="1"/>
    <col min="14127" max="14127" width="13.5" style="326" customWidth="1"/>
    <col min="14128" max="14129" width="9" style="326"/>
    <col min="14130" max="14130" width="10.75" style="326" bestFit="1" customWidth="1"/>
    <col min="14131" max="14131" width="14" style="326" customWidth="1"/>
    <col min="14132" max="14132" width="9" style="326"/>
    <col min="14133" max="14133" width="10.75" style="326" customWidth="1"/>
    <col min="14134" max="14134" width="12.75" style="326" customWidth="1"/>
    <col min="14135" max="14135" width="9" style="326"/>
    <col min="14136" max="14136" width="10.75" style="326" bestFit="1" customWidth="1"/>
    <col min="14137" max="14137" width="11.5" style="326" customWidth="1"/>
    <col min="14138" max="14138" width="13.625" style="326" customWidth="1"/>
    <col min="14139" max="14139" width="10.625" style="326" customWidth="1"/>
    <col min="14140" max="14140" width="10.75" style="326" bestFit="1" customWidth="1"/>
    <col min="14141" max="14141" width="12.375" style="326" customWidth="1"/>
    <col min="14142" max="14144" width="9" style="326"/>
    <col min="14145" max="14145" width="15.75" style="326" customWidth="1"/>
    <col min="14146" max="14146" width="9" style="326"/>
    <col min="14147" max="14147" width="10.75" style="326" bestFit="1" customWidth="1"/>
    <col min="14148" max="14148" width="12.625" style="326" customWidth="1"/>
    <col min="14149" max="14151" width="9" style="326"/>
    <col min="14152" max="14152" width="13.625" style="326" customWidth="1"/>
    <col min="14153" max="14153" width="9" style="326"/>
    <col min="14154" max="14154" width="10.75" style="326" bestFit="1" customWidth="1"/>
    <col min="14155" max="14155" width="12.5" style="326" customWidth="1"/>
    <col min="14156" max="14158" width="9" style="326"/>
    <col min="14159" max="14159" width="12.875" style="326" customWidth="1"/>
    <col min="14160" max="14160" width="9" style="326"/>
    <col min="14161" max="14161" width="10.75" style="326" bestFit="1" customWidth="1"/>
    <col min="14162" max="14162" width="13.875" style="326" customWidth="1"/>
    <col min="14163" max="14165" width="9" style="326"/>
    <col min="14166" max="14166" width="14.125" style="326" customWidth="1"/>
    <col min="14167" max="14167" width="9" style="326"/>
    <col min="14168" max="14168" width="10.75" style="326" bestFit="1" customWidth="1"/>
    <col min="14169" max="14169" width="13.25" style="326" customWidth="1"/>
    <col min="14170" max="14172" width="9" style="326"/>
    <col min="14173" max="14173" width="13.25" style="326" customWidth="1"/>
    <col min="14174" max="14174" width="9" style="326"/>
    <col min="14175" max="14175" width="10.75" style="326" bestFit="1" customWidth="1"/>
    <col min="14176" max="14176" width="13.875" style="326" customWidth="1"/>
    <col min="14177" max="14179" width="9" style="326"/>
    <col min="14180" max="14180" width="13.625" style="326" customWidth="1"/>
    <col min="14181" max="14181" width="9" style="326"/>
    <col min="14182" max="14182" width="10.75" style="326" bestFit="1" customWidth="1"/>
    <col min="14183" max="14183" width="13" style="326" customWidth="1"/>
    <col min="14184" max="14330" width="9" style="326"/>
    <col min="14331" max="14332" width="12.125" style="326" customWidth="1"/>
    <col min="14333" max="14335" width="13" style="326" customWidth="1"/>
    <col min="14336" max="14336" width="12.875" style="326" customWidth="1"/>
    <col min="14337" max="14337" width="13" style="326" customWidth="1"/>
    <col min="14338" max="14338" width="13.125" style="326" customWidth="1"/>
    <col min="14339" max="14340" width="12.125" style="326" customWidth="1"/>
    <col min="14341" max="14341" width="14.375" style="326" bestFit="1" customWidth="1"/>
    <col min="14342" max="14342" width="11" style="326" customWidth="1"/>
    <col min="14343" max="14343" width="10" style="326" customWidth="1"/>
    <col min="14344" max="14344" width="10.875" style="326" customWidth="1"/>
    <col min="14345" max="14345" width="13.75" style="326" customWidth="1"/>
    <col min="14346" max="14346" width="10" style="326" customWidth="1"/>
    <col min="14347" max="14347" width="13.25" style="326" customWidth="1"/>
    <col min="14348" max="14348" width="14.375" style="326" customWidth="1"/>
    <col min="14349" max="14349" width="10" style="326" customWidth="1"/>
    <col min="14350" max="14350" width="10.875" style="326" customWidth="1"/>
    <col min="14351" max="14351" width="11.375" style="326" customWidth="1"/>
    <col min="14352" max="14352" width="15.375" style="326" customWidth="1"/>
    <col min="14353" max="14354" width="10.75" style="326" customWidth="1"/>
    <col min="14355" max="14355" width="14.375" style="326" customWidth="1"/>
    <col min="14356" max="14356" width="10.75" style="326" customWidth="1"/>
    <col min="14357" max="14357" width="11.75" style="326" customWidth="1"/>
    <col min="14358" max="14358" width="10" style="326" customWidth="1"/>
    <col min="14359" max="14359" width="15.375" style="326" customWidth="1"/>
    <col min="14360" max="14360" width="10" style="326" customWidth="1"/>
    <col min="14361" max="14361" width="10.75" style="326" customWidth="1"/>
    <col min="14362" max="14362" width="14.875" style="326" customWidth="1"/>
    <col min="14363" max="14363" width="11.5" style="326" customWidth="1"/>
    <col min="14364" max="14364" width="10" style="326" customWidth="1"/>
    <col min="14365" max="14365" width="10.75" style="326" customWidth="1"/>
    <col min="14366" max="14366" width="13.5" style="326" customWidth="1"/>
    <col min="14367" max="14367" width="9" style="326"/>
    <col min="14368" max="14368" width="10.75" style="326" bestFit="1" customWidth="1"/>
    <col min="14369" max="14369" width="13.75" style="326" customWidth="1"/>
    <col min="14370" max="14370" width="9" style="326"/>
    <col min="14371" max="14371" width="10.625" style="326" customWidth="1"/>
    <col min="14372" max="14372" width="9" style="326"/>
    <col min="14373" max="14373" width="14.25" style="326" customWidth="1"/>
    <col min="14374" max="14374" width="10.75" style="326" bestFit="1" customWidth="1"/>
    <col min="14375" max="14375" width="11.625" style="326" customWidth="1"/>
    <col min="14376" max="14376" width="13.75" style="326" customWidth="1"/>
    <col min="14377" max="14377" width="10.625" style="326" customWidth="1"/>
    <col min="14378" max="14379" width="9" style="326"/>
    <col min="14380" max="14380" width="14.125" style="326" customWidth="1"/>
    <col min="14381" max="14381" width="11" style="326" customWidth="1"/>
    <col min="14382" max="14382" width="10.75" style="326" bestFit="1" customWidth="1"/>
    <col min="14383" max="14383" width="13.5" style="326" customWidth="1"/>
    <col min="14384" max="14385" width="9" style="326"/>
    <col min="14386" max="14386" width="10.75" style="326" bestFit="1" customWidth="1"/>
    <col min="14387" max="14387" width="14" style="326" customWidth="1"/>
    <col min="14388" max="14388" width="9" style="326"/>
    <col min="14389" max="14389" width="10.75" style="326" customWidth="1"/>
    <col min="14390" max="14390" width="12.75" style="326" customWidth="1"/>
    <col min="14391" max="14391" width="9" style="326"/>
    <col min="14392" max="14392" width="10.75" style="326" bestFit="1" customWidth="1"/>
    <col min="14393" max="14393" width="11.5" style="326" customWidth="1"/>
    <col min="14394" max="14394" width="13.625" style="326" customWidth="1"/>
    <col min="14395" max="14395" width="10.625" style="326" customWidth="1"/>
    <col min="14396" max="14396" width="10.75" style="326" bestFit="1" customWidth="1"/>
    <col min="14397" max="14397" width="12.375" style="326" customWidth="1"/>
    <col min="14398" max="14400" width="9" style="326"/>
    <col min="14401" max="14401" width="15.75" style="326" customWidth="1"/>
    <col min="14402" max="14402" width="9" style="326"/>
    <col min="14403" max="14403" width="10.75" style="326" bestFit="1" customWidth="1"/>
    <col min="14404" max="14404" width="12.625" style="326" customWidth="1"/>
    <col min="14405" max="14407" width="9" style="326"/>
    <col min="14408" max="14408" width="13.625" style="326" customWidth="1"/>
    <col min="14409" max="14409" width="9" style="326"/>
    <col min="14410" max="14410" width="10.75" style="326" bestFit="1" customWidth="1"/>
    <col min="14411" max="14411" width="12.5" style="326" customWidth="1"/>
    <col min="14412" max="14414" width="9" style="326"/>
    <col min="14415" max="14415" width="12.875" style="326" customWidth="1"/>
    <col min="14416" max="14416" width="9" style="326"/>
    <col min="14417" max="14417" width="10.75" style="326" bestFit="1" customWidth="1"/>
    <col min="14418" max="14418" width="13.875" style="326" customWidth="1"/>
    <col min="14419" max="14421" width="9" style="326"/>
    <col min="14422" max="14422" width="14.125" style="326" customWidth="1"/>
    <col min="14423" max="14423" width="9" style="326"/>
    <col min="14424" max="14424" width="10.75" style="326" bestFit="1" customWidth="1"/>
    <col min="14425" max="14425" width="13.25" style="326" customWidth="1"/>
    <col min="14426" max="14428" width="9" style="326"/>
    <col min="14429" max="14429" width="13.25" style="326" customWidth="1"/>
    <col min="14430" max="14430" width="9" style="326"/>
    <col min="14431" max="14431" width="10.75" style="326" bestFit="1" customWidth="1"/>
    <col min="14432" max="14432" width="13.875" style="326" customWidth="1"/>
    <col min="14433" max="14435" width="9" style="326"/>
    <col min="14436" max="14436" width="13.625" style="326" customWidth="1"/>
    <col min="14437" max="14437" width="9" style="326"/>
    <col min="14438" max="14438" width="10.75" style="326" bestFit="1" customWidth="1"/>
    <col min="14439" max="14439" width="13" style="326" customWidth="1"/>
    <col min="14440" max="14586" width="9" style="326"/>
    <col min="14587" max="14588" width="12.125" style="326" customWidth="1"/>
    <col min="14589" max="14591" width="13" style="326" customWidth="1"/>
    <col min="14592" max="14592" width="12.875" style="326" customWidth="1"/>
    <col min="14593" max="14593" width="13" style="326" customWidth="1"/>
    <col min="14594" max="14594" width="13.125" style="326" customWidth="1"/>
    <col min="14595" max="14596" width="12.125" style="326" customWidth="1"/>
    <col min="14597" max="14597" width="14.375" style="326" bestFit="1" customWidth="1"/>
    <col min="14598" max="14598" width="11" style="326" customWidth="1"/>
    <col min="14599" max="14599" width="10" style="326" customWidth="1"/>
    <col min="14600" max="14600" width="10.875" style="326" customWidth="1"/>
    <col min="14601" max="14601" width="13.75" style="326" customWidth="1"/>
    <col min="14602" max="14602" width="10" style="326" customWidth="1"/>
    <col min="14603" max="14603" width="13.25" style="326" customWidth="1"/>
    <col min="14604" max="14604" width="14.375" style="326" customWidth="1"/>
    <col min="14605" max="14605" width="10" style="326" customWidth="1"/>
    <col min="14606" max="14606" width="10.875" style="326" customWidth="1"/>
    <col min="14607" max="14607" width="11.375" style="326" customWidth="1"/>
    <col min="14608" max="14608" width="15.375" style="326" customWidth="1"/>
    <col min="14609" max="14610" width="10.75" style="326" customWidth="1"/>
    <col min="14611" max="14611" width="14.375" style="326" customWidth="1"/>
    <col min="14612" max="14612" width="10.75" style="326" customWidth="1"/>
    <col min="14613" max="14613" width="11.75" style="326" customWidth="1"/>
    <col min="14614" max="14614" width="10" style="326" customWidth="1"/>
    <col min="14615" max="14615" width="15.375" style="326" customWidth="1"/>
    <col min="14616" max="14616" width="10" style="326" customWidth="1"/>
    <col min="14617" max="14617" width="10.75" style="326" customWidth="1"/>
    <col min="14618" max="14618" width="14.875" style="326" customWidth="1"/>
    <col min="14619" max="14619" width="11.5" style="326" customWidth="1"/>
    <col min="14620" max="14620" width="10" style="326" customWidth="1"/>
    <col min="14621" max="14621" width="10.75" style="326" customWidth="1"/>
    <col min="14622" max="14622" width="13.5" style="326" customWidth="1"/>
    <col min="14623" max="14623" width="9" style="326"/>
    <col min="14624" max="14624" width="10.75" style="326" bestFit="1" customWidth="1"/>
    <col min="14625" max="14625" width="13.75" style="326" customWidth="1"/>
    <col min="14626" max="14626" width="9" style="326"/>
    <col min="14627" max="14627" width="10.625" style="326" customWidth="1"/>
    <col min="14628" max="14628" width="9" style="326"/>
    <col min="14629" max="14629" width="14.25" style="326" customWidth="1"/>
    <col min="14630" max="14630" width="10.75" style="326" bestFit="1" customWidth="1"/>
    <col min="14631" max="14631" width="11.625" style="326" customWidth="1"/>
    <col min="14632" max="14632" width="13.75" style="326" customWidth="1"/>
    <col min="14633" max="14633" width="10.625" style="326" customWidth="1"/>
    <col min="14634" max="14635" width="9" style="326"/>
    <col min="14636" max="14636" width="14.125" style="326" customWidth="1"/>
    <col min="14637" max="14637" width="11" style="326" customWidth="1"/>
    <col min="14638" max="14638" width="10.75" style="326" bestFit="1" customWidth="1"/>
    <col min="14639" max="14639" width="13.5" style="326" customWidth="1"/>
    <col min="14640" max="14641" width="9" style="326"/>
    <col min="14642" max="14642" width="10.75" style="326" bestFit="1" customWidth="1"/>
    <col min="14643" max="14643" width="14" style="326" customWidth="1"/>
    <col min="14644" max="14644" width="9" style="326"/>
    <col min="14645" max="14645" width="10.75" style="326" customWidth="1"/>
    <col min="14646" max="14646" width="12.75" style="326" customWidth="1"/>
    <col min="14647" max="14647" width="9" style="326"/>
    <col min="14648" max="14648" width="10.75" style="326" bestFit="1" customWidth="1"/>
    <col min="14649" max="14649" width="11.5" style="326" customWidth="1"/>
    <col min="14650" max="14650" width="13.625" style="326" customWidth="1"/>
    <col min="14651" max="14651" width="10.625" style="326" customWidth="1"/>
    <col min="14652" max="14652" width="10.75" style="326" bestFit="1" customWidth="1"/>
    <col min="14653" max="14653" width="12.375" style="326" customWidth="1"/>
    <col min="14654" max="14656" width="9" style="326"/>
    <col min="14657" max="14657" width="15.75" style="326" customWidth="1"/>
    <col min="14658" max="14658" width="9" style="326"/>
    <col min="14659" max="14659" width="10.75" style="326" bestFit="1" customWidth="1"/>
    <col min="14660" max="14660" width="12.625" style="326" customWidth="1"/>
    <col min="14661" max="14663" width="9" style="326"/>
    <col min="14664" max="14664" width="13.625" style="326" customWidth="1"/>
    <col min="14665" max="14665" width="9" style="326"/>
    <col min="14666" max="14666" width="10.75" style="326" bestFit="1" customWidth="1"/>
    <col min="14667" max="14667" width="12.5" style="326" customWidth="1"/>
    <col min="14668" max="14670" width="9" style="326"/>
    <col min="14671" max="14671" width="12.875" style="326" customWidth="1"/>
    <col min="14672" max="14672" width="9" style="326"/>
    <col min="14673" max="14673" width="10.75" style="326" bestFit="1" customWidth="1"/>
    <col min="14674" max="14674" width="13.875" style="326" customWidth="1"/>
    <col min="14675" max="14677" width="9" style="326"/>
    <col min="14678" max="14678" width="14.125" style="326" customWidth="1"/>
    <col min="14679" max="14679" width="9" style="326"/>
    <col min="14680" max="14680" width="10.75" style="326" bestFit="1" customWidth="1"/>
    <col min="14681" max="14681" width="13.25" style="326" customWidth="1"/>
    <col min="14682" max="14684" width="9" style="326"/>
    <col min="14685" max="14685" width="13.25" style="326" customWidth="1"/>
    <col min="14686" max="14686" width="9" style="326"/>
    <col min="14687" max="14687" width="10.75" style="326" bestFit="1" customWidth="1"/>
    <col min="14688" max="14688" width="13.875" style="326" customWidth="1"/>
    <col min="14689" max="14691" width="9" style="326"/>
    <col min="14692" max="14692" width="13.625" style="326" customWidth="1"/>
    <col min="14693" max="14693" width="9" style="326"/>
    <col min="14694" max="14694" width="10.75" style="326" bestFit="1" customWidth="1"/>
    <col min="14695" max="14695" width="13" style="326" customWidth="1"/>
    <col min="14696" max="14842" width="9" style="326"/>
    <col min="14843" max="14844" width="12.125" style="326" customWidth="1"/>
    <col min="14845" max="14847" width="13" style="326" customWidth="1"/>
    <col min="14848" max="14848" width="12.875" style="326" customWidth="1"/>
    <col min="14849" max="14849" width="13" style="326" customWidth="1"/>
    <col min="14850" max="14850" width="13.125" style="326" customWidth="1"/>
    <col min="14851" max="14852" width="12.125" style="326" customWidth="1"/>
    <col min="14853" max="14853" width="14.375" style="326" bestFit="1" customWidth="1"/>
    <col min="14854" max="14854" width="11" style="326" customWidth="1"/>
    <col min="14855" max="14855" width="10" style="326" customWidth="1"/>
    <col min="14856" max="14856" width="10.875" style="326" customWidth="1"/>
    <col min="14857" max="14857" width="13.75" style="326" customWidth="1"/>
    <col min="14858" max="14858" width="10" style="326" customWidth="1"/>
    <col min="14859" max="14859" width="13.25" style="326" customWidth="1"/>
    <col min="14860" max="14860" width="14.375" style="326" customWidth="1"/>
    <col min="14861" max="14861" width="10" style="326" customWidth="1"/>
    <col min="14862" max="14862" width="10.875" style="326" customWidth="1"/>
    <col min="14863" max="14863" width="11.375" style="326" customWidth="1"/>
    <col min="14864" max="14864" width="15.375" style="326" customWidth="1"/>
    <col min="14865" max="14866" width="10.75" style="326" customWidth="1"/>
    <col min="14867" max="14867" width="14.375" style="326" customWidth="1"/>
    <col min="14868" max="14868" width="10.75" style="326" customWidth="1"/>
    <col min="14869" max="14869" width="11.75" style="326" customWidth="1"/>
    <col min="14870" max="14870" width="10" style="326" customWidth="1"/>
    <col min="14871" max="14871" width="15.375" style="326" customWidth="1"/>
    <col min="14872" max="14872" width="10" style="326" customWidth="1"/>
    <col min="14873" max="14873" width="10.75" style="326" customWidth="1"/>
    <col min="14874" max="14874" width="14.875" style="326" customWidth="1"/>
    <col min="14875" max="14875" width="11.5" style="326" customWidth="1"/>
    <col min="14876" max="14876" width="10" style="326" customWidth="1"/>
    <col min="14877" max="14877" width="10.75" style="326" customWidth="1"/>
    <col min="14878" max="14878" width="13.5" style="326" customWidth="1"/>
    <col min="14879" max="14879" width="9" style="326"/>
    <col min="14880" max="14880" width="10.75" style="326" bestFit="1" customWidth="1"/>
    <col min="14881" max="14881" width="13.75" style="326" customWidth="1"/>
    <col min="14882" max="14882" width="9" style="326"/>
    <col min="14883" max="14883" width="10.625" style="326" customWidth="1"/>
    <col min="14884" max="14884" width="9" style="326"/>
    <col min="14885" max="14885" width="14.25" style="326" customWidth="1"/>
    <col min="14886" max="14886" width="10.75" style="326" bestFit="1" customWidth="1"/>
    <col min="14887" max="14887" width="11.625" style="326" customWidth="1"/>
    <col min="14888" max="14888" width="13.75" style="326" customWidth="1"/>
    <col min="14889" max="14889" width="10.625" style="326" customWidth="1"/>
    <col min="14890" max="14891" width="9" style="326"/>
    <col min="14892" max="14892" width="14.125" style="326" customWidth="1"/>
    <col min="14893" max="14893" width="11" style="326" customWidth="1"/>
    <col min="14894" max="14894" width="10.75" style="326" bestFit="1" customWidth="1"/>
    <col min="14895" max="14895" width="13.5" style="326" customWidth="1"/>
    <col min="14896" max="14897" width="9" style="326"/>
    <col min="14898" max="14898" width="10.75" style="326" bestFit="1" customWidth="1"/>
    <col min="14899" max="14899" width="14" style="326" customWidth="1"/>
    <col min="14900" max="14900" width="9" style="326"/>
    <col min="14901" max="14901" width="10.75" style="326" customWidth="1"/>
    <col min="14902" max="14902" width="12.75" style="326" customWidth="1"/>
    <col min="14903" max="14903" width="9" style="326"/>
    <col min="14904" max="14904" width="10.75" style="326" bestFit="1" customWidth="1"/>
    <col min="14905" max="14905" width="11.5" style="326" customWidth="1"/>
    <col min="14906" max="14906" width="13.625" style="326" customWidth="1"/>
    <col min="14907" max="14907" width="10.625" style="326" customWidth="1"/>
    <col min="14908" max="14908" width="10.75" style="326" bestFit="1" customWidth="1"/>
    <col min="14909" max="14909" width="12.375" style="326" customWidth="1"/>
    <col min="14910" max="14912" width="9" style="326"/>
    <col min="14913" max="14913" width="15.75" style="326" customWidth="1"/>
    <col min="14914" max="14914" width="9" style="326"/>
    <col min="14915" max="14915" width="10.75" style="326" bestFit="1" customWidth="1"/>
    <col min="14916" max="14916" width="12.625" style="326" customWidth="1"/>
    <col min="14917" max="14919" width="9" style="326"/>
    <col min="14920" max="14920" width="13.625" style="326" customWidth="1"/>
    <col min="14921" max="14921" width="9" style="326"/>
    <col min="14922" max="14922" width="10.75" style="326" bestFit="1" customWidth="1"/>
    <col min="14923" max="14923" width="12.5" style="326" customWidth="1"/>
    <col min="14924" max="14926" width="9" style="326"/>
    <col min="14927" max="14927" width="12.875" style="326" customWidth="1"/>
    <col min="14928" max="14928" width="9" style="326"/>
    <col min="14929" max="14929" width="10.75" style="326" bestFit="1" customWidth="1"/>
    <col min="14930" max="14930" width="13.875" style="326" customWidth="1"/>
    <col min="14931" max="14933" width="9" style="326"/>
    <col min="14934" max="14934" width="14.125" style="326" customWidth="1"/>
    <col min="14935" max="14935" width="9" style="326"/>
    <col min="14936" max="14936" width="10.75" style="326" bestFit="1" customWidth="1"/>
    <col min="14937" max="14937" width="13.25" style="326" customWidth="1"/>
    <col min="14938" max="14940" width="9" style="326"/>
    <col min="14941" max="14941" width="13.25" style="326" customWidth="1"/>
    <col min="14942" max="14942" width="9" style="326"/>
    <col min="14943" max="14943" width="10.75" style="326" bestFit="1" customWidth="1"/>
    <col min="14944" max="14944" width="13.875" style="326" customWidth="1"/>
    <col min="14945" max="14947" width="9" style="326"/>
    <col min="14948" max="14948" width="13.625" style="326" customWidth="1"/>
    <col min="14949" max="14949" width="9" style="326"/>
    <col min="14950" max="14950" width="10.75" style="326" bestFit="1" customWidth="1"/>
    <col min="14951" max="14951" width="13" style="326" customWidth="1"/>
    <col min="14952" max="15098" width="9" style="326"/>
    <col min="15099" max="15100" width="12.125" style="326" customWidth="1"/>
    <col min="15101" max="15103" width="13" style="326" customWidth="1"/>
    <col min="15104" max="15104" width="12.875" style="326" customWidth="1"/>
    <col min="15105" max="15105" width="13" style="326" customWidth="1"/>
    <col min="15106" max="15106" width="13.125" style="326" customWidth="1"/>
    <col min="15107" max="15108" width="12.125" style="326" customWidth="1"/>
    <col min="15109" max="15109" width="14.375" style="326" bestFit="1" customWidth="1"/>
    <col min="15110" max="15110" width="11" style="326" customWidth="1"/>
    <col min="15111" max="15111" width="10" style="326" customWidth="1"/>
    <col min="15112" max="15112" width="10.875" style="326" customWidth="1"/>
    <col min="15113" max="15113" width="13.75" style="326" customWidth="1"/>
    <col min="15114" max="15114" width="10" style="326" customWidth="1"/>
    <col min="15115" max="15115" width="13.25" style="326" customWidth="1"/>
    <col min="15116" max="15116" width="14.375" style="326" customWidth="1"/>
    <col min="15117" max="15117" width="10" style="326" customWidth="1"/>
    <col min="15118" max="15118" width="10.875" style="326" customWidth="1"/>
    <col min="15119" max="15119" width="11.375" style="326" customWidth="1"/>
    <col min="15120" max="15120" width="15.375" style="326" customWidth="1"/>
    <col min="15121" max="15122" width="10.75" style="326" customWidth="1"/>
    <col min="15123" max="15123" width="14.375" style="326" customWidth="1"/>
    <col min="15124" max="15124" width="10.75" style="326" customWidth="1"/>
    <col min="15125" max="15125" width="11.75" style="326" customWidth="1"/>
    <col min="15126" max="15126" width="10" style="326" customWidth="1"/>
    <col min="15127" max="15127" width="15.375" style="326" customWidth="1"/>
    <col min="15128" max="15128" width="10" style="326" customWidth="1"/>
    <col min="15129" max="15129" width="10.75" style="326" customWidth="1"/>
    <col min="15130" max="15130" width="14.875" style="326" customWidth="1"/>
    <col min="15131" max="15131" width="11.5" style="326" customWidth="1"/>
    <col min="15132" max="15132" width="10" style="326" customWidth="1"/>
    <col min="15133" max="15133" width="10.75" style="326" customWidth="1"/>
    <col min="15134" max="15134" width="13.5" style="326" customWidth="1"/>
    <col min="15135" max="15135" width="9" style="326"/>
    <col min="15136" max="15136" width="10.75" style="326" bestFit="1" customWidth="1"/>
    <col min="15137" max="15137" width="13.75" style="326" customWidth="1"/>
    <col min="15138" max="15138" width="9" style="326"/>
    <col min="15139" max="15139" width="10.625" style="326" customWidth="1"/>
    <col min="15140" max="15140" width="9" style="326"/>
    <col min="15141" max="15141" width="14.25" style="326" customWidth="1"/>
    <col min="15142" max="15142" width="10.75" style="326" bestFit="1" customWidth="1"/>
    <col min="15143" max="15143" width="11.625" style="326" customWidth="1"/>
    <col min="15144" max="15144" width="13.75" style="326" customWidth="1"/>
    <col min="15145" max="15145" width="10.625" style="326" customWidth="1"/>
    <col min="15146" max="15147" width="9" style="326"/>
    <col min="15148" max="15148" width="14.125" style="326" customWidth="1"/>
    <col min="15149" max="15149" width="11" style="326" customWidth="1"/>
    <col min="15150" max="15150" width="10.75" style="326" bestFit="1" customWidth="1"/>
    <col min="15151" max="15151" width="13.5" style="326" customWidth="1"/>
    <col min="15152" max="15153" width="9" style="326"/>
    <col min="15154" max="15154" width="10.75" style="326" bestFit="1" customWidth="1"/>
    <col min="15155" max="15155" width="14" style="326" customWidth="1"/>
    <col min="15156" max="15156" width="9" style="326"/>
    <col min="15157" max="15157" width="10.75" style="326" customWidth="1"/>
    <col min="15158" max="15158" width="12.75" style="326" customWidth="1"/>
    <col min="15159" max="15159" width="9" style="326"/>
    <col min="15160" max="15160" width="10.75" style="326" bestFit="1" customWidth="1"/>
    <col min="15161" max="15161" width="11.5" style="326" customWidth="1"/>
    <col min="15162" max="15162" width="13.625" style="326" customWidth="1"/>
    <col min="15163" max="15163" width="10.625" style="326" customWidth="1"/>
    <col min="15164" max="15164" width="10.75" style="326" bestFit="1" customWidth="1"/>
    <col min="15165" max="15165" width="12.375" style="326" customWidth="1"/>
    <col min="15166" max="15168" width="9" style="326"/>
    <col min="15169" max="15169" width="15.75" style="326" customWidth="1"/>
    <col min="15170" max="15170" width="9" style="326"/>
    <col min="15171" max="15171" width="10.75" style="326" bestFit="1" customWidth="1"/>
    <col min="15172" max="15172" width="12.625" style="326" customWidth="1"/>
    <col min="15173" max="15175" width="9" style="326"/>
    <col min="15176" max="15176" width="13.625" style="326" customWidth="1"/>
    <col min="15177" max="15177" width="9" style="326"/>
    <col min="15178" max="15178" width="10.75" style="326" bestFit="1" customWidth="1"/>
    <col min="15179" max="15179" width="12.5" style="326" customWidth="1"/>
    <col min="15180" max="15182" width="9" style="326"/>
    <col min="15183" max="15183" width="12.875" style="326" customWidth="1"/>
    <col min="15184" max="15184" width="9" style="326"/>
    <col min="15185" max="15185" width="10.75" style="326" bestFit="1" customWidth="1"/>
    <col min="15186" max="15186" width="13.875" style="326" customWidth="1"/>
    <col min="15187" max="15189" width="9" style="326"/>
    <col min="15190" max="15190" width="14.125" style="326" customWidth="1"/>
    <col min="15191" max="15191" width="9" style="326"/>
    <col min="15192" max="15192" width="10.75" style="326" bestFit="1" customWidth="1"/>
    <col min="15193" max="15193" width="13.25" style="326" customWidth="1"/>
    <col min="15194" max="15196" width="9" style="326"/>
    <col min="15197" max="15197" width="13.25" style="326" customWidth="1"/>
    <col min="15198" max="15198" width="9" style="326"/>
    <col min="15199" max="15199" width="10.75" style="326" bestFit="1" customWidth="1"/>
    <col min="15200" max="15200" width="13.875" style="326" customWidth="1"/>
    <col min="15201" max="15203" width="9" style="326"/>
    <col min="15204" max="15204" width="13.625" style="326" customWidth="1"/>
    <col min="15205" max="15205" width="9" style="326"/>
    <col min="15206" max="15206" width="10.75" style="326" bestFit="1" customWidth="1"/>
    <col min="15207" max="15207" width="13" style="326" customWidth="1"/>
    <col min="15208" max="15354" width="9" style="326"/>
    <col min="15355" max="15356" width="12.125" style="326" customWidth="1"/>
    <col min="15357" max="15359" width="13" style="326" customWidth="1"/>
    <col min="15360" max="15360" width="12.875" style="326" customWidth="1"/>
    <col min="15361" max="15361" width="13" style="326" customWidth="1"/>
    <col min="15362" max="15362" width="13.125" style="326" customWidth="1"/>
    <col min="15363" max="15364" width="12.125" style="326" customWidth="1"/>
    <col min="15365" max="15365" width="14.375" style="326" bestFit="1" customWidth="1"/>
    <col min="15366" max="15366" width="11" style="326" customWidth="1"/>
    <col min="15367" max="15367" width="10" style="326" customWidth="1"/>
    <col min="15368" max="15368" width="10.875" style="326" customWidth="1"/>
    <col min="15369" max="15369" width="13.75" style="326" customWidth="1"/>
    <col min="15370" max="15370" width="10" style="326" customWidth="1"/>
    <col min="15371" max="15371" width="13.25" style="326" customWidth="1"/>
    <col min="15372" max="15372" width="14.375" style="326" customWidth="1"/>
    <col min="15373" max="15373" width="10" style="326" customWidth="1"/>
    <col min="15374" max="15374" width="10.875" style="326" customWidth="1"/>
    <col min="15375" max="15375" width="11.375" style="326" customWidth="1"/>
    <col min="15376" max="15376" width="15.375" style="326" customWidth="1"/>
    <col min="15377" max="15378" width="10.75" style="326" customWidth="1"/>
    <col min="15379" max="15379" width="14.375" style="326" customWidth="1"/>
    <col min="15380" max="15380" width="10.75" style="326" customWidth="1"/>
    <col min="15381" max="15381" width="11.75" style="326" customWidth="1"/>
    <col min="15382" max="15382" width="10" style="326" customWidth="1"/>
    <col min="15383" max="15383" width="15.375" style="326" customWidth="1"/>
    <col min="15384" max="15384" width="10" style="326" customWidth="1"/>
    <col min="15385" max="15385" width="10.75" style="326" customWidth="1"/>
    <col min="15386" max="15386" width="14.875" style="326" customWidth="1"/>
    <col min="15387" max="15387" width="11.5" style="326" customWidth="1"/>
    <col min="15388" max="15388" width="10" style="326" customWidth="1"/>
    <col min="15389" max="15389" width="10.75" style="326" customWidth="1"/>
    <col min="15390" max="15390" width="13.5" style="326" customWidth="1"/>
    <col min="15391" max="15391" width="9" style="326"/>
    <col min="15392" max="15392" width="10.75" style="326" bestFit="1" customWidth="1"/>
    <col min="15393" max="15393" width="13.75" style="326" customWidth="1"/>
    <col min="15394" max="15394" width="9" style="326"/>
    <col min="15395" max="15395" width="10.625" style="326" customWidth="1"/>
    <col min="15396" max="15396" width="9" style="326"/>
    <col min="15397" max="15397" width="14.25" style="326" customWidth="1"/>
    <col min="15398" max="15398" width="10.75" style="326" bestFit="1" customWidth="1"/>
    <col min="15399" max="15399" width="11.625" style="326" customWidth="1"/>
    <col min="15400" max="15400" width="13.75" style="326" customWidth="1"/>
    <col min="15401" max="15401" width="10.625" style="326" customWidth="1"/>
    <col min="15402" max="15403" width="9" style="326"/>
    <col min="15404" max="15404" width="14.125" style="326" customWidth="1"/>
    <col min="15405" max="15405" width="11" style="326" customWidth="1"/>
    <col min="15406" max="15406" width="10.75" style="326" bestFit="1" customWidth="1"/>
    <col min="15407" max="15407" width="13.5" style="326" customWidth="1"/>
    <col min="15408" max="15409" width="9" style="326"/>
    <col min="15410" max="15410" width="10.75" style="326" bestFit="1" customWidth="1"/>
    <col min="15411" max="15411" width="14" style="326" customWidth="1"/>
    <col min="15412" max="15412" width="9" style="326"/>
    <col min="15413" max="15413" width="10.75" style="326" customWidth="1"/>
    <col min="15414" max="15414" width="12.75" style="326" customWidth="1"/>
    <col min="15415" max="15415" width="9" style="326"/>
    <col min="15416" max="15416" width="10.75" style="326" bestFit="1" customWidth="1"/>
    <col min="15417" max="15417" width="11.5" style="326" customWidth="1"/>
    <col min="15418" max="15418" width="13.625" style="326" customWidth="1"/>
    <col min="15419" max="15419" width="10.625" style="326" customWidth="1"/>
    <col min="15420" max="15420" width="10.75" style="326" bestFit="1" customWidth="1"/>
    <col min="15421" max="15421" width="12.375" style="326" customWidth="1"/>
    <col min="15422" max="15424" width="9" style="326"/>
    <col min="15425" max="15425" width="15.75" style="326" customWidth="1"/>
    <col min="15426" max="15426" width="9" style="326"/>
    <col min="15427" max="15427" width="10.75" style="326" bestFit="1" customWidth="1"/>
    <col min="15428" max="15428" width="12.625" style="326" customWidth="1"/>
    <col min="15429" max="15431" width="9" style="326"/>
    <col min="15432" max="15432" width="13.625" style="326" customWidth="1"/>
    <col min="15433" max="15433" width="9" style="326"/>
    <col min="15434" max="15434" width="10.75" style="326" bestFit="1" customWidth="1"/>
    <col min="15435" max="15435" width="12.5" style="326" customWidth="1"/>
    <col min="15436" max="15438" width="9" style="326"/>
    <col min="15439" max="15439" width="12.875" style="326" customWidth="1"/>
    <col min="15440" max="15440" width="9" style="326"/>
    <col min="15441" max="15441" width="10.75" style="326" bestFit="1" customWidth="1"/>
    <col min="15442" max="15442" width="13.875" style="326" customWidth="1"/>
    <col min="15443" max="15445" width="9" style="326"/>
    <col min="15446" max="15446" width="14.125" style="326" customWidth="1"/>
    <col min="15447" max="15447" width="9" style="326"/>
    <col min="15448" max="15448" width="10.75" style="326" bestFit="1" customWidth="1"/>
    <col min="15449" max="15449" width="13.25" style="326" customWidth="1"/>
    <col min="15450" max="15452" width="9" style="326"/>
    <col min="15453" max="15453" width="13.25" style="326" customWidth="1"/>
    <col min="15454" max="15454" width="9" style="326"/>
    <col min="15455" max="15455" width="10.75" style="326" bestFit="1" customWidth="1"/>
    <col min="15456" max="15456" width="13.875" style="326" customWidth="1"/>
    <col min="15457" max="15459" width="9" style="326"/>
    <col min="15460" max="15460" width="13.625" style="326" customWidth="1"/>
    <col min="15461" max="15461" width="9" style="326"/>
    <col min="15462" max="15462" width="10.75" style="326" bestFit="1" customWidth="1"/>
    <col min="15463" max="15463" width="13" style="326" customWidth="1"/>
    <col min="15464" max="15610" width="9" style="326"/>
    <col min="15611" max="15612" width="12.125" style="326" customWidth="1"/>
    <col min="15613" max="15615" width="13" style="326" customWidth="1"/>
    <col min="15616" max="15616" width="12.875" style="326" customWidth="1"/>
    <col min="15617" max="15617" width="13" style="326" customWidth="1"/>
    <col min="15618" max="15618" width="13.125" style="326" customWidth="1"/>
    <col min="15619" max="15620" width="12.125" style="326" customWidth="1"/>
    <col min="15621" max="15621" width="14.375" style="326" bestFit="1" customWidth="1"/>
    <col min="15622" max="15622" width="11" style="326" customWidth="1"/>
    <col min="15623" max="15623" width="10" style="326" customWidth="1"/>
    <col min="15624" max="15624" width="10.875" style="326" customWidth="1"/>
    <col min="15625" max="15625" width="13.75" style="326" customWidth="1"/>
    <col min="15626" max="15626" width="10" style="326" customWidth="1"/>
    <col min="15627" max="15627" width="13.25" style="326" customWidth="1"/>
    <col min="15628" max="15628" width="14.375" style="326" customWidth="1"/>
    <col min="15629" max="15629" width="10" style="326" customWidth="1"/>
    <col min="15630" max="15630" width="10.875" style="326" customWidth="1"/>
    <col min="15631" max="15631" width="11.375" style="326" customWidth="1"/>
    <col min="15632" max="15632" width="15.375" style="326" customWidth="1"/>
    <col min="15633" max="15634" width="10.75" style="326" customWidth="1"/>
    <col min="15635" max="15635" width="14.375" style="326" customWidth="1"/>
    <col min="15636" max="15636" width="10.75" style="326" customWidth="1"/>
    <col min="15637" max="15637" width="11.75" style="326" customWidth="1"/>
    <col min="15638" max="15638" width="10" style="326" customWidth="1"/>
    <col min="15639" max="15639" width="15.375" style="326" customWidth="1"/>
    <col min="15640" max="15640" width="10" style="326" customWidth="1"/>
    <col min="15641" max="15641" width="10.75" style="326" customWidth="1"/>
    <col min="15642" max="15642" width="14.875" style="326" customWidth="1"/>
    <col min="15643" max="15643" width="11.5" style="326" customWidth="1"/>
    <col min="15644" max="15644" width="10" style="326" customWidth="1"/>
    <col min="15645" max="15645" width="10.75" style="326" customWidth="1"/>
    <col min="15646" max="15646" width="13.5" style="326" customWidth="1"/>
    <col min="15647" max="15647" width="9" style="326"/>
    <col min="15648" max="15648" width="10.75" style="326" bestFit="1" customWidth="1"/>
    <col min="15649" max="15649" width="13.75" style="326" customWidth="1"/>
    <col min="15650" max="15650" width="9" style="326"/>
    <col min="15651" max="15651" width="10.625" style="326" customWidth="1"/>
    <col min="15652" max="15652" width="9" style="326"/>
    <col min="15653" max="15653" width="14.25" style="326" customWidth="1"/>
    <col min="15654" max="15654" width="10.75" style="326" bestFit="1" customWidth="1"/>
    <col min="15655" max="15655" width="11.625" style="326" customWidth="1"/>
    <col min="15656" max="15656" width="13.75" style="326" customWidth="1"/>
    <col min="15657" max="15657" width="10.625" style="326" customWidth="1"/>
    <col min="15658" max="15659" width="9" style="326"/>
    <col min="15660" max="15660" width="14.125" style="326" customWidth="1"/>
    <col min="15661" max="15661" width="11" style="326" customWidth="1"/>
    <col min="15662" max="15662" width="10.75" style="326" bestFit="1" customWidth="1"/>
    <col min="15663" max="15663" width="13.5" style="326" customWidth="1"/>
    <col min="15664" max="15665" width="9" style="326"/>
    <col min="15666" max="15666" width="10.75" style="326" bestFit="1" customWidth="1"/>
    <col min="15667" max="15667" width="14" style="326" customWidth="1"/>
    <col min="15668" max="15668" width="9" style="326"/>
    <col min="15669" max="15669" width="10.75" style="326" customWidth="1"/>
    <col min="15670" max="15670" width="12.75" style="326" customWidth="1"/>
    <col min="15671" max="15671" width="9" style="326"/>
    <col min="15672" max="15672" width="10.75" style="326" bestFit="1" customWidth="1"/>
    <col min="15673" max="15673" width="11.5" style="326" customWidth="1"/>
    <col min="15674" max="15674" width="13.625" style="326" customWidth="1"/>
    <col min="15675" max="15675" width="10.625" style="326" customWidth="1"/>
    <col min="15676" max="15676" width="10.75" style="326" bestFit="1" customWidth="1"/>
    <col min="15677" max="15677" width="12.375" style="326" customWidth="1"/>
    <col min="15678" max="15680" width="9" style="326"/>
    <col min="15681" max="15681" width="15.75" style="326" customWidth="1"/>
    <col min="15682" max="15682" width="9" style="326"/>
    <col min="15683" max="15683" width="10.75" style="326" bestFit="1" customWidth="1"/>
    <col min="15684" max="15684" width="12.625" style="326" customWidth="1"/>
    <col min="15685" max="15687" width="9" style="326"/>
    <col min="15688" max="15688" width="13.625" style="326" customWidth="1"/>
    <col min="15689" max="15689" width="9" style="326"/>
    <col min="15690" max="15690" width="10.75" style="326" bestFit="1" customWidth="1"/>
    <col min="15691" max="15691" width="12.5" style="326" customWidth="1"/>
    <col min="15692" max="15694" width="9" style="326"/>
    <col min="15695" max="15695" width="12.875" style="326" customWidth="1"/>
    <col min="15696" max="15696" width="9" style="326"/>
    <col min="15697" max="15697" width="10.75" style="326" bestFit="1" customWidth="1"/>
    <col min="15698" max="15698" width="13.875" style="326" customWidth="1"/>
    <col min="15699" max="15701" width="9" style="326"/>
    <col min="15702" max="15702" width="14.125" style="326" customWidth="1"/>
    <col min="15703" max="15703" width="9" style="326"/>
    <col min="15704" max="15704" width="10.75" style="326" bestFit="1" customWidth="1"/>
    <col min="15705" max="15705" width="13.25" style="326" customWidth="1"/>
    <col min="15706" max="15708" width="9" style="326"/>
    <col min="15709" max="15709" width="13.25" style="326" customWidth="1"/>
    <col min="15710" max="15710" width="9" style="326"/>
    <col min="15711" max="15711" width="10.75" style="326" bestFit="1" customWidth="1"/>
    <col min="15712" max="15712" width="13.875" style="326" customWidth="1"/>
    <col min="15713" max="15715" width="9" style="326"/>
    <col min="15716" max="15716" width="13.625" style="326" customWidth="1"/>
    <col min="15717" max="15717" width="9" style="326"/>
    <col min="15718" max="15718" width="10.75" style="326" bestFit="1" customWidth="1"/>
    <col min="15719" max="15719" width="13" style="326" customWidth="1"/>
    <col min="15720" max="15866" width="9" style="326"/>
    <col min="15867" max="15868" width="12.125" style="326" customWidth="1"/>
    <col min="15869" max="15871" width="13" style="326" customWidth="1"/>
    <col min="15872" max="15872" width="12.875" style="326" customWidth="1"/>
    <col min="15873" max="15873" width="13" style="326" customWidth="1"/>
    <col min="15874" max="15874" width="13.125" style="326" customWidth="1"/>
    <col min="15875" max="15876" width="12.125" style="326" customWidth="1"/>
    <col min="15877" max="15877" width="14.375" style="326" bestFit="1" customWidth="1"/>
    <col min="15878" max="15878" width="11" style="326" customWidth="1"/>
    <col min="15879" max="15879" width="10" style="326" customWidth="1"/>
    <col min="15880" max="15880" width="10.875" style="326" customWidth="1"/>
    <col min="15881" max="15881" width="13.75" style="326" customWidth="1"/>
    <col min="15882" max="15882" width="10" style="326" customWidth="1"/>
    <col min="15883" max="15883" width="13.25" style="326" customWidth="1"/>
    <col min="15884" max="15884" width="14.375" style="326" customWidth="1"/>
    <col min="15885" max="15885" width="10" style="326" customWidth="1"/>
    <col min="15886" max="15886" width="10.875" style="326" customWidth="1"/>
    <col min="15887" max="15887" width="11.375" style="326" customWidth="1"/>
    <col min="15888" max="15888" width="15.375" style="326" customWidth="1"/>
    <col min="15889" max="15890" width="10.75" style="326" customWidth="1"/>
    <col min="15891" max="15891" width="14.375" style="326" customWidth="1"/>
    <col min="15892" max="15892" width="10.75" style="326" customWidth="1"/>
    <col min="15893" max="15893" width="11.75" style="326" customWidth="1"/>
    <col min="15894" max="15894" width="10" style="326" customWidth="1"/>
    <col min="15895" max="15895" width="15.375" style="326" customWidth="1"/>
    <col min="15896" max="15896" width="10" style="326" customWidth="1"/>
    <col min="15897" max="15897" width="10.75" style="326" customWidth="1"/>
    <col min="15898" max="15898" width="14.875" style="326" customWidth="1"/>
    <col min="15899" max="15899" width="11.5" style="326" customWidth="1"/>
    <col min="15900" max="15900" width="10" style="326" customWidth="1"/>
    <col min="15901" max="15901" width="10.75" style="326" customWidth="1"/>
    <col min="15902" max="15902" width="13.5" style="326" customWidth="1"/>
    <col min="15903" max="15903" width="9" style="326"/>
    <col min="15904" max="15904" width="10.75" style="326" bestFit="1" customWidth="1"/>
    <col min="15905" max="15905" width="13.75" style="326" customWidth="1"/>
    <col min="15906" max="15906" width="9" style="326"/>
    <col min="15907" max="15907" width="10.625" style="326" customWidth="1"/>
    <col min="15908" max="15908" width="9" style="326"/>
    <col min="15909" max="15909" width="14.25" style="326" customWidth="1"/>
    <col min="15910" max="15910" width="10.75" style="326" bestFit="1" customWidth="1"/>
    <col min="15911" max="15911" width="11.625" style="326" customWidth="1"/>
    <col min="15912" max="15912" width="13.75" style="326" customWidth="1"/>
    <col min="15913" max="15913" width="10.625" style="326" customWidth="1"/>
    <col min="15914" max="15915" width="9" style="326"/>
    <col min="15916" max="15916" width="14.125" style="326" customWidth="1"/>
    <col min="15917" max="15917" width="11" style="326" customWidth="1"/>
    <col min="15918" max="15918" width="10.75" style="326" bestFit="1" customWidth="1"/>
    <col min="15919" max="15919" width="13.5" style="326" customWidth="1"/>
    <col min="15920" max="15921" width="9" style="326"/>
    <col min="15922" max="15922" width="10.75" style="326" bestFit="1" customWidth="1"/>
    <col min="15923" max="15923" width="14" style="326" customWidth="1"/>
    <col min="15924" max="15924" width="9" style="326"/>
    <col min="15925" max="15925" width="10.75" style="326" customWidth="1"/>
    <col min="15926" max="15926" width="12.75" style="326" customWidth="1"/>
    <col min="15927" max="15927" width="9" style="326"/>
    <col min="15928" max="15928" width="10.75" style="326" bestFit="1" customWidth="1"/>
    <col min="15929" max="15929" width="11.5" style="326" customWidth="1"/>
    <col min="15930" max="15930" width="13.625" style="326" customWidth="1"/>
    <col min="15931" max="15931" width="10.625" style="326" customWidth="1"/>
    <col min="15932" max="15932" width="10.75" style="326" bestFit="1" customWidth="1"/>
    <col min="15933" max="15933" width="12.375" style="326" customWidth="1"/>
    <col min="15934" max="15936" width="9" style="326"/>
    <col min="15937" max="15937" width="15.75" style="326" customWidth="1"/>
    <col min="15938" max="15938" width="9" style="326"/>
    <col min="15939" max="15939" width="10.75" style="326" bestFit="1" customWidth="1"/>
    <col min="15940" max="15940" width="12.625" style="326" customWidth="1"/>
    <col min="15941" max="15943" width="9" style="326"/>
    <col min="15944" max="15944" width="13.625" style="326" customWidth="1"/>
    <col min="15945" max="15945" width="9" style="326"/>
    <col min="15946" max="15946" width="10.75" style="326" bestFit="1" customWidth="1"/>
    <col min="15947" max="15947" width="12.5" style="326" customWidth="1"/>
    <col min="15948" max="15950" width="9" style="326"/>
    <col min="15951" max="15951" width="12.875" style="326" customWidth="1"/>
    <col min="15952" max="15952" width="9" style="326"/>
    <col min="15953" max="15953" width="10.75" style="326" bestFit="1" customWidth="1"/>
    <col min="15954" max="15954" width="13.875" style="326" customWidth="1"/>
    <col min="15955" max="15957" width="9" style="326"/>
    <col min="15958" max="15958" width="14.125" style="326" customWidth="1"/>
    <col min="15959" max="15959" width="9" style="326"/>
    <col min="15960" max="15960" width="10.75" style="326" bestFit="1" customWidth="1"/>
    <col min="15961" max="15961" width="13.25" style="326" customWidth="1"/>
    <col min="15962" max="15964" width="9" style="326"/>
    <col min="15965" max="15965" width="13.25" style="326" customWidth="1"/>
    <col min="15966" max="15966" width="9" style="326"/>
    <col min="15967" max="15967" width="10.75" style="326" bestFit="1" customWidth="1"/>
    <col min="15968" max="15968" width="13.875" style="326" customWidth="1"/>
    <col min="15969" max="15971" width="9" style="326"/>
    <col min="15972" max="15972" width="13.625" style="326" customWidth="1"/>
    <col min="15973" max="15973" width="9" style="326"/>
    <col min="15974" max="15974" width="10.75" style="326" bestFit="1" customWidth="1"/>
    <col min="15975" max="15975" width="13" style="326" customWidth="1"/>
    <col min="15976" max="16122" width="9" style="326"/>
    <col min="16123" max="16124" width="12.125" style="326" customWidth="1"/>
    <col min="16125" max="16127" width="13" style="326" customWidth="1"/>
    <col min="16128" max="16128" width="12.875" style="326" customWidth="1"/>
    <col min="16129" max="16129" width="13" style="326" customWidth="1"/>
    <col min="16130" max="16130" width="13.125" style="326" customWidth="1"/>
    <col min="16131" max="16132" width="12.125" style="326" customWidth="1"/>
    <col min="16133" max="16133" width="14.375" style="326" bestFit="1" customWidth="1"/>
    <col min="16134" max="16134" width="11" style="326" customWidth="1"/>
    <col min="16135" max="16135" width="10" style="326" customWidth="1"/>
    <col min="16136" max="16136" width="10.875" style="326" customWidth="1"/>
    <col min="16137" max="16137" width="13.75" style="326" customWidth="1"/>
    <col min="16138" max="16138" width="10" style="326" customWidth="1"/>
    <col min="16139" max="16139" width="13.25" style="326" customWidth="1"/>
    <col min="16140" max="16140" width="14.375" style="326" customWidth="1"/>
    <col min="16141" max="16141" width="10" style="326" customWidth="1"/>
    <col min="16142" max="16142" width="10.875" style="326" customWidth="1"/>
    <col min="16143" max="16143" width="11.375" style="326" customWidth="1"/>
    <col min="16144" max="16144" width="15.375" style="326" customWidth="1"/>
    <col min="16145" max="16146" width="10.75" style="326" customWidth="1"/>
    <col min="16147" max="16147" width="14.375" style="326" customWidth="1"/>
    <col min="16148" max="16148" width="10.75" style="326" customWidth="1"/>
    <col min="16149" max="16149" width="11.75" style="326" customWidth="1"/>
    <col min="16150" max="16150" width="10" style="326" customWidth="1"/>
    <col min="16151" max="16151" width="15.375" style="326" customWidth="1"/>
    <col min="16152" max="16152" width="10" style="326" customWidth="1"/>
    <col min="16153" max="16153" width="10.75" style="326" customWidth="1"/>
    <col min="16154" max="16154" width="14.875" style="326" customWidth="1"/>
    <col min="16155" max="16155" width="11.5" style="326" customWidth="1"/>
    <col min="16156" max="16156" width="10" style="326" customWidth="1"/>
    <col min="16157" max="16157" width="10.75" style="326" customWidth="1"/>
    <col min="16158" max="16158" width="13.5" style="326" customWidth="1"/>
    <col min="16159" max="16159" width="9" style="326"/>
    <col min="16160" max="16160" width="10.75" style="326" bestFit="1" customWidth="1"/>
    <col min="16161" max="16161" width="13.75" style="326" customWidth="1"/>
    <col min="16162" max="16162" width="9" style="326"/>
    <col min="16163" max="16163" width="10.625" style="326" customWidth="1"/>
    <col min="16164" max="16164" width="9" style="326"/>
    <col min="16165" max="16165" width="14.25" style="326" customWidth="1"/>
    <col min="16166" max="16166" width="10.75" style="326" bestFit="1" customWidth="1"/>
    <col min="16167" max="16167" width="11.625" style="326" customWidth="1"/>
    <col min="16168" max="16168" width="13.75" style="326" customWidth="1"/>
    <col min="16169" max="16169" width="10.625" style="326" customWidth="1"/>
    <col min="16170" max="16171" width="9" style="326"/>
    <col min="16172" max="16172" width="14.125" style="326" customWidth="1"/>
    <col min="16173" max="16173" width="11" style="326" customWidth="1"/>
    <col min="16174" max="16174" width="10.75" style="326" bestFit="1" customWidth="1"/>
    <col min="16175" max="16175" width="13.5" style="326" customWidth="1"/>
    <col min="16176" max="16177" width="9" style="326"/>
    <col min="16178" max="16178" width="10.75" style="326" bestFit="1" customWidth="1"/>
    <col min="16179" max="16179" width="14" style="326" customWidth="1"/>
    <col min="16180" max="16180" width="9" style="326"/>
    <col min="16181" max="16181" width="10.75" style="326" customWidth="1"/>
    <col min="16182" max="16182" width="12.75" style="326" customWidth="1"/>
    <col min="16183" max="16183" width="9" style="326"/>
    <col min="16184" max="16184" width="10.75" style="326" bestFit="1" customWidth="1"/>
    <col min="16185" max="16185" width="11.5" style="326" customWidth="1"/>
    <col min="16186" max="16186" width="13.625" style="326" customWidth="1"/>
    <col min="16187" max="16187" width="10.625" style="326" customWidth="1"/>
    <col min="16188" max="16188" width="10.75" style="326" bestFit="1" customWidth="1"/>
    <col min="16189" max="16189" width="12.375" style="326" customWidth="1"/>
    <col min="16190" max="16192" width="9" style="326"/>
    <col min="16193" max="16193" width="15.75" style="326" customWidth="1"/>
    <col min="16194" max="16194" width="9" style="326"/>
    <col min="16195" max="16195" width="10.75" style="326" bestFit="1" customWidth="1"/>
    <col min="16196" max="16196" width="12.625" style="326" customWidth="1"/>
    <col min="16197" max="16199" width="9" style="326"/>
    <col min="16200" max="16200" width="13.625" style="326" customWidth="1"/>
    <col min="16201" max="16201" width="9" style="326"/>
    <col min="16202" max="16202" width="10.75" style="326" bestFit="1" customWidth="1"/>
    <col min="16203" max="16203" width="12.5" style="326" customWidth="1"/>
    <col min="16204" max="16206" width="9" style="326"/>
    <col min="16207" max="16207" width="12.875" style="326" customWidth="1"/>
    <col min="16208" max="16208" width="9" style="326"/>
    <col min="16209" max="16209" width="10.75" style="326" bestFit="1" customWidth="1"/>
    <col min="16210" max="16210" width="13.875" style="326" customWidth="1"/>
    <col min="16211" max="16213" width="9" style="326"/>
    <col min="16214" max="16214" width="14.125" style="326" customWidth="1"/>
    <col min="16215" max="16215" width="9" style="326"/>
    <col min="16216" max="16216" width="10.75" style="326" bestFit="1" customWidth="1"/>
    <col min="16217" max="16217" width="13.25" style="326" customWidth="1"/>
    <col min="16218" max="16220" width="9" style="326"/>
    <col min="16221" max="16221" width="13.25" style="326" customWidth="1"/>
    <col min="16222" max="16222" width="9" style="326"/>
    <col min="16223" max="16223" width="10.75" style="326" bestFit="1" customWidth="1"/>
    <col min="16224" max="16224" width="13.875" style="326" customWidth="1"/>
    <col min="16225" max="16227" width="9" style="326"/>
    <col min="16228" max="16228" width="13.625" style="326" customWidth="1"/>
    <col min="16229" max="16229" width="9" style="326"/>
    <col min="16230" max="16230" width="10.75" style="326" bestFit="1" customWidth="1"/>
    <col min="16231" max="16231" width="13" style="326" customWidth="1"/>
    <col min="16232" max="16384" width="9" style="326"/>
  </cols>
  <sheetData>
    <row r="1" spans="1:41" ht="18.75" customHeight="1">
      <c r="D1" s="325" t="s">
        <v>262</v>
      </c>
      <c r="E1" s="327">
        <f>A5</f>
        <v>2006</v>
      </c>
      <c r="F1" s="326" t="s">
        <v>345</v>
      </c>
      <c r="G1" s="328">
        <v>0</v>
      </c>
      <c r="H1" s="329"/>
      <c r="I1" s="328"/>
    </row>
    <row r="2" spans="1:41" ht="24.95" customHeight="1">
      <c r="A2" s="330" t="s">
        <v>1215</v>
      </c>
      <c r="C2" s="330"/>
    </row>
    <row r="3" spans="1:41" ht="9.9499999999999993" customHeight="1">
      <c r="A3" s="2262"/>
      <c r="B3" s="425"/>
      <c r="C3" s="426"/>
      <c r="D3" s="426"/>
      <c r="E3" s="426"/>
      <c r="F3" s="426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2"/>
      <c r="Z3" s="331"/>
      <c r="AA3" s="332"/>
      <c r="AB3" s="333"/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1"/>
      <c r="AN3" s="331"/>
      <c r="AO3" s="332"/>
    </row>
    <row r="4" spans="1:41" s="344" customFormat="1" ht="14.1" customHeight="1">
      <c r="A4" s="334" t="s">
        <v>264</v>
      </c>
      <c r="B4" s="335" t="s">
        <v>265</v>
      </c>
      <c r="C4" s="336" t="s">
        <v>266</v>
      </c>
      <c r="D4" s="337" t="s">
        <v>267</v>
      </c>
      <c r="E4" s="337" t="s">
        <v>268</v>
      </c>
      <c r="F4" s="338" t="s">
        <v>269</v>
      </c>
      <c r="G4" s="339" t="s">
        <v>270</v>
      </c>
      <c r="H4" s="340" t="s">
        <v>271</v>
      </c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41"/>
      <c r="W4" s="341"/>
      <c r="X4" s="341"/>
      <c r="Y4" s="342"/>
      <c r="Z4" s="341"/>
      <c r="AA4" s="342"/>
      <c r="AB4" s="343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341"/>
      <c r="AN4" s="341"/>
      <c r="AO4" s="342"/>
    </row>
    <row r="5" spans="1:41" s="344" customFormat="1" ht="14.1" customHeight="1">
      <c r="A5" s="345">
        <v>2006</v>
      </c>
      <c r="B5" s="346">
        <f>+'1.1.2 인구분석'!E96</f>
        <v>4906</v>
      </c>
      <c r="C5" s="347">
        <f>I65</f>
        <v>3566</v>
      </c>
      <c r="D5" s="348">
        <f>I104</f>
        <v>4199</v>
      </c>
      <c r="E5" s="349">
        <f>I142</f>
        <v>4909</v>
      </c>
      <c r="F5" s="350">
        <f>I178</f>
        <v>4199</v>
      </c>
      <c r="G5" s="351">
        <f t="shared" ref="G5:G34" si="0">ROUND(SUMIF(C$38:H$38,"○",C5:H5),$G$1)</f>
        <v>9108</v>
      </c>
      <c r="H5" s="352">
        <f>B5</f>
        <v>4906</v>
      </c>
      <c r="I5" s="2316" t="s">
        <v>424</v>
      </c>
      <c r="J5" s="2317"/>
      <c r="K5" s="353"/>
      <c r="L5" s="341"/>
      <c r="M5" s="341"/>
      <c r="N5" s="341"/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2"/>
      <c r="Z5" s="341"/>
      <c r="AA5" s="342"/>
      <c r="AB5" s="343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2"/>
    </row>
    <row r="6" spans="1:41" s="344" customFormat="1" ht="14.1" customHeight="1">
      <c r="A6" s="354">
        <v>2007</v>
      </c>
      <c r="B6" s="355">
        <f>+'1.1.2 인구분석'!E97</f>
        <v>5165</v>
      </c>
      <c r="C6" s="356">
        <f t="shared" ref="C6:C37" si="1">I66</f>
        <v>4181</v>
      </c>
      <c r="D6" s="357">
        <f t="shared" ref="D6:D37" si="2">I105</f>
        <v>4555</v>
      </c>
      <c r="E6" s="358">
        <f t="shared" ref="E6:E37" si="3">I143</f>
        <v>4938</v>
      </c>
      <c r="F6" s="359">
        <f t="shared" ref="F6:F37" si="4">I179</f>
        <v>4555</v>
      </c>
      <c r="G6" s="351">
        <f t="shared" si="0"/>
        <v>9493</v>
      </c>
      <c r="H6" s="352">
        <f>B6</f>
        <v>5165</v>
      </c>
      <c r="I6" s="360" t="s">
        <v>273</v>
      </c>
      <c r="J6" s="361">
        <f>ROUND(((B15/B10)^(1/(A15-A10))-1)*100,2)</f>
        <v>17.059999999999999</v>
      </c>
      <c r="K6" s="353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2"/>
      <c r="Z6" s="341"/>
      <c r="AA6" s="342"/>
      <c r="AB6" s="343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2"/>
    </row>
    <row r="7" spans="1:41" s="344" customFormat="1" ht="14.1" customHeight="1">
      <c r="A7" s="354">
        <v>2008</v>
      </c>
      <c r="B7" s="355">
        <f>+'1.1.2 인구분석'!E98</f>
        <v>5233</v>
      </c>
      <c r="C7" s="356">
        <f t="shared" si="1"/>
        <v>4797</v>
      </c>
      <c r="D7" s="357">
        <f t="shared" si="2"/>
        <v>4941</v>
      </c>
      <c r="E7" s="358">
        <f t="shared" si="3"/>
        <v>5013</v>
      </c>
      <c r="F7" s="359">
        <f t="shared" si="4"/>
        <v>4941</v>
      </c>
      <c r="G7" s="351">
        <f t="shared" si="0"/>
        <v>9954</v>
      </c>
      <c r="H7" s="352">
        <f t="shared" ref="H7:H15" si="5">B7</f>
        <v>5233</v>
      </c>
      <c r="I7" s="360" t="s">
        <v>274</v>
      </c>
      <c r="J7" s="360">
        <f>ROUND(((B15/B5)^(1/(A15-A5))-1)*100,2)</f>
        <v>9.59</v>
      </c>
      <c r="K7" s="353"/>
      <c r="L7" s="362"/>
      <c r="M7" s="363"/>
      <c r="N7" s="341"/>
      <c r="O7" s="341"/>
      <c r="P7" s="341"/>
      <c r="Q7" s="341"/>
      <c r="R7" s="341"/>
      <c r="S7" s="341"/>
      <c r="T7" s="341"/>
      <c r="U7" s="341"/>
      <c r="V7" s="341"/>
      <c r="W7" s="341"/>
      <c r="X7" s="341"/>
      <c r="Y7" s="342"/>
      <c r="Z7" s="341"/>
      <c r="AA7" s="342"/>
      <c r="AB7" s="343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2"/>
    </row>
    <row r="8" spans="1:41" s="344" customFormat="1" ht="14.1" customHeight="1">
      <c r="A8" s="354">
        <v>2009</v>
      </c>
      <c r="B8" s="355">
        <f>+'1.1.2 인구분석'!E99</f>
        <v>5071</v>
      </c>
      <c r="C8" s="356">
        <f t="shared" si="1"/>
        <v>5413</v>
      </c>
      <c r="D8" s="357">
        <f t="shared" si="2"/>
        <v>5360</v>
      </c>
      <c r="E8" s="358">
        <f t="shared" si="3"/>
        <v>5155</v>
      </c>
      <c r="F8" s="359">
        <f t="shared" si="4"/>
        <v>5360</v>
      </c>
      <c r="G8" s="351">
        <f t="shared" si="0"/>
        <v>10515</v>
      </c>
      <c r="H8" s="352">
        <f t="shared" si="5"/>
        <v>5071</v>
      </c>
      <c r="I8" s="341"/>
      <c r="J8" s="341"/>
      <c r="K8" s="341"/>
      <c r="L8" s="341"/>
      <c r="M8" s="341"/>
      <c r="N8" s="341"/>
      <c r="O8" s="341"/>
      <c r="P8" s="341"/>
      <c r="Q8" s="341"/>
      <c r="R8" s="341"/>
      <c r="S8" s="341"/>
      <c r="T8" s="341"/>
      <c r="U8" s="341"/>
      <c r="V8" s="341"/>
      <c r="W8" s="341"/>
      <c r="X8" s="341"/>
      <c r="Y8" s="342"/>
      <c r="Z8" s="341"/>
      <c r="AA8" s="342"/>
      <c r="AB8" s="343"/>
      <c r="AC8" s="341"/>
      <c r="AD8" s="341"/>
      <c r="AE8" s="341"/>
      <c r="AF8" s="341"/>
      <c r="AG8" s="341"/>
      <c r="AH8" s="341"/>
      <c r="AI8" s="341"/>
      <c r="AJ8" s="341"/>
      <c r="AK8" s="341"/>
      <c r="AL8" s="341"/>
      <c r="AM8" s="341"/>
      <c r="AN8" s="341"/>
      <c r="AO8" s="342"/>
    </row>
    <row r="9" spans="1:41" s="344" customFormat="1" ht="14.1" customHeight="1">
      <c r="A9" s="354">
        <v>2010</v>
      </c>
      <c r="B9" s="355">
        <f>+'1.1.2 인구분석'!E100</f>
        <v>5253</v>
      </c>
      <c r="C9" s="356">
        <f t="shared" si="1"/>
        <v>6029</v>
      </c>
      <c r="D9" s="357">
        <f t="shared" si="2"/>
        <v>5814</v>
      </c>
      <c r="E9" s="358">
        <f t="shared" si="3"/>
        <v>5385</v>
      </c>
      <c r="F9" s="359">
        <f t="shared" si="4"/>
        <v>5814</v>
      </c>
      <c r="G9" s="351">
        <f t="shared" si="0"/>
        <v>11199</v>
      </c>
      <c r="H9" s="352">
        <f t="shared" si="5"/>
        <v>5253</v>
      </c>
      <c r="I9" s="341"/>
      <c r="J9" s="341"/>
      <c r="K9" s="353"/>
      <c r="L9" s="341"/>
      <c r="M9" s="341"/>
      <c r="N9" s="341"/>
      <c r="O9" s="341"/>
      <c r="P9" s="341"/>
      <c r="Q9" s="341"/>
      <c r="R9" s="341"/>
      <c r="S9" s="341"/>
      <c r="T9" s="341"/>
      <c r="U9" s="341"/>
      <c r="V9" s="341"/>
      <c r="W9" s="341"/>
      <c r="X9" s="341"/>
      <c r="Y9" s="342"/>
      <c r="Z9" s="341"/>
      <c r="AA9" s="342"/>
      <c r="AB9" s="343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2"/>
    </row>
    <row r="10" spans="1:41" s="344" customFormat="1" ht="14.1" customHeight="1">
      <c r="A10" s="354">
        <v>2011</v>
      </c>
      <c r="B10" s="355">
        <f>+'1.1.2 인구분석'!E101</f>
        <v>5574</v>
      </c>
      <c r="C10" s="356">
        <f t="shared" si="1"/>
        <v>6645</v>
      </c>
      <c r="D10" s="357">
        <f t="shared" si="2"/>
        <v>6307</v>
      </c>
      <c r="E10" s="358">
        <f t="shared" si="3"/>
        <v>5721</v>
      </c>
      <c r="F10" s="359">
        <f t="shared" si="4"/>
        <v>6307</v>
      </c>
      <c r="G10" s="351">
        <f t="shared" si="0"/>
        <v>12028</v>
      </c>
      <c r="H10" s="352">
        <f t="shared" si="5"/>
        <v>5574</v>
      </c>
      <c r="I10" s="341"/>
      <c r="J10" s="341"/>
      <c r="K10" s="353"/>
      <c r="L10" s="341"/>
      <c r="M10" s="341"/>
      <c r="N10" s="341"/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2"/>
      <c r="Z10" s="341"/>
      <c r="AA10" s="342"/>
      <c r="AB10" s="343"/>
      <c r="AC10" s="341"/>
      <c r="AD10" s="341"/>
      <c r="AE10" s="341"/>
      <c r="AF10" s="341"/>
      <c r="AG10" s="341"/>
      <c r="AH10" s="341"/>
      <c r="AI10" s="341"/>
      <c r="AJ10" s="341"/>
      <c r="AK10" s="341"/>
      <c r="AL10" s="341"/>
      <c r="AM10" s="341"/>
      <c r="AN10" s="341"/>
      <c r="AO10" s="342"/>
    </row>
    <row r="11" spans="1:41" s="344" customFormat="1" ht="14.1" customHeight="1">
      <c r="A11" s="354">
        <v>2012</v>
      </c>
      <c r="B11" s="355">
        <f>+'1.1.2 인구분석'!E102</f>
        <v>5497</v>
      </c>
      <c r="C11" s="356">
        <f t="shared" si="1"/>
        <v>7261</v>
      </c>
      <c r="D11" s="357">
        <f t="shared" si="2"/>
        <v>6841</v>
      </c>
      <c r="E11" s="358">
        <f t="shared" si="3"/>
        <v>6184</v>
      </c>
      <c r="F11" s="359">
        <f t="shared" si="4"/>
        <v>6841</v>
      </c>
      <c r="G11" s="351">
        <f t="shared" si="0"/>
        <v>13025</v>
      </c>
      <c r="H11" s="352">
        <f t="shared" si="5"/>
        <v>5497</v>
      </c>
      <c r="I11" s="341"/>
      <c r="J11" s="341"/>
      <c r="K11" s="353"/>
      <c r="L11" s="341"/>
      <c r="M11" s="341"/>
      <c r="N11" s="341"/>
      <c r="O11" s="341"/>
      <c r="P11" s="341"/>
      <c r="Q11" s="341"/>
      <c r="R11" s="341"/>
      <c r="S11" s="341"/>
      <c r="T11" s="341"/>
      <c r="U11" s="341"/>
      <c r="V11" s="341"/>
      <c r="W11" s="341"/>
      <c r="X11" s="341"/>
      <c r="Y11" s="342"/>
      <c r="Z11" s="341"/>
      <c r="AA11" s="342"/>
      <c r="AB11" s="343"/>
      <c r="AC11" s="341"/>
      <c r="AD11" s="341"/>
      <c r="AE11" s="341"/>
      <c r="AF11" s="341"/>
      <c r="AG11" s="341"/>
      <c r="AH11" s="341"/>
      <c r="AI11" s="341"/>
      <c r="AJ11" s="341"/>
      <c r="AK11" s="341"/>
      <c r="AL11" s="341"/>
      <c r="AM11" s="341"/>
      <c r="AN11" s="341"/>
      <c r="AO11" s="342"/>
    </row>
    <row r="12" spans="1:41" s="344" customFormat="1" ht="14.1" customHeight="1">
      <c r="A12" s="354">
        <v>2013</v>
      </c>
      <c r="B12" s="355">
        <f>+'1.1.2 인구분석'!E103</f>
        <v>5579</v>
      </c>
      <c r="C12" s="356">
        <f t="shared" si="1"/>
        <v>7876</v>
      </c>
      <c r="D12" s="357">
        <f t="shared" si="2"/>
        <v>7421</v>
      </c>
      <c r="E12" s="358">
        <f t="shared" si="3"/>
        <v>6792</v>
      </c>
      <c r="F12" s="359">
        <f t="shared" si="4"/>
        <v>7421</v>
      </c>
      <c r="G12" s="351">
        <f t="shared" si="0"/>
        <v>14213</v>
      </c>
      <c r="H12" s="352">
        <f t="shared" si="5"/>
        <v>5579</v>
      </c>
      <c r="I12" s="341"/>
      <c r="J12" s="341"/>
      <c r="K12" s="353"/>
      <c r="L12" s="341"/>
      <c r="M12" s="341"/>
      <c r="N12" s="341"/>
      <c r="O12" s="341"/>
      <c r="P12" s="341"/>
      <c r="Q12" s="341"/>
      <c r="R12" s="341"/>
      <c r="S12" s="341"/>
      <c r="T12" s="341"/>
      <c r="U12" s="341"/>
      <c r="V12" s="341"/>
      <c r="W12" s="341"/>
      <c r="X12" s="341"/>
      <c r="Y12" s="342"/>
      <c r="Z12" s="341"/>
      <c r="AA12" s="342"/>
      <c r="AB12" s="343"/>
      <c r="AC12" s="341"/>
      <c r="AD12" s="341"/>
      <c r="AE12" s="341"/>
      <c r="AF12" s="341"/>
      <c r="AG12" s="341"/>
      <c r="AH12" s="341"/>
      <c r="AI12" s="341"/>
      <c r="AJ12" s="341"/>
      <c r="AK12" s="341"/>
      <c r="AL12" s="341"/>
      <c r="AM12" s="341"/>
      <c r="AN12" s="341"/>
      <c r="AO12" s="342"/>
    </row>
    <row r="13" spans="1:41" s="344" customFormat="1" ht="14.1" customHeight="1">
      <c r="A13" s="354">
        <v>2014</v>
      </c>
      <c r="B13" s="355">
        <f>+'1.1.2 인구분석'!E104</f>
        <v>8143</v>
      </c>
      <c r="C13" s="356">
        <f t="shared" si="1"/>
        <v>8492</v>
      </c>
      <c r="D13" s="357">
        <f t="shared" si="2"/>
        <v>8049</v>
      </c>
      <c r="E13" s="358">
        <f t="shared" si="3"/>
        <v>7564</v>
      </c>
      <c r="F13" s="359">
        <f t="shared" si="4"/>
        <v>8050</v>
      </c>
      <c r="G13" s="351">
        <f t="shared" si="0"/>
        <v>15614</v>
      </c>
      <c r="H13" s="352">
        <f t="shared" si="5"/>
        <v>8143</v>
      </c>
      <c r="I13" s="341"/>
      <c r="J13" s="341"/>
      <c r="K13" s="353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2"/>
      <c r="Z13" s="341"/>
      <c r="AA13" s="342"/>
      <c r="AB13" s="343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2"/>
    </row>
    <row r="14" spans="1:41" s="344" customFormat="1" ht="14.1" customHeight="1">
      <c r="A14" s="386">
        <v>2015</v>
      </c>
      <c r="B14" s="2071">
        <f>+'1.1.2 인구분석'!E105</f>
        <v>10418</v>
      </c>
      <c r="C14" s="2072">
        <f t="shared" si="1"/>
        <v>9108</v>
      </c>
      <c r="D14" s="2073">
        <f t="shared" si="2"/>
        <v>8731</v>
      </c>
      <c r="E14" s="2074">
        <f t="shared" si="3"/>
        <v>8520</v>
      </c>
      <c r="F14" s="2075">
        <f t="shared" si="4"/>
        <v>8732</v>
      </c>
      <c r="G14" s="2076">
        <f t="shared" si="0"/>
        <v>17252</v>
      </c>
      <c r="H14" s="2077">
        <f t="shared" si="5"/>
        <v>10418</v>
      </c>
      <c r="I14" s="383"/>
      <c r="J14" s="383"/>
      <c r="K14" s="2078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2079"/>
      <c r="Z14" s="341"/>
      <c r="AA14" s="342"/>
      <c r="AB14" s="343"/>
      <c r="AC14" s="341"/>
      <c r="AD14" s="341"/>
      <c r="AE14" s="341"/>
      <c r="AF14" s="341"/>
      <c r="AG14" s="341"/>
      <c r="AH14" s="341"/>
      <c r="AI14" s="341"/>
      <c r="AJ14" s="341"/>
      <c r="AK14" s="341"/>
      <c r="AL14" s="341"/>
      <c r="AM14" s="341"/>
      <c r="AN14" s="341"/>
      <c r="AO14" s="342"/>
    </row>
    <row r="15" spans="1:41" s="344" customFormat="1" ht="14.1" customHeight="1" thickBot="1">
      <c r="A15" s="2010">
        <v>2016</v>
      </c>
      <c r="B15" s="2014">
        <f>+'1.1.2 인구분석'!E106</f>
        <v>12254</v>
      </c>
      <c r="C15" s="2011">
        <f t="shared" si="1"/>
        <v>9724</v>
      </c>
      <c r="D15" s="2012">
        <f t="shared" si="2"/>
        <v>9471</v>
      </c>
      <c r="E15" s="2011">
        <f t="shared" si="3"/>
        <v>9677</v>
      </c>
      <c r="F15" s="2013">
        <f t="shared" si="4"/>
        <v>9472</v>
      </c>
      <c r="G15" s="351">
        <f t="shared" si="0"/>
        <v>19149</v>
      </c>
      <c r="H15" s="352">
        <f t="shared" si="5"/>
        <v>12254</v>
      </c>
      <c r="I15" s="341"/>
      <c r="J15" s="341"/>
      <c r="K15" s="353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2"/>
      <c r="AB15" s="343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  <c r="AN15" s="341"/>
      <c r="AO15" s="342"/>
    </row>
    <row r="16" spans="1:41" s="344" customFormat="1" ht="14.1" customHeight="1" thickTop="1">
      <c r="A16" s="2114">
        <v>2017</v>
      </c>
      <c r="B16" s="2115"/>
      <c r="C16" s="2116">
        <f t="shared" si="1"/>
        <v>10340</v>
      </c>
      <c r="D16" s="2117">
        <f t="shared" si="2"/>
        <v>10274</v>
      </c>
      <c r="E16" s="2116">
        <f t="shared" si="3"/>
        <v>11054</v>
      </c>
      <c r="F16" s="2118">
        <f t="shared" si="4"/>
        <v>10274</v>
      </c>
      <c r="G16" s="364">
        <f t="shared" si="0"/>
        <v>21328</v>
      </c>
      <c r="H16" s="365"/>
      <c r="I16" s="341"/>
      <c r="J16" s="341"/>
      <c r="K16" s="353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2"/>
      <c r="AB16" s="343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  <c r="AM16" s="341"/>
      <c r="AN16" s="341"/>
      <c r="AO16" s="342"/>
    </row>
    <row r="17" spans="1:41" s="381" customFormat="1" ht="14.1" customHeight="1">
      <c r="A17" s="345">
        <v>2018</v>
      </c>
      <c r="B17" s="346"/>
      <c r="C17" s="347">
        <f t="shared" si="1"/>
        <v>10956</v>
      </c>
      <c r="D17" s="2168">
        <f t="shared" si="2"/>
        <v>11144</v>
      </c>
      <c r="E17" s="347">
        <f t="shared" si="3"/>
        <v>12668</v>
      </c>
      <c r="F17" s="2169">
        <f t="shared" si="4"/>
        <v>11144</v>
      </c>
      <c r="G17" s="2170">
        <f t="shared" si="0"/>
        <v>23812</v>
      </c>
      <c r="H17" s="2171"/>
      <c r="I17" s="2172"/>
      <c r="J17" s="2172"/>
      <c r="K17" s="2173"/>
      <c r="L17" s="2172"/>
      <c r="M17" s="2172"/>
      <c r="N17" s="2172"/>
      <c r="O17" s="2172"/>
      <c r="P17" s="2172"/>
      <c r="Q17" s="2172"/>
      <c r="R17" s="2172"/>
      <c r="S17" s="2172"/>
      <c r="T17" s="2172"/>
      <c r="U17" s="2172"/>
      <c r="V17" s="2172"/>
      <c r="W17" s="2172"/>
      <c r="X17" s="2172"/>
      <c r="Y17" s="2174"/>
      <c r="Z17" s="378"/>
      <c r="AA17" s="379"/>
      <c r="AB17" s="380"/>
      <c r="AC17" s="378"/>
      <c r="AD17" s="378"/>
      <c r="AE17" s="378"/>
      <c r="AF17" s="378"/>
      <c r="AG17" s="378"/>
      <c r="AH17" s="378"/>
      <c r="AI17" s="378"/>
      <c r="AJ17" s="378"/>
      <c r="AK17" s="378"/>
      <c r="AL17" s="378"/>
      <c r="AM17" s="378"/>
      <c r="AN17" s="378"/>
      <c r="AO17" s="379"/>
    </row>
    <row r="18" spans="1:41" s="381" customFormat="1" ht="14.1" customHeight="1">
      <c r="A18" s="354">
        <v>2019</v>
      </c>
      <c r="B18" s="355"/>
      <c r="C18" s="356">
        <f t="shared" si="1"/>
        <v>11572</v>
      </c>
      <c r="D18" s="371">
        <f t="shared" si="2"/>
        <v>12088</v>
      </c>
      <c r="E18" s="356">
        <f t="shared" si="3"/>
        <v>14539</v>
      </c>
      <c r="F18" s="372">
        <f t="shared" si="4"/>
        <v>12087</v>
      </c>
      <c r="G18" s="376">
        <f t="shared" si="0"/>
        <v>26626</v>
      </c>
      <c r="H18" s="377"/>
      <c r="I18" s="378"/>
      <c r="J18" s="378"/>
      <c r="K18" s="1912"/>
      <c r="L18" s="378"/>
      <c r="M18" s="378"/>
      <c r="N18" s="378"/>
      <c r="O18" s="378"/>
      <c r="P18" s="378"/>
      <c r="Q18" s="378"/>
      <c r="R18" s="378"/>
      <c r="S18" s="378"/>
      <c r="T18" s="378"/>
      <c r="U18" s="378"/>
      <c r="V18" s="378"/>
      <c r="W18" s="378"/>
      <c r="X18" s="378"/>
      <c r="Y18" s="379"/>
      <c r="Z18" s="378"/>
      <c r="AA18" s="379"/>
      <c r="AB18" s="380"/>
      <c r="AC18" s="378"/>
      <c r="AD18" s="378"/>
      <c r="AE18" s="378"/>
      <c r="AF18" s="378"/>
      <c r="AG18" s="378"/>
      <c r="AH18" s="378"/>
      <c r="AI18" s="378"/>
      <c r="AJ18" s="378"/>
      <c r="AK18" s="378"/>
      <c r="AL18" s="378"/>
      <c r="AM18" s="378"/>
      <c r="AN18" s="378"/>
      <c r="AO18" s="379"/>
    </row>
    <row r="19" spans="1:41" s="1929" customFormat="1" ht="14.1" customHeight="1">
      <c r="A19" s="366">
        <v>2020</v>
      </c>
      <c r="B19" s="367"/>
      <c r="C19" s="368">
        <f t="shared" si="1"/>
        <v>12187</v>
      </c>
      <c r="D19" s="369">
        <f t="shared" si="2"/>
        <v>13113</v>
      </c>
      <c r="E19" s="368">
        <f t="shared" si="3"/>
        <v>16684</v>
      </c>
      <c r="F19" s="370">
        <f t="shared" si="4"/>
        <v>13111</v>
      </c>
      <c r="G19" s="374">
        <f t="shared" si="0"/>
        <v>29795</v>
      </c>
      <c r="H19" s="373"/>
      <c r="I19" s="1925"/>
      <c r="J19" s="1925"/>
      <c r="K19" s="1926"/>
      <c r="L19" s="1925"/>
      <c r="M19" s="1925"/>
      <c r="N19" s="1925"/>
      <c r="O19" s="1925"/>
      <c r="P19" s="1925"/>
      <c r="Q19" s="1925"/>
      <c r="R19" s="1925"/>
      <c r="S19" s="1925"/>
      <c r="T19" s="1925"/>
      <c r="U19" s="1925"/>
      <c r="V19" s="1925"/>
      <c r="W19" s="1925"/>
      <c r="X19" s="1925"/>
      <c r="Y19" s="1927"/>
      <c r="Z19" s="1925"/>
      <c r="AA19" s="1927"/>
      <c r="AB19" s="1928"/>
      <c r="AC19" s="1925"/>
      <c r="AD19" s="1925"/>
      <c r="AE19" s="1925"/>
      <c r="AF19" s="1925"/>
      <c r="AG19" s="1925"/>
      <c r="AH19" s="1925"/>
      <c r="AI19" s="1925"/>
      <c r="AJ19" s="1925"/>
      <c r="AK19" s="1925"/>
      <c r="AL19" s="1925"/>
      <c r="AM19" s="1925"/>
      <c r="AN19" s="1925"/>
      <c r="AO19" s="1927"/>
    </row>
    <row r="20" spans="1:41" s="381" customFormat="1" ht="14.1" customHeight="1">
      <c r="A20" s="354">
        <v>2021</v>
      </c>
      <c r="B20" s="355"/>
      <c r="C20" s="356">
        <f t="shared" si="1"/>
        <v>12803</v>
      </c>
      <c r="D20" s="371">
        <f t="shared" si="2"/>
        <v>14224</v>
      </c>
      <c r="E20" s="356">
        <f t="shared" si="3"/>
        <v>19121</v>
      </c>
      <c r="F20" s="372">
        <f t="shared" si="4"/>
        <v>14220</v>
      </c>
      <c r="G20" s="376">
        <f t="shared" si="0"/>
        <v>33341</v>
      </c>
      <c r="H20" s="1913"/>
      <c r="I20" s="378"/>
      <c r="J20" s="378"/>
      <c r="K20" s="1912"/>
      <c r="L20" s="378"/>
      <c r="M20" s="378"/>
      <c r="N20" s="378"/>
      <c r="O20" s="378"/>
      <c r="P20" s="378"/>
      <c r="Q20" s="378"/>
      <c r="R20" s="378"/>
      <c r="S20" s="378"/>
      <c r="T20" s="378"/>
      <c r="U20" s="378"/>
      <c r="V20" s="378"/>
      <c r="W20" s="378"/>
      <c r="X20" s="378"/>
      <c r="Y20" s="379"/>
      <c r="Z20" s="378"/>
      <c r="AA20" s="379"/>
      <c r="AB20" s="380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9"/>
    </row>
    <row r="21" spans="1:41" s="381" customFormat="1" ht="14.1" customHeight="1">
      <c r="A21" s="354">
        <v>2022</v>
      </c>
      <c r="B21" s="355"/>
      <c r="C21" s="356">
        <f t="shared" si="1"/>
        <v>13419</v>
      </c>
      <c r="D21" s="371">
        <f t="shared" si="2"/>
        <v>15429</v>
      </c>
      <c r="E21" s="356">
        <f t="shared" si="3"/>
        <v>21867</v>
      </c>
      <c r="F21" s="372">
        <f t="shared" si="4"/>
        <v>15424</v>
      </c>
      <c r="G21" s="376">
        <f t="shared" si="0"/>
        <v>37291</v>
      </c>
      <c r="H21" s="377"/>
      <c r="I21" s="378"/>
      <c r="J21" s="378"/>
      <c r="K21" s="1912"/>
      <c r="L21" s="378"/>
      <c r="M21" s="378"/>
      <c r="N21" s="378"/>
      <c r="O21" s="378"/>
      <c r="P21" s="378"/>
      <c r="Q21" s="378"/>
      <c r="R21" s="378"/>
      <c r="S21" s="378"/>
      <c r="T21" s="378"/>
      <c r="U21" s="378"/>
      <c r="V21" s="378"/>
      <c r="W21" s="378"/>
      <c r="X21" s="378"/>
      <c r="Y21" s="379"/>
      <c r="Z21" s="378"/>
      <c r="AA21" s="379"/>
      <c r="AB21" s="380"/>
      <c r="AC21" s="378"/>
      <c r="AD21" s="378"/>
      <c r="AE21" s="378"/>
      <c r="AF21" s="378"/>
      <c r="AG21" s="378"/>
      <c r="AH21" s="378"/>
      <c r="AI21" s="378"/>
      <c r="AJ21" s="378"/>
      <c r="AK21" s="378"/>
      <c r="AL21" s="378"/>
      <c r="AM21" s="378"/>
      <c r="AN21" s="378"/>
      <c r="AO21" s="379"/>
    </row>
    <row r="22" spans="1:41" s="381" customFormat="1" ht="14.1" customHeight="1">
      <c r="A22" s="354">
        <v>2023</v>
      </c>
      <c r="B22" s="355"/>
      <c r="C22" s="356">
        <f t="shared" si="1"/>
        <v>14035</v>
      </c>
      <c r="D22" s="371">
        <f t="shared" si="2"/>
        <v>16736</v>
      </c>
      <c r="E22" s="356">
        <f t="shared" si="3"/>
        <v>24940</v>
      </c>
      <c r="F22" s="372">
        <f t="shared" si="4"/>
        <v>16728</v>
      </c>
      <c r="G22" s="376">
        <f t="shared" si="0"/>
        <v>41668</v>
      </c>
      <c r="H22" s="377"/>
      <c r="I22" s="378"/>
      <c r="J22" s="378"/>
      <c r="K22" s="1912"/>
      <c r="L22" s="378"/>
      <c r="M22" s="378"/>
      <c r="N22" s="378"/>
      <c r="O22" s="378"/>
      <c r="P22" s="378"/>
      <c r="Q22" s="378"/>
      <c r="R22" s="378"/>
      <c r="S22" s="378"/>
      <c r="T22" s="378"/>
      <c r="U22" s="378"/>
      <c r="V22" s="378"/>
      <c r="W22" s="378"/>
      <c r="X22" s="378"/>
      <c r="Y22" s="379"/>
      <c r="Z22" s="378"/>
      <c r="AA22" s="379"/>
      <c r="AB22" s="380"/>
      <c r="AC22" s="378"/>
      <c r="AD22" s="378"/>
      <c r="AE22" s="378"/>
      <c r="AF22" s="378"/>
      <c r="AG22" s="378"/>
      <c r="AH22" s="378"/>
      <c r="AI22" s="378"/>
      <c r="AJ22" s="378"/>
      <c r="AK22" s="378"/>
      <c r="AL22" s="378"/>
      <c r="AM22" s="378"/>
      <c r="AN22" s="378"/>
      <c r="AO22" s="379"/>
    </row>
    <row r="23" spans="1:41" s="381" customFormat="1" ht="14.1" customHeight="1">
      <c r="A23" s="354">
        <v>2024</v>
      </c>
      <c r="B23" s="355"/>
      <c r="C23" s="356">
        <f t="shared" si="1"/>
        <v>14651</v>
      </c>
      <c r="D23" s="371">
        <f t="shared" si="2"/>
        <v>18154</v>
      </c>
      <c r="E23" s="356">
        <f t="shared" si="3"/>
        <v>28358</v>
      </c>
      <c r="F23" s="372">
        <f t="shared" si="4"/>
        <v>18143</v>
      </c>
      <c r="G23" s="376">
        <f t="shared" si="0"/>
        <v>46501</v>
      </c>
      <c r="H23" s="377"/>
      <c r="I23" s="378"/>
      <c r="J23" s="378"/>
      <c r="K23" s="1912"/>
      <c r="L23" s="378"/>
      <c r="M23" s="378"/>
      <c r="N23" s="378"/>
      <c r="O23" s="378"/>
      <c r="P23" s="378"/>
      <c r="Q23" s="378"/>
      <c r="R23" s="378"/>
      <c r="S23" s="378"/>
      <c r="T23" s="378"/>
      <c r="U23" s="378"/>
      <c r="V23" s="378"/>
      <c r="W23" s="378"/>
      <c r="X23" s="378"/>
      <c r="Y23" s="379"/>
      <c r="Z23" s="378"/>
      <c r="AA23" s="379"/>
      <c r="AB23" s="380"/>
      <c r="AC23" s="378"/>
      <c r="AD23" s="378"/>
      <c r="AE23" s="378"/>
      <c r="AF23" s="378"/>
      <c r="AG23" s="378"/>
      <c r="AH23" s="378"/>
      <c r="AI23" s="378"/>
      <c r="AJ23" s="378"/>
      <c r="AK23" s="378"/>
      <c r="AL23" s="378"/>
      <c r="AM23" s="378"/>
      <c r="AN23" s="378"/>
      <c r="AO23" s="379"/>
    </row>
    <row r="24" spans="1:41" s="1929" customFormat="1" ht="14.1" customHeight="1">
      <c r="A24" s="366">
        <v>2025</v>
      </c>
      <c r="B24" s="367"/>
      <c r="C24" s="368">
        <f t="shared" si="1"/>
        <v>15267</v>
      </c>
      <c r="D24" s="369">
        <f t="shared" si="2"/>
        <v>19692</v>
      </c>
      <c r="E24" s="368">
        <f t="shared" si="3"/>
        <v>32138</v>
      </c>
      <c r="F24" s="370">
        <f t="shared" si="4"/>
        <v>19678</v>
      </c>
      <c r="G24" s="374">
        <f t="shared" si="0"/>
        <v>51816</v>
      </c>
      <c r="H24" s="373"/>
      <c r="I24" s="1925"/>
      <c r="J24" s="1925"/>
      <c r="K24" s="1926"/>
      <c r="L24" s="1925"/>
      <c r="M24" s="1925"/>
      <c r="N24" s="1925"/>
      <c r="O24" s="1925"/>
      <c r="P24" s="1925"/>
      <c r="Q24" s="1925"/>
      <c r="R24" s="1925"/>
      <c r="S24" s="1925"/>
      <c r="T24" s="1925"/>
      <c r="U24" s="1925"/>
      <c r="V24" s="1925"/>
      <c r="W24" s="1925"/>
      <c r="X24" s="1925"/>
      <c r="Y24" s="1927"/>
      <c r="Z24" s="1925"/>
      <c r="AA24" s="1927"/>
      <c r="AB24" s="1928"/>
      <c r="AC24" s="1925"/>
      <c r="AD24" s="1925"/>
      <c r="AE24" s="1925"/>
      <c r="AF24" s="1925"/>
      <c r="AG24" s="1925"/>
      <c r="AH24" s="1925"/>
      <c r="AI24" s="1925"/>
      <c r="AJ24" s="1925"/>
      <c r="AK24" s="1925"/>
      <c r="AL24" s="1925"/>
      <c r="AM24" s="1925"/>
      <c r="AN24" s="1925"/>
      <c r="AO24" s="1927"/>
    </row>
    <row r="25" spans="1:41" s="381" customFormat="1" ht="14.1" customHeight="1">
      <c r="A25" s="354">
        <v>2026</v>
      </c>
      <c r="B25" s="355"/>
      <c r="C25" s="356">
        <f t="shared" si="1"/>
        <v>15882</v>
      </c>
      <c r="D25" s="371">
        <f t="shared" si="2"/>
        <v>21361</v>
      </c>
      <c r="E25" s="356">
        <f t="shared" si="3"/>
        <v>36298</v>
      </c>
      <c r="F25" s="372">
        <f t="shared" si="4"/>
        <v>21341</v>
      </c>
      <c r="G25" s="376">
        <f t="shared" si="0"/>
        <v>57639</v>
      </c>
      <c r="H25" s="1913"/>
      <c r="I25" s="378"/>
      <c r="J25" s="378"/>
      <c r="K25" s="1912"/>
      <c r="L25" s="378"/>
      <c r="M25" s="378"/>
      <c r="N25" s="378"/>
      <c r="O25" s="378"/>
      <c r="P25" s="378"/>
      <c r="Q25" s="378"/>
      <c r="R25" s="378"/>
      <c r="S25" s="378"/>
      <c r="T25" s="378"/>
      <c r="U25" s="378"/>
      <c r="V25" s="378"/>
      <c r="W25" s="378"/>
      <c r="X25" s="378"/>
      <c r="Y25" s="379"/>
      <c r="Z25" s="378"/>
      <c r="AA25" s="379"/>
      <c r="AB25" s="380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9"/>
    </row>
    <row r="26" spans="1:41" s="381" customFormat="1" ht="14.1" customHeight="1">
      <c r="A26" s="354">
        <v>2027</v>
      </c>
      <c r="B26" s="355"/>
      <c r="C26" s="356">
        <f t="shared" si="1"/>
        <v>16498</v>
      </c>
      <c r="D26" s="371">
        <f t="shared" si="2"/>
        <v>23171</v>
      </c>
      <c r="E26" s="356">
        <f t="shared" si="3"/>
        <v>40854</v>
      </c>
      <c r="F26" s="372">
        <f t="shared" si="4"/>
        <v>23145</v>
      </c>
      <c r="G26" s="376">
        <f t="shared" si="0"/>
        <v>63999</v>
      </c>
      <c r="H26" s="375"/>
      <c r="I26" s="378"/>
      <c r="J26" s="378"/>
      <c r="K26" s="1914"/>
      <c r="L26" s="378"/>
      <c r="M26" s="378"/>
      <c r="N26" s="378"/>
      <c r="O26" s="378"/>
      <c r="P26" s="378"/>
      <c r="Q26" s="378"/>
      <c r="R26" s="378"/>
      <c r="S26" s="378"/>
      <c r="T26" s="378"/>
      <c r="U26" s="378"/>
      <c r="V26" s="378"/>
      <c r="W26" s="378"/>
      <c r="X26" s="378"/>
      <c r="Y26" s="379"/>
      <c r="Z26" s="378"/>
      <c r="AA26" s="379"/>
      <c r="AB26" s="380"/>
      <c r="AC26" s="378"/>
      <c r="AD26" s="378"/>
      <c r="AE26" s="378"/>
      <c r="AF26" s="378"/>
      <c r="AG26" s="378"/>
      <c r="AH26" s="378"/>
      <c r="AI26" s="378"/>
      <c r="AJ26" s="378"/>
      <c r="AK26" s="378"/>
      <c r="AL26" s="378"/>
      <c r="AM26" s="378"/>
      <c r="AN26" s="378"/>
      <c r="AO26" s="379"/>
    </row>
    <row r="27" spans="1:41" s="381" customFormat="1" ht="14.1" customHeight="1">
      <c r="A27" s="354">
        <v>2028</v>
      </c>
      <c r="B27" s="382"/>
      <c r="C27" s="356">
        <f t="shared" si="1"/>
        <v>17114</v>
      </c>
      <c r="D27" s="371">
        <f t="shared" si="2"/>
        <v>25134</v>
      </c>
      <c r="E27" s="356">
        <f t="shared" si="3"/>
        <v>45825</v>
      </c>
      <c r="F27" s="372">
        <f t="shared" si="4"/>
        <v>25100</v>
      </c>
      <c r="G27" s="376">
        <f t="shared" si="0"/>
        <v>70925</v>
      </c>
      <c r="H27" s="377"/>
      <c r="I27" s="378"/>
      <c r="J27" s="378"/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9"/>
      <c r="Z27" s="378"/>
      <c r="AA27" s="379"/>
      <c r="AB27" s="380"/>
      <c r="AC27" s="378"/>
      <c r="AD27" s="378"/>
      <c r="AE27" s="378"/>
      <c r="AF27" s="378"/>
      <c r="AG27" s="378"/>
      <c r="AH27" s="378"/>
      <c r="AI27" s="378"/>
      <c r="AJ27" s="378"/>
      <c r="AK27" s="378"/>
      <c r="AL27" s="378"/>
      <c r="AM27" s="378"/>
      <c r="AN27" s="378"/>
      <c r="AO27" s="379"/>
    </row>
    <row r="28" spans="1:41" s="381" customFormat="1" ht="14.1" customHeight="1">
      <c r="A28" s="386">
        <v>2029</v>
      </c>
      <c r="B28" s="387"/>
      <c r="C28" s="2072">
        <f t="shared" si="1"/>
        <v>17730</v>
      </c>
      <c r="D28" s="2175">
        <f t="shared" si="2"/>
        <v>27263</v>
      </c>
      <c r="E28" s="2072">
        <f t="shared" si="3"/>
        <v>51227</v>
      </c>
      <c r="F28" s="2176">
        <f t="shared" si="4"/>
        <v>27220</v>
      </c>
      <c r="G28" s="2177">
        <f t="shared" si="0"/>
        <v>78447</v>
      </c>
      <c r="H28" s="2178"/>
      <c r="I28" s="1916"/>
      <c r="J28" s="1916"/>
      <c r="K28" s="1916"/>
      <c r="L28" s="1916"/>
      <c r="M28" s="1916"/>
      <c r="N28" s="1916"/>
      <c r="O28" s="1916"/>
      <c r="P28" s="1916"/>
      <c r="Q28" s="1916"/>
      <c r="R28" s="1916"/>
      <c r="S28" s="1916"/>
      <c r="T28" s="1916"/>
      <c r="U28" s="1916"/>
      <c r="V28" s="1916"/>
      <c r="W28" s="1916"/>
      <c r="X28" s="1916"/>
      <c r="Y28" s="1917"/>
      <c r="Z28" s="378"/>
      <c r="AA28" s="379"/>
      <c r="AB28" s="1915"/>
      <c r="AC28" s="1916"/>
      <c r="AD28" s="1916"/>
      <c r="AE28" s="1916"/>
      <c r="AF28" s="1916"/>
      <c r="AG28" s="1916"/>
      <c r="AH28" s="1916"/>
      <c r="AI28" s="1916"/>
      <c r="AJ28" s="1916"/>
      <c r="AK28" s="1916"/>
      <c r="AL28" s="1916"/>
      <c r="AM28" s="1916"/>
      <c r="AN28" s="1916"/>
      <c r="AO28" s="1917"/>
    </row>
    <row r="29" spans="1:41" s="1929" customFormat="1" ht="14.1" customHeight="1">
      <c r="A29" s="2135">
        <v>2030</v>
      </c>
      <c r="B29" s="1911"/>
      <c r="C29" s="2136">
        <f t="shared" si="1"/>
        <v>18346</v>
      </c>
      <c r="D29" s="2137">
        <f t="shared" si="2"/>
        <v>29573</v>
      </c>
      <c r="E29" s="2136">
        <f t="shared" si="3"/>
        <v>57077</v>
      </c>
      <c r="F29" s="2138">
        <f t="shared" si="4"/>
        <v>29518</v>
      </c>
      <c r="G29" s="374">
        <f t="shared" si="0"/>
        <v>86595</v>
      </c>
      <c r="H29" s="373"/>
      <c r="I29" s="1925"/>
      <c r="J29" s="1925"/>
      <c r="K29" s="1925"/>
      <c r="L29" s="1925"/>
      <c r="M29" s="1925"/>
      <c r="N29" s="1925"/>
      <c r="O29" s="1925"/>
      <c r="P29" s="1925"/>
      <c r="Q29" s="1925"/>
      <c r="R29" s="1925"/>
      <c r="S29" s="1925"/>
      <c r="T29" s="1925"/>
      <c r="U29" s="1925"/>
      <c r="V29" s="1925"/>
      <c r="W29" s="1925"/>
      <c r="X29" s="1925"/>
      <c r="Y29" s="1925"/>
      <c r="Z29" s="1925"/>
      <c r="AA29" s="1927"/>
    </row>
    <row r="30" spans="1:41" s="381" customFormat="1" ht="14.1" customHeight="1">
      <c r="A30" s="354">
        <v>2031</v>
      </c>
      <c r="B30" s="355"/>
      <c r="C30" s="356">
        <f t="shared" si="1"/>
        <v>18962</v>
      </c>
      <c r="D30" s="371">
        <f t="shared" si="2"/>
        <v>32079</v>
      </c>
      <c r="E30" s="356">
        <f t="shared" si="3"/>
        <v>63392</v>
      </c>
      <c r="F30" s="372">
        <f t="shared" si="4"/>
        <v>32009</v>
      </c>
      <c r="G30" s="376">
        <f t="shared" si="0"/>
        <v>95401</v>
      </c>
      <c r="H30" s="1913"/>
      <c r="I30" s="378"/>
      <c r="J30" s="378"/>
      <c r="K30" s="378"/>
      <c r="L30" s="378"/>
      <c r="M30" s="378"/>
      <c r="N30" s="378"/>
      <c r="O30" s="378"/>
      <c r="P30" s="378"/>
      <c r="Q30" s="378"/>
      <c r="R30" s="378"/>
      <c r="S30" s="378"/>
      <c r="T30" s="378"/>
      <c r="U30" s="378"/>
      <c r="V30" s="378"/>
      <c r="W30" s="378"/>
      <c r="X30" s="378"/>
      <c r="Y30" s="378"/>
      <c r="Z30" s="378"/>
      <c r="AA30" s="379"/>
    </row>
    <row r="31" spans="1:41" s="381" customFormat="1" ht="14.1" customHeight="1">
      <c r="A31" s="354">
        <v>2032</v>
      </c>
      <c r="B31" s="382"/>
      <c r="C31" s="356">
        <f t="shared" si="1"/>
        <v>19577</v>
      </c>
      <c r="D31" s="371">
        <f t="shared" si="2"/>
        <v>34797</v>
      </c>
      <c r="E31" s="356">
        <f t="shared" si="3"/>
        <v>70190</v>
      </c>
      <c r="F31" s="372">
        <f t="shared" si="4"/>
        <v>34709</v>
      </c>
      <c r="G31" s="376">
        <f t="shared" si="0"/>
        <v>104899</v>
      </c>
      <c r="H31" s="377"/>
      <c r="I31" s="378"/>
      <c r="J31" s="378"/>
      <c r="K31" s="378"/>
      <c r="L31" s="378"/>
      <c r="M31" s="378"/>
      <c r="N31" s="378"/>
      <c r="O31" s="378"/>
      <c r="P31" s="378"/>
      <c r="Q31" s="378"/>
      <c r="R31" s="378"/>
      <c r="S31" s="378"/>
      <c r="T31" s="378"/>
      <c r="U31" s="378"/>
      <c r="V31" s="378"/>
      <c r="W31" s="378"/>
      <c r="X31" s="378"/>
      <c r="Y31" s="378"/>
      <c r="Z31" s="378"/>
      <c r="AA31" s="379"/>
    </row>
    <row r="32" spans="1:41" s="381" customFormat="1" ht="14.1" customHeight="1">
      <c r="A32" s="354">
        <v>2033</v>
      </c>
      <c r="B32" s="382"/>
      <c r="C32" s="356">
        <f t="shared" si="1"/>
        <v>20193</v>
      </c>
      <c r="D32" s="371">
        <f t="shared" si="2"/>
        <v>37746</v>
      </c>
      <c r="E32" s="356">
        <f t="shared" si="3"/>
        <v>77486</v>
      </c>
      <c r="F32" s="372">
        <f t="shared" si="4"/>
        <v>37635</v>
      </c>
      <c r="G32" s="376">
        <f t="shared" si="0"/>
        <v>115121</v>
      </c>
      <c r="H32" s="377"/>
      <c r="I32" s="378"/>
      <c r="J32" s="378"/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  <c r="Y32" s="378"/>
      <c r="Z32" s="378"/>
      <c r="AA32" s="379"/>
    </row>
    <row r="33" spans="1:40" s="381" customFormat="1" ht="14.1" customHeight="1">
      <c r="A33" s="354">
        <v>2034</v>
      </c>
      <c r="B33" s="382"/>
      <c r="C33" s="356">
        <f t="shared" si="1"/>
        <v>20809</v>
      </c>
      <c r="D33" s="371">
        <f t="shared" si="2"/>
        <v>40944</v>
      </c>
      <c r="E33" s="356">
        <f t="shared" si="3"/>
        <v>85299</v>
      </c>
      <c r="F33" s="372">
        <f t="shared" si="4"/>
        <v>40807</v>
      </c>
      <c r="G33" s="376">
        <f t="shared" si="0"/>
        <v>126106</v>
      </c>
      <c r="H33" s="377"/>
      <c r="I33" s="378"/>
      <c r="J33" s="378"/>
      <c r="K33" s="378"/>
      <c r="L33" s="378"/>
      <c r="M33" s="378"/>
      <c r="N33" s="378"/>
      <c r="O33" s="378"/>
      <c r="P33" s="378"/>
      <c r="Q33" s="378"/>
      <c r="R33" s="378"/>
      <c r="S33" s="378"/>
      <c r="T33" s="378"/>
      <c r="U33" s="378"/>
      <c r="V33" s="378"/>
      <c r="W33" s="378"/>
      <c r="X33" s="378"/>
      <c r="Y33" s="378"/>
      <c r="Z33" s="378"/>
      <c r="AA33" s="379"/>
    </row>
    <row r="34" spans="1:40" s="1929" customFormat="1" ht="14.1" customHeight="1">
      <c r="A34" s="366">
        <v>2035</v>
      </c>
      <c r="B34" s="367"/>
      <c r="C34" s="368">
        <f t="shared" si="1"/>
        <v>21425</v>
      </c>
      <c r="D34" s="369">
        <f t="shared" si="2"/>
        <v>44413</v>
      </c>
      <c r="E34" s="368">
        <f t="shared" si="3"/>
        <v>93645</v>
      </c>
      <c r="F34" s="370">
        <f t="shared" si="4"/>
        <v>44243</v>
      </c>
      <c r="G34" s="374">
        <f t="shared" si="0"/>
        <v>137888</v>
      </c>
      <c r="H34" s="384"/>
      <c r="I34" s="1925"/>
      <c r="J34" s="1925"/>
      <c r="K34" s="1925"/>
      <c r="L34" s="1930"/>
      <c r="M34" s="1925"/>
      <c r="N34" s="1925"/>
      <c r="O34" s="1925"/>
      <c r="P34" s="1925"/>
      <c r="Q34" s="1925"/>
      <c r="R34" s="1925"/>
      <c r="S34" s="1925"/>
      <c r="T34" s="1925"/>
      <c r="U34" s="1925"/>
      <c r="V34" s="1925"/>
      <c r="W34" s="1925"/>
      <c r="X34" s="1925"/>
      <c r="Y34" s="1925"/>
      <c r="Z34" s="1925"/>
      <c r="AA34" s="1927"/>
    </row>
    <row r="35" spans="1:40" s="381" customFormat="1" ht="14.1" customHeight="1">
      <c r="A35" s="354">
        <v>2036</v>
      </c>
      <c r="B35" s="385"/>
      <c r="C35" s="356">
        <f t="shared" si="1"/>
        <v>22041</v>
      </c>
      <c r="D35" s="371">
        <f t="shared" si="2"/>
        <v>48176</v>
      </c>
      <c r="E35" s="356">
        <f t="shared" si="3"/>
        <v>102540</v>
      </c>
      <c r="F35" s="372">
        <f t="shared" si="4"/>
        <v>47967</v>
      </c>
      <c r="G35" s="376"/>
      <c r="H35" s="377"/>
      <c r="I35" s="378"/>
      <c r="J35" s="378"/>
      <c r="K35" s="378"/>
      <c r="L35" s="410"/>
      <c r="M35" s="378"/>
      <c r="N35" s="378"/>
      <c r="O35" s="378"/>
      <c r="P35" s="378"/>
      <c r="Q35" s="378"/>
      <c r="R35" s="378"/>
      <c r="S35" s="378"/>
      <c r="T35" s="378"/>
      <c r="U35" s="378"/>
      <c r="V35" s="378"/>
      <c r="W35" s="378"/>
      <c r="X35" s="378"/>
      <c r="Y35" s="378"/>
      <c r="Z35" s="378"/>
      <c r="AA35" s="379"/>
    </row>
    <row r="36" spans="1:40" s="381" customFormat="1" ht="14.1" customHeight="1">
      <c r="A36" s="354">
        <v>2037</v>
      </c>
      <c r="B36" s="385"/>
      <c r="C36" s="356">
        <f t="shared" si="1"/>
        <v>22657</v>
      </c>
      <c r="D36" s="371">
        <f t="shared" si="2"/>
        <v>52258</v>
      </c>
      <c r="E36" s="356">
        <f t="shared" si="3"/>
        <v>112002</v>
      </c>
      <c r="F36" s="372">
        <f t="shared" si="4"/>
        <v>52001</v>
      </c>
      <c r="G36" s="376"/>
      <c r="H36" s="377"/>
      <c r="I36" s="378"/>
      <c r="J36" s="378"/>
      <c r="K36" s="378"/>
      <c r="L36" s="410"/>
      <c r="M36" s="378"/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9"/>
    </row>
    <row r="37" spans="1:40" s="381" customFormat="1" ht="14.1" customHeight="1">
      <c r="A37" s="354">
        <f t="shared" ref="A37" si="6">A36+1</f>
        <v>2038</v>
      </c>
      <c r="B37" s="385"/>
      <c r="C37" s="356">
        <f t="shared" si="1"/>
        <v>23272</v>
      </c>
      <c r="D37" s="371">
        <f t="shared" si="2"/>
        <v>56686</v>
      </c>
      <c r="E37" s="356">
        <f t="shared" si="3"/>
        <v>122047</v>
      </c>
      <c r="F37" s="372">
        <f t="shared" si="4"/>
        <v>56371</v>
      </c>
      <c r="G37" s="376"/>
      <c r="H37" s="377"/>
      <c r="I37" s="378"/>
      <c r="J37" s="378"/>
      <c r="K37" s="378"/>
      <c r="L37" s="410"/>
      <c r="M37" s="378"/>
      <c r="N37" s="378"/>
      <c r="O37" s="378"/>
      <c r="P37" s="378"/>
      <c r="Q37" s="378"/>
      <c r="R37" s="378"/>
      <c r="S37" s="378"/>
      <c r="T37" s="378"/>
      <c r="U37" s="378"/>
      <c r="V37" s="378"/>
      <c r="W37" s="378"/>
      <c r="X37" s="378"/>
      <c r="Y37" s="378"/>
      <c r="Z37" s="378"/>
      <c r="AA37" s="379"/>
    </row>
    <row r="38" spans="1:40" s="381" customFormat="1" ht="14.1" customHeight="1">
      <c r="A38" s="386" t="s">
        <v>275</v>
      </c>
      <c r="B38" s="387"/>
      <c r="C38" s="387" t="str">
        <f>IF(OR(C42=1,C42=2),"○","")</f>
        <v/>
      </c>
      <c r="D38" s="387" t="str">
        <f>IF(OR(D42=1,D42=2),"○","")</f>
        <v/>
      </c>
      <c r="E38" s="387" t="str">
        <f>IF(OR(E42=1,E42=2),"○","")</f>
        <v>○</v>
      </c>
      <c r="F38" s="1918" t="str">
        <f>IF(OR(F42=1,F42=2),"○","")</f>
        <v>○</v>
      </c>
      <c r="G38" s="1919"/>
      <c r="H38" s="1920"/>
      <c r="I38" s="378"/>
      <c r="J38" s="378"/>
      <c r="K38" s="1921"/>
      <c r="L38" s="1921"/>
      <c r="M38" s="1921"/>
      <c r="N38" s="1921"/>
      <c r="O38" s="1921"/>
      <c r="P38" s="1921"/>
      <c r="Q38" s="1921"/>
      <c r="R38" s="1921"/>
      <c r="S38" s="1921"/>
      <c r="T38" s="1922"/>
      <c r="U38" s="1922"/>
      <c r="V38" s="410"/>
      <c r="W38" s="410"/>
      <c r="X38" s="410"/>
      <c r="Y38" s="410"/>
      <c r="Z38" s="410"/>
      <c r="AA38" s="1923"/>
      <c r="AB38" s="1924"/>
      <c r="AC38" s="1924"/>
      <c r="AD38" s="1924"/>
      <c r="AE38" s="1924"/>
      <c r="AF38" s="1924"/>
      <c r="AG38" s="1924"/>
      <c r="AH38" s="1924"/>
      <c r="AI38" s="1924"/>
      <c r="AJ38" s="1924"/>
      <c r="AK38" s="1924"/>
      <c r="AL38" s="1924"/>
      <c r="AM38" s="1924"/>
      <c r="AN38" s="1924"/>
    </row>
    <row r="39" spans="1:40" s="344" customFormat="1" ht="14.1" customHeight="1">
      <c r="A39" s="2318" t="s">
        <v>276</v>
      </c>
      <c r="B39" s="2319"/>
      <c r="C39" s="392">
        <f>F70</f>
        <v>0.660463891802471</v>
      </c>
      <c r="D39" s="393">
        <f>G115</f>
        <v>0.75263663069169962</v>
      </c>
      <c r="E39" s="393">
        <f>H153</f>
        <v>0.91209323690569022</v>
      </c>
      <c r="F39" s="394">
        <f>G190</f>
        <v>0.75273599588903795</v>
      </c>
      <c r="G39" s="395"/>
      <c r="H39" s="396"/>
      <c r="I39" s="341"/>
      <c r="J39" s="341"/>
      <c r="K39" s="362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90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</row>
    <row r="40" spans="1:40" s="344" customFormat="1" ht="14.1" customHeight="1">
      <c r="A40" s="2318" t="s">
        <v>294</v>
      </c>
      <c r="B40" s="2319"/>
      <c r="C40" s="397">
        <f>F71</f>
        <v>21446.839</v>
      </c>
      <c r="D40" s="398">
        <f>G116</f>
        <v>17691.938000000002</v>
      </c>
      <c r="E40" s="398">
        <f>H154</f>
        <v>12667.939</v>
      </c>
      <c r="F40" s="399">
        <f>G191</f>
        <v>17682.813000000002</v>
      </c>
      <c r="G40" s="400"/>
      <c r="H40" s="401"/>
      <c r="I40" s="341"/>
      <c r="J40" s="341"/>
      <c r="K40" s="388"/>
      <c r="L40" s="388"/>
      <c r="M40" s="388"/>
      <c r="N40" s="388"/>
      <c r="O40" s="388"/>
      <c r="P40" s="388"/>
      <c r="Q40" s="388"/>
      <c r="R40" s="388"/>
      <c r="S40" s="388"/>
      <c r="T40" s="389"/>
      <c r="U40" s="389"/>
      <c r="V40" s="362"/>
      <c r="W40" s="362"/>
      <c r="X40" s="362"/>
      <c r="Y40" s="362"/>
      <c r="Z40" s="362"/>
      <c r="AA40" s="390"/>
      <c r="AB40" s="391"/>
      <c r="AC40" s="391"/>
      <c r="AD40" s="391"/>
      <c r="AE40" s="391"/>
      <c r="AF40" s="391"/>
      <c r="AG40" s="391"/>
      <c r="AH40" s="391"/>
      <c r="AI40" s="391"/>
      <c r="AJ40" s="391"/>
      <c r="AK40" s="391"/>
      <c r="AL40" s="391"/>
      <c r="AM40" s="391"/>
      <c r="AN40" s="391"/>
    </row>
    <row r="41" spans="1:40" s="344" customFormat="1" ht="14.1" customHeight="1">
      <c r="A41" s="2318" t="s">
        <v>278</v>
      </c>
      <c r="B41" s="2319"/>
      <c r="C41" s="402">
        <f>F72</f>
        <v>18.74514336407125</v>
      </c>
      <c r="D41" s="403">
        <f>G117</f>
        <v>14.441363609789532</v>
      </c>
      <c r="E41" s="403">
        <f>H155</f>
        <v>8.7332262252419497</v>
      </c>
      <c r="F41" s="404">
        <f>G192</f>
        <v>7.2193163567909133</v>
      </c>
      <c r="G41" s="405"/>
      <c r="H41" s="401"/>
      <c r="I41" s="383"/>
      <c r="J41" s="383"/>
      <c r="K41" s="406"/>
      <c r="L41" s="406"/>
      <c r="M41" s="406"/>
      <c r="N41" s="406"/>
      <c r="O41" s="406"/>
      <c r="P41" s="406"/>
      <c r="Q41" s="406"/>
      <c r="R41" s="406"/>
      <c r="S41" s="406"/>
      <c r="T41" s="407"/>
      <c r="U41" s="407"/>
      <c r="V41" s="408"/>
      <c r="W41" s="408"/>
      <c r="X41" s="408"/>
      <c r="Y41" s="408"/>
      <c r="Z41" s="408"/>
      <c r="AA41" s="409"/>
      <c r="AB41" s="391"/>
      <c r="AC41" s="391"/>
      <c r="AD41" s="391"/>
      <c r="AE41" s="391"/>
      <c r="AF41" s="391"/>
      <c r="AG41" s="391"/>
      <c r="AH41" s="391"/>
      <c r="AI41" s="391"/>
      <c r="AJ41" s="391"/>
      <c r="AK41" s="391"/>
      <c r="AL41" s="391"/>
      <c r="AM41" s="391"/>
      <c r="AN41" s="391"/>
    </row>
    <row r="42" spans="1:40" s="344" customFormat="1" ht="20.100000000000001" customHeight="1">
      <c r="A42" s="410"/>
      <c r="B42" s="411"/>
      <c r="C42" s="1007">
        <f>RANK(C39,$C$39:$F$39)</f>
        <v>4</v>
      </c>
      <c r="D42" s="1007">
        <f>RANK(D39,$C$39:$F$39)</f>
        <v>3</v>
      </c>
      <c r="E42" s="1007">
        <f>RANK(E39,$C$39:$F$39)</f>
        <v>1</v>
      </c>
      <c r="F42" s="1007">
        <f>RANK(F39,$C$39:$F$39)</f>
        <v>2</v>
      </c>
      <c r="G42" s="341"/>
      <c r="H42" s="341"/>
      <c r="I42" s="341"/>
      <c r="J42" s="413"/>
      <c r="K42" s="391"/>
      <c r="L42" s="391"/>
      <c r="M42" s="391"/>
      <c r="N42" s="391"/>
      <c r="O42" s="391"/>
      <c r="P42" s="391"/>
      <c r="Q42" s="391"/>
      <c r="R42" s="391"/>
      <c r="S42" s="391"/>
      <c r="T42" s="391"/>
      <c r="U42" s="391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391"/>
      <c r="AG42" s="391"/>
      <c r="AH42" s="391"/>
      <c r="AI42" s="391"/>
      <c r="AJ42" s="391"/>
      <c r="AK42" s="391"/>
      <c r="AL42" s="391"/>
      <c r="AM42" s="391"/>
    </row>
    <row r="43" spans="1:40" s="344" customFormat="1" ht="18.95" customHeight="1">
      <c r="A43" s="414" t="s">
        <v>85</v>
      </c>
      <c r="B43" s="415" t="s">
        <v>279</v>
      </c>
      <c r="C43" s="415" t="s">
        <v>280</v>
      </c>
      <c r="D43" s="415" t="s">
        <v>281</v>
      </c>
      <c r="E43" s="415" t="s">
        <v>282</v>
      </c>
      <c r="F43" s="360" t="s">
        <v>5</v>
      </c>
      <c r="G43" s="341"/>
      <c r="H43" s="341"/>
      <c r="I43" s="341"/>
      <c r="J43" s="413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  <c r="AM43" s="391"/>
    </row>
    <row r="44" spans="1:40" s="344" customFormat="1" ht="18.95" customHeight="1">
      <c r="A44" s="416" t="s">
        <v>251</v>
      </c>
      <c r="B44" s="417">
        <f>+C19</f>
        <v>12187</v>
      </c>
      <c r="C44" s="417">
        <f>+C24</f>
        <v>15267</v>
      </c>
      <c r="D44" s="417">
        <f>+C29</f>
        <v>18346</v>
      </c>
      <c r="E44" s="418">
        <f>+C34</f>
        <v>21425</v>
      </c>
      <c r="F44" s="419" t="str">
        <f>IF(C38="","제외","")</f>
        <v>제외</v>
      </c>
      <c r="G44" s="341"/>
      <c r="H44" s="341"/>
      <c r="I44" s="341"/>
      <c r="J44" s="413"/>
      <c r="K44" s="391"/>
      <c r="L44" s="391"/>
      <c r="M44" s="391"/>
      <c r="N44" s="391"/>
      <c r="O44" s="391"/>
      <c r="P44" s="391"/>
      <c r="Q44" s="391"/>
      <c r="R44" s="391"/>
      <c r="S44" s="391"/>
      <c r="T44" s="391"/>
      <c r="U44" s="391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391"/>
      <c r="AG44" s="391"/>
      <c r="AH44" s="391"/>
      <c r="AI44" s="391"/>
      <c r="AJ44" s="391"/>
      <c r="AK44" s="391"/>
      <c r="AL44" s="391"/>
      <c r="AM44" s="391"/>
    </row>
    <row r="45" spans="1:40" s="344" customFormat="1" ht="18.95" customHeight="1">
      <c r="A45" s="416" t="s">
        <v>253</v>
      </c>
      <c r="B45" s="417">
        <f>+D19</f>
        <v>13113</v>
      </c>
      <c r="C45" s="417">
        <f>+D24</f>
        <v>19692</v>
      </c>
      <c r="D45" s="417">
        <f>+D29</f>
        <v>29573</v>
      </c>
      <c r="E45" s="418">
        <f>+D34</f>
        <v>44413</v>
      </c>
      <c r="F45" s="419" t="str">
        <f>IF(D38="","제외","")</f>
        <v>제외</v>
      </c>
      <c r="G45" s="341"/>
      <c r="H45" s="341"/>
      <c r="I45" s="341"/>
      <c r="J45" s="413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1"/>
    </row>
    <row r="46" spans="1:40" s="344" customFormat="1" ht="18.95" customHeight="1">
      <c r="A46" s="416" t="s">
        <v>254</v>
      </c>
      <c r="B46" s="417">
        <f>+E19</f>
        <v>16684</v>
      </c>
      <c r="C46" s="417">
        <f>+E24</f>
        <v>32138</v>
      </c>
      <c r="D46" s="417">
        <f>+E29</f>
        <v>57077</v>
      </c>
      <c r="E46" s="418">
        <f>+E34</f>
        <v>93645</v>
      </c>
      <c r="F46" s="419" t="str">
        <f>IF(E38="","제외","")</f>
        <v/>
      </c>
      <c r="G46" s="341"/>
      <c r="H46" s="341"/>
      <c r="I46" s="341"/>
      <c r="J46" s="413"/>
      <c r="K46" s="391"/>
      <c r="L46" s="391"/>
      <c r="M46" s="391"/>
      <c r="N46" s="391"/>
      <c r="O46" s="391"/>
      <c r="P46" s="391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  <c r="AM46" s="391"/>
    </row>
    <row r="47" spans="1:40" s="344" customFormat="1" ht="18.95" customHeight="1">
      <c r="A47" s="416" t="s">
        <v>256</v>
      </c>
      <c r="B47" s="417">
        <f>+F19</f>
        <v>13111</v>
      </c>
      <c r="C47" s="417">
        <f>+F24</f>
        <v>19678</v>
      </c>
      <c r="D47" s="417">
        <f>+F29</f>
        <v>29518</v>
      </c>
      <c r="E47" s="418">
        <f>+F34</f>
        <v>44243</v>
      </c>
      <c r="F47" s="419" t="str">
        <f>IF(F38="","제외","")</f>
        <v/>
      </c>
      <c r="G47" s="341"/>
      <c r="H47" s="341"/>
      <c r="I47" s="341"/>
      <c r="J47" s="413"/>
      <c r="K47" s="391"/>
      <c r="L47" s="391"/>
      <c r="M47" s="391"/>
      <c r="N47" s="391"/>
      <c r="O47" s="391"/>
      <c r="P47" s="391"/>
      <c r="Q47" s="391"/>
      <c r="R47" s="391"/>
      <c r="S47" s="391"/>
      <c r="T47" s="391"/>
      <c r="U47" s="391"/>
      <c r="V47" s="391"/>
      <c r="W47" s="391"/>
      <c r="X47" s="391"/>
      <c r="Y47" s="391"/>
      <c r="Z47" s="391"/>
      <c r="AA47" s="391"/>
      <c r="AB47" s="391"/>
      <c r="AC47" s="391"/>
      <c r="AD47" s="391"/>
      <c r="AE47" s="391"/>
      <c r="AF47" s="391"/>
      <c r="AG47" s="391"/>
      <c r="AH47" s="391"/>
      <c r="AI47" s="391"/>
      <c r="AJ47" s="391"/>
      <c r="AK47" s="391"/>
      <c r="AL47" s="391"/>
      <c r="AM47" s="391"/>
    </row>
    <row r="48" spans="1:40" s="344" customFormat="1" ht="18.95" customHeight="1">
      <c r="A48" s="416" t="s">
        <v>283</v>
      </c>
      <c r="B48" s="420">
        <f>ROUND(AVERAGE(B46,B47),0)</f>
        <v>14898</v>
      </c>
      <c r="C48" s="420">
        <f t="shared" ref="C48:E48" si="7">ROUND(AVERAGE(C46,C47),0)</f>
        <v>25908</v>
      </c>
      <c r="D48" s="420">
        <f t="shared" si="7"/>
        <v>43298</v>
      </c>
      <c r="E48" s="420">
        <f t="shared" si="7"/>
        <v>68944</v>
      </c>
      <c r="F48" s="419"/>
      <c r="G48" s="341"/>
      <c r="H48" s="341"/>
      <c r="I48" s="341"/>
      <c r="J48" s="413"/>
      <c r="K48" s="391"/>
      <c r="L48" s="391"/>
      <c r="M48" s="391"/>
      <c r="N48" s="391"/>
      <c r="O48" s="391"/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  <c r="AM48" s="391"/>
    </row>
    <row r="49" spans="1:40" s="344" customFormat="1" ht="18.95" customHeight="1">
      <c r="A49" s="416" t="s">
        <v>284</v>
      </c>
      <c r="B49" s="420">
        <f>B48</f>
        <v>14898</v>
      </c>
      <c r="C49" s="420">
        <f>C48</f>
        <v>25908</v>
      </c>
      <c r="D49" s="420">
        <f>D48</f>
        <v>43298</v>
      </c>
      <c r="E49" s="420">
        <f>E48</f>
        <v>68944</v>
      </c>
      <c r="F49" s="419"/>
      <c r="G49" s="341"/>
      <c r="H49" s="341"/>
      <c r="I49" s="341"/>
      <c r="J49" s="413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391"/>
      <c r="AG49" s="391"/>
      <c r="AH49" s="391"/>
      <c r="AI49" s="391"/>
      <c r="AJ49" s="391"/>
      <c r="AK49" s="391"/>
      <c r="AL49" s="391"/>
      <c r="AM49" s="391"/>
    </row>
    <row r="50" spans="1:40" s="344" customFormat="1" ht="20.100000000000001" customHeight="1">
      <c r="A50" s="410"/>
      <c r="B50" s="411"/>
      <c r="C50" s="421">
        <f>C48-B48</f>
        <v>11010</v>
      </c>
      <c r="D50" s="421">
        <f>D48-C48</f>
        <v>17390</v>
      </c>
      <c r="E50" s="421">
        <f>E48-D48</f>
        <v>25646</v>
      </c>
      <c r="F50" s="341"/>
      <c r="G50" s="341"/>
      <c r="H50" s="341"/>
      <c r="I50" s="341"/>
      <c r="J50" s="413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391"/>
      <c r="AG50" s="391"/>
      <c r="AH50" s="391"/>
      <c r="AI50" s="391"/>
      <c r="AJ50" s="391"/>
      <c r="AK50" s="391"/>
      <c r="AL50" s="391"/>
      <c r="AM50" s="391"/>
    </row>
    <row r="51" spans="1:40" s="344" customFormat="1" ht="20.100000000000001" customHeight="1">
      <c r="A51" s="410"/>
      <c r="B51" s="422"/>
      <c r="C51" s="423">
        <f>ROUND((C48/B48)^(1/5)-1,4)</f>
        <v>0.11700000000000001</v>
      </c>
      <c r="D51" s="423">
        <f>ROUND((D48/C48)^(1/5)-1,4)</f>
        <v>0.1082</v>
      </c>
      <c r="E51" s="423">
        <f>ROUND((E48/D48)^(1/5)-1,4)</f>
        <v>9.7500000000000003E-2</v>
      </c>
      <c r="F51" s="341"/>
      <c r="G51" s="341"/>
      <c r="H51" s="341"/>
      <c r="I51" s="341"/>
      <c r="J51" s="413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391"/>
      <c r="AG51" s="391"/>
      <c r="AH51" s="391"/>
      <c r="AI51" s="391"/>
      <c r="AJ51" s="391"/>
      <c r="AK51" s="391"/>
      <c r="AL51" s="391"/>
      <c r="AM51" s="391"/>
    </row>
    <row r="52" spans="1:40" s="344" customFormat="1" ht="20.100000000000001" customHeight="1">
      <c r="A52" s="410"/>
      <c r="B52" s="411"/>
      <c r="C52" s="423"/>
      <c r="D52" s="423"/>
      <c r="E52" s="423"/>
      <c r="F52" s="341"/>
      <c r="G52" s="341"/>
      <c r="H52" s="341"/>
      <c r="I52" s="341"/>
      <c r="J52" s="413"/>
      <c r="K52" s="391"/>
      <c r="L52" s="391"/>
      <c r="M52" s="391"/>
      <c r="N52" s="391"/>
      <c r="O52" s="391"/>
      <c r="P52" s="391"/>
      <c r="Q52" s="391"/>
      <c r="R52" s="391"/>
      <c r="S52" s="391"/>
      <c r="T52" s="391"/>
      <c r="U52" s="391"/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391"/>
      <c r="AG52" s="391"/>
      <c r="AH52" s="391"/>
      <c r="AI52" s="391"/>
      <c r="AJ52" s="391"/>
      <c r="AK52" s="391"/>
      <c r="AL52" s="391"/>
      <c r="AM52" s="391"/>
    </row>
    <row r="53" spans="1:40" s="344" customFormat="1" ht="20.100000000000001" customHeight="1">
      <c r="A53" s="410"/>
      <c r="B53" s="411"/>
      <c r="C53" s="412"/>
      <c r="D53" s="412"/>
      <c r="E53" s="412"/>
      <c r="F53" s="341"/>
      <c r="G53" s="341"/>
      <c r="H53" s="341"/>
      <c r="I53" s="341"/>
      <c r="J53" s="413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  <c r="AF53" s="391"/>
      <c r="AG53" s="391"/>
      <c r="AH53" s="391"/>
      <c r="AI53" s="391"/>
      <c r="AJ53" s="391"/>
      <c r="AK53" s="391"/>
      <c r="AL53" s="391"/>
      <c r="AM53" s="391"/>
    </row>
    <row r="54" spans="1:40" s="344" customFormat="1" ht="20.100000000000001" customHeight="1">
      <c r="A54" s="410"/>
      <c r="B54" s="411"/>
      <c r="C54" s="412"/>
      <c r="D54" s="412"/>
      <c r="E54" s="412"/>
      <c r="F54" s="341"/>
      <c r="G54" s="341"/>
      <c r="H54" s="341"/>
      <c r="I54" s="341"/>
      <c r="J54" s="413"/>
      <c r="K54" s="391"/>
      <c r="L54" s="391"/>
      <c r="M54" s="391"/>
      <c r="N54" s="391"/>
      <c r="O54" s="391"/>
      <c r="P54" s="391"/>
      <c r="Q54" s="391"/>
      <c r="R54" s="391"/>
      <c r="S54" s="391"/>
      <c r="T54" s="391"/>
      <c r="U54" s="391"/>
      <c r="V54" s="391"/>
      <c r="W54" s="391"/>
      <c r="X54" s="391"/>
      <c r="Y54" s="391"/>
      <c r="Z54" s="391"/>
      <c r="AA54" s="391"/>
      <c r="AB54" s="391"/>
      <c r="AC54" s="391"/>
      <c r="AD54" s="391"/>
      <c r="AE54" s="391"/>
      <c r="AF54" s="391"/>
      <c r="AG54" s="391"/>
      <c r="AH54" s="391"/>
      <c r="AI54" s="391"/>
      <c r="AJ54" s="391"/>
      <c r="AK54" s="391"/>
      <c r="AL54" s="391"/>
      <c r="AM54" s="391"/>
    </row>
    <row r="55" spans="1:40" s="344" customFormat="1" ht="20.100000000000001" customHeight="1">
      <c r="A55" s="410"/>
      <c r="B55" s="411"/>
      <c r="C55" s="412"/>
      <c r="D55" s="412"/>
      <c r="E55" s="412"/>
      <c r="F55" s="341"/>
      <c r="G55" s="341"/>
      <c r="H55" s="341"/>
      <c r="I55" s="341"/>
      <c r="J55" s="413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1"/>
    </row>
    <row r="56" spans="1:40" s="344" customFormat="1" ht="20.100000000000001" customHeight="1">
      <c r="A56" s="410"/>
      <c r="B56" s="411"/>
      <c r="C56" s="412"/>
      <c r="D56" s="412"/>
      <c r="E56" s="412"/>
      <c r="F56" s="341"/>
      <c r="G56" s="341"/>
      <c r="H56" s="341"/>
      <c r="I56" s="341"/>
      <c r="J56" s="413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  <c r="AF56" s="391"/>
      <c r="AG56" s="391"/>
      <c r="AH56" s="391"/>
      <c r="AI56" s="391"/>
      <c r="AJ56" s="391"/>
      <c r="AK56" s="391"/>
      <c r="AL56" s="391"/>
      <c r="AM56" s="391"/>
    </row>
    <row r="57" spans="1:40" s="344" customFormat="1" ht="20.100000000000001" customHeight="1">
      <c r="A57" s="410"/>
      <c r="B57" s="411"/>
      <c r="C57" s="412"/>
      <c r="D57" s="412"/>
      <c r="E57" s="412"/>
      <c r="F57" s="341"/>
      <c r="G57" s="341"/>
      <c r="H57" s="341"/>
      <c r="I57" s="341"/>
      <c r="J57" s="413"/>
      <c r="K57" s="391"/>
      <c r="L57" s="391"/>
      <c r="M57" s="391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91"/>
      <c r="Y57" s="391"/>
      <c r="Z57" s="391"/>
      <c r="AA57" s="391"/>
      <c r="AB57" s="391"/>
      <c r="AC57" s="391"/>
      <c r="AD57" s="391"/>
      <c r="AE57" s="391"/>
      <c r="AF57" s="391"/>
      <c r="AG57" s="391"/>
      <c r="AH57" s="391"/>
      <c r="AI57" s="391"/>
      <c r="AJ57" s="391"/>
      <c r="AK57" s="391"/>
      <c r="AL57" s="391"/>
      <c r="AM57" s="391"/>
    </row>
    <row r="58" spans="1:40" s="344" customFormat="1" ht="20.100000000000001" customHeight="1">
      <c r="A58" s="410"/>
      <c r="B58" s="411"/>
      <c r="C58" s="412"/>
      <c r="D58" s="412"/>
      <c r="E58" s="412"/>
      <c r="F58" s="341"/>
      <c r="G58" s="341"/>
      <c r="H58" s="341"/>
      <c r="I58" s="341"/>
      <c r="J58" s="413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1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  <c r="AF58" s="391"/>
      <c r="AG58" s="391"/>
      <c r="AH58" s="391"/>
      <c r="AI58" s="391"/>
      <c r="AJ58" s="391"/>
      <c r="AK58" s="391"/>
      <c r="AL58" s="391"/>
      <c r="AM58" s="391"/>
    </row>
    <row r="59" spans="1:40" s="344" customFormat="1" ht="20.100000000000001" customHeight="1">
      <c r="A59" s="410"/>
      <c r="B59" s="411"/>
      <c r="C59" s="412"/>
      <c r="D59" s="412"/>
      <c r="E59" s="412"/>
      <c r="F59" s="341"/>
      <c r="G59" s="341"/>
      <c r="H59" s="341"/>
      <c r="I59" s="341"/>
      <c r="J59" s="413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  <c r="AF59" s="391"/>
      <c r="AG59" s="391"/>
      <c r="AH59" s="391"/>
      <c r="AI59" s="391"/>
      <c r="AJ59" s="391"/>
      <c r="AK59" s="391"/>
      <c r="AL59" s="391"/>
      <c r="AM59" s="391"/>
    </row>
    <row r="60" spans="1:40" s="344" customFormat="1" ht="20.100000000000001" customHeight="1">
      <c r="A60" s="410"/>
      <c r="B60" s="411"/>
      <c r="C60" s="412"/>
      <c r="D60" s="412"/>
      <c r="E60" s="412"/>
      <c r="F60" s="341"/>
      <c r="G60" s="341"/>
      <c r="H60" s="341"/>
      <c r="I60" s="341"/>
      <c r="J60" s="413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  <c r="Z60" s="391"/>
      <c r="AA60" s="391"/>
      <c r="AB60" s="391"/>
      <c r="AC60" s="391"/>
      <c r="AD60" s="391"/>
      <c r="AE60" s="391"/>
      <c r="AF60" s="391"/>
      <c r="AG60" s="391"/>
      <c r="AH60" s="391"/>
      <c r="AI60" s="391"/>
      <c r="AJ60" s="391"/>
      <c r="AK60" s="391"/>
      <c r="AL60" s="391"/>
      <c r="AM60" s="391"/>
    </row>
    <row r="61" spans="1:40" s="344" customFormat="1" ht="20.100000000000001" customHeight="1">
      <c r="A61" s="410"/>
      <c r="B61" s="411"/>
      <c r="C61" s="412"/>
      <c r="D61" s="412"/>
      <c r="E61" s="412"/>
      <c r="F61" s="341"/>
      <c r="G61" s="341"/>
      <c r="H61" s="341"/>
      <c r="I61" s="341"/>
      <c r="J61" s="413"/>
      <c r="K61" s="391"/>
      <c r="L61" s="391"/>
      <c r="M61" s="391"/>
      <c r="N61" s="391"/>
      <c r="O61" s="391"/>
      <c r="P61" s="391"/>
      <c r="Q61" s="391"/>
      <c r="R61" s="391"/>
      <c r="S61" s="391"/>
      <c r="T61" s="391"/>
      <c r="U61" s="391"/>
      <c r="V61" s="391"/>
      <c r="W61" s="391"/>
      <c r="X61" s="391"/>
      <c r="Y61" s="391"/>
      <c r="Z61" s="391"/>
      <c r="AA61" s="391"/>
      <c r="AB61" s="391"/>
      <c r="AC61" s="391"/>
      <c r="AD61" s="391"/>
      <c r="AE61" s="391"/>
      <c r="AF61" s="391"/>
      <c r="AG61" s="391"/>
      <c r="AH61" s="391"/>
      <c r="AI61" s="391"/>
      <c r="AJ61" s="391"/>
      <c r="AK61" s="391"/>
      <c r="AL61" s="391"/>
      <c r="AM61" s="391"/>
    </row>
    <row r="62" spans="1:40" s="344" customFormat="1" ht="20.100000000000001" customHeight="1">
      <c r="A62" s="410"/>
      <c r="B62" s="411"/>
      <c r="C62" s="412"/>
      <c r="D62" s="412"/>
      <c r="E62" s="412"/>
      <c r="F62" s="341"/>
      <c r="G62" s="341"/>
      <c r="H62" s="341"/>
      <c r="I62" s="341"/>
      <c r="J62" s="413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  <c r="Z62" s="391"/>
      <c r="AA62" s="391"/>
      <c r="AB62" s="391"/>
      <c r="AC62" s="391"/>
      <c r="AD62" s="391"/>
      <c r="AE62" s="391"/>
      <c r="AF62" s="391"/>
      <c r="AG62" s="391"/>
      <c r="AH62" s="391"/>
      <c r="AI62" s="391"/>
      <c r="AJ62" s="391"/>
      <c r="AK62" s="391"/>
      <c r="AL62" s="391"/>
      <c r="AM62" s="391"/>
      <c r="AN62" s="391"/>
    </row>
    <row r="63" spans="1:40" ht="15" customHeight="1">
      <c r="A63" s="424" t="s">
        <v>285</v>
      </c>
      <c r="B63" s="425"/>
      <c r="I63" s="426"/>
    </row>
    <row r="64" spans="1:40" ht="15" customHeight="1">
      <c r="A64" s="427" t="s">
        <v>264</v>
      </c>
      <c r="B64" s="428" t="s">
        <v>286</v>
      </c>
      <c r="C64" s="429" t="s">
        <v>287</v>
      </c>
      <c r="D64" s="430"/>
      <c r="E64" s="430"/>
      <c r="F64" s="431"/>
      <c r="G64" s="432"/>
      <c r="H64" s="432" t="s">
        <v>288</v>
      </c>
      <c r="I64" s="433">
        <f>RSQ(I65:I75,B65:B75)</f>
        <v>0.660463891802471</v>
      </c>
      <c r="J64" s="434" t="s">
        <v>289</v>
      </c>
      <c r="K64" s="435" t="s">
        <v>290</v>
      </c>
    </row>
    <row r="65" spans="1:14" ht="15" customHeight="1">
      <c r="A65" s="436">
        <f>A5</f>
        <v>2006</v>
      </c>
      <c r="B65" s="437">
        <f>B5</f>
        <v>4906</v>
      </c>
      <c r="C65" s="438">
        <v>1</v>
      </c>
      <c r="D65" s="439" t="s">
        <v>291</v>
      </c>
      <c r="E65" s="440"/>
      <c r="F65" s="440"/>
      <c r="G65" s="441"/>
      <c r="H65" s="442"/>
      <c r="I65" s="443">
        <f t="shared" ref="I65:I97" si="8">ROUND($E$66*C65+$E$67,$G$1)</f>
        <v>3566</v>
      </c>
      <c r="J65" s="444">
        <f t="shared" ref="J65:J75" si="9">ABS(B65-I65)/B65*100</f>
        <v>27.313493681206687</v>
      </c>
      <c r="K65" s="443">
        <f t="shared" ref="K65:K75" si="10">(B65-I65)^2/1000</f>
        <v>1795.6</v>
      </c>
      <c r="L65" s="445"/>
    </row>
    <row r="66" spans="1:14" ht="15" customHeight="1">
      <c r="A66" s="436">
        <f t="shared" ref="A66:A97" si="11">A65+1</f>
        <v>2007</v>
      </c>
      <c r="B66" s="437">
        <f t="shared" ref="B66:B75" si="12">B6</f>
        <v>5165</v>
      </c>
      <c r="C66" s="438">
        <f t="shared" ref="C66:C75" si="13">C65+1</f>
        <v>2</v>
      </c>
      <c r="D66" s="439" t="s">
        <v>292</v>
      </c>
      <c r="E66" s="363">
        <f>INDEX(LINEST(B65:B75,C65:C75),1)</f>
        <v>615.83636363636367</v>
      </c>
      <c r="F66" s="440"/>
      <c r="G66" s="441"/>
      <c r="H66" s="442"/>
      <c r="I66" s="443">
        <f t="shared" si="8"/>
        <v>4181</v>
      </c>
      <c r="J66" s="446">
        <f t="shared" si="9"/>
        <v>19.051306873184899</v>
      </c>
      <c r="K66" s="443">
        <f>(B66-I66)^2/1000</f>
        <v>968.25599999999997</v>
      </c>
      <c r="L66" s="445">
        <f t="shared" ref="L66:L97" si="14">+I66-I65</f>
        <v>615</v>
      </c>
      <c r="M66" s="445"/>
    </row>
    <row r="67" spans="1:14" ht="15" customHeight="1">
      <c r="A67" s="436">
        <f t="shared" si="11"/>
        <v>2008</v>
      </c>
      <c r="B67" s="437">
        <f t="shared" si="12"/>
        <v>5233</v>
      </c>
      <c r="C67" s="438">
        <f t="shared" si="13"/>
        <v>3</v>
      </c>
      <c r="D67" s="439" t="s">
        <v>293</v>
      </c>
      <c r="E67" s="363">
        <f>INDEX(LINEST(B65:B75,C65:C75),2)</f>
        <v>2949.8</v>
      </c>
      <c r="G67" s="441"/>
      <c r="H67" s="442"/>
      <c r="I67" s="443">
        <f t="shared" si="8"/>
        <v>4797</v>
      </c>
      <c r="J67" s="446">
        <f t="shared" si="9"/>
        <v>8.3317408752149831</v>
      </c>
      <c r="K67" s="443">
        <f>(B67-I67)^2/1000</f>
        <v>190.096</v>
      </c>
      <c r="L67" s="445">
        <f t="shared" si="14"/>
        <v>616</v>
      </c>
      <c r="M67" s="445"/>
    </row>
    <row r="68" spans="1:14" ht="15" customHeight="1">
      <c r="A68" s="436">
        <f t="shared" si="11"/>
        <v>2009</v>
      </c>
      <c r="B68" s="437">
        <f t="shared" si="12"/>
        <v>5071</v>
      </c>
      <c r="C68" s="438">
        <f t="shared" si="13"/>
        <v>4</v>
      </c>
      <c r="G68" s="442"/>
      <c r="H68" s="442"/>
      <c r="I68" s="443">
        <f t="shared" si="8"/>
        <v>5413</v>
      </c>
      <c r="J68" s="446">
        <f t="shared" si="9"/>
        <v>6.744231906921712</v>
      </c>
      <c r="K68" s="443">
        <f t="shared" si="10"/>
        <v>116.964</v>
      </c>
      <c r="L68" s="445">
        <f t="shared" si="14"/>
        <v>616</v>
      </c>
      <c r="M68" s="445"/>
    </row>
    <row r="69" spans="1:14" ht="15" customHeight="1">
      <c r="A69" s="436">
        <f t="shared" si="11"/>
        <v>2010</v>
      </c>
      <c r="B69" s="437">
        <f t="shared" si="12"/>
        <v>5253</v>
      </c>
      <c r="C69" s="438">
        <f t="shared" si="13"/>
        <v>5</v>
      </c>
      <c r="G69" s="442"/>
      <c r="H69" s="442"/>
      <c r="I69" s="443">
        <f t="shared" si="8"/>
        <v>6029</v>
      </c>
      <c r="J69" s="446">
        <f t="shared" si="9"/>
        <v>14.772510946126024</v>
      </c>
      <c r="K69" s="443">
        <f t="shared" si="10"/>
        <v>602.17600000000004</v>
      </c>
      <c r="L69" s="445">
        <f t="shared" si="14"/>
        <v>616</v>
      </c>
      <c r="M69" s="445"/>
    </row>
    <row r="70" spans="1:14" ht="15" customHeight="1">
      <c r="A70" s="436">
        <f t="shared" si="11"/>
        <v>2011</v>
      </c>
      <c r="B70" s="437">
        <f t="shared" si="12"/>
        <v>5574</v>
      </c>
      <c r="C70" s="438">
        <f t="shared" si="13"/>
        <v>6</v>
      </c>
      <c r="D70" s="2318" t="s">
        <v>276</v>
      </c>
      <c r="E70" s="2320"/>
      <c r="F70" s="447">
        <f>I64</f>
        <v>0.660463891802471</v>
      </c>
      <c r="G70" s="442"/>
      <c r="H70" s="442"/>
      <c r="I70" s="443">
        <f t="shared" si="8"/>
        <v>6645</v>
      </c>
      <c r="J70" s="446">
        <f t="shared" si="9"/>
        <v>19.214208826695373</v>
      </c>
      <c r="K70" s="443">
        <f t="shared" si="10"/>
        <v>1147.0409999999999</v>
      </c>
      <c r="L70" s="445">
        <f t="shared" si="14"/>
        <v>616</v>
      </c>
      <c r="M70" s="445"/>
    </row>
    <row r="71" spans="1:14" ht="15" customHeight="1">
      <c r="A71" s="436">
        <f t="shared" si="11"/>
        <v>2012</v>
      </c>
      <c r="B71" s="437">
        <f t="shared" si="12"/>
        <v>5497</v>
      </c>
      <c r="C71" s="438">
        <f t="shared" si="13"/>
        <v>7</v>
      </c>
      <c r="D71" s="2318" t="s">
        <v>294</v>
      </c>
      <c r="E71" s="2320"/>
      <c r="F71" s="448">
        <f>SUM(K65:K75)</f>
        <v>21446.839</v>
      </c>
      <c r="G71" s="442"/>
      <c r="H71" s="442"/>
      <c r="I71" s="443">
        <f t="shared" si="8"/>
        <v>7261</v>
      </c>
      <c r="J71" s="446">
        <f t="shared" si="9"/>
        <v>32.090231035110065</v>
      </c>
      <c r="K71" s="443">
        <f t="shared" si="10"/>
        <v>3111.6959999999999</v>
      </c>
      <c r="L71" s="445">
        <f t="shared" si="14"/>
        <v>616</v>
      </c>
      <c r="M71" s="445"/>
    </row>
    <row r="72" spans="1:14" ht="15" customHeight="1">
      <c r="A72" s="436">
        <f t="shared" si="11"/>
        <v>2013</v>
      </c>
      <c r="B72" s="437">
        <f t="shared" si="12"/>
        <v>5579</v>
      </c>
      <c r="C72" s="438">
        <f t="shared" si="13"/>
        <v>8</v>
      </c>
      <c r="D72" s="2318" t="s">
        <v>295</v>
      </c>
      <c r="E72" s="2321"/>
      <c r="F72" s="449">
        <f>SUM(J65:J75)/C75</f>
        <v>18.74514336407125</v>
      </c>
      <c r="G72" s="442"/>
      <c r="H72" s="442"/>
      <c r="I72" s="443">
        <f t="shared" si="8"/>
        <v>7876</v>
      </c>
      <c r="J72" s="446">
        <f t="shared" si="9"/>
        <v>41.172253091951958</v>
      </c>
      <c r="K72" s="443">
        <f t="shared" si="10"/>
        <v>5276.2089999999998</v>
      </c>
      <c r="L72" s="445">
        <f t="shared" si="14"/>
        <v>615</v>
      </c>
      <c r="M72" s="445"/>
    </row>
    <row r="73" spans="1:14" ht="15" customHeight="1">
      <c r="A73" s="436">
        <f t="shared" si="11"/>
        <v>2014</v>
      </c>
      <c r="B73" s="437">
        <f t="shared" si="12"/>
        <v>8143</v>
      </c>
      <c r="C73" s="438">
        <f t="shared" si="13"/>
        <v>9</v>
      </c>
      <c r="D73" s="2322"/>
      <c r="E73" s="2322"/>
      <c r="F73" s="450"/>
      <c r="G73" s="442"/>
      <c r="H73" s="442"/>
      <c r="I73" s="443">
        <f t="shared" si="8"/>
        <v>8492</v>
      </c>
      <c r="J73" s="446">
        <f t="shared" si="9"/>
        <v>4.2858897212329605</v>
      </c>
      <c r="K73" s="443">
        <f t="shared" si="10"/>
        <v>121.801</v>
      </c>
      <c r="L73" s="445">
        <f t="shared" si="14"/>
        <v>616</v>
      </c>
      <c r="M73" s="445"/>
    </row>
    <row r="74" spans="1:14" ht="15" customHeight="1">
      <c r="A74" s="436">
        <f t="shared" si="11"/>
        <v>2015</v>
      </c>
      <c r="B74" s="437">
        <f t="shared" si="12"/>
        <v>10418</v>
      </c>
      <c r="C74" s="438">
        <f t="shared" si="13"/>
        <v>10</v>
      </c>
      <c r="G74" s="439"/>
      <c r="H74" s="451"/>
      <c r="I74" s="443">
        <f t="shared" si="8"/>
        <v>9108</v>
      </c>
      <c r="J74" s="446">
        <f t="shared" si="9"/>
        <v>12.574390478018813</v>
      </c>
      <c r="K74" s="443">
        <f t="shared" si="10"/>
        <v>1716.1</v>
      </c>
      <c r="L74" s="445">
        <f t="shared" si="14"/>
        <v>616</v>
      </c>
      <c r="M74" s="445"/>
    </row>
    <row r="75" spans="1:14" ht="15" customHeight="1" thickBot="1">
      <c r="A75" s="452">
        <f t="shared" si="11"/>
        <v>2016</v>
      </c>
      <c r="B75" s="453">
        <f t="shared" si="12"/>
        <v>12254</v>
      </c>
      <c r="C75" s="438">
        <f t="shared" si="13"/>
        <v>11</v>
      </c>
      <c r="D75" s="454"/>
      <c r="E75" s="454"/>
      <c r="F75" s="454"/>
      <c r="G75" s="455"/>
      <c r="H75" s="454"/>
      <c r="I75" s="456">
        <f t="shared" si="8"/>
        <v>9724</v>
      </c>
      <c r="J75" s="457">
        <f t="shared" si="9"/>
        <v>20.646319569120287</v>
      </c>
      <c r="K75" s="456">
        <f t="shared" si="10"/>
        <v>6400.9</v>
      </c>
      <c r="L75" s="445">
        <f t="shared" si="14"/>
        <v>616</v>
      </c>
      <c r="M75" s="445"/>
    </row>
    <row r="76" spans="1:14" ht="15" customHeight="1" thickTop="1">
      <c r="A76" s="458">
        <f t="shared" si="11"/>
        <v>2017</v>
      </c>
      <c r="B76" s="459">
        <f t="shared" ref="B76:B97" si="15">ROUND($E$66*C76+$E$67,$G$1)</f>
        <v>10340</v>
      </c>
      <c r="C76" s="460">
        <f>C75+1</f>
        <v>12</v>
      </c>
      <c r="D76" s="461"/>
      <c r="E76" s="461"/>
      <c r="F76" s="461"/>
      <c r="G76" s="462"/>
      <c r="H76" s="461"/>
      <c r="I76" s="443">
        <f t="shared" si="8"/>
        <v>10340</v>
      </c>
      <c r="J76" s="463"/>
      <c r="K76" s="464"/>
      <c r="L76" s="445">
        <f t="shared" si="14"/>
        <v>616</v>
      </c>
    </row>
    <row r="77" spans="1:14" ht="15" customHeight="1">
      <c r="A77" s="465">
        <f t="shared" si="11"/>
        <v>2018</v>
      </c>
      <c r="B77" s="437">
        <f t="shared" si="15"/>
        <v>10956</v>
      </c>
      <c r="C77" s="466">
        <f>C76+1</f>
        <v>13</v>
      </c>
      <c r="F77" s="451"/>
      <c r="G77" s="439"/>
      <c r="H77" s="451"/>
      <c r="I77" s="443">
        <f t="shared" si="8"/>
        <v>10956</v>
      </c>
      <c r="J77" s="467"/>
      <c r="K77" s="443"/>
      <c r="L77" s="445">
        <f t="shared" si="14"/>
        <v>616</v>
      </c>
    </row>
    <row r="78" spans="1:14" ht="15" customHeight="1">
      <c r="A78" s="465">
        <f t="shared" si="11"/>
        <v>2019</v>
      </c>
      <c r="B78" s="437">
        <f t="shared" si="15"/>
        <v>11572</v>
      </c>
      <c r="C78" s="466">
        <f t="shared" ref="C78:C94" si="16">C77+1</f>
        <v>14</v>
      </c>
      <c r="F78" s="451"/>
      <c r="G78" s="439"/>
      <c r="H78" s="451"/>
      <c r="I78" s="443">
        <f t="shared" si="8"/>
        <v>11572</v>
      </c>
      <c r="J78" s="467"/>
      <c r="K78" s="443"/>
      <c r="L78" s="445">
        <f t="shared" si="14"/>
        <v>616</v>
      </c>
    </row>
    <row r="79" spans="1:14" ht="15" customHeight="1">
      <c r="A79" s="465">
        <f t="shared" si="11"/>
        <v>2020</v>
      </c>
      <c r="B79" s="437">
        <f t="shared" si="15"/>
        <v>12187</v>
      </c>
      <c r="C79" s="466">
        <f t="shared" si="16"/>
        <v>15</v>
      </c>
      <c r="F79" s="451"/>
      <c r="G79" s="439"/>
      <c r="H79" s="451"/>
      <c r="I79" s="443">
        <f t="shared" si="8"/>
        <v>12187</v>
      </c>
      <c r="J79" s="467"/>
      <c r="K79" s="443"/>
      <c r="L79" s="445">
        <f t="shared" si="14"/>
        <v>615</v>
      </c>
      <c r="N79" s="326">
        <f>1/0.75</f>
        <v>1.3333333333333333</v>
      </c>
    </row>
    <row r="80" spans="1:14" ht="15" customHeight="1">
      <c r="A80" s="465">
        <f t="shared" si="11"/>
        <v>2021</v>
      </c>
      <c r="B80" s="437">
        <f t="shared" si="15"/>
        <v>12803</v>
      </c>
      <c r="C80" s="466">
        <f t="shared" si="16"/>
        <v>16</v>
      </c>
      <c r="F80" s="451"/>
      <c r="G80" s="439"/>
      <c r="H80" s="451"/>
      <c r="I80" s="443">
        <f t="shared" si="8"/>
        <v>12803</v>
      </c>
      <c r="J80" s="467"/>
      <c r="K80" s="443"/>
      <c r="L80" s="445">
        <f t="shared" si="14"/>
        <v>616</v>
      </c>
    </row>
    <row r="81" spans="1:12" ht="15" customHeight="1">
      <c r="A81" s="465">
        <f t="shared" si="11"/>
        <v>2022</v>
      </c>
      <c r="B81" s="437">
        <f t="shared" si="15"/>
        <v>13419</v>
      </c>
      <c r="C81" s="466">
        <f t="shared" si="16"/>
        <v>17</v>
      </c>
      <c r="D81" s="439"/>
      <c r="E81" s="439"/>
      <c r="F81" s="451"/>
      <c r="G81" s="439"/>
      <c r="H81" s="451"/>
      <c r="I81" s="443">
        <f t="shared" si="8"/>
        <v>13419</v>
      </c>
      <c r="J81" s="467"/>
      <c r="K81" s="443"/>
      <c r="L81" s="445">
        <f t="shared" si="14"/>
        <v>616</v>
      </c>
    </row>
    <row r="82" spans="1:12" ht="15" customHeight="1">
      <c r="A82" s="465">
        <f t="shared" si="11"/>
        <v>2023</v>
      </c>
      <c r="B82" s="437">
        <f t="shared" si="15"/>
        <v>14035</v>
      </c>
      <c r="C82" s="466">
        <f t="shared" si="16"/>
        <v>18</v>
      </c>
      <c r="D82" s="439"/>
      <c r="E82" s="439"/>
      <c r="F82" s="451"/>
      <c r="G82" s="439"/>
      <c r="H82" s="451"/>
      <c r="I82" s="443">
        <f t="shared" si="8"/>
        <v>14035</v>
      </c>
      <c r="J82" s="467"/>
      <c r="K82" s="443"/>
      <c r="L82" s="445">
        <f t="shared" si="14"/>
        <v>616</v>
      </c>
    </row>
    <row r="83" spans="1:12" s="451" customFormat="1" ht="15" customHeight="1">
      <c r="A83" s="465">
        <f t="shared" si="11"/>
        <v>2024</v>
      </c>
      <c r="B83" s="437">
        <f t="shared" si="15"/>
        <v>14651</v>
      </c>
      <c r="C83" s="466">
        <f t="shared" si="16"/>
        <v>19</v>
      </c>
      <c r="G83" s="439"/>
      <c r="H83" s="439"/>
      <c r="I83" s="443">
        <f t="shared" si="8"/>
        <v>14651</v>
      </c>
      <c r="J83" s="467"/>
      <c r="K83" s="443"/>
      <c r="L83" s="445">
        <f t="shared" si="14"/>
        <v>616</v>
      </c>
    </row>
    <row r="84" spans="1:12" ht="15" customHeight="1">
      <c r="A84" s="465">
        <f t="shared" si="11"/>
        <v>2025</v>
      </c>
      <c r="B84" s="437">
        <f t="shared" si="15"/>
        <v>15267</v>
      </c>
      <c r="C84" s="466">
        <f t="shared" si="16"/>
        <v>20</v>
      </c>
      <c r="D84" s="451"/>
      <c r="E84" s="451"/>
      <c r="F84" s="451"/>
      <c r="G84" s="439"/>
      <c r="H84" s="451"/>
      <c r="I84" s="443">
        <f t="shared" si="8"/>
        <v>15267</v>
      </c>
      <c r="J84" s="467"/>
      <c r="K84" s="443"/>
      <c r="L84" s="445">
        <f t="shared" si="14"/>
        <v>616</v>
      </c>
    </row>
    <row r="85" spans="1:12" s="451" customFormat="1" ht="15" customHeight="1">
      <c r="A85" s="465">
        <f t="shared" si="11"/>
        <v>2026</v>
      </c>
      <c r="B85" s="437">
        <f t="shared" si="15"/>
        <v>15882</v>
      </c>
      <c r="C85" s="466">
        <f t="shared" si="16"/>
        <v>21</v>
      </c>
      <c r="G85" s="439"/>
      <c r="I85" s="443">
        <f t="shared" si="8"/>
        <v>15882</v>
      </c>
      <c r="J85" s="467"/>
      <c r="K85" s="443"/>
      <c r="L85" s="445">
        <f t="shared" si="14"/>
        <v>615</v>
      </c>
    </row>
    <row r="86" spans="1:12" s="451" customFormat="1" ht="15" customHeight="1">
      <c r="A86" s="465">
        <f t="shared" si="11"/>
        <v>2027</v>
      </c>
      <c r="B86" s="437">
        <f t="shared" si="15"/>
        <v>16498</v>
      </c>
      <c r="C86" s="466">
        <f t="shared" si="16"/>
        <v>22</v>
      </c>
      <c r="G86" s="439"/>
      <c r="I86" s="443">
        <f t="shared" si="8"/>
        <v>16498</v>
      </c>
      <c r="J86" s="467"/>
      <c r="K86" s="443"/>
      <c r="L86" s="445">
        <f t="shared" si="14"/>
        <v>616</v>
      </c>
    </row>
    <row r="87" spans="1:12" s="451" customFormat="1" ht="15" customHeight="1">
      <c r="A87" s="465">
        <f t="shared" si="11"/>
        <v>2028</v>
      </c>
      <c r="B87" s="437">
        <f t="shared" si="15"/>
        <v>17114</v>
      </c>
      <c r="C87" s="466">
        <f t="shared" si="16"/>
        <v>23</v>
      </c>
      <c r="D87" s="468"/>
      <c r="E87" s="468"/>
      <c r="I87" s="443">
        <f t="shared" si="8"/>
        <v>17114</v>
      </c>
      <c r="J87" s="469"/>
      <c r="K87" s="469"/>
      <c r="L87" s="445">
        <f t="shared" si="14"/>
        <v>616</v>
      </c>
    </row>
    <row r="88" spans="1:12" ht="15" customHeight="1">
      <c r="A88" s="465">
        <f t="shared" si="11"/>
        <v>2029</v>
      </c>
      <c r="B88" s="437">
        <f t="shared" si="15"/>
        <v>17730</v>
      </c>
      <c r="C88" s="466">
        <f t="shared" si="16"/>
        <v>24</v>
      </c>
      <c r="D88" s="468"/>
      <c r="E88" s="468"/>
      <c r="F88" s="451"/>
      <c r="G88" s="451"/>
      <c r="H88" s="451"/>
      <c r="I88" s="443">
        <f t="shared" si="8"/>
        <v>17730</v>
      </c>
      <c r="J88" s="469"/>
      <c r="K88" s="469"/>
      <c r="L88" s="445">
        <f t="shared" si="14"/>
        <v>616</v>
      </c>
    </row>
    <row r="89" spans="1:12" ht="15" customHeight="1">
      <c r="A89" s="465">
        <f t="shared" si="11"/>
        <v>2030</v>
      </c>
      <c r="B89" s="437">
        <f t="shared" si="15"/>
        <v>18346</v>
      </c>
      <c r="C89" s="466">
        <f t="shared" si="16"/>
        <v>25</v>
      </c>
      <c r="D89" s="468"/>
      <c r="E89" s="468"/>
      <c r="F89" s="451"/>
      <c r="G89" s="451"/>
      <c r="H89" s="451"/>
      <c r="I89" s="443">
        <f t="shared" si="8"/>
        <v>18346</v>
      </c>
      <c r="J89" s="469"/>
      <c r="K89" s="469"/>
      <c r="L89" s="445">
        <f t="shared" si="14"/>
        <v>616</v>
      </c>
    </row>
    <row r="90" spans="1:12" ht="15" customHeight="1">
      <c r="A90" s="465">
        <f t="shared" si="11"/>
        <v>2031</v>
      </c>
      <c r="B90" s="437">
        <f t="shared" si="15"/>
        <v>18962</v>
      </c>
      <c r="C90" s="466">
        <f t="shared" si="16"/>
        <v>26</v>
      </c>
      <c r="D90" s="468"/>
      <c r="E90" s="468"/>
      <c r="F90" s="451"/>
      <c r="G90" s="451"/>
      <c r="H90" s="451"/>
      <c r="I90" s="443">
        <f t="shared" si="8"/>
        <v>18962</v>
      </c>
      <c r="J90" s="469"/>
      <c r="K90" s="469"/>
      <c r="L90" s="445">
        <f t="shared" si="14"/>
        <v>616</v>
      </c>
    </row>
    <row r="91" spans="1:12" ht="15" customHeight="1">
      <c r="A91" s="465">
        <f t="shared" si="11"/>
        <v>2032</v>
      </c>
      <c r="B91" s="437">
        <f t="shared" si="15"/>
        <v>19577</v>
      </c>
      <c r="C91" s="466">
        <f t="shared" si="16"/>
        <v>27</v>
      </c>
      <c r="D91" s="468"/>
      <c r="E91" s="468"/>
      <c r="F91" s="451"/>
      <c r="G91" s="451"/>
      <c r="H91" s="451"/>
      <c r="I91" s="443">
        <f t="shared" si="8"/>
        <v>19577</v>
      </c>
      <c r="J91" s="469"/>
      <c r="K91" s="469"/>
      <c r="L91" s="445">
        <f t="shared" si="14"/>
        <v>615</v>
      </c>
    </row>
    <row r="92" spans="1:12" ht="15" customHeight="1">
      <c r="A92" s="465">
        <f t="shared" si="11"/>
        <v>2033</v>
      </c>
      <c r="B92" s="437">
        <f t="shared" si="15"/>
        <v>20193</v>
      </c>
      <c r="C92" s="466">
        <f t="shared" si="16"/>
        <v>28</v>
      </c>
      <c r="D92" s="468"/>
      <c r="E92" s="468"/>
      <c r="F92" s="451"/>
      <c r="G92" s="451"/>
      <c r="H92" s="451"/>
      <c r="I92" s="443">
        <f t="shared" si="8"/>
        <v>20193</v>
      </c>
      <c r="J92" s="469"/>
      <c r="K92" s="469"/>
      <c r="L92" s="445">
        <f t="shared" si="14"/>
        <v>616</v>
      </c>
    </row>
    <row r="93" spans="1:12" ht="15" customHeight="1">
      <c r="A93" s="465">
        <f t="shared" si="11"/>
        <v>2034</v>
      </c>
      <c r="B93" s="437">
        <f t="shared" si="15"/>
        <v>20809</v>
      </c>
      <c r="C93" s="466">
        <f t="shared" si="16"/>
        <v>29</v>
      </c>
      <c r="D93" s="468"/>
      <c r="E93" s="468"/>
      <c r="F93" s="451"/>
      <c r="G93" s="451"/>
      <c r="H93" s="451"/>
      <c r="I93" s="443">
        <f t="shared" si="8"/>
        <v>20809</v>
      </c>
      <c r="J93" s="469"/>
      <c r="K93" s="469"/>
      <c r="L93" s="445">
        <f t="shared" si="14"/>
        <v>616</v>
      </c>
    </row>
    <row r="94" spans="1:12" ht="15" customHeight="1">
      <c r="A94" s="470">
        <f t="shared" si="11"/>
        <v>2035</v>
      </c>
      <c r="B94" s="471">
        <f t="shared" si="15"/>
        <v>21425</v>
      </c>
      <c r="C94" s="472">
        <f t="shared" si="16"/>
        <v>30</v>
      </c>
      <c r="D94" s="473"/>
      <c r="E94" s="473"/>
      <c r="F94" s="474"/>
      <c r="G94" s="474"/>
      <c r="H94" s="474"/>
      <c r="I94" s="471">
        <f t="shared" si="8"/>
        <v>21425</v>
      </c>
      <c r="J94" s="475"/>
      <c r="K94" s="476"/>
      <c r="L94" s="445">
        <f t="shared" si="14"/>
        <v>616</v>
      </c>
    </row>
    <row r="95" spans="1:12" ht="15" customHeight="1">
      <c r="A95" s="477">
        <f t="shared" si="11"/>
        <v>2036</v>
      </c>
      <c r="B95" s="478">
        <f t="shared" si="15"/>
        <v>22041</v>
      </c>
      <c r="C95" s="479">
        <v>31</v>
      </c>
      <c r="D95" s="480"/>
      <c r="E95" s="480"/>
      <c r="F95" s="481"/>
      <c r="G95" s="481"/>
      <c r="H95" s="481"/>
      <c r="I95" s="478">
        <f t="shared" si="8"/>
        <v>22041</v>
      </c>
      <c r="J95" s="482"/>
      <c r="K95" s="483"/>
      <c r="L95" s="445">
        <f t="shared" si="14"/>
        <v>616</v>
      </c>
    </row>
    <row r="96" spans="1:12" ht="15" customHeight="1">
      <c r="A96" s="477">
        <f t="shared" si="11"/>
        <v>2037</v>
      </c>
      <c r="B96" s="478">
        <f t="shared" si="15"/>
        <v>22657</v>
      </c>
      <c r="C96" s="479">
        <v>32</v>
      </c>
      <c r="D96" s="480"/>
      <c r="E96" s="480"/>
      <c r="F96" s="481"/>
      <c r="G96" s="481"/>
      <c r="H96" s="481"/>
      <c r="I96" s="478">
        <f t="shared" si="8"/>
        <v>22657</v>
      </c>
      <c r="J96" s="482"/>
      <c r="K96" s="483"/>
      <c r="L96" s="445">
        <f t="shared" si="14"/>
        <v>616</v>
      </c>
    </row>
    <row r="97" spans="1:13" ht="15" customHeight="1">
      <c r="A97" s="484">
        <f t="shared" si="11"/>
        <v>2038</v>
      </c>
      <c r="B97" s="485">
        <f t="shared" si="15"/>
        <v>23272</v>
      </c>
      <c r="C97" s="486">
        <v>33</v>
      </c>
      <c r="D97" s="487"/>
      <c r="E97" s="487"/>
      <c r="F97" s="488"/>
      <c r="G97" s="488"/>
      <c r="H97" s="488"/>
      <c r="I97" s="485">
        <f t="shared" si="8"/>
        <v>23272</v>
      </c>
      <c r="J97" s="489"/>
      <c r="K97" s="490"/>
      <c r="L97" s="445">
        <f t="shared" si="14"/>
        <v>615</v>
      </c>
    </row>
    <row r="98" spans="1:13" ht="15" customHeight="1">
      <c r="A98" s="491"/>
      <c r="B98" s="492"/>
      <c r="C98" s="439"/>
      <c r="D98" s="468"/>
      <c r="E98" s="468"/>
      <c r="F98" s="451"/>
      <c r="G98" s="451"/>
      <c r="H98" s="451"/>
      <c r="I98" s="492"/>
      <c r="J98" s="493"/>
      <c r="K98" s="493"/>
      <c r="L98" s="445"/>
    </row>
    <row r="99" spans="1:13" ht="15" customHeight="1">
      <c r="A99" s="491"/>
      <c r="B99" s="492"/>
      <c r="C99" s="439"/>
      <c r="D99" s="468"/>
      <c r="E99" s="468"/>
      <c r="F99" s="451"/>
      <c r="G99" s="451"/>
      <c r="H99" s="451"/>
      <c r="I99" s="492"/>
      <c r="J99" s="493"/>
      <c r="K99" s="493"/>
      <c r="L99" s="445"/>
    </row>
    <row r="100" spans="1:13" ht="15" customHeight="1">
      <c r="A100" s="491"/>
      <c r="B100" s="492"/>
      <c r="C100" s="439"/>
      <c r="D100" s="468"/>
      <c r="E100" s="468"/>
      <c r="F100" s="451"/>
      <c r="G100" s="451"/>
      <c r="H100" s="451"/>
      <c r="I100" s="492"/>
      <c r="J100" s="493"/>
      <c r="K100" s="493"/>
      <c r="L100" s="445"/>
    </row>
    <row r="101" spans="1:13" ht="15" customHeight="1">
      <c r="A101" s="491"/>
      <c r="B101" s="494"/>
      <c r="C101" s="439"/>
      <c r="D101" s="468"/>
      <c r="E101" s="468"/>
      <c r="F101" s="451"/>
      <c r="G101" s="451"/>
      <c r="H101" s="451"/>
      <c r="I101" s="495"/>
      <c r="J101" s="495"/>
    </row>
    <row r="102" spans="1:13" ht="15" customHeight="1">
      <c r="A102" s="424" t="s">
        <v>296</v>
      </c>
    </row>
    <row r="103" spans="1:13" ht="15" customHeight="1">
      <c r="A103" s="427" t="s">
        <v>264</v>
      </c>
      <c r="B103" s="428" t="s">
        <v>286</v>
      </c>
      <c r="C103" s="429" t="s">
        <v>297</v>
      </c>
      <c r="D103" s="429" t="s">
        <v>287</v>
      </c>
      <c r="E103" s="496"/>
      <c r="F103" s="430"/>
      <c r="G103" s="431"/>
      <c r="H103" s="432" t="s">
        <v>288</v>
      </c>
      <c r="I103" s="433">
        <f>RSQ(I104:I114,B104:B114)</f>
        <v>0.75263663069169962</v>
      </c>
      <c r="J103" s="434" t="s">
        <v>289</v>
      </c>
      <c r="K103" s="435" t="s">
        <v>290</v>
      </c>
    </row>
    <row r="104" spans="1:13" ht="15" customHeight="1">
      <c r="A104" s="436">
        <f t="shared" ref="A104:B119" si="17">A65</f>
        <v>2006</v>
      </c>
      <c r="B104" s="437">
        <f t="shared" si="17"/>
        <v>4906</v>
      </c>
      <c r="C104" s="497">
        <f t="shared" ref="C104:C114" si="18">LN(B104)</f>
        <v>8.4982142248184349</v>
      </c>
      <c r="D104" s="438">
        <f>C65</f>
        <v>1</v>
      </c>
      <c r="E104" s="498" t="s">
        <v>298</v>
      </c>
      <c r="F104" s="499"/>
      <c r="G104" s="500"/>
      <c r="H104" s="501"/>
      <c r="I104" s="502">
        <f t="shared" ref="I104:I136" si="19">ROUND($F$111*(1+$F$112)^D104,$G$1)</f>
        <v>4199</v>
      </c>
      <c r="J104" s="444">
        <f t="shared" ref="J104:J114" si="20">ABS(B104-I104)/B104*100</f>
        <v>14.410925397472482</v>
      </c>
      <c r="K104" s="443">
        <f t="shared" ref="K104:K114" si="21">(B104-I104)^2/1000</f>
        <v>499.84899999999999</v>
      </c>
      <c r="L104" s="503"/>
    </row>
    <row r="105" spans="1:13" ht="15" customHeight="1">
      <c r="A105" s="436">
        <f t="shared" si="17"/>
        <v>2007</v>
      </c>
      <c r="B105" s="437">
        <f t="shared" si="17"/>
        <v>5165</v>
      </c>
      <c r="C105" s="497">
        <f>LN(B105)</f>
        <v>8.5496603815537391</v>
      </c>
      <c r="D105" s="438">
        <f t="shared" ref="D105:D136" si="22">D104+1</f>
        <v>2</v>
      </c>
      <c r="E105" s="498" t="s">
        <v>299</v>
      </c>
      <c r="F105" s="439"/>
      <c r="G105" s="500"/>
      <c r="H105" s="501"/>
      <c r="I105" s="443">
        <f t="shared" si="19"/>
        <v>4555</v>
      </c>
      <c r="J105" s="446">
        <f t="shared" si="20"/>
        <v>11.81026137463698</v>
      </c>
      <c r="K105" s="443">
        <f t="shared" si="21"/>
        <v>372.1</v>
      </c>
      <c r="L105" s="503">
        <f>ROUND((I105/I104)^(1/1)-1,4)</f>
        <v>8.48E-2</v>
      </c>
    </row>
    <row r="106" spans="1:13" ht="15" customHeight="1">
      <c r="A106" s="436">
        <f t="shared" si="17"/>
        <v>2008</v>
      </c>
      <c r="B106" s="437">
        <f t="shared" si="17"/>
        <v>5233</v>
      </c>
      <c r="C106" s="497">
        <f>LN(B106)</f>
        <v>8.5627400063722074</v>
      </c>
      <c r="D106" s="438">
        <f t="shared" si="22"/>
        <v>3</v>
      </c>
      <c r="E106" s="326" t="s">
        <v>300</v>
      </c>
      <c r="G106" s="451"/>
      <c r="H106" s="442"/>
      <c r="I106" s="443">
        <f t="shared" si="19"/>
        <v>4941</v>
      </c>
      <c r="J106" s="446">
        <f t="shared" si="20"/>
        <v>5.5799732467036112</v>
      </c>
      <c r="K106" s="443">
        <f t="shared" si="21"/>
        <v>85.263999999999996</v>
      </c>
      <c r="L106" s="503">
        <f t="shared" ref="L106:L136" si="23">ROUND((I106/I105)^(1/1)-1,4)</f>
        <v>8.4699999999999998E-2</v>
      </c>
      <c r="M106" s="503"/>
    </row>
    <row r="107" spans="1:13" ht="15" customHeight="1">
      <c r="A107" s="436">
        <f t="shared" si="17"/>
        <v>2009</v>
      </c>
      <c r="B107" s="437">
        <f t="shared" si="17"/>
        <v>5071</v>
      </c>
      <c r="C107" s="497">
        <f t="shared" si="18"/>
        <v>8.5312933157950184</v>
      </c>
      <c r="D107" s="438">
        <f t="shared" si="22"/>
        <v>4</v>
      </c>
      <c r="G107" s="451"/>
      <c r="H107" s="442"/>
      <c r="I107" s="443">
        <f t="shared" si="19"/>
        <v>5360</v>
      </c>
      <c r="J107" s="446">
        <f t="shared" si="20"/>
        <v>5.6990731611122065</v>
      </c>
      <c r="K107" s="443">
        <f t="shared" si="21"/>
        <v>83.521000000000001</v>
      </c>
      <c r="L107" s="503">
        <f t="shared" si="23"/>
        <v>8.48E-2</v>
      </c>
      <c r="M107" s="503"/>
    </row>
    <row r="108" spans="1:13" ht="15" customHeight="1">
      <c r="A108" s="436">
        <f t="shared" si="17"/>
        <v>2010</v>
      </c>
      <c r="B108" s="437">
        <f t="shared" si="17"/>
        <v>5253</v>
      </c>
      <c r="C108" s="497">
        <f t="shared" si="18"/>
        <v>8.566554620953962</v>
      </c>
      <c r="D108" s="438">
        <f t="shared" si="22"/>
        <v>5</v>
      </c>
      <c r="E108" s="329" t="s">
        <v>301</v>
      </c>
      <c r="F108" s="442" t="s">
        <v>302</v>
      </c>
      <c r="G108" s="504">
        <f>INDEX(LINEST(C104:C114,D104:D114),2)</f>
        <v>8.2613683828108151</v>
      </c>
      <c r="H108" s="442"/>
      <c r="I108" s="443">
        <f t="shared" si="19"/>
        <v>5814</v>
      </c>
      <c r="J108" s="446">
        <f t="shared" si="20"/>
        <v>10.679611650485436</v>
      </c>
      <c r="K108" s="443">
        <f t="shared" si="21"/>
        <v>314.721</v>
      </c>
      <c r="L108" s="503">
        <f t="shared" si="23"/>
        <v>8.4699999999999998E-2</v>
      </c>
      <c r="M108" s="503"/>
    </row>
    <row r="109" spans="1:13" ht="15" customHeight="1">
      <c r="A109" s="436">
        <f t="shared" si="17"/>
        <v>2011</v>
      </c>
      <c r="B109" s="437">
        <f t="shared" si="17"/>
        <v>5574</v>
      </c>
      <c r="C109" s="497">
        <f t="shared" si="18"/>
        <v>8.6258682080418936</v>
      </c>
      <c r="D109" s="438">
        <f t="shared" si="22"/>
        <v>6</v>
      </c>
      <c r="E109" s="329" t="s">
        <v>303</v>
      </c>
      <c r="F109" s="442" t="s">
        <v>304</v>
      </c>
      <c r="G109" s="504">
        <f>INDEX(LINEST(C104:C114,D104:D114),1)</f>
        <v>8.1330502051217418E-2</v>
      </c>
      <c r="H109" s="442"/>
      <c r="I109" s="443">
        <f t="shared" si="19"/>
        <v>6307</v>
      </c>
      <c r="J109" s="446">
        <f t="shared" si="20"/>
        <v>13.150340868317187</v>
      </c>
      <c r="K109" s="443">
        <f t="shared" si="21"/>
        <v>537.28899999999999</v>
      </c>
      <c r="L109" s="503">
        <f t="shared" si="23"/>
        <v>8.48E-2</v>
      </c>
      <c r="M109" s="503"/>
    </row>
    <row r="110" spans="1:13" ht="15" customHeight="1">
      <c r="A110" s="436">
        <f t="shared" si="17"/>
        <v>2012</v>
      </c>
      <c r="B110" s="437">
        <f t="shared" si="17"/>
        <v>5497</v>
      </c>
      <c r="C110" s="497">
        <f t="shared" si="18"/>
        <v>8.6119577678606607</v>
      </c>
      <c r="D110" s="438">
        <f t="shared" si="22"/>
        <v>7</v>
      </c>
      <c r="H110" s="442"/>
      <c r="I110" s="443">
        <f t="shared" si="19"/>
        <v>6841</v>
      </c>
      <c r="J110" s="446">
        <f t="shared" si="20"/>
        <v>24.449699836274331</v>
      </c>
      <c r="K110" s="443">
        <f t="shared" si="21"/>
        <v>1806.336</v>
      </c>
      <c r="L110" s="503">
        <f t="shared" si="23"/>
        <v>8.4699999999999998E-2</v>
      </c>
      <c r="M110" s="503"/>
    </row>
    <row r="111" spans="1:13" ht="15" customHeight="1">
      <c r="A111" s="436">
        <f t="shared" si="17"/>
        <v>2013</v>
      </c>
      <c r="B111" s="437">
        <f t="shared" si="17"/>
        <v>5579</v>
      </c>
      <c r="C111" s="497">
        <f t="shared" si="18"/>
        <v>8.6267648278455287</v>
      </c>
      <c r="D111" s="438">
        <f t="shared" si="22"/>
        <v>8</v>
      </c>
      <c r="E111" s="329" t="s">
        <v>305</v>
      </c>
      <c r="F111" s="505">
        <f>EXP(G108)</f>
        <v>3871.3880184202408</v>
      </c>
      <c r="G111" s="451"/>
      <c r="H111" s="442"/>
      <c r="I111" s="443">
        <f t="shared" si="19"/>
        <v>7421</v>
      </c>
      <c r="J111" s="446">
        <f t="shared" si="20"/>
        <v>33.016669654059868</v>
      </c>
      <c r="K111" s="443">
        <f t="shared" si="21"/>
        <v>3392.9639999999999</v>
      </c>
      <c r="L111" s="503">
        <f t="shared" si="23"/>
        <v>8.48E-2</v>
      </c>
      <c r="M111" s="503"/>
    </row>
    <row r="112" spans="1:13" ht="15" customHeight="1">
      <c r="A112" s="436">
        <f t="shared" si="17"/>
        <v>2014</v>
      </c>
      <c r="B112" s="437">
        <f t="shared" si="17"/>
        <v>8143</v>
      </c>
      <c r="C112" s="506">
        <f t="shared" si="18"/>
        <v>9.004913941467132</v>
      </c>
      <c r="D112" s="438">
        <f t="shared" si="22"/>
        <v>9</v>
      </c>
      <c r="E112" s="329" t="s">
        <v>306</v>
      </c>
      <c r="F112" s="507">
        <f>EXP(G109)-1</f>
        <v>8.4729342602668289E-2</v>
      </c>
      <c r="G112" s="451"/>
      <c r="H112" s="442"/>
      <c r="I112" s="443">
        <f t="shared" si="19"/>
        <v>8049</v>
      </c>
      <c r="J112" s="467">
        <f t="shared" si="20"/>
        <v>1.15436571288223</v>
      </c>
      <c r="K112" s="443">
        <f t="shared" si="21"/>
        <v>8.8360000000000003</v>
      </c>
      <c r="L112" s="503">
        <f t="shared" si="23"/>
        <v>8.4599999999999995E-2</v>
      </c>
      <c r="M112" s="503"/>
    </row>
    <row r="113" spans="1:13" ht="15" customHeight="1">
      <c r="A113" s="436">
        <f t="shared" si="17"/>
        <v>2015</v>
      </c>
      <c r="B113" s="437">
        <f t="shared" si="17"/>
        <v>10418</v>
      </c>
      <c r="C113" s="506">
        <f t="shared" si="18"/>
        <v>9.2512903583051376</v>
      </c>
      <c r="D113" s="508">
        <f t="shared" si="22"/>
        <v>10</v>
      </c>
      <c r="H113" s="509"/>
      <c r="I113" s="443">
        <f t="shared" si="19"/>
        <v>8731</v>
      </c>
      <c r="J113" s="467">
        <f t="shared" si="20"/>
        <v>16.193127279708197</v>
      </c>
      <c r="K113" s="443">
        <f t="shared" si="21"/>
        <v>2845.9690000000001</v>
      </c>
      <c r="L113" s="503">
        <f t="shared" si="23"/>
        <v>8.4699999999999998E-2</v>
      </c>
      <c r="M113" s="503"/>
    </row>
    <row r="114" spans="1:13" ht="15" customHeight="1" thickBot="1">
      <c r="A114" s="436">
        <f t="shared" si="17"/>
        <v>2016</v>
      </c>
      <c r="B114" s="437">
        <f t="shared" si="17"/>
        <v>12254</v>
      </c>
      <c r="C114" s="506">
        <f t="shared" si="18"/>
        <v>9.4136076932856003</v>
      </c>
      <c r="D114" s="508">
        <f t="shared" si="22"/>
        <v>11</v>
      </c>
      <c r="G114" s="510"/>
      <c r="H114" s="509"/>
      <c r="I114" s="443">
        <f t="shared" si="19"/>
        <v>9471</v>
      </c>
      <c r="J114" s="467">
        <f t="shared" si="20"/>
        <v>22.710951526032318</v>
      </c>
      <c r="K114" s="443">
        <f t="shared" si="21"/>
        <v>7745.0889999999999</v>
      </c>
      <c r="L114" s="503">
        <f t="shared" si="23"/>
        <v>8.48E-2</v>
      </c>
      <c r="M114" s="503"/>
    </row>
    <row r="115" spans="1:13" ht="15" customHeight="1" thickTop="1">
      <c r="A115" s="511">
        <f t="shared" si="17"/>
        <v>2017</v>
      </c>
      <c r="B115" s="459">
        <f t="shared" ref="B115:B136" si="24">ROUND($F$111*(1+$F$112)^D115,$G$1)</f>
        <v>10274</v>
      </c>
      <c r="C115" s="512"/>
      <c r="D115" s="513">
        <f t="shared" si="22"/>
        <v>12</v>
      </c>
      <c r="E115" s="2314" t="s">
        <v>276</v>
      </c>
      <c r="F115" s="2315"/>
      <c r="G115" s="514">
        <f>I103</f>
        <v>0.75263663069169962</v>
      </c>
      <c r="H115" s="515"/>
      <c r="I115" s="464">
        <f t="shared" si="19"/>
        <v>10274</v>
      </c>
      <c r="J115" s="463"/>
      <c r="K115" s="464"/>
      <c r="L115" s="503">
        <f t="shared" si="23"/>
        <v>8.48E-2</v>
      </c>
      <c r="M115" s="503"/>
    </row>
    <row r="116" spans="1:13" ht="15" customHeight="1">
      <c r="A116" s="436">
        <f t="shared" si="17"/>
        <v>2018</v>
      </c>
      <c r="B116" s="437">
        <f t="shared" si="24"/>
        <v>11144</v>
      </c>
      <c r="C116" s="506"/>
      <c r="D116" s="508">
        <f t="shared" si="22"/>
        <v>13</v>
      </c>
      <c r="E116" s="2318" t="s">
        <v>294</v>
      </c>
      <c r="F116" s="2320"/>
      <c r="G116" s="448">
        <f>SUM(K104:K114)</f>
        <v>17691.938000000002</v>
      </c>
      <c r="H116" s="509"/>
      <c r="I116" s="443">
        <f t="shared" si="19"/>
        <v>11144</v>
      </c>
      <c r="J116" s="467"/>
      <c r="K116" s="443"/>
      <c r="L116" s="503">
        <f t="shared" si="23"/>
        <v>8.4699999999999998E-2</v>
      </c>
      <c r="M116" s="503"/>
    </row>
    <row r="117" spans="1:13" ht="15" customHeight="1">
      <c r="A117" s="436">
        <f t="shared" si="17"/>
        <v>2019</v>
      </c>
      <c r="B117" s="437">
        <f t="shared" si="24"/>
        <v>12088</v>
      </c>
      <c r="C117" s="506"/>
      <c r="D117" s="508">
        <f t="shared" si="22"/>
        <v>14</v>
      </c>
      <c r="E117" s="2318" t="s">
        <v>278</v>
      </c>
      <c r="F117" s="2320"/>
      <c r="G117" s="449">
        <f>SUM(J104:J114)/D114</f>
        <v>14.441363609789532</v>
      </c>
      <c r="H117" s="509"/>
      <c r="I117" s="443">
        <f t="shared" si="19"/>
        <v>12088</v>
      </c>
      <c r="J117" s="467"/>
      <c r="K117" s="443"/>
      <c r="L117" s="503">
        <f t="shared" si="23"/>
        <v>8.4699999999999998E-2</v>
      </c>
      <c r="M117" s="503"/>
    </row>
    <row r="118" spans="1:13" ht="15" customHeight="1">
      <c r="A118" s="436">
        <f t="shared" si="17"/>
        <v>2020</v>
      </c>
      <c r="B118" s="437">
        <f t="shared" si="24"/>
        <v>13113</v>
      </c>
      <c r="C118" s="506"/>
      <c r="D118" s="508">
        <f t="shared" si="22"/>
        <v>15</v>
      </c>
      <c r="H118" s="509"/>
      <c r="I118" s="443">
        <f t="shared" si="19"/>
        <v>13113</v>
      </c>
      <c r="J118" s="467"/>
      <c r="K118" s="443"/>
      <c r="L118" s="503">
        <f t="shared" si="23"/>
        <v>8.48E-2</v>
      </c>
      <c r="M118" s="503"/>
    </row>
    <row r="119" spans="1:13" ht="15" customHeight="1">
      <c r="A119" s="436">
        <f t="shared" si="17"/>
        <v>2021</v>
      </c>
      <c r="B119" s="437">
        <f t="shared" si="24"/>
        <v>14224</v>
      </c>
      <c r="C119" s="506"/>
      <c r="D119" s="508">
        <f t="shared" si="22"/>
        <v>16</v>
      </c>
      <c r="E119" s="451"/>
      <c r="F119" s="451"/>
      <c r="G119" s="451"/>
      <c r="H119" s="509"/>
      <c r="I119" s="443">
        <f t="shared" si="19"/>
        <v>14224</v>
      </c>
      <c r="J119" s="467"/>
      <c r="K119" s="443"/>
      <c r="L119" s="503">
        <f t="shared" si="23"/>
        <v>8.4699999999999998E-2</v>
      </c>
      <c r="M119" s="503"/>
    </row>
    <row r="120" spans="1:13" ht="15" customHeight="1">
      <c r="A120" s="436">
        <f t="shared" ref="A120:A136" si="25">A81</f>
        <v>2022</v>
      </c>
      <c r="B120" s="437">
        <f t="shared" si="24"/>
        <v>15429</v>
      </c>
      <c r="C120" s="506"/>
      <c r="D120" s="508">
        <f t="shared" si="22"/>
        <v>17</v>
      </c>
      <c r="E120" s="516"/>
      <c r="F120" s="517"/>
      <c r="G120" s="509"/>
      <c r="H120" s="509"/>
      <c r="I120" s="443">
        <f t="shared" si="19"/>
        <v>15429</v>
      </c>
      <c r="J120" s="467"/>
      <c r="K120" s="443"/>
      <c r="L120" s="503">
        <f t="shared" si="23"/>
        <v>8.4699999999999998E-2</v>
      </c>
      <c r="M120" s="503"/>
    </row>
    <row r="121" spans="1:13" ht="15" customHeight="1">
      <c r="A121" s="436">
        <f t="shared" si="25"/>
        <v>2023</v>
      </c>
      <c r="B121" s="437">
        <f t="shared" si="24"/>
        <v>16736</v>
      </c>
      <c r="C121" s="506"/>
      <c r="D121" s="508">
        <f t="shared" si="22"/>
        <v>18</v>
      </c>
      <c r="E121" s="509"/>
      <c r="F121" s="509"/>
      <c r="G121" s="518"/>
      <c r="H121" s="509"/>
      <c r="I121" s="443">
        <f t="shared" si="19"/>
        <v>16736</v>
      </c>
      <c r="J121" s="467"/>
      <c r="K121" s="443"/>
      <c r="L121" s="503">
        <f t="shared" si="23"/>
        <v>8.4699999999999998E-2</v>
      </c>
      <c r="M121" s="503"/>
    </row>
    <row r="122" spans="1:13" s="451" customFormat="1" ht="15" customHeight="1">
      <c r="A122" s="436">
        <f t="shared" si="25"/>
        <v>2024</v>
      </c>
      <c r="B122" s="437">
        <f t="shared" si="24"/>
        <v>18154</v>
      </c>
      <c r="C122" s="506"/>
      <c r="D122" s="508">
        <f t="shared" si="22"/>
        <v>19</v>
      </c>
      <c r="G122" s="518"/>
      <c r="H122" s="509"/>
      <c r="I122" s="443">
        <f t="shared" si="19"/>
        <v>18154</v>
      </c>
      <c r="J122" s="467"/>
      <c r="K122" s="443"/>
      <c r="L122" s="503">
        <f t="shared" si="23"/>
        <v>8.4699999999999998E-2</v>
      </c>
      <c r="M122" s="503"/>
    </row>
    <row r="123" spans="1:13" ht="15" customHeight="1">
      <c r="A123" s="436">
        <f t="shared" si="25"/>
        <v>2025</v>
      </c>
      <c r="B123" s="437">
        <f t="shared" si="24"/>
        <v>19692</v>
      </c>
      <c r="C123" s="506"/>
      <c r="D123" s="508">
        <f t="shared" si="22"/>
        <v>20</v>
      </c>
      <c r="E123" s="519"/>
      <c r="F123" s="451"/>
      <c r="G123" s="451"/>
      <c r="H123" s="451"/>
      <c r="I123" s="443">
        <f t="shared" si="19"/>
        <v>19692</v>
      </c>
      <c r="J123" s="467"/>
      <c r="K123" s="443"/>
      <c r="L123" s="503">
        <f t="shared" si="23"/>
        <v>8.4699999999999998E-2</v>
      </c>
      <c r="M123" s="503"/>
    </row>
    <row r="124" spans="1:13" s="451" customFormat="1" ht="15" customHeight="1">
      <c r="A124" s="436">
        <f t="shared" si="25"/>
        <v>2026</v>
      </c>
      <c r="B124" s="437">
        <f t="shared" si="24"/>
        <v>21361</v>
      </c>
      <c r="C124" s="506"/>
      <c r="D124" s="508">
        <f t="shared" si="22"/>
        <v>21</v>
      </c>
      <c r="E124" s="519"/>
      <c r="I124" s="443">
        <f t="shared" si="19"/>
        <v>21361</v>
      </c>
      <c r="J124" s="467"/>
      <c r="K124" s="443"/>
      <c r="L124" s="503">
        <f t="shared" si="23"/>
        <v>8.48E-2</v>
      </c>
      <c r="M124" s="503"/>
    </row>
    <row r="125" spans="1:13" s="451" customFormat="1" ht="15" customHeight="1">
      <c r="A125" s="436">
        <f t="shared" si="25"/>
        <v>2027</v>
      </c>
      <c r="B125" s="437">
        <f t="shared" si="24"/>
        <v>23171</v>
      </c>
      <c r="C125" s="506"/>
      <c r="D125" s="508">
        <f t="shared" si="22"/>
        <v>22</v>
      </c>
      <c r="E125" s="519"/>
      <c r="I125" s="443">
        <f t="shared" si="19"/>
        <v>23171</v>
      </c>
      <c r="J125" s="467"/>
      <c r="K125" s="443"/>
      <c r="L125" s="503">
        <f t="shared" si="23"/>
        <v>8.4699999999999998E-2</v>
      </c>
      <c r="M125" s="503"/>
    </row>
    <row r="126" spans="1:13" ht="15" customHeight="1">
      <c r="A126" s="436">
        <f t="shared" si="25"/>
        <v>2028</v>
      </c>
      <c r="B126" s="437">
        <f t="shared" si="24"/>
        <v>25134</v>
      </c>
      <c r="C126" s="520"/>
      <c r="D126" s="508">
        <f t="shared" si="22"/>
        <v>23</v>
      </c>
      <c r="E126" s="521"/>
      <c r="F126" s="468"/>
      <c r="G126" s="451"/>
      <c r="H126" s="451"/>
      <c r="I126" s="443">
        <f t="shared" si="19"/>
        <v>25134</v>
      </c>
      <c r="J126" s="469"/>
      <c r="K126" s="469"/>
      <c r="L126" s="503">
        <f t="shared" si="23"/>
        <v>8.4699999999999998E-2</v>
      </c>
      <c r="M126" s="503"/>
    </row>
    <row r="127" spans="1:13" ht="15" customHeight="1">
      <c r="A127" s="436">
        <f t="shared" si="25"/>
        <v>2029</v>
      </c>
      <c r="B127" s="437">
        <f t="shared" si="24"/>
        <v>27263</v>
      </c>
      <c r="C127" s="520"/>
      <c r="D127" s="508">
        <f t="shared" si="22"/>
        <v>24</v>
      </c>
      <c r="E127" s="521"/>
      <c r="F127" s="468"/>
      <c r="G127" s="451"/>
      <c r="H127" s="451"/>
      <c r="I127" s="443">
        <f t="shared" si="19"/>
        <v>27263</v>
      </c>
      <c r="J127" s="469"/>
      <c r="K127" s="469"/>
      <c r="L127" s="503">
        <f t="shared" si="23"/>
        <v>8.4699999999999998E-2</v>
      </c>
      <c r="M127" s="503"/>
    </row>
    <row r="128" spans="1:13" ht="15" customHeight="1">
      <c r="A128" s="436">
        <f t="shared" si="25"/>
        <v>2030</v>
      </c>
      <c r="B128" s="437">
        <f t="shared" si="24"/>
        <v>29573</v>
      </c>
      <c r="C128" s="520"/>
      <c r="D128" s="508">
        <f t="shared" si="22"/>
        <v>25</v>
      </c>
      <c r="E128" s="521"/>
      <c r="F128" s="468"/>
      <c r="G128" s="451"/>
      <c r="H128" s="451"/>
      <c r="I128" s="443">
        <f t="shared" si="19"/>
        <v>29573</v>
      </c>
      <c r="J128" s="469"/>
      <c r="K128" s="469"/>
      <c r="L128" s="503">
        <f t="shared" si="23"/>
        <v>8.4699999999999998E-2</v>
      </c>
      <c r="M128" s="503"/>
    </row>
    <row r="129" spans="1:102" ht="15" customHeight="1">
      <c r="A129" s="436">
        <f t="shared" si="25"/>
        <v>2031</v>
      </c>
      <c r="B129" s="437">
        <f t="shared" si="24"/>
        <v>32079</v>
      </c>
      <c r="C129" s="520"/>
      <c r="D129" s="508">
        <f t="shared" si="22"/>
        <v>26</v>
      </c>
      <c r="E129" s="521"/>
      <c r="F129" s="468"/>
      <c r="G129" s="451"/>
      <c r="H129" s="451"/>
      <c r="I129" s="443">
        <f t="shared" si="19"/>
        <v>32079</v>
      </c>
      <c r="J129" s="469"/>
      <c r="K129" s="469"/>
      <c r="L129" s="503">
        <f t="shared" si="23"/>
        <v>8.4699999999999998E-2</v>
      </c>
      <c r="M129" s="503"/>
    </row>
    <row r="130" spans="1:102" ht="15" customHeight="1">
      <c r="A130" s="436">
        <f t="shared" si="25"/>
        <v>2032</v>
      </c>
      <c r="B130" s="437">
        <f t="shared" si="24"/>
        <v>34797</v>
      </c>
      <c r="C130" s="520"/>
      <c r="D130" s="508">
        <f t="shared" si="22"/>
        <v>27</v>
      </c>
      <c r="E130" s="521"/>
      <c r="F130" s="468"/>
      <c r="G130" s="451"/>
      <c r="H130" s="451"/>
      <c r="I130" s="443">
        <f t="shared" si="19"/>
        <v>34797</v>
      </c>
      <c r="J130" s="469"/>
      <c r="K130" s="469"/>
      <c r="L130" s="503">
        <f t="shared" si="23"/>
        <v>8.4699999999999998E-2</v>
      </c>
      <c r="M130" s="503"/>
    </row>
    <row r="131" spans="1:102" ht="15" customHeight="1">
      <c r="A131" s="436">
        <f t="shared" si="25"/>
        <v>2033</v>
      </c>
      <c r="B131" s="437">
        <f t="shared" si="24"/>
        <v>37746</v>
      </c>
      <c r="C131" s="520"/>
      <c r="D131" s="508">
        <f t="shared" si="22"/>
        <v>28</v>
      </c>
      <c r="E131" s="521"/>
      <c r="F131" s="468"/>
      <c r="G131" s="451"/>
      <c r="H131" s="451"/>
      <c r="I131" s="443">
        <f t="shared" si="19"/>
        <v>37746</v>
      </c>
      <c r="J131" s="469"/>
      <c r="K131" s="469"/>
      <c r="L131" s="503">
        <f t="shared" si="23"/>
        <v>8.4699999999999998E-2</v>
      </c>
      <c r="M131" s="503"/>
    </row>
    <row r="132" spans="1:102" ht="15" customHeight="1">
      <c r="A132" s="436">
        <f t="shared" si="25"/>
        <v>2034</v>
      </c>
      <c r="B132" s="437">
        <f t="shared" si="24"/>
        <v>40944</v>
      </c>
      <c r="C132" s="520"/>
      <c r="D132" s="508">
        <f t="shared" si="22"/>
        <v>29</v>
      </c>
      <c r="E132" s="521"/>
      <c r="F132" s="468"/>
      <c r="G132" s="451"/>
      <c r="H132" s="451"/>
      <c r="I132" s="443">
        <f t="shared" si="19"/>
        <v>40944</v>
      </c>
      <c r="J132" s="469"/>
      <c r="K132" s="469"/>
      <c r="L132" s="503">
        <f t="shared" si="23"/>
        <v>8.4699999999999998E-2</v>
      </c>
      <c r="M132" s="503"/>
    </row>
    <row r="133" spans="1:102" ht="15" customHeight="1">
      <c r="A133" s="522">
        <f t="shared" si="25"/>
        <v>2035</v>
      </c>
      <c r="B133" s="523">
        <f t="shared" si="24"/>
        <v>44413</v>
      </c>
      <c r="C133" s="524"/>
      <c r="D133" s="525">
        <f t="shared" si="22"/>
        <v>30</v>
      </c>
      <c r="E133" s="526"/>
      <c r="F133" s="527"/>
      <c r="G133" s="426"/>
      <c r="H133" s="426"/>
      <c r="I133" s="528">
        <f t="shared" si="19"/>
        <v>44413</v>
      </c>
      <c r="J133" s="529"/>
      <c r="K133" s="529"/>
      <c r="L133" s="503">
        <f t="shared" si="23"/>
        <v>8.4699999999999998E-2</v>
      </c>
      <c r="M133" s="503"/>
    </row>
    <row r="134" spans="1:102" ht="15" customHeight="1">
      <c r="A134" s="522">
        <f t="shared" si="25"/>
        <v>2036</v>
      </c>
      <c r="B134" s="523">
        <f t="shared" si="24"/>
        <v>48176</v>
      </c>
      <c r="C134" s="524"/>
      <c r="D134" s="525">
        <f t="shared" si="22"/>
        <v>31</v>
      </c>
      <c r="E134" s="526"/>
      <c r="F134" s="527"/>
      <c r="G134" s="426"/>
      <c r="H134" s="426"/>
      <c r="I134" s="528">
        <f t="shared" si="19"/>
        <v>48176</v>
      </c>
      <c r="J134" s="529"/>
      <c r="K134" s="529"/>
      <c r="L134" s="503">
        <f t="shared" si="23"/>
        <v>8.4699999999999998E-2</v>
      </c>
      <c r="M134" s="503"/>
    </row>
    <row r="135" spans="1:102" ht="15" customHeight="1">
      <c r="A135" s="522">
        <f t="shared" si="25"/>
        <v>2037</v>
      </c>
      <c r="B135" s="523">
        <f t="shared" si="24"/>
        <v>52258</v>
      </c>
      <c r="C135" s="524"/>
      <c r="D135" s="525">
        <f t="shared" si="22"/>
        <v>32</v>
      </c>
      <c r="E135" s="526"/>
      <c r="F135" s="527"/>
      <c r="G135" s="426"/>
      <c r="H135" s="426"/>
      <c r="I135" s="528">
        <f t="shared" si="19"/>
        <v>52258</v>
      </c>
      <c r="J135" s="529"/>
      <c r="K135" s="529"/>
      <c r="L135" s="503">
        <f t="shared" si="23"/>
        <v>8.4699999999999998E-2</v>
      </c>
      <c r="M135" s="503"/>
    </row>
    <row r="136" spans="1:102" ht="15" customHeight="1">
      <c r="A136" s="522">
        <f t="shared" si="25"/>
        <v>2038</v>
      </c>
      <c r="B136" s="523">
        <f t="shared" si="24"/>
        <v>56686</v>
      </c>
      <c r="C136" s="524"/>
      <c r="D136" s="525">
        <f t="shared" si="22"/>
        <v>33</v>
      </c>
      <c r="E136" s="526"/>
      <c r="F136" s="527"/>
      <c r="G136" s="426"/>
      <c r="H136" s="426"/>
      <c r="I136" s="528">
        <f t="shared" si="19"/>
        <v>56686</v>
      </c>
      <c r="J136" s="529"/>
      <c r="K136" s="529"/>
      <c r="L136" s="503">
        <f t="shared" si="23"/>
        <v>8.4699999999999998E-2</v>
      </c>
      <c r="M136" s="503"/>
    </row>
    <row r="137" spans="1:102" ht="15" customHeight="1">
      <c r="A137" s="491"/>
      <c r="B137" s="492"/>
      <c r="C137" s="451"/>
      <c r="D137" s="439"/>
      <c r="E137" s="530"/>
      <c r="F137" s="468"/>
      <c r="G137" s="451"/>
      <c r="H137" s="451"/>
      <c r="I137" s="492"/>
      <c r="J137" s="493"/>
      <c r="K137" s="493"/>
      <c r="L137" s="503"/>
      <c r="M137" s="503"/>
    </row>
    <row r="138" spans="1:102" ht="15" customHeight="1">
      <c r="A138" s="491"/>
      <c r="B138" s="492"/>
      <c r="C138" s="451"/>
      <c r="D138" s="439"/>
      <c r="E138" s="530"/>
      <c r="F138" s="468"/>
      <c r="G138" s="451"/>
      <c r="H138" s="451"/>
      <c r="I138" s="492"/>
      <c r="J138" s="493"/>
      <c r="K138" s="493"/>
      <c r="L138" s="503"/>
      <c r="M138" s="503"/>
    </row>
    <row r="139" spans="1:102" ht="15" customHeight="1">
      <c r="A139" s="491"/>
      <c r="B139" s="493"/>
      <c r="C139" s="451"/>
      <c r="D139" s="439"/>
      <c r="E139" s="530"/>
      <c r="F139" s="468"/>
      <c r="G139" s="451"/>
      <c r="H139" s="451"/>
      <c r="I139" s="531"/>
      <c r="J139" s="531"/>
    </row>
    <row r="140" spans="1:102" ht="15" customHeight="1">
      <c r="A140" s="424" t="s">
        <v>307</v>
      </c>
    </row>
    <row r="141" spans="1:102" ht="15" customHeight="1">
      <c r="A141" s="427" t="s">
        <v>264</v>
      </c>
      <c r="B141" s="428" t="s">
        <v>286</v>
      </c>
      <c r="C141" s="429" t="s">
        <v>308</v>
      </c>
      <c r="D141" s="429" t="s">
        <v>287</v>
      </c>
      <c r="E141" s="429" t="s">
        <v>309</v>
      </c>
      <c r="F141" s="496"/>
      <c r="G141" s="430"/>
      <c r="H141" s="432" t="s">
        <v>288</v>
      </c>
      <c r="I141" s="433">
        <f>RSQ(I142:I152,B142:B152)</f>
        <v>0.91209323690569022</v>
      </c>
      <c r="J141" s="434" t="s">
        <v>289</v>
      </c>
      <c r="K141" s="435" t="s">
        <v>290</v>
      </c>
      <c r="M141" s="532" t="s">
        <v>308</v>
      </c>
      <c r="N141" s="431"/>
      <c r="O141" s="432" t="s">
        <v>288</v>
      </c>
      <c r="P141" s="433">
        <f>RSQ($B142:$B152,Q142:Q152)</f>
        <v>0.49103495819207738</v>
      </c>
      <c r="Q141" s="434" t="s">
        <v>310</v>
      </c>
      <c r="R141" s="435" t="s">
        <v>290</v>
      </c>
      <c r="T141" s="532" t="s">
        <v>308</v>
      </c>
      <c r="U141" s="431"/>
      <c r="V141" s="432" t="s">
        <v>288</v>
      </c>
      <c r="W141" s="433">
        <f>RSQ($B142:$B152,X142:X152)</f>
        <v>0.71796946230398773</v>
      </c>
      <c r="X141" s="434" t="s">
        <v>310</v>
      </c>
      <c r="Y141" s="435" t="s">
        <v>290</v>
      </c>
      <c r="AA141" s="532" t="s">
        <v>308</v>
      </c>
      <c r="AB141" s="431"/>
      <c r="AC141" s="432" t="s">
        <v>288</v>
      </c>
      <c r="AD141" s="433">
        <f>RSQ($B142:$B152,AE142:AE152)</f>
        <v>0.75767273291784853</v>
      </c>
      <c r="AE141" s="434" t="s">
        <v>310</v>
      </c>
      <c r="AF141" s="435" t="s">
        <v>290</v>
      </c>
      <c r="AH141" s="532" t="s">
        <v>308</v>
      </c>
      <c r="AI141" s="431"/>
      <c r="AJ141" s="432" t="s">
        <v>288</v>
      </c>
      <c r="AK141" s="433">
        <f>RSQ($B142:$B152,AL142:AL152)</f>
        <v>0.87049840944230772</v>
      </c>
      <c r="AL141" s="434" t="s">
        <v>310</v>
      </c>
      <c r="AM141" s="435" t="s">
        <v>290</v>
      </c>
      <c r="AO141" s="532" t="s">
        <v>308</v>
      </c>
      <c r="AP141" s="431"/>
      <c r="AQ141" s="432" t="s">
        <v>288</v>
      </c>
      <c r="AR141" s="433" t="e">
        <f>RSQ($B142:$B152,AS142:AS152)</f>
        <v>#VALUE!</v>
      </c>
      <c r="AS141" s="434" t="s">
        <v>310</v>
      </c>
      <c r="AT141" s="435" t="s">
        <v>290</v>
      </c>
      <c r="AV141" s="532" t="s">
        <v>308</v>
      </c>
      <c r="AW141" s="431"/>
      <c r="AX141" s="432" t="s">
        <v>288</v>
      </c>
      <c r="AY141" s="433">
        <f>RSQ($B142:$B152,AZ142:AZ152)</f>
        <v>0.87550354442339151</v>
      </c>
      <c r="AZ141" s="434" t="s">
        <v>310</v>
      </c>
      <c r="BA141" s="435" t="s">
        <v>290</v>
      </c>
      <c r="BC141" s="532" t="s">
        <v>308</v>
      </c>
      <c r="BD141" s="431"/>
      <c r="BE141" s="432" t="s">
        <v>288</v>
      </c>
      <c r="BF141" s="433">
        <f>RSQ($B142:$B152,BG142:BG152)</f>
        <v>0.88140884099969563</v>
      </c>
      <c r="BG141" s="434" t="s">
        <v>310</v>
      </c>
      <c r="BH141" s="435" t="s">
        <v>290</v>
      </c>
      <c r="BJ141" s="532" t="s">
        <v>308</v>
      </c>
      <c r="BK141" s="431"/>
      <c r="BL141" s="432" t="s">
        <v>288</v>
      </c>
      <c r="BM141" s="433">
        <f>RSQ($B142:$B152,BN142:BN152)</f>
        <v>0.88845822612072323</v>
      </c>
      <c r="BN141" s="434" t="s">
        <v>310</v>
      </c>
      <c r="BO141" s="435" t="s">
        <v>290</v>
      </c>
      <c r="BQ141" s="532" t="s">
        <v>308</v>
      </c>
      <c r="BR141" s="431"/>
      <c r="BS141" s="432" t="s">
        <v>288</v>
      </c>
      <c r="BT141" s="433">
        <f>RSQ($B142:$B152,BU142:BU152)</f>
        <v>0.89783548753853071</v>
      </c>
      <c r="BU141" s="434" t="s">
        <v>310</v>
      </c>
      <c r="BV141" s="435" t="s">
        <v>290</v>
      </c>
      <c r="BX141" s="532" t="s">
        <v>308</v>
      </c>
      <c r="BY141" s="431"/>
      <c r="BZ141" s="432" t="s">
        <v>288</v>
      </c>
      <c r="CA141" s="433">
        <f>RSQ($B142:$B152,CB142:CB152)</f>
        <v>0.91209323690569022</v>
      </c>
      <c r="CB141" s="434" t="s">
        <v>310</v>
      </c>
      <c r="CC141" s="435" t="s">
        <v>290</v>
      </c>
      <c r="CE141" s="532" t="s">
        <v>308</v>
      </c>
      <c r="CF141" s="431"/>
      <c r="CG141" s="432" t="s">
        <v>288</v>
      </c>
      <c r="CH141" s="433" t="e">
        <f>RSQ($B142:$B152,CI142:CI152)</f>
        <v>#VALUE!</v>
      </c>
      <c r="CI141" s="434" t="s">
        <v>310</v>
      </c>
      <c r="CJ141" s="435" t="s">
        <v>290</v>
      </c>
      <c r="CL141" s="532" t="s">
        <v>308</v>
      </c>
      <c r="CM141" s="431"/>
      <c r="CN141" s="432" t="s">
        <v>288</v>
      </c>
      <c r="CO141" s="433" t="e">
        <f>RSQ($B142:$B152,CP142:CP152)</f>
        <v>#VALUE!</v>
      </c>
      <c r="CP141" s="434" t="s">
        <v>310</v>
      </c>
      <c r="CQ141" s="435" t="s">
        <v>290</v>
      </c>
      <c r="CS141" s="532" t="s">
        <v>308</v>
      </c>
      <c r="CT141" s="431"/>
      <c r="CU141" s="432" t="s">
        <v>288</v>
      </c>
      <c r="CV141" s="433" t="e">
        <f>RSQ($B142:$B152,CW142:CW152)</f>
        <v>#VALUE!</v>
      </c>
      <c r="CW141" s="434" t="s">
        <v>310</v>
      </c>
      <c r="CX141" s="435" t="s">
        <v>290</v>
      </c>
    </row>
    <row r="142" spans="1:102" ht="15" customHeight="1">
      <c r="A142" s="436">
        <f t="shared" ref="A142:B157" si="26">A104</f>
        <v>2006</v>
      </c>
      <c r="B142" s="437">
        <f t="shared" si="26"/>
        <v>4906</v>
      </c>
      <c r="C142" s="533">
        <f>LN(B142-$G$147)</f>
        <v>0</v>
      </c>
      <c r="D142" s="438">
        <f t="shared" ref="D142:D174" si="27">C65</f>
        <v>1</v>
      </c>
      <c r="E142" s="534">
        <f>LN(D142)</f>
        <v>0</v>
      </c>
      <c r="F142" s="498" t="s">
        <v>311</v>
      </c>
      <c r="I142" s="502">
        <f t="shared" ref="I142:I174" si="28">ROUND($G$147+$G$150*D142^$G$148,$G$1)</f>
        <v>4909</v>
      </c>
      <c r="J142" s="444">
        <f t="shared" ref="J142:J152" si="29">ABS(B142-I142)/B142*100</f>
        <v>6.1149612719119444E-2</v>
      </c>
      <c r="K142" s="535">
        <f>(B142-I142)^2/1000</f>
        <v>8.9999999999999993E-3</v>
      </c>
      <c r="M142" s="536">
        <f>LN($B142-$O$144)</f>
        <v>8.4982142248184349</v>
      </c>
      <c r="N142" s="331"/>
      <c r="O142" s="331"/>
      <c r="P142" s="331"/>
      <c r="Q142" s="443">
        <f t="shared" ref="Q142:Q152" si="30">ROUND($O$147*D142^$O$145+$O$144,$G$1)</f>
        <v>3957</v>
      </c>
      <c r="R142" s="502">
        <f t="shared" ref="R142:R152" si="31">($B142-Q142)^2/1000</f>
        <v>900.601</v>
      </c>
      <c r="T142" s="536">
        <f>LN($B142-$V$144)</f>
        <v>5.3278761687895813</v>
      </c>
      <c r="U142" s="331"/>
      <c r="V142" s="331"/>
      <c r="W142" s="331"/>
      <c r="X142" s="443">
        <f t="shared" ref="X142:X152" si="32">ROUND($V$147*D142^$V$145+$V$144,$G$1)</f>
        <v>4828</v>
      </c>
      <c r="Y142" s="502">
        <f t="shared" ref="Y142:Y152" si="33">($B142-X142)^2/1000</f>
        <v>6.0839999999999996</v>
      </c>
      <c r="AA142" s="536">
        <f>LN($B142-$AC$144)</f>
        <v>4.6634390941120669</v>
      </c>
      <c r="AB142" s="331"/>
      <c r="AC142" s="331"/>
      <c r="AD142" s="331"/>
      <c r="AE142" s="443">
        <f t="shared" ref="AE142:AE152" si="34">ROUND($AC$147*$D142^$AC$145+$AC$144,$G$1)</f>
        <v>4874</v>
      </c>
      <c r="AF142" s="502">
        <f t="shared" ref="AF142:AF152" si="35">($B142-AE142)^2/1000</f>
        <v>1.024</v>
      </c>
      <c r="AH142" s="536">
        <f>LN($B142-$AJ$144)</f>
        <v>1.791759469228055</v>
      </c>
      <c r="AI142" s="331"/>
      <c r="AJ142" s="331"/>
      <c r="AK142" s="331"/>
      <c r="AL142" s="443">
        <f t="shared" ref="AL142:AL152" si="36">ROUND($AJ$147*$D142^$AJ$145+$AJ$144,$G$1)</f>
        <v>4912</v>
      </c>
      <c r="AM142" s="502">
        <f t="shared" ref="AM142:AM152" si="37">($B142-AL142)^2/1000</f>
        <v>3.5999999999999997E-2</v>
      </c>
      <c r="AO142" s="536" t="e">
        <f>LN($B142-$AQ$144)</f>
        <v>#NUM!</v>
      </c>
      <c r="AP142" s="331"/>
      <c r="AQ142" s="331"/>
      <c r="AR142" s="331"/>
      <c r="AS142" s="443" t="e">
        <f t="shared" ref="AS142:AS152" si="38">ROUND($AQ$147*$D142^$AQ$145+$AQ$144,$G$1)</f>
        <v>#VALUE!</v>
      </c>
      <c r="AT142" s="502" t="e">
        <f t="shared" ref="AT142:AT152" si="39">($B142-AS142)^2/1000</f>
        <v>#VALUE!</v>
      </c>
      <c r="AV142" s="536">
        <f>LN($B142-$AX$144)</f>
        <v>1.6094379124341003</v>
      </c>
      <c r="AW142" s="331"/>
      <c r="AX142" s="331"/>
      <c r="AY142" s="331"/>
      <c r="AZ142" s="443">
        <f t="shared" ref="AZ142:AZ152" si="40">ROUND($AX$147*$D142^$AX$145+$AX$144,$G$1)</f>
        <v>4912</v>
      </c>
      <c r="BA142" s="502">
        <f t="shared" ref="BA142:BA152" si="41">($B142-AZ142)^2/1000</f>
        <v>3.5999999999999997E-2</v>
      </c>
      <c r="BC142" s="536">
        <f>LN($B142-$BE$144)</f>
        <v>1.3862943611198906</v>
      </c>
      <c r="BD142" s="331"/>
      <c r="BE142" s="331"/>
      <c r="BF142" s="331"/>
      <c r="BG142" s="443">
        <f t="shared" ref="BG142:BG152" si="42">ROUND($BE$147*$D142^$BE$145+$BE$144,$G$1)</f>
        <v>4912</v>
      </c>
      <c r="BH142" s="502">
        <f t="shared" ref="BH142:BH152" si="43">($B142-BG142)^2/1000</f>
        <v>3.5999999999999997E-2</v>
      </c>
      <c r="BJ142" s="536">
        <f>LN($B142-$BL$144)</f>
        <v>1.0986122886681098</v>
      </c>
      <c r="BK142" s="331"/>
      <c r="BL142" s="331"/>
      <c r="BM142" s="331"/>
      <c r="BN142" s="443">
        <f t="shared" ref="BN142:BN152" si="44">ROUND($BL$147*$D142^$BL$145+$BL$144,$G$1)</f>
        <v>4911</v>
      </c>
      <c r="BO142" s="502">
        <f t="shared" ref="BO142:BO152" si="45">($B142-BN142)^2/1000</f>
        <v>2.5000000000000001E-2</v>
      </c>
      <c r="BQ142" s="536">
        <f>LN($B142-$BS$144)</f>
        <v>0.69314718055994529</v>
      </c>
      <c r="BR142" s="331"/>
      <c r="BS142" s="331"/>
      <c r="BT142" s="331"/>
      <c r="BU142" s="443">
        <f t="shared" ref="BU142:BU152" si="46">ROUND($BS$147*$D142^$BS$145+$BS$144,$G$1)</f>
        <v>4910</v>
      </c>
      <c r="BV142" s="502">
        <f t="shared" ref="BV142:BV152" si="47">($B142-BU142)^2/1000</f>
        <v>1.6E-2</v>
      </c>
      <c r="BX142" s="536">
        <f>LN($B142-$BZ$144)</f>
        <v>0</v>
      </c>
      <c r="BY142" s="331"/>
      <c r="BZ142" s="331"/>
      <c r="CA142" s="331"/>
      <c r="CB142" s="443">
        <f t="shared" ref="CB142:CB152" si="48">ROUND($BZ$147*$D142^$BZ$145+$BZ$144,$G$1)</f>
        <v>4909</v>
      </c>
      <c r="CC142" s="502">
        <f t="shared" ref="CC142:CC152" si="49">($B142-CB142)^2/1000</f>
        <v>8.9999999999999993E-3</v>
      </c>
      <c r="CE142" s="536" t="e">
        <f>LN($B142-$CG$144)</f>
        <v>#NUM!</v>
      </c>
      <c r="CF142" s="331"/>
      <c r="CG142" s="331"/>
      <c r="CH142" s="331"/>
      <c r="CI142" s="443" t="e">
        <f t="shared" ref="CI142:CI152" si="50">ROUND($CG$147*$D142^$CG$145+$CG$144,$G$1)</f>
        <v>#VALUE!</v>
      </c>
      <c r="CJ142" s="502" t="e">
        <f t="shared" ref="CJ142:CJ152" si="51">($B142-CI142)^2/1000</f>
        <v>#VALUE!</v>
      </c>
      <c r="CL142" s="536" t="e">
        <f>LN($B142-$CN$144)</f>
        <v>#NUM!</v>
      </c>
      <c r="CM142" s="331"/>
      <c r="CN142" s="331"/>
      <c r="CO142" s="331"/>
      <c r="CP142" s="443" t="e">
        <f t="shared" ref="CP142:CP152" si="52">ROUND($CN$147*$D142^$CN$145+$CN$144,$G$1)</f>
        <v>#VALUE!</v>
      </c>
      <c r="CQ142" s="502" t="e">
        <f t="shared" ref="CQ142:CQ152" si="53">($B142-CP142)^2/1000</f>
        <v>#VALUE!</v>
      </c>
      <c r="CS142" s="536" t="e">
        <f>LN($B142-$CU$144)</f>
        <v>#NUM!</v>
      </c>
      <c r="CT142" s="331"/>
      <c r="CU142" s="331"/>
      <c r="CV142" s="331"/>
      <c r="CW142" s="443" t="e">
        <f t="shared" ref="CW142:CW152" si="54">ROUND($CU$147*$D142^$CU$145+$CU$144,$G$1)</f>
        <v>#VALUE!</v>
      </c>
      <c r="CX142" s="502" t="e">
        <f t="shared" ref="CX142:CX152" si="55">($B142-CW142)^2/1000</f>
        <v>#VALUE!</v>
      </c>
    </row>
    <row r="143" spans="1:102" ht="15" customHeight="1">
      <c r="A143" s="436">
        <f t="shared" si="26"/>
        <v>2007</v>
      </c>
      <c r="B143" s="437">
        <f t="shared" si="26"/>
        <v>5165</v>
      </c>
      <c r="C143" s="533">
        <f>LN(B143-$G$147)</f>
        <v>5.5606816310155276</v>
      </c>
      <c r="D143" s="438">
        <f t="shared" si="27"/>
        <v>2</v>
      </c>
      <c r="E143" s="534">
        <f>LN(D143)</f>
        <v>0.69314718055994529</v>
      </c>
      <c r="F143" s="498"/>
      <c r="I143" s="443">
        <f t="shared" si="28"/>
        <v>4938</v>
      </c>
      <c r="J143" s="446">
        <f>ABS(B143-I143)/B143*100</f>
        <v>4.3949661181026141</v>
      </c>
      <c r="K143" s="535">
        <f>(B143-I143)^2/1000</f>
        <v>51.529000000000003</v>
      </c>
      <c r="M143" s="536">
        <f t="shared" ref="M143:M152" si="56">LN($B143-$O$144)</f>
        <v>8.5496603815537391</v>
      </c>
      <c r="N143" s="451"/>
      <c r="O143" s="451"/>
      <c r="P143" s="451"/>
      <c r="Q143" s="443">
        <f t="shared" si="30"/>
        <v>4848</v>
      </c>
      <c r="R143" s="443">
        <f t="shared" si="31"/>
        <v>100.489</v>
      </c>
      <c r="T143" s="536">
        <f t="shared" ref="T143:T152" si="57">LN($B143-$V$144)</f>
        <v>6.1420374055873559</v>
      </c>
      <c r="U143" s="451"/>
      <c r="V143" s="451"/>
      <c r="W143" s="451"/>
      <c r="X143" s="443">
        <f t="shared" si="32"/>
        <v>5013</v>
      </c>
      <c r="Y143" s="443">
        <f t="shared" si="33"/>
        <v>23.103999999999999</v>
      </c>
      <c r="AA143" s="536">
        <f t="shared" ref="AA143:AA152" si="58">LN($B143-$AC$144)</f>
        <v>5.8998973535824915</v>
      </c>
      <c r="AB143" s="451"/>
      <c r="AC143" s="451"/>
      <c r="AD143" s="451"/>
      <c r="AE143" s="443">
        <f t="shared" si="34"/>
        <v>5011</v>
      </c>
      <c r="AF143" s="443">
        <f t="shared" si="35"/>
        <v>23.716000000000001</v>
      </c>
      <c r="AH143" s="536">
        <f t="shared" ref="AH143:AH152" si="59">LN($B143-$AJ$144)</f>
        <v>5.579729825986222</v>
      </c>
      <c r="AI143" s="451"/>
      <c r="AJ143" s="451"/>
      <c r="AK143" s="451"/>
      <c r="AL143" s="443">
        <f t="shared" si="36"/>
        <v>4963</v>
      </c>
      <c r="AM143" s="443">
        <f t="shared" si="37"/>
        <v>40.804000000000002</v>
      </c>
      <c r="AO143" s="536">
        <f t="shared" ref="AO143:AO152" si="60">LN($B143-$AQ$144)</f>
        <v>5.1059454739005803</v>
      </c>
      <c r="AP143" s="451"/>
      <c r="AQ143" s="451"/>
      <c r="AR143" s="451"/>
      <c r="AS143" s="443" t="e">
        <f t="shared" si="38"/>
        <v>#VALUE!</v>
      </c>
      <c r="AT143" s="443" t="e">
        <f t="shared" si="39"/>
        <v>#VALUE!</v>
      </c>
      <c r="AV143" s="536">
        <f t="shared" ref="AV143:AV152" si="61">LN($B143-$AX$144)</f>
        <v>5.575949103146316</v>
      </c>
      <c r="AW143" s="451"/>
      <c r="AX143" s="451"/>
      <c r="AY143" s="451"/>
      <c r="AZ143" s="443">
        <f t="shared" si="40"/>
        <v>4960</v>
      </c>
      <c r="BA143" s="443">
        <f t="shared" si="41"/>
        <v>42.024999999999999</v>
      </c>
      <c r="BC143" s="536">
        <f t="shared" ref="BC143:BC152" si="62">LN($B143-$BE$144)</f>
        <v>5.5721540321777647</v>
      </c>
      <c r="BD143" s="451"/>
      <c r="BE143" s="451"/>
      <c r="BF143" s="451"/>
      <c r="BG143" s="443">
        <f t="shared" si="42"/>
        <v>4956</v>
      </c>
      <c r="BH143" s="443">
        <f t="shared" si="43"/>
        <v>43.680999999999997</v>
      </c>
      <c r="BJ143" s="536">
        <f t="shared" ref="BJ143:BJ152" si="63">LN($B143-$BL$144)</f>
        <v>5.5683445037610966</v>
      </c>
      <c r="BK143" s="451"/>
      <c r="BL143" s="451"/>
      <c r="BM143" s="451"/>
      <c r="BN143" s="443">
        <f t="shared" si="44"/>
        <v>4952</v>
      </c>
      <c r="BO143" s="443">
        <f t="shared" si="45"/>
        <v>45.369</v>
      </c>
      <c r="BQ143" s="536">
        <f t="shared" ref="BQ143:BQ152" si="64">LN($B143-$BS$144)</f>
        <v>5.5645204073226937</v>
      </c>
      <c r="BR143" s="451"/>
      <c r="BS143" s="451"/>
      <c r="BT143" s="451"/>
      <c r="BU143" s="443">
        <f t="shared" si="46"/>
        <v>4946</v>
      </c>
      <c r="BV143" s="443">
        <f t="shared" si="47"/>
        <v>47.960999999999999</v>
      </c>
      <c r="BX143" s="536">
        <f t="shared" ref="BX143:BX152" si="65">LN($B143-$BZ$144)</f>
        <v>5.5606816310155276</v>
      </c>
      <c r="BY143" s="451"/>
      <c r="BZ143" s="451"/>
      <c r="CA143" s="451"/>
      <c r="CB143" s="443">
        <f t="shared" si="48"/>
        <v>4938</v>
      </c>
      <c r="CC143" s="443">
        <f t="shared" si="49"/>
        <v>51.529000000000003</v>
      </c>
      <c r="CE143" s="536">
        <f t="shared" ref="CE143:CE152" si="66">LN($B143-$CG$144)</f>
        <v>5.5568280616995374</v>
      </c>
      <c r="CF143" s="451"/>
      <c r="CG143" s="451"/>
      <c r="CH143" s="451"/>
      <c r="CI143" s="443" t="e">
        <f t="shared" si="50"/>
        <v>#VALUE!</v>
      </c>
      <c r="CJ143" s="443" t="e">
        <f t="shared" si="51"/>
        <v>#VALUE!</v>
      </c>
      <c r="CL143" s="536">
        <f t="shared" ref="CL143:CL152" si="67">LN($B143-$CN$144)</f>
        <v>5.5529595849216173</v>
      </c>
      <c r="CM143" s="451"/>
      <c r="CN143" s="451"/>
      <c r="CO143" s="451"/>
      <c r="CP143" s="443" t="e">
        <f t="shared" si="52"/>
        <v>#VALUE!</v>
      </c>
      <c r="CQ143" s="443" t="e">
        <f t="shared" si="53"/>
        <v>#VALUE!</v>
      </c>
      <c r="CS143" s="536">
        <f t="shared" ref="CS143:CS152" si="68">LN($B143-$CU$144)</f>
        <v>5.5490760848952201</v>
      </c>
      <c r="CT143" s="451"/>
      <c r="CU143" s="451"/>
      <c r="CV143" s="451"/>
      <c r="CW143" s="443" t="e">
        <f t="shared" si="54"/>
        <v>#VALUE!</v>
      </c>
      <c r="CX143" s="443" t="e">
        <f t="shared" si="55"/>
        <v>#VALUE!</v>
      </c>
    </row>
    <row r="144" spans="1:102" ht="15" customHeight="1">
      <c r="A144" s="436">
        <f t="shared" si="26"/>
        <v>2008</v>
      </c>
      <c r="B144" s="437">
        <f t="shared" si="26"/>
        <v>5233</v>
      </c>
      <c r="C144" s="533">
        <f>LN(B144-$G$147)</f>
        <v>5.7930136083841441</v>
      </c>
      <c r="D144" s="438">
        <f t="shared" si="27"/>
        <v>3</v>
      </c>
      <c r="E144" s="534">
        <f>LN(D144)</f>
        <v>1.0986122886681098</v>
      </c>
      <c r="F144" s="498" t="s">
        <v>312</v>
      </c>
      <c r="I144" s="443">
        <f t="shared" si="28"/>
        <v>5013</v>
      </c>
      <c r="J144" s="446">
        <f>ABS(B144-I144)/B144*100</f>
        <v>4.2040894324479261</v>
      </c>
      <c r="K144" s="535">
        <f>(B144-I144)^2/1000</f>
        <v>48.4</v>
      </c>
      <c r="M144" s="536">
        <f t="shared" si="56"/>
        <v>8.5627400063722074</v>
      </c>
      <c r="N144" s="442" t="s">
        <v>313</v>
      </c>
      <c r="O144" s="537">
        <f>F159</f>
        <v>0</v>
      </c>
      <c r="P144" s="451"/>
      <c r="Q144" s="443">
        <f t="shared" si="30"/>
        <v>5459</v>
      </c>
      <c r="R144" s="443">
        <f t="shared" si="31"/>
        <v>51.076000000000001</v>
      </c>
      <c r="T144" s="536">
        <f t="shared" si="57"/>
        <v>6.2785214241658442</v>
      </c>
      <c r="U144" s="442" t="s">
        <v>313</v>
      </c>
      <c r="V144" s="538">
        <f>F160</f>
        <v>4700</v>
      </c>
      <c r="W144" s="451"/>
      <c r="X144" s="443">
        <f t="shared" si="32"/>
        <v>5228</v>
      </c>
      <c r="Y144" s="443">
        <f t="shared" si="33"/>
        <v>2.5000000000000001E-2</v>
      </c>
      <c r="AA144" s="536">
        <f t="shared" si="58"/>
        <v>6.0707377280024897</v>
      </c>
      <c r="AB144" s="442" t="s">
        <v>313</v>
      </c>
      <c r="AC144" s="538">
        <f>F161</f>
        <v>4800</v>
      </c>
      <c r="AD144" s="451"/>
      <c r="AE144" s="443">
        <f t="shared" si="34"/>
        <v>5191</v>
      </c>
      <c r="AF144" s="443">
        <f t="shared" si="35"/>
        <v>1.764</v>
      </c>
      <c r="AH144" s="536">
        <f t="shared" si="59"/>
        <v>5.8081424899804439</v>
      </c>
      <c r="AI144" s="442" t="s">
        <v>313</v>
      </c>
      <c r="AJ144" s="538">
        <f>F162</f>
        <v>4900</v>
      </c>
      <c r="AK144" s="451"/>
      <c r="AL144" s="443">
        <f t="shared" si="36"/>
        <v>5066</v>
      </c>
      <c r="AM144" s="443">
        <f t="shared" si="37"/>
        <v>27.888999999999999</v>
      </c>
      <c r="AO144" s="536">
        <f t="shared" si="60"/>
        <v>5.4510384535657002</v>
      </c>
      <c r="AP144" s="442" t="s">
        <v>313</v>
      </c>
      <c r="AQ144" s="538">
        <f>F163</f>
        <v>5000</v>
      </c>
      <c r="AR144" s="451"/>
      <c r="AS144" s="443" t="e">
        <f t="shared" si="38"/>
        <v>#VALUE!</v>
      </c>
      <c r="AT144" s="443" t="e">
        <f t="shared" si="39"/>
        <v>#VALUE!</v>
      </c>
      <c r="AV144" s="536">
        <f t="shared" si="61"/>
        <v>5.8051349689164882</v>
      </c>
      <c r="AW144" s="442" t="s">
        <v>313</v>
      </c>
      <c r="AX144" s="538">
        <f>F164</f>
        <v>4901</v>
      </c>
      <c r="AY144" s="538"/>
      <c r="AZ144" s="443">
        <f t="shared" si="40"/>
        <v>5060</v>
      </c>
      <c r="BA144" s="443">
        <f t="shared" si="41"/>
        <v>29.928999999999998</v>
      </c>
      <c r="BC144" s="536">
        <f t="shared" si="62"/>
        <v>5.8021183753770629</v>
      </c>
      <c r="BD144" s="442" t="s">
        <v>313</v>
      </c>
      <c r="BE144" s="538">
        <f>F165</f>
        <v>4902</v>
      </c>
      <c r="BF144" s="451"/>
      <c r="BG144" s="443">
        <f t="shared" si="42"/>
        <v>5052</v>
      </c>
      <c r="BH144" s="443">
        <f t="shared" si="43"/>
        <v>32.761000000000003</v>
      </c>
      <c r="BJ144" s="536">
        <f t="shared" si="63"/>
        <v>5.7990926544605257</v>
      </c>
      <c r="BK144" s="442" t="s">
        <v>313</v>
      </c>
      <c r="BL144" s="538">
        <f>F166</f>
        <v>4903</v>
      </c>
      <c r="BM144" s="451"/>
      <c r="BN144" s="443">
        <f t="shared" si="44"/>
        <v>5043</v>
      </c>
      <c r="BO144" s="443">
        <f t="shared" si="45"/>
        <v>36.1</v>
      </c>
      <c r="BQ144" s="536">
        <f t="shared" si="64"/>
        <v>5.7960577507653719</v>
      </c>
      <c r="BR144" s="442" t="s">
        <v>313</v>
      </c>
      <c r="BS144" s="538">
        <f>F167</f>
        <v>4904</v>
      </c>
      <c r="BT144" s="451"/>
      <c r="BU144" s="443">
        <f t="shared" si="46"/>
        <v>5032</v>
      </c>
      <c r="BV144" s="443">
        <f t="shared" si="47"/>
        <v>40.401000000000003</v>
      </c>
      <c r="BX144" s="536">
        <f t="shared" si="65"/>
        <v>5.7930136083841441</v>
      </c>
      <c r="BY144" s="442" t="s">
        <v>313</v>
      </c>
      <c r="BZ144" s="538">
        <f>F168</f>
        <v>4905</v>
      </c>
      <c r="CA144" s="451"/>
      <c r="CB144" s="443">
        <f t="shared" si="48"/>
        <v>5013</v>
      </c>
      <c r="CC144" s="443">
        <f t="shared" si="49"/>
        <v>48.4</v>
      </c>
      <c r="CE144" s="536">
        <f t="shared" si="66"/>
        <v>5.7899601708972535</v>
      </c>
      <c r="CF144" s="442" t="s">
        <v>313</v>
      </c>
      <c r="CG144" s="538">
        <f>F169</f>
        <v>4906</v>
      </c>
      <c r="CH144" s="451"/>
      <c r="CI144" s="443" t="e">
        <f t="shared" si="50"/>
        <v>#VALUE!</v>
      </c>
      <c r="CJ144" s="443" t="e">
        <f t="shared" si="51"/>
        <v>#VALUE!</v>
      </c>
      <c r="CL144" s="536">
        <f t="shared" si="67"/>
        <v>5.7868973813667077</v>
      </c>
      <c r="CM144" s="442" t="s">
        <v>313</v>
      </c>
      <c r="CN144" s="538">
        <f>F170</f>
        <v>4907</v>
      </c>
      <c r="CO144" s="451"/>
      <c r="CP144" s="443" t="e">
        <f t="shared" si="52"/>
        <v>#VALUE!</v>
      </c>
      <c r="CQ144" s="443" t="e">
        <f t="shared" si="53"/>
        <v>#VALUE!</v>
      </c>
      <c r="CS144" s="536">
        <f t="shared" si="68"/>
        <v>5.7838251823297373</v>
      </c>
      <c r="CT144" s="442" t="s">
        <v>313</v>
      </c>
      <c r="CU144" s="538">
        <f>F171</f>
        <v>4908</v>
      </c>
      <c r="CV144" s="451"/>
      <c r="CW144" s="443" t="e">
        <f t="shared" si="54"/>
        <v>#VALUE!</v>
      </c>
      <c r="CX144" s="443" t="e">
        <f t="shared" si="55"/>
        <v>#VALUE!</v>
      </c>
    </row>
    <row r="145" spans="1:102" ht="15" customHeight="1">
      <c r="A145" s="436">
        <f t="shared" si="26"/>
        <v>2009</v>
      </c>
      <c r="B145" s="437">
        <f t="shared" si="26"/>
        <v>5071</v>
      </c>
      <c r="C145" s="533">
        <f t="shared" ref="C145:C152" si="69">LN(B145-$G$147)</f>
        <v>5.1119877883565437</v>
      </c>
      <c r="D145" s="438">
        <f t="shared" si="27"/>
        <v>4</v>
      </c>
      <c r="E145" s="534">
        <f t="shared" ref="E145:E152" si="70">LN(D145)</f>
        <v>1.3862943611198906</v>
      </c>
      <c r="F145" s="451" t="s">
        <v>346</v>
      </c>
      <c r="G145" s="539"/>
      <c r="H145" s="439"/>
      <c r="I145" s="443">
        <f t="shared" si="28"/>
        <v>5155</v>
      </c>
      <c r="J145" s="446">
        <f>ABS(B145-I145)/B145*100</f>
        <v>1.6564780122263854</v>
      </c>
      <c r="K145" s="535">
        <f t="shared" ref="K145:K152" si="71">(B145-I145)^2/1000</f>
        <v>7.056</v>
      </c>
      <c r="M145" s="536">
        <f t="shared" si="56"/>
        <v>8.5312933157950184</v>
      </c>
      <c r="N145" s="442" t="s">
        <v>306</v>
      </c>
      <c r="O145" s="504">
        <f>INDEX(LINEST(M142:M152,$E142:$E152),1)</f>
        <v>0.29299224146024855</v>
      </c>
      <c r="Q145" s="443">
        <f t="shared" si="30"/>
        <v>5939</v>
      </c>
      <c r="R145" s="443">
        <f t="shared" si="31"/>
        <v>753.42399999999998</v>
      </c>
      <c r="T145" s="536">
        <f t="shared" si="57"/>
        <v>5.916202062607435</v>
      </c>
      <c r="U145" s="442" t="s">
        <v>306</v>
      </c>
      <c r="V145" s="504">
        <f>INDEX(LINEST(T142:T152,$E142:$E152),1)</f>
        <v>1.2886154145016719</v>
      </c>
      <c r="X145" s="443">
        <f t="shared" si="32"/>
        <v>5465</v>
      </c>
      <c r="Y145" s="443">
        <f t="shared" si="33"/>
        <v>155.23599999999999</v>
      </c>
      <c r="AA145" s="536">
        <f t="shared" si="58"/>
        <v>5.602118820879701</v>
      </c>
      <c r="AB145" s="442" t="s">
        <v>306</v>
      </c>
      <c r="AC145" s="504">
        <f>INDEX(LINEST(AA142:AA152,$E142:$E152),1)</f>
        <v>1.5165655142445811</v>
      </c>
      <c r="AE145" s="443">
        <f t="shared" si="34"/>
        <v>5405</v>
      </c>
      <c r="AF145" s="443">
        <f t="shared" si="35"/>
        <v>111.556</v>
      </c>
      <c r="AH145" s="536">
        <f t="shared" si="59"/>
        <v>5.1416635565026603</v>
      </c>
      <c r="AI145" s="442" t="s">
        <v>306</v>
      </c>
      <c r="AJ145" s="504">
        <f>INDEX(LINEST(AH142:AH152,$E142:$E152),1)</f>
        <v>2.3962443741919301</v>
      </c>
      <c r="AL145" s="443">
        <f t="shared" si="36"/>
        <v>5231</v>
      </c>
      <c r="AM145" s="443">
        <f t="shared" si="37"/>
        <v>25.6</v>
      </c>
      <c r="AO145" s="536">
        <f t="shared" si="60"/>
        <v>4.2626798770413155</v>
      </c>
      <c r="AP145" s="442" t="s">
        <v>306</v>
      </c>
      <c r="AQ145" s="504" t="e">
        <f>INDEX(LINEST(AO142:AO152,$E142:$E152),1)</f>
        <v>#VALUE!</v>
      </c>
      <c r="AS145" s="443" t="e">
        <f t="shared" si="38"/>
        <v>#VALUE!</v>
      </c>
      <c r="AT145" s="443" t="e">
        <f t="shared" si="39"/>
        <v>#VALUE!</v>
      </c>
      <c r="AV145" s="536">
        <f t="shared" si="61"/>
        <v>5.1357984370502621</v>
      </c>
      <c r="AW145" s="442" t="s">
        <v>306</v>
      </c>
      <c r="AX145" s="504">
        <f>INDEX(LINEST(AV142:AV152,$E142:$E152),1)</f>
        <v>2.4492142080642525</v>
      </c>
      <c r="AZ145" s="443">
        <f t="shared" si="40"/>
        <v>5222</v>
      </c>
      <c r="BA145" s="443">
        <f t="shared" si="41"/>
        <v>22.800999999999998</v>
      </c>
      <c r="BC145" s="536">
        <f t="shared" si="62"/>
        <v>5.1298987149230735</v>
      </c>
      <c r="BD145" s="442" t="s">
        <v>306</v>
      </c>
      <c r="BE145" s="504">
        <f>INDEX(LINEST(BC142:BC152,$E142:$E152),1)</f>
        <v>2.5138871386820125</v>
      </c>
      <c r="BG145" s="443">
        <f t="shared" si="42"/>
        <v>5212</v>
      </c>
      <c r="BH145" s="443">
        <f t="shared" si="43"/>
        <v>19.881</v>
      </c>
      <c r="BJ145" s="536">
        <f t="shared" si="63"/>
        <v>5.1239639794032588</v>
      </c>
      <c r="BK145" s="442" t="s">
        <v>306</v>
      </c>
      <c r="BL145" s="504">
        <f>INDEX(LINEST(BJ142:BJ152,$E142:$E152),1)</f>
        <v>2.5970601297892415</v>
      </c>
      <c r="BN145" s="443">
        <f t="shared" si="44"/>
        <v>5199</v>
      </c>
      <c r="BO145" s="443">
        <f t="shared" si="45"/>
        <v>16.384</v>
      </c>
      <c r="BQ145" s="536">
        <f t="shared" si="64"/>
        <v>5.1179938124167554</v>
      </c>
      <c r="BR145" s="442" t="s">
        <v>306</v>
      </c>
      <c r="BS145" s="504">
        <f>INDEX(LINEST(BQ142:BQ152,$E142:$E152),1)</f>
        <v>2.7139925819594302</v>
      </c>
      <c r="BU145" s="443">
        <f t="shared" si="46"/>
        <v>5182</v>
      </c>
      <c r="BV145" s="443">
        <f t="shared" si="47"/>
        <v>12.321</v>
      </c>
      <c r="BX145" s="536">
        <f t="shared" si="65"/>
        <v>5.1119877883565437</v>
      </c>
      <c r="BY145" s="442" t="s">
        <v>306</v>
      </c>
      <c r="BZ145" s="504">
        <f>INDEX(LINEST(BX142:BX152,$E142:$E152),1)</f>
        <v>2.9133759563839003</v>
      </c>
      <c r="CB145" s="443">
        <f t="shared" si="48"/>
        <v>5155</v>
      </c>
      <c r="CC145" s="443">
        <f t="shared" si="49"/>
        <v>7.056</v>
      </c>
      <c r="CE145" s="536">
        <f t="shared" si="66"/>
        <v>5.1059454739005803</v>
      </c>
      <c r="CF145" s="442" t="s">
        <v>306</v>
      </c>
      <c r="CG145" s="504" t="e">
        <f>INDEX(LINEST(CE142:CE152,$E142:$E152),1)</f>
        <v>#VALUE!</v>
      </c>
      <c r="CI145" s="443" t="e">
        <f t="shared" si="50"/>
        <v>#VALUE!</v>
      </c>
      <c r="CJ145" s="443" t="e">
        <f t="shared" si="51"/>
        <v>#VALUE!</v>
      </c>
      <c r="CL145" s="536">
        <f t="shared" si="67"/>
        <v>5.0998664278241987</v>
      </c>
      <c r="CM145" s="442" t="s">
        <v>306</v>
      </c>
      <c r="CN145" s="504" t="e">
        <f>INDEX(LINEST(CL142:CL152,$E142:$E152),1)</f>
        <v>#VALUE!</v>
      </c>
      <c r="CP145" s="443" t="e">
        <f t="shared" si="52"/>
        <v>#VALUE!</v>
      </c>
      <c r="CQ145" s="443" t="e">
        <f t="shared" si="53"/>
        <v>#VALUE!</v>
      </c>
      <c r="CS145" s="536">
        <f t="shared" si="68"/>
        <v>5.0937502008067623</v>
      </c>
      <c r="CT145" s="442" t="s">
        <v>306</v>
      </c>
      <c r="CU145" s="504" t="e">
        <f>INDEX(LINEST(CS142:CS152,$E142:$E152),1)</f>
        <v>#VALUE!</v>
      </c>
      <c r="CW145" s="443" t="e">
        <f t="shared" si="54"/>
        <v>#VALUE!</v>
      </c>
      <c r="CX145" s="443" t="e">
        <f t="shared" si="55"/>
        <v>#VALUE!</v>
      </c>
    </row>
    <row r="146" spans="1:102" ht="15" customHeight="1">
      <c r="A146" s="436">
        <f t="shared" si="26"/>
        <v>2010</v>
      </c>
      <c r="B146" s="437">
        <f t="shared" si="26"/>
        <v>5253</v>
      </c>
      <c r="C146" s="533">
        <f t="shared" si="69"/>
        <v>5.8522024797744745</v>
      </c>
      <c r="D146" s="438">
        <f t="shared" si="27"/>
        <v>5</v>
      </c>
      <c r="E146" s="534">
        <f t="shared" si="70"/>
        <v>1.6094379124341003</v>
      </c>
      <c r="I146" s="443">
        <f t="shared" si="28"/>
        <v>5385</v>
      </c>
      <c r="J146" s="446">
        <f>ABS(B146-I146)/B146*100</f>
        <v>2.5128498001142203</v>
      </c>
      <c r="K146" s="443">
        <f t="shared" si="71"/>
        <v>17.423999999999999</v>
      </c>
      <c r="M146" s="536">
        <f t="shared" si="56"/>
        <v>8.566554620953962</v>
      </c>
      <c r="N146" s="442" t="s">
        <v>301</v>
      </c>
      <c r="O146" s="442" t="s">
        <v>347</v>
      </c>
      <c r="P146" s="504">
        <f>INDEX(LINEST(M142:M152,$E142:$E152),2)</f>
        <v>8.2831659036190395</v>
      </c>
      <c r="Q146" s="443">
        <f t="shared" si="30"/>
        <v>6341</v>
      </c>
      <c r="R146" s="443">
        <f t="shared" si="31"/>
        <v>1183.7439999999999</v>
      </c>
      <c r="T146" s="536">
        <f t="shared" si="57"/>
        <v>6.315358001522335</v>
      </c>
      <c r="U146" s="442" t="s">
        <v>301</v>
      </c>
      <c r="V146" s="442" t="s">
        <v>347</v>
      </c>
      <c r="W146" s="504">
        <f>INDEX(LINEST(T142:T152,$E142:$E152),2)</f>
        <v>4.853116061340911</v>
      </c>
      <c r="X146" s="443">
        <f t="shared" si="32"/>
        <v>5719</v>
      </c>
      <c r="Y146" s="443">
        <f t="shared" si="33"/>
        <v>217.15600000000001</v>
      </c>
      <c r="AA146" s="536">
        <f t="shared" si="58"/>
        <v>6.1158921254830343</v>
      </c>
      <c r="AB146" s="442" t="s">
        <v>301</v>
      </c>
      <c r="AC146" s="442" t="s">
        <v>347</v>
      </c>
      <c r="AD146" s="504">
        <f>INDEX(LINEST(AA142:AA152,$E142:$E152),2)</f>
        <v>4.3027198116054155</v>
      </c>
      <c r="AE146" s="443">
        <f t="shared" si="34"/>
        <v>5649</v>
      </c>
      <c r="AF146" s="443">
        <f t="shared" si="35"/>
        <v>156.816</v>
      </c>
      <c r="AH146" s="536">
        <f t="shared" si="59"/>
        <v>5.8664680569332965</v>
      </c>
      <c r="AI146" s="442" t="s">
        <v>301</v>
      </c>
      <c r="AJ146" s="442" t="s">
        <v>347</v>
      </c>
      <c r="AK146" s="504">
        <f>INDEX(LINEST(AH142:AH152,$E142:$E152),2)</f>
        <v>2.4797045056717706</v>
      </c>
      <c r="AL146" s="443">
        <f t="shared" si="36"/>
        <v>5465</v>
      </c>
      <c r="AM146" s="443">
        <f t="shared" si="37"/>
        <v>44.944000000000003</v>
      </c>
      <c r="AO146" s="536">
        <f t="shared" si="60"/>
        <v>5.5333894887275203</v>
      </c>
      <c r="AP146" s="442" t="s">
        <v>301</v>
      </c>
      <c r="AQ146" s="442" t="s">
        <v>347</v>
      </c>
      <c r="AR146" s="504" t="e">
        <f>INDEX(LINEST(AO142:AO152,$E142:$E152),2)</f>
        <v>#VALUE!</v>
      </c>
      <c r="AS146" s="443" t="e">
        <f t="shared" si="38"/>
        <v>#VALUE!</v>
      </c>
      <c r="AT146" s="443" t="e">
        <f t="shared" si="39"/>
        <v>#VALUE!</v>
      </c>
      <c r="AV146" s="536">
        <f t="shared" si="61"/>
        <v>5.8636311755980968</v>
      </c>
      <c r="AW146" s="442" t="s">
        <v>301</v>
      </c>
      <c r="AX146" s="442" t="s">
        <v>347</v>
      </c>
      <c r="AY146" s="504">
        <f>INDEX(LINEST(AV142:AV152,$E142:$E152),2)</f>
        <v>2.3769620654119326</v>
      </c>
      <c r="AZ146" s="443">
        <f t="shared" si="40"/>
        <v>5456</v>
      </c>
      <c r="BA146" s="443">
        <f t="shared" si="41"/>
        <v>41.209000000000003</v>
      </c>
      <c r="BC146" s="536">
        <f t="shared" si="62"/>
        <v>5.8607862234658654</v>
      </c>
      <c r="BD146" s="442" t="s">
        <v>301</v>
      </c>
      <c r="BE146" s="442" t="s">
        <v>347</v>
      </c>
      <c r="BF146" s="504">
        <f>INDEX(LINEST(BC142:BC152,$E142:$E152),2)</f>
        <v>2.251880840103575</v>
      </c>
      <c r="BG146" s="443">
        <f t="shared" si="42"/>
        <v>5445</v>
      </c>
      <c r="BH146" s="443">
        <f t="shared" si="43"/>
        <v>36.863999999999997</v>
      </c>
      <c r="BJ146" s="536">
        <f t="shared" si="63"/>
        <v>5.857933154483459</v>
      </c>
      <c r="BK146" s="442" t="s">
        <v>301</v>
      </c>
      <c r="BL146" s="442" t="s">
        <v>347</v>
      </c>
      <c r="BM146" s="504">
        <f>INDEX(LINEST(BJ142:BJ152,$E142:$E152),2)</f>
        <v>2.0914899459259368</v>
      </c>
      <c r="BN146" s="443">
        <f t="shared" si="44"/>
        <v>5432</v>
      </c>
      <c r="BO146" s="443">
        <f t="shared" si="45"/>
        <v>32.040999999999997</v>
      </c>
      <c r="BQ146" s="536">
        <f t="shared" si="64"/>
        <v>5.855071922202427</v>
      </c>
      <c r="BR146" s="442" t="s">
        <v>301</v>
      </c>
      <c r="BS146" s="442" t="s">
        <v>347</v>
      </c>
      <c r="BT146" s="504">
        <f>INDEX(LINEST(BQ142:BQ152,$E142:$E152),2)</f>
        <v>1.8666693925102145</v>
      </c>
      <c r="BU146" s="443">
        <f t="shared" si="46"/>
        <v>5414</v>
      </c>
      <c r="BV146" s="443">
        <f t="shared" si="47"/>
        <v>25.920999999999999</v>
      </c>
      <c r="BX146" s="536">
        <f t="shared" si="65"/>
        <v>5.8522024797744745</v>
      </c>
      <c r="BY146" s="442" t="s">
        <v>301</v>
      </c>
      <c r="BZ146" s="442" t="s">
        <v>347</v>
      </c>
      <c r="CA146" s="504">
        <f>INDEX(LINEST(BX142:BX152,$E142:$E152),2)</f>
        <v>1.4844998486739183</v>
      </c>
      <c r="CB146" s="443">
        <f t="shared" si="48"/>
        <v>5385</v>
      </c>
      <c r="CC146" s="443">
        <f t="shared" si="49"/>
        <v>17.423999999999999</v>
      </c>
      <c r="CE146" s="536">
        <f t="shared" si="66"/>
        <v>5.8493247799468593</v>
      </c>
      <c r="CF146" s="442" t="s">
        <v>301</v>
      </c>
      <c r="CG146" s="442" t="s">
        <v>347</v>
      </c>
      <c r="CH146" s="504" t="e">
        <f>INDEX(LINEST(CE142:CE152,$E142:$E152),2)</f>
        <v>#VALUE!</v>
      </c>
      <c r="CI146" s="443" t="e">
        <f t="shared" si="50"/>
        <v>#VALUE!</v>
      </c>
      <c r="CJ146" s="443" t="e">
        <f t="shared" si="51"/>
        <v>#VALUE!</v>
      </c>
      <c r="CL146" s="536">
        <f t="shared" si="67"/>
        <v>5.8464387750577247</v>
      </c>
      <c r="CM146" s="442" t="s">
        <v>301</v>
      </c>
      <c r="CN146" s="442" t="s">
        <v>347</v>
      </c>
      <c r="CO146" s="504" t="e">
        <f>INDEX(LINEST(CL142:CL152,$E142:$E152),2)</f>
        <v>#VALUE!</v>
      </c>
      <c r="CP146" s="443" t="e">
        <f t="shared" si="52"/>
        <v>#VALUE!</v>
      </c>
      <c r="CQ146" s="443" t="e">
        <f t="shared" si="53"/>
        <v>#VALUE!</v>
      </c>
      <c r="CS146" s="536">
        <f t="shared" si="68"/>
        <v>5.8435444170313602</v>
      </c>
      <c r="CT146" s="442" t="s">
        <v>301</v>
      </c>
      <c r="CU146" s="442" t="s">
        <v>347</v>
      </c>
      <c r="CV146" s="504" t="e">
        <f>INDEX(LINEST(CS142:CS152,$E142:$E152),2)</f>
        <v>#VALUE!</v>
      </c>
      <c r="CW146" s="443" t="e">
        <f t="shared" si="54"/>
        <v>#VALUE!</v>
      </c>
      <c r="CX146" s="443" t="e">
        <f t="shared" si="55"/>
        <v>#VALUE!</v>
      </c>
    </row>
    <row r="147" spans="1:102" ht="15" customHeight="1">
      <c r="A147" s="436">
        <f t="shared" si="26"/>
        <v>2011</v>
      </c>
      <c r="B147" s="437">
        <f t="shared" si="26"/>
        <v>5574</v>
      </c>
      <c r="C147" s="533">
        <f t="shared" si="69"/>
        <v>6.5057840601282289</v>
      </c>
      <c r="D147" s="438">
        <f t="shared" si="27"/>
        <v>6</v>
      </c>
      <c r="E147" s="534">
        <f t="shared" si="70"/>
        <v>1.791759469228055</v>
      </c>
      <c r="F147" s="540" t="s">
        <v>313</v>
      </c>
      <c r="G147" s="541">
        <f>INDEX(F159:L171,MATCH(1,L159:L171,0),1)</f>
        <v>4905</v>
      </c>
      <c r="H147" s="439"/>
      <c r="I147" s="443">
        <f t="shared" si="28"/>
        <v>5721</v>
      </c>
      <c r="J147" s="446">
        <f t="shared" si="29"/>
        <v>2.6372443487621098</v>
      </c>
      <c r="K147" s="443">
        <f t="shared" si="71"/>
        <v>21.609000000000002</v>
      </c>
      <c r="M147" s="536">
        <f t="shared" si="56"/>
        <v>8.6258682080418936</v>
      </c>
      <c r="N147" s="442" t="s">
        <v>305</v>
      </c>
      <c r="O147" s="542">
        <f>EXP(P146)</f>
        <v>3956.7011083473612</v>
      </c>
      <c r="P147" s="451"/>
      <c r="Q147" s="443">
        <f t="shared" si="30"/>
        <v>6688</v>
      </c>
      <c r="R147" s="443">
        <f t="shared" si="31"/>
        <v>1240.9960000000001</v>
      </c>
      <c r="T147" s="536">
        <f t="shared" si="57"/>
        <v>6.7730803756555353</v>
      </c>
      <c r="U147" s="442" t="s">
        <v>305</v>
      </c>
      <c r="V147" s="542">
        <f>EXP(W146)</f>
        <v>128.13905755042856</v>
      </c>
      <c r="W147" s="504"/>
      <c r="X147" s="443">
        <f t="shared" si="32"/>
        <v>5989</v>
      </c>
      <c r="Y147" s="443">
        <f t="shared" si="33"/>
        <v>172.22499999999999</v>
      </c>
      <c r="AA147" s="536">
        <f t="shared" si="58"/>
        <v>6.6515718735897273</v>
      </c>
      <c r="AB147" s="442" t="s">
        <v>305</v>
      </c>
      <c r="AC147" s="542">
        <f>EXP(AD146)</f>
        <v>73.900516093630173</v>
      </c>
      <c r="AD147" s="451"/>
      <c r="AE147" s="443">
        <f t="shared" si="34"/>
        <v>5919</v>
      </c>
      <c r="AF147" s="443">
        <f t="shared" si="35"/>
        <v>119.02500000000001</v>
      </c>
      <c r="AH147" s="536">
        <f t="shared" si="59"/>
        <v>6.513230110912307</v>
      </c>
      <c r="AI147" s="442" t="s">
        <v>305</v>
      </c>
      <c r="AJ147" s="542">
        <f>EXP(AK146)</f>
        <v>11.937736363227478</v>
      </c>
      <c r="AK147" s="451"/>
      <c r="AL147" s="443">
        <f t="shared" si="36"/>
        <v>5774</v>
      </c>
      <c r="AM147" s="443">
        <f t="shared" si="37"/>
        <v>40</v>
      </c>
      <c r="AO147" s="536">
        <f t="shared" si="60"/>
        <v>6.3526293963195668</v>
      </c>
      <c r="AP147" s="442" t="s">
        <v>305</v>
      </c>
      <c r="AQ147" s="542" t="e">
        <f>EXP(AR146)</f>
        <v>#VALUE!</v>
      </c>
      <c r="AR147" s="451"/>
      <c r="AS147" s="443" t="e">
        <f t="shared" si="38"/>
        <v>#VALUE!</v>
      </c>
      <c r="AT147" s="443" t="e">
        <f t="shared" si="39"/>
        <v>#VALUE!</v>
      </c>
      <c r="AV147" s="536">
        <f t="shared" si="61"/>
        <v>6.5117453296447279</v>
      </c>
      <c r="AW147" s="442" t="s">
        <v>305</v>
      </c>
      <c r="AX147" s="542">
        <f>EXP(AY146)</f>
        <v>10.772128084824406</v>
      </c>
      <c r="AY147" s="451"/>
      <c r="AZ147" s="443">
        <f t="shared" si="40"/>
        <v>5768</v>
      </c>
      <c r="BA147" s="443">
        <f t="shared" si="41"/>
        <v>37.636000000000003</v>
      </c>
      <c r="BC147" s="536">
        <f t="shared" si="62"/>
        <v>6.5102583405231496</v>
      </c>
      <c r="BD147" s="442" t="s">
        <v>305</v>
      </c>
      <c r="BE147" s="542">
        <f>EXP(BF146)</f>
        <v>9.5055975426528629</v>
      </c>
      <c r="BF147" s="451"/>
      <c r="BG147" s="443">
        <f t="shared" si="42"/>
        <v>5761</v>
      </c>
      <c r="BH147" s="443">
        <f t="shared" si="43"/>
        <v>34.969000000000001</v>
      </c>
      <c r="BJ147" s="536">
        <f t="shared" si="63"/>
        <v>6.508769136971682</v>
      </c>
      <c r="BK147" s="442" t="s">
        <v>305</v>
      </c>
      <c r="BL147" s="542">
        <f>EXP(BM146)</f>
        <v>8.0969702291829364</v>
      </c>
      <c r="BM147" s="451"/>
      <c r="BN147" s="443">
        <f t="shared" si="44"/>
        <v>5753</v>
      </c>
      <c r="BO147" s="443">
        <f t="shared" si="45"/>
        <v>32.040999999999997</v>
      </c>
      <c r="BQ147" s="536">
        <f t="shared" si="64"/>
        <v>6.5072777123850116</v>
      </c>
      <c r="BR147" s="442" t="s">
        <v>305</v>
      </c>
      <c r="BS147" s="542">
        <f>EXP(BT146)</f>
        <v>6.4667223779451151</v>
      </c>
      <c r="BT147" s="451"/>
      <c r="BU147" s="443">
        <f t="shared" si="46"/>
        <v>5741</v>
      </c>
      <c r="BV147" s="443">
        <f t="shared" si="47"/>
        <v>27.888999999999999</v>
      </c>
      <c r="BX147" s="536">
        <f t="shared" si="65"/>
        <v>6.5057840601282289</v>
      </c>
      <c r="BY147" s="442" t="s">
        <v>305</v>
      </c>
      <c r="BZ147" s="542">
        <f>EXP(CA146)</f>
        <v>4.4127578140854977</v>
      </c>
      <c r="CA147" s="451"/>
      <c r="CB147" s="443">
        <f t="shared" si="48"/>
        <v>5721</v>
      </c>
      <c r="CC147" s="443">
        <f t="shared" si="49"/>
        <v>21.609000000000002</v>
      </c>
      <c r="CE147" s="536">
        <f t="shared" si="66"/>
        <v>6.5042881735366453</v>
      </c>
      <c r="CF147" s="442" t="s">
        <v>305</v>
      </c>
      <c r="CG147" s="542" t="e">
        <f>EXP(CH146)</f>
        <v>#VALUE!</v>
      </c>
      <c r="CH147" s="451"/>
      <c r="CI147" s="443" t="e">
        <f t="shared" si="50"/>
        <v>#VALUE!</v>
      </c>
      <c r="CJ147" s="443" t="e">
        <f t="shared" si="51"/>
        <v>#VALUE!</v>
      </c>
      <c r="CL147" s="536">
        <f t="shared" si="67"/>
        <v>6.5027900459156234</v>
      </c>
      <c r="CM147" s="442" t="s">
        <v>305</v>
      </c>
      <c r="CN147" s="542" t="e">
        <f>EXP(CO146)</f>
        <v>#VALUE!</v>
      </c>
      <c r="CO147" s="451"/>
      <c r="CP147" s="443" t="e">
        <f t="shared" si="52"/>
        <v>#VALUE!</v>
      </c>
      <c r="CQ147" s="443" t="e">
        <f t="shared" si="53"/>
        <v>#VALUE!</v>
      </c>
      <c r="CS147" s="536">
        <f t="shared" si="68"/>
        <v>6.5012896705403893</v>
      </c>
      <c r="CT147" s="442" t="s">
        <v>305</v>
      </c>
      <c r="CU147" s="542" t="e">
        <f>EXP(CV146)</f>
        <v>#VALUE!</v>
      </c>
      <c r="CV147" s="451"/>
      <c r="CW147" s="443" t="e">
        <f t="shared" si="54"/>
        <v>#VALUE!</v>
      </c>
      <c r="CX147" s="443" t="e">
        <f t="shared" si="55"/>
        <v>#VALUE!</v>
      </c>
    </row>
    <row r="148" spans="1:102" ht="15" customHeight="1">
      <c r="A148" s="436">
        <f t="shared" si="26"/>
        <v>2012</v>
      </c>
      <c r="B148" s="437">
        <f t="shared" si="26"/>
        <v>5497</v>
      </c>
      <c r="C148" s="533">
        <f t="shared" si="69"/>
        <v>6.3835066348840055</v>
      </c>
      <c r="D148" s="438">
        <f t="shared" si="27"/>
        <v>7</v>
      </c>
      <c r="E148" s="534">
        <f t="shared" si="70"/>
        <v>1.9459101490553132</v>
      </c>
      <c r="F148" s="540" t="s">
        <v>306</v>
      </c>
      <c r="G148" s="504">
        <f>INDEX(LINEST(C142:C152,E142:E152),1)</f>
        <v>2.9133759563839003</v>
      </c>
      <c r="H148" s="439"/>
      <c r="I148" s="443">
        <f t="shared" si="28"/>
        <v>6184</v>
      </c>
      <c r="J148" s="446">
        <f t="shared" si="29"/>
        <v>12.497726032381298</v>
      </c>
      <c r="K148" s="443">
        <f t="shared" si="71"/>
        <v>471.96899999999999</v>
      </c>
      <c r="M148" s="536">
        <f t="shared" si="56"/>
        <v>8.6119577678606607</v>
      </c>
      <c r="Q148" s="443">
        <f t="shared" si="30"/>
        <v>6997</v>
      </c>
      <c r="R148" s="443">
        <f t="shared" si="31"/>
        <v>2250</v>
      </c>
      <c r="T148" s="536">
        <f t="shared" si="57"/>
        <v>6.6808546787902152</v>
      </c>
      <c r="W148" s="451"/>
      <c r="X148" s="443">
        <f t="shared" si="32"/>
        <v>6273</v>
      </c>
      <c r="Y148" s="443">
        <f t="shared" si="33"/>
        <v>602.17600000000004</v>
      </c>
      <c r="AA148" s="536">
        <f t="shared" si="58"/>
        <v>6.5467854107605241</v>
      </c>
      <c r="AD148" s="451"/>
      <c r="AE148" s="443">
        <f t="shared" si="34"/>
        <v>6213</v>
      </c>
      <c r="AF148" s="443">
        <f t="shared" si="35"/>
        <v>512.65599999999995</v>
      </c>
      <c r="AH148" s="536">
        <f t="shared" si="59"/>
        <v>6.3919171133926023</v>
      </c>
      <c r="AK148" s="451"/>
      <c r="AL148" s="443">
        <f t="shared" si="36"/>
        <v>6165</v>
      </c>
      <c r="AM148" s="443">
        <f t="shared" si="37"/>
        <v>446.22399999999999</v>
      </c>
      <c r="AO148" s="536">
        <f t="shared" si="60"/>
        <v>6.2085900260966289</v>
      </c>
      <c r="AR148" s="451"/>
      <c r="AS148" s="443" t="e">
        <f t="shared" si="38"/>
        <v>#VALUE!</v>
      </c>
      <c r="AT148" s="443" t="e">
        <f t="shared" si="39"/>
        <v>#VALUE!</v>
      </c>
      <c r="AV148" s="536">
        <f t="shared" si="61"/>
        <v>6.39024066706535</v>
      </c>
      <c r="AY148" s="451"/>
      <c r="AZ148" s="443">
        <f t="shared" si="40"/>
        <v>6166</v>
      </c>
      <c r="BA148" s="443">
        <f t="shared" si="41"/>
        <v>447.56099999999998</v>
      </c>
      <c r="BC148" s="536">
        <f t="shared" si="62"/>
        <v>6.3885614055456301</v>
      </c>
      <c r="BF148" s="451"/>
      <c r="BG148" s="443">
        <f t="shared" si="42"/>
        <v>6168</v>
      </c>
      <c r="BH148" s="443">
        <f t="shared" si="43"/>
        <v>450.24099999999999</v>
      </c>
      <c r="BJ148" s="536">
        <f t="shared" si="63"/>
        <v>6.3868793193626452</v>
      </c>
      <c r="BM148" s="451"/>
      <c r="BN148" s="443">
        <f t="shared" si="44"/>
        <v>6171</v>
      </c>
      <c r="BO148" s="443">
        <f t="shared" si="45"/>
        <v>454.27600000000001</v>
      </c>
      <c r="BQ148" s="536">
        <f t="shared" si="64"/>
        <v>6.3851943989977258</v>
      </c>
      <c r="BT148" s="451"/>
      <c r="BU148" s="443">
        <f t="shared" si="46"/>
        <v>6175</v>
      </c>
      <c r="BV148" s="443">
        <f t="shared" si="47"/>
        <v>459.68400000000003</v>
      </c>
      <c r="BX148" s="536">
        <f t="shared" si="65"/>
        <v>6.3835066348840055</v>
      </c>
      <c r="CA148" s="451"/>
      <c r="CB148" s="443">
        <f t="shared" si="48"/>
        <v>6184</v>
      </c>
      <c r="CC148" s="443">
        <f t="shared" si="49"/>
        <v>471.96899999999999</v>
      </c>
      <c r="CE148" s="536">
        <f t="shared" si="66"/>
        <v>6.3818160174060985</v>
      </c>
      <c r="CH148" s="451"/>
      <c r="CI148" s="443" t="e">
        <f t="shared" si="50"/>
        <v>#VALUE!</v>
      </c>
      <c r="CJ148" s="443" t="e">
        <f t="shared" si="51"/>
        <v>#VALUE!</v>
      </c>
      <c r="CL148" s="536">
        <f t="shared" si="67"/>
        <v>6.3801225368997647</v>
      </c>
      <c r="CO148" s="451"/>
      <c r="CP148" s="443" t="e">
        <f t="shared" si="52"/>
        <v>#VALUE!</v>
      </c>
      <c r="CQ148" s="443" t="e">
        <f t="shared" si="53"/>
        <v>#VALUE!</v>
      </c>
      <c r="CS148" s="536">
        <f t="shared" si="68"/>
        <v>6.3784261836515865</v>
      </c>
      <c r="CV148" s="451"/>
      <c r="CW148" s="443" t="e">
        <f t="shared" si="54"/>
        <v>#VALUE!</v>
      </c>
      <c r="CX148" s="443" t="e">
        <f t="shared" si="55"/>
        <v>#VALUE!</v>
      </c>
    </row>
    <row r="149" spans="1:102" ht="15" customHeight="1">
      <c r="A149" s="436">
        <f t="shared" si="26"/>
        <v>2013</v>
      </c>
      <c r="B149" s="437">
        <f t="shared" si="26"/>
        <v>5579</v>
      </c>
      <c r="C149" s="533">
        <f t="shared" si="69"/>
        <v>6.513230110912307</v>
      </c>
      <c r="D149" s="438">
        <f t="shared" si="27"/>
        <v>8</v>
      </c>
      <c r="E149" s="543">
        <f t="shared" si="70"/>
        <v>2.0794415416798357</v>
      </c>
      <c r="F149" s="540" t="s">
        <v>301</v>
      </c>
      <c r="G149" s="504">
        <f>INDEX(LINEST(C142:C152,E142:E152),2)</f>
        <v>1.4844998486739183</v>
      </c>
      <c r="H149" s="544" t="s">
        <v>320</v>
      </c>
      <c r="I149" s="443">
        <f t="shared" si="28"/>
        <v>6792</v>
      </c>
      <c r="J149" s="446">
        <f t="shared" si="29"/>
        <v>21.742247714644204</v>
      </c>
      <c r="K149" s="443">
        <f t="shared" si="71"/>
        <v>1471.3689999999999</v>
      </c>
      <c r="M149" s="536">
        <f t="shared" si="56"/>
        <v>8.6267648278455287</v>
      </c>
      <c r="P149" s="451"/>
      <c r="Q149" s="443">
        <f t="shared" si="30"/>
        <v>7277</v>
      </c>
      <c r="R149" s="443">
        <f t="shared" si="31"/>
        <v>2883.2040000000002</v>
      </c>
      <c r="T149" s="536">
        <f t="shared" si="57"/>
        <v>6.7787848976851768</v>
      </c>
      <c r="W149" s="451"/>
      <c r="X149" s="443">
        <f t="shared" si="32"/>
        <v>6568</v>
      </c>
      <c r="Y149" s="443">
        <f t="shared" si="33"/>
        <v>978.12099999999998</v>
      </c>
      <c r="AA149" s="536">
        <f t="shared" si="58"/>
        <v>6.6580110458707482</v>
      </c>
      <c r="AD149" s="451"/>
      <c r="AE149" s="443">
        <f t="shared" si="34"/>
        <v>6531</v>
      </c>
      <c r="AF149" s="443">
        <f t="shared" si="35"/>
        <v>906.30399999999997</v>
      </c>
      <c r="AH149" s="536">
        <f t="shared" si="59"/>
        <v>6.5206211275586963</v>
      </c>
      <c r="AK149" s="451"/>
      <c r="AL149" s="443">
        <f t="shared" si="36"/>
        <v>6642</v>
      </c>
      <c r="AM149" s="443">
        <f t="shared" si="37"/>
        <v>1129.9690000000001</v>
      </c>
      <c r="AO149" s="536">
        <f t="shared" si="60"/>
        <v>6.3613024775729956</v>
      </c>
      <c r="AR149" s="451"/>
      <c r="AS149" s="443" t="e">
        <f t="shared" si="38"/>
        <v>#VALUE!</v>
      </c>
      <c r="AT149" s="443" t="e">
        <f t="shared" si="39"/>
        <v>#VALUE!</v>
      </c>
      <c r="AV149" s="536">
        <f t="shared" si="61"/>
        <v>6.5191472879403953</v>
      </c>
      <c r="AY149" s="451"/>
      <c r="AZ149" s="443">
        <f t="shared" si="40"/>
        <v>6656</v>
      </c>
      <c r="BA149" s="443">
        <f t="shared" si="41"/>
        <v>1159.9290000000001</v>
      </c>
      <c r="BC149" s="536">
        <f t="shared" si="62"/>
        <v>6.517671272912275</v>
      </c>
      <c r="BF149" s="451"/>
      <c r="BG149" s="443">
        <f t="shared" si="42"/>
        <v>6673</v>
      </c>
      <c r="BH149" s="443">
        <f t="shared" si="43"/>
        <v>1196.836</v>
      </c>
      <c r="BJ149" s="536">
        <f t="shared" si="63"/>
        <v>6.5161930760429643</v>
      </c>
      <c r="BM149" s="451"/>
      <c r="BN149" s="443">
        <f t="shared" si="44"/>
        <v>6697</v>
      </c>
      <c r="BO149" s="443">
        <f t="shared" si="45"/>
        <v>1249.924</v>
      </c>
      <c r="BQ149" s="536">
        <f t="shared" si="64"/>
        <v>6.5147126908725301</v>
      </c>
      <c r="BT149" s="451"/>
      <c r="BU149" s="443">
        <f t="shared" si="46"/>
        <v>6731</v>
      </c>
      <c r="BV149" s="443">
        <f t="shared" si="47"/>
        <v>1327.104</v>
      </c>
      <c r="BX149" s="536">
        <f t="shared" si="65"/>
        <v>6.513230110912307</v>
      </c>
      <c r="CA149" s="451"/>
      <c r="CB149" s="443">
        <f t="shared" si="48"/>
        <v>6792</v>
      </c>
      <c r="CC149" s="443">
        <f t="shared" si="49"/>
        <v>1471.3689999999999</v>
      </c>
      <c r="CE149" s="536">
        <f t="shared" si="66"/>
        <v>6.5117453296447279</v>
      </c>
      <c r="CH149" s="451"/>
      <c r="CI149" s="443" t="e">
        <f t="shared" si="50"/>
        <v>#VALUE!</v>
      </c>
      <c r="CJ149" s="443" t="e">
        <f t="shared" si="51"/>
        <v>#VALUE!</v>
      </c>
      <c r="CL149" s="536">
        <f t="shared" si="67"/>
        <v>6.5102583405231496</v>
      </c>
      <c r="CO149" s="451"/>
      <c r="CP149" s="443" t="e">
        <f t="shared" si="52"/>
        <v>#VALUE!</v>
      </c>
      <c r="CQ149" s="443" t="e">
        <f t="shared" si="53"/>
        <v>#VALUE!</v>
      </c>
      <c r="CS149" s="536">
        <f t="shared" si="68"/>
        <v>6.508769136971682</v>
      </c>
      <c r="CV149" s="451"/>
      <c r="CW149" s="443" t="e">
        <f t="shared" si="54"/>
        <v>#VALUE!</v>
      </c>
      <c r="CX149" s="443" t="e">
        <f t="shared" si="55"/>
        <v>#VALUE!</v>
      </c>
    </row>
    <row r="150" spans="1:102" ht="15" customHeight="1">
      <c r="A150" s="436">
        <f t="shared" si="26"/>
        <v>2014</v>
      </c>
      <c r="B150" s="437">
        <f t="shared" si="26"/>
        <v>8143</v>
      </c>
      <c r="C150" s="545">
        <f t="shared" si="69"/>
        <v>8.0827111342375808</v>
      </c>
      <c r="D150" s="438">
        <f t="shared" si="27"/>
        <v>9</v>
      </c>
      <c r="E150" s="546">
        <f t="shared" si="70"/>
        <v>2.1972245773362196</v>
      </c>
      <c r="F150" s="540" t="s">
        <v>305</v>
      </c>
      <c r="G150" s="547">
        <f>EXP(G149)</f>
        <v>4.4127578140854977</v>
      </c>
      <c r="I150" s="443">
        <f t="shared" si="28"/>
        <v>7564</v>
      </c>
      <c r="J150" s="467">
        <f t="shared" si="29"/>
        <v>7.1104015719022478</v>
      </c>
      <c r="K150" s="443">
        <f t="shared" si="71"/>
        <v>335.24099999999999</v>
      </c>
      <c r="M150" s="536">
        <f t="shared" si="56"/>
        <v>9.004913941467132</v>
      </c>
      <c r="N150" s="451"/>
      <c r="O150" s="451"/>
      <c r="P150" s="510"/>
      <c r="Q150" s="443">
        <f t="shared" si="30"/>
        <v>7532</v>
      </c>
      <c r="R150" s="443">
        <f t="shared" si="31"/>
        <v>373.32100000000003</v>
      </c>
      <c r="T150" s="536">
        <f t="shared" si="57"/>
        <v>8.1440984633385245</v>
      </c>
      <c r="U150" s="451"/>
      <c r="V150" s="451"/>
      <c r="W150" s="510"/>
      <c r="X150" s="443">
        <f t="shared" si="32"/>
        <v>6874</v>
      </c>
      <c r="Y150" s="443">
        <f t="shared" si="33"/>
        <v>1610.3610000000001</v>
      </c>
      <c r="AA150" s="536">
        <f t="shared" si="58"/>
        <v>8.1146238864200981</v>
      </c>
      <c r="AB150" s="451"/>
      <c r="AC150" s="451"/>
      <c r="AD150" s="510"/>
      <c r="AE150" s="443">
        <f t="shared" si="34"/>
        <v>6869</v>
      </c>
      <c r="AF150" s="443">
        <f t="shared" si="35"/>
        <v>1623.076</v>
      </c>
      <c r="AH150" s="536">
        <f t="shared" si="59"/>
        <v>8.0842541063073181</v>
      </c>
      <c r="AI150" s="451"/>
      <c r="AJ150" s="451"/>
      <c r="AK150" s="510"/>
      <c r="AL150" s="443">
        <f t="shared" si="36"/>
        <v>7210</v>
      </c>
      <c r="AM150" s="443">
        <f t="shared" si="37"/>
        <v>870.48900000000003</v>
      </c>
      <c r="AO150" s="536">
        <f t="shared" si="60"/>
        <v>8.0529330367975671</v>
      </c>
      <c r="AP150" s="451"/>
      <c r="AQ150" s="451"/>
      <c r="AR150" s="510"/>
      <c r="AS150" s="443" t="e">
        <f t="shared" si="38"/>
        <v>#VALUE!</v>
      </c>
      <c r="AT150" s="443" t="e">
        <f t="shared" si="39"/>
        <v>#VALUE!</v>
      </c>
      <c r="AV150" s="536">
        <f t="shared" si="61"/>
        <v>8.0839457022956207</v>
      </c>
      <c r="AW150" s="451"/>
      <c r="AX150" s="451"/>
      <c r="AY150" s="510"/>
      <c r="AZ150" s="443">
        <f t="shared" si="40"/>
        <v>7242</v>
      </c>
      <c r="BA150" s="443">
        <f t="shared" si="41"/>
        <v>811.80100000000004</v>
      </c>
      <c r="BC150" s="536">
        <f t="shared" si="62"/>
        <v>8.0836372031415475</v>
      </c>
      <c r="BD150" s="451"/>
      <c r="BE150" s="451"/>
      <c r="BF150" s="510"/>
      <c r="BG150" s="443">
        <f t="shared" si="42"/>
        <v>7283</v>
      </c>
      <c r="BH150" s="443">
        <f t="shared" si="43"/>
        <v>739.6</v>
      </c>
      <c r="BJ150" s="536">
        <f t="shared" si="63"/>
        <v>8.0833286087863758</v>
      </c>
      <c r="BK150" s="451"/>
      <c r="BL150" s="451"/>
      <c r="BM150" s="510"/>
      <c r="BN150" s="443">
        <f t="shared" si="44"/>
        <v>7338</v>
      </c>
      <c r="BO150" s="443">
        <f t="shared" si="45"/>
        <v>648.02499999999998</v>
      </c>
      <c r="BQ150" s="536">
        <f t="shared" si="64"/>
        <v>8.0830199191713294</v>
      </c>
      <c r="BR150" s="451"/>
      <c r="BS150" s="451"/>
      <c r="BT150" s="510"/>
      <c r="BU150" s="443">
        <f t="shared" si="46"/>
        <v>7419</v>
      </c>
      <c r="BV150" s="443">
        <f t="shared" si="47"/>
        <v>524.17600000000004</v>
      </c>
      <c r="BX150" s="536">
        <f t="shared" si="65"/>
        <v>8.0827111342375808</v>
      </c>
      <c r="BY150" s="451"/>
      <c r="BZ150" s="451"/>
      <c r="CA150" s="510"/>
      <c r="CB150" s="443">
        <f t="shared" si="48"/>
        <v>7564</v>
      </c>
      <c r="CC150" s="443">
        <f t="shared" si="49"/>
        <v>335.24099999999999</v>
      </c>
      <c r="CE150" s="536">
        <f t="shared" si="66"/>
        <v>8.0824022539262437</v>
      </c>
      <c r="CF150" s="451"/>
      <c r="CG150" s="451"/>
      <c r="CH150" s="510"/>
      <c r="CI150" s="443" t="e">
        <f t="shared" si="50"/>
        <v>#VALUE!</v>
      </c>
      <c r="CJ150" s="443" t="e">
        <f t="shared" si="51"/>
        <v>#VALUE!</v>
      </c>
      <c r="CL150" s="536">
        <f t="shared" si="67"/>
        <v>8.0820932781783821</v>
      </c>
      <c r="CM150" s="451"/>
      <c r="CN150" s="451"/>
      <c r="CO150" s="510"/>
      <c r="CP150" s="443" t="e">
        <f t="shared" si="52"/>
        <v>#VALUE!</v>
      </c>
      <c r="CQ150" s="443" t="e">
        <f t="shared" si="53"/>
        <v>#VALUE!</v>
      </c>
      <c r="CS150" s="536">
        <f t="shared" si="68"/>
        <v>8.0817842069350014</v>
      </c>
      <c r="CT150" s="451"/>
      <c r="CU150" s="451"/>
      <c r="CV150" s="510"/>
      <c r="CW150" s="443" t="e">
        <f t="shared" si="54"/>
        <v>#VALUE!</v>
      </c>
      <c r="CX150" s="443" t="e">
        <f t="shared" si="55"/>
        <v>#VALUE!</v>
      </c>
    </row>
    <row r="151" spans="1:102" ht="15" customHeight="1">
      <c r="A151" s="436">
        <f t="shared" si="26"/>
        <v>2015</v>
      </c>
      <c r="B151" s="437">
        <f t="shared" si="26"/>
        <v>10418</v>
      </c>
      <c r="C151" s="545">
        <f t="shared" si="69"/>
        <v>8.614864218589684</v>
      </c>
      <c r="D151" s="438">
        <f t="shared" si="27"/>
        <v>10</v>
      </c>
      <c r="E151" s="546">
        <f t="shared" si="70"/>
        <v>2.3025850929940459</v>
      </c>
      <c r="H151" s="439"/>
      <c r="I151" s="443">
        <f t="shared" si="28"/>
        <v>8520</v>
      </c>
      <c r="J151" s="467">
        <f t="shared" si="29"/>
        <v>18.21846803609138</v>
      </c>
      <c r="K151" s="443">
        <f t="shared" si="71"/>
        <v>3602.404</v>
      </c>
      <c r="M151" s="536">
        <f t="shared" si="56"/>
        <v>9.2512903583051376</v>
      </c>
      <c r="N151" s="439" t="s">
        <v>321</v>
      </c>
      <c r="O151" s="504">
        <f>P141</f>
        <v>0.49103495819207738</v>
      </c>
      <c r="P151" s="510"/>
      <c r="Q151" s="443">
        <f t="shared" si="30"/>
        <v>7768</v>
      </c>
      <c r="R151" s="443">
        <f t="shared" si="31"/>
        <v>7022.5</v>
      </c>
      <c r="T151" s="536">
        <f t="shared" si="57"/>
        <v>8.6513743728822572</v>
      </c>
      <c r="U151" s="439" t="s">
        <v>321</v>
      </c>
      <c r="V151" s="504">
        <f>W141</f>
        <v>0.71796946230398773</v>
      </c>
      <c r="W151" s="510"/>
      <c r="X151" s="443">
        <f t="shared" si="32"/>
        <v>7191</v>
      </c>
      <c r="Y151" s="443">
        <f t="shared" si="33"/>
        <v>10413.529</v>
      </c>
      <c r="AA151" s="536">
        <f t="shared" si="58"/>
        <v>8.6337310076641884</v>
      </c>
      <c r="AB151" s="439" t="s">
        <v>321</v>
      </c>
      <c r="AC151" s="504">
        <f>AD141</f>
        <v>0.75767273291784853</v>
      </c>
      <c r="AD151" s="510"/>
      <c r="AE151" s="443">
        <f t="shared" si="34"/>
        <v>7228</v>
      </c>
      <c r="AF151" s="443">
        <f t="shared" si="35"/>
        <v>10176.1</v>
      </c>
      <c r="AH151" s="536">
        <f t="shared" si="59"/>
        <v>8.6157707547772322</v>
      </c>
      <c r="AI151" s="439" t="s">
        <v>321</v>
      </c>
      <c r="AJ151" s="504">
        <f>AK141</f>
        <v>0.87049840944230772</v>
      </c>
      <c r="AK151" s="510"/>
      <c r="AL151" s="443">
        <f t="shared" si="36"/>
        <v>7873</v>
      </c>
      <c r="AM151" s="443">
        <f t="shared" si="37"/>
        <v>6477.0249999999996</v>
      </c>
      <c r="AO151" s="536">
        <f t="shared" si="60"/>
        <v>8.5974820226450408</v>
      </c>
      <c r="AP151" s="439" t="s">
        <v>321</v>
      </c>
      <c r="AQ151" s="504" t="e">
        <f>AR141</f>
        <v>#VALUE!</v>
      </c>
      <c r="AR151" s="510"/>
      <c r="AS151" s="443" t="e">
        <f t="shared" si="38"/>
        <v>#VALUE!</v>
      </c>
      <c r="AT151" s="443" t="e">
        <f t="shared" si="39"/>
        <v>#VALUE!</v>
      </c>
      <c r="AV151" s="536">
        <f t="shared" si="61"/>
        <v>8.6155895132724307</v>
      </c>
      <c r="AW151" s="439" t="s">
        <v>321</v>
      </c>
      <c r="AX151" s="504">
        <f>AY141</f>
        <v>0.87550354442339151</v>
      </c>
      <c r="AY151" s="510"/>
      <c r="AZ151" s="443">
        <f t="shared" si="40"/>
        <v>7932</v>
      </c>
      <c r="BA151" s="443">
        <f t="shared" si="41"/>
        <v>6180.1959999999999</v>
      </c>
      <c r="BC151" s="536">
        <f t="shared" si="62"/>
        <v>8.6154082389131919</v>
      </c>
      <c r="BD151" s="439" t="s">
        <v>321</v>
      </c>
      <c r="BE151" s="504">
        <f>BF141</f>
        <v>0.88140884099969563</v>
      </c>
      <c r="BF151" s="510"/>
      <c r="BG151" s="443">
        <f t="shared" si="42"/>
        <v>8006</v>
      </c>
      <c r="BH151" s="443">
        <f t="shared" si="43"/>
        <v>5817.7439999999997</v>
      </c>
      <c r="BJ151" s="536">
        <f t="shared" si="63"/>
        <v>8.6152269316876033</v>
      </c>
      <c r="BK151" s="439" t="s">
        <v>321</v>
      </c>
      <c r="BL151" s="504">
        <f>BM141</f>
        <v>0.88845822612072323</v>
      </c>
      <c r="BM151" s="510"/>
      <c r="BN151" s="443">
        <f t="shared" si="44"/>
        <v>8105</v>
      </c>
      <c r="BO151" s="443">
        <f t="shared" si="45"/>
        <v>5349.9690000000001</v>
      </c>
      <c r="BQ151" s="536">
        <f t="shared" si="64"/>
        <v>8.6150455915837423</v>
      </c>
      <c r="BR151" s="439" t="s">
        <v>321</v>
      </c>
      <c r="BS151" s="504">
        <f>BT141</f>
        <v>0.89783548753853071</v>
      </c>
      <c r="BT151" s="510"/>
      <c r="BU151" s="443">
        <f t="shared" si="46"/>
        <v>8251</v>
      </c>
      <c r="BV151" s="443">
        <f t="shared" si="47"/>
        <v>4695.8890000000001</v>
      </c>
      <c r="BX151" s="536">
        <f t="shared" si="65"/>
        <v>8.614864218589684</v>
      </c>
      <c r="BY151" s="439" t="s">
        <v>321</v>
      </c>
      <c r="BZ151" s="504">
        <f>CA141</f>
        <v>0.91209323690569022</v>
      </c>
      <c r="CA151" s="510"/>
      <c r="CB151" s="443">
        <f t="shared" si="48"/>
        <v>8520</v>
      </c>
      <c r="CC151" s="443">
        <f t="shared" si="49"/>
        <v>3602.404</v>
      </c>
      <c r="CE151" s="536">
        <f t="shared" si="66"/>
        <v>8.6146828126934949</v>
      </c>
      <c r="CF151" s="439" t="s">
        <v>321</v>
      </c>
      <c r="CG151" s="504" t="e">
        <f>CH141</f>
        <v>#VALUE!</v>
      </c>
      <c r="CH151" s="510"/>
      <c r="CI151" s="443" t="e">
        <f t="shared" si="50"/>
        <v>#VALUE!</v>
      </c>
      <c r="CJ151" s="443" t="e">
        <f t="shared" si="51"/>
        <v>#VALUE!</v>
      </c>
      <c r="CL151" s="536">
        <f t="shared" si="67"/>
        <v>8.6145013738832361</v>
      </c>
      <c r="CM151" s="439" t="s">
        <v>321</v>
      </c>
      <c r="CN151" s="504" t="e">
        <f>CO141</f>
        <v>#VALUE!</v>
      </c>
      <c r="CO151" s="510"/>
      <c r="CP151" s="443" t="e">
        <f t="shared" si="52"/>
        <v>#VALUE!</v>
      </c>
      <c r="CQ151" s="443" t="e">
        <f t="shared" si="53"/>
        <v>#VALUE!</v>
      </c>
      <c r="CS151" s="536">
        <f t="shared" si="68"/>
        <v>8.6143199021469599</v>
      </c>
      <c r="CT151" s="439" t="s">
        <v>321</v>
      </c>
      <c r="CU151" s="504" t="e">
        <f>CV141</f>
        <v>#VALUE!</v>
      </c>
      <c r="CV151" s="510"/>
      <c r="CW151" s="443" t="e">
        <f t="shared" si="54"/>
        <v>#VALUE!</v>
      </c>
      <c r="CX151" s="443" t="e">
        <f t="shared" si="55"/>
        <v>#VALUE!</v>
      </c>
    </row>
    <row r="152" spans="1:102" ht="15" customHeight="1" thickBot="1">
      <c r="A152" s="436">
        <f t="shared" si="26"/>
        <v>2016</v>
      </c>
      <c r="B152" s="437">
        <f t="shared" si="26"/>
        <v>12254</v>
      </c>
      <c r="C152" s="545">
        <f t="shared" si="69"/>
        <v>8.9023195285288708</v>
      </c>
      <c r="D152" s="438">
        <f t="shared" si="27"/>
        <v>11</v>
      </c>
      <c r="E152" s="546">
        <f t="shared" si="70"/>
        <v>2.3978952727983707</v>
      </c>
      <c r="I152" s="443">
        <f t="shared" si="28"/>
        <v>9677</v>
      </c>
      <c r="J152" s="467">
        <f t="shared" si="29"/>
        <v>21.029867798269951</v>
      </c>
      <c r="K152" s="443">
        <f t="shared" si="71"/>
        <v>6640.9290000000001</v>
      </c>
      <c r="M152" s="536">
        <f t="shared" si="56"/>
        <v>9.4136076932856003</v>
      </c>
      <c r="N152" s="439" t="s">
        <v>322</v>
      </c>
      <c r="O152" s="548">
        <f>SUM(R142:R152)</f>
        <v>34958.111000000004</v>
      </c>
      <c r="P152" s="509"/>
      <c r="Q152" s="443">
        <f t="shared" si="30"/>
        <v>7988</v>
      </c>
      <c r="R152" s="443">
        <f t="shared" si="31"/>
        <v>18198.756000000001</v>
      </c>
      <c r="T152" s="536">
        <f t="shared" si="57"/>
        <v>8.9298325032724026</v>
      </c>
      <c r="U152" s="439" t="s">
        <v>322</v>
      </c>
      <c r="V152" s="548">
        <f>SUM(Y142:Y152)</f>
        <v>36626.661</v>
      </c>
      <c r="W152" s="509"/>
      <c r="X152" s="443">
        <f t="shared" si="32"/>
        <v>7516</v>
      </c>
      <c r="Y152" s="443">
        <f t="shared" si="33"/>
        <v>22448.644</v>
      </c>
      <c r="AA152" s="536">
        <f t="shared" si="58"/>
        <v>8.9165060800392038</v>
      </c>
      <c r="AB152" s="439" t="s">
        <v>322</v>
      </c>
      <c r="AC152" s="548">
        <f>SUM(AF142:AF152)</f>
        <v>35245.237999999998</v>
      </c>
      <c r="AD152" s="509"/>
      <c r="AE152" s="443">
        <f t="shared" si="34"/>
        <v>7605</v>
      </c>
      <c r="AF152" s="443">
        <f t="shared" si="35"/>
        <v>21613.201000000001</v>
      </c>
      <c r="AH152" s="536">
        <f t="shared" si="59"/>
        <v>8.9029996618612177</v>
      </c>
      <c r="AI152" s="439" t="s">
        <v>322</v>
      </c>
      <c r="AJ152" s="548">
        <f>SUM(AM142:AM152)</f>
        <v>22192.904000000002</v>
      </c>
      <c r="AK152" s="509"/>
      <c r="AL152" s="443">
        <f t="shared" si="36"/>
        <v>8636</v>
      </c>
      <c r="AM152" s="443">
        <f t="shared" si="37"/>
        <v>13089.924000000001</v>
      </c>
      <c r="AO152" s="536">
        <f t="shared" si="60"/>
        <v>8.8893083198428471</v>
      </c>
      <c r="AP152" s="439" t="s">
        <v>322</v>
      </c>
      <c r="AQ152" s="548" t="e">
        <f>SUM(AT142:AT152)</f>
        <v>#VALUE!</v>
      </c>
      <c r="AR152" s="509"/>
      <c r="AS152" s="443" t="e">
        <f t="shared" si="38"/>
        <v>#VALUE!</v>
      </c>
      <c r="AT152" s="443" t="e">
        <f t="shared" si="39"/>
        <v>#VALUE!</v>
      </c>
      <c r="AV152" s="536">
        <f t="shared" si="61"/>
        <v>8.9028636721962222</v>
      </c>
      <c r="AW152" s="439" t="s">
        <v>322</v>
      </c>
      <c r="AX152" s="548">
        <f>SUM(BA142:BA152)</f>
        <v>21205.798999999999</v>
      </c>
      <c r="AY152" s="509"/>
      <c r="AZ152" s="443">
        <f t="shared" si="40"/>
        <v>8728</v>
      </c>
      <c r="BA152" s="443">
        <f t="shared" si="41"/>
        <v>12432.675999999999</v>
      </c>
      <c r="BC152" s="536">
        <f t="shared" si="62"/>
        <v>8.9027276640355222</v>
      </c>
      <c r="BD152" s="439" t="s">
        <v>322</v>
      </c>
      <c r="BE152" s="548">
        <f>SUM(BH142:BH152)</f>
        <v>19987.076999999997</v>
      </c>
      <c r="BF152" s="509"/>
      <c r="BG152" s="443">
        <f t="shared" si="42"/>
        <v>8846</v>
      </c>
      <c r="BH152" s="443">
        <f t="shared" si="43"/>
        <v>11614.464</v>
      </c>
      <c r="BJ152" s="536">
        <f t="shared" si="63"/>
        <v>8.902591637374087</v>
      </c>
      <c r="BK152" s="439" t="s">
        <v>322</v>
      </c>
      <c r="BL152" s="548">
        <f>SUM(BO142:BO152)</f>
        <v>18426.654000000002</v>
      </c>
      <c r="BM152" s="509"/>
      <c r="BN152" s="443">
        <f t="shared" si="44"/>
        <v>9004</v>
      </c>
      <c r="BO152" s="443">
        <f t="shared" si="45"/>
        <v>10562.5</v>
      </c>
      <c r="BQ152" s="536">
        <f t="shared" si="64"/>
        <v>8.9024555922068824</v>
      </c>
      <c r="BR152" s="439" t="s">
        <v>322</v>
      </c>
      <c r="BS152" s="548">
        <f>SUM(BV142:BV152)</f>
        <v>16251.587</v>
      </c>
      <c r="BT152" s="509"/>
      <c r="BU152" s="443">
        <f t="shared" si="46"/>
        <v>9239</v>
      </c>
      <c r="BV152" s="443">
        <f t="shared" si="47"/>
        <v>9090.2250000000004</v>
      </c>
      <c r="BX152" s="536">
        <f t="shared" si="65"/>
        <v>8.9023195285288708</v>
      </c>
      <c r="BY152" s="439" t="s">
        <v>322</v>
      </c>
      <c r="BZ152" s="548">
        <f>SUM(CC142:CC152)</f>
        <v>12667.939</v>
      </c>
      <c r="CA152" s="509"/>
      <c r="CB152" s="443">
        <f t="shared" si="48"/>
        <v>9677</v>
      </c>
      <c r="CC152" s="443">
        <f t="shared" si="49"/>
        <v>6640.9290000000001</v>
      </c>
      <c r="CE152" s="536">
        <f t="shared" si="66"/>
        <v>8.902183446335016</v>
      </c>
      <c r="CF152" s="439" t="s">
        <v>322</v>
      </c>
      <c r="CG152" s="548" t="e">
        <f>SUM(CJ142:CJ152)</f>
        <v>#VALUE!</v>
      </c>
      <c r="CH152" s="509"/>
      <c r="CI152" s="443" t="e">
        <f t="shared" si="50"/>
        <v>#VALUE!</v>
      </c>
      <c r="CJ152" s="443" t="e">
        <f t="shared" si="51"/>
        <v>#VALUE!</v>
      </c>
      <c r="CL152" s="536">
        <f t="shared" si="67"/>
        <v>8.9020473456202769</v>
      </c>
      <c r="CM152" s="439" t="s">
        <v>322</v>
      </c>
      <c r="CN152" s="548" t="e">
        <f>SUM(CQ142:CQ152)</f>
        <v>#VALUE!</v>
      </c>
      <c r="CO152" s="509"/>
      <c r="CP152" s="443" t="e">
        <f t="shared" si="52"/>
        <v>#VALUE!</v>
      </c>
      <c r="CQ152" s="443" t="e">
        <f t="shared" si="53"/>
        <v>#VALUE!</v>
      </c>
      <c r="CS152" s="536">
        <f t="shared" si="68"/>
        <v>8.9019112263796121</v>
      </c>
      <c r="CT152" s="439" t="s">
        <v>322</v>
      </c>
      <c r="CU152" s="548" t="e">
        <f>SUM(CX142:CX152)</f>
        <v>#VALUE!</v>
      </c>
      <c r="CV152" s="509"/>
      <c r="CW152" s="443" t="e">
        <f t="shared" si="54"/>
        <v>#VALUE!</v>
      </c>
      <c r="CX152" s="443" t="e">
        <f t="shared" si="55"/>
        <v>#VALUE!</v>
      </c>
    </row>
    <row r="153" spans="1:102" ht="15" customHeight="1" thickTop="1">
      <c r="A153" s="458">
        <f t="shared" si="26"/>
        <v>2017</v>
      </c>
      <c r="B153" s="459">
        <f>ROUND($G$147+$G$150*D153^$G$148,$G$1)</f>
        <v>11054</v>
      </c>
      <c r="C153" s="549"/>
      <c r="D153" s="550">
        <f t="shared" si="27"/>
        <v>12</v>
      </c>
      <c r="E153" s="551"/>
      <c r="F153" s="2314" t="s">
        <v>276</v>
      </c>
      <c r="G153" s="2315"/>
      <c r="H153" s="514">
        <f>I141</f>
        <v>0.91209323690569022</v>
      </c>
      <c r="I153" s="464">
        <f t="shared" si="28"/>
        <v>11054</v>
      </c>
      <c r="J153" s="463"/>
      <c r="K153" s="464"/>
      <c r="M153" s="552"/>
      <c r="N153" s="553"/>
      <c r="O153" s="554"/>
      <c r="P153" s="331"/>
      <c r="Q153" s="555"/>
      <c r="R153" s="556"/>
      <c r="T153" s="552"/>
      <c r="U153" s="553"/>
      <c r="V153" s="554"/>
      <c r="W153" s="331"/>
      <c r="X153" s="555"/>
      <c r="Y153" s="556"/>
      <c r="AA153" s="552"/>
      <c r="AB153" s="553"/>
      <c r="AC153" s="554"/>
      <c r="AD153" s="331"/>
      <c r="AE153" s="555"/>
      <c r="AF153" s="556"/>
      <c r="AH153" s="552"/>
      <c r="AI153" s="553"/>
      <c r="AJ153" s="554"/>
      <c r="AK153" s="331"/>
      <c r="AL153" s="555"/>
      <c r="AM153" s="556"/>
      <c r="AO153" s="552"/>
      <c r="AP153" s="553"/>
      <c r="AQ153" s="554"/>
      <c r="AR153" s="331"/>
      <c r="AS153" s="555"/>
      <c r="AT153" s="556"/>
      <c r="AV153" s="552"/>
      <c r="AW153" s="553"/>
      <c r="AX153" s="554"/>
      <c r="AY153" s="331"/>
      <c r="AZ153" s="555"/>
      <c r="BA153" s="556"/>
      <c r="BC153" s="552"/>
      <c r="BD153" s="553"/>
      <c r="BE153" s="554"/>
      <c r="BF153" s="331"/>
      <c r="BG153" s="555"/>
      <c r="BH153" s="556"/>
      <c r="BJ153" s="552"/>
      <c r="BK153" s="553"/>
      <c r="BL153" s="554"/>
      <c r="BM153" s="331"/>
      <c r="BN153" s="555"/>
      <c r="BO153" s="556"/>
      <c r="BQ153" s="552"/>
      <c r="BR153" s="553"/>
      <c r="BS153" s="554"/>
      <c r="BT153" s="331"/>
      <c r="BU153" s="555"/>
      <c r="BV153" s="556"/>
      <c r="BX153" s="552"/>
      <c r="BY153" s="553"/>
      <c r="BZ153" s="554"/>
      <c r="CA153" s="331"/>
      <c r="CB153" s="555"/>
      <c r="CC153" s="556"/>
      <c r="CE153" s="552"/>
      <c r="CF153" s="553"/>
      <c r="CG153" s="554"/>
      <c r="CH153" s="331"/>
      <c r="CI153" s="555"/>
      <c r="CJ153" s="556"/>
      <c r="CL153" s="552"/>
      <c r="CM153" s="553"/>
      <c r="CN153" s="554"/>
      <c r="CO153" s="331"/>
      <c r="CP153" s="555"/>
      <c r="CQ153" s="556"/>
      <c r="CS153" s="552"/>
      <c r="CT153" s="553"/>
      <c r="CU153" s="554"/>
      <c r="CV153" s="331"/>
      <c r="CW153" s="555"/>
      <c r="CX153" s="556"/>
    </row>
    <row r="154" spans="1:102" ht="15" customHeight="1">
      <c r="A154" s="436">
        <f t="shared" si="26"/>
        <v>2018</v>
      </c>
      <c r="B154" s="437">
        <f>ROUND($G$147+$G$150*D154^$G$148,$G$1)</f>
        <v>12668</v>
      </c>
      <c r="C154" s="545"/>
      <c r="D154" s="438">
        <f t="shared" si="27"/>
        <v>13</v>
      </c>
      <c r="E154" s="546"/>
      <c r="F154" s="2318" t="s">
        <v>323</v>
      </c>
      <c r="G154" s="2320"/>
      <c r="H154" s="448">
        <f>SUM(K142:K152)</f>
        <v>12667.939</v>
      </c>
      <c r="I154" s="443">
        <f t="shared" si="28"/>
        <v>12668</v>
      </c>
      <c r="J154" s="467"/>
      <c r="K154" s="443"/>
      <c r="M154" s="557"/>
      <c r="N154" s="439"/>
      <c r="O154" s="548"/>
      <c r="P154" s="451"/>
      <c r="Q154" s="493"/>
      <c r="R154" s="492"/>
      <c r="T154" s="557"/>
      <c r="U154" s="439"/>
      <c r="V154" s="548"/>
      <c r="W154" s="451"/>
      <c r="X154" s="493"/>
      <c r="Y154" s="492"/>
      <c r="AA154" s="557"/>
      <c r="AB154" s="439"/>
      <c r="AC154" s="548"/>
      <c r="AD154" s="451"/>
      <c r="AE154" s="493"/>
      <c r="AF154" s="492"/>
      <c r="AH154" s="557"/>
      <c r="AI154" s="439"/>
      <c r="AJ154" s="548"/>
      <c r="AK154" s="451"/>
      <c r="AL154" s="493"/>
      <c r="AM154" s="492"/>
      <c r="AO154" s="557"/>
      <c r="AP154" s="439"/>
      <c r="AQ154" s="548"/>
      <c r="AR154" s="451"/>
      <c r="AS154" s="493"/>
      <c r="AT154" s="492"/>
      <c r="AV154" s="557"/>
      <c r="AW154" s="439"/>
      <c r="AX154" s="548"/>
      <c r="AY154" s="451"/>
      <c r="AZ154" s="493"/>
      <c r="BA154" s="492"/>
      <c r="BC154" s="557"/>
      <c r="BD154" s="439"/>
      <c r="BE154" s="548"/>
      <c r="BF154" s="451"/>
      <c r="BG154" s="493"/>
      <c r="BH154" s="492"/>
      <c r="BJ154" s="557"/>
      <c r="BK154" s="439"/>
      <c r="BL154" s="548"/>
      <c r="BM154" s="451"/>
      <c r="BN154" s="493"/>
      <c r="BO154" s="492"/>
      <c r="BQ154" s="557"/>
      <c r="BR154" s="439"/>
      <c r="BS154" s="548"/>
      <c r="BT154" s="451"/>
      <c r="BU154" s="493"/>
      <c r="BV154" s="492"/>
      <c r="BX154" s="557"/>
      <c r="BY154" s="439"/>
      <c r="BZ154" s="548"/>
      <c r="CA154" s="451"/>
      <c r="CB154" s="493"/>
      <c r="CC154" s="492"/>
      <c r="CE154" s="557"/>
      <c r="CF154" s="439"/>
      <c r="CG154" s="548"/>
      <c r="CH154" s="451"/>
      <c r="CI154" s="493"/>
      <c r="CJ154" s="492"/>
      <c r="CL154" s="557"/>
      <c r="CM154" s="439"/>
      <c r="CN154" s="548"/>
      <c r="CO154" s="451"/>
      <c r="CP154" s="493"/>
      <c r="CQ154" s="492"/>
      <c r="CS154" s="557"/>
      <c r="CT154" s="439"/>
      <c r="CU154" s="548"/>
      <c r="CV154" s="451"/>
      <c r="CW154" s="493"/>
      <c r="CX154" s="492"/>
    </row>
    <row r="155" spans="1:102" ht="15" customHeight="1">
      <c r="A155" s="436">
        <f t="shared" si="26"/>
        <v>2019</v>
      </c>
      <c r="B155" s="437">
        <f t="shared" ref="B155:B174" si="72">ROUND($G$147+$G$150*D155^$G$148,$G$1)</f>
        <v>14539</v>
      </c>
      <c r="C155" s="545"/>
      <c r="D155" s="438">
        <f t="shared" si="27"/>
        <v>14</v>
      </c>
      <c r="E155" s="546"/>
      <c r="F155" s="2318" t="s">
        <v>324</v>
      </c>
      <c r="G155" s="2320"/>
      <c r="H155" s="449">
        <f>SUM(J142:J152)/D152</f>
        <v>8.7332262252419497</v>
      </c>
      <c r="I155" s="443">
        <f t="shared" si="28"/>
        <v>14539</v>
      </c>
      <c r="J155" s="467"/>
      <c r="K155" s="443"/>
      <c r="M155" s="505" t="s">
        <v>325</v>
      </c>
      <c r="N155" s="505">
        <f>MIN(B142:B152)</f>
        <v>4906</v>
      </c>
      <c r="O155" s="505"/>
      <c r="P155" s="505"/>
      <c r="Q155" s="505"/>
      <c r="R155" s="505"/>
      <c r="S155" s="505"/>
      <c r="T155" s="505" t="s">
        <v>325</v>
      </c>
      <c r="U155" s="505">
        <f>N155</f>
        <v>4906</v>
      </c>
      <c r="V155" s="505"/>
      <c r="W155" s="505"/>
      <c r="X155" s="505"/>
      <c r="Y155" s="505"/>
      <c r="Z155" s="505"/>
      <c r="AA155" s="505" t="s">
        <v>325</v>
      </c>
      <c r="AB155" s="505">
        <f>U155</f>
        <v>4906</v>
      </c>
      <c r="AH155" s="505" t="s">
        <v>325</v>
      </c>
      <c r="AI155" s="505">
        <f>AB155</f>
        <v>4906</v>
      </c>
      <c r="AO155" s="505" t="s">
        <v>325</v>
      </c>
      <c r="AP155" s="505">
        <f>AI155</f>
        <v>4906</v>
      </c>
      <c r="AV155" s="505" t="s">
        <v>325</v>
      </c>
      <c r="AW155" s="505">
        <f>AP155</f>
        <v>4906</v>
      </c>
      <c r="BC155" s="505" t="s">
        <v>325</v>
      </c>
      <c r="BD155" s="505">
        <f>AW155</f>
        <v>4906</v>
      </c>
      <c r="BJ155" s="505" t="s">
        <v>325</v>
      </c>
      <c r="BK155" s="505">
        <f>BD155</f>
        <v>4906</v>
      </c>
      <c r="BQ155" s="505" t="s">
        <v>325</v>
      </c>
      <c r="BR155" s="505">
        <f>BK155</f>
        <v>4906</v>
      </c>
      <c r="BX155" s="505" t="s">
        <v>325</v>
      </c>
      <c r="BY155" s="505">
        <f>BR155</f>
        <v>4906</v>
      </c>
      <c r="CE155" s="505" t="s">
        <v>325</v>
      </c>
      <c r="CF155" s="505">
        <f>BY155</f>
        <v>4906</v>
      </c>
      <c r="CL155" s="505" t="s">
        <v>325</v>
      </c>
      <c r="CM155" s="505">
        <f>CF155</f>
        <v>4906</v>
      </c>
      <c r="CS155" s="505" t="s">
        <v>325</v>
      </c>
      <c r="CT155" s="505">
        <f>CM155</f>
        <v>4906</v>
      </c>
    </row>
    <row r="156" spans="1:102" ht="15" customHeight="1">
      <c r="A156" s="436">
        <f t="shared" si="26"/>
        <v>2020</v>
      </c>
      <c r="B156" s="437">
        <f t="shared" si="72"/>
        <v>16684</v>
      </c>
      <c r="C156" s="545"/>
      <c r="D156" s="438">
        <f t="shared" si="27"/>
        <v>15</v>
      </c>
      <c r="E156" s="546"/>
      <c r="I156" s="443">
        <f t="shared" si="28"/>
        <v>16684</v>
      </c>
      <c r="J156" s="467"/>
      <c r="K156" s="443"/>
      <c r="M156" s="505" t="s">
        <v>326</v>
      </c>
      <c r="N156" s="505">
        <v>3</v>
      </c>
      <c r="O156" s="505"/>
      <c r="P156" s="505"/>
      <c r="Q156" s="505"/>
      <c r="R156" s="505"/>
      <c r="S156" s="505"/>
      <c r="T156" s="505" t="s">
        <v>326</v>
      </c>
      <c r="U156" s="505">
        <f>N156</f>
        <v>3</v>
      </c>
      <c r="V156" s="505"/>
      <c r="W156" s="505"/>
      <c r="X156" s="505"/>
      <c r="Y156" s="505"/>
      <c r="Z156" s="505"/>
      <c r="AA156" s="505" t="s">
        <v>326</v>
      </c>
      <c r="AB156" s="505">
        <f>U156</f>
        <v>3</v>
      </c>
      <c r="AH156" s="505" t="s">
        <v>326</v>
      </c>
      <c r="AI156" s="505">
        <f>AB156</f>
        <v>3</v>
      </c>
      <c r="AO156" s="505" t="s">
        <v>326</v>
      </c>
      <c r="AP156" s="505">
        <f>AI156</f>
        <v>3</v>
      </c>
      <c r="AV156" s="505" t="s">
        <v>326</v>
      </c>
      <c r="AW156" s="505">
        <f>AP156</f>
        <v>3</v>
      </c>
      <c r="BC156" s="505" t="s">
        <v>326</v>
      </c>
      <c r="BD156" s="505">
        <f>AW156</f>
        <v>3</v>
      </c>
      <c r="BJ156" s="505" t="s">
        <v>326</v>
      </c>
      <c r="BK156" s="505">
        <f>BD156</f>
        <v>3</v>
      </c>
      <c r="BQ156" s="505" t="s">
        <v>326</v>
      </c>
      <c r="BR156" s="505">
        <f>BK156</f>
        <v>3</v>
      </c>
      <c r="BX156" s="505" t="s">
        <v>326</v>
      </c>
      <c r="BY156" s="505">
        <f>BR156</f>
        <v>3</v>
      </c>
      <c r="CE156" s="505" t="s">
        <v>326</v>
      </c>
      <c r="CF156" s="505">
        <f>BY156</f>
        <v>3</v>
      </c>
      <c r="CL156" s="505" t="s">
        <v>326</v>
      </c>
      <c r="CM156" s="505">
        <f>CF156</f>
        <v>3</v>
      </c>
      <c r="CS156" s="505" t="s">
        <v>326</v>
      </c>
      <c r="CT156" s="505">
        <f>CM156</f>
        <v>3</v>
      </c>
    </row>
    <row r="157" spans="1:102" ht="15" customHeight="1">
      <c r="A157" s="436">
        <f t="shared" si="26"/>
        <v>2021</v>
      </c>
      <c r="B157" s="437">
        <f t="shared" si="72"/>
        <v>19121</v>
      </c>
      <c r="C157" s="545"/>
      <c r="D157" s="438">
        <f t="shared" si="27"/>
        <v>16</v>
      </c>
      <c r="E157" s="546"/>
      <c r="F157" s="519"/>
      <c r="G157" s="451"/>
      <c r="H157" s="558"/>
      <c r="I157" s="443">
        <f t="shared" si="28"/>
        <v>19121</v>
      </c>
      <c r="J157" s="467"/>
      <c r="K157" s="443"/>
      <c r="M157" s="505" t="s">
        <v>329</v>
      </c>
      <c r="N157" s="559">
        <v>150</v>
      </c>
      <c r="O157" s="505"/>
      <c r="P157" s="505"/>
      <c r="Q157" s="505"/>
      <c r="R157" s="505"/>
      <c r="S157" s="505"/>
      <c r="T157" s="505" t="s">
        <v>329</v>
      </c>
      <c r="U157" s="505">
        <f>N157</f>
        <v>150</v>
      </c>
      <c r="V157" s="505"/>
      <c r="W157" s="505"/>
      <c r="X157" s="505"/>
      <c r="Y157" s="505"/>
      <c r="Z157" s="505"/>
      <c r="AA157" s="505" t="s">
        <v>329</v>
      </c>
      <c r="AB157" s="505">
        <f>U157</f>
        <v>150</v>
      </c>
      <c r="AH157" s="505" t="s">
        <v>329</v>
      </c>
      <c r="AI157" s="505">
        <v>500</v>
      </c>
      <c r="AO157" s="505" t="s">
        <v>329</v>
      </c>
      <c r="AP157" s="505">
        <f>AI157</f>
        <v>500</v>
      </c>
      <c r="AV157" s="505" t="s">
        <v>329</v>
      </c>
      <c r="AW157" s="505">
        <f>AP157</f>
        <v>500</v>
      </c>
      <c r="BC157" s="505" t="s">
        <v>329</v>
      </c>
      <c r="BD157" s="505">
        <f>AW157</f>
        <v>500</v>
      </c>
      <c r="BJ157" s="505" t="s">
        <v>329</v>
      </c>
      <c r="BK157" s="505">
        <f>BD157</f>
        <v>500</v>
      </c>
      <c r="BQ157" s="505" t="s">
        <v>329</v>
      </c>
      <c r="BR157" s="505">
        <f>BK157</f>
        <v>500</v>
      </c>
      <c r="BX157" s="505" t="s">
        <v>329</v>
      </c>
      <c r="BY157" s="505">
        <f>BR157</f>
        <v>500</v>
      </c>
      <c r="CE157" s="505" t="s">
        <v>329</v>
      </c>
      <c r="CF157" s="505">
        <f>BY157</f>
        <v>500</v>
      </c>
      <c r="CL157" s="505" t="s">
        <v>329</v>
      </c>
      <c r="CM157" s="505">
        <f>CF157</f>
        <v>500</v>
      </c>
      <c r="CS157" s="505" t="s">
        <v>329</v>
      </c>
      <c r="CT157" s="505">
        <f>CM157</f>
        <v>500</v>
      </c>
    </row>
    <row r="158" spans="1:102" ht="15" customHeight="1" thickBot="1">
      <c r="A158" s="436">
        <f t="shared" ref="A158:A174" si="73">A120</f>
        <v>2022</v>
      </c>
      <c r="B158" s="437">
        <f t="shared" si="72"/>
        <v>21867</v>
      </c>
      <c r="C158" s="545"/>
      <c r="D158" s="438">
        <f t="shared" si="27"/>
        <v>17</v>
      </c>
      <c r="E158" s="546"/>
      <c r="F158" s="560" t="s">
        <v>331</v>
      </c>
      <c r="G158" s="561" t="s">
        <v>332</v>
      </c>
      <c r="H158" s="562" t="s">
        <v>294</v>
      </c>
      <c r="I158" s="443">
        <f t="shared" si="28"/>
        <v>21867</v>
      </c>
      <c r="J158" s="467"/>
      <c r="K158" s="443"/>
      <c r="M158" s="557"/>
      <c r="N158" s="451"/>
      <c r="O158" s="451"/>
      <c r="P158" s="451"/>
      <c r="Q158" s="493"/>
      <c r="R158" s="492"/>
      <c r="T158" s="557"/>
      <c r="U158" s="451"/>
      <c r="V158" s="451"/>
      <c r="W158" s="451"/>
      <c r="X158" s="493"/>
      <c r="Y158" s="492"/>
      <c r="AA158" s="557"/>
      <c r="AB158" s="451"/>
      <c r="AC158" s="451"/>
      <c r="AD158" s="451"/>
      <c r="AE158" s="493"/>
      <c r="AF158" s="492"/>
      <c r="AH158" s="557"/>
      <c r="AI158" s="451"/>
      <c r="AJ158" s="451"/>
      <c r="AK158" s="451"/>
      <c r="AL158" s="493"/>
      <c r="AM158" s="492"/>
      <c r="AO158" s="557"/>
      <c r="AP158" s="451"/>
      <c r="AQ158" s="451"/>
      <c r="AR158" s="451"/>
      <c r="AS158" s="493"/>
      <c r="AT158" s="492"/>
      <c r="AV158" s="557"/>
      <c r="AW158" s="451"/>
      <c r="AX158" s="451"/>
      <c r="AY158" s="451"/>
      <c r="AZ158" s="493"/>
      <c r="BA158" s="492"/>
      <c r="BC158" s="557"/>
      <c r="BD158" s="451"/>
      <c r="BE158" s="451"/>
      <c r="BF158" s="451"/>
      <c r="BG158" s="493"/>
      <c r="BH158" s="492"/>
      <c r="BJ158" s="557"/>
      <c r="BK158" s="451"/>
      <c r="BL158" s="451"/>
      <c r="BM158" s="451"/>
      <c r="BN158" s="493"/>
      <c r="BO158" s="492"/>
      <c r="BQ158" s="557"/>
      <c r="BR158" s="451"/>
      <c r="BS158" s="451"/>
      <c r="BT158" s="451"/>
      <c r="BU158" s="493"/>
      <c r="BV158" s="492"/>
      <c r="BX158" s="557"/>
      <c r="BY158" s="451"/>
      <c r="BZ158" s="451"/>
      <c r="CA158" s="451"/>
      <c r="CB158" s="493"/>
      <c r="CC158" s="492"/>
      <c r="CE158" s="557"/>
      <c r="CF158" s="451"/>
      <c r="CG158" s="451"/>
      <c r="CH158" s="451"/>
      <c r="CI158" s="493"/>
      <c r="CJ158" s="492"/>
      <c r="CL158" s="557"/>
      <c r="CM158" s="451"/>
      <c r="CN158" s="451"/>
      <c r="CO158" s="451"/>
      <c r="CP158" s="493"/>
      <c r="CQ158" s="492"/>
      <c r="CS158" s="557"/>
      <c r="CT158" s="451"/>
      <c r="CU158" s="451"/>
      <c r="CV158" s="451"/>
      <c r="CW158" s="493"/>
      <c r="CX158" s="492"/>
    </row>
    <row r="159" spans="1:102" ht="15" customHeight="1" thickTop="1">
      <c r="A159" s="436">
        <f t="shared" si="73"/>
        <v>2023</v>
      </c>
      <c r="B159" s="437">
        <f t="shared" si="72"/>
        <v>24940</v>
      </c>
      <c r="C159" s="545"/>
      <c r="D159" s="438">
        <f t="shared" si="27"/>
        <v>18</v>
      </c>
      <c r="E159" s="546"/>
      <c r="F159" s="505">
        <v>0</v>
      </c>
      <c r="G159" s="563">
        <f>IFERROR(O151,0)</f>
        <v>0.49103495819207738</v>
      </c>
      <c r="H159" s="564">
        <f>O152</f>
        <v>34958.111000000004</v>
      </c>
      <c r="I159" s="443">
        <f t="shared" si="28"/>
        <v>24940</v>
      </c>
      <c r="J159" s="467"/>
      <c r="K159" s="443"/>
      <c r="L159" s="326">
        <f>RANK(G159,$G$159:$G$171)</f>
        <v>9</v>
      </c>
      <c r="M159" s="557"/>
      <c r="N159" s="451"/>
      <c r="O159" s="451"/>
      <c r="P159" s="451"/>
      <c r="Q159" s="493"/>
      <c r="R159" s="492"/>
      <c r="T159" s="557"/>
      <c r="U159" s="451"/>
      <c r="V159" s="451"/>
      <c r="W159" s="451"/>
      <c r="X159" s="493"/>
      <c r="Y159" s="492"/>
      <c r="AA159" s="557"/>
      <c r="AB159" s="451"/>
      <c r="AC159" s="451"/>
      <c r="AD159" s="451"/>
      <c r="AE159" s="493"/>
      <c r="AF159" s="492"/>
      <c r="AH159" s="557"/>
      <c r="AI159" s="451"/>
      <c r="AJ159" s="451"/>
      <c r="AK159" s="451"/>
      <c r="AL159" s="493"/>
      <c r="AM159" s="492"/>
      <c r="AO159" s="557"/>
      <c r="AP159" s="451"/>
      <c r="AQ159" s="451"/>
      <c r="AR159" s="451"/>
      <c r="AS159" s="493"/>
      <c r="AT159" s="492"/>
      <c r="AV159" s="557"/>
      <c r="AW159" s="451"/>
      <c r="AX159" s="451"/>
      <c r="AY159" s="451"/>
      <c r="AZ159" s="493"/>
      <c r="BA159" s="492"/>
      <c r="BC159" s="557"/>
      <c r="BD159" s="451"/>
      <c r="BE159" s="451"/>
      <c r="BF159" s="451"/>
      <c r="BG159" s="493"/>
      <c r="BH159" s="492"/>
      <c r="BJ159" s="557"/>
      <c r="BK159" s="451"/>
      <c r="BL159" s="451"/>
      <c r="BM159" s="451"/>
      <c r="BN159" s="493"/>
      <c r="BO159" s="492"/>
      <c r="BQ159" s="557"/>
      <c r="BR159" s="451"/>
      <c r="BS159" s="451"/>
      <c r="BT159" s="451"/>
      <c r="BU159" s="493"/>
      <c r="BV159" s="492"/>
      <c r="BX159" s="557"/>
      <c r="BY159" s="451"/>
      <c r="BZ159" s="451"/>
      <c r="CA159" s="451"/>
      <c r="CB159" s="493"/>
      <c r="CC159" s="492"/>
      <c r="CE159" s="557"/>
      <c r="CF159" s="451"/>
      <c r="CG159" s="451"/>
      <c r="CH159" s="451"/>
      <c r="CI159" s="493"/>
      <c r="CJ159" s="492"/>
      <c r="CL159" s="557"/>
      <c r="CM159" s="451"/>
      <c r="CN159" s="451"/>
      <c r="CO159" s="451"/>
      <c r="CP159" s="493"/>
      <c r="CQ159" s="492"/>
      <c r="CS159" s="557"/>
      <c r="CT159" s="451"/>
      <c r="CU159" s="451"/>
      <c r="CV159" s="451"/>
      <c r="CW159" s="493"/>
      <c r="CX159" s="492"/>
    </row>
    <row r="160" spans="1:102" s="451" customFormat="1" ht="15" customHeight="1">
      <c r="A160" s="436">
        <f t="shared" si="73"/>
        <v>2024</v>
      </c>
      <c r="B160" s="437">
        <f t="shared" si="72"/>
        <v>28358</v>
      </c>
      <c r="C160" s="545"/>
      <c r="D160" s="438">
        <f t="shared" si="27"/>
        <v>19</v>
      </c>
      <c r="E160" s="546"/>
      <c r="F160" s="505">
        <v>4700</v>
      </c>
      <c r="G160" s="565">
        <f>IFERROR(V151,0)</f>
        <v>0.71796946230398773</v>
      </c>
      <c r="H160" s="564">
        <f>V152</f>
        <v>36626.661</v>
      </c>
      <c r="I160" s="443">
        <f t="shared" si="28"/>
        <v>28358</v>
      </c>
      <c r="J160" s="467"/>
      <c r="K160" s="443"/>
      <c r="L160" s="326">
        <f t="shared" ref="L160:L171" si="74">RANK(G160,$G$159:$G$171)</f>
        <v>8</v>
      </c>
      <c r="M160" s="557"/>
      <c r="P160" s="439"/>
      <c r="Q160" s="493"/>
      <c r="R160" s="492"/>
      <c r="T160" s="557"/>
      <c r="W160" s="439"/>
      <c r="X160" s="493"/>
      <c r="Y160" s="492"/>
      <c r="AA160" s="557"/>
      <c r="AD160" s="439"/>
      <c r="AE160" s="493"/>
      <c r="AF160" s="492"/>
      <c r="AH160" s="557"/>
      <c r="AK160" s="439"/>
      <c r="AL160" s="493"/>
      <c r="AM160" s="492"/>
      <c r="AO160" s="557"/>
      <c r="AR160" s="439"/>
      <c r="AS160" s="493"/>
      <c r="AT160" s="492"/>
      <c r="AV160" s="557"/>
      <c r="AY160" s="439"/>
      <c r="AZ160" s="493"/>
      <c r="BA160" s="492"/>
      <c r="BC160" s="557"/>
      <c r="BF160" s="439"/>
      <c r="BG160" s="493"/>
      <c r="BH160" s="492"/>
      <c r="BJ160" s="557"/>
      <c r="BM160" s="439"/>
      <c r="BN160" s="493"/>
      <c r="BO160" s="492"/>
      <c r="BQ160" s="557"/>
      <c r="BT160" s="439"/>
      <c r="BU160" s="493"/>
      <c r="BV160" s="492"/>
      <c r="BX160" s="557"/>
      <c r="CA160" s="439"/>
      <c r="CB160" s="493"/>
      <c r="CC160" s="492"/>
      <c r="CE160" s="557"/>
      <c r="CH160" s="439"/>
      <c r="CI160" s="493"/>
      <c r="CJ160" s="492"/>
      <c r="CL160" s="557"/>
      <c r="CO160" s="439"/>
      <c r="CP160" s="493"/>
      <c r="CQ160" s="492"/>
      <c r="CS160" s="557"/>
      <c r="CV160" s="439"/>
      <c r="CW160" s="493"/>
      <c r="CX160" s="492"/>
    </row>
    <row r="161" spans="1:102" ht="15" customHeight="1">
      <c r="A161" s="436">
        <f t="shared" si="73"/>
        <v>2025</v>
      </c>
      <c r="B161" s="437">
        <f t="shared" si="72"/>
        <v>32138</v>
      </c>
      <c r="C161" s="545"/>
      <c r="D161" s="438">
        <f t="shared" si="27"/>
        <v>20</v>
      </c>
      <c r="E161" s="546"/>
      <c r="F161" s="505">
        <v>4800</v>
      </c>
      <c r="G161" s="565">
        <f>IFERROR(AC151,0)</f>
        <v>0.75767273291784853</v>
      </c>
      <c r="H161" s="505">
        <f>AC152</f>
        <v>35245.237999999998</v>
      </c>
      <c r="I161" s="443">
        <f t="shared" si="28"/>
        <v>32138</v>
      </c>
      <c r="J161" s="467"/>
      <c r="K161" s="443"/>
      <c r="L161" s="326">
        <f t="shared" si="74"/>
        <v>7</v>
      </c>
      <c r="M161" s="557"/>
      <c r="N161" s="451"/>
      <c r="O161" s="451"/>
      <c r="P161" s="439"/>
      <c r="Q161" s="493"/>
      <c r="R161" s="492"/>
      <c r="T161" s="557"/>
      <c r="U161" s="451"/>
      <c r="V161" s="451"/>
      <c r="W161" s="439"/>
      <c r="X161" s="493"/>
      <c r="Y161" s="492"/>
      <c r="AA161" s="557"/>
      <c r="AB161" s="451"/>
      <c r="AC161" s="451"/>
      <c r="AD161" s="439"/>
      <c r="AE161" s="493"/>
      <c r="AF161" s="492"/>
      <c r="AH161" s="557"/>
      <c r="AI161" s="451"/>
      <c r="AJ161" s="451"/>
      <c r="AK161" s="439"/>
      <c r="AL161" s="493"/>
      <c r="AM161" s="492"/>
      <c r="AO161" s="557"/>
      <c r="AP161" s="451"/>
      <c r="AQ161" s="451"/>
      <c r="AR161" s="439"/>
      <c r="AS161" s="493"/>
      <c r="AT161" s="492"/>
      <c r="AV161" s="557"/>
      <c r="AW161" s="451"/>
      <c r="AX161" s="451"/>
      <c r="AY161" s="439"/>
      <c r="AZ161" s="493"/>
      <c r="BA161" s="492"/>
      <c r="BC161" s="557"/>
      <c r="BD161" s="451"/>
      <c r="BE161" s="451"/>
      <c r="BF161" s="439"/>
      <c r="BG161" s="493"/>
      <c r="BH161" s="492"/>
      <c r="BJ161" s="557"/>
      <c r="BK161" s="451"/>
      <c r="BL161" s="451"/>
      <c r="BM161" s="439"/>
      <c r="BN161" s="493"/>
      <c r="BO161" s="492"/>
      <c r="BQ161" s="557"/>
      <c r="BR161" s="451"/>
      <c r="BS161" s="451"/>
      <c r="BT161" s="439"/>
      <c r="BU161" s="493"/>
      <c r="BV161" s="492"/>
      <c r="BX161" s="557"/>
      <c r="BY161" s="451"/>
      <c r="BZ161" s="451"/>
      <c r="CA161" s="439"/>
      <c r="CB161" s="493"/>
      <c r="CC161" s="492"/>
      <c r="CE161" s="557"/>
      <c r="CF161" s="451"/>
      <c r="CG161" s="451"/>
      <c r="CH161" s="439"/>
      <c r="CI161" s="493"/>
      <c r="CJ161" s="492"/>
      <c r="CL161" s="557"/>
      <c r="CM161" s="451"/>
      <c r="CN161" s="451"/>
      <c r="CO161" s="439"/>
      <c r="CP161" s="493"/>
      <c r="CQ161" s="492"/>
      <c r="CS161" s="557"/>
      <c r="CT161" s="451"/>
      <c r="CU161" s="451"/>
      <c r="CV161" s="439"/>
      <c r="CW161" s="493"/>
      <c r="CX161" s="492"/>
    </row>
    <row r="162" spans="1:102" s="451" customFormat="1" ht="15" customHeight="1">
      <c r="A162" s="436">
        <f t="shared" si="73"/>
        <v>2026</v>
      </c>
      <c r="B162" s="437">
        <f t="shared" si="72"/>
        <v>36298</v>
      </c>
      <c r="C162" s="545"/>
      <c r="D162" s="438">
        <f t="shared" si="27"/>
        <v>21</v>
      </c>
      <c r="E162" s="546"/>
      <c r="F162" s="505">
        <v>4900</v>
      </c>
      <c r="G162" s="565">
        <f>IFERROR(AJ151,0)</f>
        <v>0.87049840944230772</v>
      </c>
      <c r="H162" s="505">
        <f>AJ152</f>
        <v>22192.904000000002</v>
      </c>
      <c r="I162" s="443">
        <f t="shared" si="28"/>
        <v>36298</v>
      </c>
      <c r="J162" s="467"/>
      <c r="K162" s="443"/>
      <c r="L162" s="326">
        <f t="shared" si="74"/>
        <v>6</v>
      </c>
      <c r="M162" s="557"/>
      <c r="Q162" s="493"/>
      <c r="R162" s="492"/>
      <c r="T162" s="557"/>
      <c r="X162" s="493"/>
      <c r="Y162" s="492"/>
      <c r="AA162" s="557"/>
      <c r="AE162" s="493"/>
      <c r="AF162" s="492"/>
      <c r="AH162" s="557"/>
      <c r="AL162" s="493"/>
      <c r="AM162" s="492"/>
      <c r="AO162" s="557"/>
      <c r="AS162" s="493"/>
      <c r="AT162" s="492"/>
      <c r="AV162" s="557"/>
      <c r="AZ162" s="493"/>
      <c r="BA162" s="492"/>
      <c r="BC162" s="557"/>
      <c r="BG162" s="493"/>
      <c r="BH162" s="492"/>
      <c r="BJ162" s="557"/>
      <c r="BN162" s="493"/>
      <c r="BO162" s="492"/>
      <c r="BQ162" s="557"/>
      <c r="BU162" s="493"/>
      <c r="BV162" s="492"/>
      <c r="BX162" s="557"/>
      <c r="CB162" s="493"/>
      <c r="CC162" s="492"/>
      <c r="CE162" s="557"/>
      <c r="CI162" s="493"/>
      <c r="CJ162" s="492"/>
      <c r="CL162" s="557"/>
      <c r="CP162" s="493"/>
      <c r="CQ162" s="492"/>
      <c r="CS162" s="557"/>
      <c r="CW162" s="493"/>
      <c r="CX162" s="492"/>
    </row>
    <row r="163" spans="1:102" s="451" customFormat="1" ht="15" customHeight="1">
      <c r="A163" s="436">
        <f t="shared" si="73"/>
        <v>2027</v>
      </c>
      <c r="B163" s="437">
        <f t="shared" si="72"/>
        <v>40854</v>
      </c>
      <c r="C163" s="545"/>
      <c r="D163" s="438">
        <f t="shared" si="27"/>
        <v>22</v>
      </c>
      <c r="E163" s="546"/>
      <c r="F163" s="505">
        <v>5000</v>
      </c>
      <c r="G163" s="565">
        <f>IFERROR(AQ151,0)</f>
        <v>0</v>
      </c>
      <c r="H163" s="505" t="e">
        <f>AQ152</f>
        <v>#VALUE!</v>
      </c>
      <c r="I163" s="443">
        <f t="shared" si="28"/>
        <v>40854</v>
      </c>
      <c r="J163" s="467"/>
      <c r="K163" s="443"/>
      <c r="L163" s="326">
        <f t="shared" si="74"/>
        <v>10</v>
      </c>
      <c r="M163" s="557"/>
      <c r="N163" s="538"/>
      <c r="O163" s="538"/>
      <c r="P163" s="566"/>
      <c r="Q163" s="493"/>
      <c r="R163" s="492"/>
      <c r="T163" s="557"/>
      <c r="X163" s="493"/>
      <c r="Y163" s="492"/>
      <c r="AA163" s="557"/>
      <c r="AE163" s="493"/>
      <c r="AF163" s="492"/>
      <c r="AH163" s="557"/>
      <c r="AL163" s="493"/>
      <c r="AM163" s="492"/>
      <c r="AO163" s="557"/>
      <c r="AS163" s="493"/>
      <c r="AT163" s="492"/>
      <c r="AV163" s="557"/>
      <c r="AZ163" s="493"/>
      <c r="BA163" s="492"/>
      <c r="BC163" s="557"/>
      <c r="BG163" s="493"/>
      <c r="BH163" s="492"/>
      <c r="BJ163" s="557"/>
      <c r="BN163" s="493"/>
      <c r="BO163" s="492"/>
      <c r="BQ163" s="557"/>
      <c r="BU163" s="493"/>
      <c r="BV163" s="492"/>
      <c r="BX163" s="557"/>
      <c r="CB163" s="493"/>
      <c r="CC163" s="492"/>
      <c r="CE163" s="557"/>
      <c r="CI163" s="493"/>
      <c r="CJ163" s="492"/>
      <c r="CL163" s="557"/>
      <c r="CP163" s="493"/>
      <c r="CQ163" s="492"/>
      <c r="CS163" s="557"/>
      <c r="CW163" s="493"/>
      <c r="CX163" s="492"/>
    </row>
    <row r="164" spans="1:102" ht="15" customHeight="1">
      <c r="A164" s="436">
        <f t="shared" si="73"/>
        <v>2028</v>
      </c>
      <c r="B164" s="437">
        <f t="shared" si="72"/>
        <v>45825</v>
      </c>
      <c r="C164" s="520"/>
      <c r="D164" s="438">
        <f t="shared" si="27"/>
        <v>23</v>
      </c>
      <c r="E164" s="508"/>
      <c r="F164" s="548">
        <v>4901</v>
      </c>
      <c r="G164" s="565">
        <f>IFERROR(AX151,0)</f>
        <v>0.87550354442339151</v>
      </c>
      <c r="H164" s="548">
        <f>AX152</f>
        <v>21205.798999999999</v>
      </c>
      <c r="I164" s="443">
        <f t="shared" si="28"/>
        <v>45825</v>
      </c>
      <c r="J164" s="469"/>
      <c r="K164" s="469"/>
      <c r="L164" s="326">
        <f t="shared" si="74"/>
        <v>5</v>
      </c>
    </row>
    <row r="165" spans="1:102" ht="15" customHeight="1">
      <c r="A165" s="436">
        <f t="shared" si="73"/>
        <v>2029</v>
      </c>
      <c r="B165" s="437">
        <f t="shared" si="72"/>
        <v>51227</v>
      </c>
      <c r="C165" s="520"/>
      <c r="D165" s="438">
        <f t="shared" si="27"/>
        <v>24</v>
      </c>
      <c r="E165" s="508"/>
      <c r="F165" s="548">
        <v>4902</v>
      </c>
      <c r="G165" s="565">
        <f>IFERROR(BE151,0)</f>
        <v>0.88140884099969563</v>
      </c>
      <c r="H165" s="548">
        <f>BE152</f>
        <v>19987.076999999997</v>
      </c>
      <c r="I165" s="443">
        <f t="shared" si="28"/>
        <v>51227</v>
      </c>
      <c r="J165" s="469"/>
      <c r="K165" s="469"/>
      <c r="L165" s="326">
        <f t="shared" si="74"/>
        <v>4</v>
      </c>
    </row>
    <row r="166" spans="1:102" ht="15" customHeight="1">
      <c r="A166" s="436">
        <f t="shared" si="73"/>
        <v>2030</v>
      </c>
      <c r="B166" s="437">
        <f t="shared" si="72"/>
        <v>57077</v>
      </c>
      <c r="C166" s="520"/>
      <c r="D166" s="438">
        <f t="shared" si="27"/>
        <v>25</v>
      </c>
      <c r="E166" s="508"/>
      <c r="F166" s="567">
        <v>4903</v>
      </c>
      <c r="G166" s="568">
        <f>IFERROR(BL151,0)</f>
        <v>0.88845822612072323</v>
      </c>
      <c r="H166" s="567">
        <f>BL152</f>
        <v>18426.654000000002</v>
      </c>
      <c r="I166" s="443">
        <f t="shared" si="28"/>
        <v>57077</v>
      </c>
      <c r="J166" s="469"/>
      <c r="K166" s="469"/>
      <c r="L166" s="326">
        <f t="shared" si="74"/>
        <v>3</v>
      </c>
    </row>
    <row r="167" spans="1:102" ht="15" customHeight="1">
      <c r="A167" s="436">
        <f t="shared" si="73"/>
        <v>2031</v>
      </c>
      <c r="B167" s="437">
        <f t="shared" si="72"/>
        <v>63392</v>
      </c>
      <c r="C167" s="520"/>
      <c r="D167" s="438">
        <f t="shared" si="27"/>
        <v>26</v>
      </c>
      <c r="E167" s="508"/>
      <c r="F167" s="567">
        <v>4904</v>
      </c>
      <c r="G167" s="568">
        <f>IFERROR(BS151,0)</f>
        <v>0.89783548753853071</v>
      </c>
      <c r="H167" s="567">
        <f>BS152</f>
        <v>16251.587</v>
      </c>
      <c r="I167" s="443">
        <f t="shared" si="28"/>
        <v>63392</v>
      </c>
      <c r="J167" s="469"/>
      <c r="K167" s="469"/>
      <c r="L167" s="326">
        <f t="shared" si="74"/>
        <v>2</v>
      </c>
    </row>
    <row r="168" spans="1:102" ht="15" customHeight="1">
      <c r="A168" s="436">
        <f t="shared" si="73"/>
        <v>2032</v>
      </c>
      <c r="B168" s="437">
        <f t="shared" si="72"/>
        <v>70190</v>
      </c>
      <c r="C168" s="520"/>
      <c r="D168" s="438">
        <f t="shared" si="27"/>
        <v>27</v>
      </c>
      <c r="E168" s="508"/>
      <c r="F168" s="567">
        <v>4905</v>
      </c>
      <c r="G168" s="568">
        <f>IFERROR(BZ151,0)</f>
        <v>0.91209323690569022</v>
      </c>
      <c r="H168" s="567">
        <f>BZ152</f>
        <v>12667.939</v>
      </c>
      <c r="I168" s="443">
        <f t="shared" si="28"/>
        <v>70190</v>
      </c>
      <c r="J168" s="469"/>
      <c r="K168" s="469"/>
      <c r="L168" s="326">
        <f t="shared" si="74"/>
        <v>1</v>
      </c>
    </row>
    <row r="169" spans="1:102" ht="15" customHeight="1">
      <c r="A169" s="436">
        <f t="shared" si="73"/>
        <v>2033</v>
      </c>
      <c r="B169" s="437">
        <f t="shared" si="72"/>
        <v>77486</v>
      </c>
      <c r="C169" s="520"/>
      <c r="D169" s="438">
        <f t="shared" si="27"/>
        <v>28</v>
      </c>
      <c r="E169" s="508"/>
      <c r="F169" s="567">
        <v>4906</v>
      </c>
      <c r="G169" s="568">
        <f>IFERROR(CG151,0)</f>
        <v>0</v>
      </c>
      <c r="H169" s="567" t="e">
        <f>CG152</f>
        <v>#VALUE!</v>
      </c>
      <c r="I169" s="443">
        <f t="shared" si="28"/>
        <v>77486</v>
      </c>
      <c r="J169" s="469"/>
      <c r="K169" s="469"/>
      <c r="L169" s="326">
        <f t="shared" si="74"/>
        <v>10</v>
      </c>
    </row>
    <row r="170" spans="1:102" ht="15" customHeight="1">
      <c r="A170" s="436">
        <f t="shared" si="73"/>
        <v>2034</v>
      </c>
      <c r="B170" s="437">
        <f t="shared" si="72"/>
        <v>85299</v>
      </c>
      <c r="C170" s="520"/>
      <c r="D170" s="438">
        <f t="shared" si="27"/>
        <v>29</v>
      </c>
      <c r="E170" s="508"/>
      <c r="F170" s="567">
        <v>4907</v>
      </c>
      <c r="G170" s="568">
        <f>IFERROR(CN151,0)</f>
        <v>0</v>
      </c>
      <c r="H170" s="567" t="e">
        <f>CN152</f>
        <v>#VALUE!</v>
      </c>
      <c r="I170" s="443">
        <f t="shared" si="28"/>
        <v>85299</v>
      </c>
      <c r="J170" s="469"/>
      <c r="K170" s="469"/>
      <c r="L170" s="326">
        <f t="shared" si="74"/>
        <v>10</v>
      </c>
    </row>
    <row r="171" spans="1:102" ht="15" customHeight="1">
      <c r="A171" s="522">
        <f t="shared" si="73"/>
        <v>2035</v>
      </c>
      <c r="B171" s="523">
        <f t="shared" si="72"/>
        <v>93645</v>
      </c>
      <c r="C171" s="524"/>
      <c r="D171" s="569">
        <f t="shared" si="27"/>
        <v>30</v>
      </c>
      <c r="E171" s="525"/>
      <c r="F171" s="570">
        <v>4908</v>
      </c>
      <c r="G171" s="571">
        <f>IFERROR(CU151,0)</f>
        <v>0</v>
      </c>
      <c r="H171" s="570" t="e">
        <f>CU152</f>
        <v>#VALUE!</v>
      </c>
      <c r="I171" s="528">
        <f t="shared" si="28"/>
        <v>93645</v>
      </c>
      <c r="J171" s="529"/>
      <c r="K171" s="529"/>
      <c r="L171" s="326">
        <f t="shared" si="74"/>
        <v>10</v>
      </c>
    </row>
    <row r="172" spans="1:102" ht="15" customHeight="1">
      <c r="A172" s="522">
        <f t="shared" si="73"/>
        <v>2036</v>
      </c>
      <c r="B172" s="523">
        <f t="shared" si="72"/>
        <v>102540</v>
      </c>
      <c r="C172" s="524"/>
      <c r="D172" s="569">
        <f t="shared" si="27"/>
        <v>31</v>
      </c>
      <c r="E172" s="525"/>
      <c r="F172" s="570"/>
      <c r="G172" s="571"/>
      <c r="H172" s="570"/>
      <c r="I172" s="528">
        <f t="shared" si="28"/>
        <v>102540</v>
      </c>
      <c r="J172" s="529"/>
      <c r="K172" s="529"/>
    </row>
    <row r="173" spans="1:102" ht="15" customHeight="1">
      <c r="A173" s="522">
        <f t="shared" si="73"/>
        <v>2037</v>
      </c>
      <c r="B173" s="523">
        <f t="shared" si="72"/>
        <v>112002</v>
      </c>
      <c r="C173" s="524"/>
      <c r="D173" s="569">
        <f t="shared" si="27"/>
        <v>32</v>
      </c>
      <c r="E173" s="525"/>
      <c r="F173" s="570"/>
      <c r="G173" s="571"/>
      <c r="H173" s="570"/>
      <c r="I173" s="528">
        <f t="shared" si="28"/>
        <v>112002</v>
      </c>
      <c r="J173" s="529"/>
      <c r="K173" s="529"/>
    </row>
    <row r="174" spans="1:102" ht="15" customHeight="1">
      <c r="A174" s="522">
        <f t="shared" si="73"/>
        <v>2038</v>
      </c>
      <c r="B174" s="523">
        <f t="shared" si="72"/>
        <v>122047</v>
      </c>
      <c r="C174" s="524"/>
      <c r="D174" s="569">
        <f t="shared" si="27"/>
        <v>33</v>
      </c>
      <c r="E174" s="525"/>
      <c r="F174" s="570"/>
      <c r="G174" s="571"/>
      <c r="H174" s="570"/>
      <c r="I174" s="528">
        <f t="shared" si="28"/>
        <v>122047</v>
      </c>
      <c r="J174" s="529"/>
      <c r="K174" s="529"/>
    </row>
    <row r="175" spans="1:102" ht="15" customHeight="1">
      <c r="A175" s="491"/>
      <c r="B175" s="494"/>
      <c r="C175" s="451"/>
      <c r="D175" s="439"/>
      <c r="E175" s="439"/>
      <c r="F175" s="530"/>
      <c r="G175" s="572"/>
      <c r="H175" s="451"/>
      <c r="I175" s="538"/>
      <c r="J175" s="538"/>
      <c r="O175" s="573"/>
    </row>
    <row r="176" spans="1:102" ht="15" customHeight="1">
      <c r="A176" s="424" t="s">
        <v>333</v>
      </c>
    </row>
    <row r="177" spans="1:60" ht="15" customHeight="1">
      <c r="A177" s="427" t="s">
        <v>264</v>
      </c>
      <c r="B177" s="428" t="s">
        <v>286</v>
      </c>
      <c r="C177" s="429" t="s">
        <v>334</v>
      </c>
      <c r="D177" s="429" t="s">
        <v>287</v>
      </c>
      <c r="E177" s="496"/>
      <c r="F177" s="430"/>
      <c r="G177" s="431"/>
      <c r="H177" s="432" t="s">
        <v>288</v>
      </c>
      <c r="I177" s="433">
        <f>RSQ(I178:I188,B178:B188)</f>
        <v>0.75273599588903795</v>
      </c>
      <c r="J177" s="434" t="s">
        <v>289</v>
      </c>
      <c r="K177" s="435" t="s">
        <v>290</v>
      </c>
      <c r="M177" s="532" t="s">
        <v>334</v>
      </c>
      <c r="N177" s="430"/>
      <c r="O177" s="432" t="s">
        <v>288</v>
      </c>
      <c r="P177" s="433">
        <f>RSQ($B178:$B188,P178:P188)</f>
        <v>0.75227800048174065</v>
      </c>
      <c r="Q177" s="435" t="s">
        <v>290</v>
      </c>
      <c r="S177" s="532" t="s">
        <v>334</v>
      </c>
      <c r="T177" s="430"/>
      <c r="U177" s="432" t="s">
        <v>288</v>
      </c>
      <c r="V177" s="433">
        <f>RSQ($B178:$B188,V178:V188)</f>
        <v>0.75247496725096286</v>
      </c>
      <c r="W177" s="435" t="s">
        <v>290</v>
      </c>
      <c r="Y177" s="532" t="s">
        <v>334</v>
      </c>
      <c r="Z177" s="430"/>
      <c r="AA177" s="432" t="s">
        <v>288</v>
      </c>
      <c r="AB177" s="433">
        <f>RSQ($B178:$B188,AB178:AB188)</f>
        <v>0.7525714424881077</v>
      </c>
      <c r="AC177" s="435" t="s">
        <v>290</v>
      </c>
      <c r="AE177" s="532" t="s">
        <v>334</v>
      </c>
      <c r="AF177" s="430"/>
      <c r="AG177" s="432" t="s">
        <v>288</v>
      </c>
      <c r="AH177" s="433">
        <f>RSQ($B178:$B188,AH178:AH188)</f>
        <v>0.75267462048894151</v>
      </c>
      <c r="AI177" s="435" t="s">
        <v>290</v>
      </c>
      <c r="AK177" s="532" t="s">
        <v>334</v>
      </c>
      <c r="AL177" s="430"/>
      <c r="AM177" s="432" t="s">
        <v>288</v>
      </c>
      <c r="AN177" s="433">
        <f>RSQ($B178:$B188,AN178:AN188)</f>
        <v>0.75267462048894151</v>
      </c>
      <c r="AO177" s="435" t="s">
        <v>290</v>
      </c>
      <c r="AQ177" s="532" t="s">
        <v>334</v>
      </c>
      <c r="AR177" s="430"/>
      <c r="AS177" s="432" t="s">
        <v>288</v>
      </c>
      <c r="AT177" s="433">
        <f>RSQ($B178:$B188,AT178:AT188)</f>
        <v>0.75273599588903795</v>
      </c>
      <c r="AU177" s="435" t="s">
        <v>290</v>
      </c>
      <c r="AW177" s="532" t="s">
        <v>334</v>
      </c>
      <c r="AX177" s="430"/>
      <c r="AY177" s="432" t="s">
        <v>288</v>
      </c>
      <c r="AZ177" s="433">
        <f>RSQ($B178:$B188,AZ178:AZ188)</f>
        <v>0.75266006842540611</v>
      </c>
      <c r="BA177" s="435" t="s">
        <v>290</v>
      </c>
      <c r="BC177" s="532" t="s">
        <v>334</v>
      </c>
      <c r="BD177" s="430"/>
      <c r="BE177" s="432" t="s">
        <v>288</v>
      </c>
      <c r="BF177" s="433">
        <f>RSQ($B178:$B188,BF178:BF188)</f>
        <v>0.75266006842540611</v>
      </c>
      <c r="BG177" s="435" t="s">
        <v>290</v>
      </c>
    </row>
    <row r="178" spans="1:60" ht="15" customHeight="1">
      <c r="A178" s="436">
        <f t="shared" ref="A178:B189" si="75">A142</f>
        <v>2006</v>
      </c>
      <c r="B178" s="437">
        <f t="shared" si="75"/>
        <v>4906</v>
      </c>
      <c r="C178" s="533">
        <f t="shared" ref="C178:C188" si="76">LN(F$182/B178-1)</f>
        <v>7.1082378012355019</v>
      </c>
      <c r="D178" s="438">
        <f t="shared" ref="D178:D184" si="77">D142</f>
        <v>1</v>
      </c>
      <c r="E178" s="498" t="s">
        <v>335</v>
      </c>
      <c r="F178" s="439"/>
      <c r="H178" s="574"/>
      <c r="I178" s="502">
        <f t="shared" ref="I178:I210" si="78">ROUND($F$182/(1+EXP($F$187+$F$186*D178)),$G$1)</f>
        <v>4199</v>
      </c>
      <c r="J178" s="444">
        <f t="shared" ref="J178:J188" si="79">ABS(B178-I178)/B178*100</f>
        <v>14.410925397472482</v>
      </c>
      <c r="K178" s="443">
        <f t="shared" ref="K178:K188" si="80">(B178-I178)^2/1000</f>
        <v>499.84899999999999</v>
      </c>
      <c r="M178" s="575">
        <f t="shared" ref="M178:M188" si="81">LN($O$181/B178-1)</f>
        <v>5.3123782592218713</v>
      </c>
      <c r="N178" s="539" t="s">
        <v>335</v>
      </c>
      <c r="O178" s="439"/>
      <c r="P178" s="469">
        <f t="shared" ref="P178:P188" si="82">ROUND(O$181/(1+EXP(O$185+O$184*$D178)),$G$1)</f>
        <v>4197</v>
      </c>
      <c r="Q178" s="502">
        <f t="shared" ref="Q178:Q183" si="83">($B178-P178)^2/1000</f>
        <v>502.68099999999998</v>
      </c>
      <c r="S178" s="575">
        <f>LN($U$181/$B178-1)</f>
        <v>6.0079875001721437</v>
      </c>
      <c r="T178" s="539" t="s">
        <v>335</v>
      </c>
      <c r="U178" s="439"/>
      <c r="V178" s="469">
        <f t="shared" ref="V178:V188" si="84">ROUND(U$181/(1+EXP(U$185+U$184*$D178)),$G$1)</f>
        <v>4198</v>
      </c>
      <c r="W178" s="502">
        <f t="shared" ref="W178:W183" si="85">($B178-V178)^2/1000</f>
        <v>501.26400000000001</v>
      </c>
      <c r="Y178" s="575">
        <f>LN($AA$181/$B178-1)</f>
        <v>6.4142719498634708</v>
      </c>
      <c r="Z178" s="539" t="s">
        <v>335</v>
      </c>
      <c r="AA178" s="439"/>
      <c r="AB178" s="469">
        <f t="shared" ref="AB178:AB188" si="86">ROUND(AA$181/(1+EXP(AA$185+AA$184*$D178)),$G$1)</f>
        <v>4199</v>
      </c>
      <c r="AC178" s="502">
        <f t="shared" ref="AC178:AC185" si="87">($B178-AB178)^2/1000</f>
        <v>499.84899999999999</v>
      </c>
      <c r="AE178" s="575">
        <f>LN($AG$181/$B178-1)</f>
        <v>6.7023634414990303</v>
      </c>
      <c r="AF178" s="539" t="s">
        <v>335</v>
      </c>
      <c r="AG178" s="439"/>
      <c r="AH178" s="469">
        <f t="shared" ref="AH178:AH188" si="88">ROUND(AG$181/(1+EXP(AG$185+AG$184*$D178)),$G$1)</f>
        <v>4199</v>
      </c>
      <c r="AI178" s="502">
        <f t="shared" ref="AI178:AI185" si="89">($B178-AH178)^2/1000</f>
        <v>499.84899999999999</v>
      </c>
      <c r="AK178" s="575">
        <f>LN($AM$181/$B178-1)</f>
        <v>6.9257525638881035</v>
      </c>
      <c r="AL178" s="539" t="s">
        <v>335</v>
      </c>
      <c r="AM178" s="439"/>
      <c r="AN178" s="469">
        <f t="shared" ref="AN178:AN188" si="90">ROUND(AM$181/(1+EXP(AM$185+AM$184*$D178)),$G$1)</f>
        <v>4199</v>
      </c>
      <c r="AO178" s="502">
        <f t="shared" ref="AO178:AO187" si="91">($B178-AN178)^2/1000</f>
        <v>499.84899999999999</v>
      </c>
      <c r="AQ178" s="575">
        <f>LN($AS$181/$B178-1)</f>
        <v>7.1082378012355019</v>
      </c>
      <c r="AR178" s="539" t="s">
        <v>335</v>
      </c>
      <c r="AS178" s="439"/>
      <c r="AT178" s="469">
        <f t="shared" ref="AT178:AT188" si="92">ROUND(AS$181/(1+EXP(AS$185+AS$184*$D178)),$G$1)</f>
        <v>4199</v>
      </c>
      <c r="AU178" s="502">
        <f t="shared" ref="AU178:AU185" si="93">($B178-AT178)^2/1000</f>
        <v>499.84899999999999</v>
      </c>
      <c r="AW178" s="575">
        <f>LN($AY$181/$B178-1)</f>
        <v>7.2625053793431142</v>
      </c>
      <c r="AX178" s="539" t="s">
        <v>335</v>
      </c>
      <c r="AY178" s="439"/>
      <c r="AZ178" s="469">
        <f t="shared" ref="AZ178:AZ188" si="94">ROUND(AY$181/(1+EXP(AY$185+AY$184*$D178)),$G$1)</f>
        <v>4199</v>
      </c>
      <c r="BA178" s="502">
        <f t="shared" ref="BA178:BA185" si="95">($B178-AZ178)^2/1000</f>
        <v>499.84899999999999</v>
      </c>
      <c r="BC178" s="575">
        <f>LN($BE$181/$B178-1)</f>
        <v>7.3961244367109824</v>
      </c>
      <c r="BD178" s="539" t="s">
        <v>335</v>
      </c>
      <c r="BE178" s="439"/>
      <c r="BF178" s="469">
        <f t="shared" ref="BF178:BF188" si="96">ROUND(BE$181/(1+EXP(BE$185+BE$184*$D178)),$G$1)</f>
        <v>4199</v>
      </c>
      <c r="BG178" s="502">
        <f t="shared" ref="BG178:BG185" si="97">($B178-BF178)^2/1000</f>
        <v>499.84899999999999</v>
      </c>
    </row>
    <row r="179" spans="1:60" ht="15" customHeight="1">
      <c r="A179" s="436">
        <f t="shared" si="75"/>
        <v>2007</v>
      </c>
      <c r="B179" s="437">
        <f t="shared" si="75"/>
        <v>5165</v>
      </c>
      <c r="C179" s="533">
        <f t="shared" si="76"/>
        <v>7.0567484415754702</v>
      </c>
      <c r="D179" s="438">
        <f t="shared" si="77"/>
        <v>2</v>
      </c>
      <c r="E179" s="498" t="s">
        <v>336</v>
      </c>
      <c r="F179" s="439"/>
      <c r="H179" s="574"/>
      <c r="I179" s="443">
        <f t="shared" si="78"/>
        <v>4555</v>
      </c>
      <c r="J179" s="446">
        <f t="shared" si="79"/>
        <v>11.81026137463698</v>
      </c>
      <c r="K179" s="443">
        <f t="shared" si="80"/>
        <v>372.1</v>
      </c>
      <c r="M179" s="576">
        <f t="shared" si="81"/>
        <v>5.2606717916900889</v>
      </c>
      <c r="N179" s="539"/>
      <c r="O179" s="439"/>
      <c r="P179" s="469">
        <f t="shared" si="82"/>
        <v>4554</v>
      </c>
      <c r="Q179" s="443">
        <f t="shared" si="83"/>
        <v>373.32100000000003</v>
      </c>
      <c r="S179" s="576">
        <f t="shared" ref="S179:S188" si="98">LN($U$181/$B179-1)</f>
        <v>5.9564115165650513</v>
      </c>
      <c r="T179" s="539"/>
      <c r="U179" s="439"/>
      <c r="V179" s="469">
        <f t="shared" si="84"/>
        <v>4554</v>
      </c>
      <c r="W179" s="443">
        <f t="shared" si="85"/>
        <v>373.32100000000003</v>
      </c>
      <c r="Y179" s="576">
        <f t="shared" ref="Y179:Y188" si="99">LN($AA$181/$B179-1)</f>
        <v>6.3627393146406384</v>
      </c>
      <c r="Z179" s="539"/>
      <c r="AA179" s="439"/>
      <c r="AB179" s="469">
        <f t="shared" si="86"/>
        <v>4555</v>
      </c>
      <c r="AC179" s="443">
        <f t="shared" si="87"/>
        <v>372.1</v>
      </c>
      <c r="AE179" s="576">
        <f t="shared" ref="AE179:AE188" si="100">LN($AG$181/$B179-1)</f>
        <v>6.6508524531488034</v>
      </c>
      <c r="AF179" s="539"/>
      <c r="AG179" s="439"/>
      <c r="AH179" s="469">
        <f t="shared" si="88"/>
        <v>4555</v>
      </c>
      <c r="AI179" s="443">
        <f t="shared" si="89"/>
        <v>372.1</v>
      </c>
      <c r="AK179" s="576">
        <f t="shared" ref="AK179:AK188" si="101">LN($AM$181/$B179-1)</f>
        <v>6.8742545549324161</v>
      </c>
      <c r="AL179" s="539"/>
      <c r="AM179" s="439"/>
      <c r="AN179" s="469">
        <f t="shared" si="90"/>
        <v>4555</v>
      </c>
      <c r="AO179" s="443">
        <f t="shared" si="91"/>
        <v>372.1</v>
      </c>
      <c r="AQ179" s="576">
        <f t="shared" ref="AQ179:AQ188" si="102">LN($AS$181/$B179-1)</f>
        <v>7.0567484415754702</v>
      </c>
      <c r="AR179" s="539"/>
      <c r="AS179" s="439"/>
      <c r="AT179" s="469">
        <f t="shared" si="92"/>
        <v>4555</v>
      </c>
      <c r="AU179" s="443">
        <f t="shared" si="93"/>
        <v>372.1</v>
      </c>
      <c r="AW179" s="576">
        <f t="shared" ref="AW179:AW188" si="103">LN($AY$181/$B179-1)</f>
        <v>7.211022195972431</v>
      </c>
      <c r="AX179" s="539"/>
      <c r="AY179" s="439"/>
      <c r="AZ179" s="469">
        <f t="shared" si="94"/>
        <v>4555</v>
      </c>
      <c r="BA179" s="443">
        <f t="shared" si="95"/>
        <v>372.1</v>
      </c>
      <c r="BC179" s="576">
        <f t="shared" ref="BC179:BC188" si="104">LN($BE$181/$B179-1)</f>
        <v>7.3446458845848017</v>
      </c>
      <c r="BD179" s="539"/>
      <c r="BE179" s="439"/>
      <c r="BF179" s="469">
        <f t="shared" si="96"/>
        <v>4555</v>
      </c>
      <c r="BG179" s="443">
        <f t="shared" si="97"/>
        <v>372.1</v>
      </c>
    </row>
    <row r="180" spans="1:60" ht="15" customHeight="1">
      <c r="A180" s="436">
        <f t="shared" si="75"/>
        <v>2008</v>
      </c>
      <c r="B180" s="437">
        <f t="shared" si="75"/>
        <v>5233</v>
      </c>
      <c r="C180" s="533">
        <f t="shared" si="76"/>
        <v>7.0436574735948181</v>
      </c>
      <c r="D180" s="438">
        <f t="shared" si="77"/>
        <v>3</v>
      </c>
      <c r="H180" s="574"/>
      <c r="I180" s="443">
        <f t="shared" si="78"/>
        <v>4941</v>
      </c>
      <c r="J180" s="446">
        <f t="shared" si="79"/>
        <v>5.5799732467036112</v>
      </c>
      <c r="K180" s="443">
        <f t="shared" si="80"/>
        <v>85.263999999999996</v>
      </c>
      <c r="M180" s="576">
        <f t="shared" si="81"/>
        <v>5.2475238114919751</v>
      </c>
      <c r="N180" s="539" t="s">
        <v>336</v>
      </c>
      <c r="O180" s="439"/>
      <c r="P180" s="469">
        <f t="shared" si="82"/>
        <v>4940</v>
      </c>
      <c r="Q180" s="443">
        <f t="shared" si="83"/>
        <v>85.849000000000004</v>
      </c>
      <c r="S180" s="576">
        <f t="shared" si="98"/>
        <v>5.9432978031332286</v>
      </c>
      <c r="T180" s="539" t="s">
        <v>336</v>
      </c>
      <c r="U180" s="439"/>
      <c r="V180" s="469">
        <f t="shared" si="84"/>
        <v>4941</v>
      </c>
      <c r="W180" s="443">
        <f t="shared" si="85"/>
        <v>85.263999999999996</v>
      </c>
      <c r="Y180" s="576">
        <f t="shared" si="99"/>
        <v>6.3496369838059756</v>
      </c>
      <c r="Z180" s="539" t="s">
        <v>336</v>
      </c>
      <c r="AA180" s="439"/>
      <c r="AB180" s="469">
        <f t="shared" si="86"/>
        <v>4941</v>
      </c>
      <c r="AC180" s="443">
        <f t="shared" si="87"/>
        <v>85.263999999999996</v>
      </c>
      <c r="AE180" s="576">
        <f t="shared" si="100"/>
        <v>6.6377558062058277</v>
      </c>
      <c r="AF180" s="539" t="s">
        <v>336</v>
      </c>
      <c r="AG180" s="439"/>
      <c r="AH180" s="469">
        <f t="shared" si="88"/>
        <v>4941</v>
      </c>
      <c r="AI180" s="443">
        <f t="shared" si="89"/>
        <v>85.263999999999996</v>
      </c>
      <c r="AK180" s="576">
        <f t="shared" si="101"/>
        <v>6.8611613159579479</v>
      </c>
      <c r="AL180" s="539" t="s">
        <v>336</v>
      </c>
      <c r="AM180" s="439"/>
      <c r="AN180" s="469">
        <f t="shared" si="90"/>
        <v>4941</v>
      </c>
      <c r="AO180" s="443">
        <f t="shared" si="91"/>
        <v>85.263999999999996</v>
      </c>
      <c r="AQ180" s="576">
        <f t="shared" si="102"/>
        <v>7.0436574735948181</v>
      </c>
      <c r="AR180" s="539" t="s">
        <v>336</v>
      </c>
      <c r="AS180" s="439"/>
      <c r="AT180" s="469">
        <f t="shared" si="92"/>
        <v>4941</v>
      </c>
      <c r="AU180" s="443">
        <f t="shared" si="93"/>
        <v>85.263999999999996</v>
      </c>
      <c r="AW180" s="576">
        <f t="shared" si="103"/>
        <v>7.1979328496479464</v>
      </c>
      <c r="AX180" s="539" t="s">
        <v>336</v>
      </c>
      <c r="AY180" s="439"/>
      <c r="AZ180" s="469">
        <f t="shared" si="94"/>
        <v>4941</v>
      </c>
      <c r="BA180" s="443">
        <f t="shared" si="95"/>
        <v>85.263999999999996</v>
      </c>
      <c r="BC180" s="576">
        <f t="shared" si="104"/>
        <v>7.3315577542388031</v>
      </c>
      <c r="BD180" s="539" t="s">
        <v>336</v>
      </c>
      <c r="BE180" s="439"/>
      <c r="BF180" s="469">
        <f t="shared" si="96"/>
        <v>4941</v>
      </c>
      <c r="BG180" s="443">
        <f t="shared" si="97"/>
        <v>85.263999999999996</v>
      </c>
    </row>
    <row r="181" spans="1:60" ht="15" customHeight="1">
      <c r="A181" s="436">
        <f t="shared" si="75"/>
        <v>2009</v>
      </c>
      <c r="B181" s="437">
        <f t="shared" si="75"/>
        <v>5071</v>
      </c>
      <c r="C181" s="533">
        <f t="shared" si="76"/>
        <v>7.0751311873759324</v>
      </c>
      <c r="D181" s="438">
        <f t="shared" si="77"/>
        <v>4</v>
      </c>
      <c r="E181" s="540"/>
      <c r="G181" s="451"/>
      <c r="H181" s="442"/>
      <c r="I181" s="443">
        <f t="shared" si="78"/>
        <v>5360</v>
      </c>
      <c r="J181" s="446">
        <f t="shared" si="79"/>
        <v>5.6990731611122065</v>
      </c>
      <c r="K181" s="443">
        <f t="shared" si="80"/>
        <v>83.521000000000001</v>
      </c>
      <c r="M181" s="576">
        <f t="shared" si="81"/>
        <v>5.2791333410157746</v>
      </c>
      <c r="N181" s="439" t="s">
        <v>337</v>
      </c>
      <c r="O181" s="577">
        <f>E200</f>
        <v>1000000</v>
      </c>
      <c r="P181" s="469">
        <f t="shared" si="82"/>
        <v>5360</v>
      </c>
      <c r="Q181" s="443">
        <f t="shared" si="83"/>
        <v>83.521000000000001</v>
      </c>
      <c r="S181" s="576">
        <f t="shared" si="98"/>
        <v>5.9748257029053482</v>
      </c>
      <c r="T181" s="439" t="s">
        <v>337</v>
      </c>
      <c r="U181" s="363">
        <f>E201</f>
        <v>2000000</v>
      </c>
      <c r="V181" s="469">
        <f t="shared" si="84"/>
        <v>5360</v>
      </c>
      <c r="W181" s="443">
        <f t="shared" si="85"/>
        <v>83.521000000000001</v>
      </c>
      <c r="Y181" s="576">
        <f t="shared" si="99"/>
        <v>6.3811377672787106</v>
      </c>
      <c r="Z181" s="439" t="s">
        <v>337</v>
      </c>
      <c r="AA181" s="363">
        <f>E202</f>
        <v>3000000</v>
      </c>
      <c r="AB181" s="469">
        <f t="shared" si="86"/>
        <v>5360</v>
      </c>
      <c r="AC181" s="443">
        <f t="shared" si="87"/>
        <v>83.521000000000001</v>
      </c>
      <c r="AE181" s="576">
        <f t="shared" si="100"/>
        <v>6.6692430490142964</v>
      </c>
      <c r="AF181" s="439" t="s">
        <v>337</v>
      </c>
      <c r="AG181" s="363">
        <f>E203</f>
        <v>4000000</v>
      </c>
      <c r="AH181" s="469">
        <f t="shared" si="88"/>
        <v>5360</v>
      </c>
      <c r="AI181" s="443">
        <f t="shared" si="89"/>
        <v>83.521000000000001</v>
      </c>
      <c r="AK181" s="576">
        <f t="shared" si="101"/>
        <v>6.8926404399545351</v>
      </c>
      <c r="AL181" s="439" t="s">
        <v>337</v>
      </c>
      <c r="AM181" s="363">
        <f>E204</f>
        <v>5000000</v>
      </c>
      <c r="AN181" s="469">
        <f t="shared" si="90"/>
        <v>5360</v>
      </c>
      <c r="AO181" s="443">
        <f t="shared" si="91"/>
        <v>83.521000000000001</v>
      </c>
      <c r="AQ181" s="576">
        <f t="shared" si="102"/>
        <v>7.0751311873759324</v>
      </c>
      <c r="AR181" s="439" t="s">
        <v>337</v>
      </c>
      <c r="AS181" s="363">
        <f>E205</f>
        <v>6000000</v>
      </c>
      <c r="AT181" s="469">
        <f t="shared" si="92"/>
        <v>5360</v>
      </c>
      <c r="AU181" s="443">
        <f t="shared" si="93"/>
        <v>83.521000000000001</v>
      </c>
      <c r="AW181" s="576">
        <f t="shared" si="103"/>
        <v>7.2294027001279675</v>
      </c>
      <c r="AX181" s="439" t="s">
        <v>337</v>
      </c>
      <c r="AY181" s="363">
        <f>E206</f>
        <v>7000000</v>
      </c>
      <c r="AZ181" s="469">
        <f t="shared" si="94"/>
        <v>5360</v>
      </c>
      <c r="BA181" s="443">
        <f t="shared" si="95"/>
        <v>83.521000000000001</v>
      </c>
      <c r="BC181" s="576">
        <f t="shared" si="104"/>
        <v>7.3630247078653968</v>
      </c>
      <c r="BD181" s="439" t="s">
        <v>337</v>
      </c>
      <c r="BE181" s="363">
        <f>E207</f>
        <v>8000000</v>
      </c>
      <c r="BF181" s="469">
        <f t="shared" si="96"/>
        <v>5360</v>
      </c>
      <c r="BG181" s="443">
        <f t="shared" si="97"/>
        <v>83.521000000000001</v>
      </c>
    </row>
    <row r="182" spans="1:60" ht="15" customHeight="1">
      <c r="A182" s="436">
        <f t="shared" si="75"/>
        <v>2010</v>
      </c>
      <c r="B182" s="437">
        <f t="shared" si="75"/>
        <v>5253</v>
      </c>
      <c r="C182" s="533">
        <f t="shared" si="76"/>
        <v>7.0398395227644048</v>
      </c>
      <c r="D182" s="438">
        <f t="shared" si="77"/>
        <v>5</v>
      </c>
      <c r="E182" s="540" t="s">
        <v>337</v>
      </c>
      <c r="F182" s="577">
        <f>INDEX(E200:L207,MATCH(1,L200:L207,0),1)</f>
        <v>6000000</v>
      </c>
      <c r="G182" s="451"/>
      <c r="I182" s="443">
        <f t="shared" si="78"/>
        <v>5814</v>
      </c>
      <c r="J182" s="446">
        <f t="shared" si="79"/>
        <v>10.679611650485436</v>
      </c>
      <c r="K182" s="443">
        <f t="shared" si="80"/>
        <v>314.721</v>
      </c>
      <c r="M182" s="576">
        <f t="shared" si="81"/>
        <v>5.2436890914975418</v>
      </c>
      <c r="N182" s="578" t="s">
        <v>338</v>
      </c>
      <c r="O182" s="505">
        <f>MAX($B178:$B188)</f>
        <v>12254</v>
      </c>
      <c r="P182" s="469">
        <f t="shared" si="82"/>
        <v>5815</v>
      </c>
      <c r="Q182" s="443">
        <f t="shared" si="83"/>
        <v>315.84399999999999</v>
      </c>
      <c r="S182" s="576">
        <f t="shared" si="98"/>
        <v>5.9394731622675723</v>
      </c>
      <c r="T182" s="578" t="s">
        <v>338</v>
      </c>
      <c r="U182" s="505">
        <f>MAX($B178:$B188)</f>
        <v>12254</v>
      </c>
      <c r="V182" s="469">
        <f t="shared" si="84"/>
        <v>5815</v>
      </c>
      <c r="W182" s="443">
        <f t="shared" si="85"/>
        <v>315.84399999999999</v>
      </c>
      <c r="Y182" s="576">
        <f t="shared" si="99"/>
        <v>6.3458156908860461</v>
      </c>
      <c r="Z182" s="578" t="s">
        <v>338</v>
      </c>
      <c r="AA182" s="505">
        <f>MAX($B178:$B188)</f>
        <v>12254</v>
      </c>
      <c r="AB182" s="469">
        <f t="shared" si="86"/>
        <v>5814</v>
      </c>
      <c r="AC182" s="443">
        <f t="shared" si="87"/>
        <v>314.721</v>
      </c>
      <c r="AE182" s="576">
        <f t="shared" si="100"/>
        <v>6.6339361850617227</v>
      </c>
      <c r="AF182" s="578" t="s">
        <v>338</v>
      </c>
      <c r="AG182" s="505">
        <f>MAX($B178:$B188)</f>
        <v>12254</v>
      </c>
      <c r="AH182" s="469">
        <f t="shared" si="88"/>
        <v>5814</v>
      </c>
      <c r="AI182" s="443">
        <f t="shared" si="89"/>
        <v>314.721</v>
      </c>
      <c r="AK182" s="576">
        <f t="shared" si="101"/>
        <v>6.8573426971773914</v>
      </c>
      <c r="AL182" s="578" t="s">
        <v>338</v>
      </c>
      <c r="AM182" s="505">
        <f>MAX($B178:$B188)</f>
        <v>12254</v>
      </c>
      <c r="AN182" s="469">
        <f t="shared" si="90"/>
        <v>5814</v>
      </c>
      <c r="AO182" s="443">
        <f t="shared" si="91"/>
        <v>314.721</v>
      </c>
      <c r="AQ182" s="576">
        <f t="shared" si="102"/>
        <v>7.0398395227644048</v>
      </c>
      <c r="AR182" s="578" t="s">
        <v>338</v>
      </c>
      <c r="AS182" s="505">
        <f>MAX($B178:$B188)</f>
        <v>12254</v>
      </c>
      <c r="AT182" s="469">
        <f t="shared" si="92"/>
        <v>5814</v>
      </c>
      <c r="AU182" s="443">
        <f t="shared" si="93"/>
        <v>314.721</v>
      </c>
      <c r="AW182" s="576">
        <f t="shared" si="103"/>
        <v>7.1941153757817311</v>
      </c>
      <c r="AX182" s="578" t="s">
        <v>338</v>
      </c>
      <c r="AY182" s="505">
        <f>MAX($B178:$B188)</f>
        <v>12254</v>
      </c>
      <c r="AZ182" s="469">
        <f t="shared" si="94"/>
        <v>5814</v>
      </c>
      <c r="BA182" s="443">
        <f t="shared" si="95"/>
        <v>314.721</v>
      </c>
      <c r="BC182" s="576">
        <f t="shared" si="104"/>
        <v>7.3277406380175369</v>
      </c>
      <c r="BD182" s="578" t="s">
        <v>338</v>
      </c>
      <c r="BE182" s="505">
        <f>MAX($B178:$B188)</f>
        <v>12254</v>
      </c>
      <c r="BF182" s="469">
        <f t="shared" si="96"/>
        <v>5814</v>
      </c>
      <c r="BG182" s="443">
        <f t="shared" si="97"/>
        <v>314.721</v>
      </c>
    </row>
    <row r="183" spans="1:60" ht="15" customHeight="1">
      <c r="A183" s="436">
        <f t="shared" si="75"/>
        <v>2011</v>
      </c>
      <c r="B183" s="437">
        <f t="shared" si="75"/>
        <v>5574</v>
      </c>
      <c r="C183" s="533">
        <f t="shared" si="76"/>
        <v>6.9804723873624939</v>
      </c>
      <c r="D183" s="438">
        <f t="shared" si="77"/>
        <v>6</v>
      </c>
      <c r="E183" s="578" t="s">
        <v>338</v>
      </c>
      <c r="F183" s="505">
        <f>MAX(B178:B188)</f>
        <v>12254</v>
      </c>
      <c r="G183" s="451"/>
      <c r="H183" s="442"/>
      <c r="I183" s="443">
        <f t="shared" si="78"/>
        <v>6307</v>
      </c>
      <c r="J183" s="446">
        <f t="shared" si="79"/>
        <v>13.150340868317187</v>
      </c>
      <c r="K183" s="443">
        <f t="shared" si="80"/>
        <v>537.28899999999999</v>
      </c>
      <c r="M183" s="576">
        <f t="shared" si="81"/>
        <v>5.1840527572148849</v>
      </c>
      <c r="N183" s="578" t="s">
        <v>339</v>
      </c>
      <c r="O183" s="505">
        <f>AVERAGE($B184:$B188)</f>
        <v>8378.2000000000007</v>
      </c>
      <c r="P183" s="469">
        <f t="shared" si="82"/>
        <v>6309</v>
      </c>
      <c r="Q183" s="443">
        <f t="shared" si="83"/>
        <v>540.22500000000002</v>
      </c>
      <c r="S183" s="576">
        <f t="shared" si="98"/>
        <v>5.8799986395668231</v>
      </c>
      <c r="T183" s="578" t="s">
        <v>339</v>
      </c>
      <c r="U183" s="505">
        <f>AVERAGE($B184:$B188)</f>
        <v>8378.2000000000007</v>
      </c>
      <c r="V183" s="469">
        <f t="shared" si="84"/>
        <v>6308</v>
      </c>
      <c r="W183" s="443">
        <f t="shared" si="85"/>
        <v>538.75599999999997</v>
      </c>
      <c r="Y183" s="576">
        <f t="shared" si="99"/>
        <v>6.2863949103674663</v>
      </c>
      <c r="Z183" s="578" t="s">
        <v>339</v>
      </c>
      <c r="AA183" s="505">
        <f>AVERAGE($B184:$B188)</f>
        <v>8378.2000000000007</v>
      </c>
      <c r="AB183" s="469">
        <f t="shared" si="86"/>
        <v>6307</v>
      </c>
      <c r="AC183" s="443">
        <f t="shared" si="87"/>
        <v>537.28899999999999</v>
      </c>
      <c r="AE183" s="576">
        <f t="shared" si="100"/>
        <v>6.5745422392182169</v>
      </c>
      <c r="AF183" s="578" t="s">
        <v>339</v>
      </c>
      <c r="AG183" s="505">
        <f>AVERAGE($B184:$B188)</f>
        <v>8378.2000000000007</v>
      </c>
      <c r="AH183" s="469">
        <f t="shared" si="88"/>
        <v>6307</v>
      </c>
      <c r="AI183" s="443">
        <f t="shared" si="89"/>
        <v>537.28899999999999</v>
      </c>
      <c r="AK183" s="576">
        <f t="shared" si="101"/>
        <v>6.7979648405047577</v>
      </c>
      <c r="AL183" s="578" t="s">
        <v>339</v>
      </c>
      <c r="AM183" s="505">
        <f>AVERAGE($B184:$B188)</f>
        <v>8378.2000000000007</v>
      </c>
      <c r="AN183" s="469">
        <f t="shared" si="90"/>
        <v>6307</v>
      </c>
      <c r="AO183" s="443">
        <f t="shared" si="91"/>
        <v>537.28899999999999</v>
      </c>
      <c r="AQ183" s="576">
        <f t="shared" si="102"/>
        <v>6.9804723873624939</v>
      </c>
      <c r="AR183" s="578" t="s">
        <v>339</v>
      </c>
      <c r="AS183" s="505">
        <f>AVERAGE($B184:$B188)</f>
        <v>8378.2000000000007</v>
      </c>
      <c r="AT183" s="469">
        <f t="shared" si="92"/>
        <v>6307</v>
      </c>
      <c r="AU183" s="443">
        <f t="shared" si="93"/>
        <v>537.28899999999999</v>
      </c>
      <c r="AW183" s="576">
        <f t="shared" si="103"/>
        <v>7.1347558960595379</v>
      </c>
      <c r="AX183" s="578" t="s">
        <v>339</v>
      </c>
      <c r="AY183" s="505">
        <f>AVERAGE($B184:$B188)</f>
        <v>8378.2000000000007</v>
      </c>
      <c r="AZ183" s="469">
        <f t="shared" si="94"/>
        <v>6307</v>
      </c>
      <c r="BA183" s="443">
        <f t="shared" si="95"/>
        <v>537.28899999999999</v>
      </c>
      <c r="BC183" s="576">
        <f t="shared" si="104"/>
        <v>7.268386898759128</v>
      </c>
      <c r="BD183" s="578" t="s">
        <v>339</v>
      </c>
      <c r="BE183" s="505">
        <f>AVERAGE($B184:$B188)</f>
        <v>8378.2000000000007</v>
      </c>
      <c r="BF183" s="469">
        <f t="shared" si="96"/>
        <v>6307</v>
      </c>
      <c r="BG183" s="443">
        <f t="shared" si="97"/>
        <v>537.28899999999999</v>
      </c>
    </row>
    <row r="184" spans="1:60" ht="15" customHeight="1">
      <c r="A184" s="436">
        <f t="shared" si="75"/>
        <v>2012</v>
      </c>
      <c r="B184" s="437">
        <f t="shared" si="75"/>
        <v>5497</v>
      </c>
      <c r="C184" s="533">
        <f t="shared" si="76"/>
        <v>6.9943956727278138</v>
      </c>
      <c r="D184" s="438">
        <f t="shared" si="77"/>
        <v>7</v>
      </c>
      <c r="E184" s="578" t="s">
        <v>339</v>
      </c>
      <c r="F184" s="505">
        <f>AVERAGE(B184:B188)</f>
        <v>8378.2000000000007</v>
      </c>
      <c r="G184" s="451"/>
      <c r="H184" s="442"/>
      <c r="I184" s="443">
        <f t="shared" si="78"/>
        <v>6841</v>
      </c>
      <c r="J184" s="446">
        <f t="shared" si="79"/>
        <v>24.449699836274331</v>
      </c>
      <c r="K184" s="443">
        <f t="shared" si="80"/>
        <v>1806.336</v>
      </c>
      <c r="M184" s="576">
        <f t="shared" si="81"/>
        <v>5.1980406260022054</v>
      </c>
      <c r="N184" s="579" t="s">
        <v>340</v>
      </c>
      <c r="O184" s="504">
        <f>INDEX(LINEST(M178:M188,$D178:$D188),1)</f>
        <v>-8.1951326782072509E-2</v>
      </c>
      <c r="P184" s="469">
        <f t="shared" si="82"/>
        <v>6844</v>
      </c>
      <c r="Q184" s="443">
        <f>($B184-P184)^2/1000</f>
        <v>1814.4090000000001</v>
      </c>
      <c r="S184" s="576">
        <f t="shared" si="98"/>
        <v>5.893947686602182</v>
      </c>
      <c r="T184" s="579" t="s">
        <v>340</v>
      </c>
      <c r="U184" s="504">
        <f>INDEX(LINEST(S178:S188,$D178:$D188),1)</f>
        <v>-8.163966199611393E-2</v>
      </c>
      <c r="V184" s="469">
        <f t="shared" si="84"/>
        <v>6842</v>
      </c>
      <c r="W184" s="443">
        <f>($B184-V184)^2/1000</f>
        <v>1809.0250000000001</v>
      </c>
      <c r="Y184" s="576">
        <f t="shared" si="99"/>
        <v>6.3003310646621928</v>
      </c>
      <c r="Z184" s="579" t="s">
        <v>340</v>
      </c>
      <c r="AA184" s="504">
        <f>INDEX(LINEST(Y178:Y188,$D178:$D188),1)</f>
        <v>-8.1536331949090532E-2</v>
      </c>
      <c r="AB184" s="469">
        <f t="shared" si="86"/>
        <v>6842</v>
      </c>
      <c r="AC184" s="443">
        <f t="shared" si="87"/>
        <v>1809.0250000000001</v>
      </c>
      <c r="AE184" s="576">
        <f t="shared" si="100"/>
        <v>6.5884719560759608</v>
      </c>
      <c r="AF184" s="579" t="s">
        <v>340</v>
      </c>
      <c r="AG184" s="504">
        <f>INDEX(LINEST(AE178:AE188,$D178:$D188),1)</f>
        <v>-8.1484770921295135E-2</v>
      </c>
      <c r="AH184" s="469">
        <f t="shared" si="88"/>
        <v>6842</v>
      </c>
      <c r="AI184" s="443">
        <f t="shared" si="89"/>
        <v>1809.0250000000001</v>
      </c>
      <c r="AK184" s="576">
        <f t="shared" si="101"/>
        <v>6.8118906977542277</v>
      </c>
      <c r="AL184" s="579" t="s">
        <v>340</v>
      </c>
      <c r="AM184" s="504">
        <f>INDEX(LINEST(AK178:AK188,$D178:$D188),1)</f>
        <v>-8.1453867498155821E-2</v>
      </c>
      <c r="AN184" s="469">
        <f t="shared" si="90"/>
        <v>6842</v>
      </c>
      <c r="AO184" s="443">
        <f t="shared" si="91"/>
        <v>1809.0250000000001</v>
      </c>
      <c r="AQ184" s="576">
        <f t="shared" si="102"/>
        <v>6.9943956727278138</v>
      </c>
      <c r="AR184" s="579" t="s">
        <v>340</v>
      </c>
      <c r="AS184" s="504">
        <f>INDEX(LINEST(AQ178:AQ188,$D178:$D188),1)</f>
        <v>-8.1433279027065653E-2</v>
      </c>
      <c r="AT184" s="469">
        <f t="shared" si="92"/>
        <v>6841</v>
      </c>
      <c r="AU184" s="443">
        <f t="shared" si="93"/>
        <v>1806.336</v>
      </c>
      <c r="AW184" s="576">
        <f t="shared" si="103"/>
        <v>7.1486773449462984</v>
      </c>
      <c r="AX184" s="579" t="s">
        <v>340</v>
      </c>
      <c r="AY184" s="504">
        <f>INDEX(LINEST(AW178:AW188,$D178:$D188),1)</f>
        <v>-8.1418579734686788E-2</v>
      </c>
      <c r="AZ184" s="469">
        <f t="shared" si="94"/>
        <v>6841</v>
      </c>
      <c r="BA184" s="443">
        <f t="shared" si="95"/>
        <v>1806.336</v>
      </c>
      <c r="BC184" s="576">
        <f t="shared" si="104"/>
        <v>7.2823069706048713</v>
      </c>
      <c r="BD184" s="579" t="s">
        <v>340</v>
      </c>
      <c r="BE184" s="504">
        <f>INDEX(LINEST(BC178:BC188,$D178:$D188),1)</f>
        <v>-8.1407558959042239E-2</v>
      </c>
      <c r="BF184" s="469">
        <f t="shared" si="96"/>
        <v>6841</v>
      </c>
      <c r="BG184" s="443">
        <f t="shared" si="97"/>
        <v>1806.336</v>
      </c>
    </row>
    <row r="185" spans="1:60" ht="15" customHeight="1">
      <c r="A185" s="436">
        <f t="shared" si="75"/>
        <v>2013</v>
      </c>
      <c r="B185" s="437">
        <f t="shared" si="75"/>
        <v>5579</v>
      </c>
      <c r="C185" s="533">
        <f t="shared" si="76"/>
        <v>6.9795749334502917</v>
      </c>
      <c r="D185" s="438">
        <f t="shared" ref="D185:D210" si="105">D184+1</f>
        <v>8</v>
      </c>
      <c r="G185" s="451"/>
      <c r="H185" s="442"/>
      <c r="I185" s="443">
        <f t="shared" si="78"/>
        <v>7421</v>
      </c>
      <c r="J185" s="446">
        <f t="shared" si="79"/>
        <v>33.016669654059868</v>
      </c>
      <c r="K185" s="443">
        <f t="shared" si="80"/>
        <v>3392.9639999999999</v>
      </c>
      <c r="M185" s="576">
        <f t="shared" si="81"/>
        <v>5.1831511093723917</v>
      </c>
      <c r="N185" s="439" t="s">
        <v>305</v>
      </c>
      <c r="O185" s="504">
        <f>INDEX(LINEST(M178:M188,$D178:$D188),2)</f>
        <v>5.5511972140091963</v>
      </c>
      <c r="P185" s="469">
        <f t="shared" si="82"/>
        <v>7424</v>
      </c>
      <c r="Q185" s="443">
        <f>($B185-P185)^2/1000</f>
        <v>3404.0250000000001</v>
      </c>
      <c r="S185" s="576">
        <f t="shared" si="98"/>
        <v>5.879099512773073</v>
      </c>
      <c r="T185" s="439" t="s">
        <v>305</v>
      </c>
      <c r="U185" s="504">
        <f>INDEX(LINEST(S178:S188,$D178:$D188),2)</f>
        <v>6.2458156514449392</v>
      </c>
      <c r="V185" s="469">
        <f t="shared" si="84"/>
        <v>7422</v>
      </c>
      <c r="W185" s="443">
        <f>($B185-V185)^2/1000</f>
        <v>3396.6489999999999</v>
      </c>
      <c r="Y185" s="576">
        <f t="shared" si="99"/>
        <v>6.2854966207933396</v>
      </c>
      <c r="Z185" s="439" t="s">
        <v>305</v>
      </c>
      <c r="AA185" s="504">
        <f>INDEX(LINEST(Y178:Y188,$D178:$D188),2)</f>
        <v>6.6517717265352436</v>
      </c>
      <c r="AB185" s="469">
        <f t="shared" si="86"/>
        <v>7422</v>
      </c>
      <c r="AC185" s="443">
        <f t="shared" si="87"/>
        <v>3396.6489999999999</v>
      </c>
      <c r="AE185" s="576">
        <f t="shared" si="100"/>
        <v>6.5736443676694929</v>
      </c>
      <c r="AF185" s="439" t="s">
        <v>305</v>
      </c>
      <c r="AG185" s="504">
        <f>INDEX(LINEST(AE178:AE188,$D178:$D188),2)</f>
        <v>6.9396993834732026</v>
      </c>
      <c r="AH185" s="469">
        <f t="shared" si="88"/>
        <v>7421</v>
      </c>
      <c r="AI185" s="443">
        <f t="shared" si="89"/>
        <v>3392.9639999999999</v>
      </c>
      <c r="AK185" s="576">
        <f t="shared" si="101"/>
        <v>6.7970672195845774</v>
      </c>
      <c r="AL185" s="439" t="s">
        <v>305</v>
      </c>
      <c r="AM185" s="504">
        <f>INDEX(LINEST(AK178:AK188,$D178:$D188),2)</f>
        <v>7.162990317574387</v>
      </c>
      <c r="AN185" s="469">
        <f t="shared" si="90"/>
        <v>7421</v>
      </c>
      <c r="AO185" s="443">
        <f t="shared" si="91"/>
        <v>3392.9639999999999</v>
      </c>
      <c r="AQ185" s="576">
        <f t="shared" si="102"/>
        <v>6.9795749334502917</v>
      </c>
      <c r="AR185" s="439" t="s">
        <v>305</v>
      </c>
      <c r="AS185" s="504">
        <f>INDEX(LINEST(AQ178:AQ188,$D178:$D188),2)</f>
        <v>7.3454101428812217</v>
      </c>
      <c r="AT185" s="469">
        <f t="shared" si="92"/>
        <v>7421</v>
      </c>
      <c r="AU185" s="443">
        <f t="shared" si="93"/>
        <v>3392.9639999999999</v>
      </c>
      <c r="AW185" s="576">
        <f t="shared" si="103"/>
        <v>7.1338585614007046</v>
      </c>
      <c r="AX185" s="439" t="s">
        <v>305</v>
      </c>
      <c r="AY185" s="504">
        <f>INDEX(LINEST(AW178:AW188,$D178:$D188),2)</f>
        <v>7.4996310210120738</v>
      </c>
      <c r="AZ185" s="469">
        <f t="shared" si="94"/>
        <v>7421</v>
      </c>
      <c r="BA185" s="443">
        <f t="shared" si="95"/>
        <v>3392.9639999999999</v>
      </c>
      <c r="BC185" s="576">
        <f t="shared" si="104"/>
        <v>7.267489653519525</v>
      </c>
      <c r="BD185" s="439" t="s">
        <v>305</v>
      </c>
      <c r="BE185" s="504">
        <f>INDEX(LINEST(BC178:BC188,$D178:$D188),2)</f>
        <v>7.6332150659175433</v>
      </c>
      <c r="BF185" s="469">
        <f t="shared" si="96"/>
        <v>7421</v>
      </c>
      <c r="BG185" s="443">
        <f t="shared" si="97"/>
        <v>3392.9639999999999</v>
      </c>
    </row>
    <row r="186" spans="1:60" ht="15" customHeight="1">
      <c r="A186" s="436">
        <f t="shared" si="75"/>
        <v>2014</v>
      </c>
      <c r="B186" s="437">
        <f t="shared" si="75"/>
        <v>8143</v>
      </c>
      <c r="C186" s="580">
        <f t="shared" si="76"/>
        <v>6.6009979972737458</v>
      </c>
      <c r="D186" s="508">
        <f t="shared" si="105"/>
        <v>9</v>
      </c>
      <c r="E186" s="581" t="s">
        <v>340</v>
      </c>
      <c r="F186" s="504">
        <f>INDEX(LINEST(C178:C188,D178:D188),1)</f>
        <v>-8.1433279027065653E-2</v>
      </c>
      <c r="G186" s="582"/>
      <c r="H186" s="442"/>
      <c r="I186" s="443">
        <f t="shared" si="78"/>
        <v>8050</v>
      </c>
      <c r="J186" s="467">
        <f t="shared" si="79"/>
        <v>1.1420852265749724</v>
      </c>
      <c r="K186" s="443">
        <f t="shared" si="80"/>
        <v>8.6489999999999991</v>
      </c>
      <c r="M186" s="576">
        <f t="shared" si="81"/>
        <v>4.8024202811829975</v>
      </c>
      <c r="N186" s="578" t="s">
        <v>306</v>
      </c>
      <c r="O186" s="583">
        <f>O184*-1</f>
        <v>8.1951326782072509E-2</v>
      </c>
      <c r="P186" s="469">
        <f t="shared" si="82"/>
        <v>8053</v>
      </c>
      <c r="Q186" s="443">
        <f>($B186-P186)^2/1000</f>
        <v>8.1</v>
      </c>
      <c r="S186" s="576">
        <f t="shared" si="98"/>
        <v>5.4996639859341343</v>
      </c>
      <c r="T186" s="578" t="s">
        <v>306</v>
      </c>
      <c r="U186" s="583">
        <f>U184*-1</f>
        <v>8.163966199611393E-2</v>
      </c>
      <c r="V186" s="469">
        <f t="shared" si="84"/>
        <v>8051</v>
      </c>
      <c r="W186" s="443">
        <f>($B186-V186)^2/1000</f>
        <v>8.4640000000000004</v>
      </c>
      <c r="Y186" s="576">
        <f t="shared" si="99"/>
        <v>5.9064908813495514</v>
      </c>
      <c r="Z186" s="578" t="s">
        <v>306</v>
      </c>
      <c r="AA186" s="583">
        <f>AA184*-1</f>
        <v>8.1536331949090532E-2</v>
      </c>
      <c r="AB186" s="469">
        <f t="shared" si="86"/>
        <v>8051</v>
      </c>
      <c r="AC186" s="443">
        <f>($B186-AB186)^2/1000</f>
        <v>8.4640000000000004</v>
      </c>
      <c r="AE186" s="576">
        <f t="shared" si="100"/>
        <v>6.1948531526614632</v>
      </c>
      <c r="AF186" s="578" t="s">
        <v>306</v>
      </c>
      <c r="AG186" s="583">
        <f>AG184*-1</f>
        <v>8.1484770921295135E-2</v>
      </c>
      <c r="AH186" s="469">
        <f t="shared" si="88"/>
        <v>8050</v>
      </c>
      <c r="AI186" s="443">
        <f>($B186-AH186)^2/1000</f>
        <v>8.6489999999999991</v>
      </c>
      <c r="AK186" s="576">
        <f t="shared" si="101"/>
        <v>6.4184046013206366</v>
      </c>
      <c r="AL186" s="578" t="s">
        <v>306</v>
      </c>
      <c r="AM186" s="583">
        <f>AM184*-1</f>
        <v>8.1453867498155821E-2</v>
      </c>
      <c r="AN186" s="469">
        <f t="shared" si="90"/>
        <v>8050</v>
      </c>
      <c r="AO186" s="443">
        <f t="shared" si="91"/>
        <v>8.6489999999999991</v>
      </c>
      <c r="AQ186" s="576">
        <f t="shared" si="102"/>
        <v>6.6009979972737458</v>
      </c>
      <c r="AR186" s="578" t="s">
        <v>306</v>
      </c>
      <c r="AS186" s="583">
        <f>AS184*-1</f>
        <v>8.1433279027065653E-2</v>
      </c>
      <c r="AT186" s="469">
        <f t="shared" si="92"/>
        <v>8050</v>
      </c>
      <c r="AU186" s="443">
        <f>($B186-AT186)^2/1000</f>
        <v>8.6489999999999991</v>
      </c>
      <c r="AW186" s="576">
        <f t="shared" si="103"/>
        <v>6.7553428026961528</v>
      </c>
      <c r="AX186" s="578" t="s">
        <v>306</v>
      </c>
      <c r="AY186" s="583">
        <f>AY184*-1</f>
        <v>8.1418579734686788E-2</v>
      </c>
      <c r="AZ186" s="469">
        <f t="shared" si="94"/>
        <v>8050</v>
      </c>
      <c r="BA186" s="443">
        <f>($B186-AZ186)^2/1000</f>
        <v>8.6489999999999991</v>
      </c>
      <c r="BC186" s="576">
        <f t="shared" si="104"/>
        <v>6.8890197647904223</v>
      </c>
      <c r="BD186" s="578" t="s">
        <v>306</v>
      </c>
      <c r="BE186" s="583">
        <f>BE184*-1</f>
        <v>8.1407558959042239E-2</v>
      </c>
      <c r="BF186" s="469">
        <f t="shared" si="96"/>
        <v>8050</v>
      </c>
      <c r="BG186" s="443">
        <f>($B186-BF186)^2/1000</f>
        <v>8.6489999999999991</v>
      </c>
    </row>
    <row r="187" spans="1:60" ht="15" customHeight="1">
      <c r="A187" s="436">
        <f t="shared" si="75"/>
        <v>2015</v>
      </c>
      <c r="B187" s="437">
        <f t="shared" si="75"/>
        <v>10418</v>
      </c>
      <c r="C187" s="580">
        <f t="shared" si="76"/>
        <v>6.3542418263799307</v>
      </c>
      <c r="D187" s="508">
        <f t="shared" si="105"/>
        <v>10</v>
      </c>
      <c r="E187" s="540" t="s">
        <v>305</v>
      </c>
      <c r="F187" s="504">
        <f>INDEX(LINEST(C178:C188,D178:D188),2)</f>
        <v>7.3454101428812217</v>
      </c>
      <c r="G187" s="451"/>
      <c r="H187" s="439"/>
      <c r="I187" s="443">
        <f t="shared" si="78"/>
        <v>8732</v>
      </c>
      <c r="J187" s="467">
        <f t="shared" si="79"/>
        <v>16.183528508350932</v>
      </c>
      <c r="K187" s="443">
        <f t="shared" si="80"/>
        <v>2842.596</v>
      </c>
      <c r="M187" s="576">
        <f t="shared" si="81"/>
        <v>4.5537475524225135</v>
      </c>
      <c r="N187" s="439" t="s">
        <v>321</v>
      </c>
      <c r="O187" s="504">
        <f>P177</f>
        <v>0.75227800048174065</v>
      </c>
      <c r="P187" s="469">
        <f t="shared" si="82"/>
        <v>8735</v>
      </c>
      <c r="Q187" s="443">
        <f>($B187-P187)^2/1000</f>
        <v>2832.489</v>
      </c>
      <c r="S187" s="576">
        <f t="shared" si="98"/>
        <v>5.2521447660806384</v>
      </c>
      <c r="T187" s="439" t="s">
        <v>321</v>
      </c>
      <c r="U187" s="504">
        <f>V177</f>
        <v>0.75247496725096286</v>
      </c>
      <c r="V187" s="469">
        <f t="shared" si="84"/>
        <v>8733</v>
      </c>
      <c r="W187" s="443">
        <f>($B187-V187)^2/1000</f>
        <v>2839.2249999999999</v>
      </c>
      <c r="Y187" s="576">
        <f t="shared" si="99"/>
        <v>5.6593537779577909</v>
      </c>
      <c r="Z187" s="439" t="s">
        <v>321</v>
      </c>
      <c r="AA187" s="504">
        <f>AB177</f>
        <v>0.7525714424881077</v>
      </c>
      <c r="AB187" s="469">
        <f t="shared" si="86"/>
        <v>8732</v>
      </c>
      <c r="AC187" s="443">
        <f>($B187-AB187)^2/1000</f>
        <v>2842.596</v>
      </c>
      <c r="AE187" s="576">
        <f t="shared" si="100"/>
        <v>5.9479066631682356</v>
      </c>
      <c r="AF187" s="439" t="s">
        <v>321</v>
      </c>
      <c r="AG187" s="504">
        <f>AH177</f>
        <v>0.75267462048894151</v>
      </c>
      <c r="AH187" s="469">
        <f t="shared" si="88"/>
        <v>8732</v>
      </c>
      <c r="AI187" s="443">
        <f>($B187-AH187)^2/1000</f>
        <v>2842.596</v>
      </c>
      <c r="AK187" s="576">
        <f t="shared" si="101"/>
        <v>6.1715723383787982</v>
      </c>
      <c r="AL187" s="439" t="s">
        <v>321</v>
      </c>
      <c r="AM187" s="504">
        <f>AN177</f>
        <v>0.75267462048894151</v>
      </c>
      <c r="AN187" s="469">
        <f t="shared" si="90"/>
        <v>8732</v>
      </c>
      <c r="AO187" s="443">
        <f t="shared" si="91"/>
        <v>2842.596</v>
      </c>
      <c r="AQ187" s="576">
        <f t="shared" si="102"/>
        <v>6.3542418263799307</v>
      </c>
      <c r="AR187" s="439" t="s">
        <v>321</v>
      </c>
      <c r="AS187" s="504">
        <f>AT177</f>
        <v>0.75273599588903795</v>
      </c>
      <c r="AT187" s="469">
        <f t="shared" si="92"/>
        <v>8732</v>
      </c>
      <c r="AU187" s="443">
        <f>($B187-AT187)^2/1000</f>
        <v>2842.596</v>
      </c>
      <c r="AW187" s="576">
        <f t="shared" si="103"/>
        <v>6.5086409544029049</v>
      </c>
      <c r="AX187" s="439" t="s">
        <v>321</v>
      </c>
      <c r="AY187" s="504">
        <f>AZ177</f>
        <v>0.75266006842540611</v>
      </c>
      <c r="AZ187" s="469">
        <f t="shared" si="94"/>
        <v>8732</v>
      </c>
      <c r="BA187" s="443">
        <f>($B187-AZ187)^2/1000</f>
        <v>2842.596</v>
      </c>
      <c r="BC187" s="576">
        <f t="shared" si="104"/>
        <v>6.64235864267458</v>
      </c>
      <c r="BD187" s="439" t="s">
        <v>321</v>
      </c>
      <c r="BE187" s="504">
        <f>BF177</f>
        <v>0.75266006842540611</v>
      </c>
      <c r="BF187" s="469">
        <f t="shared" si="96"/>
        <v>8732</v>
      </c>
      <c r="BG187" s="443">
        <f>($B187-BF187)^2/1000</f>
        <v>2842.596</v>
      </c>
    </row>
    <row r="188" spans="1:60" ht="15" customHeight="1" thickBot="1">
      <c r="A188" s="436">
        <f t="shared" si="75"/>
        <v>2016</v>
      </c>
      <c r="B188" s="437">
        <f t="shared" si="75"/>
        <v>12254</v>
      </c>
      <c r="C188" s="580">
        <f t="shared" si="76"/>
        <v>6.1916179121667074</v>
      </c>
      <c r="D188" s="508">
        <f t="shared" si="105"/>
        <v>11</v>
      </c>
      <c r="E188" s="578" t="s">
        <v>306</v>
      </c>
      <c r="F188" s="583">
        <f>F186*-1</f>
        <v>8.1433279027065653E-2</v>
      </c>
      <c r="H188" s="558"/>
      <c r="I188" s="443">
        <f t="shared" si="78"/>
        <v>9472</v>
      </c>
      <c r="J188" s="467">
        <f t="shared" si="79"/>
        <v>22.70279092541211</v>
      </c>
      <c r="K188" s="443">
        <f t="shared" si="80"/>
        <v>7739.5240000000003</v>
      </c>
      <c r="M188" s="576">
        <f t="shared" si="81"/>
        <v>4.389573165372143</v>
      </c>
      <c r="N188" s="439" t="s">
        <v>322</v>
      </c>
      <c r="O188" s="363">
        <f>SUM(Q178:Q188)</f>
        <v>17688.864000000001</v>
      </c>
      <c r="P188" s="469">
        <f t="shared" si="82"/>
        <v>9474</v>
      </c>
      <c r="Q188" s="443">
        <f>($B188-P188)^2/1000</f>
        <v>7728.4</v>
      </c>
      <c r="S188" s="584">
        <f t="shared" si="98"/>
        <v>5.0889041981506118</v>
      </c>
      <c r="T188" s="439" t="s">
        <v>322</v>
      </c>
      <c r="U188" s="363">
        <f>SUM(W178:W188)</f>
        <v>17690.857</v>
      </c>
      <c r="V188" s="469">
        <f t="shared" si="84"/>
        <v>9472</v>
      </c>
      <c r="W188" s="443">
        <f>($B188-V188)^2/1000</f>
        <v>7739.5240000000003</v>
      </c>
      <c r="Y188" s="584">
        <f t="shared" si="99"/>
        <v>5.4964221216425306</v>
      </c>
      <c r="Z188" s="439" t="s">
        <v>322</v>
      </c>
      <c r="AA188" s="363">
        <f>SUM(AC178:AC188)</f>
        <v>17689.002</v>
      </c>
      <c r="AB188" s="469">
        <f t="shared" si="86"/>
        <v>9472</v>
      </c>
      <c r="AC188" s="443">
        <f>($B188-AB188)^2/1000</f>
        <v>7739.5240000000003</v>
      </c>
      <c r="AE188" s="584">
        <f t="shared" si="100"/>
        <v>5.7851290236766841</v>
      </c>
      <c r="AF188" s="439" t="s">
        <v>322</v>
      </c>
      <c r="AG188" s="363">
        <f>SUM(AI178:AI188)</f>
        <v>17685.502</v>
      </c>
      <c r="AH188" s="469">
        <f t="shared" si="88"/>
        <v>9472</v>
      </c>
      <c r="AI188" s="443">
        <f>($B188-AH188)^2/1000</f>
        <v>7739.5240000000003</v>
      </c>
      <c r="AK188" s="584">
        <f t="shared" si="101"/>
        <v>6.0088869689865723</v>
      </c>
      <c r="AL188" s="439" t="s">
        <v>322</v>
      </c>
      <c r="AM188" s="363">
        <f>SUM(AO178:AO188)</f>
        <v>17685.502</v>
      </c>
      <c r="AN188" s="469">
        <f t="shared" si="90"/>
        <v>9472</v>
      </c>
      <c r="AO188" s="443">
        <f>($B188-AN188)^2/1000</f>
        <v>7739.5240000000003</v>
      </c>
      <c r="AQ188" s="584">
        <f t="shared" si="102"/>
        <v>6.1916179121667074</v>
      </c>
      <c r="AR188" s="439" t="s">
        <v>322</v>
      </c>
      <c r="AS188" s="363">
        <f>SUM(AU178:AU188)</f>
        <v>17682.813000000002</v>
      </c>
      <c r="AT188" s="469">
        <f t="shared" si="92"/>
        <v>9472</v>
      </c>
      <c r="AU188" s="443">
        <f>($B188-AT188)^2/1000</f>
        <v>7739.5240000000003</v>
      </c>
      <c r="AW188" s="584">
        <f t="shared" si="103"/>
        <v>6.3460609082646933</v>
      </c>
      <c r="AX188" s="439" t="s">
        <v>322</v>
      </c>
      <c r="AY188" s="363">
        <f>SUM(BA178:BA188)</f>
        <v>17688.378000000001</v>
      </c>
      <c r="AZ188" s="469">
        <f t="shared" si="94"/>
        <v>9471</v>
      </c>
      <c r="BA188" s="443">
        <f>($B188-AZ188)^2/1000</f>
        <v>7745.0889999999999</v>
      </c>
      <c r="BC188" s="584">
        <f t="shared" si="104"/>
        <v>6.4798114820301409</v>
      </c>
      <c r="BD188" s="439" t="s">
        <v>322</v>
      </c>
      <c r="BE188" s="363">
        <f>SUM(BG178:BG188)</f>
        <v>17688.378000000001</v>
      </c>
      <c r="BF188" s="469">
        <f t="shared" si="96"/>
        <v>9471</v>
      </c>
      <c r="BG188" s="443">
        <f>($B188-BF188)^2/1000</f>
        <v>7745.0889999999999</v>
      </c>
    </row>
    <row r="189" spans="1:60" ht="15" customHeight="1" thickTop="1">
      <c r="A189" s="511">
        <f t="shared" si="75"/>
        <v>2017</v>
      </c>
      <c r="B189" s="459">
        <f t="shared" si="75"/>
        <v>11054</v>
      </c>
      <c r="C189" s="585"/>
      <c r="D189" s="513">
        <f t="shared" si="105"/>
        <v>12</v>
      </c>
      <c r="E189" s="462"/>
      <c r="F189" s="461"/>
      <c r="G189" s="461"/>
      <c r="H189" s="586"/>
      <c r="I189" s="464">
        <f t="shared" si="78"/>
        <v>10274</v>
      </c>
      <c r="J189" s="463"/>
      <c r="K189" s="464"/>
      <c r="M189" s="587"/>
      <c r="N189" s="461"/>
      <c r="O189" s="461"/>
      <c r="P189" s="588"/>
      <c r="Q189" s="589"/>
      <c r="S189" s="587"/>
      <c r="T189" s="461"/>
      <c r="U189" s="461"/>
      <c r="V189" s="588"/>
      <c r="W189" s="589"/>
      <c r="Y189" s="587"/>
      <c r="Z189" s="461"/>
      <c r="AA189" s="461"/>
      <c r="AB189" s="588"/>
      <c r="AC189" s="589"/>
      <c r="AE189" s="587"/>
      <c r="AF189" s="461"/>
      <c r="AG189" s="461"/>
      <c r="AH189" s="588"/>
      <c r="AI189" s="589"/>
      <c r="AK189" s="587"/>
      <c r="AL189" s="461"/>
      <c r="AM189" s="461"/>
      <c r="AN189" s="588"/>
      <c r="AO189" s="589"/>
      <c r="AQ189" s="587"/>
      <c r="AR189" s="461"/>
      <c r="AS189" s="461"/>
      <c r="AT189" s="588"/>
      <c r="AU189" s="589"/>
      <c r="AW189" s="587"/>
      <c r="AX189" s="461"/>
      <c r="AY189" s="461"/>
      <c r="AZ189" s="588"/>
      <c r="BA189" s="589"/>
      <c r="BC189" s="587"/>
      <c r="BD189" s="461"/>
      <c r="BE189" s="461"/>
      <c r="BF189" s="588"/>
      <c r="BG189" s="589"/>
    </row>
    <row r="190" spans="1:60" ht="15" customHeight="1">
      <c r="A190" s="436">
        <f>A154</f>
        <v>2018</v>
      </c>
      <c r="B190" s="437">
        <f t="shared" ref="B190:B210" si="106">ROUND(F$182/(1+EXP(F$187+F$186*D190)),$G$1)</f>
        <v>11144</v>
      </c>
      <c r="C190" s="580"/>
      <c r="D190" s="508">
        <f t="shared" si="105"/>
        <v>13</v>
      </c>
      <c r="E190" s="2318" t="s">
        <v>276</v>
      </c>
      <c r="F190" s="2320"/>
      <c r="G190" s="447">
        <f>I177</f>
        <v>0.75273599588903795</v>
      </c>
      <c r="H190" s="558"/>
      <c r="I190" s="443">
        <f t="shared" si="78"/>
        <v>11144</v>
      </c>
      <c r="J190" s="467"/>
      <c r="K190" s="443"/>
      <c r="M190" s="590"/>
      <c r="N190" s="451"/>
      <c r="O190" s="451"/>
      <c r="P190" s="493"/>
      <c r="Q190" s="492"/>
      <c r="S190" s="590"/>
      <c r="T190" s="451"/>
      <c r="U190" s="451"/>
      <c r="V190" s="493"/>
      <c r="W190" s="492"/>
      <c r="Y190" s="590"/>
      <c r="Z190" s="451"/>
      <c r="AA190" s="451"/>
      <c r="AB190" s="493"/>
      <c r="AC190" s="492"/>
      <c r="AE190" s="590"/>
      <c r="AF190" s="451"/>
      <c r="AG190" s="451"/>
      <c r="AH190" s="493"/>
      <c r="AI190" s="492"/>
      <c r="AK190" s="590"/>
      <c r="AL190" s="451"/>
      <c r="AM190" s="451"/>
      <c r="AN190" s="493"/>
      <c r="AO190" s="492"/>
      <c r="AQ190" s="590"/>
      <c r="AR190" s="451"/>
      <c r="AS190" s="451"/>
      <c r="AT190" s="493"/>
      <c r="AU190" s="492"/>
      <c r="AW190" s="590"/>
      <c r="AX190" s="451"/>
      <c r="AY190" s="451"/>
      <c r="AZ190" s="493"/>
      <c r="BA190" s="492"/>
      <c r="BC190" s="590"/>
      <c r="BD190" s="451"/>
      <c r="BE190" s="451"/>
      <c r="BF190" s="493"/>
      <c r="BG190" s="492"/>
    </row>
    <row r="191" spans="1:60" ht="15" customHeight="1">
      <c r="A191" s="436">
        <f>A155</f>
        <v>2019</v>
      </c>
      <c r="B191" s="437">
        <f t="shared" si="106"/>
        <v>12087</v>
      </c>
      <c r="C191" s="580"/>
      <c r="D191" s="508">
        <f t="shared" si="105"/>
        <v>14</v>
      </c>
      <c r="E191" s="2318" t="s">
        <v>323</v>
      </c>
      <c r="F191" s="2320"/>
      <c r="G191" s="448">
        <f>SUM(K178:K188)</f>
        <v>17682.813000000002</v>
      </c>
      <c r="H191" s="558"/>
      <c r="I191" s="443">
        <f t="shared" si="78"/>
        <v>12087</v>
      </c>
      <c r="J191" s="467"/>
      <c r="K191" s="443"/>
      <c r="M191" s="505" t="str">
        <f>E183</f>
        <v>max(y) =</v>
      </c>
      <c r="N191" s="505">
        <f>F183</f>
        <v>12254</v>
      </c>
      <c r="O191" s="505"/>
      <c r="P191" s="505"/>
      <c r="Q191" s="505"/>
      <c r="R191" s="505"/>
      <c r="S191" s="505" t="str">
        <f>M191</f>
        <v>max(y) =</v>
      </c>
      <c r="T191" s="505">
        <f>N191</f>
        <v>12254</v>
      </c>
      <c r="U191" s="505"/>
      <c r="V191" s="505"/>
      <c r="W191" s="505"/>
      <c r="X191" s="505"/>
      <c r="Y191" s="505" t="str">
        <f>S191</f>
        <v>max(y) =</v>
      </c>
      <c r="Z191" s="505">
        <f>T191</f>
        <v>12254</v>
      </c>
      <c r="AA191" s="505"/>
      <c r="AB191" s="505"/>
      <c r="AC191" s="505"/>
      <c r="AD191" s="505"/>
      <c r="AE191" s="505" t="str">
        <f>Y191</f>
        <v>max(y) =</v>
      </c>
      <c r="AF191" s="505">
        <f>Z191</f>
        <v>12254</v>
      </c>
      <c r="AG191" s="505"/>
      <c r="AH191" s="505"/>
      <c r="AI191" s="505"/>
      <c r="AJ191" s="505"/>
      <c r="AK191" s="505" t="str">
        <f>AE191</f>
        <v>max(y) =</v>
      </c>
      <c r="AL191" s="505">
        <f>AF191</f>
        <v>12254</v>
      </c>
      <c r="AM191" s="505"/>
      <c r="AN191" s="505"/>
      <c r="AO191" s="505"/>
      <c r="AP191" s="505"/>
      <c r="AQ191" s="505" t="str">
        <f>AK191</f>
        <v>max(y) =</v>
      </c>
      <c r="AR191" s="505">
        <f>AL191</f>
        <v>12254</v>
      </c>
      <c r="AS191" s="505"/>
      <c r="AT191" s="505"/>
      <c r="AU191" s="505"/>
      <c r="AV191" s="505"/>
      <c r="AW191" s="505" t="str">
        <f>AQ191</f>
        <v>max(y) =</v>
      </c>
      <c r="AX191" s="505">
        <f>AR191</f>
        <v>12254</v>
      </c>
      <c r="AY191" s="505"/>
      <c r="AZ191" s="505"/>
      <c r="BA191" s="505"/>
      <c r="BB191" s="505"/>
      <c r="BC191" s="505" t="str">
        <f>AW191</f>
        <v>max(y) =</v>
      </c>
      <c r="BD191" s="505">
        <f>AX191</f>
        <v>12254</v>
      </c>
      <c r="BE191" s="505"/>
      <c r="BF191" s="505"/>
      <c r="BG191" s="505"/>
      <c r="BH191" s="505"/>
    </row>
    <row r="192" spans="1:60" ht="15" customHeight="1">
      <c r="A192" s="436">
        <f>A156</f>
        <v>2020</v>
      </c>
      <c r="B192" s="437">
        <f t="shared" si="106"/>
        <v>13111</v>
      </c>
      <c r="C192" s="580"/>
      <c r="D192" s="508">
        <f t="shared" si="105"/>
        <v>15</v>
      </c>
      <c r="E192" s="2318" t="s">
        <v>324</v>
      </c>
      <c r="F192" s="2320"/>
      <c r="G192" s="449">
        <f>SUM(J178:J188)/D199</f>
        <v>7.2193163567909133</v>
      </c>
      <c r="H192" s="558"/>
      <c r="I192" s="443">
        <f t="shared" si="78"/>
        <v>13111</v>
      </c>
      <c r="J192" s="467"/>
      <c r="K192" s="443"/>
      <c r="M192" s="505" t="s">
        <v>326</v>
      </c>
      <c r="N192" s="505">
        <v>3</v>
      </c>
      <c r="O192" s="505"/>
      <c r="P192" s="505"/>
      <c r="Q192" s="505"/>
      <c r="R192" s="505"/>
      <c r="S192" s="505" t="s">
        <v>326</v>
      </c>
      <c r="T192" s="505">
        <f>N192</f>
        <v>3</v>
      </c>
      <c r="U192" s="505"/>
      <c r="V192" s="505"/>
      <c r="W192" s="505"/>
      <c r="X192" s="505"/>
      <c r="Y192" s="505" t="s">
        <v>326</v>
      </c>
      <c r="Z192" s="505">
        <f>T192</f>
        <v>3</v>
      </c>
      <c r="AA192" s="505"/>
      <c r="AB192" s="505"/>
      <c r="AC192" s="505"/>
      <c r="AD192" s="505"/>
      <c r="AE192" s="505" t="s">
        <v>326</v>
      </c>
      <c r="AF192" s="505">
        <f>Z192</f>
        <v>3</v>
      </c>
      <c r="AG192" s="505"/>
      <c r="AH192" s="505"/>
      <c r="AI192" s="505"/>
      <c r="AJ192" s="505"/>
      <c r="AK192" s="505" t="s">
        <v>326</v>
      </c>
      <c r="AL192" s="505">
        <f>AF192</f>
        <v>3</v>
      </c>
      <c r="AM192" s="505"/>
      <c r="AN192" s="505"/>
      <c r="AO192" s="505"/>
      <c r="AP192" s="505"/>
      <c r="AQ192" s="505" t="s">
        <v>326</v>
      </c>
      <c r="AR192" s="505">
        <f>AL192</f>
        <v>3</v>
      </c>
      <c r="AS192" s="505"/>
      <c r="AT192" s="505"/>
      <c r="AU192" s="505"/>
      <c r="AV192" s="505"/>
      <c r="AW192" s="505" t="s">
        <v>326</v>
      </c>
      <c r="AX192" s="505">
        <f>AR192</f>
        <v>3</v>
      </c>
      <c r="AY192" s="505"/>
      <c r="AZ192" s="505"/>
      <c r="BA192" s="505"/>
      <c r="BB192" s="505"/>
      <c r="BC192" s="505" t="s">
        <v>326</v>
      </c>
      <c r="BD192" s="505">
        <f>AX192</f>
        <v>3</v>
      </c>
      <c r="BE192" s="505"/>
      <c r="BF192" s="505"/>
      <c r="BG192" s="505"/>
      <c r="BH192" s="505"/>
    </row>
    <row r="193" spans="1:70" ht="15" customHeight="1">
      <c r="A193" s="436">
        <f>A157</f>
        <v>2021</v>
      </c>
      <c r="B193" s="437">
        <f t="shared" si="106"/>
        <v>14220</v>
      </c>
      <c r="C193" s="580"/>
      <c r="D193" s="508">
        <f t="shared" si="105"/>
        <v>16</v>
      </c>
      <c r="H193" s="558"/>
      <c r="I193" s="443">
        <f t="shared" si="78"/>
        <v>14220</v>
      </c>
      <c r="J193" s="467"/>
      <c r="K193" s="443"/>
      <c r="M193" s="505" t="s">
        <v>343</v>
      </c>
      <c r="N193" s="559">
        <v>100000</v>
      </c>
      <c r="O193" s="505"/>
      <c r="P193" s="505"/>
      <c r="Q193" s="505"/>
      <c r="R193" s="505"/>
      <c r="S193" s="505" t="s">
        <v>343</v>
      </c>
      <c r="T193" s="505">
        <f>N193</f>
        <v>100000</v>
      </c>
      <c r="U193" s="505"/>
      <c r="V193" s="505"/>
      <c r="W193" s="505"/>
      <c r="X193" s="505"/>
      <c r="Y193" s="505" t="s">
        <v>343</v>
      </c>
      <c r="Z193" s="505">
        <f>T193</f>
        <v>100000</v>
      </c>
      <c r="AA193" s="505"/>
      <c r="AB193" s="505"/>
      <c r="AC193" s="505"/>
      <c r="AD193" s="505"/>
      <c r="AE193" s="505" t="s">
        <v>343</v>
      </c>
      <c r="AF193" s="505">
        <f>Z193</f>
        <v>100000</v>
      </c>
      <c r="AG193" s="505"/>
      <c r="AH193" s="505"/>
      <c r="AI193" s="505"/>
      <c r="AJ193" s="505"/>
      <c r="AK193" s="505" t="s">
        <v>343</v>
      </c>
      <c r="AL193" s="505">
        <f>AF193</f>
        <v>100000</v>
      </c>
      <c r="AM193" s="505"/>
      <c r="AN193" s="505"/>
      <c r="AO193" s="505"/>
      <c r="AP193" s="505"/>
      <c r="AQ193" s="505" t="s">
        <v>343</v>
      </c>
      <c r="AR193" s="505">
        <f>AL193</f>
        <v>100000</v>
      </c>
      <c r="AS193" s="505"/>
      <c r="AT193" s="505"/>
      <c r="AU193" s="505"/>
      <c r="AV193" s="505"/>
      <c r="AW193" s="505" t="s">
        <v>343</v>
      </c>
      <c r="AX193" s="505">
        <f>AR193</f>
        <v>100000</v>
      </c>
      <c r="AY193" s="505"/>
      <c r="AZ193" s="505"/>
      <c r="BA193" s="505"/>
      <c r="BB193" s="505"/>
      <c r="BC193" s="505" t="s">
        <v>343</v>
      </c>
      <c r="BD193" s="505">
        <f>AX193</f>
        <v>100000</v>
      </c>
      <c r="BE193" s="505"/>
      <c r="BF193" s="505"/>
      <c r="BG193" s="505"/>
      <c r="BH193" s="505"/>
    </row>
    <row r="194" spans="1:70" ht="15" customHeight="1">
      <c r="A194" s="436">
        <f>A158</f>
        <v>2022</v>
      </c>
      <c r="B194" s="437">
        <f t="shared" si="106"/>
        <v>15424</v>
      </c>
      <c r="C194" s="580"/>
      <c r="D194" s="508">
        <f t="shared" si="105"/>
        <v>17</v>
      </c>
      <c r="E194" s="451"/>
      <c r="F194" s="451"/>
      <c r="G194" s="451"/>
      <c r="H194" s="558"/>
      <c r="I194" s="443">
        <f t="shared" si="78"/>
        <v>15424</v>
      </c>
      <c r="J194" s="467"/>
      <c r="K194" s="443"/>
      <c r="M194" s="590"/>
      <c r="N194" s="451"/>
      <c r="O194" s="451"/>
      <c r="P194" s="493"/>
      <c r="Q194" s="492"/>
      <c r="S194" s="590"/>
      <c r="T194" s="451"/>
      <c r="U194" s="451"/>
      <c r="V194" s="493"/>
      <c r="W194" s="492"/>
      <c r="Y194" s="590"/>
      <c r="Z194" s="451"/>
      <c r="AA194" s="451"/>
      <c r="AB194" s="493"/>
      <c r="AC194" s="492"/>
      <c r="AE194" s="590"/>
      <c r="AF194" s="451"/>
      <c r="AG194" s="451"/>
      <c r="AH194" s="493"/>
      <c r="AI194" s="492"/>
      <c r="AK194" s="590"/>
      <c r="AL194" s="451"/>
      <c r="AM194" s="451"/>
      <c r="AN194" s="493"/>
      <c r="AO194" s="492"/>
      <c r="AQ194" s="590"/>
      <c r="AR194" s="451"/>
      <c r="AS194" s="451"/>
      <c r="AT194" s="493"/>
      <c r="AU194" s="492"/>
      <c r="AW194" s="590"/>
      <c r="AX194" s="451"/>
      <c r="AY194" s="451"/>
      <c r="AZ194" s="493"/>
      <c r="BA194" s="492"/>
      <c r="BC194" s="590"/>
      <c r="BD194" s="451"/>
      <c r="BE194" s="451"/>
      <c r="BF194" s="493"/>
      <c r="BG194" s="492"/>
    </row>
    <row r="195" spans="1:70" ht="15" customHeight="1">
      <c r="A195" s="436">
        <f t="shared" ref="A195:A210" si="107">A159</f>
        <v>2023</v>
      </c>
      <c r="B195" s="437">
        <f t="shared" si="106"/>
        <v>16728</v>
      </c>
      <c r="C195" s="580"/>
      <c r="D195" s="508">
        <f t="shared" si="105"/>
        <v>18</v>
      </c>
      <c r="E195" s="451"/>
      <c r="F195" s="451"/>
      <c r="G195" s="451"/>
      <c r="H195" s="558"/>
      <c r="I195" s="443">
        <f t="shared" si="78"/>
        <v>16728</v>
      </c>
      <c r="J195" s="467"/>
      <c r="K195" s="443"/>
      <c r="M195" s="590"/>
      <c r="N195" s="451"/>
      <c r="O195" s="451"/>
      <c r="P195" s="493"/>
      <c r="Q195" s="492"/>
      <c r="S195" s="590"/>
      <c r="T195" s="451"/>
      <c r="U195" s="451"/>
      <c r="V195" s="493"/>
      <c r="W195" s="492"/>
      <c r="Y195" s="590"/>
      <c r="Z195" s="451"/>
      <c r="AA195" s="451"/>
      <c r="AB195" s="493"/>
      <c r="AC195" s="492"/>
      <c r="AE195" s="590"/>
      <c r="AF195" s="451"/>
      <c r="AG195" s="451"/>
      <c r="AH195" s="493"/>
      <c r="AI195" s="492"/>
      <c r="AK195" s="590"/>
      <c r="AL195" s="451"/>
      <c r="AM195" s="451"/>
      <c r="AN195" s="493"/>
      <c r="AO195" s="492"/>
      <c r="AQ195" s="590"/>
      <c r="AR195" s="451"/>
      <c r="AS195" s="451"/>
      <c r="AT195" s="493"/>
      <c r="AU195" s="492"/>
      <c r="AW195" s="590"/>
      <c r="AX195" s="451"/>
      <c r="AY195" s="451"/>
      <c r="AZ195" s="493"/>
      <c r="BA195" s="492"/>
      <c r="BC195" s="590"/>
      <c r="BD195" s="451"/>
      <c r="BE195" s="451"/>
      <c r="BF195" s="493"/>
      <c r="BG195" s="492"/>
    </row>
    <row r="196" spans="1:70" s="451" customFormat="1" ht="15" customHeight="1">
      <c r="A196" s="436">
        <f t="shared" si="107"/>
        <v>2024</v>
      </c>
      <c r="B196" s="437">
        <f t="shared" si="106"/>
        <v>18143</v>
      </c>
      <c r="C196" s="580"/>
      <c r="D196" s="508">
        <f t="shared" si="105"/>
        <v>19</v>
      </c>
      <c r="H196" s="558"/>
      <c r="I196" s="443">
        <f t="shared" si="78"/>
        <v>18143</v>
      </c>
      <c r="J196" s="467"/>
      <c r="K196" s="443"/>
      <c r="M196" s="590"/>
      <c r="P196" s="493"/>
      <c r="Q196" s="492"/>
      <c r="S196" s="590"/>
      <c r="V196" s="493"/>
      <c r="W196" s="492"/>
      <c r="Y196" s="590"/>
      <c r="AB196" s="493"/>
      <c r="AC196" s="492"/>
      <c r="AE196" s="590"/>
      <c r="AH196" s="493"/>
      <c r="AI196" s="492"/>
      <c r="AK196" s="590"/>
      <c r="AN196" s="493"/>
      <c r="AO196" s="492"/>
      <c r="AQ196" s="590"/>
      <c r="AT196" s="493"/>
      <c r="AU196" s="492"/>
      <c r="AW196" s="590"/>
      <c r="AZ196" s="493"/>
      <c r="BA196" s="492"/>
      <c r="BC196" s="590"/>
      <c r="BF196" s="493"/>
      <c r="BG196" s="492"/>
    </row>
    <row r="197" spans="1:70" ht="15" customHeight="1">
      <c r="A197" s="436">
        <f t="shared" si="107"/>
        <v>2025</v>
      </c>
      <c r="B197" s="437">
        <f t="shared" si="106"/>
        <v>19678</v>
      </c>
      <c r="C197" s="580"/>
      <c r="D197" s="508">
        <f t="shared" si="105"/>
        <v>20</v>
      </c>
      <c r="E197" s="519"/>
      <c r="F197" s="451"/>
      <c r="G197" s="451"/>
      <c r="H197" s="558"/>
      <c r="I197" s="443">
        <f t="shared" si="78"/>
        <v>19678</v>
      </c>
      <c r="J197" s="467"/>
      <c r="K197" s="443"/>
      <c r="M197" s="590"/>
      <c r="N197" s="451"/>
      <c r="O197" s="451"/>
      <c r="P197" s="493"/>
      <c r="Q197" s="492"/>
      <c r="S197" s="590"/>
      <c r="T197" s="451"/>
      <c r="U197" s="451"/>
      <c r="V197" s="493"/>
      <c r="W197" s="492"/>
      <c r="Y197" s="590"/>
      <c r="Z197" s="451"/>
      <c r="AA197" s="451"/>
      <c r="AB197" s="493"/>
      <c r="AC197" s="492"/>
      <c r="AE197" s="590"/>
      <c r="AF197" s="451"/>
      <c r="AG197" s="451"/>
      <c r="AH197" s="493"/>
      <c r="AI197" s="492"/>
      <c r="AK197" s="590"/>
      <c r="AL197" s="451"/>
      <c r="AM197" s="451"/>
      <c r="AN197" s="493"/>
      <c r="AO197" s="492"/>
      <c r="AQ197" s="590"/>
      <c r="AR197" s="451"/>
      <c r="AS197" s="451"/>
      <c r="AT197" s="493"/>
      <c r="AU197" s="492"/>
      <c r="AW197" s="590"/>
      <c r="AX197" s="451"/>
      <c r="AY197" s="451"/>
      <c r="AZ197" s="493"/>
      <c r="BA197" s="492"/>
      <c r="BC197" s="590"/>
      <c r="BD197" s="451"/>
      <c r="BE197" s="451"/>
      <c r="BF197" s="493"/>
      <c r="BG197" s="492"/>
      <c r="BI197" s="590"/>
      <c r="BJ197" s="451"/>
      <c r="BK197" s="451"/>
      <c r="BL197" s="493"/>
      <c r="BM197" s="492"/>
    </row>
    <row r="198" spans="1:70" s="451" customFormat="1" ht="15" customHeight="1">
      <c r="A198" s="436">
        <f t="shared" si="107"/>
        <v>2026</v>
      </c>
      <c r="B198" s="437">
        <f t="shared" si="106"/>
        <v>21341</v>
      </c>
      <c r="C198" s="580"/>
      <c r="D198" s="508">
        <f t="shared" si="105"/>
        <v>21</v>
      </c>
      <c r="E198" s="519"/>
      <c r="H198" s="591"/>
      <c r="I198" s="443">
        <f t="shared" si="78"/>
        <v>21341</v>
      </c>
      <c r="J198" s="467"/>
      <c r="K198" s="443"/>
      <c r="M198" s="590"/>
      <c r="P198" s="493"/>
      <c r="Q198" s="492"/>
      <c r="S198" s="590"/>
      <c r="V198" s="493"/>
      <c r="W198" s="492"/>
      <c r="Y198" s="590"/>
      <c r="AB198" s="493"/>
      <c r="AC198" s="492"/>
      <c r="AE198" s="590"/>
      <c r="AH198" s="493"/>
      <c r="AI198" s="492"/>
      <c r="AK198" s="590"/>
      <c r="AN198" s="493"/>
      <c r="AO198" s="492"/>
      <c r="AQ198" s="590"/>
      <c r="AT198" s="493"/>
      <c r="AU198" s="492"/>
      <c r="AW198" s="590"/>
      <c r="AZ198" s="493"/>
      <c r="BA198" s="492"/>
      <c r="BC198" s="590"/>
      <c r="BF198" s="493"/>
      <c r="BG198" s="492"/>
      <c r="BI198" s="590"/>
      <c r="BL198" s="493"/>
      <c r="BM198" s="492"/>
    </row>
    <row r="199" spans="1:70" s="451" customFormat="1" ht="15" customHeight="1" thickBot="1">
      <c r="A199" s="436">
        <f t="shared" si="107"/>
        <v>2027</v>
      </c>
      <c r="B199" s="437">
        <f t="shared" si="106"/>
        <v>23145</v>
      </c>
      <c r="C199" s="580"/>
      <c r="D199" s="508">
        <f t="shared" si="105"/>
        <v>22</v>
      </c>
      <c r="E199" s="560" t="s">
        <v>344</v>
      </c>
      <c r="F199" s="561" t="s">
        <v>332</v>
      </c>
      <c r="G199" s="561" t="s">
        <v>294</v>
      </c>
      <c r="H199" s="591"/>
      <c r="I199" s="443">
        <f t="shared" si="78"/>
        <v>23145</v>
      </c>
      <c r="J199" s="467"/>
      <c r="K199" s="443"/>
      <c r="M199" s="590"/>
      <c r="P199" s="493"/>
      <c r="Q199" s="492"/>
      <c r="S199" s="590"/>
      <c r="V199" s="493"/>
      <c r="W199" s="492"/>
      <c r="Y199" s="590"/>
      <c r="AB199" s="493"/>
      <c r="AC199" s="492"/>
      <c r="AE199" s="590"/>
      <c r="AH199" s="493"/>
      <c r="AI199" s="492"/>
      <c r="AK199" s="590"/>
      <c r="AN199" s="493"/>
      <c r="AO199" s="492"/>
      <c r="AQ199" s="590"/>
      <c r="AT199" s="493"/>
      <c r="AU199" s="492"/>
      <c r="AW199" s="590"/>
      <c r="AZ199" s="493"/>
      <c r="BA199" s="492"/>
      <c r="BC199" s="590"/>
      <c r="BF199" s="493"/>
      <c r="BG199" s="492"/>
      <c r="BI199" s="590"/>
      <c r="BL199" s="493"/>
      <c r="BM199" s="492"/>
    </row>
    <row r="200" spans="1:70" ht="15" customHeight="1" thickTop="1">
      <c r="A200" s="436">
        <f t="shared" si="107"/>
        <v>2028</v>
      </c>
      <c r="B200" s="437">
        <f t="shared" si="106"/>
        <v>25100</v>
      </c>
      <c r="C200" s="520"/>
      <c r="D200" s="508">
        <f t="shared" si="105"/>
        <v>23</v>
      </c>
      <c r="E200" s="592">
        <v>1000000</v>
      </c>
      <c r="F200" s="563">
        <f>IFERROR(O187,0)</f>
        <v>0.75227800048174065</v>
      </c>
      <c r="G200" s="564">
        <f>O188</f>
        <v>17688.864000000001</v>
      </c>
      <c r="H200" s="591"/>
      <c r="I200" s="443">
        <f t="shared" si="78"/>
        <v>25100</v>
      </c>
      <c r="J200" s="469"/>
      <c r="K200" s="469"/>
      <c r="L200" s="326">
        <f>RANK(F200,$F$200:$F$207)</f>
        <v>8</v>
      </c>
    </row>
    <row r="201" spans="1:70" ht="15" customHeight="1">
      <c r="A201" s="436">
        <f t="shared" si="107"/>
        <v>2029</v>
      </c>
      <c r="B201" s="437">
        <f t="shared" si="106"/>
        <v>27220</v>
      </c>
      <c r="C201" s="520"/>
      <c r="D201" s="508">
        <f t="shared" si="105"/>
        <v>24</v>
      </c>
      <c r="E201" s="593">
        <v>2000000</v>
      </c>
      <c r="F201" s="565">
        <f>IFERROR(V177,0)</f>
        <v>0.75247496725096286</v>
      </c>
      <c r="G201" s="564">
        <f>U188</f>
        <v>17690.857</v>
      </c>
      <c r="H201" s="591"/>
      <c r="I201" s="443">
        <f t="shared" si="78"/>
        <v>27220</v>
      </c>
      <c r="J201" s="469"/>
      <c r="K201" s="469"/>
      <c r="L201" s="326">
        <f t="shared" ref="L201:L207" si="108">RANK(F201,$F$200:$F$207)</f>
        <v>7</v>
      </c>
    </row>
    <row r="202" spans="1:70" ht="15" customHeight="1">
      <c r="A202" s="436">
        <f t="shared" si="107"/>
        <v>2030</v>
      </c>
      <c r="B202" s="437">
        <f t="shared" si="106"/>
        <v>29518</v>
      </c>
      <c r="C202" s="520"/>
      <c r="D202" s="508">
        <f t="shared" si="105"/>
        <v>25</v>
      </c>
      <c r="E202" s="593">
        <v>3000000</v>
      </c>
      <c r="F202" s="565">
        <f>IFERROR(AB177,0)</f>
        <v>0.7525714424881077</v>
      </c>
      <c r="G202" s="564">
        <f>AA188</f>
        <v>17689.002</v>
      </c>
      <c r="H202" s="591"/>
      <c r="I202" s="443">
        <f t="shared" si="78"/>
        <v>29518</v>
      </c>
      <c r="J202" s="469"/>
      <c r="K202" s="469"/>
      <c r="L202" s="326">
        <f t="shared" si="108"/>
        <v>6</v>
      </c>
      <c r="BK202" s="505"/>
      <c r="BL202" s="505"/>
      <c r="BM202" s="505"/>
      <c r="BN202" s="505"/>
      <c r="BO202" s="505"/>
      <c r="BP202" s="505"/>
      <c r="BQ202" s="505"/>
      <c r="BR202" s="505"/>
    </row>
    <row r="203" spans="1:70" ht="15" customHeight="1">
      <c r="A203" s="436">
        <f t="shared" si="107"/>
        <v>2031</v>
      </c>
      <c r="B203" s="437">
        <f t="shared" si="106"/>
        <v>32009</v>
      </c>
      <c r="C203" s="520"/>
      <c r="D203" s="508">
        <f t="shared" si="105"/>
        <v>26</v>
      </c>
      <c r="E203" s="593">
        <v>4000000</v>
      </c>
      <c r="F203" s="565">
        <f>IFERROR(AH177,0)</f>
        <v>0.75267462048894151</v>
      </c>
      <c r="G203" s="564">
        <f>AG188</f>
        <v>17685.502</v>
      </c>
      <c r="H203" s="591"/>
      <c r="I203" s="443">
        <f t="shared" si="78"/>
        <v>32009</v>
      </c>
      <c r="J203" s="469"/>
      <c r="K203" s="469"/>
      <c r="L203" s="326">
        <f t="shared" si="108"/>
        <v>2</v>
      </c>
    </row>
    <row r="204" spans="1:70" ht="15" customHeight="1">
      <c r="A204" s="436">
        <f t="shared" si="107"/>
        <v>2032</v>
      </c>
      <c r="B204" s="437">
        <f t="shared" si="106"/>
        <v>34709</v>
      </c>
      <c r="C204" s="520"/>
      <c r="D204" s="508">
        <f t="shared" si="105"/>
        <v>27</v>
      </c>
      <c r="E204" s="593">
        <v>5000000</v>
      </c>
      <c r="F204" s="565">
        <f>IFERROR(AN177,0)</f>
        <v>0.75267462048894151</v>
      </c>
      <c r="G204" s="564">
        <f>AM188</f>
        <v>17685.502</v>
      </c>
      <c r="H204" s="591"/>
      <c r="I204" s="443">
        <f t="shared" si="78"/>
        <v>34709</v>
      </c>
      <c r="J204" s="469"/>
      <c r="K204" s="469"/>
      <c r="L204" s="326">
        <f t="shared" si="108"/>
        <v>2</v>
      </c>
    </row>
    <row r="205" spans="1:70" ht="15" customHeight="1">
      <c r="A205" s="436">
        <f t="shared" si="107"/>
        <v>2033</v>
      </c>
      <c r="B205" s="437">
        <f t="shared" si="106"/>
        <v>37635</v>
      </c>
      <c r="C205" s="520"/>
      <c r="D205" s="508">
        <f t="shared" si="105"/>
        <v>28</v>
      </c>
      <c r="E205" s="593">
        <v>6000000</v>
      </c>
      <c r="F205" s="565">
        <f>IFERROR(AT177,0)</f>
        <v>0.75273599588903795</v>
      </c>
      <c r="G205" s="564">
        <f>AS188</f>
        <v>17682.813000000002</v>
      </c>
      <c r="H205" s="591"/>
      <c r="I205" s="443">
        <f t="shared" si="78"/>
        <v>37635</v>
      </c>
      <c r="J205" s="469"/>
      <c r="K205" s="469"/>
      <c r="L205" s="326">
        <f t="shared" si="108"/>
        <v>1</v>
      </c>
    </row>
    <row r="206" spans="1:70" ht="15" customHeight="1">
      <c r="A206" s="436">
        <f t="shared" si="107"/>
        <v>2034</v>
      </c>
      <c r="B206" s="437">
        <f t="shared" si="106"/>
        <v>40807</v>
      </c>
      <c r="C206" s="520"/>
      <c r="D206" s="508">
        <f t="shared" si="105"/>
        <v>29</v>
      </c>
      <c r="E206" s="593">
        <v>7000000</v>
      </c>
      <c r="F206" s="565">
        <f>IFERROR(AZ177,0)</f>
        <v>0.75266006842540611</v>
      </c>
      <c r="G206" s="594">
        <f>AY188</f>
        <v>17688.378000000001</v>
      </c>
      <c r="H206" s="591"/>
      <c r="I206" s="443">
        <f t="shared" si="78"/>
        <v>40807</v>
      </c>
      <c r="J206" s="469"/>
      <c r="K206" s="469"/>
      <c r="L206" s="326">
        <f t="shared" si="108"/>
        <v>4</v>
      </c>
    </row>
    <row r="207" spans="1:70" ht="15" customHeight="1">
      <c r="A207" s="522">
        <f t="shared" si="107"/>
        <v>2035</v>
      </c>
      <c r="B207" s="523">
        <f t="shared" si="106"/>
        <v>44243</v>
      </c>
      <c r="C207" s="524"/>
      <c r="D207" s="525">
        <f t="shared" si="105"/>
        <v>30</v>
      </c>
      <c r="E207" s="570">
        <v>8000000</v>
      </c>
      <c r="F207" s="571">
        <f>IFERROR(BF177,0)</f>
        <v>0.75266006842540611</v>
      </c>
      <c r="G207" s="595">
        <f>BE188</f>
        <v>17688.378000000001</v>
      </c>
      <c r="H207" s="596"/>
      <c r="I207" s="528">
        <f t="shared" si="78"/>
        <v>44243</v>
      </c>
      <c r="J207" s="529"/>
      <c r="K207" s="529"/>
      <c r="L207" s="326">
        <f t="shared" si="108"/>
        <v>4</v>
      </c>
    </row>
    <row r="208" spans="1:70" ht="15" customHeight="1">
      <c r="A208" s="522">
        <f t="shared" si="107"/>
        <v>2036</v>
      </c>
      <c r="B208" s="523">
        <f t="shared" si="106"/>
        <v>47967</v>
      </c>
      <c r="C208" s="524"/>
      <c r="D208" s="525">
        <f t="shared" si="105"/>
        <v>31</v>
      </c>
      <c r="E208" s="570"/>
      <c r="F208" s="571"/>
      <c r="G208" s="595"/>
      <c r="H208" s="596"/>
      <c r="I208" s="528">
        <f t="shared" si="78"/>
        <v>47967</v>
      </c>
      <c r="J208" s="529"/>
      <c r="K208" s="529"/>
    </row>
    <row r="209" spans="1:41" ht="20.100000000000001" customHeight="1">
      <c r="A209" s="522">
        <f t="shared" si="107"/>
        <v>2037</v>
      </c>
      <c r="B209" s="523">
        <f t="shared" si="106"/>
        <v>52001</v>
      </c>
      <c r="C209" s="524"/>
      <c r="D209" s="525">
        <f t="shared" si="105"/>
        <v>32</v>
      </c>
      <c r="E209" s="570"/>
      <c r="F209" s="571"/>
      <c r="G209" s="595"/>
      <c r="H209" s="596"/>
      <c r="I209" s="528">
        <f t="shared" si="78"/>
        <v>52001</v>
      </c>
      <c r="J209" s="529"/>
      <c r="K209" s="529"/>
      <c r="L209" s="578"/>
      <c r="M209" s="578"/>
      <c r="N209" s="578"/>
      <c r="O209" s="578"/>
      <c r="P209" s="578"/>
      <c r="Q209" s="578"/>
      <c r="R209" s="578"/>
      <c r="S209" s="578"/>
      <c r="T209" s="578"/>
      <c r="U209" s="578"/>
      <c r="V209" s="578"/>
      <c r="W209" s="578"/>
      <c r="X209" s="578"/>
      <c r="Y209" s="578"/>
      <c r="Z209" s="578"/>
      <c r="AA209" s="578"/>
      <c r="AB209" s="578"/>
      <c r="AC209" s="578"/>
      <c r="AD209" s="578"/>
      <c r="AE209" s="578"/>
      <c r="AF209" s="578"/>
      <c r="AG209" s="578"/>
      <c r="AH209" s="578"/>
      <c r="AI209" s="578"/>
      <c r="AJ209" s="578"/>
      <c r="AK209" s="578"/>
      <c r="AL209" s="578"/>
      <c r="AM209" s="578"/>
      <c r="AN209" s="578"/>
      <c r="AO209" s="578"/>
    </row>
    <row r="210" spans="1:41" ht="20.100000000000001" customHeight="1">
      <c r="A210" s="522">
        <f t="shared" si="107"/>
        <v>2038</v>
      </c>
      <c r="B210" s="523">
        <f t="shared" si="106"/>
        <v>56371</v>
      </c>
      <c r="C210" s="524"/>
      <c r="D210" s="525">
        <f t="shared" si="105"/>
        <v>33</v>
      </c>
      <c r="E210" s="570"/>
      <c r="F210" s="571"/>
      <c r="G210" s="595"/>
      <c r="H210" s="596"/>
      <c r="I210" s="528">
        <f t="shared" si="78"/>
        <v>56371</v>
      </c>
      <c r="J210" s="529"/>
      <c r="K210" s="529"/>
      <c r="L210" s="578"/>
      <c r="M210" s="578"/>
      <c r="N210" s="578"/>
      <c r="O210" s="578"/>
      <c r="P210" s="578"/>
      <c r="Q210" s="578"/>
      <c r="R210" s="578"/>
      <c r="S210" s="578"/>
      <c r="T210" s="578"/>
      <c r="U210" s="578"/>
      <c r="V210" s="578"/>
      <c r="W210" s="578"/>
      <c r="X210" s="578"/>
      <c r="Y210" s="578"/>
      <c r="Z210" s="578"/>
      <c r="AA210" s="578"/>
      <c r="AB210" s="578"/>
      <c r="AC210" s="578"/>
      <c r="AD210" s="578"/>
      <c r="AE210" s="578"/>
      <c r="AF210" s="578"/>
      <c r="AG210" s="578"/>
      <c r="AH210" s="578"/>
      <c r="AI210" s="578"/>
      <c r="AJ210" s="578"/>
      <c r="AK210" s="578"/>
      <c r="AL210" s="578"/>
      <c r="AM210" s="578"/>
      <c r="AN210" s="578"/>
      <c r="AO210" s="578"/>
    </row>
    <row r="211" spans="1:41" ht="20.100000000000001" customHeight="1">
      <c r="K211" s="578"/>
      <c r="L211" s="578"/>
      <c r="M211" s="578"/>
      <c r="N211" s="578"/>
      <c r="O211" s="578"/>
      <c r="P211" s="578"/>
      <c r="Q211" s="578"/>
      <c r="R211" s="578"/>
      <c r="S211" s="578"/>
      <c r="T211" s="578"/>
      <c r="U211" s="578"/>
      <c r="V211" s="578"/>
      <c r="W211" s="578"/>
      <c r="X211" s="578"/>
      <c r="Y211" s="578"/>
      <c r="Z211" s="578"/>
      <c r="AA211" s="578"/>
      <c r="AB211" s="578"/>
      <c r="AC211" s="578"/>
      <c r="AD211" s="578"/>
      <c r="AE211" s="578"/>
      <c r="AF211" s="578"/>
      <c r="AG211" s="578"/>
      <c r="AH211" s="578"/>
      <c r="AI211" s="578"/>
      <c r="AJ211" s="578"/>
      <c r="AK211" s="578"/>
      <c r="AL211" s="578"/>
      <c r="AM211" s="578"/>
      <c r="AN211" s="578"/>
      <c r="AO211" s="578"/>
    </row>
    <row r="212" spans="1:41" ht="20.100000000000001" customHeight="1">
      <c r="K212" s="578"/>
      <c r="L212" s="578"/>
      <c r="M212" s="578"/>
      <c r="N212" s="578"/>
      <c r="O212" s="578"/>
      <c r="P212" s="578"/>
      <c r="Q212" s="578"/>
      <c r="R212" s="578"/>
      <c r="S212" s="578"/>
      <c r="T212" s="578"/>
      <c r="U212" s="578"/>
      <c r="V212" s="578"/>
      <c r="W212" s="578"/>
      <c r="X212" s="578"/>
      <c r="Y212" s="578"/>
      <c r="Z212" s="578"/>
      <c r="AA212" s="578"/>
      <c r="AB212" s="578"/>
      <c r="AC212" s="578"/>
      <c r="AD212" s="578"/>
      <c r="AE212" s="578"/>
      <c r="AF212" s="578"/>
      <c r="AG212" s="578"/>
      <c r="AH212" s="578"/>
      <c r="AI212" s="578"/>
      <c r="AJ212" s="578"/>
      <c r="AK212" s="578"/>
      <c r="AL212" s="578"/>
      <c r="AM212" s="578"/>
      <c r="AN212" s="578"/>
      <c r="AO212" s="578"/>
    </row>
    <row r="213" spans="1:41" ht="20.100000000000001" customHeight="1">
      <c r="K213" s="578"/>
      <c r="L213" s="578"/>
      <c r="M213" s="578"/>
      <c r="N213" s="578"/>
      <c r="O213" s="578"/>
      <c r="P213" s="578"/>
      <c r="Q213" s="578"/>
      <c r="R213" s="578"/>
      <c r="S213" s="578"/>
      <c r="T213" s="578"/>
      <c r="U213" s="578"/>
      <c r="V213" s="578"/>
      <c r="W213" s="578"/>
      <c r="X213" s="578"/>
      <c r="Y213" s="578"/>
      <c r="Z213" s="578"/>
      <c r="AA213" s="578"/>
      <c r="AB213" s="578"/>
      <c r="AC213" s="578"/>
      <c r="AD213" s="578"/>
      <c r="AE213" s="578"/>
      <c r="AF213" s="578"/>
      <c r="AG213" s="578"/>
      <c r="AH213" s="578"/>
      <c r="AI213" s="578"/>
      <c r="AJ213" s="578"/>
      <c r="AK213" s="578"/>
      <c r="AL213" s="578"/>
      <c r="AM213" s="578"/>
      <c r="AN213" s="578"/>
      <c r="AO213" s="578"/>
    </row>
    <row r="214" spans="1:41" ht="20.100000000000001" customHeight="1"/>
    <row r="215" spans="1:41" ht="20.100000000000001" customHeight="1"/>
    <row r="216" spans="1:41" ht="20.100000000000001" customHeight="1"/>
    <row r="217" spans="1:41" ht="20.100000000000001" customHeight="1"/>
    <row r="218" spans="1:41" ht="20.100000000000001" customHeight="1"/>
    <row r="219" spans="1:41" ht="20.100000000000001" customHeight="1"/>
    <row r="220" spans="1:41" ht="20.100000000000001" customHeight="1"/>
    <row r="221" spans="1:41" ht="20.100000000000001" customHeight="1"/>
    <row r="222" spans="1:41" ht="20.100000000000001" customHeight="1"/>
    <row r="223" spans="1:41" ht="20.100000000000001" customHeight="1"/>
    <row r="224" spans="1:41" ht="20.100000000000001" customHeight="1"/>
    <row r="225" ht="20.100000000000001" customHeight="1"/>
    <row r="226" s="325" customFormat="1" ht="20.100000000000001" customHeight="1"/>
    <row r="227" s="325" customFormat="1" ht="20.100000000000001" customHeight="1"/>
    <row r="228" s="325" customFormat="1" ht="20.100000000000001" customHeight="1"/>
    <row r="229" s="325" customFormat="1" ht="20.100000000000001" customHeight="1"/>
    <row r="230" s="325" customFormat="1" ht="20.100000000000001" customHeight="1"/>
  </sheetData>
  <mergeCells count="17">
    <mergeCell ref="F154:G154"/>
    <mergeCell ref="F155:G155"/>
    <mergeCell ref="E190:F190"/>
    <mergeCell ref="E191:F191"/>
    <mergeCell ref="E192:F192"/>
    <mergeCell ref="F153:G153"/>
    <mergeCell ref="I5:J5"/>
    <mergeCell ref="A39:B39"/>
    <mergeCell ref="A40:B40"/>
    <mergeCell ref="A41:B41"/>
    <mergeCell ref="D70:E70"/>
    <mergeCell ref="D71:E71"/>
    <mergeCell ref="D72:E72"/>
    <mergeCell ref="D73:E73"/>
    <mergeCell ref="E115:F115"/>
    <mergeCell ref="E116:F116"/>
    <mergeCell ref="E117:F117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CX230"/>
  <sheetViews>
    <sheetView view="pageBreakPreview" zoomScaleNormal="100" zoomScaleSheetLayoutView="100" workbookViewId="0">
      <selection activeCell="C4" sqref="C4"/>
    </sheetView>
  </sheetViews>
  <sheetFormatPr defaultRowHeight="14.85" customHeight="1"/>
  <cols>
    <col min="1" max="2" width="12.125" style="325" customWidth="1"/>
    <col min="3" max="5" width="13" style="326" customWidth="1"/>
    <col min="6" max="6" width="12.875" style="326" customWidth="1"/>
    <col min="7" max="7" width="13" style="326" customWidth="1"/>
    <col min="8" max="8" width="13.125" style="326" customWidth="1"/>
    <col min="9" max="10" width="12.125" style="326" customWidth="1"/>
    <col min="11" max="11" width="14.375" style="326" bestFit="1" customWidth="1"/>
    <col min="12" max="12" width="11" style="326" customWidth="1"/>
    <col min="13" max="13" width="10" style="326" customWidth="1"/>
    <col min="14" max="14" width="10.875" style="326" customWidth="1"/>
    <col min="15" max="15" width="13.75" style="326" customWidth="1"/>
    <col min="16" max="16" width="10" style="326" customWidth="1"/>
    <col min="17" max="17" width="13.25" style="326" customWidth="1"/>
    <col min="18" max="18" width="14.375" style="326" customWidth="1"/>
    <col min="19" max="19" width="10" style="326" customWidth="1"/>
    <col min="20" max="20" width="10.875" style="326" customWidth="1"/>
    <col min="21" max="21" width="11.375" style="326" customWidth="1"/>
    <col min="22" max="22" width="15.375" style="326" customWidth="1"/>
    <col min="23" max="24" width="10.75" style="326" customWidth="1"/>
    <col min="25" max="25" width="14.375" style="326" customWidth="1"/>
    <col min="26" max="26" width="10.75" style="326" customWidth="1"/>
    <col min="27" max="27" width="11.75" style="326" customWidth="1"/>
    <col min="28" max="28" width="10" style="326" customWidth="1"/>
    <col min="29" max="29" width="15.375" style="326" customWidth="1"/>
    <col min="30" max="30" width="10" style="326" customWidth="1"/>
    <col min="31" max="31" width="10.75" style="326" customWidth="1"/>
    <col min="32" max="32" width="14.875" style="326" customWidth="1"/>
    <col min="33" max="33" width="11.5" style="326" customWidth="1"/>
    <col min="34" max="34" width="10" style="326" customWidth="1"/>
    <col min="35" max="35" width="10.75" style="326" customWidth="1"/>
    <col min="36" max="36" width="13.5" style="326" customWidth="1"/>
    <col min="37" max="37" width="9" style="326"/>
    <col min="38" max="38" width="10.75" style="326" bestFit="1" customWidth="1"/>
    <col min="39" max="39" width="13.75" style="326" customWidth="1"/>
    <col min="40" max="40" width="9" style="326"/>
    <col min="41" max="41" width="10.625" style="326" customWidth="1"/>
    <col min="42" max="42" width="9" style="326"/>
    <col min="43" max="43" width="14.25" style="326" customWidth="1"/>
    <col min="44" max="44" width="10.75" style="326" bestFit="1" customWidth="1"/>
    <col min="45" max="45" width="11.625" style="326" customWidth="1"/>
    <col min="46" max="46" width="13.75" style="326" customWidth="1"/>
    <col min="47" max="47" width="10.625" style="326" customWidth="1"/>
    <col min="48" max="49" width="9" style="326"/>
    <col min="50" max="50" width="14.125" style="326" customWidth="1"/>
    <col min="51" max="51" width="11" style="326" customWidth="1"/>
    <col min="52" max="52" width="10.75" style="326" bestFit="1" customWidth="1"/>
    <col min="53" max="53" width="13.5" style="326" customWidth="1"/>
    <col min="54" max="55" width="9" style="326"/>
    <col min="56" max="56" width="10.75" style="326" bestFit="1" customWidth="1"/>
    <col min="57" max="57" width="14" style="326" customWidth="1"/>
    <col min="58" max="58" width="9" style="326"/>
    <col min="59" max="59" width="10.75" style="326" customWidth="1"/>
    <col min="60" max="60" width="12.75" style="326" customWidth="1"/>
    <col min="61" max="61" width="9" style="326"/>
    <col min="62" max="62" width="10.75" style="326" bestFit="1" customWidth="1"/>
    <col min="63" max="63" width="11.5" style="326" customWidth="1"/>
    <col min="64" max="64" width="13.625" style="326" customWidth="1"/>
    <col min="65" max="65" width="10.625" style="326" customWidth="1"/>
    <col min="66" max="66" width="10.75" style="326" bestFit="1" customWidth="1"/>
    <col min="67" max="67" width="12.375" style="326" customWidth="1"/>
    <col min="68" max="70" width="9" style="326"/>
    <col min="71" max="71" width="15.75" style="326" customWidth="1"/>
    <col min="72" max="72" width="9" style="326"/>
    <col min="73" max="73" width="10.75" style="326" bestFit="1" customWidth="1"/>
    <col min="74" max="74" width="12.625" style="326" customWidth="1"/>
    <col min="75" max="77" width="9" style="326"/>
    <col min="78" max="78" width="13.625" style="326" customWidth="1"/>
    <col min="79" max="79" width="9" style="326"/>
    <col min="80" max="80" width="10.75" style="326" bestFit="1" customWidth="1"/>
    <col min="81" max="81" width="12.5" style="326" customWidth="1"/>
    <col min="82" max="84" width="9" style="326"/>
    <col min="85" max="85" width="12.875" style="326" customWidth="1"/>
    <col min="86" max="86" width="9" style="326"/>
    <col min="87" max="87" width="10.75" style="326" bestFit="1" customWidth="1"/>
    <col min="88" max="88" width="13.875" style="326" customWidth="1"/>
    <col min="89" max="91" width="9" style="326"/>
    <col min="92" max="92" width="14.125" style="326" customWidth="1"/>
    <col min="93" max="93" width="9" style="326"/>
    <col min="94" max="94" width="10.75" style="326" bestFit="1" customWidth="1"/>
    <col min="95" max="95" width="13.25" style="326" customWidth="1"/>
    <col min="96" max="98" width="9" style="326"/>
    <col min="99" max="99" width="13.25" style="326" customWidth="1"/>
    <col min="100" max="100" width="9" style="326"/>
    <col min="101" max="101" width="10.75" style="326" bestFit="1" customWidth="1"/>
    <col min="102" max="102" width="13.875" style="326" customWidth="1"/>
    <col min="103" max="250" width="9" style="326"/>
    <col min="251" max="252" width="12.125" style="326" customWidth="1"/>
    <col min="253" max="255" width="13" style="326" customWidth="1"/>
    <col min="256" max="256" width="12.875" style="326" customWidth="1"/>
    <col min="257" max="257" width="13" style="326" customWidth="1"/>
    <col min="258" max="258" width="13.125" style="326" customWidth="1"/>
    <col min="259" max="260" width="12.125" style="326" customWidth="1"/>
    <col min="261" max="261" width="14.375" style="326" bestFit="1" customWidth="1"/>
    <col min="262" max="262" width="11" style="326" customWidth="1"/>
    <col min="263" max="263" width="10" style="326" customWidth="1"/>
    <col min="264" max="264" width="10.875" style="326" customWidth="1"/>
    <col min="265" max="265" width="13.75" style="326" customWidth="1"/>
    <col min="266" max="266" width="10" style="326" customWidth="1"/>
    <col min="267" max="267" width="13.25" style="326" customWidth="1"/>
    <col min="268" max="268" width="14.375" style="326" customWidth="1"/>
    <col min="269" max="269" width="10" style="326" customWidth="1"/>
    <col min="270" max="270" width="10.875" style="326" customWidth="1"/>
    <col min="271" max="271" width="11.375" style="326" customWidth="1"/>
    <col min="272" max="272" width="15.375" style="326" customWidth="1"/>
    <col min="273" max="274" width="10.75" style="326" customWidth="1"/>
    <col min="275" max="275" width="14.375" style="326" customWidth="1"/>
    <col min="276" max="276" width="10.75" style="326" customWidth="1"/>
    <col min="277" max="277" width="11.75" style="326" customWidth="1"/>
    <col min="278" max="278" width="10" style="326" customWidth="1"/>
    <col min="279" max="279" width="15.375" style="326" customWidth="1"/>
    <col min="280" max="280" width="10" style="326" customWidth="1"/>
    <col min="281" max="281" width="10.75" style="326" customWidth="1"/>
    <col min="282" max="282" width="14.875" style="326" customWidth="1"/>
    <col min="283" max="283" width="11.5" style="326" customWidth="1"/>
    <col min="284" max="284" width="10" style="326" customWidth="1"/>
    <col min="285" max="285" width="10.75" style="326" customWidth="1"/>
    <col min="286" max="286" width="13.5" style="326" customWidth="1"/>
    <col min="287" max="287" width="9" style="326"/>
    <col min="288" max="288" width="10.75" style="326" bestFit="1" customWidth="1"/>
    <col min="289" max="289" width="13.75" style="326" customWidth="1"/>
    <col min="290" max="290" width="9" style="326"/>
    <col min="291" max="291" width="10.625" style="326" customWidth="1"/>
    <col min="292" max="292" width="9" style="326"/>
    <col min="293" max="293" width="14.25" style="326" customWidth="1"/>
    <col min="294" max="294" width="10.75" style="326" bestFit="1" customWidth="1"/>
    <col min="295" max="295" width="11.625" style="326" customWidth="1"/>
    <col min="296" max="296" width="13.75" style="326" customWidth="1"/>
    <col min="297" max="297" width="10.625" style="326" customWidth="1"/>
    <col min="298" max="299" width="9" style="326"/>
    <col min="300" max="300" width="14.125" style="326" customWidth="1"/>
    <col min="301" max="301" width="11" style="326" customWidth="1"/>
    <col min="302" max="302" width="10.75" style="326" bestFit="1" customWidth="1"/>
    <col min="303" max="303" width="13.5" style="326" customWidth="1"/>
    <col min="304" max="305" width="9" style="326"/>
    <col min="306" max="306" width="10.75" style="326" bestFit="1" customWidth="1"/>
    <col min="307" max="307" width="14" style="326" customWidth="1"/>
    <col min="308" max="308" width="9" style="326"/>
    <col min="309" max="309" width="10.75" style="326" customWidth="1"/>
    <col min="310" max="310" width="12.75" style="326" customWidth="1"/>
    <col min="311" max="311" width="9" style="326"/>
    <col min="312" max="312" width="10.75" style="326" bestFit="1" customWidth="1"/>
    <col min="313" max="313" width="11.5" style="326" customWidth="1"/>
    <col min="314" max="314" width="13.625" style="326" customWidth="1"/>
    <col min="315" max="315" width="10.625" style="326" customWidth="1"/>
    <col min="316" max="316" width="10.75" style="326" bestFit="1" customWidth="1"/>
    <col min="317" max="317" width="12.375" style="326" customWidth="1"/>
    <col min="318" max="320" width="9" style="326"/>
    <col min="321" max="321" width="15.75" style="326" customWidth="1"/>
    <col min="322" max="322" width="9" style="326"/>
    <col min="323" max="323" width="10.75" style="326" bestFit="1" customWidth="1"/>
    <col min="324" max="324" width="12.625" style="326" customWidth="1"/>
    <col min="325" max="327" width="9" style="326"/>
    <col min="328" max="328" width="13.625" style="326" customWidth="1"/>
    <col min="329" max="329" width="9" style="326"/>
    <col min="330" max="330" width="10.75" style="326" bestFit="1" customWidth="1"/>
    <col min="331" max="331" width="12.5" style="326" customWidth="1"/>
    <col min="332" max="334" width="9" style="326"/>
    <col min="335" max="335" width="12.875" style="326" customWidth="1"/>
    <col min="336" max="336" width="9" style="326"/>
    <col min="337" max="337" width="10.75" style="326" bestFit="1" customWidth="1"/>
    <col min="338" max="338" width="13.875" style="326" customWidth="1"/>
    <col min="339" max="341" width="9" style="326"/>
    <col min="342" max="342" width="14.125" style="326" customWidth="1"/>
    <col min="343" max="343" width="9" style="326"/>
    <col min="344" max="344" width="10.75" style="326" bestFit="1" customWidth="1"/>
    <col min="345" max="345" width="13.25" style="326" customWidth="1"/>
    <col min="346" max="348" width="9" style="326"/>
    <col min="349" max="349" width="13.25" style="326" customWidth="1"/>
    <col min="350" max="350" width="9" style="326"/>
    <col min="351" max="351" width="10.75" style="326" bestFit="1" customWidth="1"/>
    <col min="352" max="352" width="13.875" style="326" customWidth="1"/>
    <col min="353" max="355" width="9" style="326"/>
    <col min="356" max="356" width="13.625" style="326" customWidth="1"/>
    <col min="357" max="357" width="9" style="326"/>
    <col min="358" max="358" width="10.75" style="326" bestFit="1" customWidth="1"/>
    <col min="359" max="359" width="13" style="326" customWidth="1"/>
    <col min="360" max="506" width="9" style="326"/>
    <col min="507" max="508" width="12.125" style="326" customWidth="1"/>
    <col min="509" max="511" width="13" style="326" customWidth="1"/>
    <col min="512" max="512" width="12.875" style="326" customWidth="1"/>
    <col min="513" max="513" width="13" style="326" customWidth="1"/>
    <col min="514" max="514" width="13.125" style="326" customWidth="1"/>
    <col min="515" max="516" width="12.125" style="326" customWidth="1"/>
    <col min="517" max="517" width="14.375" style="326" bestFit="1" customWidth="1"/>
    <col min="518" max="518" width="11" style="326" customWidth="1"/>
    <col min="519" max="519" width="10" style="326" customWidth="1"/>
    <col min="520" max="520" width="10.875" style="326" customWidth="1"/>
    <col min="521" max="521" width="13.75" style="326" customWidth="1"/>
    <col min="522" max="522" width="10" style="326" customWidth="1"/>
    <col min="523" max="523" width="13.25" style="326" customWidth="1"/>
    <col min="524" max="524" width="14.375" style="326" customWidth="1"/>
    <col min="525" max="525" width="10" style="326" customWidth="1"/>
    <col min="526" max="526" width="10.875" style="326" customWidth="1"/>
    <col min="527" max="527" width="11.375" style="326" customWidth="1"/>
    <col min="528" max="528" width="15.375" style="326" customWidth="1"/>
    <col min="529" max="530" width="10.75" style="326" customWidth="1"/>
    <col min="531" max="531" width="14.375" style="326" customWidth="1"/>
    <col min="532" max="532" width="10.75" style="326" customWidth="1"/>
    <col min="533" max="533" width="11.75" style="326" customWidth="1"/>
    <col min="534" max="534" width="10" style="326" customWidth="1"/>
    <col min="535" max="535" width="15.375" style="326" customWidth="1"/>
    <col min="536" max="536" width="10" style="326" customWidth="1"/>
    <col min="537" max="537" width="10.75" style="326" customWidth="1"/>
    <col min="538" max="538" width="14.875" style="326" customWidth="1"/>
    <col min="539" max="539" width="11.5" style="326" customWidth="1"/>
    <col min="540" max="540" width="10" style="326" customWidth="1"/>
    <col min="541" max="541" width="10.75" style="326" customWidth="1"/>
    <col min="542" max="542" width="13.5" style="326" customWidth="1"/>
    <col min="543" max="543" width="9" style="326"/>
    <col min="544" max="544" width="10.75" style="326" bestFit="1" customWidth="1"/>
    <col min="545" max="545" width="13.75" style="326" customWidth="1"/>
    <col min="546" max="546" width="9" style="326"/>
    <col min="547" max="547" width="10.625" style="326" customWidth="1"/>
    <col min="548" max="548" width="9" style="326"/>
    <col min="549" max="549" width="14.25" style="326" customWidth="1"/>
    <col min="550" max="550" width="10.75" style="326" bestFit="1" customWidth="1"/>
    <col min="551" max="551" width="11.625" style="326" customWidth="1"/>
    <col min="552" max="552" width="13.75" style="326" customWidth="1"/>
    <col min="553" max="553" width="10.625" style="326" customWidth="1"/>
    <col min="554" max="555" width="9" style="326"/>
    <col min="556" max="556" width="14.125" style="326" customWidth="1"/>
    <col min="557" max="557" width="11" style="326" customWidth="1"/>
    <col min="558" max="558" width="10.75" style="326" bestFit="1" customWidth="1"/>
    <col min="559" max="559" width="13.5" style="326" customWidth="1"/>
    <col min="560" max="561" width="9" style="326"/>
    <col min="562" max="562" width="10.75" style="326" bestFit="1" customWidth="1"/>
    <col min="563" max="563" width="14" style="326" customWidth="1"/>
    <col min="564" max="564" width="9" style="326"/>
    <col min="565" max="565" width="10.75" style="326" customWidth="1"/>
    <col min="566" max="566" width="12.75" style="326" customWidth="1"/>
    <col min="567" max="567" width="9" style="326"/>
    <col min="568" max="568" width="10.75" style="326" bestFit="1" customWidth="1"/>
    <col min="569" max="569" width="11.5" style="326" customWidth="1"/>
    <col min="570" max="570" width="13.625" style="326" customWidth="1"/>
    <col min="571" max="571" width="10.625" style="326" customWidth="1"/>
    <col min="572" max="572" width="10.75" style="326" bestFit="1" customWidth="1"/>
    <col min="573" max="573" width="12.375" style="326" customWidth="1"/>
    <col min="574" max="576" width="9" style="326"/>
    <col min="577" max="577" width="15.75" style="326" customWidth="1"/>
    <col min="578" max="578" width="9" style="326"/>
    <col min="579" max="579" width="10.75" style="326" bestFit="1" customWidth="1"/>
    <col min="580" max="580" width="12.625" style="326" customWidth="1"/>
    <col min="581" max="583" width="9" style="326"/>
    <col min="584" max="584" width="13.625" style="326" customWidth="1"/>
    <col min="585" max="585" width="9" style="326"/>
    <col min="586" max="586" width="10.75" style="326" bestFit="1" customWidth="1"/>
    <col min="587" max="587" width="12.5" style="326" customWidth="1"/>
    <col min="588" max="590" width="9" style="326"/>
    <col min="591" max="591" width="12.875" style="326" customWidth="1"/>
    <col min="592" max="592" width="9" style="326"/>
    <col min="593" max="593" width="10.75" style="326" bestFit="1" customWidth="1"/>
    <col min="594" max="594" width="13.875" style="326" customWidth="1"/>
    <col min="595" max="597" width="9" style="326"/>
    <col min="598" max="598" width="14.125" style="326" customWidth="1"/>
    <col min="599" max="599" width="9" style="326"/>
    <col min="600" max="600" width="10.75" style="326" bestFit="1" customWidth="1"/>
    <col min="601" max="601" width="13.25" style="326" customWidth="1"/>
    <col min="602" max="604" width="9" style="326"/>
    <col min="605" max="605" width="13.25" style="326" customWidth="1"/>
    <col min="606" max="606" width="9" style="326"/>
    <col min="607" max="607" width="10.75" style="326" bestFit="1" customWidth="1"/>
    <col min="608" max="608" width="13.875" style="326" customWidth="1"/>
    <col min="609" max="611" width="9" style="326"/>
    <col min="612" max="612" width="13.625" style="326" customWidth="1"/>
    <col min="613" max="613" width="9" style="326"/>
    <col min="614" max="614" width="10.75" style="326" bestFit="1" customWidth="1"/>
    <col min="615" max="615" width="13" style="326" customWidth="1"/>
    <col min="616" max="762" width="9" style="326"/>
    <col min="763" max="764" width="12.125" style="326" customWidth="1"/>
    <col min="765" max="767" width="13" style="326" customWidth="1"/>
    <col min="768" max="768" width="12.875" style="326" customWidth="1"/>
    <col min="769" max="769" width="13" style="326" customWidth="1"/>
    <col min="770" max="770" width="13.125" style="326" customWidth="1"/>
    <col min="771" max="772" width="12.125" style="326" customWidth="1"/>
    <col min="773" max="773" width="14.375" style="326" bestFit="1" customWidth="1"/>
    <col min="774" max="774" width="11" style="326" customWidth="1"/>
    <col min="775" max="775" width="10" style="326" customWidth="1"/>
    <col min="776" max="776" width="10.875" style="326" customWidth="1"/>
    <col min="777" max="777" width="13.75" style="326" customWidth="1"/>
    <col min="778" max="778" width="10" style="326" customWidth="1"/>
    <col min="779" max="779" width="13.25" style="326" customWidth="1"/>
    <col min="780" max="780" width="14.375" style="326" customWidth="1"/>
    <col min="781" max="781" width="10" style="326" customWidth="1"/>
    <col min="782" max="782" width="10.875" style="326" customWidth="1"/>
    <col min="783" max="783" width="11.375" style="326" customWidth="1"/>
    <col min="784" max="784" width="15.375" style="326" customWidth="1"/>
    <col min="785" max="786" width="10.75" style="326" customWidth="1"/>
    <col min="787" max="787" width="14.375" style="326" customWidth="1"/>
    <col min="788" max="788" width="10.75" style="326" customWidth="1"/>
    <col min="789" max="789" width="11.75" style="326" customWidth="1"/>
    <col min="790" max="790" width="10" style="326" customWidth="1"/>
    <col min="791" max="791" width="15.375" style="326" customWidth="1"/>
    <col min="792" max="792" width="10" style="326" customWidth="1"/>
    <col min="793" max="793" width="10.75" style="326" customWidth="1"/>
    <col min="794" max="794" width="14.875" style="326" customWidth="1"/>
    <col min="795" max="795" width="11.5" style="326" customWidth="1"/>
    <col min="796" max="796" width="10" style="326" customWidth="1"/>
    <col min="797" max="797" width="10.75" style="326" customWidth="1"/>
    <col min="798" max="798" width="13.5" style="326" customWidth="1"/>
    <col min="799" max="799" width="9" style="326"/>
    <col min="800" max="800" width="10.75" style="326" bestFit="1" customWidth="1"/>
    <col min="801" max="801" width="13.75" style="326" customWidth="1"/>
    <col min="802" max="802" width="9" style="326"/>
    <col min="803" max="803" width="10.625" style="326" customWidth="1"/>
    <col min="804" max="804" width="9" style="326"/>
    <col min="805" max="805" width="14.25" style="326" customWidth="1"/>
    <col min="806" max="806" width="10.75" style="326" bestFit="1" customWidth="1"/>
    <col min="807" max="807" width="11.625" style="326" customWidth="1"/>
    <col min="808" max="808" width="13.75" style="326" customWidth="1"/>
    <col min="809" max="809" width="10.625" style="326" customWidth="1"/>
    <col min="810" max="811" width="9" style="326"/>
    <col min="812" max="812" width="14.125" style="326" customWidth="1"/>
    <col min="813" max="813" width="11" style="326" customWidth="1"/>
    <col min="814" max="814" width="10.75" style="326" bestFit="1" customWidth="1"/>
    <col min="815" max="815" width="13.5" style="326" customWidth="1"/>
    <col min="816" max="817" width="9" style="326"/>
    <col min="818" max="818" width="10.75" style="326" bestFit="1" customWidth="1"/>
    <col min="819" max="819" width="14" style="326" customWidth="1"/>
    <col min="820" max="820" width="9" style="326"/>
    <col min="821" max="821" width="10.75" style="326" customWidth="1"/>
    <col min="822" max="822" width="12.75" style="326" customWidth="1"/>
    <col min="823" max="823" width="9" style="326"/>
    <col min="824" max="824" width="10.75" style="326" bestFit="1" customWidth="1"/>
    <col min="825" max="825" width="11.5" style="326" customWidth="1"/>
    <col min="826" max="826" width="13.625" style="326" customWidth="1"/>
    <col min="827" max="827" width="10.625" style="326" customWidth="1"/>
    <col min="828" max="828" width="10.75" style="326" bestFit="1" customWidth="1"/>
    <col min="829" max="829" width="12.375" style="326" customWidth="1"/>
    <col min="830" max="832" width="9" style="326"/>
    <col min="833" max="833" width="15.75" style="326" customWidth="1"/>
    <col min="834" max="834" width="9" style="326"/>
    <col min="835" max="835" width="10.75" style="326" bestFit="1" customWidth="1"/>
    <col min="836" max="836" width="12.625" style="326" customWidth="1"/>
    <col min="837" max="839" width="9" style="326"/>
    <col min="840" max="840" width="13.625" style="326" customWidth="1"/>
    <col min="841" max="841" width="9" style="326"/>
    <col min="842" max="842" width="10.75" style="326" bestFit="1" customWidth="1"/>
    <col min="843" max="843" width="12.5" style="326" customWidth="1"/>
    <col min="844" max="846" width="9" style="326"/>
    <col min="847" max="847" width="12.875" style="326" customWidth="1"/>
    <col min="848" max="848" width="9" style="326"/>
    <col min="849" max="849" width="10.75" style="326" bestFit="1" customWidth="1"/>
    <col min="850" max="850" width="13.875" style="326" customWidth="1"/>
    <col min="851" max="853" width="9" style="326"/>
    <col min="854" max="854" width="14.125" style="326" customWidth="1"/>
    <col min="855" max="855" width="9" style="326"/>
    <col min="856" max="856" width="10.75" style="326" bestFit="1" customWidth="1"/>
    <col min="857" max="857" width="13.25" style="326" customWidth="1"/>
    <col min="858" max="860" width="9" style="326"/>
    <col min="861" max="861" width="13.25" style="326" customWidth="1"/>
    <col min="862" max="862" width="9" style="326"/>
    <col min="863" max="863" width="10.75" style="326" bestFit="1" customWidth="1"/>
    <col min="864" max="864" width="13.875" style="326" customWidth="1"/>
    <col min="865" max="867" width="9" style="326"/>
    <col min="868" max="868" width="13.625" style="326" customWidth="1"/>
    <col min="869" max="869" width="9" style="326"/>
    <col min="870" max="870" width="10.75" style="326" bestFit="1" customWidth="1"/>
    <col min="871" max="871" width="13" style="326" customWidth="1"/>
    <col min="872" max="1018" width="9" style="326"/>
    <col min="1019" max="1020" width="12.125" style="326" customWidth="1"/>
    <col min="1021" max="1023" width="13" style="326" customWidth="1"/>
    <col min="1024" max="1024" width="12.875" style="326" customWidth="1"/>
    <col min="1025" max="1025" width="13" style="326" customWidth="1"/>
    <col min="1026" max="1026" width="13.125" style="326" customWidth="1"/>
    <col min="1027" max="1028" width="12.125" style="326" customWidth="1"/>
    <col min="1029" max="1029" width="14.375" style="326" bestFit="1" customWidth="1"/>
    <col min="1030" max="1030" width="11" style="326" customWidth="1"/>
    <col min="1031" max="1031" width="10" style="326" customWidth="1"/>
    <col min="1032" max="1032" width="10.875" style="326" customWidth="1"/>
    <col min="1033" max="1033" width="13.75" style="326" customWidth="1"/>
    <col min="1034" max="1034" width="10" style="326" customWidth="1"/>
    <col min="1035" max="1035" width="13.25" style="326" customWidth="1"/>
    <col min="1036" max="1036" width="14.375" style="326" customWidth="1"/>
    <col min="1037" max="1037" width="10" style="326" customWidth="1"/>
    <col min="1038" max="1038" width="10.875" style="326" customWidth="1"/>
    <col min="1039" max="1039" width="11.375" style="326" customWidth="1"/>
    <col min="1040" max="1040" width="15.375" style="326" customWidth="1"/>
    <col min="1041" max="1042" width="10.75" style="326" customWidth="1"/>
    <col min="1043" max="1043" width="14.375" style="326" customWidth="1"/>
    <col min="1044" max="1044" width="10.75" style="326" customWidth="1"/>
    <col min="1045" max="1045" width="11.75" style="326" customWidth="1"/>
    <col min="1046" max="1046" width="10" style="326" customWidth="1"/>
    <col min="1047" max="1047" width="15.375" style="326" customWidth="1"/>
    <col min="1048" max="1048" width="10" style="326" customWidth="1"/>
    <col min="1049" max="1049" width="10.75" style="326" customWidth="1"/>
    <col min="1050" max="1050" width="14.875" style="326" customWidth="1"/>
    <col min="1051" max="1051" width="11.5" style="326" customWidth="1"/>
    <col min="1052" max="1052" width="10" style="326" customWidth="1"/>
    <col min="1053" max="1053" width="10.75" style="326" customWidth="1"/>
    <col min="1054" max="1054" width="13.5" style="326" customWidth="1"/>
    <col min="1055" max="1055" width="9" style="326"/>
    <col min="1056" max="1056" width="10.75" style="326" bestFit="1" customWidth="1"/>
    <col min="1057" max="1057" width="13.75" style="326" customWidth="1"/>
    <col min="1058" max="1058" width="9" style="326"/>
    <col min="1059" max="1059" width="10.625" style="326" customWidth="1"/>
    <col min="1060" max="1060" width="9" style="326"/>
    <col min="1061" max="1061" width="14.25" style="326" customWidth="1"/>
    <col min="1062" max="1062" width="10.75" style="326" bestFit="1" customWidth="1"/>
    <col min="1063" max="1063" width="11.625" style="326" customWidth="1"/>
    <col min="1064" max="1064" width="13.75" style="326" customWidth="1"/>
    <col min="1065" max="1065" width="10.625" style="326" customWidth="1"/>
    <col min="1066" max="1067" width="9" style="326"/>
    <col min="1068" max="1068" width="14.125" style="326" customWidth="1"/>
    <col min="1069" max="1069" width="11" style="326" customWidth="1"/>
    <col min="1070" max="1070" width="10.75" style="326" bestFit="1" customWidth="1"/>
    <col min="1071" max="1071" width="13.5" style="326" customWidth="1"/>
    <col min="1072" max="1073" width="9" style="326"/>
    <col min="1074" max="1074" width="10.75" style="326" bestFit="1" customWidth="1"/>
    <col min="1075" max="1075" width="14" style="326" customWidth="1"/>
    <col min="1076" max="1076" width="9" style="326"/>
    <col min="1077" max="1077" width="10.75" style="326" customWidth="1"/>
    <col min="1078" max="1078" width="12.75" style="326" customWidth="1"/>
    <col min="1079" max="1079" width="9" style="326"/>
    <col min="1080" max="1080" width="10.75" style="326" bestFit="1" customWidth="1"/>
    <col min="1081" max="1081" width="11.5" style="326" customWidth="1"/>
    <col min="1082" max="1082" width="13.625" style="326" customWidth="1"/>
    <col min="1083" max="1083" width="10.625" style="326" customWidth="1"/>
    <col min="1084" max="1084" width="10.75" style="326" bestFit="1" customWidth="1"/>
    <col min="1085" max="1085" width="12.375" style="326" customWidth="1"/>
    <col min="1086" max="1088" width="9" style="326"/>
    <col min="1089" max="1089" width="15.75" style="326" customWidth="1"/>
    <col min="1090" max="1090" width="9" style="326"/>
    <col min="1091" max="1091" width="10.75" style="326" bestFit="1" customWidth="1"/>
    <col min="1092" max="1092" width="12.625" style="326" customWidth="1"/>
    <col min="1093" max="1095" width="9" style="326"/>
    <col min="1096" max="1096" width="13.625" style="326" customWidth="1"/>
    <col min="1097" max="1097" width="9" style="326"/>
    <col min="1098" max="1098" width="10.75" style="326" bestFit="1" customWidth="1"/>
    <col min="1099" max="1099" width="12.5" style="326" customWidth="1"/>
    <col min="1100" max="1102" width="9" style="326"/>
    <col min="1103" max="1103" width="12.875" style="326" customWidth="1"/>
    <col min="1104" max="1104" width="9" style="326"/>
    <col min="1105" max="1105" width="10.75" style="326" bestFit="1" customWidth="1"/>
    <col min="1106" max="1106" width="13.875" style="326" customWidth="1"/>
    <col min="1107" max="1109" width="9" style="326"/>
    <col min="1110" max="1110" width="14.125" style="326" customWidth="1"/>
    <col min="1111" max="1111" width="9" style="326"/>
    <col min="1112" max="1112" width="10.75" style="326" bestFit="1" customWidth="1"/>
    <col min="1113" max="1113" width="13.25" style="326" customWidth="1"/>
    <col min="1114" max="1116" width="9" style="326"/>
    <col min="1117" max="1117" width="13.25" style="326" customWidth="1"/>
    <col min="1118" max="1118" width="9" style="326"/>
    <col min="1119" max="1119" width="10.75" style="326" bestFit="1" customWidth="1"/>
    <col min="1120" max="1120" width="13.875" style="326" customWidth="1"/>
    <col min="1121" max="1123" width="9" style="326"/>
    <col min="1124" max="1124" width="13.625" style="326" customWidth="1"/>
    <col min="1125" max="1125" width="9" style="326"/>
    <col min="1126" max="1126" width="10.75" style="326" bestFit="1" customWidth="1"/>
    <col min="1127" max="1127" width="13" style="326" customWidth="1"/>
    <col min="1128" max="1274" width="9" style="326"/>
    <col min="1275" max="1276" width="12.125" style="326" customWidth="1"/>
    <col min="1277" max="1279" width="13" style="326" customWidth="1"/>
    <col min="1280" max="1280" width="12.875" style="326" customWidth="1"/>
    <col min="1281" max="1281" width="13" style="326" customWidth="1"/>
    <col min="1282" max="1282" width="13.125" style="326" customWidth="1"/>
    <col min="1283" max="1284" width="12.125" style="326" customWidth="1"/>
    <col min="1285" max="1285" width="14.375" style="326" bestFit="1" customWidth="1"/>
    <col min="1286" max="1286" width="11" style="326" customWidth="1"/>
    <col min="1287" max="1287" width="10" style="326" customWidth="1"/>
    <col min="1288" max="1288" width="10.875" style="326" customWidth="1"/>
    <col min="1289" max="1289" width="13.75" style="326" customWidth="1"/>
    <col min="1290" max="1290" width="10" style="326" customWidth="1"/>
    <col min="1291" max="1291" width="13.25" style="326" customWidth="1"/>
    <col min="1292" max="1292" width="14.375" style="326" customWidth="1"/>
    <col min="1293" max="1293" width="10" style="326" customWidth="1"/>
    <col min="1294" max="1294" width="10.875" style="326" customWidth="1"/>
    <col min="1295" max="1295" width="11.375" style="326" customWidth="1"/>
    <col min="1296" max="1296" width="15.375" style="326" customWidth="1"/>
    <col min="1297" max="1298" width="10.75" style="326" customWidth="1"/>
    <col min="1299" max="1299" width="14.375" style="326" customWidth="1"/>
    <col min="1300" max="1300" width="10.75" style="326" customWidth="1"/>
    <col min="1301" max="1301" width="11.75" style="326" customWidth="1"/>
    <col min="1302" max="1302" width="10" style="326" customWidth="1"/>
    <col min="1303" max="1303" width="15.375" style="326" customWidth="1"/>
    <col min="1304" max="1304" width="10" style="326" customWidth="1"/>
    <col min="1305" max="1305" width="10.75" style="326" customWidth="1"/>
    <col min="1306" max="1306" width="14.875" style="326" customWidth="1"/>
    <col min="1307" max="1307" width="11.5" style="326" customWidth="1"/>
    <col min="1308" max="1308" width="10" style="326" customWidth="1"/>
    <col min="1309" max="1309" width="10.75" style="326" customWidth="1"/>
    <col min="1310" max="1310" width="13.5" style="326" customWidth="1"/>
    <col min="1311" max="1311" width="9" style="326"/>
    <col min="1312" max="1312" width="10.75" style="326" bestFit="1" customWidth="1"/>
    <col min="1313" max="1313" width="13.75" style="326" customWidth="1"/>
    <col min="1314" max="1314" width="9" style="326"/>
    <col min="1315" max="1315" width="10.625" style="326" customWidth="1"/>
    <col min="1316" max="1316" width="9" style="326"/>
    <col min="1317" max="1317" width="14.25" style="326" customWidth="1"/>
    <col min="1318" max="1318" width="10.75" style="326" bestFit="1" customWidth="1"/>
    <col min="1319" max="1319" width="11.625" style="326" customWidth="1"/>
    <col min="1320" max="1320" width="13.75" style="326" customWidth="1"/>
    <col min="1321" max="1321" width="10.625" style="326" customWidth="1"/>
    <col min="1322" max="1323" width="9" style="326"/>
    <col min="1324" max="1324" width="14.125" style="326" customWidth="1"/>
    <col min="1325" max="1325" width="11" style="326" customWidth="1"/>
    <col min="1326" max="1326" width="10.75" style="326" bestFit="1" customWidth="1"/>
    <col min="1327" max="1327" width="13.5" style="326" customWidth="1"/>
    <col min="1328" max="1329" width="9" style="326"/>
    <col min="1330" max="1330" width="10.75" style="326" bestFit="1" customWidth="1"/>
    <col min="1331" max="1331" width="14" style="326" customWidth="1"/>
    <col min="1332" max="1332" width="9" style="326"/>
    <col min="1333" max="1333" width="10.75" style="326" customWidth="1"/>
    <col min="1334" max="1334" width="12.75" style="326" customWidth="1"/>
    <col min="1335" max="1335" width="9" style="326"/>
    <col min="1336" max="1336" width="10.75" style="326" bestFit="1" customWidth="1"/>
    <col min="1337" max="1337" width="11.5" style="326" customWidth="1"/>
    <col min="1338" max="1338" width="13.625" style="326" customWidth="1"/>
    <col min="1339" max="1339" width="10.625" style="326" customWidth="1"/>
    <col min="1340" max="1340" width="10.75" style="326" bestFit="1" customWidth="1"/>
    <col min="1341" max="1341" width="12.375" style="326" customWidth="1"/>
    <col min="1342" max="1344" width="9" style="326"/>
    <col min="1345" max="1345" width="15.75" style="326" customWidth="1"/>
    <col min="1346" max="1346" width="9" style="326"/>
    <col min="1347" max="1347" width="10.75" style="326" bestFit="1" customWidth="1"/>
    <col min="1348" max="1348" width="12.625" style="326" customWidth="1"/>
    <col min="1349" max="1351" width="9" style="326"/>
    <col min="1352" max="1352" width="13.625" style="326" customWidth="1"/>
    <col min="1353" max="1353" width="9" style="326"/>
    <col min="1354" max="1354" width="10.75" style="326" bestFit="1" customWidth="1"/>
    <col min="1355" max="1355" width="12.5" style="326" customWidth="1"/>
    <col min="1356" max="1358" width="9" style="326"/>
    <col min="1359" max="1359" width="12.875" style="326" customWidth="1"/>
    <col min="1360" max="1360" width="9" style="326"/>
    <col min="1361" max="1361" width="10.75" style="326" bestFit="1" customWidth="1"/>
    <col min="1362" max="1362" width="13.875" style="326" customWidth="1"/>
    <col min="1363" max="1365" width="9" style="326"/>
    <col min="1366" max="1366" width="14.125" style="326" customWidth="1"/>
    <col min="1367" max="1367" width="9" style="326"/>
    <col min="1368" max="1368" width="10.75" style="326" bestFit="1" customWidth="1"/>
    <col min="1369" max="1369" width="13.25" style="326" customWidth="1"/>
    <col min="1370" max="1372" width="9" style="326"/>
    <col min="1373" max="1373" width="13.25" style="326" customWidth="1"/>
    <col min="1374" max="1374" width="9" style="326"/>
    <col min="1375" max="1375" width="10.75" style="326" bestFit="1" customWidth="1"/>
    <col min="1376" max="1376" width="13.875" style="326" customWidth="1"/>
    <col min="1377" max="1379" width="9" style="326"/>
    <col min="1380" max="1380" width="13.625" style="326" customWidth="1"/>
    <col min="1381" max="1381" width="9" style="326"/>
    <col min="1382" max="1382" width="10.75" style="326" bestFit="1" customWidth="1"/>
    <col min="1383" max="1383" width="13" style="326" customWidth="1"/>
    <col min="1384" max="1530" width="9" style="326"/>
    <col min="1531" max="1532" width="12.125" style="326" customWidth="1"/>
    <col min="1533" max="1535" width="13" style="326" customWidth="1"/>
    <col min="1536" max="1536" width="12.875" style="326" customWidth="1"/>
    <col min="1537" max="1537" width="13" style="326" customWidth="1"/>
    <col min="1538" max="1538" width="13.125" style="326" customWidth="1"/>
    <col min="1539" max="1540" width="12.125" style="326" customWidth="1"/>
    <col min="1541" max="1541" width="14.375" style="326" bestFit="1" customWidth="1"/>
    <col min="1542" max="1542" width="11" style="326" customWidth="1"/>
    <col min="1543" max="1543" width="10" style="326" customWidth="1"/>
    <col min="1544" max="1544" width="10.875" style="326" customWidth="1"/>
    <col min="1545" max="1545" width="13.75" style="326" customWidth="1"/>
    <col min="1546" max="1546" width="10" style="326" customWidth="1"/>
    <col min="1547" max="1547" width="13.25" style="326" customWidth="1"/>
    <col min="1548" max="1548" width="14.375" style="326" customWidth="1"/>
    <col min="1549" max="1549" width="10" style="326" customWidth="1"/>
    <col min="1550" max="1550" width="10.875" style="326" customWidth="1"/>
    <col min="1551" max="1551" width="11.375" style="326" customWidth="1"/>
    <col min="1552" max="1552" width="15.375" style="326" customWidth="1"/>
    <col min="1553" max="1554" width="10.75" style="326" customWidth="1"/>
    <col min="1555" max="1555" width="14.375" style="326" customWidth="1"/>
    <col min="1556" max="1556" width="10.75" style="326" customWidth="1"/>
    <col min="1557" max="1557" width="11.75" style="326" customWidth="1"/>
    <col min="1558" max="1558" width="10" style="326" customWidth="1"/>
    <col min="1559" max="1559" width="15.375" style="326" customWidth="1"/>
    <col min="1560" max="1560" width="10" style="326" customWidth="1"/>
    <col min="1561" max="1561" width="10.75" style="326" customWidth="1"/>
    <col min="1562" max="1562" width="14.875" style="326" customWidth="1"/>
    <col min="1563" max="1563" width="11.5" style="326" customWidth="1"/>
    <col min="1564" max="1564" width="10" style="326" customWidth="1"/>
    <col min="1565" max="1565" width="10.75" style="326" customWidth="1"/>
    <col min="1566" max="1566" width="13.5" style="326" customWidth="1"/>
    <col min="1567" max="1567" width="9" style="326"/>
    <col min="1568" max="1568" width="10.75" style="326" bestFit="1" customWidth="1"/>
    <col min="1569" max="1569" width="13.75" style="326" customWidth="1"/>
    <col min="1570" max="1570" width="9" style="326"/>
    <col min="1571" max="1571" width="10.625" style="326" customWidth="1"/>
    <col min="1572" max="1572" width="9" style="326"/>
    <col min="1573" max="1573" width="14.25" style="326" customWidth="1"/>
    <col min="1574" max="1574" width="10.75" style="326" bestFit="1" customWidth="1"/>
    <col min="1575" max="1575" width="11.625" style="326" customWidth="1"/>
    <col min="1576" max="1576" width="13.75" style="326" customWidth="1"/>
    <col min="1577" max="1577" width="10.625" style="326" customWidth="1"/>
    <col min="1578" max="1579" width="9" style="326"/>
    <col min="1580" max="1580" width="14.125" style="326" customWidth="1"/>
    <col min="1581" max="1581" width="11" style="326" customWidth="1"/>
    <col min="1582" max="1582" width="10.75" style="326" bestFit="1" customWidth="1"/>
    <col min="1583" max="1583" width="13.5" style="326" customWidth="1"/>
    <col min="1584" max="1585" width="9" style="326"/>
    <col min="1586" max="1586" width="10.75" style="326" bestFit="1" customWidth="1"/>
    <col min="1587" max="1587" width="14" style="326" customWidth="1"/>
    <col min="1588" max="1588" width="9" style="326"/>
    <col min="1589" max="1589" width="10.75" style="326" customWidth="1"/>
    <col min="1590" max="1590" width="12.75" style="326" customWidth="1"/>
    <col min="1591" max="1591" width="9" style="326"/>
    <col min="1592" max="1592" width="10.75" style="326" bestFit="1" customWidth="1"/>
    <col min="1593" max="1593" width="11.5" style="326" customWidth="1"/>
    <col min="1594" max="1594" width="13.625" style="326" customWidth="1"/>
    <col min="1595" max="1595" width="10.625" style="326" customWidth="1"/>
    <col min="1596" max="1596" width="10.75" style="326" bestFit="1" customWidth="1"/>
    <col min="1597" max="1597" width="12.375" style="326" customWidth="1"/>
    <col min="1598" max="1600" width="9" style="326"/>
    <col min="1601" max="1601" width="15.75" style="326" customWidth="1"/>
    <col min="1602" max="1602" width="9" style="326"/>
    <col min="1603" max="1603" width="10.75" style="326" bestFit="1" customWidth="1"/>
    <col min="1604" max="1604" width="12.625" style="326" customWidth="1"/>
    <col min="1605" max="1607" width="9" style="326"/>
    <col min="1608" max="1608" width="13.625" style="326" customWidth="1"/>
    <col min="1609" max="1609" width="9" style="326"/>
    <col min="1610" max="1610" width="10.75" style="326" bestFit="1" customWidth="1"/>
    <col min="1611" max="1611" width="12.5" style="326" customWidth="1"/>
    <col min="1612" max="1614" width="9" style="326"/>
    <col min="1615" max="1615" width="12.875" style="326" customWidth="1"/>
    <col min="1616" max="1616" width="9" style="326"/>
    <col min="1617" max="1617" width="10.75" style="326" bestFit="1" customWidth="1"/>
    <col min="1618" max="1618" width="13.875" style="326" customWidth="1"/>
    <col min="1619" max="1621" width="9" style="326"/>
    <col min="1622" max="1622" width="14.125" style="326" customWidth="1"/>
    <col min="1623" max="1623" width="9" style="326"/>
    <col min="1624" max="1624" width="10.75" style="326" bestFit="1" customWidth="1"/>
    <col min="1625" max="1625" width="13.25" style="326" customWidth="1"/>
    <col min="1626" max="1628" width="9" style="326"/>
    <col min="1629" max="1629" width="13.25" style="326" customWidth="1"/>
    <col min="1630" max="1630" width="9" style="326"/>
    <col min="1631" max="1631" width="10.75" style="326" bestFit="1" customWidth="1"/>
    <col min="1632" max="1632" width="13.875" style="326" customWidth="1"/>
    <col min="1633" max="1635" width="9" style="326"/>
    <col min="1636" max="1636" width="13.625" style="326" customWidth="1"/>
    <col min="1637" max="1637" width="9" style="326"/>
    <col min="1638" max="1638" width="10.75" style="326" bestFit="1" customWidth="1"/>
    <col min="1639" max="1639" width="13" style="326" customWidth="1"/>
    <col min="1640" max="1786" width="9" style="326"/>
    <col min="1787" max="1788" width="12.125" style="326" customWidth="1"/>
    <col min="1789" max="1791" width="13" style="326" customWidth="1"/>
    <col min="1792" max="1792" width="12.875" style="326" customWidth="1"/>
    <col min="1793" max="1793" width="13" style="326" customWidth="1"/>
    <col min="1794" max="1794" width="13.125" style="326" customWidth="1"/>
    <col min="1795" max="1796" width="12.125" style="326" customWidth="1"/>
    <col min="1797" max="1797" width="14.375" style="326" bestFit="1" customWidth="1"/>
    <col min="1798" max="1798" width="11" style="326" customWidth="1"/>
    <col min="1799" max="1799" width="10" style="326" customWidth="1"/>
    <col min="1800" max="1800" width="10.875" style="326" customWidth="1"/>
    <col min="1801" max="1801" width="13.75" style="326" customWidth="1"/>
    <col min="1802" max="1802" width="10" style="326" customWidth="1"/>
    <col min="1803" max="1803" width="13.25" style="326" customWidth="1"/>
    <col min="1804" max="1804" width="14.375" style="326" customWidth="1"/>
    <col min="1805" max="1805" width="10" style="326" customWidth="1"/>
    <col min="1806" max="1806" width="10.875" style="326" customWidth="1"/>
    <col min="1807" max="1807" width="11.375" style="326" customWidth="1"/>
    <col min="1808" max="1808" width="15.375" style="326" customWidth="1"/>
    <col min="1809" max="1810" width="10.75" style="326" customWidth="1"/>
    <col min="1811" max="1811" width="14.375" style="326" customWidth="1"/>
    <col min="1812" max="1812" width="10.75" style="326" customWidth="1"/>
    <col min="1813" max="1813" width="11.75" style="326" customWidth="1"/>
    <col min="1814" max="1814" width="10" style="326" customWidth="1"/>
    <col min="1815" max="1815" width="15.375" style="326" customWidth="1"/>
    <col min="1816" max="1816" width="10" style="326" customWidth="1"/>
    <col min="1817" max="1817" width="10.75" style="326" customWidth="1"/>
    <col min="1818" max="1818" width="14.875" style="326" customWidth="1"/>
    <col min="1819" max="1819" width="11.5" style="326" customWidth="1"/>
    <col min="1820" max="1820" width="10" style="326" customWidth="1"/>
    <col min="1821" max="1821" width="10.75" style="326" customWidth="1"/>
    <col min="1822" max="1822" width="13.5" style="326" customWidth="1"/>
    <col min="1823" max="1823" width="9" style="326"/>
    <col min="1824" max="1824" width="10.75" style="326" bestFit="1" customWidth="1"/>
    <col min="1825" max="1825" width="13.75" style="326" customWidth="1"/>
    <col min="1826" max="1826" width="9" style="326"/>
    <col min="1827" max="1827" width="10.625" style="326" customWidth="1"/>
    <col min="1828" max="1828" width="9" style="326"/>
    <col min="1829" max="1829" width="14.25" style="326" customWidth="1"/>
    <col min="1830" max="1830" width="10.75" style="326" bestFit="1" customWidth="1"/>
    <col min="1831" max="1831" width="11.625" style="326" customWidth="1"/>
    <col min="1832" max="1832" width="13.75" style="326" customWidth="1"/>
    <col min="1833" max="1833" width="10.625" style="326" customWidth="1"/>
    <col min="1834" max="1835" width="9" style="326"/>
    <col min="1836" max="1836" width="14.125" style="326" customWidth="1"/>
    <col min="1837" max="1837" width="11" style="326" customWidth="1"/>
    <col min="1838" max="1838" width="10.75" style="326" bestFit="1" customWidth="1"/>
    <col min="1839" max="1839" width="13.5" style="326" customWidth="1"/>
    <col min="1840" max="1841" width="9" style="326"/>
    <col min="1842" max="1842" width="10.75" style="326" bestFit="1" customWidth="1"/>
    <col min="1843" max="1843" width="14" style="326" customWidth="1"/>
    <col min="1844" max="1844" width="9" style="326"/>
    <col min="1845" max="1845" width="10.75" style="326" customWidth="1"/>
    <col min="1846" max="1846" width="12.75" style="326" customWidth="1"/>
    <col min="1847" max="1847" width="9" style="326"/>
    <col min="1848" max="1848" width="10.75" style="326" bestFit="1" customWidth="1"/>
    <col min="1849" max="1849" width="11.5" style="326" customWidth="1"/>
    <col min="1850" max="1850" width="13.625" style="326" customWidth="1"/>
    <col min="1851" max="1851" width="10.625" style="326" customWidth="1"/>
    <col min="1852" max="1852" width="10.75" style="326" bestFit="1" customWidth="1"/>
    <col min="1853" max="1853" width="12.375" style="326" customWidth="1"/>
    <col min="1854" max="1856" width="9" style="326"/>
    <col min="1857" max="1857" width="15.75" style="326" customWidth="1"/>
    <col min="1858" max="1858" width="9" style="326"/>
    <col min="1859" max="1859" width="10.75" style="326" bestFit="1" customWidth="1"/>
    <col min="1860" max="1860" width="12.625" style="326" customWidth="1"/>
    <col min="1861" max="1863" width="9" style="326"/>
    <col min="1864" max="1864" width="13.625" style="326" customWidth="1"/>
    <col min="1865" max="1865" width="9" style="326"/>
    <col min="1866" max="1866" width="10.75" style="326" bestFit="1" customWidth="1"/>
    <col min="1867" max="1867" width="12.5" style="326" customWidth="1"/>
    <col min="1868" max="1870" width="9" style="326"/>
    <col min="1871" max="1871" width="12.875" style="326" customWidth="1"/>
    <col min="1872" max="1872" width="9" style="326"/>
    <col min="1873" max="1873" width="10.75" style="326" bestFit="1" customWidth="1"/>
    <col min="1874" max="1874" width="13.875" style="326" customWidth="1"/>
    <col min="1875" max="1877" width="9" style="326"/>
    <col min="1878" max="1878" width="14.125" style="326" customWidth="1"/>
    <col min="1879" max="1879" width="9" style="326"/>
    <col min="1880" max="1880" width="10.75" style="326" bestFit="1" customWidth="1"/>
    <col min="1881" max="1881" width="13.25" style="326" customWidth="1"/>
    <col min="1882" max="1884" width="9" style="326"/>
    <col min="1885" max="1885" width="13.25" style="326" customWidth="1"/>
    <col min="1886" max="1886" width="9" style="326"/>
    <col min="1887" max="1887" width="10.75" style="326" bestFit="1" customWidth="1"/>
    <col min="1888" max="1888" width="13.875" style="326" customWidth="1"/>
    <col min="1889" max="1891" width="9" style="326"/>
    <col min="1892" max="1892" width="13.625" style="326" customWidth="1"/>
    <col min="1893" max="1893" width="9" style="326"/>
    <col min="1894" max="1894" width="10.75" style="326" bestFit="1" customWidth="1"/>
    <col min="1895" max="1895" width="13" style="326" customWidth="1"/>
    <col min="1896" max="2042" width="9" style="326"/>
    <col min="2043" max="2044" width="12.125" style="326" customWidth="1"/>
    <col min="2045" max="2047" width="13" style="326" customWidth="1"/>
    <col min="2048" max="2048" width="12.875" style="326" customWidth="1"/>
    <col min="2049" max="2049" width="13" style="326" customWidth="1"/>
    <col min="2050" max="2050" width="13.125" style="326" customWidth="1"/>
    <col min="2051" max="2052" width="12.125" style="326" customWidth="1"/>
    <col min="2053" max="2053" width="14.375" style="326" bestFit="1" customWidth="1"/>
    <col min="2054" max="2054" width="11" style="326" customWidth="1"/>
    <col min="2055" max="2055" width="10" style="326" customWidth="1"/>
    <col min="2056" max="2056" width="10.875" style="326" customWidth="1"/>
    <col min="2057" max="2057" width="13.75" style="326" customWidth="1"/>
    <col min="2058" max="2058" width="10" style="326" customWidth="1"/>
    <col min="2059" max="2059" width="13.25" style="326" customWidth="1"/>
    <col min="2060" max="2060" width="14.375" style="326" customWidth="1"/>
    <col min="2061" max="2061" width="10" style="326" customWidth="1"/>
    <col min="2062" max="2062" width="10.875" style="326" customWidth="1"/>
    <col min="2063" max="2063" width="11.375" style="326" customWidth="1"/>
    <col min="2064" max="2064" width="15.375" style="326" customWidth="1"/>
    <col min="2065" max="2066" width="10.75" style="326" customWidth="1"/>
    <col min="2067" max="2067" width="14.375" style="326" customWidth="1"/>
    <col min="2068" max="2068" width="10.75" style="326" customWidth="1"/>
    <col min="2069" max="2069" width="11.75" style="326" customWidth="1"/>
    <col min="2070" max="2070" width="10" style="326" customWidth="1"/>
    <col min="2071" max="2071" width="15.375" style="326" customWidth="1"/>
    <col min="2072" max="2072" width="10" style="326" customWidth="1"/>
    <col min="2073" max="2073" width="10.75" style="326" customWidth="1"/>
    <col min="2074" max="2074" width="14.875" style="326" customWidth="1"/>
    <col min="2075" max="2075" width="11.5" style="326" customWidth="1"/>
    <col min="2076" max="2076" width="10" style="326" customWidth="1"/>
    <col min="2077" max="2077" width="10.75" style="326" customWidth="1"/>
    <col min="2078" max="2078" width="13.5" style="326" customWidth="1"/>
    <col min="2079" max="2079" width="9" style="326"/>
    <col min="2080" max="2080" width="10.75" style="326" bestFit="1" customWidth="1"/>
    <col min="2081" max="2081" width="13.75" style="326" customWidth="1"/>
    <col min="2082" max="2082" width="9" style="326"/>
    <col min="2083" max="2083" width="10.625" style="326" customWidth="1"/>
    <col min="2084" max="2084" width="9" style="326"/>
    <col min="2085" max="2085" width="14.25" style="326" customWidth="1"/>
    <col min="2086" max="2086" width="10.75" style="326" bestFit="1" customWidth="1"/>
    <col min="2087" max="2087" width="11.625" style="326" customWidth="1"/>
    <col min="2088" max="2088" width="13.75" style="326" customWidth="1"/>
    <col min="2089" max="2089" width="10.625" style="326" customWidth="1"/>
    <col min="2090" max="2091" width="9" style="326"/>
    <col min="2092" max="2092" width="14.125" style="326" customWidth="1"/>
    <col min="2093" max="2093" width="11" style="326" customWidth="1"/>
    <col min="2094" max="2094" width="10.75" style="326" bestFit="1" customWidth="1"/>
    <col min="2095" max="2095" width="13.5" style="326" customWidth="1"/>
    <col min="2096" max="2097" width="9" style="326"/>
    <col min="2098" max="2098" width="10.75" style="326" bestFit="1" customWidth="1"/>
    <col min="2099" max="2099" width="14" style="326" customWidth="1"/>
    <col min="2100" max="2100" width="9" style="326"/>
    <col min="2101" max="2101" width="10.75" style="326" customWidth="1"/>
    <col min="2102" max="2102" width="12.75" style="326" customWidth="1"/>
    <col min="2103" max="2103" width="9" style="326"/>
    <col min="2104" max="2104" width="10.75" style="326" bestFit="1" customWidth="1"/>
    <col min="2105" max="2105" width="11.5" style="326" customWidth="1"/>
    <col min="2106" max="2106" width="13.625" style="326" customWidth="1"/>
    <col min="2107" max="2107" width="10.625" style="326" customWidth="1"/>
    <col min="2108" max="2108" width="10.75" style="326" bestFit="1" customWidth="1"/>
    <col min="2109" max="2109" width="12.375" style="326" customWidth="1"/>
    <col min="2110" max="2112" width="9" style="326"/>
    <col min="2113" max="2113" width="15.75" style="326" customWidth="1"/>
    <col min="2114" max="2114" width="9" style="326"/>
    <col min="2115" max="2115" width="10.75" style="326" bestFit="1" customWidth="1"/>
    <col min="2116" max="2116" width="12.625" style="326" customWidth="1"/>
    <col min="2117" max="2119" width="9" style="326"/>
    <col min="2120" max="2120" width="13.625" style="326" customWidth="1"/>
    <col min="2121" max="2121" width="9" style="326"/>
    <col min="2122" max="2122" width="10.75" style="326" bestFit="1" customWidth="1"/>
    <col min="2123" max="2123" width="12.5" style="326" customWidth="1"/>
    <col min="2124" max="2126" width="9" style="326"/>
    <col min="2127" max="2127" width="12.875" style="326" customWidth="1"/>
    <col min="2128" max="2128" width="9" style="326"/>
    <col min="2129" max="2129" width="10.75" style="326" bestFit="1" customWidth="1"/>
    <col min="2130" max="2130" width="13.875" style="326" customWidth="1"/>
    <col min="2131" max="2133" width="9" style="326"/>
    <col min="2134" max="2134" width="14.125" style="326" customWidth="1"/>
    <col min="2135" max="2135" width="9" style="326"/>
    <col min="2136" max="2136" width="10.75" style="326" bestFit="1" customWidth="1"/>
    <col min="2137" max="2137" width="13.25" style="326" customWidth="1"/>
    <col min="2138" max="2140" width="9" style="326"/>
    <col min="2141" max="2141" width="13.25" style="326" customWidth="1"/>
    <col min="2142" max="2142" width="9" style="326"/>
    <col min="2143" max="2143" width="10.75" style="326" bestFit="1" customWidth="1"/>
    <col min="2144" max="2144" width="13.875" style="326" customWidth="1"/>
    <col min="2145" max="2147" width="9" style="326"/>
    <col min="2148" max="2148" width="13.625" style="326" customWidth="1"/>
    <col min="2149" max="2149" width="9" style="326"/>
    <col min="2150" max="2150" width="10.75" style="326" bestFit="1" customWidth="1"/>
    <col min="2151" max="2151" width="13" style="326" customWidth="1"/>
    <col min="2152" max="2298" width="9" style="326"/>
    <col min="2299" max="2300" width="12.125" style="326" customWidth="1"/>
    <col min="2301" max="2303" width="13" style="326" customWidth="1"/>
    <col min="2304" max="2304" width="12.875" style="326" customWidth="1"/>
    <col min="2305" max="2305" width="13" style="326" customWidth="1"/>
    <col min="2306" max="2306" width="13.125" style="326" customWidth="1"/>
    <col min="2307" max="2308" width="12.125" style="326" customWidth="1"/>
    <col min="2309" max="2309" width="14.375" style="326" bestFit="1" customWidth="1"/>
    <col min="2310" max="2310" width="11" style="326" customWidth="1"/>
    <col min="2311" max="2311" width="10" style="326" customWidth="1"/>
    <col min="2312" max="2312" width="10.875" style="326" customWidth="1"/>
    <col min="2313" max="2313" width="13.75" style="326" customWidth="1"/>
    <col min="2314" max="2314" width="10" style="326" customWidth="1"/>
    <col min="2315" max="2315" width="13.25" style="326" customWidth="1"/>
    <col min="2316" max="2316" width="14.375" style="326" customWidth="1"/>
    <col min="2317" max="2317" width="10" style="326" customWidth="1"/>
    <col min="2318" max="2318" width="10.875" style="326" customWidth="1"/>
    <col min="2319" max="2319" width="11.375" style="326" customWidth="1"/>
    <col min="2320" max="2320" width="15.375" style="326" customWidth="1"/>
    <col min="2321" max="2322" width="10.75" style="326" customWidth="1"/>
    <col min="2323" max="2323" width="14.375" style="326" customWidth="1"/>
    <col min="2324" max="2324" width="10.75" style="326" customWidth="1"/>
    <col min="2325" max="2325" width="11.75" style="326" customWidth="1"/>
    <col min="2326" max="2326" width="10" style="326" customWidth="1"/>
    <col min="2327" max="2327" width="15.375" style="326" customWidth="1"/>
    <col min="2328" max="2328" width="10" style="326" customWidth="1"/>
    <col min="2329" max="2329" width="10.75" style="326" customWidth="1"/>
    <col min="2330" max="2330" width="14.875" style="326" customWidth="1"/>
    <col min="2331" max="2331" width="11.5" style="326" customWidth="1"/>
    <col min="2332" max="2332" width="10" style="326" customWidth="1"/>
    <col min="2333" max="2333" width="10.75" style="326" customWidth="1"/>
    <col min="2334" max="2334" width="13.5" style="326" customWidth="1"/>
    <col min="2335" max="2335" width="9" style="326"/>
    <col min="2336" max="2336" width="10.75" style="326" bestFit="1" customWidth="1"/>
    <col min="2337" max="2337" width="13.75" style="326" customWidth="1"/>
    <col min="2338" max="2338" width="9" style="326"/>
    <col min="2339" max="2339" width="10.625" style="326" customWidth="1"/>
    <col min="2340" max="2340" width="9" style="326"/>
    <col min="2341" max="2341" width="14.25" style="326" customWidth="1"/>
    <col min="2342" max="2342" width="10.75" style="326" bestFit="1" customWidth="1"/>
    <col min="2343" max="2343" width="11.625" style="326" customWidth="1"/>
    <col min="2344" max="2344" width="13.75" style="326" customWidth="1"/>
    <col min="2345" max="2345" width="10.625" style="326" customWidth="1"/>
    <col min="2346" max="2347" width="9" style="326"/>
    <col min="2348" max="2348" width="14.125" style="326" customWidth="1"/>
    <col min="2349" max="2349" width="11" style="326" customWidth="1"/>
    <col min="2350" max="2350" width="10.75" style="326" bestFit="1" customWidth="1"/>
    <col min="2351" max="2351" width="13.5" style="326" customWidth="1"/>
    <col min="2352" max="2353" width="9" style="326"/>
    <col min="2354" max="2354" width="10.75" style="326" bestFit="1" customWidth="1"/>
    <col min="2355" max="2355" width="14" style="326" customWidth="1"/>
    <col min="2356" max="2356" width="9" style="326"/>
    <col min="2357" max="2357" width="10.75" style="326" customWidth="1"/>
    <col min="2358" max="2358" width="12.75" style="326" customWidth="1"/>
    <col min="2359" max="2359" width="9" style="326"/>
    <col min="2360" max="2360" width="10.75" style="326" bestFit="1" customWidth="1"/>
    <col min="2361" max="2361" width="11.5" style="326" customWidth="1"/>
    <col min="2362" max="2362" width="13.625" style="326" customWidth="1"/>
    <col min="2363" max="2363" width="10.625" style="326" customWidth="1"/>
    <col min="2364" max="2364" width="10.75" style="326" bestFit="1" customWidth="1"/>
    <col min="2365" max="2365" width="12.375" style="326" customWidth="1"/>
    <col min="2366" max="2368" width="9" style="326"/>
    <col min="2369" max="2369" width="15.75" style="326" customWidth="1"/>
    <col min="2370" max="2370" width="9" style="326"/>
    <col min="2371" max="2371" width="10.75" style="326" bestFit="1" customWidth="1"/>
    <col min="2372" max="2372" width="12.625" style="326" customWidth="1"/>
    <col min="2373" max="2375" width="9" style="326"/>
    <col min="2376" max="2376" width="13.625" style="326" customWidth="1"/>
    <col min="2377" max="2377" width="9" style="326"/>
    <col min="2378" max="2378" width="10.75" style="326" bestFit="1" customWidth="1"/>
    <col min="2379" max="2379" width="12.5" style="326" customWidth="1"/>
    <col min="2380" max="2382" width="9" style="326"/>
    <col min="2383" max="2383" width="12.875" style="326" customWidth="1"/>
    <col min="2384" max="2384" width="9" style="326"/>
    <col min="2385" max="2385" width="10.75" style="326" bestFit="1" customWidth="1"/>
    <col min="2386" max="2386" width="13.875" style="326" customWidth="1"/>
    <col min="2387" max="2389" width="9" style="326"/>
    <col min="2390" max="2390" width="14.125" style="326" customWidth="1"/>
    <col min="2391" max="2391" width="9" style="326"/>
    <col min="2392" max="2392" width="10.75" style="326" bestFit="1" customWidth="1"/>
    <col min="2393" max="2393" width="13.25" style="326" customWidth="1"/>
    <col min="2394" max="2396" width="9" style="326"/>
    <col min="2397" max="2397" width="13.25" style="326" customWidth="1"/>
    <col min="2398" max="2398" width="9" style="326"/>
    <col min="2399" max="2399" width="10.75" style="326" bestFit="1" customWidth="1"/>
    <col min="2400" max="2400" width="13.875" style="326" customWidth="1"/>
    <col min="2401" max="2403" width="9" style="326"/>
    <col min="2404" max="2404" width="13.625" style="326" customWidth="1"/>
    <col min="2405" max="2405" width="9" style="326"/>
    <col min="2406" max="2406" width="10.75" style="326" bestFit="1" customWidth="1"/>
    <col min="2407" max="2407" width="13" style="326" customWidth="1"/>
    <col min="2408" max="2554" width="9" style="326"/>
    <col min="2555" max="2556" width="12.125" style="326" customWidth="1"/>
    <col min="2557" max="2559" width="13" style="326" customWidth="1"/>
    <col min="2560" max="2560" width="12.875" style="326" customWidth="1"/>
    <col min="2561" max="2561" width="13" style="326" customWidth="1"/>
    <col min="2562" max="2562" width="13.125" style="326" customWidth="1"/>
    <col min="2563" max="2564" width="12.125" style="326" customWidth="1"/>
    <col min="2565" max="2565" width="14.375" style="326" bestFit="1" customWidth="1"/>
    <col min="2566" max="2566" width="11" style="326" customWidth="1"/>
    <col min="2567" max="2567" width="10" style="326" customWidth="1"/>
    <col min="2568" max="2568" width="10.875" style="326" customWidth="1"/>
    <col min="2569" max="2569" width="13.75" style="326" customWidth="1"/>
    <col min="2570" max="2570" width="10" style="326" customWidth="1"/>
    <col min="2571" max="2571" width="13.25" style="326" customWidth="1"/>
    <col min="2572" max="2572" width="14.375" style="326" customWidth="1"/>
    <col min="2573" max="2573" width="10" style="326" customWidth="1"/>
    <col min="2574" max="2574" width="10.875" style="326" customWidth="1"/>
    <col min="2575" max="2575" width="11.375" style="326" customWidth="1"/>
    <col min="2576" max="2576" width="15.375" style="326" customWidth="1"/>
    <col min="2577" max="2578" width="10.75" style="326" customWidth="1"/>
    <col min="2579" max="2579" width="14.375" style="326" customWidth="1"/>
    <col min="2580" max="2580" width="10.75" style="326" customWidth="1"/>
    <col min="2581" max="2581" width="11.75" style="326" customWidth="1"/>
    <col min="2582" max="2582" width="10" style="326" customWidth="1"/>
    <col min="2583" max="2583" width="15.375" style="326" customWidth="1"/>
    <col min="2584" max="2584" width="10" style="326" customWidth="1"/>
    <col min="2585" max="2585" width="10.75" style="326" customWidth="1"/>
    <col min="2586" max="2586" width="14.875" style="326" customWidth="1"/>
    <col min="2587" max="2587" width="11.5" style="326" customWidth="1"/>
    <col min="2588" max="2588" width="10" style="326" customWidth="1"/>
    <col min="2589" max="2589" width="10.75" style="326" customWidth="1"/>
    <col min="2590" max="2590" width="13.5" style="326" customWidth="1"/>
    <col min="2591" max="2591" width="9" style="326"/>
    <col min="2592" max="2592" width="10.75" style="326" bestFit="1" customWidth="1"/>
    <col min="2593" max="2593" width="13.75" style="326" customWidth="1"/>
    <col min="2594" max="2594" width="9" style="326"/>
    <col min="2595" max="2595" width="10.625" style="326" customWidth="1"/>
    <col min="2596" max="2596" width="9" style="326"/>
    <col min="2597" max="2597" width="14.25" style="326" customWidth="1"/>
    <col min="2598" max="2598" width="10.75" style="326" bestFit="1" customWidth="1"/>
    <col min="2599" max="2599" width="11.625" style="326" customWidth="1"/>
    <col min="2600" max="2600" width="13.75" style="326" customWidth="1"/>
    <col min="2601" max="2601" width="10.625" style="326" customWidth="1"/>
    <col min="2602" max="2603" width="9" style="326"/>
    <col min="2604" max="2604" width="14.125" style="326" customWidth="1"/>
    <col min="2605" max="2605" width="11" style="326" customWidth="1"/>
    <col min="2606" max="2606" width="10.75" style="326" bestFit="1" customWidth="1"/>
    <col min="2607" max="2607" width="13.5" style="326" customWidth="1"/>
    <col min="2608" max="2609" width="9" style="326"/>
    <col min="2610" max="2610" width="10.75" style="326" bestFit="1" customWidth="1"/>
    <col min="2611" max="2611" width="14" style="326" customWidth="1"/>
    <col min="2612" max="2612" width="9" style="326"/>
    <col min="2613" max="2613" width="10.75" style="326" customWidth="1"/>
    <col min="2614" max="2614" width="12.75" style="326" customWidth="1"/>
    <col min="2615" max="2615" width="9" style="326"/>
    <col min="2616" max="2616" width="10.75" style="326" bestFit="1" customWidth="1"/>
    <col min="2617" max="2617" width="11.5" style="326" customWidth="1"/>
    <col min="2618" max="2618" width="13.625" style="326" customWidth="1"/>
    <col min="2619" max="2619" width="10.625" style="326" customWidth="1"/>
    <col min="2620" max="2620" width="10.75" style="326" bestFit="1" customWidth="1"/>
    <col min="2621" max="2621" width="12.375" style="326" customWidth="1"/>
    <col min="2622" max="2624" width="9" style="326"/>
    <col min="2625" max="2625" width="15.75" style="326" customWidth="1"/>
    <col min="2626" max="2626" width="9" style="326"/>
    <col min="2627" max="2627" width="10.75" style="326" bestFit="1" customWidth="1"/>
    <col min="2628" max="2628" width="12.625" style="326" customWidth="1"/>
    <col min="2629" max="2631" width="9" style="326"/>
    <col min="2632" max="2632" width="13.625" style="326" customWidth="1"/>
    <col min="2633" max="2633" width="9" style="326"/>
    <col min="2634" max="2634" width="10.75" style="326" bestFit="1" customWidth="1"/>
    <col min="2635" max="2635" width="12.5" style="326" customWidth="1"/>
    <col min="2636" max="2638" width="9" style="326"/>
    <col min="2639" max="2639" width="12.875" style="326" customWidth="1"/>
    <col min="2640" max="2640" width="9" style="326"/>
    <col min="2641" max="2641" width="10.75" style="326" bestFit="1" customWidth="1"/>
    <col min="2642" max="2642" width="13.875" style="326" customWidth="1"/>
    <col min="2643" max="2645" width="9" style="326"/>
    <col min="2646" max="2646" width="14.125" style="326" customWidth="1"/>
    <col min="2647" max="2647" width="9" style="326"/>
    <col min="2648" max="2648" width="10.75" style="326" bestFit="1" customWidth="1"/>
    <col min="2649" max="2649" width="13.25" style="326" customWidth="1"/>
    <col min="2650" max="2652" width="9" style="326"/>
    <col min="2653" max="2653" width="13.25" style="326" customWidth="1"/>
    <col min="2654" max="2654" width="9" style="326"/>
    <col min="2655" max="2655" width="10.75" style="326" bestFit="1" customWidth="1"/>
    <col min="2656" max="2656" width="13.875" style="326" customWidth="1"/>
    <col min="2657" max="2659" width="9" style="326"/>
    <col min="2660" max="2660" width="13.625" style="326" customWidth="1"/>
    <col min="2661" max="2661" width="9" style="326"/>
    <col min="2662" max="2662" width="10.75" style="326" bestFit="1" customWidth="1"/>
    <col min="2663" max="2663" width="13" style="326" customWidth="1"/>
    <col min="2664" max="2810" width="9" style="326"/>
    <col min="2811" max="2812" width="12.125" style="326" customWidth="1"/>
    <col min="2813" max="2815" width="13" style="326" customWidth="1"/>
    <col min="2816" max="2816" width="12.875" style="326" customWidth="1"/>
    <col min="2817" max="2817" width="13" style="326" customWidth="1"/>
    <col min="2818" max="2818" width="13.125" style="326" customWidth="1"/>
    <col min="2819" max="2820" width="12.125" style="326" customWidth="1"/>
    <col min="2821" max="2821" width="14.375" style="326" bestFit="1" customWidth="1"/>
    <col min="2822" max="2822" width="11" style="326" customWidth="1"/>
    <col min="2823" max="2823" width="10" style="326" customWidth="1"/>
    <col min="2824" max="2824" width="10.875" style="326" customWidth="1"/>
    <col min="2825" max="2825" width="13.75" style="326" customWidth="1"/>
    <col min="2826" max="2826" width="10" style="326" customWidth="1"/>
    <col min="2827" max="2827" width="13.25" style="326" customWidth="1"/>
    <col min="2828" max="2828" width="14.375" style="326" customWidth="1"/>
    <col min="2829" max="2829" width="10" style="326" customWidth="1"/>
    <col min="2830" max="2830" width="10.875" style="326" customWidth="1"/>
    <col min="2831" max="2831" width="11.375" style="326" customWidth="1"/>
    <col min="2832" max="2832" width="15.375" style="326" customWidth="1"/>
    <col min="2833" max="2834" width="10.75" style="326" customWidth="1"/>
    <col min="2835" max="2835" width="14.375" style="326" customWidth="1"/>
    <col min="2836" max="2836" width="10.75" style="326" customWidth="1"/>
    <col min="2837" max="2837" width="11.75" style="326" customWidth="1"/>
    <col min="2838" max="2838" width="10" style="326" customWidth="1"/>
    <col min="2839" max="2839" width="15.375" style="326" customWidth="1"/>
    <col min="2840" max="2840" width="10" style="326" customWidth="1"/>
    <col min="2841" max="2841" width="10.75" style="326" customWidth="1"/>
    <col min="2842" max="2842" width="14.875" style="326" customWidth="1"/>
    <col min="2843" max="2843" width="11.5" style="326" customWidth="1"/>
    <col min="2844" max="2844" width="10" style="326" customWidth="1"/>
    <col min="2845" max="2845" width="10.75" style="326" customWidth="1"/>
    <col min="2846" max="2846" width="13.5" style="326" customWidth="1"/>
    <col min="2847" max="2847" width="9" style="326"/>
    <col min="2848" max="2848" width="10.75" style="326" bestFit="1" customWidth="1"/>
    <col min="2849" max="2849" width="13.75" style="326" customWidth="1"/>
    <col min="2850" max="2850" width="9" style="326"/>
    <col min="2851" max="2851" width="10.625" style="326" customWidth="1"/>
    <col min="2852" max="2852" width="9" style="326"/>
    <col min="2853" max="2853" width="14.25" style="326" customWidth="1"/>
    <col min="2854" max="2854" width="10.75" style="326" bestFit="1" customWidth="1"/>
    <col min="2855" max="2855" width="11.625" style="326" customWidth="1"/>
    <col min="2856" max="2856" width="13.75" style="326" customWidth="1"/>
    <col min="2857" max="2857" width="10.625" style="326" customWidth="1"/>
    <col min="2858" max="2859" width="9" style="326"/>
    <col min="2860" max="2860" width="14.125" style="326" customWidth="1"/>
    <col min="2861" max="2861" width="11" style="326" customWidth="1"/>
    <col min="2862" max="2862" width="10.75" style="326" bestFit="1" customWidth="1"/>
    <col min="2863" max="2863" width="13.5" style="326" customWidth="1"/>
    <col min="2864" max="2865" width="9" style="326"/>
    <col min="2866" max="2866" width="10.75" style="326" bestFit="1" customWidth="1"/>
    <col min="2867" max="2867" width="14" style="326" customWidth="1"/>
    <col min="2868" max="2868" width="9" style="326"/>
    <col min="2869" max="2869" width="10.75" style="326" customWidth="1"/>
    <col min="2870" max="2870" width="12.75" style="326" customWidth="1"/>
    <col min="2871" max="2871" width="9" style="326"/>
    <col min="2872" max="2872" width="10.75" style="326" bestFit="1" customWidth="1"/>
    <col min="2873" max="2873" width="11.5" style="326" customWidth="1"/>
    <col min="2874" max="2874" width="13.625" style="326" customWidth="1"/>
    <col min="2875" max="2875" width="10.625" style="326" customWidth="1"/>
    <col min="2876" max="2876" width="10.75" style="326" bestFit="1" customWidth="1"/>
    <col min="2877" max="2877" width="12.375" style="326" customWidth="1"/>
    <col min="2878" max="2880" width="9" style="326"/>
    <col min="2881" max="2881" width="15.75" style="326" customWidth="1"/>
    <col min="2882" max="2882" width="9" style="326"/>
    <col min="2883" max="2883" width="10.75" style="326" bestFit="1" customWidth="1"/>
    <col min="2884" max="2884" width="12.625" style="326" customWidth="1"/>
    <col min="2885" max="2887" width="9" style="326"/>
    <col min="2888" max="2888" width="13.625" style="326" customWidth="1"/>
    <col min="2889" max="2889" width="9" style="326"/>
    <col min="2890" max="2890" width="10.75" style="326" bestFit="1" customWidth="1"/>
    <col min="2891" max="2891" width="12.5" style="326" customWidth="1"/>
    <col min="2892" max="2894" width="9" style="326"/>
    <col min="2895" max="2895" width="12.875" style="326" customWidth="1"/>
    <col min="2896" max="2896" width="9" style="326"/>
    <col min="2897" max="2897" width="10.75" style="326" bestFit="1" customWidth="1"/>
    <col min="2898" max="2898" width="13.875" style="326" customWidth="1"/>
    <col min="2899" max="2901" width="9" style="326"/>
    <col min="2902" max="2902" width="14.125" style="326" customWidth="1"/>
    <col min="2903" max="2903" width="9" style="326"/>
    <col min="2904" max="2904" width="10.75" style="326" bestFit="1" customWidth="1"/>
    <col min="2905" max="2905" width="13.25" style="326" customWidth="1"/>
    <col min="2906" max="2908" width="9" style="326"/>
    <col min="2909" max="2909" width="13.25" style="326" customWidth="1"/>
    <col min="2910" max="2910" width="9" style="326"/>
    <col min="2911" max="2911" width="10.75" style="326" bestFit="1" customWidth="1"/>
    <col min="2912" max="2912" width="13.875" style="326" customWidth="1"/>
    <col min="2913" max="2915" width="9" style="326"/>
    <col min="2916" max="2916" width="13.625" style="326" customWidth="1"/>
    <col min="2917" max="2917" width="9" style="326"/>
    <col min="2918" max="2918" width="10.75" style="326" bestFit="1" customWidth="1"/>
    <col min="2919" max="2919" width="13" style="326" customWidth="1"/>
    <col min="2920" max="3066" width="9" style="326"/>
    <col min="3067" max="3068" width="12.125" style="326" customWidth="1"/>
    <col min="3069" max="3071" width="13" style="326" customWidth="1"/>
    <col min="3072" max="3072" width="12.875" style="326" customWidth="1"/>
    <col min="3073" max="3073" width="13" style="326" customWidth="1"/>
    <col min="3074" max="3074" width="13.125" style="326" customWidth="1"/>
    <col min="3075" max="3076" width="12.125" style="326" customWidth="1"/>
    <col min="3077" max="3077" width="14.375" style="326" bestFit="1" customWidth="1"/>
    <col min="3078" max="3078" width="11" style="326" customWidth="1"/>
    <col min="3079" max="3079" width="10" style="326" customWidth="1"/>
    <col min="3080" max="3080" width="10.875" style="326" customWidth="1"/>
    <col min="3081" max="3081" width="13.75" style="326" customWidth="1"/>
    <col min="3082" max="3082" width="10" style="326" customWidth="1"/>
    <col min="3083" max="3083" width="13.25" style="326" customWidth="1"/>
    <col min="3084" max="3084" width="14.375" style="326" customWidth="1"/>
    <col min="3085" max="3085" width="10" style="326" customWidth="1"/>
    <col min="3086" max="3086" width="10.875" style="326" customWidth="1"/>
    <col min="3087" max="3087" width="11.375" style="326" customWidth="1"/>
    <col min="3088" max="3088" width="15.375" style="326" customWidth="1"/>
    <col min="3089" max="3090" width="10.75" style="326" customWidth="1"/>
    <col min="3091" max="3091" width="14.375" style="326" customWidth="1"/>
    <col min="3092" max="3092" width="10.75" style="326" customWidth="1"/>
    <col min="3093" max="3093" width="11.75" style="326" customWidth="1"/>
    <col min="3094" max="3094" width="10" style="326" customWidth="1"/>
    <col min="3095" max="3095" width="15.375" style="326" customWidth="1"/>
    <col min="3096" max="3096" width="10" style="326" customWidth="1"/>
    <col min="3097" max="3097" width="10.75" style="326" customWidth="1"/>
    <col min="3098" max="3098" width="14.875" style="326" customWidth="1"/>
    <col min="3099" max="3099" width="11.5" style="326" customWidth="1"/>
    <col min="3100" max="3100" width="10" style="326" customWidth="1"/>
    <col min="3101" max="3101" width="10.75" style="326" customWidth="1"/>
    <col min="3102" max="3102" width="13.5" style="326" customWidth="1"/>
    <col min="3103" max="3103" width="9" style="326"/>
    <col min="3104" max="3104" width="10.75" style="326" bestFit="1" customWidth="1"/>
    <col min="3105" max="3105" width="13.75" style="326" customWidth="1"/>
    <col min="3106" max="3106" width="9" style="326"/>
    <col min="3107" max="3107" width="10.625" style="326" customWidth="1"/>
    <col min="3108" max="3108" width="9" style="326"/>
    <col min="3109" max="3109" width="14.25" style="326" customWidth="1"/>
    <col min="3110" max="3110" width="10.75" style="326" bestFit="1" customWidth="1"/>
    <col min="3111" max="3111" width="11.625" style="326" customWidth="1"/>
    <col min="3112" max="3112" width="13.75" style="326" customWidth="1"/>
    <col min="3113" max="3113" width="10.625" style="326" customWidth="1"/>
    <col min="3114" max="3115" width="9" style="326"/>
    <col min="3116" max="3116" width="14.125" style="326" customWidth="1"/>
    <col min="3117" max="3117" width="11" style="326" customWidth="1"/>
    <col min="3118" max="3118" width="10.75" style="326" bestFit="1" customWidth="1"/>
    <col min="3119" max="3119" width="13.5" style="326" customWidth="1"/>
    <col min="3120" max="3121" width="9" style="326"/>
    <col min="3122" max="3122" width="10.75" style="326" bestFit="1" customWidth="1"/>
    <col min="3123" max="3123" width="14" style="326" customWidth="1"/>
    <col min="3124" max="3124" width="9" style="326"/>
    <col min="3125" max="3125" width="10.75" style="326" customWidth="1"/>
    <col min="3126" max="3126" width="12.75" style="326" customWidth="1"/>
    <col min="3127" max="3127" width="9" style="326"/>
    <col min="3128" max="3128" width="10.75" style="326" bestFit="1" customWidth="1"/>
    <col min="3129" max="3129" width="11.5" style="326" customWidth="1"/>
    <col min="3130" max="3130" width="13.625" style="326" customWidth="1"/>
    <col min="3131" max="3131" width="10.625" style="326" customWidth="1"/>
    <col min="3132" max="3132" width="10.75" style="326" bestFit="1" customWidth="1"/>
    <col min="3133" max="3133" width="12.375" style="326" customWidth="1"/>
    <col min="3134" max="3136" width="9" style="326"/>
    <col min="3137" max="3137" width="15.75" style="326" customWidth="1"/>
    <col min="3138" max="3138" width="9" style="326"/>
    <col min="3139" max="3139" width="10.75" style="326" bestFit="1" customWidth="1"/>
    <col min="3140" max="3140" width="12.625" style="326" customWidth="1"/>
    <col min="3141" max="3143" width="9" style="326"/>
    <col min="3144" max="3144" width="13.625" style="326" customWidth="1"/>
    <col min="3145" max="3145" width="9" style="326"/>
    <col min="3146" max="3146" width="10.75" style="326" bestFit="1" customWidth="1"/>
    <col min="3147" max="3147" width="12.5" style="326" customWidth="1"/>
    <col min="3148" max="3150" width="9" style="326"/>
    <col min="3151" max="3151" width="12.875" style="326" customWidth="1"/>
    <col min="3152" max="3152" width="9" style="326"/>
    <col min="3153" max="3153" width="10.75" style="326" bestFit="1" customWidth="1"/>
    <col min="3154" max="3154" width="13.875" style="326" customWidth="1"/>
    <col min="3155" max="3157" width="9" style="326"/>
    <col min="3158" max="3158" width="14.125" style="326" customWidth="1"/>
    <col min="3159" max="3159" width="9" style="326"/>
    <col min="3160" max="3160" width="10.75" style="326" bestFit="1" customWidth="1"/>
    <col min="3161" max="3161" width="13.25" style="326" customWidth="1"/>
    <col min="3162" max="3164" width="9" style="326"/>
    <col min="3165" max="3165" width="13.25" style="326" customWidth="1"/>
    <col min="3166" max="3166" width="9" style="326"/>
    <col min="3167" max="3167" width="10.75" style="326" bestFit="1" customWidth="1"/>
    <col min="3168" max="3168" width="13.875" style="326" customWidth="1"/>
    <col min="3169" max="3171" width="9" style="326"/>
    <col min="3172" max="3172" width="13.625" style="326" customWidth="1"/>
    <col min="3173" max="3173" width="9" style="326"/>
    <col min="3174" max="3174" width="10.75" style="326" bestFit="1" customWidth="1"/>
    <col min="3175" max="3175" width="13" style="326" customWidth="1"/>
    <col min="3176" max="3322" width="9" style="326"/>
    <col min="3323" max="3324" width="12.125" style="326" customWidth="1"/>
    <col min="3325" max="3327" width="13" style="326" customWidth="1"/>
    <col min="3328" max="3328" width="12.875" style="326" customWidth="1"/>
    <col min="3329" max="3329" width="13" style="326" customWidth="1"/>
    <col min="3330" max="3330" width="13.125" style="326" customWidth="1"/>
    <col min="3331" max="3332" width="12.125" style="326" customWidth="1"/>
    <col min="3333" max="3333" width="14.375" style="326" bestFit="1" customWidth="1"/>
    <col min="3334" max="3334" width="11" style="326" customWidth="1"/>
    <col min="3335" max="3335" width="10" style="326" customWidth="1"/>
    <col min="3336" max="3336" width="10.875" style="326" customWidth="1"/>
    <col min="3337" max="3337" width="13.75" style="326" customWidth="1"/>
    <col min="3338" max="3338" width="10" style="326" customWidth="1"/>
    <col min="3339" max="3339" width="13.25" style="326" customWidth="1"/>
    <col min="3340" max="3340" width="14.375" style="326" customWidth="1"/>
    <col min="3341" max="3341" width="10" style="326" customWidth="1"/>
    <col min="3342" max="3342" width="10.875" style="326" customWidth="1"/>
    <col min="3343" max="3343" width="11.375" style="326" customWidth="1"/>
    <col min="3344" max="3344" width="15.375" style="326" customWidth="1"/>
    <col min="3345" max="3346" width="10.75" style="326" customWidth="1"/>
    <col min="3347" max="3347" width="14.375" style="326" customWidth="1"/>
    <col min="3348" max="3348" width="10.75" style="326" customWidth="1"/>
    <col min="3349" max="3349" width="11.75" style="326" customWidth="1"/>
    <col min="3350" max="3350" width="10" style="326" customWidth="1"/>
    <col min="3351" max="3351" width="15.375" style="326" customWidth="1"/>
    <col min="3352" max="3352" width="10" style="326" customWidth="1"/>
    <col min="3353" max="3353" width="10.75" style="326" customWidth="1"/>
    <col min="3354" max="3354" width="14.875" style="326" customWidth="1"/>
    <col min="3355" max="3355" width="11.5" style="326" customWidth="1"/>
    <col min="3356" max="3356" width="10" style="326" customWidth="1"/>
    <col min="3357" max="3357" width="10.75" style="326" customWidth="1"/>
    <col min="3358" max="3358" width="13.5" style="326" customWidth="1"/>
    <col min="3359" max="3359" width="9" style="326"/>
    <col min="3360" max="3360" width="10.75" style="326" bestFit="1" customWidth="1"/>
    <col min="3361" max="3361" width="13.75" style="326" customWidth="1"/>
    <col min="3362" max="3362" width="9" style="326"/>
    <col min="3363" max="3363" width="10.625" style="326" customWidth="1"/>
    <col min="3364" max="3364" width="9" style="326"/>
    <col min="3365" max="3365" width="14.25" style="326" customWidth="1"/>
    <col min="3366" max="3366" width="10.75" style="326" bestFit="1" customWidth="1"/>
    <col min="3367" max="3367" width="11.625" style="326" customWidth="1"/>
    <col min="3368" max="3368" width="13.75" style="326" customWidth="1"/>
    <col min="3369" max="3369" width="10.625" style="326" customWidth="1"/>
    <col min="3370" max="3371" width="9" style="326"/>
    <col min="3372" max="3372" width="14.125" style="326" customWidth="1"/>
    <col min="3373" max="3373" width="11" style="326" customWidth="1"/>
    <col min="3374" max="3374" width="10.75" style="326" bestFit="1" customWidth="1"/>
    <col min="3375" max="3375" width="13.5" style="326" customWidth="1"/>
    <col min="3376" max="3377" width="9" style="326"/>
    <col min="3378" max="3378" width="10.75" style="326" bestFit="1" customWidth="1"/>
    <col min="3379" max="3379" width="14" style="326" customWidth="1"/>
    <col min="3380" max="3380" width="9" style="326"/>
    <col min="3381" max="3381" width="10.75" style="326" customWidth="1"/>
    <col min="3382" max="3382" width="12.75" style="326" customWidth="1"/>
    <col min="3383" max="3383" width="9" style="326"/>
    <col min="3384" max="3384" width="10.75" style="326" bestFit="1" customWidth="1"/>
    <col min="3385" max="3385" width="11.5" style="326" customWidth="1"/>
    <col min="3386" max="3386" width="13.625" style="326" customWidth="1"/>
    <col min="3387" max="3387" width="10.625" style="326" customWidth="1"/>
    <col min="3388" max="3388" width="10.75" style="326" bestFit="1" customWidth="1"/>
    <col min="3389" max="3389" width="12.375" style="326" customWidth="1"/>
    <col min="3390" max="3392" width="9" style="326"/>
    <col min="3393" max="3393" width="15.75" style="326" customWidth="1"/>
    <col min="3394" max="3394" width="9" style="326"/>
    <col min="3395" max="3395" width="10.75" style="326" bestFit="1" customWidth="1"/>
    <col min="3396" max="3396" width="12.625" style="326" customWidth="1"/>
    <col min="3397" max="3399" width="9" style="326"/>
    <col min="3400" max="3400" width="13.625" style="326" customWidth="1"/>
    <col min="3401" max="3401" width="9" style="326"/>
    <col min="3402" max="3402" width="10.75" style="326" bestFit="1" customWidth="1"/>
    <col min="3403" max="3403" width="12.5" style="326" customWidth="1"/>
    <col min="3404" max="3406" width="9" style="326"/>
    <col min="3407" max="3407" width="12.875" style="326" customWidth="1"/>
    <col min="3408" max="3408" width="9" style="326"/>
    <col min="3409" max="3409" width="10.75" style="326" bestFit="1" customWidth="1"/>
    <col min="3410" max="3410" width="13.875" style="326" customWidth="1"/>
    <col min="3411" max="3413" width="9" style="326"/>
    <col min="3414" max="3414" width="14.125" style="326" customWidth="1"/>
    <col min="3415" max="3415" width="9" style="326"/>
    <col min="3416" max="3416" width="10.75" style="326" bestFit="1" customWidth="1"/>
    <col min="3417" max="3417" width="13.25" style="326" customWidth="1"/>
    <col min="3418" max="3420" width="9" style="326"/>
    <col min="3421" max="3421" width="13.25" style="326" customWidth="1"/>
    <col min="3422" max="3422" width="9" style="326"/>
    <col min="3423" max="3423" width="10.75" style="326" bestFit="1" customWidth="1"/>
    <col min="3424" max="3424" width="13.875" style="326" customWidth="1"/>
    <col min="3425" max="3427" width="9" style="326"/>
    <col min="3428" max="3428" width="13.625" style="326" customWidth="1"/>
    <col min="3429" max="3429" width="9" style="326"/>
    <col min="3430" max="3430" width="10.75" style="326" bestFit="1" customWidth="1"/>
    <col min="3431" max="3431" width="13" style="326" customWidth="1"/>
    <col min="3432" max="3578" width="9" style="326"/>
    <col min="3579" max="3580" width="12.125" style="326" customWidth="1"/>
    <col min="3581" max="3583" width="13" style="326" customWidth="1"/>
    <col min="3584" max="3584" width="12.875" style="326" customWidth="1"/>
    <col min="3585" max="3585" width="13" style="326" customWidth="1"/>
    <col min="3586" max="3586" width="13.125" style="326" customWidth="1"/>
    <col min="3587" max="3588" width="12.125" style="326" customWidth="1"/>
    <col min="3589" max="3589" width="14.375" style="326" bestFit="1" customWidth="1"/>
    <col min="3590" max="3590" width="11" style="326" customWidth="1"/>
    <col min="3591" max="3591" width="10" style="326" customWidth="1"/>
    <col min="3592" max="3592" width="10.875" style="326" customWidth="1"/>
    <col min="3593" max="3593" width="13.75" style="326" customWidth="1"/>
    <col min="3594" max="3594" width="10" style="326" customWidth="1"/>
    <col min="3595" max="3595" width="13.25" style="326" customWidth="1"/>
    <col min="3596" max="3596" width="14.375" style="326" customWidth="1"/>
    <col min="3597" max="3597" width="10" style="326" customWidth="1"/>
    <col min="3598" max="3598" width="10.875" style="326" customWidth="1"/>
    <col min="3599" max="3599" width="11.375" style="326" customWidth="1"/>
    <col min="3600" max="3600" width="15.375" style="326" customWidth="1"/>
    <col min="3601" max="3602" width="10.75" style="326" customWidth="1"/>
    <col min="3603" max="3603" width="14.375" style="326" customWidth="1"/>
    <col min="3604" max="3604" width="10.75" style="326" customWidth="1"/>
    <col min="3605" max="3605" width="11.75" style="326" customWidth="1"/>
    <col min="3606" max="3606" width="10" style="326" customWidth="1"/>
    <col min="3607" max="3607" width="15.375" style="326" customWidth="1"/>
    <col min="3608" max="3608" width="10" style="326" customWidth="1"/>
    <col min="3609" max="3609" width="10.75" style="326" customWidth="1"/>
    <col min="3610" max="3610" width="14.875" style="326" customWidth="1"/>
    <col min="3611" max="3611" width="11.5" style="326" customWidth="1"/>
    <col min="3612" max="3612" width="10" style="326" customWidth="1"/>
    <col min="3613" max="3613" width="10.75" style="326" customWidth="1"/>
    <col min="3614" max="3614" width="13.5" style="326" customWidth="1"/>
    <col min="3615" max="3615" width="9" style="326"/>
    <col min="3616" max="3616" width="10.75" style="326" bestFit="1" customWidth="1"/>
    <col min="3617" max="3617" width="13.75" style="326" customWidth="1"/>
    <col min="3618" max="3618" width="9" style="326"/>
    <col min="3619" max="3619" width="10.625" style="326" customWidth="1"/>
    <col min="3620" max="3620" width="9" style="326"/>
    <col min="3621" max="3621" width="14.25" style="326" customWidth="1"/>
    <col min="3622" max="3622" width="10.75" style="326" bestFit="1" customWidth="1"/>
    <col min="3623" max="3623" width="11.625" style="326" customWidth="1"/>
    <col min="3624" max="3624" width="13.75" style="326" customWidth="1"/>
    <col min="3625" max="3625" width="10.625" style="326" customWidth="1"/>
    <col min="3626" max="3627" width="9" style="326"/>
    <col min="3628" max="3628" width="14.125" style="326" customWidth="1"/>
    <col min="3629" max="3629" width="11" style="326" customWidth="1"/>
    <col min="3630" max="3630" width="10.75" style="326" bestFit="1" customWidth="1"/>
    <col min="3631" max="3631" width="13.5" style="326" customWidth="1"/>
    <col min="3632" max="3633" width="9" style="326"/>
    <col min="3634" max="3634" width="10.75" style="326" bestFit="1" customWidth="1"/>
    <col min="3635" max="3635" width="14" style="326" customWidth="1"/>
    <col min="3636" max="3636" width="9" style="326"/>
    <col min="3637" max="3637" width="10.75" style="326" customWidth="1"/>
    <col min="3638" max="3638" width="12.75" style="326" customWidth="1"/>
    <col min="3639" max="3639" width="9" style="326"/>
    <col min="3640" max="3640" width="10.75" style="326" bestFit="1" customWidth="1"/>
    <col min="3641" max="3641" width="11.5" style="326" customWidth="1"/>
    <col min="3642" max="3642" width="13.625" style="326" customWidth="1"/>
    <col min="3643" max="3643" width="10.625" style="326" customWidth="1"/>
    <col min="3644" max="3644" width="10.75" style="326" bestFit="1" customWidth="1"/>
    <col min="3645" max="3645" width="12.375" style="326" customWidth="1"/>
    <col min="3646" max="3648" width="9" style="326"/>
    <col min="3649" max="3649" width="15.75" style="326" customWidth="1"/>
    <col min="3650" max="3650" width="9" style="326"/>
    <col min="3651" max="3651" width="10.75" style="326" bestFit="1" customWidth="1"/>
    <col min="3652" max="3652" width="12.625" style="326" customWidth="1"/>
    <col min="3653" max="3655" width="9" style="326"/>
    <col min="3656" max="3656" width="13.625" style="326" customWidth="1"/>
    <col min="3657" max="3657" width="9" style="326"/>
    <col min="3658" max="3658" width="10.75" style="326" bestFit="1" customWidth="1"/>
    <col min="3659" max="3659" width="12.5" style="326" customWidth="1"/>
    <col min="3660" max="3662" width="9" style="326"/>
    <col min="3663" max="3663" width="12.875" style="326" customWidth="1"/>
    <col min="3664" max="3664" width="9" style="326"/>
    <col min="3665" max="3665" width="10.75" style="326" bestFit="1" customWidth="1"/>
    <col min="3666" max="3666" width="13.875" style="326" customWidth="1"/>
    <col min="3667" max="3669" width="9" style="326"/>
    <col min="3670" max="3670" width="14.125" style="326" customWidth="1"/>
    <col min="3671" max="3671" width="9" style="326"/>
    <col min="3672" max="3672" width="10.75" style="326" bestFit="1" customWidth="1"/>
    <col min="3673" max="3673" width="13.25" style="326" customWidth="1"/>
    <col min="3674" max="3676" width="9" style="326"/>
    <col min="3677" max="3677" width="13.25" style="326" customWidth="1"/>
    <col min="3678" max="3678" width="9" style="326"/>
    <col min="3679" max="3679" width="10.75" style="326" bestFit="1" customWidth="1"/>
    <col min="3680" max="3680" width="13.875" style="326" customWidth="1"/>
    <col min="3681" max="3683" width="9" style="326"/>
    <col min="3684" max="3684" width="13.625" style="326" customWidth="1"/>
    <col min="3685" max="3685" width="9" style="326"/>
    <col min="3686" max="3686" width="10.75" style="326" bestFit="1" customWidth="1"/>
    <col min="3687" max="3687" width="13" style="326" customWidth="1"/>
    <col min="3688" max="3834" width="9" style="326"/>
    <col min="3835" max="3836" width="12.125" style="326" customWidth="1"/>
    <col min="3837" max="3839" width="13" style="326" customWidth="1"/>
    <col min="3840" max="3840" width="12.875" style="326" customWidth="1"/>
    <col min="3841" max="3841" width="13" style="326" customWidth="1"/>
    <col min="3842" max="3842" width="13.125" style="326" customWidth="1"/>
    <col min="3843" max="3844" width="12.125" style="326" customWidth="1"/>
    <col min="3845" max="3845" width="14.375" style="326" bestFit="1" customWidth="1"/>
    <col min="3846" max="3846" width="11" style="326" customWidth="1"/>
    <col min="3847" max="3847" width="10" style="326" customWidth="1"/>
    <col min="3848" max="3848" width="10.875" style="326" customWidth="1"/>
    <col min="3849" max="3849" width="13.75" style="326" customWidth="1"/>
    <col min="3850" max="3850" width="10" style="326" customWidth="1"/>
    <col min="3851" max="3851" width="13.25" style="326" customWidth="1"/>
    <col min="3852" max="3852" width="14.375" style="326" customWidth="1"/>
    <col min="3853" max="3853" width="10" style="326" customWidth="1"/>
    <col min="3854" max="3854" width="10.875" style="326" customWidth="1"/>
    <col min="3855" max="3855" width="11.375" style="326" customWidth="1"/>
    <col min="3856" max="3856" width="15.375" style="326" customWidth="1"/>
    <col min="3857" max="3858" width="10.75" style="326" customWidth="1"/>
    <col min="3859" max="3859" width="14.375" style="326" customWidth="1"/>
    <col min="3860" max="3860" width="10.75" style="326" customWidth="1"/>
    <col min="3861" max="3861" width="11.75" style="326" customWidth="1"/>
    <col min="3862" max="3862" width="10" style="326" customWidth="1"/>
    <col min="3863" max="3863" width="15.375" style="326" customWidth="1"/>
    <col min="3864" max="3864" width="10" style="326" customWidth="1"/>
    <col min="3865" max="3865" width="10.75" style="326" customWidth="1"/>
    <col min="3866" max="3866" width="14.875" style="326" customWidth="1"/>
    <col min="3867" max="3867" width="11.5" style="326" customWidth="1"/>
    <col min="3868" max="3868" width="10" style="326" customWidth="1"/>
    <col min="3869" max="3869" width="10.75" style="326" customWidth="1"/>
    <col min="3870" max="3870" width="13.5" style="326" customWidth="1"/>
    <col min="3871" max="3871" width="9" style="326"/>
    <col min="3872" max="3872" width="10.75" style="326" bestFit="1" customWidth="1"/>
    <col min="3873" max="3873" width="13.75" style="326" customWidth="1"/>
    <col min="3874" max="3874" width="9" style="326"/>
    <col min="3875" max="3875" width="10.625" style="326" customWidth="1"/>
    <col min="3876" max="3876" width="9" style="326"/>
    <col min="3877" max="3877" width="14.25" style="326" customWidth="1"/>
    <col min="3878" max="3878" width="10.75" style="326" bestFit="1" customWidth="1"/>
    <col min="3879" max="3879" width="11.625" style="326" customWidth="1"/>
    <col min="3880" max="3880" width="13.75" style="326" customWidth="1"/>
    <col min="3881" max="3881" width="10.625" style="326" customWidth="1"/>
    <col min="3882" max="3883" width="9" style="326"/>
    <col min="3884" max="3884" width="14.125" style="326" customWidth="1"/>
    <col min="3885" max="3885" width="11" style="326" customWidth="1"/>
    <col min="3886" max="3886" width="10.75" style="326" bestFit="1" customWidth="1"/>
    <col min="3887" max="3887" width="13.5" style="326" customWidth="1"/>
    <col min="3888" max="3889" width="9" style="326"/>
    <col min="3890" max="3890" width="10.75" style="326" bestFit="1" customWidth="1"/>
    <col min="3891" max="3891" width="14" style="326" customWidth="1"/>
    <col min="3892" max="3892" width="9" style="326"/>
    <col min="3893" max="3893" width="10.75" style="326" customWidth="1"/>
    <col min="3894" max="3894" width="12.75" style="326" customWidth="1"/>
    <col min="3895" max="3895" width="9" style="326"/>
    <col min="3896" max="3896" width="10.75" style="326" bestFit="1" customWidth="1"/>
    <col min="3897" max="3897" width="11.5" style="326" customWidth="1"/>
    <col min="3898" max="3898" width="13.625" style="326" customWidth="1"/>
    <col min="3899" max="3899" width="10.625" style="326" customWidth="1"/>
    <col min="3900" max="3900" width="10.75" style="326" bestFit="1" customWidth="1"/>
    <col min="3901" max="3901" width="12.375" style="326" customWidth="1"/>
    <col min="3902" max="3904" width="9" style="326"/>
    <col min="3905" max="3905" width="15.75" style="326" customWidth="1"/>
    <col min="3906" max="3906" width="9" style="326"/>
    <col min="3907" max="3907" width="10.75" style="326" bestFit="1" customWidth="1"/>
    <col min="3908" max="3908" width="12.625" style="326" customWidth="1"/>
    <col min="3909" max="3911" width="9" style="326"/>
    <col min="3912" max="3912" width="13.625" style="326" customWidth="1"/>
    <col min="3913" max="3913" width="9" style="326"/>
    <col min="3914" max="3914" width="10.75" style="326" bestFit="1" customWidth="1"/>
    <col min="3915" max="3915" width="12.5" style="326" customWidth="1"/>
    <col min="3916" max="3918" width="9" style="326"/>
    <col min="3919" max="3919" width="12.875" style="326" customWidth="1"/>
    <col min="3920" max="3920" width="9" style="326"/>
    <col min="3921" max="3921" width="10.75" style="326" bestFit="1" customWidth="1"/>
    <col min="3922" max="3922" width="13.875" style="326" customWidth="1"/>
    <col min="3923" max="3925" width="9" style="326"/>
    <col min="3926" max="3926" width="14.125" style="326" customWidth="1"/>
    <col min="3927" max="3927" width="9" style="326"/>
    <col min="3928" max="3928" width="10.75" style="326" bestFit="1" customWidth="1"/>
    <col min="3929" max="3929" width="13.25" style="326" customWidth="1"/>
    <col min="3930" max="3932" width="9" style="326"/>
    <col min="3933" max="3933" width="13.25" style="326" customWidth="1"/>
    <col min="3934" max="3934" width="9" style="326"/>
    <col min="3935" max="3935" width="10.75" style="326" bestFit="1" customWidth="1"/>
    <col min="3936" max="3936" width="13.875" style="326" customWidth="1"/>
    <col min="3937" max="3939" width="9" style="326"/>
    <col min="3940" max="3940" width="13.625" style="326" customWidth="1"/>
    <col min="3941" max="3941" width="9" style="326"/>
    <col min="3942" max="3942" width="10.75" style="326" bestFit="1" customWidth="1"/>
    <col min="3943" max="3943" width="13" style="326" customWidth="1"/>
    <col min="3944" max="4090" width="9" style="326"/>
    <col min="4091" max="4092" width="12.125" style="326" customWidth="1"/>
    <col min="4093" max="4095" width="13" style="326" customWidth="1"/>
    <col min="4096" max="4096" width="12.875" style="326" customWidth="1"/>
    <col min="4097" max="4097" width="13" style="326" customWidth="1"/>
    <col min="4098" max="4098" width="13.125" style="326" customWidth="1"/>
    <col min="4099" max="4100" width="12.125" style="326" customWidth="1"/>
    <col min="4101" max="4101" width="14.375" style="326" bestFit="1" customWidth="1"/>
    <col min="4102" max="4102" width="11" style="326" customWidth="1"/>
    <col min="4103" max="4103" width="10" style="326" customWidth="1"/>
    <col min="4104" max="4104" width="10.875" style="326" customWidth="1"/>
    <col min="4105" max="4105" width="13.75" style="326" customWidth="1"/>
    <col min="4106" max="4106" width="10" style="326" customWidth="1"/>
    <col min="4107" max="4107" width="13.25" style="326" customWidth="1"/>
    <col min="4108" max="4108" width="14.375" style="326" customWidth="1"/>
    <col min="4109" max="4109" width="10" style="326" customWidth="1"/>
    <col min="4110" max="4110" width="10.875" style="326" customWidth="1"/>
    <col min="4111" max="4111" width="11.375" style="326" customWidth="1"/>
    <col min="4112" max="4112" width="15.375" style="326" customWidth="1"/>
    <col min="4113" max="4114" width="10.75" style="326" customWidth="1"/>
    <col min="4115" max="4115" width="14.375" style="326" customWidth="1"/>
    <col min="4116" max="4116" width="10.75" style="326" customWidth="1"/>
    <col min="4117" max="4117" width="11.75" style="326" customWidth="1"/>
    <col min="4118" max="4118" width="10" style="326" customWidth="1"/>
    <col min="4119" max="4119" width="15.375" style="326" customWidth="1"/>
    <col min="4120" max="4120" width="10" style="326" customWidth="1"/>
    <col min="4121" max="4121" width="10.75" style="326" customWidth="1"/>
    <col min="4122" max="4122" width="14.875" style="326" customWidth="1"/>
    <col min="4123" max="4123" width="11.5" style="326" customWidth="1"/>
    <col min="4124" max="4124" width="10" style="326" customWidth="1"/>
    <col min="4125" max="4125" width="10.75" style="326" customWidth="1"/>
    <col min="4126" max="4126" width="13.5" style="326" customWidth="1"/>
    <col min="4127" max="4127" width="9" style="326"/>
    <col min="4128" max="4128" width="10.75" style="326" bestFit="1" customWidth="1"/>
    <col min="4129" max="4129" width="13.75" style="326" customWidth="1"/>
    <col min="4130" max="4130" width="9" style="326"/>
    <col min="4131" max="4131" width="10.625" style="326" customWidth="1"/>
    <col min="4132" max="4132" width="9" style="326"/>
    <col min="4133" max="4133" width="14.25" style="326" customWidth="1"/>
    <col min="4134" max="4134" width="10.75" style="326" bestFit="1" customWidth="1"/>
    <col min="4135" max="4135" width="11.625" style="326" customWidth="1"/>
    <col min="4136" max="4136" width="13.75" style="326" customWidth="1"/>
    <col min="4137" max="4137" width="10.625" style="326" customWidth="1"/>
    <col min="4138" max="4139" width="9" style="326"/>
    <col min="4140" max="4140" width="14.125" style="326" customWidth="1"/>
    <col min="4141" max="4141" width="11" style="326" customWidth="1"/>
    <col min="4142" max="4142" width="10.75" style="326" bestFit="1" customWidth="1"/>
    <col min="4143" max="4143" width="13.5" style="326" customWidth="1"/>
    <col min="4144" max="4145" width="9" style="326"/>
    <col min="4146" max="4146" width="10.75" style="326" bestFit="1" customWidth="1"/>
    <col min="4147" max="4147" width="14" style="326" customWidth="1"/>
    <col min="4148" max="4148" width="9" style="326"/>
    <col min="4149" max="4149" width="10.75" style="326" customWidth="1"/>
    <col min="4150" max="4150" width="12.75" style="326" customWidth="1"/>
    <col min="4151" max="4151" width="9" style="326"/>
    <col min="4152" max="4152" width="10.75" style="326" bestFit="1" customWidth="1"/>
    <col min="4153" max="4153" width="11.5" style="326" customWidth="1"/>
    <col min="4154" max="4154" width="13.625" style="326" customWidth="1"/>
    <col min="4155" max="4155" width="10.625" style="326" customWidth="1"/>
    <col min="4156" max="4156" width="10.75" style="326" bestFit="1" customWidth="1"/>
    <col min="4157" max="4157" width="12.375" style="326" customWidth="1"/>
    <col min="4158" max="4160" width="9" style="326"/>
    <col min="4161" max="4161" width="15.75" style="326" customWidth="1"/>
    <col min="4162" max="4162" width="9" style="326"/>
    <col min="4163" max="4163" width="10.75" style="326" bestFit="1" customWidth="1"/>
    <col min="4164" max="4164" width="12.625" style="326" customWidth="1"/>
    <col min="4165" max="4167" width="9" style="326"/>
    <col min="4168" max="4168" width="13.625" style="326" customWidth="1"/>
    <col min="4169" max="4169" width="9" style="326"/>
    <col min="4170" max="4170" width="10.75" style="326" bestFit="1" customWidth="1"/>
    <col min="4171" max="4171" width="12.5" style="326" customWidth="1"/>
    <col min="4172" max="4174" width="9" style="326"/>
    <col min="4175" max="4175" width="12.875" style="326" customWidth="1"/>
    <col min="4176" max="4176" width="9" style="326"/>
    <col min="4177" max="4177" width="10.75" style="326" bestFit="1" customWidth="1"/>
    <col min="4178" max="4178" width="13.875" style="326" customWidth="1"/>
    <col min="4179" max="4181" width="9" style="326"/>
    <col min="4182" max="4182" width="14.125" style="326" customWidth="1"/>
    <col min="4183" max="4183" width="9" style="326"/>
    <col min="4184" max="4184" width="10.75" style="326" bestFit="1" customWidth="1"/>
    <col min="4185" max="4185" width="13.25" style="326" customWidth="1"/>
    <col min="4186" max="4188" width="9" style="326"/>
    <col min="4189" max="4189" width="13.25" style="326" customWidth="1"/>
    <col min="4190" max="4190" width="9" style="326"/>
    <col min="4191" max="4191" width="10.75" style="326" bestFit="1" customWidth="1"/>
    <col min="4192" max="4192" width="13.875" style="326" customWidth="1"/>
    <col min="4193" max="4195" width="9" style="326"/>
    <col min="4196" max="4196" width="13.625" style="326" customWidth="1"/>
    <col min="4197" max="4197" width="9" style="326"/>
    <col min="4198" max="4198" width="10.75" style="326" bestFit="1" customWidth="1"/>
    <col min="4199" max="4199" width="13" style="326" customWidth="1"/>
    <col min="4200" max="4346" width="9" style="326"/>
    <col min="4347" max="4348" width="12.125" style="326" customWidth="1"/>
    <col min="4349" max="4351" width="13" style="326" customWidth="1"/>
    <col min="4352" max="4352" width="12.875" style="326" customWidth="1"/>
    <col min="4353" max="4353" width="13" style="326" customWidth="1"/>
    <col min="4354" max="4354" width="13.125" style="326" customWidth="1"/>
    <col min="4355" max="4356" width="12.125" style="326" customWidth="1"/>
    <col min="4357" max="4357" width="14.375" style="326" bestFit="1" customWidth="1"/>
    <col min="4358" max="4358" width="11" style="326" customWidth="1"/>
    <col min="4359" max="4359" width="10" style="326" customWidth="1"/>
    <col min="4360" max="4360" width="10.875" style="326" customWidth="1"/>
    <col min="4361" max="4361" width="13.75" style="326" customWidth="1"/>
    <col min="4362" max="4362" width="10" style="326" customWidth="1"/>
    <col min="4363" max="4363" width="13.25" style="326" customWidth="1"/>
    <col min="4364" max="4364" width="14.375" style="326" customWidth="1"/>
    <col min="4365" max="4365" width="10" style="326" customWidth="1"/>
    <col min="4366" max="4366" width="10.875" style="326" customWidth="1"/>
    <col min="4367" max="4367" width="11.375" style="326" customWidth="1"/>
    <col min="4368" max="4368" width="15.375" style="326" customWidth="1"/>
    <col min="4369" max="4370" width="10.75" style="326" customWidth="1"/>
    <col min="4371" max="4371" width="14.375" style="326" customWidth="1"/>
    <col min="4372" max="4372" width="10.75" style="326" customWidth="1"/>
    <col min="4373" max="4373" width="11.75" style="326" customWidth="1"/>
    <col min="4374" max="4374" width="10" style="326" customWidth="1"/>
    <col min="4375" max="4375" width="15.375" style="326" customWidth="1"/>
    <col min="4376" max="4376" width="10" style="326" customWidth="1"/>
    <col min="4377" max="4377" width="10.75" style="326" customWidth="1"/>
    <col min="4378" max="4378" width="14.875" style="326" customWidth="1"/>
    <col min="4379" max="4379" width="11.5" style="326" customWidth="1"/>
    <col min="4380" max="4380" width="10" style="326" customWidth="1"/>
    <col min="4381" max="4381" width="10.75" style="326" customWidth="1"/>
    <col min="4382" max="4382" width="13.5" style="326" customWidth="1"/>
    <col min="4383" max="4383" width="9" style="326"/>
    <col min="4384" max="4384" width="10.75" style="326" bestFit="1" customWidth="1"/>
    <col min="4385" max="4385" width="13.75" style="326" customWidth="1"/>
    <col min="4386" max="4386" width="9" style="326"/>
    <col min="4387" max="4387" width="10.625" style="326" customWidth="1"/>
    <col min="4388" max="4388" width="9" style="326"/>
    <col min="4389" max="4389" width="14.25" style="326" customWidth="1"/>
    <col min="4390" max="4390" width="10.75" style="326" bestFit="1" customWidth="1"/>
    <col min="4391" max="4391" width="11.625" style="326" customWidth="1"/>
    <col min="4392" max="4392" width="13.75" style="326" customWidth="1"/>
    <col min="4393" max="4393" width="10.625" style="326" customWidth="1"/>
    <col min="4394" max="4395" width="9" style="326"/>
    <col min="4396" max="4396" width="14.125" style="326" customWidth="1"/>
    <col min="4397" max="4397" width="11" style="326" customWidth="1"/>
    <col min="4398" max="4398" width="10.75" style="326" bestFit="1" customWidth="1"/>
    <col min="4399" max="4399" width="13.5" style="326" customWidth="1"/>
    <col min="4400" max="4401" width="9" style="326"/>
    <col min="4402" max="4402" width="10.75" style="326" bestFit="1" customWidth="1"/>
    <col min="4403" max="4403" width="14" style="326" customWidth="1"/>
    <col min="4404" max="4404" width="9" style="326"/>
    <col min="4405" max="4405" width="10.75" style="326" customWidth="1"/>
    <col min="4406" max="4406" width="12.75" style="326" customWidth="1"/>
    <col min="4407" max="4407" width="9" style="326"/>
    <col min="4408" max="4408" width="10.75" style="326" bestFit="1" customWidth="1"/>
    <col min="4409" max="4409" width="11.5" style="326" customWidth="1"/>
    <col min="4410" max="4410" width="13.625" style="326" customWidth="1"/>
    <col min="4411" max="4411" width="10.625" style="326" customWidth="1"/>
    <col min="4412" max="4412" width="10.75" style="326" bestFit="1" customWidth="1"/>
    <col min="4413" max="4413" width="12.375" style="326" customWidth="1"/>
    <col min="4414" max="4416" width="9" style="326"/>
    <col min="4417" max="4417" width="15.75" style="326" customWidth="1"/>
    <col min="4418" max="4418" width="9" style="326"/>
    <col min="4419" max="4419" width="10.75" style="326" bestFit="1" customWidth="1"/>
    <col min="4420" max="4420" width="12.625" style="326" customWidth="1"/>
    <col min="4421" max="4423" width="9" style="326"/>
    <col min="4424" max="4424" width="13.625" style="326" customWidth="1"/>
    <col min="4425" max="4425" width="9" style="326"/>
    <col min="4426" max="4426" width="10.75" style="326" bestFit="1" customWidth="1"/>
    <col min="4427" max="4427" width="12.5" style="326" customWidth="1"/>
    <col min="4428" max="4430" width="9" style="326"/>
    <col min="4431" max="4431" width="12.875" style="326" customWidth="1"/>
    <col min="4432" max="4432" width="9" style="326"/>
    <col min="4433" max="4433" width="10.75" style="326" bestFit="1" customWidth="1"/>
    <col min="4434" max="4434" width="13.875" style="326" customWidth="1"/>
    <col min="4435" max="4437" width="9" style="326"/>
    <col min="4438" max="4438" width="14.125" style="326" customWidth="1"/>
    <col min="4439" max="4439" width="9" style="326"/>
    <col min="4440" max="4440" width="10.75" style="326" bestFit="1" customWidth="1"/>
    <col min="4441" max="4441" width="13.25" style="326" customWidth="1"/>
    <col min="4442" max="4444" width="9" style="326"/>
    <col min="4445" max="4445" width="13.25" style="326" customWidth="1"/>
    <col min="4446" max="4446" width="9" style="326"/>
    <col min="4447" max="4447" width="10.75" style="326" bestFit="1" customWidth="1"/>
    <col min="4448" max="4448" width="13.875" style="326" customWidth="1"/>
    <col min="4449" max="4451" width="9" style="326"/>
    <col min="4452" max="4452" width="13.625" style="326" customWidth="1"/>
    <col min="4453" max="4453" width="9" style="326"/>
    <col min="4454" max="4454" width="10.75" style="326" bestFit="1" customWidth="1"/>
    <col min="4455" max="4455" width="13" style="326" customWidth="1"/>
    <col min="4456" max="4602" width="9" style="326"/>
    <col min="4603" max="4604" width="12.125" style="326" customWidth="1"/>
    <col min="4605" max="4607" width="13" style="326" customWidth="1"/>
    <col min="4608" max="4608" width="12.875" style="326" customWidth="1"/>
    <col min="4609" max="4609" width="13" style="326" customWidth="1"/>
    <col min="4610" max="4610" width="13.125" style="326" customWidth="1"/>
    <col min="4611" max="4612" width="12.125" style="326" customWidth="1"/>
    <col min="4613" max="4613" width="14.375" style="326" bestFit="1" customWidth="1"/>
    <col min="4614" max="4614" width="11" style="326" customWidth="1"/>
    <col min="4615" max="4615" width="10" style="326" customWidth="1"/>
    <col min="4616" max="4616" width="10.875" style="326" customWidth="1"/>
    <col min="4617" max="4617" width="13.75" style="326" customWidth="1"/>
    <col min="4618" max="4618" width="10" style="326" customWidth="1"/>
    <col min="4619" max="4619" width="13.25" style="326" customWidth="1"/>
    <col min="4620" max="4620" width="14.375" style="326" customWidth="1"/>
    <col min="4621" max="4621" width="10" style="326" customWidth="1"/>
    <col min="4622" max="4622" width="10.875" style="326" customWidth="1"/>
    <col min="4623" max="4623" width="11.375" style="326" customWidth="1"/>
    <col min="4624" max="4624" width="15.375" style="326" customWidth="1"/>
    <col min="4625" max="4626" width="10.75" style="326" customWidth="1"/>
    <col min="4627" max="4627" width="14.375" style="326" customWidth="1"/>
    <col min="4628" max="4628" width="10.75" style="326" customWidth="1"/>
    <col min="4629" max="4629" width="11.75" style="326" customWidth="1"/>
    <col min="4630" max="4630" width="10" style="326" customWidth="1"/>
    <col min="4631" max="4631" width="15.375" style="326" customWidth="1"/>
    <col min="4632" max="4632" width="10" style="326" customWidth="1"/>
    <col min="4633" max="4633" width="10.75" style="326" customWidth="1"/>
    <col min="4634" max="4634" width="14.875" style="326" customWidth="1"/>
    <col min="4635" max="4635" width="11.5" style="326" customWidth="1"/>
    <col min="4636" max="4636" width="10" style="326" customWidth="1"/>
    <col min="4637" max="4637" width="10.75" style="326" customWidth="1"/>
    <col min="4638" max="4638" width="13.5" style="326" customWidth="1"/>
    <col min="4639" max="4639" width="9" style="326"/>
    <col min="4640" max="4640" width="10.75" style="326" bestFit="1" customWidth="1"/>
    <col min="4641" max="4641" width="13.75" style="326" customWidth="1"/>
    <col min="4642" max="4642" width="9" style="326"/>
    <col min="4643" max="4643" width="10.625" style="326" customWidth="1"/>
    <col min="4644" max="4644" width="9" style="326"/>
    <col min="4645" max="4645" width="14.25" style="326" customWidth="1"/>
    <col min="4646" max="4646" width="10.75" style="326" bestFit="1" customWidth="1"/>
    <col min="4647" max="4647" width="11.625" style="326" customWidth="1"/>
    <col min="4648" max="4648" width="13.75" style="326" customWidth="1"/>
    <col min="4649" max="4649" width="10.625" style="326" customWidth="1"/>
    <col min="4650" max="4651" width="9" style="326"/>
    <col min="4652" max="4652" width="14.125" style="326" customWidth="1"/>
    <col min="4653" max="4653" width="11" style="326" customWidth="1"/>
    <col min="4654" max="4654" width="10.75" style="326" bestFit="1" customWidth="1"/>
    <col min="4655" max="4655" width="13.5" style="326" customWidth="1"/>
    <col min="4656" max="4657" width="9" style="326"/>
    <col min="4658" max="4658" width="10.75" style="326" bestFit="1" customWidth="1"/>
    <col min="4659" max="4659" width="14" style="326" customWidth="1"/>
    <col min="4660" max="4660" width="9" style="326"/>
    <col min="4661" max="4661" width="10.75" style="326" customWidth="1"/>
    <col min="4662" max="4662" width="12.75" style="326" customWidth="1"/>
    <col min="4663" max="4663" width="9" style="326"/>
    <col min="4664" max="4664" width="10.75" style="326" bestFit="1" customWidth="1"/>
    <col min="4665" max="4665" width="11.5" style="326" customWidth="1"/>
    <col min="4666" max="4666" width="13.625" style="326" customWidth="1"/>
    <col min="4667" max="4667" width="10.625" style="326" customWidth="1"/>
    <col min="4668" max="4668" width="10.75" style="326" bestFit="1" customWidth="1"/>
    <col min="4669" max="4669" width="12.375" style="326" customWidth="1"/>
    <col min="4670" max="4672" width="9" style="326"/>
    <col min="4673" max="4673" width="15.75" style="326" customWidth="1"/>
    <col min="4674" max="4674" width="9" style="326"/>
    <col min="4675" max="4675" width="10.75" style="326" bestFit="1" customWidth="1"/>
    <col min="4676" max="4676" width="12.625" style="326" customWidth="1"/>
    <col min="4677" max="4679" width="9" style="326"/>
    <col min="4680" max="4680" width="13.625" style="326" customWidth="1"/>
    <col min="4681" max="4681" width="9" style="326"/>
    <col min="4682" max="4682" width="10.75" style="326" bestFit="1" customWidth="1"/>
    <col min="4683" max="4683" width="12.5" style="326" customWidth="1"/>
    <col min="4684" max="4686" width="9" style="326"/>
    <col min="4687" max="4687" width="12.875" style="326" customWidth="1"/>
    <col min="4688" max="4688" width="9" style="326"/>
    <col min="4689" max="4689" width="10.75" style="326" bestFit="1" customWidth="1"/>
    <col min="4690" max="4690" width="13.875" style="326" customWidth="1"/>
    <col min="4691" max="4693" width="9" style="326"/>
    <col min="4694" max="4694" width="14.125" style="326" customWidth="1"/>
    <col min="4695" max="4695" width="9" style="326"/>
    <col min="4696" max="4696" width="10.75" style="326" bestFit="1" customWidth="1"/>
    <col min="4697" max="4697" width="13.25" style="326" customWidth="1"/>
    <col min="4698" max="4700" width="9" style="326"/>
    <col min="4701" max="4701" width="13.25" style="326" customWidth="1"/>
    <col min="4702" max="4702" width="9" style="326"/>
    <col min="4703" max="4703" width="10.75" style="326" bestFit="1" customWidth="1"/>
    <col min="4704" max="4704" width="13.875" style="326" customWidth="1"/>
    <col min="4705" max="4707" width="9" style="326"/>
    <col min="4708" max="4708" width="13.625" style="326" customWidth="1"/>
    <col min="4709" max="4709" width="9" style="326"/>
    <col min="4710" max="4710" width="10.75" style="326" bestFit="1" customWidth="1"/>
    <col min="4711" max="4711" width="13" style="326" customWidth="1"/>
    <col min="4712" max="4858" width="9" style="326"/>
    <col min="4859" max="4860" width="12.125" style="326" customWidth="1"/>
    <col min="4861" max="4863" width="13" style="326" customWidth="1"/>
    <col min="4864" max="4864" width="12.875" style="326" customWidth="1"/>
    <col min="4865" max="4865" width="13" style="326" customWidth="1"/>
    <col min="4866" max="4866" width="13.125" style="326" customWidth="1"/>
    <col min="4867" max="4868" width="12.125" style="326" customWidth="1"/>
    <col min="4869" max="4869" width="14.375" style="326" bestFit="1" customWidth="1"/>
    <col min="4870" max="4870" width="11" style="326" customWidth="1"/>
    <col min="4871" max="4871" width="10" style="326" customWidth="1"/>
    <col min="4872" max="4872" width="10.875" style="326" customWidth="1"/>
    <col min="4873" max="4873" width="13.75" style="326" customWidth="1"/>
    <col min="4874" max="4874" width="10" style="326" customWidth="1"/>
    <col min="4875" max="4875" width="13.25" style="326" customWidth="1"/>
    <col min="4876" max="4876" width="14.375" style="326" customWidth="1"/>
    <col min="4877" max="4877" width="10" style="326" customWidth="1"/>
    <col min="4878" max="4878" width="10.875" style="326" customWidth="1"/>
    <col min="4879" max="4879" width="11.375" style="326" customWidth="1"/>
    <col min="4880" max="4880" width="15.375" style="326" customWidth="1"/>
    <col min="4881" max="4882" width="10.75" style="326" customWidth="1"/>
    <col min="4883" max="4883" width="14.375" style="326" customWidth="1"/>
    <col min="4884" max="4884" width="10.75" style="326" customWidth="1"/>
    <col min="4885" max="4885" width="11.75" style="326" customWidth="1"/>
    <col min="4886" max="4886" width="10" style="326" customWidth="1"/>
    <col min="4887" max="4887" width="15.375" style="326" customWidth="1"/>
    <col min="4888" max="4888" width="10" style="326" customWidth="1"/>
    <col min="4889" max="4889" width="10.75" style="326" customWidth="1"/>
    <col min="4890" max="4890" width="14.875" style="326" customWidth="1"/>
    <col min="4891" max="4891" width="11.5" style="326" customWidth="1"/>
    <col min="4892" max="4892" width="10" style="326" customWidth="1"/>
    <col min="4893" max="4893" width="10.75" style="326" customWidth="1"/>
    <col min="4894" max="4894" width="13.5" style="326" customWidth="1"/>
    <col min="4895" max="4895" width="9" style="326"/>
    <col min="4896" max="4896" width="10.75" style="326" bestFit="1" customWidth="1"/>
    <col min="4897" max="4897" width="13.75" style="326" customWidth="1"/>
    <col min="4898" max="4898" width="9" style="326"/>
    <col min="4899" max="4899" width="10.625" style="326" customWidth="1"/>
    <col min="4900" max="4900" width="9" style="326"/>
    <col min="4901" max="4901" width="14.25" style="326" customWidth="1"/>
    <col min="4902" max="4902" width="10.75" style="326" bestFit="1" customWidth="1"/>
    <col min="4903" max="4903" width="11.625" style="326" customWidth="1"/>
    <col min="4904" max="4904" width="13.75" style="326" customWidth="1"/>
    <col min="4905" max="4905" width="10.625" style="326" customWidth="1"/>
    <col min="4906" max="4907" width="9" style="326"/>
    <col min="4908" max="4908" width="14.125" style="326" customWidth="1"/>
    <col min="4909" max="4909" width="11" style="326" customWidth="1"/>
    <col min="4910" max="4910" width="10.75" style="326" bestFit="1" customWidth="1"/>
    <col min="4911" max="4911" width="13.5" style="326" customWidth="1"/>
    <col min="4912" max="4913" width="9" style="326"/>
    <col min="4914" max="4914" width="10.75" style="326" bestFit="1" customWidth="1"/>
    <col min="4915" max="4915" width="14" style="326" customWidth="1"/>
    <col min="4916" max="4916" width="9" style="326"/>
    <col min="4917" max="4917" width="10.75" style="326" customWidth="1"/>
    <col min="4918" max="4918" width="12.75" style="326" customWidth="1"/>
    <col min="4919" max="4919" width="9" style="326"/>
    <col min="4920" max="4920" width="10.75" style="326" bestFit="1" customWidth="1"/>
    <col min="4921" max="4921" width="11.5" style="326" customWidth="1"/>
    <col min="4922" max="4922" width="13.625" style="326" customWidth="1"/>
    <col min="4923" max="4923" width="10.625" style="326" customWidth="1"/>
    <col min="4924" max="4924" width="10.75" style="326" bestFit="1" customWidth="1"/>
    <col min="4925" max="4925" width="12.375" style="326" customWidth="1"/>
    <col min="4926" max="4928" width="9" style="326"/>
    <col min="4929" max="4929" width="15.75" style="326" customWidth="1"/>
    <col min="4930" max="4930" width="9" style="326"/>
    <col min="4931" max="4931" width="10.75" style="326" bestFit="1" customWidth="1"/>
    <col min="4932" max="4932" width="12.625" style="326" customWidth="1"/>
    <col min="4933" max="4935" width="9" style="326"/>
    <col min="4936" max="4936" width="13.625" style="326" customWidth="1"/>
    <col min="4937" max="4937" width="9" style="326"/>
    <col min="4938" max="4938" width="10.75" style="326" bestFit="1" customWidth="1"/>
    <col min="4939" max="4939" width="12.5" style="326" customWidth="1"/>
    <col min="4940" max="4942" width="9" style="326"/>
    <col min="4943" max="4943" width="12.875" style="326" customWidth="1"/>
    <col min="4944" max="4944" width="9" style="326"/>
    <col min="4945" max="4945" width="10.75" style="326" bestFit="1" customWidth="1"/>
    <col min="4946" max="4946" width="13.875" style="326" customWidth="1"/>
    <col min="4947" max="4949" width="9" style="326"/>
    <col min="4950" max="4950" width="14.125" style="326" customWidth="1"/>
    <col min="4951" max="4951" width="9" style="326"/>
    <col min="4952" max="4952" width="10.75" style="326" bestFit="1" customWidth="1"/>
    <col min="4953" max="4953" width="13.25" style="326" customWidth="1"/>
    <col min="4954" max="4956" width="9" style="326"/>
    <col min="4957" max="4957" width="13.25" style="326" customWidth="1"/>
    <col min="4958" max="4958" width="9" style="326"/>
    <col min="4959" max="4959" width="10.75" style="326" bestFit="1" customWidth="1"/>
    <col min="4960" max="4960" width="13.875" style="326" customWidth="1"/>
    <col min="4961" max="4963" width="9" style="326"/>
    <col min="4964" max="4964" width="13.625" style="326" customWidth="1"/>
    <col min="4965" max="4965" width="9" style="326"/>
    <col min="4966" max="4966" width="10.75" style="326" bestFit="1" customWidth="1"/>
    <col min="4967" max="4967" width="13" style="326" customWidth="1"/>
    <col min="4968" max="5114" width="9" style="326"/>
    <col min="5115" max="5116" width="12.125" style="326" customWidth="1"/>
    <col min="5117" max="5119" width="13" style="326" customWidth="1"/>
    <col min="5120" max="5120" width="12.875" style="326" customWidth="1"/>
    <col min="5121" max="5121" width="13" style="326" customWidth="1"/>
    <col min="5122" max="5122" width="13.125" style="326" customWidth="1"/>
    <col min="5123" max="5124" width="12.125" style="326" customWidth="1"/>
    <col min="5125" max="5125" width="14.375" style="326" bestFit="1" customWidth="1"/>
    <col min="5126" max="5126" width="11" style="326" customWidth="1"/>
    <col min="5127" max="5127" width="10" style="326" customWidth="1"/>
    <col min="5128" max="5128" width="10.875" style="326" customWidth="1"/>
    <col min="5129" max="5129" width="13.75" style="326" customWidth="1"/>
    <col min="5130" max="5130" width="10" style="326" customWidth="1"/>
    <col min="5131" max="5131" width="13.25" style="326" customWidth="1"/>
    <col min="5132" max="5132" width="14.375" style="326" customWidth="1"/>
    <col min="5133" max="5133" width="10" style="326" customWidth="1"/>
    <col min="5134" max="5134" width="10.875" style="326" customWidth="1"/>
    <col min="5135" max="5135" width="11.375" style="326" customWidth="1"/>
    <col min="5136" max="5136" width="15.375" style="326" customWidth="1"/>
    <col min="5137" max="5138" width="10.75" style="326" customWidth="1"/>
    <col min="5139" max="5139" width="14.375" style="326" customWidth="1"/>
    <col min="5140" max="5140" width="10.75" style="326" customWidth="1"/>
    <col min="5141" max="5141" width="11.75" style="326" customWidth="1"/>
    <col min="5142" max="5142" width="10" style="326" customWidth="1"/>
    <col min="5143" max="5143" width="15.375" style="326" customWidth="1"/>
    <col min="5144" max="5144" width="10" style="326" customWidth="1"/>
    <col min="5145" max="5145" width="10.75" style="326" customWidth="1"/>
    <col min="5146" max="5146" width="14.875" style="326" customWidth="1"/>
    <col min="5147" max="5147" width="11.5" style="326" customWidth="1"/>
    <col min="5148" max="5148" width="10" style="326" customWidth="1"/>
    <col min="5149" max="5149" width="10.75" style="326" customWidth="1"/>
    <col min="5150" max="5150" width="13.5" style="326" customWidth="1"/>
    <col min="5151" max="5151" width="9" style="326"/>
    <col min="5152" max="5152" width="10.75" style="326" bestFit="1" customWidth="1"/>
    <col min="5153" max="5153" width="13.75" style="326" customWidth="1"/>
    <col min="5154" max="5154" width="9" style="326"/>
    <col min="5155" max="5155" width="10.625" style="326" customWidth="1"/>
    <col min="5156" max="5156" width="9" style="326"/>
    <col min="5157" max="5157" width="14.25" style="326" customWidth="1"/>
    <col min="5158" max="5158" width="10.75" style="326" bestFit="1" customWidth="1"/>
    <col min="5159" max="5159" width="11.625" style="326" customWidth="1"/>
    <col min="5160" max="5160" width="13.75" style="326" customWidth="1"/>
    <col min="5161" max="5161" width="10.625" style="326" customWidth="1"/>
    <col min="5162" max="5163" width="9" style="326"/>
    <col min="5164" max="5164" width="14.125" style="326" customWidth="1"/>
    <col min="5165" max="5165" width="11" style="326" customWidth="1"/>
    <col min="5166" max="5166" width="10.75" style="326" bestFit="1" customWidth="1"/>
    <col min="5167" max="5167" width="13.5" style="326" customWidth="1"/>
    <col min="5168" max="5169" width="9" style="326"/>
    <col min="5170" max="5170" width="10.75" style="326" bestFit="1" customWidth="1"/>
    <col min="5171" max="5171" width="14" style="326" customWidth="1"/>
    <col min="5172" max="5172" width="9" style="326"/>
    <col min="5173" max="5173" width="10.75" style="326" customWidth="1"/>
    <col min="5174" max="5174" width="12.75" style="326" customWidth="1"/>
    <col min="5175" max="5175" width="9" style="326"/>
    <col min="5176" max="5176" width="10.75" style="326" bestFit="1" customWidth="1"/>
    <col min="5177" max="5177" width="11.5" style="326" customWidth="1"/>
    <col min="5178" max="5178" width="13.625" style="326" customWidth="1"/>
    <col min="5179" max="5179" width="10.625" style="326" customWidth="1"/>
    <col min="5180" max="5180" width="10.75" style="326" bestFit="1" customWidth="1"/>
    <col min="5181" max="5181" width="12.375" style="326" customWidth="1"/>
    <col min="5182" max="5184" width="9" style="326"/>
    <col min="5185" max="5185" width="15.75" style="326" customWidth="1"/>
    <col min="5186" max="5186" width="9" style="326"/>
    <col min="5187" max="5187" width="10.75" style="326" bestFit="1" customWidth="1"/>
    <col min="5188" max="5188" width="12.625" style="326" customWidth="1"/>
    <col min="5189" max="5191" width="9" style="326"/>
    <col min="5192" max="5192" width="13.625" style="326" customWidth="1"/>
    <col min="5193" max="5193" width="9" style="326"/>
    <col min="5194" max="5194" width="10.75" style="326" bestFit="1" customWidth="1"/>
    <col min="5195" max="5195" width="12.5" style="326" customWidth="1"/>
    <col min="5196" max="5198" width="9" style="326"/>
    <col min="5199" max="5199" width="12.875" style="326" customWidth="1"/>
    <col min="5200" max="5200" width="9" style="326"/>
    <col min="5201" max="5201" width="10.75" style="326" bestFit="1" customWidth="1"/>
    <col min="5202" max="5202" width="13.875" style="326" customWidth="1"/>
    <col min="5203" max="5205" width="9" style="326"/>
    <col min="5206" max="5206" width="14.125" style="326" customWidth="1"/>
    <col min="5207" max="5207" width="9" style="326"/>
    <col min="5208" max="5208" width="10.75" style="326" bestFit="1" customWidth="1"/>
    <col min="5209" max="5209" width="13.25" style="326" customWidth="1"/>
    <col min="5210" max="5212" width="9" style="326"/>
    <col min="5213" max="5213" width="13.25" style="326" customWidth="1"/>
    <col min="5214" max="5214" width="9" style="326"/>
    <col min="5215" max="5215" width="10.75" style="326" bestFit="1" customWidth="1"/>
    <col min="5216" max="5216" width="13.875" style="326" customWidth="1"/>
    <col min="5217" max="5219" width="9" style="326"/>
    <col min="5220" max="5220" width="13.625" style="326" customWidth="1"/>
    <col min="5221" max="5221" width="9" style="326"/>
    <col min="5222" max="5222" width="10.75" style="326" bestFit="1" customWidth="1"/>
    <col min="5223" max="5223" width="13" style="326" customWidth="1"/>
    <col min="5224" max="5370" width="9" style="326"/>
    <col min="5371" max="5372" width="12.125" style="326" customWidth="1"/>
    <col min="5373" max="5375" width="13" style="326" customWidth="1"/>
    <col min="5376" max="5376" width="12.875" style="326" customWidth="1"/>
    <col min="5377" max="5377" width="13" style="326" customWidth="1"/>
    <col min="5378" max="5378" width="13.125" style="326" customWidth="1"/>
    <col min="5379" max="5380" width="12.125" style="326" customWidth="1"/>
    <col min="5381" max="5381" width="14.375" style="326" bestFit="1" customWidth="1"/>
    <col min="5382" max="5382" width="11" style="326" customWidth="1"/>
    <col min="5383" max="5383" width="10" style="326" customWidth="1"/>
    <col min="5384" max="5384" width="10.875" style="326" customWidth="1"/>
    <col min="5385" max="5385" width="13.75" style="326" customWidth="1"/>
    <col min="5386" max="5386" width="10" style="326" customWidth="1"/>
    <col min="5387" max="5387" width="13.25" style="326" customWidth="1"/>
    <col min="5388" max="5388" width="14.375" style="326" customWidth="1"/>
    <col min="5389" max="5389" width="10" style="326" customWidth="1"/>
    <col min="5390" max="5390" width="10.875" style="326" customWidth="1"/>
    <col min="5391" max="5391" width="11.375" style="326" customWidth="1"/>
    <col min="5392" max="5392" width="15.375" style="326" customWidth="1"/>
    <col min="5393" max="5394" width="10.75" style="326" customWidth="1"/>
    <col min="5395" max="5395" width="14.375" style="326" customWidth="1"/>
    <col min="5396" max="5396" width="10.75" style="326" customWidth="1"/>
    <col min="5397" max="5397" width="11.75" style="326" customWidth="1"/>
    <col min="5398" max="5398" width="10" style="326" customWidth="1"/>
    <col min="5399" max="5399" width="15.375" style="326" customWidth="1"/>
    <col min="5400" max="5400" width="10" style="326" customWidth="1"/>
    <col min="5401" max="5401" width="10.75" style="326" customWidth="1"/>
    <col min="5402" max="5402" width="14.875" style="326" customWidth="1"/>
    <col min="5403" max="5403" width="11.5" style="326" customWidth="1"/>
    <col min="5404" max="5404" width="10" style="326" customWidth="1"/>
    <col min="5405" max="5405" width="10.75" style="326" customWidth="1"/>
    <col min="5406" max="5406" width="13.5" style="326" customWidth="1"/>
    <col min="5407" max="5407" width="9" style="326"/>
    <col min="5408" max="5408" width="10.75" style="326" bestFit="1" customWidth="1"/>
    <col min="5409" max="5409" width="13.75" style="326" customWidth="1"/>
    <col min="5410" max="5410" width="9" style="326"/>
    <col min="5411" max="5411" width="10.625" style="326" customWidth="1"/>
    <col min="5412" max="5412" width="9" style="326"/>
    <col min="5413" max="5413" width="14.25" style="326" customWidth="1"/>
    <col min="5414" max="5414" width="10.75" style="326" bestFit="1" customWidth="1"/>
    <col min="5415" max="5415" width="11.625" style="326" customWidth="1"/>
    <col min="5416" max="5416" width="13.75" style="326" customWidth="1"/>
    <col min="5417" max="5417" width="10.625" style="326" customWidth="1"/>
    <col min="5418" max="5419" width="9" style="326"/>
    <col min="5420" max="5420" width="14.125" style="326" customWidth="1"/>
    <col min="5421" max="5421" width="11" style="326" customWidth="1"/>
    <col min="5422" max="5422" width="10.75" style="326" bestFit="1" customWidth="1"/>
    <col min="5423" max="5423" width="13.5" style="326" customWidth="1"/>
    <col min="5424" max="5425" width="9" style="326"/>
    <col min="5426" max="5426" width="10.75" style="326" bestFit="1" customWidth="1"/>
    <col min="5427" max="5427" width="14" style="326" customWidth="1"/>
    <col min="5428" max="5428" width="9" style="326"/>
    <col min="5429" max="5429" width="10.75" style="326" customWidth="1"/>
    <col min="5430" max="5430" width="12.75" style="326" customWidth="1"/>
    <col min="5431" max="5431" width="9" style="326"/>
    <col min="5432" max="5432" width="10.75" style="326" bestFit="1" customWidth="1"/>
    <col min="5433" max="5433" width="11.5" style="326" customWidth="1"/>
    <col min="5434" max="5434" width="13.625" style="326" customWidth="1"/>
    <col min="5435" max="5435" width="10.625" style="326" customWidth="1"/>
    <col min="5436" max="5436" width="10.75" style="326" bestFit="1" customWidth="1"/>
    <col min="5437" max="5437" width="12.375" style="326" customWidth="1"/>
    <col min="5438" max="5440" width="9" style="326"/>
    <col min="5441" max="5441" width="15.75" style="326" customWidth="1"/>
    <col min="5442" max="5442" width="9" style="326"/>
    <col min="5443" max="5443" width="10.75" style="326" bestFit="1" customWidth="1"/>
    <col min="5444" max="5444" width="12.625" style="326" customWidth="1"/>
    <col min="5445" max="5447" width="9" style="326"/>
    <col min="5448" max="5448" width="13.625" style="326" customWidth="1"/>
    <col min="5449" max="5449" width="9" style="326"/>
    <col min="5450" max="5450" width="10.75" style="326" bestFit="1" customWidth="1"/>
    <col min="5451" max="5451" width="12.5" style="326" customWidth="1"/>
    <col min="5452" max="5454" width="9" style="326"/>
    <col min="5455" max="5455" width="12.875" style="326" customWidth="1"/>
    <col min="5456" max="5456" width="9" style="326"/>
    <col min="5457" max="5457" width="10.75" style="326" bestFit="1" customWidth="1"/>
    <col min="5458" max="5458" width="13.875" style="326" customWidth="1"/>
    <col min="5459" max="5461" width="9" style="326"/>
    <col min="5462" max="5462" width="14.125" style="326" customWidth="1"/>
    <col min="5463" max="5463" width="9" style="326"/>
    <col min="5464" max="5464" width="10.75" style="326" bestFit="1" customWidth="1"/>
    <col min="5465" max="5465" width="13.25" style="326" customWidth="1"/>
    <col min="5466" max="5468" width="9" style="326"/>
    <col min="5469" max="5469" width="13.25" style="326" customWidth="1"/>
    <col min="5470" max="5470" width="9" style="326"/>
    <col min="5471" max="5471" width="10.75" style="326" bestFit="1" customWidth="1"/>
    <col min="5472" max="5472" width="13.875" style="326" customWidth="1"/>
    <col min="5473" max="5475" width="9" style="326"/>
    <col min="5476" max="5476" width="13.625" style="326" customWidth="1"/>
    <col min="5477" max="5477" width="9" style="326"/>
    <col min="5478" max="5478" width="10.75" style="326" bestFit="1" customWidth="1"/>
    <col min="5479" max="5479" width="13" style="326" customWidth="1"/>
    <col min="5480" max="5626" width="9" style="326"/>
    <col min="5627" max="5628" width="12.125" style="326" customWidth="1"/>
    <col min="5629" max="5631" width="13" style="326" customWidth="1"/>
    <col min="5632" max="5632" width="12.875" style="326" customWidth="1"/>
    <col min="5633" max="5633" width="13" style="326" customWidth="1"/>
    <col min="5634" max="5634" width="13.125" style="326" customWidth="1"/>
    <col min="5635" max="5636" width="12.125" style="326" customWidth="1"/>
    <col min="5637" max="5637" width="14.375" style="326" bestFit="1" customWidth="1"/>
    <col min="5638" max="5638" width="11" style="326" customWidth="1"/>
    <col min="5639" max="5639" width="10" style="326" customWidth="1"/>
    <col min="5640" max="5640" width="10.875" style="326" customWidth="1"/>
    <col min="5641" max="5641" width="13.75" style="326" customWidth="1"/>
    <col min="5642" max="5642" width="10" style="326" customWidth="1"/>
    <col min="5643" max="5643" width="13.25" style="326" customWidth="1"/>
    <col min="5644" max="5644" width="14.375" style="326" customWidth="1"/>
    <col min="5645" max="5645" width="10" style="326" customWidth="1"/>
    <col min="5646" max="5646" width="10.875" style="326" customWidth="1"/>
    <col min="5647" max="5647" width="11.375" style="326" customWidth="1"/>
    <col min="5648" max="5648" width="15.375" style="326" customWidth="1"/>
    <col min="5649" max="5650" width="10.75" style="326" customWidth="1"/>
    <col min="5651" max="5651" width="14.375" style="326" customWidth="1"/>
    <col min="5652" max="5652" width="10.75" style="326" customWidth="1"/>
    <col min="5653" max="5653" width="11.75" style="326" customWidth="1"/>
    <col min="5654" max="5654" width="10" style="326" customWidth="1"/>
    <col min="5655" max="5655" width="15.375" style="326" customWidth="1"/>
    <col min="5656" max="5656" width="10" style="326" customWidth="1"/>
    <col min="5657" max="5657" width="10.75" style="326" customWidth="1"/>
    <col min="5658" max="5658" width="14.875" style="326" customWidth="1"/>
    <col min="5659" max="5659" width="11.5" style="326" customWidth="1"/>
    <col min="5660" max="5660" width="10" style="326" customWidth="1"/>
    <col min="5661" max="5661" width="10.75" style="326" customWidth="1"/>
    <col min="5662" max="5662" width="13.5" style="326" customWidth="1"/>
    <col min="5663" max="5663" width="9" style="326"/>
    <col min="5664" max="5664" width="10.75" style="326" bestFit="1" customWidth="1"/>
    <col min="5665" max="5665" width="13.75" style="326" customWidth="1"/>
    <col min="5666" max="5666" width="9" style="326"/>
    <col min="5667" max="5667" width="10.625" style="326" customWidth="1"/>
    <col min="5668" max="5668" width="9" style="326"/>
    <col min="5669" max="5669" width="14.25" style="326" customWidth="1"/>
    <col min="5670" max="5670" width="10.75" style="326" bestFit="1" customWidth="1"/>
    <col min="5671" max="5671" width="11.625" style="326" customWidth="1"/>
    <col min="5672" max="5672" width="13.75" style="326" customWidth="1"/>
    <col min="5673" max="5673" width="10.625" style="326" customWidth="1"/>
    <col min="5674" max="5675" width="9" style="326"/>
    <col min="5676" max="5676" width="14.125" style="326" customWidth="1"/>
    <col min="5677" max="5677" width="11" style="326" customWidth="1"/>
    <col min="5678" max="5678" width="10.75" style="326" bestFit="1" customWidth="1"/>
    <col min="5679" max="5679" width="13.5" style="326" customWidth="1"/>
    <col min="5680" max="5681" width="9" style="326"/>
    <col min="5682" max="5682" width="10.75" style="326" bestFit="1" customWidth="1"/>
    <col min="5683" max="5683" width="14" style="326" customWidth="1"/>
    <col min="5684" max="5684" width="9" style="326"/>
    <col min="5685" max="5685" width="10.75" style="326" customWidth="1"/>
    <col min="5686" max="5686" width="12.75" style="326" customWidth="1"/>
    <col min="5687" max="5687" width="9" style="326"/>
    <col min="5688" max="5688" width="10.75" style="326" bestFit="1" customWidth="1"/>
    <col min="5689" max="5689" width="11.5" style="326" customWidth="1"/>
    <col min="5690" max="5690" width="13.625" style="326" customWidth="1"/>
    <col min="5691" max="5691" width="10.625" style="326" customWidth="1"/>
    <col min="5692" max="5692" width="10.75" style="326" bestFit="1" customWidth="1"/>
    <col min="5693" max="5693" width="12.375" style="326" customWidth="1"/>
    <col min="5694" max="5696" width="9" style="326"/>
    <col min="5697" max="5697" width="15.75" style="326" customWidth="1"/>
    <col min="5698" max="5698" width="9" style="326"/>
    <col min="5699" max="5699" width="10.75" style="326" bestFit="1" customWidth="1"/>
    <col min="5700" max="5700" width="12.625" style="326" customWidth="1"/>
    <col min="5701" max="5703" width="9" style="326"/>
    <col min="5704" max="5704" width="13.625" style="326" customWidth="1"/>
    <col min="5705" max="5705" width="9" style="326"/>
    <col min="5706" max="5706" width="10.75" style="326" bestFit="1" customWidth="1"/>
    <col min="5707" max="5707" width="12.5" style="326" customWidth="1"/>
    <col min="5708" max="5710" width="9" style="326"/>
    <col min="5711" max="5711" width="12.875" style="326" customWidth="1"/>
    <col min="5712" max="5712" width="9" style="326"/>
    <col min="5713" max="5713" width="10.75" style="326" bestFit="1" customWidth="1"/>
    <col min="5714" max="5714" width="13.875" style="326" customWidth="1"/>
    <col min="5715" max="5717" width="9" style="326"/>
    <col min="5718" max="5718" width="14.125" style="326" customWidth="1"/>
    <col min="5719" max="5719" width="9" style="326"/>
    <col min="5720" max="5720" width="10.75" style="326" bestFit="1" customWidth="1"/>
    <col min="5721" max="5721" width="13.25" style="326" customWidth="1"/>
    <col min="5722" max="5724" width="9" style="326"/>
    <col min="5725" max="5725" width="13.25" style="326" customWidth="1"/>
    <col min="5726" max="5726" width="9" style="326"/>
    <col min="5727" max="5727" width="10.75" style="326" bestFit="1" customWidth="1"/>
    <col min="5728" max="5728" width="13.875" style="326" customWidth="1"/>
    <col min="5729" max="5731" width="9" style="326"/>
    <col min="5732" max="5732" width="13.625" style="326" customWidth="1"/>
    <col min="5733" max="5733" width="9" style="326"/>
    <col min="5734" max="5734" width="10.75" style="326" bestFit="1" customWidth="1"/>
    <col min="5735" max="5735" width="13" style="326" customWidth="1"/>
    <col min="5736" max="5882" width="9" style="326"/>
    <col min="5883" max="5884" width="12.125" style="326" customWidth="1"/>
    <col min="5885" max="5887" width="13" style="326" customWidth="1"/>
    <col min="5888" max="5888" width="12.875" style="326" customWidth="1"/>
    <col min="5889" max="5889" width="13" style="326" customWidth="1"/>
    <col min="5890" max="5890" width="13.125" style="326" customWidth="1"/>
    <col min="5891" max="5892" width="12.125" style="326" customWidth="1"/>
    <col min="5893" max="5893" width="14.375" style="326" bestFit="1" customWidth="1"/>
    <col min="5894" max="5894" width="11" style="326" customWidth="1"/>
    <col min="5895" max="5895" width="10" style="326" customWidth="1"/>
    <col min="5896" max="5896" width="10.875" style="326" customWidth="1"/>
    <col min="5897" max="5897" width="13.75" style="326" customWidth="1"/>
    <col min="5898" max="5898" width="10" style="326" customWidth="1"/>
    <col min="5899" max="5899" width="13.25" style="326" customWidth="1"/>
    <col min="5900" max="5900" width="14.375" style="326" customWidth="1"/>
    <col min="5901" max="5901" width="10" style="326" customWidth="1"/>
    <col min="5902" max="5902" width="10.875" style="326" customWidth="1"/>
    <col min="5903" max="5903" width="11.375" style="326" customWidth="1"/>
    <col min="5904" max="5904" width="15.375" style="326" customWidth="1"/>
    <col min="5905" max="5906" width="10.75" style="326" customWidth="1"/>
    <col min="5907" max="5907" width="14.375" style="326" customWidth="1"/>
    <col min="5908" max="5908" width="10.75" style="326" customWidth="1"/>
    <col min="5909" max="5909" width="11.75" style="326" customWidth="1"/>
    <col min="5910" max="5910" width="10" style="326" customWidth="1"/>
    <col min="5911" max="5911" width="15.375" style="326" customWidth="1"/>
    <col min="5912" max="5912" width="10" style="326" customWidth="1"/>
    <col min="5913" max="5913" width="10.75" style="326" customWidth="1"/>
    <col min="5914" max="5914" width="14.875" style="326" customWidth="1"/>
    <col min="5915" max="5915" width="11.5" style="326" customWidth="1"/>
    <col min="5916" max="5916" width="10" style="326" customWidth="1"/>
    <col min="5917" max="5917" width="10.75" style="326" customWidth="1"/>
    <col min="5918" max="5918" width="13.5" style="326" customWidth="1"/>
    <col min="5919" max="5919" width="9" style="326"/>
    <col min="5920" max="5920" width="10.75" style="326" bestFit="1" customWidth="1"/>
    <col min="5921" max="5921" width="13.75" style="326" customWidth="1"/>
    <col min="5922" max="5922" width="9" style="326"/>
    <col min="5923" max="5923" width="10.625" style="326" customWidth="1"/>
    <col min="5924" max="5924" width="9" style="326"/>
    <col min="5925" max="5925" width="14.25" style="326" customWidth="1"/>
    <col min="5926" max="5926" width="10.75" style="326" bestFit="1" customWidth="1"/>
    <col min="5927" max="5927" width="11.625" style="326" customWidth="1"/>
    <col min="5928" max="5928" width="13.75" style="326" customWidth="1"/>
    <col min="5929" max="5929" width="10.625" style="326" customWidth="1"/>
    <col min="5930" max="5931" width="9" style="326"/>
    <col min="5932" max="5932" width="14.125" style="326" customWidth="1"/>
    <col min="5933" max="5933" width="11" style="326" customWidth="1"/>
    <col min="5934" max="5934" width="10.75" style="326" bestFit="1" customWidth="1"/>
    <col min="5935" max="5935" width="13.5" style="326" customWidth="1"/>
    <col min="5936" max="5937" width="9" style="326"/>
    <col min="5938" max="5938" width="10.75" style="326" bestFit="1" customWidth="1"/>
    <col min="5939" max="5939" width="14" style="326" customWidth="1"/>
    <col min="5940" max="5940" width="9" style="326"/>
    <col min="5941" max="5941" width="10.75" style="326" customWidth="1"/>
    <col min="5942" max="5942" width="12.75" style="326" customWidth="1"/>
    <col min="5943" max="5943" width="9" style="326"/>
    <col min="5944" max="5944" width="10.75" style="326" bestFit="1" customWidth="1"/>
    <col min="5945" max="5945" width="11.5" style="326" customWidth="1"/>
    <col min="5946" max="5946" width="13.625" style="326" customWidth="1"/>
    <col min="5947" max="5947" width="10.625" style="326" customWidth="1"/>
    <col min="5948" max="5948" width="10.75" style="326" bestFit="1" customWidth="1"/>
    <col min="5949" max="5949" width="12.375" style="326" customWidth="1"/>
    <col min="5950" max="5952" width="9" style="326"/>
    <col min="5953" max="5953" width="15.75" style="326" customWidth="1"/>
    <col min="5954" max="5954" width="9" style="326"/>
    <col min="5955" max="5955" width="10.75" style="326" bestFit="1" customWidth="1"/>
    <col min="5956" max="5956" width="12.625" style="326" customWidth="1"/>
    <col min="5957" max="5959" width="9" style="326"/>
    <col min="5960" max="5960" width="13.625" style="326" customWidth="1"/>
    <col min="5961" max="5961" width="9" style="326"/>
    <col min="5962" max="5962" width="10.75" style="326" bestFit="1" customWidth="1"/>
    <col min="5963" max="5963" width="12.5" style="326" customWidth="1"/>
    <col min="5964" max="5966" width="9" style="326"/>
    <col min="5967" max="5967" width="12.875" style="326" customWidth="1"/>
    <col min="5968" max="5968" width="9" style="326"/>
    <col min="5969" max="5969" width="10.75" style="326" bestFit="1" customWidth="1"/>
    <col min="5970" max="5970" width="13.875" style="326" customWidth="1"/>
    <col min="5971" max="5973" width="9" style="326"/>
    <col min="5974" max="5974" width="14.125" style="326" customWidth="1"/>
    <col min="5975" max="5975" width="9" style="326"/>
    <col min="5976" max="5976" width="10.75" style="326" bestFit="1" customWidth="1"/>
    <col min="5977" max="5977" width="13.25" style="326" customWidth="1"/>
    <col min="5978" max="5980" width="9" style="326"/>
    <col min="5981" max="5981" width="13.25" style="326" customWidth="1"/>
    <col min="5982" max="5982" width="9" style="326"/>
    <col min="5983" max="5983" width="10.75" style="326" bestFit="1" customWidth="1"/>
    <col min="5984" max="5984" width="13.875" style="326" customWidth="1"/>
    <col min="5985" max="5987" width="9" style="326"/>
    <col min="5988" max="5988" width="13.625" style="326" customWidth="1"/>
    <col min="5989" max="5989" width="9" style="326"/>
    <col min="5990" max="5990" width="10.75" style="326" bestFit="1" customWidth="1"/>
    <col min="5991" max="5991" width="13" style="326" customWidth="1"/>
    <col min="5992" max="6138" width="9" style="326"/>
    <col min="6139" max="6140" width="12.125" style="326" customWidth="1"/>
    <col min="6141" max="6143" width="13" style="326" customWidth="1"/>
    <col min="6144" max="6144" width="12.875" style="326" customWidth="1"/>
    <col min="6145" max="6145" width="13" style="326" customWidth="1"/>
    <col min="6146" max="6146" width="13.125" style="326" customWidth="1"/>
    <col min="6147" max="6148" width="12.125" style="326" customWidth="1"/>
    <col min="6149" max="6149" width="14.375" style="326" bestFit="1" customWidth="1"/>
    <col min="6150" max="6150" width="11" style="326" customWidth="1"/>
    <col min="6151" max="6151" width="10" style="326" customWidth="1"/>
    <col min="6152" max="6152" width="10.875" style="326" customWidth="1"/>
    <col min="6153" max="6153" width="13.75" style="326" customWidth="1"/>
    <col min="6154" max="6154" width="10" style="326" customWidth="1"/>
    <col min="6155" max="6155" width="13.25" style="326" customWidth="1"/>
    <col min="6156" max="6156" width="14.375" style="326" customWidth="1"/>
    <col min="6157" max="6157" width="10" style="326" customWidth="1"/>
    <col min="6158" max="6158" width="10.875" style="326" customWidth="1"/>
    <col min="6159" max="6159" width="11.375" style="326" customWidth="1"/>
    <col min="6160" max="6160" width="15.375" style="326" customWidth="1"/>
    <col min="6161" max="6162" width="10.75" style="326" customWidth="1"/>
    <col min="6163" max="6163" width="14.375" style="326" customWidth="1"/>
    <col min="6164" max="6164" width="10.75" style="326" customWidth="1"/>
    <col min="6165" max="6165" width="11.75" style="326" customWidth="1"/>
    <col min="6166" max="6166" width="10" style="326" customWidth="1"/>
    <col min="6167" max="6167" width="15.375" style="326" customWidth="1"/>
    <col min="6168" max="6168" width="10" style="326" customWidth="1"/>
    <col min="6169" max="6169" width="10.75" style="326" customWidth="1"/>
    <col min="6170" max="6170" width="14.875" style="326" customWidth="1"/>
    <col min="6171" max="6171" width="11.5" style="326" customWidth="1"/>
    <col min="6172" max="6172" width="10" style="326" customWidth="1"/>
    <col min="6173" max="6173" width="10.75" style="326" customWidth="1"/>
    <col min="6174" max="6174" width="13.5" style="326" customWidth="1"/>
    <col min="6175" max="6175" width="9" style="326"/>
    <col min="6176" max="6176" width="10.75" style="326" bestFit="1" customWidth="1"/>
    <col min="6177" max="6177" width="13.75" style="326" customWidth="1"/>
    <col min="6178" max="6178" width="9" style="326"/>
    <col min="6179" max="6179" width="10.625" style="326" customWidth="1"/>
    <col min="6180" max="6180" width="9" style="326"/>
    <col min="6181" max="6181" width="14.25" style="326" customWidth="1"/>
    <col min="6182" max="6182" width="10.75" style="326" bestFit="1" customWidth="1"/>
    <col min="6183" max="6183" width="11.625" style="326" customWidth="1"/>
    <col min="6184" max="6184" width="13.75" style="326" customWidth="1"/>
    <col min="6185" max="6185" width="10.625" style="326" customWidth="1"/>
    <col min="6186" max="6187" width="9" style="326"/>
    <col min="6188" max="6188" width="14.125" style="326" customWidth="1"/>
    <col min="6189" max="6189" width="11" style="326" customWidth="1"/>
    <col min="6190" max="6190" width="10.75" style="326" bestFit="1" customWidth="1"/>
    <col min="6191" max="6191" width="13.5" style="326" customWidth="1"/>
    <col min="6192" max="6193" width="9" style="326"/>
    <col min="6194" max="6194" width="10.75" style="326" bestFit="1" customWidth="1"/>
    <col min="6195" max="6195" width="14" style="326" customWidth="1"/>
    <col min="6196" max="6196" width="9" style="326"/>
    <col min="6197" max="6197" width="10.75" style="326" customWidth="1"/>
    <col min="6198" max="6198" width="12.75" style="326" customWidth="1"/>
    <col min="6199" max="6199" width="9" style="326"/>
    <col min="6200" max="6200" width="10.75" style="326" bestFit="1" customWidth="1"/>
    <col min="6201" max="6201" width="11.5" style="326" customWidth="1"/>
    <col min="6202" max="6202" width="13.625" style="326" customWidth="1"/>
    <col min="6203" max="6203" width="10.625" style="326" customWidth="1"/>
    <col min="6204" max="6204" width="10.75" style="326" bestFit="1" customWidth="1"/>
    <col min="6205" max="6205" width="12.375" style="326" customWidth="1"/>
    <col min="6206" max="6208" width="9" style="326"/>
    <col min="6209" max="6209" width="15.75" style="326" customWidth="1"/>
    <col min="6210" max="6210" width="9" style="326"/>
    <col min="6211" max="6211" width="10.75" style="326" bestFit="1" customWidth="1"/>
    <col min="6212" max="6212" width="12.625" style="326" customWidth="1"/>
    <col min="6213" max="6215" width="9" style="326"/>
    <col min="6216" max="6216" width="13.625" style="326" customWidth="1"/>
    <col min="6217" max="6217" width="9" style="326"/>
    <col min="6218" max="6218" width="10.75" style="326" bestFit="1" customWidth="1"/>
    <col min="6219" max="6219" width="12.5" style="326" customWidth="1"/>
    <col min="6220" max="6222" width="9" style="326"/>
    <col min="6223" max="6223" width="12.875" style="326" customWidth="1"/>
    <col min="6224" max="6224" width="9" style="326"/>
    <col min="6225" max="6225" width="10.75" style="326" bestFit="1" customWidth="1"/>
    <col min="6226" max="6226" width="13.875" style="326" customWidth="1"/>
    <col min="6227" max="6229" width="9" style="326"/>
    <col min="6230" max="6230" width="14.125" style="326" customWidth="1"/>
    <col min="6231" max="6231" width="9" style="326"/>
    <col min="6232" max="6232" width="10.75" style="326" bestFit="1" customWidth="1"/>
    <col min="6233" max="6233" width="13.25" style="326" customWidth="1"/>
    <col min="6234" max="6236" width="9" style="326"/>
    <col min="6237" max="6237" width="13.25" style="326" customWidth="1"/>
    <col min="6238" max="6238" width="9" style="326"/>
    <col min="6239" max="6239" width="10.75" style="326" bestFit="1" customWidth="1"/>
    <col min="6240" max="6240" width="13.875" style="326" customWidth="1"/>
    <col min="6241" max="6243" width="9" style="326"/>
    <col min="6244" max="6244" width="13.625" style="326" customWidth="1"/>
    <col min="6245" max="6245" width="9" style="326"/>
    <col min="6246" max="6246" width="10.75" style="326" bestFit="1" customWidth="1"/>
    <col min="6247" max="6247" width="13" style="326" customWidth="1"/>
    <col min="6248" max="6394" width="9" style="326"/>
    <col min="6395" max="6396" width="12.125" style="326" customWidth="1"/>
    <col min="6397" max="6399" width="13" style="326" customWidth="1"/>
    <col min="6400" max="6400" width="12.875" style="326" customWidth="1"/>
    <col min="6401" max="6401" width="13" style="326" customWidth="1"/>
    <col min="6402" max="6402" width="13.125" style="326" customWidth="1"/>
    <col min="6403" max="6404" width="12.125" style="326" customWidth="1"/>
    <col min="6405" max="6405" width="14.375" style="326" bestFit="1" customWidth="1"/>
    <col min="6406" max="6406" width="11" style="326" customWidth="1"/>
    <col min="6407" max="6407" width="10" style="326" customWidth="1"/>
    <col min="6408" max="6408" width="10.875" style="326" customWidth="1"/>
    <col min="6409" max="6409" width="13.75" style="326" customWidth="1"/>
    <col min="6410" max="6410" width="10" style="326" customWidth="1"/>
    <col min="6411" max="6411" width="13.25" style="326" customWidth="1"/>
    <col min="6412" max="6412" width="14.375" style="326" customWidth="1"/>
    <col min="6413" max="6413" width="10" style="326" customWidth="1"/>
    <col min="6414" max="6414" width="10.875" style="326" customWidth="1"/>
    <col min="6415" max="6415" width="11.375" style="326" customWidth="1"/>
    <col min="6416" max="6416" width="15.375" style="326" customWidth="1"/>
    <col min="6417" max="6418" width="10.75" style="326" customWidth="1"/>
    <col min="6419" max="6419" width="14.375" style="326" customWidth="1"/>
    <col min="6420" max="6420" width="10.75" style="326" customWidth="1"/>
    <col min="6421" max="6421" width="11.75" style="326" customWidth="1"/>
    <col min="6422" max="6422" width="10" style="326" customWidth="1"/>
    <col min="6423" max="6423" width="15.375" style="326" customWidth="1"/>
    <col min="6424" max="6424" width="10" style="326" customWidth="1"/>
    <col min="6425" max="6425" width="10.75" style="326" customWidth="1"/>
    <col min="6426" max="6426" width="14.875" style="326" customWidth="1"/>
    <col min="6427" max="6427" width="11.5" style="326" customWidth="1"/>
    <col min="6428" max="6428" width="10" style="326" customWidth="1"/>
    <col min="6429" max="6429" width="10.75" style="326" customWidth="1"/>
    <col min="6430" max="6430" width="13.5" style="326" customWidth="1"/>
    <col min="6431" max="6431" width="9" style="326"/>
    <col min="6432" max="6432" width="10.75" style="326" bestFit="1" customWidth="1"/>
    <col min="6433" max="6433" width="13.75" style="326" customWidth="1"/>
    <col min="6434" max="6434" width="9" style="326"/>
    <col min="6435" max="6435" width="10.625" style="326" customWidth="1"/>
    <col min="6436" max="6436" width="9" style="326"/>
    <col min="6437" max="6437" width="14.25" style="326" customWidth="1"/>
    <col min="6438" max="6438" width="10.75" style="326" bestFit="1" customWidth="1"/>
    <col min="6439" max="6439" width="11.625" style="326" customWidth="1"/>
    <col min="6440" max="6440" width="13.75" style="326" customWidth="1"/>
    <col min="6441" max="6441" width="10.625" style="326" customWidth="1"/>
    <col min="6442" max="6443" width="9" style="326"/>
    <col min="6444" max="6444" width="14.125" style="326" customWidth="1"/>
    <col min="6445" max="6445" width="11" style="326" customWidth="1"/>
    <col min="6446" max="6446" width="10.75" style="326" bestFit="1" customWidth="1"/>
    <col min="6447" max="6447" width="13.5" style="326" customWidth="1"/>
    <col min="6448" max="6449" width="9" style="326"/>
    <col min="6450" max="6450" width="10.75" style="326" bestFit="1" customWidth="1"/>
    <col min="6451" max="6451" width="14" style="326" customWidth="1"/>
    <col min="6452" max="6452" width="9" style="326"/>
    <col min="6453" max="6453" width="10.75" style="326" customWidth="1"/>
    <col min="6454" max="6454" width="12.75" style="326" customWidth="1"/>
    <col min="6455" max="6455" width="9" style="326"/>
    <col min="6456" max="6456" width="10.75" style="326" bestFit="1" customWidth="1"/>
    <col min="6457" max="6457" width="11.5" style="326" customWidth="1"/>
    <col min="6458" max="6458" width="13.625" style="326" customWidth="1"/>
    <col min="6459" max="6459" width="10.625" style="326" customWidth="1"/>
    <col min="6460" max="6460" width="10.75" style="326" bestFit="1" customWidth="1"/>
    <col min="6461" max="6461" width="12.375" style="326" customWidth="1"/>
    <col min="6462" max="6464" width="9" style="326"/>
    <col min="6465" max="6465" width="15.75" style="326" customWidth="1"/>
    <col min="6466" max="6466" width="9" style="326"/>
    <col min="6467" max="6467" width="10.75" style="326" bestFit="1" customWidth="1"/>
    <col min="6468" max="6468" width="12.625" style="326" customWidth="1"/>
    <col min="6469" max="6471" width="9" style="326"/>
    <col min="6472" max="6472" width="13.625" style="326" customWidth="1"/>
    <col min="6473" max="6473" width="9" style="326"/>
    <col min="6474" max="6474" width="10.75" style="326" bestFit="1" customWidth="1"/>
    <col min="6475" max="6475" width="12.5" style="326" customWidth="1"/>
    <col min="6476" max="6478" width="9" style="326"/>
    <col min="6479" max="6479" width="12.875" style="326" customWidth="1"/>
    <col min="6480" max="6480" width="9" style="326"/>
    <col min="6481" max="6481" width="10.75" style="326" bestFit="1" customWidth="1"/>
    <col min="6482" max="6482" width="13.875" style="326" customWidth="1"/>
    <col min="6483" max="6485" width="9" style="326"/>
    <col min="6486" max="6486" width="14.125" style="326" customWidth="1"/>
    <col min="6487" max="6487" width="9" style="326"/>
    <col min="6488" max="6488" width="10.75" style="326" bestFit="1" customWidth="1"/>
    <col min="6489" max="6489" width="13.25" style="326" customWidth="1"/>
    <col min="6490" max="6492" width="9" style="326"/>
    <col min="6493" max="6493" width="13.25" style="326" customWidth="1"/>
    <col min="6494" max="6494" width="9" style="326"/>
    <col min="6495" max="6495" width="10.75" style="326" bestFit="1" customWidth="1"/>
    <col min="6496" max="6496" width="13.875" style="326" customWidth="1"/>
    <col min="6497" max="6499" width="9" style="326"/>
    <col min="6500" max="6500" width="13.625" style="326" customWidth="1"/>
    <col min="6501" max="6501" width="9" style="326"/>
    <col min="6502" max="6502" width="10.75" style="326" bestFit="1" customWidth="1"/>
    <col min="6503" max="6503" width="13" style="326" customWidth="1"/>
    <col min="6504" max="6650" width="9" style="326"/>
    <col min="6651" max="6652" width="12.125" style="326" customWidth="1"/>
    <col min="6653" max="6655" width="13" style="326" customWidth="1"/>
    <col min="6656" max="6656" width="12.875" style="326" customWidth="1"/>
    <col min="6657" max="6657" width="13" style="326" customWidth="1"/>
    <col min="6658" max="6658" width="13.125" style="326" customWidth="1"/>
    <col min="6659" max="6660" width="12.125" style="326" customWidth="1"/>
    <col min="6661" max="6661" width="14.375" style="326" bestFit="1" customWidth="1"/>
    <col min="6662" max="6662" width="11" style="326" customWidth="1"/>
    <col min="6663" max="6663" width="10" style="326" customWidth="1"/>
    <col min="6664" max="6664" width="10.875" style="326" customWidth="1"/>
    <col min="6665" max="6665" width="13.75" style="326" customWidth="1"/>
    <col min="6666" max="6666" width="10" style="326" customWidth="1"/>
    <col min="6667" max="6667" width="13.25" style="326" customWidth="1"/>
    <col min="6668" max="6668" width="14.375" style="326" customWidth="1"/>
    <col min="6669" max="6669" width="10" style="326" customWidth="1"/>
    <col min="6670" max="6670" width="10.875" style="326" customWidth="1"/>
    <col min="6671" max="6671" width="11.375" style="326" customWidth="1"/>
    <col min="6672" max="6672" width="15.375" style="326" customWidth="1"/>
    <col min="6673" max="6674" width="10.75" style="326" customWidth="1"/>
    <col min="6675" max="6675" width="14.375" style="326" customWidth="1"/>
    <col min="6676" max="6676" width="10.75" style="326" customWidth="1"/>
    <col min="6677" max="6677" width="11.75" style="326" customWidth="1"/>
    <col min="6678" max="6678" width="10" style="326" customWidth="1"/>
    <col min="6679" max="6679" width="15.375" style="326" customWidth="1"/>
    <col min="6680" max="6680" width="10" style="326" customWidth="1"/>
    <col min="6681" max="6681" width="10.75" style="326" customWidth="1"/>
    <col min="6682" max="6682" width="14.875" style="326" customWidth="1"/>
    <col min="6683" max="6683" width="11.5" style="326" customWidth="1"/>
    <col min="6684" max="6684" width="10" style="326" customWidth="1"/>
    <col min="6685" max="6685" width="10.75" style="326" customWidth="1"/>
    <col min="6686" max="6686" width="13.5" style="326" customWidth="1"/>
    <col min="6687" max="6687" width="9" style="326"/>
    <col min="6688" max="6688" width="10.75" style="326" bestFit="1" customWidth="1"/>
    <col min="6689" max="6689" width="13.75" style="326" customWidth="1"/>
    <col min="6690" max="6690" width="9" style="326"/>
    <col min="6691" max="6691" width="10.625" style="326" customWidth="1"/>
    <col min="6692" max="6692" width="9" style="326"/>
    <col min="6693" max="6693" width="14.25" style="326" customWidth="1"/>
    <col min="6694" max="6694" width="10.75" style="326" bestFit="1" customWidth="1"/>
    <col min="6695" max="6695" width="11.625" style="326" customWidth="1"/>
    <col min="6696" max="6696" width="13.75" style="326" customWidth="1"/>
    <col min="6697" max="6697" width="10.625" style="326" customWidth="1"/>
    <col min="6698" max="6699" width="9" style="326"/>
    <col min="6700" max="6700" width="14.125" style="326" customWidth="1"/>
    <col min="6701" max="6701" width="11" style="326" customWidth="1"/>
    <col min="6702" max="6702" width="10.75" style="326" bestFit="1" customWidth="1"/>
    <col min="6703" max="6703" width="13.5" style="326" customWidth="1"/>
    <col min="6704" max="6705" width="9" style="326"/>
    <col min="6706" max="6706" width="10.75" style="326" bestFit="1" customWidth="1"/>
    <col min="6707" max="6707" width="14" style="326" customWidth="1"/>
    <col min="6708" max="6708" width="9" style="326"/>
    <col min="6709" max="6709" width="10.75" style="326" customWidth="1"/>
    <col min="6710" max="6710" width="12.75" style="326" customWidth="1"/>
    <col min="6711" max="6711" width="9" style="326"/>
    <col min="6712" max="6712" width="10.75" style="326" bestFit="1" customWidth="1"/>
    <col min="6713" max="6713" width="11.5" style="326" customWidth="1"/>
    <col min="6714" max="6714" width="13.625" style="326" customWidth="1"/>
    <col min="6715" max="6715" width="10.625" style="326" customWidth="1"/>
    <col min="6716" max="6716" width="10.75" style="326" bestFit="1" customWidth="1"/>
    <col min="6717" max="6717" width="12.375" style="326" customWidth="1"/>
    <col min="6718" max="6720" width="9" style="326"/>
    <col min="6721" max="6721" width="15.75" style="326" customWidth="1"/>
    <col min="6722" max="6722" width="9" style="326"/>
    <col min="6723" max="6723" width="10.75" style="326" bestFit="1" customWidth="1"/>
    <col min="6724" max="6724" width="12.625" style="326" customWidth="1"/>
    <col min="6725" max="6727" width="9" style="326"/>
    <col min="6728" max="6728" width="13.625" style="326" customWidth="1"/>
    <col min="6729" max="6729" width="9" style="326"/>
    <col min="6730" max="6730" width="10.75" style="326" bestFit="1" customWidth="1"/>
    <col min="6731" max="6731" width="12.5" style="326" customWidth="1"/>
    <col min="6732" max="6734" width="9" style="326"/>
    <col min="6735" max="6735" width="12.875" style="326" customWidth="1"/>
    <col min="6736" max="6736" width="9" style="326"/>
    <col min="6737" max="6737" width="10.75" style="326" bestFit="1" customWidth="1"/>
    <col min="6738" max="6738" width="13.875" style="326" customWidth="1"/>
    <col min="6739" max="6741" width="9" style="326"/>
    <col min="6742" max="6742" width="14.125" style="326" customWidth="1"/>
    <col min="6743" max="6743" width="9" style="326"/>
    <col min="6744" max="6744" width="10.75" style="326" bestFit="1" customWidth="1"/>
    <col min="6745" max="6745" width="13.25" style="326" customWidth="1"/>
    <col min="6746" max="6748" width="9" style="326"/>
    <col min="6749" max="6749" width="13.25" style="326" customWidth="1"/>
    <col min="6750" max="6750" width="9" style="326"/>
    <col min="6751" max="6751" width="10.75" style="326" bestFit="1" customWidth="1"/>
    <col min="6752" max="6752" width="13.875" style="326" customWidth="1"/>
    <col min="6753" max="6755" width="9" style="326"/>
    <col min="6756" max="6756" width="13.625" style="326" customWidth="1"/>
    <col min="6757" max="6757" width="9" style="326"/>
    <col min="6758" max="6758" width="10.75" style="326" bestFit="1" customWidth="1"/>
    <col min="6759" max="6759" width="13" style="326" customWidth="1"/>
    <col min="6760" max="6906" width="9" style="326"/>
    <col min="6907" max="6908" width="12.125" style="326" customWidth="1"/>
    <col min="6909" max="6911" width="13" style="326" customWidth="1"/>
    <col min="6912" max="6912" width="12.875" style="326" customWidth="1"/>
    <col min="6913" max="6913" width="13" style="326" customWidth="1"/>
    <col min="6914" max="6914" width="13.125" style="326" customWidth="1"/>
    <col min="6915" max="6916" width="12.125" style="326" customWidth="1"/>
    <col min="6917" max="6917" width="14.375" style="326" bestFit="1" customWidth="1"/>
    <col min="6918" max="6918" width="11" style="326" customWidth="1"/>
    <col min="6919" max="6919" width="10" style="326" customWidth="1"/>
    <col min="6920" max="6920" width="10.875" style="326" customWidth="1"/>
    <col min="6921" max="6921" width="13.75" style="326" customWidth="1"/>
    <col min="6922" max="6922" width="10" style="326" customWidth="1"/>
    <col min="6923" max="6923" width="13.25" style="326" customWidth="1"/>
    <col min="6924" max="6924" width="14.375" style="326" customWidth="1"/>
    <col min="6925" max="6925" width="10" style="326" customWidth="1"/>
    <col min="6926" max="6926" width="10.875" style="326" customWidth="1"/>
    <col min="6927" max="6927" width="11.375" style="326" customWidth="1"/>
    <col min="6928" max="6928" width="15.375" style="326" customWidth="1"/>
    <col min="6929" max="6930" width="10.75" style="326" customWidth="1"/>
    <col min="6931" max="6931" width="14.375" style="326" customWidth="1"/>
    <col min="6932" max="6932" width="10.75" style="326" customWidth="1"/>
    <col min="6933" max="6933" width="11.75" style="326" customWidth="1"/>
    <col min="6934" max="6934" width="10" style="326" customWidth="1"/>
    <col min="6935" max="6935" width="15.375" style="326" customWidth="1"/>
    <col min="6936" max="6936" width="10" style="326" customWidth="1"/>
    <col min="6937" max="6937" width="10.75" style="326" customWidth="1"/>
    <col min="6938" max="6938" width="14.875" style="326" customWidth="1"/>
    <col min="6939" max="6939" width="11.5" style="326" customWidth="1"/>
    <col min="6940" max="6940" width="10" style="326" customWidth="1"/>
    <col min="6941" max="6941" width="10.75" style="326" customWidth="1"/>
    <col min="6942" max="6942" width="13.5" style="326" customWidth="1"/>
    <col min="6943" max="6943" width="9" style="326"/>
    <col min="6944" max="6944" width="10.75" style="326" bestFit="1" customWidth="1"/>
    <col min="6945" max="6945" width="13.75" style="326" customWidth="1"/>
    <col min="6946" max="6946" width="9" style="326"/>
    <col min="6947" max="6947" width="10.625" style="326" customWidth="1"/>
    <col min="6948" max="6948" width="9" style="326"/>
    <col min="6949" max="6949" width="14.25" style="326" customWidth="1"/>
    <col min="6950" max="6950" width="10.75" style="326" bestFit="1" customWidth="1"/>
    <col min="6951" max="6951" width="11.625" style="326" customWidth="1"/>
    <col min="6952" max="6952" width="13.75" style="326" customWidth="1"/>
    <col min="6953" max="6953" width="10.625" style="326" customWidth="1"/>
    <col min="6954" max="6955" width="9" style="326"/>
    <col min="6956" max="6956" width="14.125" style="326" customWidth="1"/>
    <col min="6957" max="6957" width="11" style="326" customWidth="1"/>
    <col min="6958" max="6958" width="10.75" style="326" bestFit="1" customWidth="1"/>
    <col min="6959" max="6959" width="13.5" style="326" customWidth="1"/>
    <col min="6960" max="6961" width="9" style="326"/>
    <col min="6962" max="6962" width="10.75" style="326" bestFit="1" customWidth="1"/>
    <col min="6963" max="6963" width="14" style="326" customWidth="1"/>
    <col min="6964" max="6964" width="9" style="326"/>
    <col min="6965" max="6965" width="10.75" style="326" customWidth="1"/>
    <col min="6966" max="6966" width="12.75" style="326" customWidth="1"/>
    <col min="6967" max="6967" width="9" style="326"/>
    <col min="6968" max="6968" width="10.75" style="326" bestFit="1" customWidth="1"/>
    <col min="6969" max="6969" width="11.5" style="326" customWidth="1"/>
    <col min="6970" max="6970" width="13.625" style="326" customWidth="1"/>
    <col min="6971" max="6971" width="10.625" style="326" customWidth="1"/>
    <col min="6972" max="6972" width="10.75" style="326" bestFit="1" customWidth="1"/>
    <col min="6973" max="6973" width="12.375" style="326" customWidth="1"/>
    <col min="6974" max="6976" width="9" style="326"/>
    <col min="6977" max="6977" width="15.75" style="326" customWidth="1"/>
    <col min="6978" max="6978" width="9" style="326"/>
    <col min="6979" max="6979" width="10.75" style="326" bestFit="1" customWidth="1"/>
    <col min="6980" max="6980" width="12.625" style="326" customWidth="1"/>
    <col min="6981" max="6983" width="9" style="326"/>
    <col min="6984" max="6984" width="13.625" style="326" customWidth="1"/>
    <col min="6985" max="6985" width="9" style="326"/>
    <col min="6986" max="6986" width="10.75" style="326" bestFit="1" customWidth="1"/>
    <col min="6987" max="6987" width="12.5" style="326" customWidth="1"/>
    <col min="6988" max="6990" width="9" style="326"/>
    <col min="6991" max="6991" width="12.875" style="326" customWidth="1"/>
    <col min="6992" max="6992" width="9" style="326"/>
    <col min="6993" max="6993" width="10.75" style="326" bestFit="1" customWidth="1"/>
    <col min="6994" max="6994" width="13.875" style="326" customWidth="1"/>
    <col min="6995" max="6997" width="9" style="326"/>
    <col min="6998" max="6998" width="14.125" style="326" customWidth="1"/>
    <col min="6999" max="6999" width="9" style="326"/>
    <col min="7000" max="7000" width="10.75" style="326" bestFit="1" customWidth="1"/>
    <col min="7001" max="7001" width="13.25" style="326" customWidth="1"/>
    <col min="7002" max="7004" width="9" style="326"/>
    <col min="7005" max="7005" width="13.25" style="326" customWidth="1"/>
    <col min="7006" max="7006" width="9" style="326"/>
    <col min="7007" max="7007" width="10.75" style="326" bestFit="1" customWidth="1"/>
    <col min="7008" max="7008" width="13.875" style="326" customWidth="1"/>
    <col min="7009" max="7011" width="9" style="326"/>
    <col min="7012" max="7012" width="13.625" style="326" customWidth="1"/>
    <col min="7013" max="7013" width="9" style="326"/>
    <col min="7014" max="7014" width="10.75" style="326" bestFit="1" customWidth="1"/>
    <col min="7015" max="7015" width="13" style="326" customWidth="1"/>
    <col min="7016" max="7162" width="9" style="326"/>
    <col min="7163" max="7164" width="12.125" style="326" customWidth="1"/>
    <col min="7165" max="7167" width="13" style="326" customWidth="1"/>
    <col min="7168" max="7168" width="12.875" style="326" customWidth="1"/>
    <col min="7169" max="7169" width="13" style="326" customWidth="1"/>
    <col min="7170" max="7170" width="13.125" style="326" customWidth="1"/>
    <col min="7171" max="7172" width="12.125" style="326" customWidth="1"/>
    <col min="7173" max="7173" width="14.375" style="326" bestFit="1" customWidth="1"/>
    <col min="7174" max="7174" width="11" style="326" customWidth="1"/>
    <col min="7175" max="7175" width="10" style="326" customWidth="1"/>
    <col min="7176" max="7176" width="10.875" style="326" customWidth="1"/>
    <col min="7177" max="7177" width="13.75" style="326" customWidth="1"/>
    <col min="7178" max="7178" width="10" style="326" customWidth="1"/>
    <col min="7179" max="7179" width="13.25" style="326" customWidth="1"/>
    <col min="7180" max="7180" width="14.375" style="326" customWidth="1"/>
    <col min="7181" max="7181" width="10" style="326" customWidth="1"/>
    <col min="7182" max="7182" width="10.875" style="326" customWidth="1"/>
    <col min="7183" max="7183" width="11.375" style="326" customWidth="1"/>
    <col min="7184" max="7184" width="15.375" style="326" customWidth="1"/>
    <col min="7185" max="7186" width="10.75" style="326" customWidth="1"/>
    <col min="7187" max="7187" width="14.375" style="326" customWidth="1"/>
    <col min="7188" max="7188" width="10.75" style="326" customWidth="1"/>
    <col min="7189" max="7189" width="11.75" style="326" customWidth="1"/>
    <col min="7190" max="7190" width="10" style="326" customWidth="1"/>
    <col min="7191" max="7191" width="15.375" style="326" customWidth="1"/>
    <col min="7192" max="7192" width="10" style="326" customWidth="1"/>
    <col min="7193" max="7193" width="10.75" style="326" customWidth="1"/>
    <col min="7194" max="7194" width="14.875" style="326" customWidth="1"/>
    <col min="7195" max="7195" width="11.5" style="326" customWidth="1"/>
    <col min="7196" max="7196" width="10" style="326" customWidth="1"/>
    <col min="7197" max="7197" width="10.75" style="326" customWidth="1"/>
    <col min="7198" max="7198" width="13.5" style="326" customWidth="1"/>
    <col min="7199" max="7199" width="9" style="326"/>
    <col min="7200" max="7200" width="10.75" style="326" bestFit="1" customWidth="1"/>
    <col min="7201" max="7201" width="13.75" style="326" customWidth="1"/>
    <col min="7202" max="7202" width="9" style="326"/>
    <col min="7203" max="7203" width="10.625" style="326" customWidth="1"/>
    <col min="7204" max="7204" width="9" style="326"/>
    <col min="7205" max="7205" width="14.25" style="326" customWidth="1"/>
    <col min="7206" max="7206" width="10.75" style="326" bestFit="1" customWidth="1"/>
    <col min="7207" max="7207" width="11.625" style="326" customWidth="1"/>
    <col min="7208" max="7208" width="13.75" style="326" customWidth="1"/>
    <col min="7209" max="7209" width="10.625" style="326" customWidth="1"/>
    <col min="7210" max="7211" width="9" style="326"/>
    <col min="7212" max="7212" width="14.125" style="326" customWidth="1"/>
    <col min="7213" max="7213" width="11" style="326" customWidth="1"/>
    <col min="7214" max="7214" width="10.75" style="326" bestFit="1" customWidth="1"/>
    <col min="7215" max="7215" width="13.5" style="326" customWidth="1"/>
    <col min="7216" max="7217" width="9" style="326"/>
    <col min="7218" max="7218" width="10.75" style="326" bestFit="1" customWidth="1"/>
    <col min="7219" max="7219" width="14" style="326" customWidth="1"/>
    <col min="7220" max="7220" width="9" style="326"/>
    <col min="7221" max="7221" width="10.75" style="326" customWidth="1"/>
    <col min="7222" max="7222" width="12.75" style="326" customWidth="1"/>
    <col min="7223" max="7223" width="9" style="326"/>
    <col min="7224" max="7224" width="10.75" style="326" bestFit="1" customWidth="1"/>
    <col min="7225" max="7225" width="11.5" style="326" customWidth="1"/>
    <col min="7226" max="7226" width="13.625" style="326" customWidth="1"/>
    <col min="7227" max="7227" width="10.625" style="326" customWidth="1"/>
    <col min="7228" max="7228" width="10.75" style="326" bestFit="1" customWidth="1"/>
    <col min="7229" max="7229" width="12.375" style="326" customWidth="1"/>
    <col min="7230" max="7232" width="9" style="326"/>
    <col min="7233" max="7233" width="15.75" style="326" customWidth="1"/>
    <col min="7234" max="7234" width="9" style="326"/>
    <col min="7235" max="7235" width="10.75" style="326" bestFit="1" customWidth="1"/>
    <col min="7236" max="7236" width="12.625" style="326" customWidth="1"/>
    <col min="7237" max="7239" width="9" style="326"/>
    <col min="7240" max="7240" width="13.625" style="326" customWidth="1"/>
    <col min="7241" max="7241" width="9" style="326"/>
    <col min="7242" max="7242" width="10.75" style="326" bestFit="1" customWidth="1"/>
    <col min="7243" max="7243" width="12.5" style="326" customWidth="1"/>
    <col min="7244" max="7246" width="9" style="326"/>
    <col min="7247" max="7247" width="12.875" style="326" customWidth="1"/>
    <col min="7248" max="7248" width="9" style="326"/>
    <col min="7249" max="7249" width="10.75" style="326" bestFit="1" customWidth="1"/>
    <col min="7250" max="7250" width="13.875" style="326" customWidth="1"/>
    <col min="7251" max="7253" width="9" style="326"/>
    <col min="7254" max="7254" width="14.125" style="326" customWidth="1"/>
    <col min="7255" max="7255" width="9" style="326"/>
    <col min="7256" max="7256" width="10.75" style="326" bestFit="1" customWidth="1"/>
    <col min="7257" max="7257" width="13.25" style="326" customWidth="1"/>
    <col min="7258" max="7260" width="9" style="326"/>
    <col min="7261" max="7261" width="13.25" style="326" customWidth="1"/>
    <col min="7262" max="7262" width="9" style="326"/>
    <col min="7263" max="7263" width="10.75" style="326" bestFit="1" customWidth="1"/>
    <col min="7264" max="7264" width="13.875" style="326" customWidth="1"/>
    <col min="7265" max="7267" width="9" style="326"/>
    <col min="7268" max="7268" width="13.625" style="326" customWidth="1"/>
    <col min="7269" max="7269" width="9" style="326"/>
    <col min="7270" max="7270" width="10.75" style="326" bestFit="1" customWidth="1"/>
    <col min="7271" max="7271" width="13" style="326" customWidth="1"/>
    <col min="7272" max="7418" width="9" style="326"/>
    <col min="7419" max="7420" width="12.125" style="326" customWidth="1"/>
    <col min="7421" max="7423" width="13" style="326" customWidth="1"/>
    <col min="7424" max="7424" width="12.875" style="326" customWidth="1"/>
    <col min="7425" max="7425" width="13" style="326" customWidth="1"/>
    <col min="7426" max="7426" width="13.125" style="326" customWidth="1"/>
    <col min="7427" max="7428" width="12.125" style="326" customWidth="1"/>
    <col min="7429" max="7429" width="14.375" style="326" bestFit="1" customWidth="1"/>
    <col min="7430" max="7430" width="11" style="326" customWidth="1"/>
    <col min="7431" max="7431" width="10" style="326" customWidth="1"/>
    <col min="7432" max="7432" width="10.875" style="326" customWidth="1"/>
    <col min="7433" max="7433" width="13.75" style="326" customWidth="1"/>
    <col min="7434" max="7434" width="10" style="326" customWidth="1"/>
    <col min="7435" max="7435" width="13.25" style="326" customWidth="1"/>
    <col min="7436" max="7436" width="14.375" style="326" customWidth="1"/>
    <col min="7437" max="7437" width="10" style="326" customWidth="1"/>
    <col min="7438" max="7438" width="10.875" style="326" customWidth="1"/>
    <col min="7439" max="7439" width="11.375" style="326" customWidth="1"/>
    <col min="7440" max="7440" width="15.375" style="326" customWidth="1"/>
    <col min="7441" max="7442" width="10.75" style="326" customWidth="1"/>
    <col min="7443" max="7443" width="14.375" style="326" customWidth="1"/>
    <col min="7444" max="7444" width="10.75" style="326" customWidth="1"/>
    <col min="7445" max="7445" width="11.75" style="326" customWidth="1"/>
    <col min="7446" max="7446" width="10" style="326" customWidth="1"/>
    <col min="7447" max="7447" width="15.375" style="326" customWidth="1"/>
    <col min="7448" max="7448" width="10" style="326" customWidth="1"/>
    <col min="7449" max="7449" width="10.75" style="326" customWidth="1"/>
    <col min="7450" max="7450" width="14.875" style="326" customWidth="1"/>
    <col min="7451" max="7451" width="11.5" style="326" customWidth="1"/>
    <col min="7452" max="7452" width="10" style="326" customWidth="1"/>
    <col min="7453" max="7453" width="10.75" style="326" customWidth="1"/>
    <col min="7454" max="7454" width="13.5" style="326" customWidth="1"/>
    <col min="7455" max="7455" width="9" style="326"/>
    <col min="7456" max="7456" width="10.75" style="326" bestFit="1" customWidth="1"/>
    <col min="7457" max="7457" width="13.75" style="326" customWidth="1"/>
    <col min="7458" max="7458" width="9" style="326"/>
    <col min="7459" max="7459" width="10.625" style="326" customWidth="1"/>
    <col min="7460" max="7460" width="9" style="326"/>
    <col min="7461" max="7461" width="14.25" style="326" customWidth="1"/>
    <col min="7462" max="7462" width="10.75" style="326" bestFit="1" customWidth="1"/>
    <col min="7463" max="7463" width="11.625" style="326" customWidth="1"/>
    <col min="7464" max="7464" width="13.75" style="326" customWidth="1"/>
    <col min="7465" max="7465" width="10.625" style="326" customWidth="1"/>
    <col min="7466" max="7467" width="9" style="326"/>
    <col min="7468" max="7468" width="14.125" style="326" customWidth="1"/>
    <col min="7469" max="7469" width="11" style="326" customWidth="1"/>
    <col min="7470" max="7470" width="10.75" style="326" bestFit="1" customWidth="1"/>
    <col min="7471" max="7471" width="13.5" style="326" customWidth="1"/>
    <col min="7472" max="7473" width="9" style="326"/>
    <col min="7474" max="7474" width="10.75" style="326" bestFit="1" customWidth="1"/>
    <col min="7475" max="7475" width="14" style="326" customWidth="1"/>
    <col min="7476" max="7476" width="9" style="326"/>
    <col min="7477" max="7477" width="10.75" style="326" customWidth="1"/>
    <col min="7478" max="7478" width="12.75" style="326" customWidth="1"/>
    <col min="7479" max="7479" width="9" style="326"/>
    <col min="7480" max="7480" width="10.75" style="326" bestFit="1" customWidth="1"/>
    <col min="7481" max="7481" width="11.5" style="326" customWidth="1"/>
    <col min="7482" max="7482" width="13.625" style="326" customWidth="1"/>
    <col min="7483" max="7483" width="10.625" style="326" customWidth="1"/>
    <col min="7484" max="7484" width="10.75" style="326" bestFit="1" customWidth="1"/>
    <col min="7485" max="7485" width="12.375" style="326" customWidth="1"/>
    <col min="7486" max="7488" width="9" style="326"/>
    <col min="7489" max="7489" width="15.75" style="326" customWidth="1"/>
    <col min="7490" max="7490" width="9" style="326"/>
    <col min="7491" max="7491" width="10.75" style="326" bestFit="1" customWidth="1"/>
    <col min="7492" max="7492" width="12.625" style="326" customWidth="1"/>
    <col min="7493" max="7495" width="9" style="326"/>
    <col min="7496" max="7496" width="13.625" style="326" customWidth="1"/>
    <col min="7497" max="7497" width="9" style="326"/>
    <col min="7498" max="7498" width="10.75" style="326" bestFit="1" customWidth="1"/>
    <col min="7499" max="7499" width="12.5" style="326" customWidth="1"/>
    <col min="7500" max="7502" width="9" style="326"/>
    <col min="7503" max="7503" width="12.875" style="326" customWidth="1"/>
    <col min="7504" max="7504" width="9" style="326"/>
    <col min="7505" max="7505" width="10.75" style="326" bestFit="1" customWidth="1"/>
    <col min="7506" max="7506" width="13.875" style="326" customWidth="1"/>
    <col min="7507" max="7509" width="9" style="326"/>
    <col min="7510" max="7510" width="14.125" style="326" customWidth="1"/>
    <col min="7511" max="7511" width="9" style="326"/>
    <col min="7512" max="7512" width="10.75" style="326" bestFit="1" customWidth="1"/>
    <col min="7513" max="7513" width="13.25" style="326" customWidth="1"/>
    <col min="7514" max="7516" width="9" style="326"/>
    <col min="7517" max="7517" width="13.25" style="326" customWidth="1"/>
    <col min="7518" max="7518" width="9" style="326"/>
    <col min="7519" max="7519" width="10.75" style="326" bestFit="1" customWidth="1"/>
    <col min="7520" max="7520" width="13.875" style="326" customWidth="1"/>
    <col min="7521" max="7523" width="9" style="326"/>
    <col min="7524" max="7524" width="13.625" style="326" customWidth="1"/>
    <col min="7525" max="7525" width="9" style="326"/>
    <col min="7526" max="7526" width="10.75" style="326" bestFit="1" customWidth="1"/>
    <col min="7527" max="7527" width="13" style="326" customWidth="1"/>
    <col min="7528" max="7674" width="9" style="326"/>
    <col min="7675" max="7676" width="12.125" style="326" customWidth="1"/>
    <col min="7677" max="7679" width="13" style="326" customWidth="1"/>
    <col min="7680" max="7680" width="12.875" style="326" customWidth="1"/>
    <col min="7681" max="7681" width="13" style="326" customWidth="1"/>
    <col min="7682" max="7682" width="13.125" style="326" customWidth="1"/>
    <col min="7683" max="7684" width="12.125" style="326" customWidth="1"/>
    <col min="7685" max="7685" width="14.375" style="326" bestFit="1" customWidth="1"/>
    <col min="7686" max="7686" width="11" style="326" customWidth="1"/>
    <col min="7687" max="7687" width="10" style="326" customWidth="1"/>
    <col min="7688" max="7688" width="10.875" style="326" customWidth="1"/>
    <col min="7689" max="7689" width="13.75" style="326" customWidth="1"/>
    <col min="7690" max="7690" width="10" style="326" customWidth="1"/>
    <col min="7691" max="7691" width="13.25" style="326" customWidth="1"/>
    <col min="7692" max="7692" width="14.375" style="326" customWidth="1"/>
    <col min="7693" max="7693" width="10" style="326" customWidth="1"/>
    <col min="7694" max="7694" width="10.875" style="326" customWidth="1"/>
    <col min="7695" max="7695" width="11.375" style="326" customWidth="1"/>
    <col min="7696" max="7696" width="15.375" style="326" customWidth="1"/>
    <col min="7697" max="7698" width="10.75" style="326" customWidth="1"/>
    <col min="7699" max="7699" width="14.375" style="326" customWidth="1"/>
    <col min="7700" max="7700" width="10.75" style="326" customWidth="1"/>
    <col min="7701" max="7701" width="11.75" style="326" customWidth="1"/>
    <col min="7702" max="7702" width="10" style="326" customWidth="1"/>
    <col min="7703" max="7703" width="15.375" style="326" customWidth="1"/>
    <col min="7704" max="7704" width="10" style="326" customWidth="1"/>
    <col min="7705" max="7705" width="10.75" style="326" customWidth="1"/>
    <col min="7706" max="7706" width="14.875" style="326" customWidth="1"/>
    <col min="7707" max="7707" width="11.5" style="326" customWidth="1"/>
    <col min="7708" max="7708" width="10" style="326" customWidth="1"/>
    <col min="7709" max="7709" width="10.75" style="326" customWidth="1"/>
    <col min="7710" max="7710" width="13.5" style="326" customWidth="1"/>
    <col min="7711" max="7711" width="9" style="326"/>
    <col min="7712" max="7712" width="10.75" style="326" bestFit="1" customWidth="1"/>
    <col min="7713" max="7713" width="13.75" style="326" customWidth="1"/>
    <col min="7714" max="7714" width="9" style="326"/>
    <col min="7715" max="7715" width="10.625" style="326" customWidth="1"/>
    <col min="7716" max="7716" width="9" style="326"/>
    <col min="7717" max="7717" width="14.25" style="326" customWidth="1"/>
    <col min="7718" max="7718" width="10.75" style="326" bestFit="1" customWidth="1"/>
    <col min="7719" max="7719" width="11.625" style="326" customWidth="1"/>
    <col min="7720" max="7720" width="13.75" style="326" customWidth="1"/>
    <col min="7721" max="7721" width="10.625" style="326" customWidth="1"/>
    <col min="7722" max="7723" width="9" style="326"/>
    <col min="7724" max="7724" width="14.125" style="326" customWidth="1"/>
    <col min="7725" max="7725" width="11" style="326" customWidth="1"/>
    <col min="7726" max="7726" width="10.75" style="326" bestFit="1" customWidth="1"/>
    <col min="7727" max="7727" width="13.5" style="326" customWidth="1"/>
    <col min="7728" max="7729" width="9" style="326"/>
    <col min="7730" max="7730" width="10.75" style="326" bestFit="1" customWidth="1"/>
    <col min="7731" max="7731" width="14" style="326" customWidth="1"/>
    <col min="7732" max="7732" width="9" style="326"/>
    <col min="7733" max="7733" width="10.75" style="326" customWidth="1"/>
    <col min="7734" max="7734" width="12.75" style="326" customWidth="1"/>
    <col min="7735" max="7735" width="9" style="326"/>
    <col min="7736" max="7736" width="10.75" style="326" bestFit="1" customWidth="1"/>
    <col min="7737" max="7737" width="11.5" style="326" customWidth="1"/>
    <col min="7738" max="7738" width="13.625" style="326" customWidth="1"/>
    <col min="7739" max="7739" width="10.625" style="326" customWidth="1"/>
    <col min="7740" max="7740" width="10.75" style="326" bestFit="1" customWidth="1"/>
    <col min="7741" max="7741" width="12.375" style="326" customWidth="1"/>
    <col min="7742" max="7744" width="9" style="326"/>
    <col min="7745" max="7745" width="15.75" style="326" customWidth="1"/>
    <col min="7746" max="7746" width="9" style="326"/>
    <col min="7747" max="7747" width="10.75" style="326" bestFit="1" customWidth="1"/>
    <col min="7748" max="7748" width="12.625" style="326" customWidth="1"/>
    <col min="7749" max="7751" width="9" style="326"/>
    <col min="7752" max="7752" width="13.625" style="326" customWidth="1"/>
    <col min="7753" max="7753" width="9" style="326"/>
    <col min="7754" max="7754" width="10.75" style="326" bestFit="1" customWidth="1"/>
    <col min="7755" max="7755" width="12.5" style="326" customWidth="1"/>
    <col min="7756" max="7758" width="9" style="326"/>
    <col min="7759" max="7759" width="12.875" style="326" customWidth="1"/>
    <col min="7760" max="7760" width="9" style="326"/>
    <col min="7761" max="7761" width="10.75" style="326" bestFit="1" customWidth="1"/>
    <col min="7762" max="7762" width="13.875" style="326" customWidth="1"/>
    <col min="7763" max="7765" width="9" style="326"/>
    <col min="7766" max="7766" width="14.125" style="326" customWidth="1"/>
    <col min="7767" max="7767" width="9" style="326"/>
    <col min="7768" max="7768" width="10.75" style="326" bestFit="1" customWidth="1"/>
    <col min="7769" max="7769" width="13.25" style="326" customWidth="1"/>
    <col min="7770" max="7772" width="9" style="326"/>
    <col min="7773" max="7773" width="13.25" style="326" customWidth="1"/>
    <col min="7774" max="7774" width="9" style="326"/>
    <col min="7775" max="7775" width="10.75" style="326" bestFit="1" customWidth="1"/>
    <col min="7776" max="7776" width="13.875" style="326" customWidth="1"/>
    <col min="7777" max="7779" width="9" style="326"/>
    <col min="7780" max="7780" width="13.625" style="326" customWidth="1"/>
    <col min="7781" max="7781" width="9" style="326"/>
    <col min="7782" max="7782" width="10.75" style="326" bestFit="1" customWidth="1"/>
    <col min="7783" max="7783" width="13" style="326" customWidth="1"/>
    <col min="7784" max="7930" width="9" style="326"/>
    <col min="7931" max="7932" width="12.125" style="326" customWidth="1"/>
    <col min="7933" max="7935" width="13" style="326" customWidth="1"/>
    <col min="7936" max="7936" width="12.875" style="326" customWidth="1"/>
    <col min="7937" max="7937" width="13" style="326" customWidth="1"/>
    <col min="7938" max="7938" width="13.125" style="326" customWidth="1"/>
    <col min="7939" max="7940" width="12.125" style="326" customWidth="1"/>
    <col min="7941" max="7941" width="14.375" style="326" bestFit="1" customWidth="1"/>
    <col min="7942" max="7942" width="11" style="326" customWidth="1"/>
    <col min="7943" max="7943" width="10" style="326" customWidth="1"/>
    <col min="7944" max="7944" width="10.875" style="326" customWidth="1"/>
    <col min="7945" max="7945" width="13.75" style="326" customWidth="1"/>
    <col min="7946" max="7946" width="10" style="326" customWidth="1"/>
    <col min="7947" max="7947" width="13.25" style="326" customWidth="1"/>
    <col min="7948" max="7948" width="14.375" style="326" customWidth="1"/>
    <col min="7949" max="7949" width="10" style="326" customWidth="1"/>
    <col min="7950" max="7950" width="10.875" style="326" customWidth="1"/>
    <col min="7951" max="7951" width="11.375" style="326" customWidth="1"/>
    <col min="7952" max="7952" width="15.375" style="326" customWidth="1"/>
    <col min="7953" max="7954" width="10.75" style="326" customWidth="1"/>
    <col min="7955" max="7955" width="14.375" style="326" customWidth="1"/>
    <col min="7956" max="7956" width="10.75" style="326" customWidth="1"/>
    <col min="7957" max="7957" width="11.75" style="326" customWidth="1"/>
    <col min="7958" max="7958" width="10" style="326" customWidth="1"/>
    <col min="7959" max="7959" width="15.375" style="326" customWidth="1"/>
    <col min="7960" max="7960" width="10" style="326" customWidth="1"/>
    <col min="7961" max="7961" width="10.75" style="326" customWidth="1"/>
    <col min="7962" max="7962" width="14.875" style="326" customWidth="1"/>
    <col min="7963" max="7963" width="11.5" style="326" customWidth="1"/>
    <col min="7964" max="7964" width="10" style="326" customWidth="1"/>
    <col min="7965" max="7965" width="10.75" style="326" customWidth="1"/>
    <col min="7966" max="7966" width="13.5" style="326" customWidth="1"/>
    <col min="7967" max="7967" width="9" style="326"/>
    <col min="7968" max="7968" width="10.75" style="326" bestFit="1" customWidth="1"/>
    <col min="7969" max="7969" width="13.75" style="326" customWidth="1"/>
    <col min="7970" max="7970" width="9" style="326"/>
    <col min="7971" max="7971" width="10.625" style="326" customWidth="1"/>
    <col min="7972" max="7972" width="9" style="326"/>
    <col min="7973" max="7973" width="14.25" style="326" customWidth="1"/>
    <col min="7974" max="7974" width="10.75" style="326" bestFit="1" customWidth="1"/>
    <col min="7975" max="7975" width="11.625" style="326" customWidth="1"/>
    <col min="7976" max="7976" width="13.75" style="326" customWidth="1"/>
    <col min="7977" max="7977" width="10.625" style="326" customWidth="1"/>
    <col min="7978" max="7979" width="9" style="326"/>
    <col min="7980" max="7980" width="14.125" style="326" customWidth="1"/>
    <col min="7981" max="7981" width="11" style="326" customWidth="1"/>
    <col min="7982" max="7982" width="10.75" style="326" bestFit="1" customWidth="1"/>
    <col min="7983" max="7983" width="13.5" style="326" customWidth="1"/>
    <col min="7984" max="7985" width="9" style="326"/>
    <col min="7986" max="7986" width="10.75" style="326" bestFit="1" customWidth="1"/>
    <col min="7987" max="7987" width="14" style="326" customWidth="1"/>
    <col min="7988" max="7988" width="9" style="326"/>
    <col min="7989" max="7989" width="10.75" style="326" customWidth="1"/>
    <col min="7990" max="7990" width="12.75" style="326" customWidth="1"/>
    <col min="7991" max="7991" width="9" style="326"/>
    <col min="7992" max="7992" width="10.75" style="326" bestFit="1" customWidth="1"/>
    <col min="7993" max="7993" width="11.5" style="326" customWidth="1"/>
    <col min="7994" max="7994" width="13.625" style="326" customWidth="1"/>
    <col min="7995" max="7995" width="10.625" style="326" customWidth="1"/>
    <col min="7996" max="7996" width="10.75" style="326" bestFit="1" customWidth="1"/>
    <col min="7997" max="7997" width="12.375" style="326" customWidth="1"/>
    <col min="7998" max="8000" width="9" style="326"/>
    <col min="8001" max="8001" width="15.75" style="326" customWidth="1"/>
    <col min="8002" max="8002" width="9" style="326"/>
    <col min="8003" max="8003" width="10.75" style="326" bestFit="1" customWidth="1"/>
    <col min="8004" max="8004" width="12.625" style="326" customWidth="1"/>
    <col min="8005" max="8007" width="9" style="326"/>
    <col min="8008" max="8008" width="13.625" style="326" customWidth="1"/>
    <col min="8009" max="8009" width="9" style="326"/>
    <col min="8010" max="8010" width="10.75" style="326" bestFit="1" customWidth="1"/>
    <col min="8011" max="8011" width="12.5" style="326" customWidth="1"/>
    <col min="8012" max="8014" width="9" style="326"/>
    <col min="8015" max="8015" width="12.875" style="326" customWidth="1"/>
    <col min="8016" max="8016" width="9" style="326"/>
    <col min="8017" max="8017" width="10.75" style="326" bestFit="1" customWidth="1"/>
    <col min="8018" max="8018" width="13.875" style="326" customWidth="1"/>
    <col min="8019" max="8021" width="9" style="326"/>
    <col min="8022" max="8022" width="14.125" style="326" customWidth="1"/>
    <col min="8023" max="8023" width="9" style="326"/>
    <col min="8024" max="8024" width="10.75" style="326" bestFit="1" customWidth="1"/>
    <col min="8025" max="8025" width="13.25" style="326" customWidth="1"/>
    <col min="8026" max="8028" width="9" style="326"/>
    <col min="8029" max="8029" width="13.25" style="326" customWidth="1"/>
    <col min="8030" max="8030" width="9" style="326"/>
    <col min="8031" max="8031" width="10.75" style="326" bestFit="1" customWidth="1"/>
    <col min="8032" max="8032" width="13.875" style="326" customWidth="1"/>
    <col min="8033" max="8035" width="9" style="326"/>
    <col min="8036" max="8036" width="13.625" style="326" customWidth="1"/>
    <col min="8037" max="8037" width="9" style="326"/>
    <col min="8038" max="8038" width="10.75" style="326" bestFit="1" customWidth="1"/>
    <col min="8039" max="8039" width="13" style="326" customWidth="1"/>
    <col min="8040" max="8186" width="9" style="326"/>
    <col min="8187" max="8188" width="12.125" style="326" customWidth="1"/>
    <col min="8189" max="8191" width="13" style="326" customWidth="1"/>
    <col min="8192" max="8192" width="12.875" style="326" customWidth="1"/>
    <col min="8193" max="8193" width="13" style="326" customWidth="1"/>
    <col min="8194" max="8194" width="13.125" style="326" customWidth="1"/>
    <col min="8195" max="8196" width="12.125" style="326" customWidth="1"/>
    <col min="8197" max="8197" width="14.375" style="326" bestFit="1" customWidth="1"/>
    <col min="8198" max="8198" width="11" style="326" customWidth="1"/>
    <col min="8199" max="8199" width="10" style="326" customWidth="1"/>
    <col min="8200" max="8200" width="10.875" style="326" customWidth="1"/>
    <col min="8201" max="8201" width="13.75" style="326" customWidth="1"/>
    <col min="8202" max="8202" width="10" style="326" customWidth="1"/>
    <col min="8203" max="8203" width="13.25" style="326" customWidth="1"/>
    <col min="8204" max="8204" width="14.375" style="326" customWidth="1"/>
    <col min="8205" max="8205" width="10" style="326" customWidth="1"/>
    <col min="8206" max="8206" width="10.875" style="326" customWidth="1"/>
    <col min="8207" max="8207" width="11.375" style="326" customWidth="1"/>
    <col min="8208" max="8208" width="15.375" style="326" customWidth="1"/>
    <col min="8209" max="8210" width="10.75" style="326" customWidth="1"/>
    <col min="8211" max="8211" width="14.375" style="326" customWidth="1"/>
    <col min="8212" max="8212" width="10.75" style="326" customWidth="1"/>
    <col min="8213" max="8213" width="11.75" style="326" customWidth="1"/>
    <col min="8214" max="8214" width="10" style="326" customWidth="1"/>
    <col min="8215" max="8215" width="15.375" style="326" customWidth="1"/>
    <col min="8216" max="8216" width="10" style="326" customWidth="1"/>
    <col min="8217" max="8217" width="10.75" style="326" customWidth="1"/>
    <col min="8218" max="8218" width="14.875" style="326" customWidth="1"/>
    <col min="8219" max="8219" width="11.5" style="326" customWidth="1"/>
    <col min="8220" max="8220" width="10" style="326" customWidth="1"/>
    <col min="8221" max="8221" width="10.75" style="326" customWidth="1"/>
    <col min="8222" max="8222" width="13.5" style="326" customWidth="1"/>
    <col min="8223" max="8223" width="9" style="326"/>
    <col min="8224" max="8224" width="10.75" style="326" bestFit="1" customWidth="1"/>
    <col min="8225" max="8225" width="13.75" style="326" customWidth="1"/>
    <col min="8226" max="8226" width="9" style="326"/>
    <col min="8227" max="8227" width="10.625" style="326" customWidth="1"/>
    <col min="8228" max="8228" width="9" style="326"/>
    <col min="8229" max="8229" width="14.25" style="326" customWidth="1"/>
    <col min="8230" max="8230" width="10.75" style="326" bestFit="1" customWidth="1"/>
    <col min="8231" max="8231" width="11.625" style="326" customWidth="1"/>
    <col min="8232" max="8232" width="13.75" style="326" customWidth="1"/>
    <col min="8233" max="8233" width="10.625" style="326" customWidth="1"/>
    <col min="8234" max="8235" width="9" style="326"/>
    <col min="8236" max="8236" width="14.125" style="326" customWidth="1"/>
    <col min="8237" max="8237" width="11" style="326" customWidth="1"/>
    <col min="8238" max="8238" width="10.75" style="326" bestFit="1" customWidth="1"/>
    <col min="8239" max="8239" width="13.5" style="326" customWidth="1"/>
    <col min="8240" max="8241" width="9" style="326"/>
    <col min="8242" max="8242" width="10.75" style="326" bestFit="1" customWidth="1"/>
    <col min="8243" max="8243" width="14" style="326" customWidth="1"/>
    <col min="8244" max="8244" width="9" style="326"/>
    <col min="8245" max="8245" width="10.75" style="326" customWidth="1"/>
    <col min="8246" max="8246" width="12.75" style="326" customWidth="1"/>
    <col min="8247" max="8247" width="9" style="326"/>
    <col min="8248" max="8248" width="10.75" style="326" bestFit="1" customWidth="1"/>
    <col min="8249" max="8249" width="11.5" style="326" customWidth="1"/>
    <col min="8250" max="8250" width="13.625" style="326" customWidth="1"/>
    <col min="8251" max="8251" width="10.625" style="326" customWidth="1"/>
    <col min="8252" max="8252" width="10.75" style="326" bestFit="1" customWidth="1"/>
    <col min="8253" max="8253" width="12.375" style="326" customWidth="1"/>
    <col min="8254" max="8256" width="9" style="326"/>
    <col min="8257" max="8257" width="15.75" style="326" customWidth="1"/>
    <col min="8258" max="8258" width="9" style="326"/>
    <col min="8259" max="8259" width="10.75" style="326" bestFit="1" customWidth="1"/>
    <col min="8260" max="8260" width="12.625" style="326" customWidth="1"/>
    <col min="8261" max="8263" width="9" style="326"/>
    <col min="8264" max="8264" width="13.625" style="326" customWidth="1"/>
    <col min="8265" max="8265" width="9" style="326"/>
    <col min="8266" max="8266" width="10.75" style="326" bestFit="1" customWidth="1"/>
    <col min="8267" max="8267" width="12.5" style="326" customWidth="1"/>
    <col min="8268" max="8270" width="9" style="326"/>
    <col min="8271" max="8271" width="12.875" style="326" customWidth="1"/>
    <col min="8272" max="8272" width="9" style="326"/>
    <col min="8273" max="8273" width="10.75" style="326" bestFit="1" customWidth="1"/>
    <col min="8274" max="8274" width="13.875" style="326" customWidth="1"/>
    <col min="8275" max="8277" width="9" style="326"/>
    <col min="8278" max="8278" width="14.125" style="326" customWidth="1"/>
    <col min="8279" max="8279" width="9" style="326"/>
    <col min="8280" max="8280" width="10.75" style="326" bestFit="1" customWidth="1"/>
    <col min="8281" max="8281" width="13.25" style="326" customWidth="1"/>
    <col min="8282" max="8284" width="9" style="326"/>
    <col min="8285" max="8285" width="13.25" style="326" customWidth="1"/>
    <col min="8286" max="8286" width="9" style="326"/>
    <col min="8287" max="8287" width="10.75" style="326" bestFit="1" customWidth="1"/>
    <col min="8288" max="8288" width="13.875" style="326" customWidth="1"/>
    <col min="8289" max="8291" width="9" style="326"/>
    <col min="8292" max="8292" width="13.625" style="326" customWidth="1"/>
    <col min="8293" max="8293" width="9" style="326"/>
    <col min="8294" max="8294" width="10.75" style="326" bestFit="1" customWidth="1"/>
    <col min="8295" max="8295" width="13" style="326" customWidth="1"/>
    <col min="8296" max="8442" width="9" style="326"/>
    <col min="8443" max="8444" width="12.125" style="326" customWidth="1"/>
    <col min="8445" max="8447" width="13" style="326" customWidth="1"/>
    <col min="8448" max="8448" width="12.875" style="326" customWidth="1"/>
    <col min="8449" max="8449" width="13" style="326" customWidth="1"/>
    <col min="8450" max="8450" width="13.125" style="326" customWidth="1"/>
    <col min="8451" max="8452" width="12.125" style="326" customWidth="1"/>
    <col min="8453" max="8453" width="14.375" style="326" bestFit="1" customWidth="1"/>
    <col min="8454" max="8454" width="11" style="326" customWidth="1"/>
    <col min="8455" max="8455" width="10" style="326" customWidth="1"/>
    <col min="8456" max="8456" width="10.875" style="326" customWidth="1"/>
    <col min="8457" max="8457" width="13.75" style="326" customWidth="1"/>
    <col min="8458" max="8458" width="10" style="326" customWidth="1"/>
    <col min="8459" max="8459" width="13.25" style="326" customWidth="1"/>
    <col min="8460" max="8460" width="14.375" style="326" customWidth="1"/>
    <col min="8461" max="8461" width="10" style="326" customWidth="1"/>
    <col min="8462" max="8462" width="10.875" style="326" customWidth="1"/>
    <col min="8463" max="8463" width="11.375" style="326" customWidth="1"/>
    <col min="8464" max="8464" width="15.375" style="326" customWidth="1"/>
    <col min="8465" max="8466" width="10.75" style="326" customWidth="1"/>
    <col min="8467" max="8467" width="14.375" style="326" customWidth="1"/>
    <col min="8468" max="8468" width="10.75" style="326" customWidth="1"/>
    <col min="8469" max="8469" width="11.75" style="326" customWidth="1"/>
    <col min="8470" max="8470" width="10" style="326" customWidth="1"/>
    <col min="8471" max="8471" width="15.375" style="326" customWidth="1"/>
    <col min="8472" max="8472" width="10" style="326" customWidth="1"/>
    <col min="8473" max="8473" width="10.75" style="326" customWidth="1"/>
    <col min="8474" max="8474" width="14.875" style="326" customWidth="1"/>
    <col min="8475" max="8475" width="11.5" style="326" customWidth="1"/>
    <col min="8476" max="8476" width="10" style="326" customWidth="1"/>
    <col min="8477" max="8477" width="10.75" style="326" customWidth="1"/>
    <col min="8478" max="8478" width="13.5" style="326" customWidth="1"/>
    <col min="8479" max="8479" width="9" style="326"/>
    <col min="8480" max="8480" width="10.75" style="326" bestFit="1" customWidth="1"/>
    <col min="8481" max="8481" width="13.75" style="326" customWidth="1"/>
    <col min="8482" max="8482" width="9" style="326"/>
    <col min="8483" max="8483" width="10.625" style="326" customWidth="1"/>
    <col min="8484" max="8484" width="9" style="326"/>
    <col min="8485" max="8485" width="14.25" style="326" customWidth="1"/>
    <col min="8486" max="8486" width="10.75" style="326" bestFit="1" customWidth="1"/>
    <col min="8487" max="8487" width="11.625" style="326" customWidth="1"/>
    <col min="8488" max="8488" width="13.75" style="326" customWidth="1"/>
    <col min="8489" max="8489" width="10.625" style="326" customWidth="1"/>
    <col min="8490" max="8491" width="9" style="326"/>
    <col min="8492" max="8492" width="14.125" style="326" customWidth="1"/>
    <col min="8493" max="8493" width="11" style="326" customWidth="1"/>
    <col min="8494" max="8494" width="10.75" style="326" bestFit="1" customWidth="1"/>
    <col min="8495" max="8495" width="13.5" style="326" customWidth="1"/>
    <col min="8496" max="8497" width="9" style="326"/>
    <col min="8498" max="8498" width="10.75" style="326" bestFit="1" customWidth="1"/>
    <col min="8499" max="8499" width="14" style="326" customWidth="1"/>
    <col min="8500" max="8500" width="9" style="326"/>
    <col min="8501" max="8501" width="10.75" style="326" customWidth="1"/>
    <col min="8502" max="8502" width="12.75" style="326" customWidth="1"/>
    <col min="8503" max="8503" width="9" style="326"/>
    <col min="8504" max="8504" width="10.75" style="326" bestFit="1" customWidth="1"/>
    <col min="8505" max="8505" width="11.5" style="326" customWidth="1"/>
    <col min="8506" max="8506" width="13.625" style="326" customWidth="1"/>
    <col min="8507" max="8507" width="10.625" style="326" customWidth="1"/>
    <col min="8508" max="8508" width="10.75" style="326" bestFit="1" customWidth="1"/>
    <col min="8509" max="8509" width="12.375" style="326" customWidth="1"/>
    <col min="8510" max="8512" width="9" style="326"/>
    <col min="8513" max="8513" width="15.75" style="326" customWidth="1"/>
    <col min="8514" max="8514" width="9" style="326"/>
    <col min="8515" max="8515" width="10.75" style="326" bestFit="1" customWidth="1"/>
    <col min="8516" max="8516" width="12.625" style="326" customWidth="1"/>
    <col min="8517" max="8519" width="9" style="326"/>
    <col min="8520" max="8520" width="13.625" style="326" customWidth="1"/>
    <col min="8521" max="8521" width="9" style="326"/>
    <col min="8522" max="8522" width="10.75" style="326" bestFit="1" customWidth="1"/>
    <col min="8523" max="8523" width="12.5" style="326" customWidth="1"/>
    <col min="8524" max="8526" width="9" style="326"/>
    <col min="8527" max="8527" width="12.875" style="326" customWidth="1"/>
    <col min="8528" max="8528" width="9" style="326"/>
    <col min="8529" max="8529" width="10.75" style="326" bestFit="1" customWidth="1"/>
    <col min="8530" max="8530" width="13.875" style="326" customWidth="1"/>
    <col min="8531" max="8533" width="9" style="326"/>
    <col min="8534" max="8534" width="14.125" style="326" customWidth="1"/>
    <col min="8535" max="8535" width="9" style="326"/>
    <col min="8536" max="8536" width="10.75" style="326" bestFit="1" customWidth="1"/>
    <col min="8537" max="8537" width="13.25" style="326" customWidth="1"/>
    <col min="8538" max="8540" width="9" style="326"/>
    <col min="8541" max="8541" width="13.25" style="326" customWidth="1"/>
    <col min="8542" max="8542" width="9" style="326"/>
    <col min="8543" max="8543" width="10.75" style="326" bestFit="1" customWidth="1"/>
    <col min="8544" max="8544" width="13.875" style="326" customWidth="1"/>
    <col min="8545" max="8547" width="9" style="326"/>
    <col min="8548" max="8548" width="13.625" style="326" customWidth="1"/>
    <col min="8549" max="8549" width="9" style="326"/>
    <col min="8550" max="8550" width="10.75" style="326" bestFit="1" customWidth="1"/>
    <col min="8551" max="8551" width="13" style="326" customWidth="1"/>
    <col min="8552" max="8698" width="9" style="326"/>
    <col min="8699" max="8700" width="12.125" style="326" customWidth="1"/>
    <col min="8701" max="8703" width="13" style="326" customWidth="1"/>
    <col min="8704" max="8704" width="12.875" style="326" customWidth="1"/>
    <col min="8705" max="8705" width="13" style="326" customWidth="1"/>
    <col min="8706" max="8706" width="13.125" style="326" customWidth="1"/>
    <col min="8707" max="8708" width="12.125" style="326" customWidth="1"/>
    <col min="8709" max="8709" width="14.375" style="326" bestFit="1" customWidth="1"/>
    <col min="8710" max="8710" width="11" style="326" customWidth="1"/>
    <col min="8711" max="8711" width="10" style="326" customWidth="1"/>
    <col min="8712" max="8712" width="10.875" style="326" customWidth="1"/>
    <col min="8713" max="8713" width="13.75" style="326" customWidth="1"/>
    <col min="8714" max="8714" width="10" style="326" customWidth="1"/>
    <col min="8715" max="8715" width="13.25" style="326" customWidth="1"/>
    <col min="8716" max="8716" width="14.375" style="326" customWidth="1"/>
    <col min="8717" max="8717" width="10" style="326" customWidth="1"/>
    <col min="8718" max="8718" width="10.875" style="326" customWidth="1"/>
    <col min="8719" max="8719" width="11.375" style="326" customWidth="1"/>
    <col min="8720" max="8720" width="15.375" style="326" customWidth="1"/>
    <col min="8721" max="8722" width="10.75" style="326" customWidth="1"/>
    <col min="8723" max="8723" width="14.375" style="326" customWidth="1"/>
    <col min="8724" max="8724" width="10.75" style="326" customWidth="1"/>
    <col min="8725" max="8725" width="11.75" style="326" customWidth="1"/>
    <col min="8726" max="8726" width="10" style="326" customWidth="1"/>
    <col min="8727" max="8727" width="15.375" style="326" customWidth="1"/>
    <col min="8728" max="8728" width="10" style="326" customWidth="1"/>
    <col min="8729" max="8729" width="10.75" style="326" customWidth="1"/>
    <col min="8730" max="8730" width="14.875" style="326" customWidth="1"/>
    <col min="8731" max="8731" width="11.5" style="326" customWidth="1"/>
    <col min="8732" max="8732" width="10" style="326" customWidth="1"/>
    <col min="8733" max="8733" width="10.75" style="326" customWidth="1"/>
    <col min="8734" max="8734" width="13.5" style="326" customWidth="1"/>
    <col min="8735" max="8735" width="9" style="326"/>
    <col min="8736" max="8736" width="10.75" style="326" bestFit="1" customWidth="1"/>
    <col min="8737" max="8737" width="13.75" style="326" customWidth="1"/>
    <col min="8738" max="8738" width="9" style="326"/>
    <col min="8739" max="8739" width="10.625" style="326" customWidth="1"/>
    <col min="8740" max="8740" width="9" style="326"/>
    <col min="8741" max="8741" width="14.25" style="326" customWidth="1"/>
    <col min="8742" max="8742" width="10.75" style="326" bestFit="1" customWidth="1"/>
    <col min="8743" max="8743" width="11.625" style="326" customWidth="1"/>
    <col min="8744" max="8744" width="13.75" style="326" customWidth="1"/>
    <col min="8745" max="8745" width="10.625" style="326" customWidth="1"/>
    <col min="8746" max="8747" width="9" style="326"/>
    <col min="8748" max="8748" width="14.125" style="326" customWidth="1"/>
    <col min="8749" max="8749" width="11" style="326" customWidth="1"/>
    <col min="8750" max="8750" width="10.75" style="326" bestFit="1" customWidth="1"/>
    <col min="8751" max="8751" width="13.5" style="326" customWidth="1"/>
    <col min="8752" max="8753" width="9" style="326"/>
    <col min="8754" max="8754" width="10.75" style="326" bestFit="1" customWidth="1"/>
    <col min="8755" max="8755" width="14" style="326" customWidth="1"/>
    <col min="8756" max="8756" width="9" style="326"/>
    <col min="8757" max="8757" width="10.75" style="326" customWidth="1"/>
    <col min="8758" max="8758" width="12.75" style="326" customWidth="1"/>
    <col min="8759" max="8759" width="9" style="326"/>
    <col min="8760" max="8760" width="10.75" style="326" bestFit="1" customWidth="1"/>
    <col min="8761" max="8761" width="11.5" style="326" customWidth="1"/>
    <col min="8762" max="8762" width="13.625" style="326" customWidth="1"/>
    <col min="8763" max="8763" width="10.625" style="326" customWidth="1"/>
    <col min="8764" max="8764" width="10.75" style="326" bestFit="1" customWidth="1"/>
    <col min="8765" max="8765" width="12.375" style="326" customWidth="1"/>
    <col min="8766" max="8768" width="9" style="326"/>
    <col min="8769" max="8769" width="15.75" style="326" customWidth="1"/>
    <col min="8770" max="8770" width="9" style="326"/>
    <col min="8771" max="8771" width="10.75" style="326" bestFit="1" customWidth="1"/>
    <col min="8772" max="8772" width="12.625" style="326" customWidth="1"/>
    <col min="8773" max="8775" width="9" style="326"/>
    <col min="8776" max="8776" width="13.625" style="326" customWidth="1"/>
    <col min="8777" max="8777" width="9" style="326"/>
    <col min="8778" max="8778" width="10.75" style="326" bestFit="1" customWidth="1"/>
    <col min="8779" max="8779" width="12.5" style="326" customWidth="1"/>
    <col min="8780" max="8782" width="9" style="326"/>
    <col min="8783" max="8783" width="12.875" style="326" customWidth="1"/>
    <col min="8784" max="8784" width="9" style="326"/>
    <col min="8785" max="8785" width="10.75" style="326" bestFit="1" customWidth="1"/>
    <col min="8786" max="8786" width="13.875" style="326" customWidth="1"/>
    <col min="8787" max="8789" width="9" style="326"/>
    <col min="8790" max="8790" width="14.125" style="326" customWidth="1"/>
    <col min="8791" max="8791" width="9" style="326"/>
    <col min="8792" max="8792" width="10.75" style="326" bestFit="1" customWidth="1"/>
    <col min="8793" max="8793" width="13.25" style="326" customWidth="1"/>
    <col min="8794" max="8796" width="9" style="326"/>
    <col min="8797" max="8797" width="13.25" style="326" customWidth="1"/>
    <col min="8798" max="8798" width="9" style="326"/>
    <col min="8799" max="8799" width="10.75" style="326" bestFit="1" customWidth="1"/>
    <col min="8800" max="8800" width="13.875" style="326" customWidth="1"/>
    <col min="8801" max="8803" width="9" style="326"/>
    <col min="8804" max="8804" width="13.625" style="326" customWidth="1"/>
    <col min="8805" max="8805" width="9" style="326"/>
    <col min="8806" max="8806" width="10.75" style="326" bestFit="1" customWidth="1"/>
    <col min="8807" max="8807" width="13" style="326" customWidth="1"/>
    <col min="8808" max="8954" width="9" style="326"/>
    <col min="8955" max="8956" width="12.125" style="326" customWidth="1"/>
    <col min="8957" max="8959" width="13" style="326" customWidth="1"/>
    <col min="8960" max="8960" width="12.875" style="326" customWidth="1"/>
    <col min="8961" max="8961" width="13" style="326" customWidth="1"/>
    <col min="8962" max="8962" width="13.125" style="326" customWidth="1"/>
    <col min="8963" max="8964" width="12.125" style="326" customWidth="1"/>
    <col min="8965" max="8965" width="14.375" style="326" bestFit="1" customWidth="1"/>
    <col min="8966" max="8966" width="11" style="326" customWidth="1"/>
    <col min="8967" max="8967" width="10" style="326" customWidth="1"/>
    <col min="8968" max="8968" width="10.875" style="326" customWidth="1"/>
    <col min="8969" max="8969" width="13.75" style="326" customWidth="1"/>
    <col min="8970" max="8970" width="10" style="326" customWidth="1"/>
    <col min="8971" max="8971" width="13.25" style="326" customWidth="1"/>
    <col min="8972" max="8972" width="14.375" style="326" customWidth="1"/>
    <col min="8973" max="8973" width="10" style="326" customWidth="1"/>
    <col min="8974" max="8974" width="10.875" style="326" customWidth="1"/>
    <col min="8975" max="8975" width="11.375" style="326" customWidth="1"/>
    <col min="8976" max="8976" width="15.375" style="326" customWidth="1"/>
    <col min="8977" max="8978" width="10.75" style="326" customWidth="1"/>
    <col min="8979" max="8979" width="14.375" style="326" customWidth="1"/>
    <col min="8980" max="8980" width="10.75" style="326" customWidth="1"/>
    <col min="8981" max="8981" width="11.75" style="326" customWidth="1"/>
    <col min="8982" max="8982" width="10" style="326" customWidth="1"/>
    <col min="8983" max="8983" width="15.375" style="326" customWidth="1"/>
    <col min="8984" max="8984" width="10" style="326" customWidth="1"/>
    <col min="8985" max="8985" width="10.75" style="326" customWidth="1"/>
    <col min="8986" max="8986" width="14.875" style="326" customWidth="1"/>
    <col min="8987" max="8987" width="11.5" style="326" customWidth="1"/>
    <col min="8988" max="8988" width="10" style="326" customWidth="1"/>
    <col min="8989" max="8989" width="10.75" style="326" customWidth="1"/>
    <col min="8990" max="8990" width="13.5" style="326" customWidth="1"/>
    <col min="8991" max="8991" width="9" style="326"/>
    <col min="8992" max="8992" width="10.75" style="326" bestFit="1" customWidth="1"/>
    <col min="8993" max="8993" width="13.75" style="326" customWidth="1"/>
    <col min="8994" max="8994" width="9" style="326"/>
    <col min="8995" max="8995" width="10.625" style="326" customWidth="1"/>
    <col min="8996" max="8996" width="9" style="326"/>
    <col min="8997" max="8997" width="14.25" style="326" customWidth="1"/>
    <col min="8998" max="8998" width="10.75" style="326" bestFit="1" customWidth="1"/>
    <col min="8999" max="8999" width="11.625" style="326" customWidth="1"/>
    <col min="9000" max="9000" width="13.75" style="326" customWidth="1"/>
    <col min="9001" max="9001" width="10.625" style="326" customWidth="1"/>
    <col min="9002" max="9003" width="9" style="326"/>
    <col min="9004" max="9004" width="14.125" style="326" customWidth="1"/>
    <col min="9005" max="9005" width="11" style="326" customWidth="1"/>
    <col min="9006" max="9006" width="10.75" style="326" bestFit="1" customWidth="1"/>
    <col min="9007" max="9007" width="13.5" style="326" customWidth="1"/>
    <col min="9008" max="9009" width="9" style="326"/>
    <col min="9010" max="9010" width="10.75" style="326" bestFit="1" customWidth="1"/>
    <col min="9011" max="9011" width="14" style="326" customWidth="1"/>
    <col min="9012" max="9012" width="9" style="326"/>
    <col min="9013" max="9013" width="10.75" style="326" customWidth="1"/>
    <col min="9014" max="9014" width="12.75" style="326" customWidth="1"/>
    <col min="9015" max="9015" width="9" style="326"/>
    <col min="9016" max="9016" width="10.75" style="326" bestFit="1" customWidth="1"/>
    <col min="9017" max="9017" width="11.5" style="326" customWidth="1"/>
    <col min="9018" max="9018" width="13.625" style="326" customWidth="1"/>
    <col min="9019" max="9019" width="10.625" style="326" customWidth="1"/>
    <col min="9020" max="9020" width="10.75" style="326" bestFit="1" customWidth="1"/>
    <col min="9021" max="9021" width="12.375" style="326" customWidth="1"/>
    <col min="9022" max="9024" width="9" style="326"/>
    <col min="9025" max="9025" width="15.75" style="326" customWidth="1"/>
    <col min="9026" max="9026" width="9" style="326"/>
    <col min="9027" max="9027" width="10.75" style="326" bestFit="1" customWidth="1"/>
    <col min="9028" max="9028" width="12.625" style="326" customWidth="1"/>
    <col min="9029" max="9031" width="9" style="326"/>
    <col min="9032" max="9032" width="13.625" style="326" customWidth="1"/>
    <col min="9033" max="9033" width="9" style="326"/>
    <col min="9034" max="9034" width="10.75" style="326" bestFit="1" customWidth="1"/>
    <col min="9035" max="9035" width="12.5" style="326" customWidth="1"/>
    <col min="9036" max="9038" width="9" style="326"/>
    <col min="9039" max="9039" width="12.875" style="326" customWidth="1"/>
    <col min="9040" max="9040" width="9" style="326"/>
    <col min="9041" max="9041" width="10.75" style="326" bestFit="1" customWidth="1"/>
    <col min="9042" max="9042" width="13.875" style="326" customWidth="1"/>
    <col min="9043" max="9045" width="9" style="326"/>
    <col min="9046" max="9046" width="14.125" style="326" customWidth="1"/>
    <col min="9047" max="9047" width="9" style="326"/>
    <col min="9048" max="9048" width="10.75" style="326" bestFit="1" customWidth="1"/>
    <col min="9049" max="9049" width="13.25" style="326" customWidth="1"/>
    <col min="9050" max="9052" width="9" style="326"/>
    <col min="9053" max="9053" width="13.25" style="326" customWidth="1"/>
    <col min="9054" max="9054" width="9" style="326"/>
    <col min="9055" max="9055" width="10.75" style="326" bestFit="1" customWidth="1"/>
    <col min="9056" max="9056" width="13.875" style="326" customWidth="1"/>
    <col min="9057" max="9059" width="9" style="326"/>
    <col min="9060" max="9060" width="13.625" style="326" customWidth="1"/>
    <col min="9061" max="9061" width="9" style="326"/>
    <col min="9062" max="9062" width="10.75" style="326" bestFit="1" customWidth="1"/>
    <col min="9063" max="9063" width="13" style="326" customWidth="1"/>
    <col min="9064" max="9210" width="9" style="326"/>
    <col min="9211" max="9212" width="12.125" style="326" customWidth="1"/>
    <col min="9213" max="9215" width="13" style="326" customWidth="1"/>
    <col min="9216" max="9216" width="12.875" style="326" customWidth="1"/>
    <col min="9217" max="9217" width="13" style="326" customWidth="1"/>
    <col min="9218" max="9218" width="13.125" style="326" customWidth="1"/>
    <col min="9219" max="9220" width="12.125" style="326" customWidth="1"/>
    <col min="9221" max="9221" width="14.375" style="326" bestFit="1" customWidth="1"/>
    <col min="9222" max="9222" width="11" style="326" customWidth="1"/>
    <col min="9223" max="9223" width="10" style="326" customWidth="1"/>
    <col min="9224" max="9224" width="10.875" style="326" customWidth="1"/>
    <col min="9225" max="9225" width="13.75" style="326" customWidth="1"/>
    <col min="9226" max="9226" width="10" style="326" customWidth="1"/>
    <col min="9227" max="9227" width="13.25" style="326" customWidth="1"/>
    <col min="9228" max="9228" width="14.375" style="326" customWidth="1"/>
    <col min="9229" max="9229" width="10" style="326" customWidth="1"/>
    <col min="9230" max="9230" width="10.875" style="326" customWidth="1"/>
    <col min="9231" max="9231" width="11.375" style="326" customWidth="1"/>
    <col min="9232" max="9232" width="15.375" style="326" customWidth="1"/>
    <col min="9233" max="9234" width="10.75" style="326" customWidth="1"/>
    <col min="9235" max="9235" width="14.375" style="326" customWidth="1"/>
    <col min="9236" max="9236" width="10.75" style="326" customWidth="1"/>
    <col min="9237" max="9237" width="11.75" style="326" customWidth="1"/>
    <col min="9238" max="9238" width="10" style="326" customWidth="1"/>
    <col min="9239" max="9239" width="15.375" style="326" customWidth="1"/>
    <col min="9240" max="9240" width="10" style="326" customWidth="1"/>
    <col min="9241" max="9241" width="10.75" style="326" customWidth="1"/>
    <col min="9242" max="9242" width="14.875" style="326" customWidth="1"/>
    <col min="9243" max="9243" width="11.5" style="326" customWidth="1"/>
    <col min="9244" max="9244" width="10" style="326" customWidth="1"/>
    <col min="9245" max="9245" width="10.75" style="326" customWidth="1"/>
    <col min="9246" max="9246" width="13.5" style="326" customWidth="1"/>
    <col min="9247" max="9247" width="9" style="326"/>
    <col min="9248" max="9248" width="10.75" style="326" bestFit="1" customWidth="1"/>
    <col min="9249" max="9249" width="13.75" style="326" customWidth="1"/>
    <col min="9250" max="9250" width="9" style="326"/>
    <col min="9251" max="9251" width="10.625" style="326" customWidth="1"/>
    <col min="9252" max="9252" width="9" style="326"/>
    <col min="9253" max="9253" width="14.25" style="326" customWidth="1"/>
    <col min="9254" max="9254" width="10.75" style="326" bestFit="1" customWidth="1"/>
    <col min="9255" max="9255" width="11.625" style="326" customWidth="1"/>
    <col min="9256" max="9256" width="13.75" style="326" customWidth="1"/>
    <col min="9257" max="9257" width="10.625" style="326" customWidth="1"/>
    <col min="9258" max="9259" width="9" style="326"/>
    <col min="9260" max="9260" width="14.125" style="326" customWidth="1"/>
    <col min="9261" max="9261" width="11" style="326" customWidth="1"/>
    <col min="9262" max="9262" width="10.75" style="326" bestFit="1" customWidth="1"/>
    <col min="9263" max="9263" width="13.5" style="326" customWidth="1"/>
    <col min="9264" max="9265" width="9" style="326"/>
    <col min="9266" max="9266" width="10.75" style="326" bestFit="1" customWidth="1"/>
    <col min="9267" max="9267" width="14" style="326" customWidth="1"/>
    <col min="9268" max="9268" width="9" style="326"/>
    <col min="9269" max="9269" width="10.75" style="326" customWidth="1"/>
    <col min="9270" max="9270" width="12.75" style="326" customWidth="1"/>
    <col min="9271" max="9271" width="9" style="326"/>
    <col min="9272" max="9272" width="10.75" style="326" bestFit="1" customWidth="1"/>
    <col min="9273" max="9273" width="11.5" style="326" customWidth="1"/>
    <col min="9274" max="9274" width="13.625" style="326" customWidth="1"/>
    <col min="9275" max="9275" width="10.625" style="326" customWidth="1"/>
    <col min="9276" max="9276" width="10.75" style="326" bestFit="1" customWidth="1"/>
    <col min="9277" max="9277" width="12.375" style="326" customWidth="1"/>
    <col min="9278" max="9280" width="9" style="326"/>
    <col min="9281" max="9281" width="15.75" style="326" customWidth="1"/>
    <col min="9282" max="9282" width="9" style="326"/>
    <col min="9283" max="9283" width="10.75" style="326" bestFit="1" customWidth="1"/>
    <col min="9284" max="9284" width="12.625" style="326" customWidth="1"/>
    <col min="9285" max="9287" width="9" style="326"/>
    <col min="9288" max="9288" width="13.625" style="326" customWidth="1"/>
    <col min="9289" max="9289" width="9" style="326"/>
    <col min="9290" max="9290" width="10.75" style="326" bestFit="1" customWidth="1"/>
    <col min="9291" max="9291" width="12.5" style="326" customWidth="1"/>
    <col min="9292" max="9294" width="9" style="326"/>
    <col min="9295" max="9295" width="12.875" style="326" customWidth="1"/>
    <col min="9296" max="9296" width="9" style="326"/>
    <col min="9297" max="9297" width="10.75" style="326" bestFit="1" customWidth="1"/>
    <col min="9298" max="9298" width="13.875" style="326" customWidth="1"/>
    <col min="9299" max="9301" width="9" style="326"/>
    <col min="9302" max="9302" width="14.125" style="326" customWidth="1"/>
    <col min="9303" max="9303" width="9" style="326"/>
    <col min="9304" max="9304" width="10.75" style="326" bestFit="1" customWidth="1"/>
    <col min="9305" max="9305" width="13.25" style="326" customWidth="1"/>
    <col min="9306" max="9308" width="9" style="326"/>
    <col min="9309" max="9309" width="13.25" style="326" customWidth="1"/>
    <col min="9310" max="9310" width="9" style="326"/>
    <col min="9311" max="9311" width="10.75" style="326" bestFit="1" customWidth="1"/>
    <col min="9312" max="9312" width="13.875" style="326" customWidth="1"/>
    <col min="9313" max="9315" width="9" style="326"/>
    <col min="9316" max="9316" width="13.625" style="326" customWidth="1"/>
    <col min="9317" max="9317" width="9" style="326"/>
    <col min="9318" max="9318" width="10.75" style="326" bestFit="1" customWidth="1"/>
    <col min="9319" max="9319" width="13" style="326" customWidth="1"/>
    <col min="9320" max="9466" width="9" style="326"/>
    <col min="9467" max="9468" width="12.125" style="326" customWidth="1"/>
    <col min="9469" max="9471" width="13" style="326" customWidth="1"/>
    <col min="9472" max="9472" width="12.875" style="326" customWidth="1"/>
    <col min="9473" max="9473" width="13" style="326" customWidth="1"/>
    <col min="9474" max="9474" width="13.125" style="326" customWidth="1"/>
    <col min="9475" max="9476" width="12.125" style="326" customWidth="1"/>
    <col min="9477" max="9477" width="14.375" style="326" bestFit="1" customWidth="1"/>
    <col min="9478" max="9478" width="11" style="326" customWidth="1"/>
    <col min="9479" max="9479" width="10" style="326" customWidth="1"/>
    <col min="9480" max="9480" width="10.875" style="326" customWidth="1"/>
    <col min="9481" max="9481" width="13.75" style="326" customWidth="1"/>
    <col min="9482" max="9482" width="10" style="326" customWidth="1"/>
    <col min="9483" max="9483" width="13.25" style="326" customWidth="1"/>
    <col min="9484" max="9484" width="14.375" style="326" customWidth="1"/>
    <col min="9485" max="9485" width="10" style="326" customWidth="1"/>
    <col min="9486" max="9486" width="10.875" style="326" customWidth="1"/>
    <col min="9487" max="9487" width="11.375" style="326" customWidth="1"/>
    <col min="9488" max="9488" width="15.375" style="326" customWidth="1"/>
    <col min="9489" max="9490" width="10.75" style="326" customWidth="1"/>
    <col min="9491" max="9491" width="14.375" style="326" customWidth="1"/>
    <col min="9492" max="9492" width="10.75" style="326" customWidth="1"/>
    <col min="9493" max="9493" width="11.75" style="326" customWidth="1"/>
    <col min="9494" max="9494" width="10" style="326" customWidth="1"/>
    <col min="9495" max="9495" width="15.375" style="326" customWidth="1"/>
    <col min="9496" max="9496" width="10" style="326" customWidth="1"/>
    <col min="9497" max="9497" width="10.75" style="326" customWidth="1"/>
    <col min="9498" max="9498" width="14.875" style="326" customWidth="1"/>
    <col min="9499" max="9499" width="11.5" style="326" customWidth="1"/>
    <col min="9500" max="9500" width="10" style="326" customWidth="1"/>
    <col min="9501" max="9501" width="10.75" style="326" customWidth="1"/>
    <col min="9502" max="9502" width="13.5" style="326" customWidth="1"/>
    <col min="9503" max="9503" width="9" style="326"/>
    <col min="9504" max="9504" width="10.75" style="326" bestFit="1" customWidth="1"/>
    <col min="9505" max="9505" width="13.75" style="326" customWidth="1"/>
    <col min="9506" max="9506" width="9" style="326"/>
    <col min="9507" max="9507" width="10.625" style="326" customWidth="1"/>
    <col min="9508" max="9508" width="9" style="326"/>
    <col min="9509" max="9509" width="14.25" style="326" customWidth="1"/>
    <col min="9510" max="9510" width="10.75" style="326" bestFit="1" customWidth="1"/>
    <col min="9511" max="9511" width="11.625" style="326" customWidth="1"/>
    <col min="9512" max="9512" width="13.75" style="326" customWidth="1"/>
    <col min="9513" max="9513" width="10.625" style="326" customWidth="1"/>
    <col min="9514" max="9515" width="9" style="326"/>
    <col min="9516" max="9516" width="14.125" style="326" customWidth="1"/>
    <col min="9517" max="9517" width="11" style="326" customWidth="1"/>
    <col min="9518" max="9518" width="10.75" style="326" bestFit="1" customWidth="1"/>
    <col min="9519" max="9519" width="13.5" style="326" customWidth="1"/>
    <col min="9520" max="9521" width="9" style="326"/>
    <col min="9522" max="9522" width="10.75" style="326" bestFit="1" customWidth="1"/>
    <col min="9523" max="9523" width="14" style="326" customWidth="1"/>
    <col min="9524" max="9524" width="9" style="326"/>
    <col min="9525" max="9525" width="10.75" style="326" customWidth="1"/>
    <col min="9526" max="9526" width="12.75" style="326" customWidth="1"/>
    <col min="9527" max="9527" width="9" style="326"/>
    <col min="9528" max="9528" width="10.75" style="326" bestFit="1" customWidth="1"/>
    <col min="9529" max="9529" width="11.5" style="326" customWidth="1"/>
    <col min="9530" max="9530" width="13.625" style="326" customWidth="1"/>
    <col min="9531" max="9531" width="10.625" style="326" customWidth="1"/>
    <col min="9532" max="9532" width="10.75" style="326" bestFit="1" customWidth="1"/>
    <col min="9533" max="9533" width="12.375" style="326" customWidth="1"/>
    <col min="9534" max="9536" width="9" style="326"/>
    <col min="9537" max="9537" width="15.75" style="326" customWidth="1"/>
    <col min="9538" max="9538" width="9" style="326"/>
    <col min="9539" max="9539" width="10.75" style="326" bestFit="1" customWidth="1"/>
    <col min="9540" max="9540" width="12.625" style="326" customWidth="1"/>
    <col min="9541" max="9543" width="9" style="326"/>
    <col min="9544" max="9544" width="13.625" style="326" customWidth="1"/>
    <col min="9545" max="9545" width="9" style="326"/>
    <col min="9546" max="9546" width="10.75" style="326" bestFit="1" customWidth="1"/>
    <col min="9547" max="9547" width="12.5" style="326" customWidth="1"/>
    <col min="9548" max="9550" width="9" style="326"/>
    <col min="9551" max="9551" width="12.875" style="326" customWidth="1"/>
    <col min="9552" max="9552" width="9" style="326"/>
    <col min="9553" max="9553" width="10.75" style="326" bestFit="1" customWidth="1"/>
    <col min="9554" max="9554" width="13.875" style="326" customWidth="1"/>
    <col min="9555" max="9557" width="9" style="326"/>
    <col min="9558" max="9558" width="14.125" style="326" customWidth="1"/>
    <col min="9559" max="9559" width="9" style="326"/>
    <col min="9560" max="9560" width="10.75" style="326" bestFit="1" customWidth="1"/>
    <col min="9561" max="9561" width="13.25" style="326" customWidth="1"/>
    <col min="9562" max="9564" width="9" style="326"/>
    <col min="9565" max="9565" width="13.25" style="326" customWidth="1"/>
    <col min="9566" max="9566" width="9" style="326"/>
    <col min="9567" max="9567" width="10.75" style="326" bestFit="1" customWidth="1"/>
    <col min="9568" max="9568" width="13.875" style="326" customWidth="1"/>
    <col min="9569" max="9571" width="9" style="326"/>
    <col min="9572" max="9572" width="13.625" style="326" customWidth="1"/>
    <col min="9573" max="9573" width="9" style="326"/>
    <col min="9574" max="9574" width="10.75" style="326" bestFit="1" customWidth="1"/>
    <col min="9575" max="9575" width="13" style="326" customWidth="1"/>
    <col min="9576" max="9722" width="9" style="326"/>
    <col min="9723" max="9724" width="12.125" style="326" customWidth="1"/>
    <col min="9725" max="9727" width="13" style="326" customWidth="1"/>
    <col min="9728" max="9728" width="12.875" style="326" customWidth="1"/>
    <col min="9729" max="9729" width="13" style="326" customWidth="1"/>
    <col min="9730" max="9730" width="13.125" style="326" customWidth="1"/>
    <col min="9731" max="9732" width="12.125" style="326" customWidth="1"/>
    <col min="9733" max="9733" width="14.375" style="326" bestFit="1" customWidth="1"/>
    <col min="9734" max="9734" width="11" style="326" customWidth="1"/>
    <col min="9735" max="9735" width="10" style="326" customWidth="1"/>
    <col min="9736" max="9736" width="10.875" style="326" customWidth="1"/>
    <col min="9737" max="9737" width="13.75" style="326" customWidth="1"/>
    <col min="9738" max="9738" width="10" style="326" customWidth="1"/>
    <col min="9739" max="9739" width="13.25" style="326" customWidth="1"/>
    <col min="9740" max="9740" width="14.375" style="326" customWidth="1"/>
    <col min="9741" max="9741" width="10" style="326" customWidth="1"/>
    <col min="9742" max="9742" width="10.875" style="326" customWidth="1"/>
    <col min="9743" max="9743" width="11.375" style="326" customWidth="1"/>
    <col min="9744" max="9744" width="15.375" style="326" customWidth="1"/>
    <col min="9745" max="9746" width="10.75" style="326" customWidth="1"/>
    <col min="9747" max="9747" width="14.375" style="326" customWidth="1"/>
    <col min="9748" max="9748" width="10.75" style="326" customWidth="1"/>
    <col min="9749" max="9749" width="11.75" style="326" customWidth="1"/>
    <col min="9750" max="9750" width="10" style="326" customWidth="1"/>
    <col min="9751" max="9751" width="15.375" style="326" customWidth="1"/>
    <col min="9752" max="9752" width="10" style="326" customWidth="1"/>
    <col min="9753" max="9753" width="10.75" style="326" customWidth="1"/>
    <col min="9754" max="9754" width="14.875" style="326" customWidth="1"/>
    <col min="9755" max="9755" width="11.5" style="326" customWidth="1"/>
    <col min="9756" max="9756" width="10" style="326" customWidth="1"/>
    <col min="9757" max="9757" width="10.75" style="326" customWidth="1"/>
    <col min="9758" max="9758" width="13.5" style="326" customWidth="1"/>
    <col min="9759" max="9759" width="9" style="326"/>
    <col min="9760" max="9760" width="10.75" style="326" bestFit="1" customWidth="1"/>
    <col min="9761" max="9761" width="13.75" style="326" customWidth="1"/>
    <col min="9762" max="9762" width="9" style="326"/>
    <col min="9763" max="9763" width="10.625" style="326" customWidth="1"/>
    <col min="9764" max="9764" width="9" style="326"/>
    <col min="9765" max="9765" width="14.25" style="326" customWidth="1"/>
    <col min="9766" max="9766" width="10.75" style="326" bestFit="1" customWidth="1"/>
    <col min="9767" max="9767" width="11.625" style="326" customWidth="1"/>
    <col min="9768" max="9768" width="13.75" style="326" customWidth="1"/>
    <col min="9769" max="9769" width="10.625" style="326" customWidth="1"/>
    <col min="9770" max="9771" width="9" style="326"/>
    <col min="9772" max="9772" width="14.125" style="326" customWidth="1"/>
    <col min="9773" max="9773" width="11" style="326" customWidth="1"/>
    <col min="9774" max="9774" width="10.75" style="326" bestFit="1" customWidth="1"/>
    <col min="9775" max="9775" width="13.5" style="326" customWidth="1"/>
    <col min="9776" max="9777" width="9" style="326"/>
    <col min="9778" max="9778" width="10.75" style="326" bestFit="1" customWidth="1"/>
    <col min="9779" max="9779" width="14" style="326" customWidth="1"/>
    <col min="9780" max="9780" width="9" style="326"/>
    <col min="9781" max="9781" width="10.75" style="326" customWidth="1"/>
    <col min="9782" max="9782" width="12.75" style="326" customWidth="1"/>
    <col min="9783" max="9783" width="9" style="326"/>
    <col min="9784" max="9784" width="10.75" style="326" bestFit="1" customWidth="1"/>
    <col min="9785" max="9785" width="11.5" style="326" customWidth="1"/>
    <col min="9786" max="9786" width="13.625" style="326" customWidth="1"/>
    <col min="9787" max="9787" width="10.625" style="326" customWidth="1"/>
    <col min="9788" max="9788" width="10.75" style="326" bestFit="1" customWidth="1"/>
    <col min="9789" max="9789" width="12.375" style="326" customWidth="1"/>
    <col min="9790" max="9792" width="9" style="326"/>
    <col min="9793" max="9793" width="15.75" style="326" customWidth="1"/>
    <col min="9794" max="9794" width="9" style="326"/>
    <col min="9795" max="9795" width="10.75" style="326" bestFit="1" customWidth="1"/>
    <col min="9796" max="9796" width="12.625" style="326" customWidth="1"/>
    <col min="9797" max="9799" width="9" style="326"/>
    <col min="9800" max="9800" width="13.625" style="326" customWidth="1"/>
    <col min="9801" max="9801" width="9" style="326"/>
    <col min="9802" max="9802" width="10.75" style="326" bestFit="1" customWidth="1"/>
    <col min="9803" max="9803" width="12.5" style="326" customWidth="1"/>
    <col min="9804" max="9806" width="9" style="326"/>
    <col min="9807" max="9807" width="12.875" style="326" customWidth="1"/>
    <col min="9808" max="9808" width="9" style="326"/>
    <col min="9809" max="9809" width="10.75" style="326" bestFit="1" customWidth="1"/>
    <col min="9810" max="9810" width="13.875" style="326" customWidth="1"/>
    <col min="9811" max="9813" width="9" style="326"/>
    <col min="9814" max="9814" width="14.125" style="326" customWidth="1"/>
    <col min="9815" max="9815" width="9" style="326"/>
    <col min="9816" max="9816" width="10.75" style="326" bestFit="1" customWidth="1"/>
    <col min="9817" max="9817" width="13.25" style="326" customWidth="1"/>
    <col min="9818" max="9820" width="9" style="326"/>
    <col min="9821" max="9821" width="13.25" style="326" customWidth="1"/>
    <col min="9822" max="9822" width="9" style="326"/>
    <col min="9823" max="9823" width="10.75" style="326" bestFit="1" customWidth="1"/>
    <col min="9824" max="9824" width="13.875" style="326" customWidth="1"/>
    <col min="9825" max="9827" width="9" style="326"/>
    <col min="9828" max="9828" width="13.625" style="326" customWidth="1"/>
    <col min="9829" max="9829" width="9" style="326"/>
    <col min="9830" max="9830" width="10.75" style="326" bestFit="1" customWidth="1"/>
    <col min="9831" max="9831" width="13" style="326" customWidth="1"/>
    <col min="9832" max="9978" width="9" style="326"/>
    <col min="9979" max="9980" width="12.125" style="326" customWidth="1"/>
    <col min="9981" max="9983" width="13" style="326" customWidth="1"/>
    <col min="9984" max="9984" width="12.875" style="326" customWidth="1"/>
    <col min="9985" max="9985" width="13" style="326" customWidth="1"/>
    <col min="9986" max="9986" width="13.125" style="326" customWidth="1"/>
    <col min="9987" max="9988" width="12.125" style="326" customWidth="1"/>
    <col min="9989" max="9989" width="14.375" style="326" bestFit="1" customWidth="1"/>
    <col min="9990" max="9990" width="11" style="326" customWidth="1"/>
    <col min="9991" max="9991" width="10" style="326" customWidth="1"/>
    <col min="9992" max="9992" width="10.875" style="326" customWidth="1"/>
    <col min="9993" max="9993" width="13.75" style="326" customWidth="1"/>
    <col min="9994" max="9994" width="10" style="326" customWidth="1"/>
    <col min="9995" max="9995" width="13.25" style="326" customWidth="1"/>
    <col min="9996" max="9996" width="14.375" style="326" customWidth="1"/>
    <col min="9997" max="9997" width="10" style="326" customWidth="1"/>
    <col min="9998" max="9998" width="10.875" style="326" customWidth="1"/>
    <col min="9999" max="9999" width="11.375" style="326" customWidth="1"/>
    <col min="10000" max="10000" width="15.375" style="326" customWidth="1"/>
    <col min="10001" max="10002" width="10.75" style="326" customWidth="1"/>
    <col min="10003" max="10003" width="14.375" style="326" customWidth="1"/>
    <col min="10004" max="10004" width="10.75" style="326" customWidth="1"/>
    <col min="10005" max="10005" width="11.75" style="326" customWidth="1"/>
    <col min="10006" max="10006" width="10" style="326" customWidth="1"/>
    <col min="10007" max="10007" width="15.375" style="326" customWidth="1"/>
    <col min="10008" max="10008" width="10" style="326" customWidth="1"/>
    <col min="10009" max="10009" width="10.75" style="326" customWidth="1"/>
    <col min="10010" max="10010" width="14.875" style="326" customWidth="1"/>
    <col min="10011" max="10011" width="11.5" style="326" customWidth="1"/>
    <col min="10012" max="10012" width="10" style="326" customWidth="1"/>
    <col min="10013" max="10013" width="10.75" style="326" customWidth="1"/>
    <col min="10014" max="10014" width="13.5" style="326" customWidth="1"/>
    <col min="10015" max="10015" width="9" style="326"/>
    <col min="10016" max="10016" width="10.75" style="326" bestFit="1" customWidth="1"/>
    <col min="10017" max="10017" width="13.75" style="326" customWidth="1"/>
    <col min="10018" max="10018" width="9" style="326"/>
    <col min="10019" max="10019" width="10.625" style="326" customWidth="1"/>
    <col min="10020" max="10020" width="9" style="326"/>
    <col min="10021" max="10021" width="14.25" style="326" customWidth="1"/>
    <col min="10022" max="10022" width="10.75" style="326" bestFit="1" customWidth="1"/>
    <col min="10023" max="10023" width="11.625" style="326" customWidth="1"/>
    <col min="10024" max="10024" width="13.75" style="326" customWidth="1"/>
    <col min="10025" max="10025" width="10.625" style="326" customWidth="1"/>
    <col min="10026" max="10027" width="9" style="326"/>
    <col min="10028" max="10028" width="14.125" style="326" customWidth="1"/>
    <col min="10029" max="10029" width="11" style="326" customWidth="1"/>
    <col min="10030" max="10030" width="10.75" style="326" bestFit="1" customWidth="1"/>
    <col min="10031" max="10031" width="13.5" style="326" customWidth="1"/>
    <col min="10032" max="10033" width="9" style="326"/>
    <col min="10034" max="10034" width="10.75" style="326" bestFit="1" customWidth="1"/>
    <col min="10035" max="10035" width="14" style="326" customWidth="1"/>
    <col min="10036" max="10036" width="9" style="326"/>
    <col min="10037" max="10037" width="10.75" style="326" customWidth="1"/>
    <col min="10038" max="10038" width="12.75" style="326" customWidth="1"/>
    <col min="10039" max="10039" width="9" style="326"/>
    <col min="10040" max="10040" width="10.75" style="326" bestFit="1" customWidth="1"/>
    <col min="10041" max="10041" width="11.5" style="326" customWidth="1"/>
    <col min="10042" max="10042" width="13.625" style="326" customWidth="1"/>
    <col min="10043" max="10043" width="10.625" style="326" customWidth="1"/>
    <col min="10044" max="10044" width="10.75" style="326" bestFit="1" customWidth="1"/>
    <col min="10045" max="10045" width="12.375" style="326" customWidth="1"/>
    <col min="10046" max="10048" width="9" style="326"/>
    <col min="10049" max="10049" width="15.75" style="326" customWidth="1"/>
    <col min="10050" max="10050" width="9" style="326"/>
    <col min="10051" max="10051" width="10.75" style="326" bestFit="1" customWidth="1"/>
    <col min="10052" max="10052" width="12.625" style="326" customWidth="1"/>
    <col min="10053" max="10055" width="9" style="326"/>
    <col min="10056" max="10056" width="13.625" style="326" customWidth="1"/>
    <col min="10057" max="10057" width="9" style="326"/>
    <col min="10058" max="10058" width="10.75" style="326" bestFit="1" customWidth="1"/>
    <col min="10059" max="10059" width="12.5" style="326" customWidth="1"/>
    <col min="10060" max="10062" width="9" style="326"/>
    <col min="10063" max="10063" width="12.875" style="326" customWidth="1"/>
    <col min="10064" max="10064" width="9" style="326"/>
    <col min="10065" max="10065" width="10.75" style="326" bestFit="1" customWidth="1"/>
    <col min="10066" max="10066" width="13.875" style="326" customWidth="1"/>
    <col min="10067" max="10069" width="9" style="326"/>
    <col min="10070" max="10070" width="14.125" style="326" customWidth="1"/>
    <col min="10071" max="10071" width="9" style="326"/>
    <col min="10072" max="10072" width="10.75" style="326" bestFit="1" customWidth="1"/>
    <col min="10073" max="10073" width="13.25" style="326" customWidth="1"/>
    <col min="10074" max="10076" width="9" style="326"/>
    <col min="10077" max="10077" width="13.25" style="326" customWidth="1"/>
    <col min="10078" max="10078" width="9" style="326"/>
    <col min="10079" max="10079" width="10.75" style="326" bestFit="1" customWidth="1"/>
    <col min="10080" max="10080" width="13.875" style="326" customWidth="1"/>
    <col min="10081" max="10083" width="9" style="326"/>
    <col min="10084" max="10084" width="13.625" style="326" customWidth="1"/>
    <col min="10085" max="10085" width="9" style="326"/>
    <col min="10086" max="10086" width="10.75" style="326" bestFit="1" customWidth="1"/>
    <col min="10087" max="10087" width="13" style="326" customWidth="1"/>
    <col min="10088" max="10234" width="9" style="326"/>
    <col min="10235" max="10236" width="12.125" style="326" customWidth="1"/>
    <col min="10237" max="10239" width="13" style="326" customWidth="1"/>
    <col min="10240" max="10240" width="12.875" style="326" customWidth="1"/>
    <col min="10241" max="10241" width="13" style="326" customWidth="1"/>
    <col min="10242" max="10242" width="13.125" style="326" customWidth="1"/>
    <col min="10243" max="10244" width="12.125" style="326" customWidth="1"/>
    <col min="10245" max="10245" width="14.375" style="326" bestFit="1" customWidth="1"/>
    <col min="10246" max="10246" width="11" style="326" customWidth="1"/>
    <col min="10247" max="10247" width="10" style="326" customWidth="1"/>
    <col min="10248" max="10248" width="10.875" style="326" customWidth="1"/>
    <col min="10249" max="10249" width="13.75" style="326" customWidth="1"/>
    <col min="10250" max="10250" width="10" style="326" customWidth="1"/>
    <col min="10251" max="10251" width="13.25" style="326" customWidth="1"/>
    <col min="10252" max="10252" width="14.375" style="326" customWidth="1"/>
    <col min="10253" max="10253" width="10" style="326" customWidth="1"/>
    <col min="10254" max="10254" width="10.875" style="326" customWidth="1"/>
    <col min="10255" max="10255" width="11.375" style="326" customWidth="1"/>
    <col min="10256" max="10256" width="15.375" style="326" customWidth="1"/>
    <col min="10257" max="10258" width="10.75" style="326" customWidth="1"/>
    <col min="10259" max="10259" width="14.375" style="326" customWidth="1"/>
    <col min="10260" max="10260" width="10.75" style="326" customWidth="1"/>
    <col min="10261" max="10261" width="11.75" style="326" customWidth="1"/>
    <col min="10262" max="10262" width="10" style="326" customWidth="1"/>
    <col min="10263" max="10263" width="15.375" style="326" customWidth="1"/>
    <col min="10264" max="10264" width="10" style="326" customWidth="1"/>
    <col min="10265" max="10265" width="10.75" style="326" customWidth="1"/>
    <col min="10266" max="10266" width="14.875" style="326" customWidth="1"/>
    <col min="10267" max="10267" width="11.5" style="326" customWidth="1"/>
    <col min="10268" max="10268" width="10" style="326" customWidth="1"/>
    <col min="10269" max="10269" width="10.75" style="326" customWidth="1"/>
    <col min="10270" max="10270" width="13.5" style="326" customWidth="1"/>
    <col min="10271" max="10271" width="9" style="326"/>
    <col min="10272" max="10272" width="10.75" style="326" bestFit="1" customWidth="1"/>
    <col min="10273" max="10273" width="13.75" style="326" customWidth="1"/>
    <col min="10274" max="10274" width="9" style="326"/>
    <col min="10275" max="10275" width="10.625" style="326" customWidth="1"/>
    <col min="10276" max="10276" width="9" style="326"/>
    <col min="10277" max="10277" width="14.25" style="326" customWidth="1"/>
    <col min="10278" max="10278" width="10.75" style="326" bestFit="1" customWidth="1"/>
    <col min="10279" max="10279" width="11.625" style="326" customWidth="1"/>
    <col min="10280" max="10280" width="13.75" style="326" customWidth="1"/>
    <col min="10281" max="10281" width="10.625" style="326" customWidth="1"/>
    <col min="10282" max="10283" width="9" style="326"/>
    <col min="10284" max="10284" width="14.125" style="326" customWidth="1"/>
    <col min="10285" max="10285" width="11" style="326" customWidth="1"/>
    <col min="10286" max="10286" width="10.75" style="326" bestFit="1" customWidth="1"/>
    <col min="10287" max="10287" width="13.5" style="326" customWidth="1"/>
    <col min="10288" max="10289" width="9" style="326"/>
    <col min="10290" max="10290" width="10.75" style="326" bestFit="1" customWidth="1"/>
    <col min="10291" max="10291" width="14" style="326" customWidth="1"/>
    <col min="10292" max="10292" width="9" style="326"/>
    <col min="10293" max="10293" width="10.75" style="326" customWidth="1"/>
    <col min="10294" max="10294" width="12.75" style="326" customWidth="1"/>
    <col min="10295" max="10295" width="9" style="326"/>
    <col min="10296" max="10296" width="10.75" style="326" bestFit="1" customWidth="1"/>
    <col min="10297" max="10297" width="11.5" style="326" customWidth="1"/>
    <col min="10298" max="10298" width="13.625" style="326" customWidth="1"/>
    <col min="10299" max="10299" width="10.625" style="326" customWidth="1"/>
    <col min="10300" max="10300" width="10.75" style="326" bestFit="1" customWidth="1"/>
    <col min="10301" max="10301" width="12.375" style="326" customWidth="1"/>
    <col min="10302" max="10304" width="9" style="326"/>
    <col min="10305" max="10305" width="15.75" style="326" customWidth="1"/>
    <col min="10306" max="10306" width="9" style="326"/>
    <col min="10307" max="10307" width="10.75" style="326" bestFit="1" customWidth="1"/>
    <col min="10308" max="10308" width="12.625" style="326" customWidth="1"/>
    <col min="10309" max="10311" width="9" style="326"/>
    <col min="10312" max="10312" width="13.625" style="326" customWidth="1"/>
    <col min="10313" max="10313" width="9" style="326"/>
    <col min="10314" max="10314" width="10.75" style="326" bestFit="1" customWidth="1"/>
    <col min="10315" max="10315" width="12.5" style="326" customWidth="1"/>
    <col min="10316" max="10318" width="9" style="326"/>
    <col min="10319" max="10319" width="12.875" style="326" customWidth="1"/>
    <col min="10320" max="10320" width="9" style="326"/>
    <col min="10321" max="10321" width="10.75" style="326" bestFit="1" customWidth="1"/>
    <col min="10322" max="10322" width="13.875" style="326" customWidth="1"/>
    <col min="10323" max="10325" width="9" style="326"/>
    <col min="10326" max="10326" width="14.125" style="326" customWidth="1"/>
    <col min="10327" max="10327" width="9" style="326"/>
    <col min="10328" max="10328" width="10.75" style="326" bestFit="1" customWidth="1"/>
    <col min="10329" max="10329" width="13.25" style="326" customWidth="1"/>
    <col min="10330" max="10332" width="9" style="326"/>
    <col min="10333" max="10333" width="13.25" style="326" customWidth="1"/>
    <col min="10334" max="10334" width="9" style="326"/>
    <col min="10335" max="10335" width="10.75" style="326" bestFit="1" customWidth="1"/>
    <col min="10336" max="10336" width="13.875" style="326" customWidth="1"/>
    <col min="10337" max="10339" width="9" style="326"/>
    <col min="10340" max="10340" width="13.625" style="326" customWidth="1"/>
    <col min="10341" max="10341" width="9" style="326"/>
    <col min="10342" max="10342" width="10.75" style="326" bestFit="1" customWidth="1"/>
    <col min="10343" max="10343" width="13" style="326" customWidth="1"/>
    <col min="10344" max="10490" width="9" style="326"/>
    <col min="10491" max="10492" width="12.125" style="326" customWidth="1"/>
    <col min="10493" max="10495" width="13" style="326" customWidth="1"/>
    <col min="10496" max="10496" width="12.875" style="326" customWidth="1"/>
    <col min="10497" max="10497" width="13" style="326" customWidth="1"/>
    <col min="10498" max="10498" width="13.125" style="326" customWidth="1"/>
    <col min="10499" max="10500" width="12.125" style="326" customWidth="1"/>
    <col min="10501" max="10501" width="14.375" style="326" bestFit="1" customWidth="1"/>
    <col min="10502" max="10502" width="11" style="326" customWidth="1"/>
    <col min="10503" max="10503" width="10" style="326" customWidth="1"/>
    <col min="10504" max="10504" width="10.875" style="326" customWidth="1"/>
    <col min="10505" max="10505" width="13.75" style="326" customWidth="1"/>
    <col min="10506" max="10506" width="10" style="326" customWidth="1"/>
    <col min="10507" max="10507" width="13.25" style="326" customWidth="1"/>
    <col min="10508" max="10508" width="14.375" style="326" customWidth="1"/>
    <col min="10509" max="10509" width="10" style="326" customWidth="1"/>
    <col min="10510" max="10510" width="10.875" style="326" customWidth="1"/>
    <col min="10511" max="10511" width="11.375" style="326" customWidth="1"/>
    <col min="10512" max="10512" width="15.375" style="326" customWidth="1"/>
    <col min="10513" max="10514" width="10.75" style="326" customWidth="1"/>
    <col min="10515" max="10515" width="14.375" style="326" customWidth="1"/>
    <col min="10516" max="10516" width="10.75" style="326" customWidth="1"/>
    <col min="10517" max="10517" width="11.75" style="326" customWidth="1"/>
    <col min="10518" max="10518" width="10" style="326" customWidth="1"/>
    <col min="10519" max="10519" width="15.375" style="326" customWidth="1"/>
    <col min="10520" max="10520" width="10" style="326" customWidth="1"/>
    <col min="10521" max="10521" width="10.75" style="326" customWidth="1"/>
    <col min="10522" max="10522" width="14.875" style="326" customWidth="1"/>
    <col min="10523" max="10523" width="11.5" style="326" customWidth="1"/>
    <col min="10524" max="10524" width="10" style="326" customWidth="1"/>
    <col min="10525" max="10525" width="10.75" style="326" customWidth="1"/>
    <col min="10526" max="10526" width="13.5" style="326" customWidth="1"/>
    <col min="10527" max="10527" width="9" style="326"/>
    <col min="10528" max="10528" width="10.75" style="326" bestFit="1" customWidth="1"/>
    <col min="10529" max="10529" width="13.75" style="326" customWidth="1"/>
    <col min="10530" max="10530" width="9" style="326"/>
    <col min="10531" max="10531" width="10.625" style="326" customWidth="1"/>
    <col min="10532" max="10532" width="9" style="326"/>
    <col min="10533" max="10533" width="14.25" style="326" customWidth="1"/>
    <col min="10534" max="10534" width="10.75" style="326" bestFit="1" customWidth="1"/>
    <col min="10535" max="10535" width="11.625" style="326" customWidth="1"/>
    <col min="10536" max="10536" width="13.75" style="326" customWidth="1"/>
    <col min="10537" max="10537" width="10.625" style="326" customWidth="1"/>
    <col min="10538" max="10539" width="9" style="326"/>
    <col min="10540" max="10540" width="14.125" style="326" customWidth="1"/>
    <col min="10541" max="10541" width="11" style="326" customWidth="1"/>
    <col min="10542" max="10542" width="10.75" style="326" bestFit="1" customWidth="1"/>
    <col min="10543" max="10543" width="13.5" style="326" customWidth="1"/>
    <col min="10544" max="10545" width="9" style="326"/>
    <col min="10546" max="10546" width="10.75" style="326" bestFit="1" customWidth="1"/>
    <col min="10547" max="10547" width="14" style="326" customWidth="1"/>
    <col min="10548" max="10548" width="9" style="326"/>
    <col min="10549" max="10549" width="10.75" style="326" customWidth="1"/>
    <col min="10550" max="10550" width="12.75" style="326" customWidth="1"/>
    <col min="10551" max="10551" width="9" style="326"/>
    <col min="10552" max="10552" width="10.75" style="326" bestFit="1" customWidth="1"/>
    <col min="10553" max="10553" width="11.5" style="326" customWidth="1"/>
    <col min="10554" max="10554" width="13.625" style="326" customWidth="1"/>
    <col min="10555" max="10555" width="10.625" style="326" customWidth="1"/>
    <col min="10556" max="10556" width="10.75" style="326" bestFit="1" customWidth="1"/>
    <col min="10557" max="10557" width="12.375" style="326" customWidth="1"/>
    <col min="10558" max="10560" width="9" style="326"/>
    <col min="10561" max="10561" width="15.75" style="326" customWidth="1"/>
    <col min="10562" max="10562" width="9" style="326"/>
    <col min="10563" max="10563" width="10.75" style="326" bestFit="1" customWidth="1"/>
    <col min="10564" max="10564" width="12.625" style="326" customWidth="1"/>
    <col min="10565" max="10567" width="9" style="326"/>
    <col min="10568" max="10568" width="13.625" style="326" customWidth="1"/>
    <col min="10569" max="10569" width="9" style="326"/>
    <col min="10570" max="10570" width="10.75" style="326" bestFit="1" customWidth="1"/>
    <col min="10571" max="10571" width="12.5" style="326" customWidth="1"/>
    <col min="10572" max="10574" width="9" style="326"/>
    <col min="10575" max="10575" width="12.875" style="326" customWidth="1"/>
    <col min="10576" max="10576" width="9" style="326"/>
    <col min="10577" max="10577" width="10.75" style="326" bestFit="1" customWidth="1"/>
    <col min="10578" max="10578" width="13.875" style="326" customWidth="1"/>
    <col min="10579" max="10581" width="9" style="326"/>
    <col min="10582" max="10582" width="14.125" style="326" customWidth="1"/>
    <col min="10583" max="10583" width="9" style="326"/>
    <col min="10584" max="10584" width="10.75" style="326" bestFit="1" customWidth="1"/>
    <col min="10585" max="10585" width="13.25" style="326" customWidth="1"/>
    <col min="10586" max="10588" width="9" style="326"/>
    <col min="10589" max="10589" width="13.25" style="326" customWidth="1"/>
    <col min="10590" max="10590" width="9" style="326"/>
    <col min="10591" max="10591" width="10.75" style="326" bestFit="1" customWidth="1"/>
    <col min="10592" max="10592" width="13.875" style="326" customWidth="1"/>
    <col min="10593" max="10595" width="9" style="326"/>
    <col min="10596" max="10596" width="13.625" style="326" customWidth="1"/>
    <col min="10597" max="10597" width="9" style="326"/>
    <col min="10598" max="10598" width="10.75" style="326" bestFit="1" customWidth="1"/>
    <col min="10599" max="10599" width="13" style="326" customWidth="1"/>
    <col min="10600" max="10746" width="9" style="326"/>
    <col min="10747" max="10748" width="12.125" style="326" customWidth="1"/>
    <col min="10749" max="10751" width="13" style="326" customWidth="1"/>
    <col min="10752" max="10752" width="12.875" style="326" customWidth="1"/>
    <col min="10753" max="10753" width="13" style="326" customWidth="1"/>
    <col min="10754" max="10754" width="13.125" style="326" customWidth="1"/>
    <col min="10755" max="10756" width="12.125" style="326" customWidth="1"/>
    <col min="10757" max="10757" width="14.375" style="326" bestFit="1" customWidth="1"/>
    <col min="10758" max="10758" width="11" style="326" customWidth="1"/>
    <col min="10759" max="10759" width="10" style="326" customWidth="1"/>
    <col min="10760" max="10760" width="10.875" style="326" customWidth="1"/>
    <col min="10761" max="10761" width="13.75" style="326" customWidth="1"/>
    <col min="10762" max="10762" width="10" style="326" customWidth="1"/>
    <col min="10763" max="10763" width="13.25" style="326" customWidth="1"/>
    <col min="10764" max="10764" width="14.375" style="326" customWidth="1"/>
    <col min="10765" max="10765" width="10" style="326" customWidth="1"/>
    <col min="10766" max="10766" width="10.875" style="326" customWidth="1"/>
    <col min="10767" max="10767" width="11.375" style="326" customWidth="1"/>
    <col min="10768" max="10768" width="15.375" style="326" customWidth="1"/>
    <col min="10769" max="10770" width="10.75" style="326" customWidth="1"/>
    <col min="10771" max="10771" width="14.375" style="326" customWidth="1"/>
    <col min="10772" max="10772" width="10.75" style="326" customWidth="1"/>
    <col min="10773" max="10773" width="11.75" style="326" customWidth="1"/>
    <col min="10774" max="10774" width="10" style="326" customWidth="1"/>
    <col min="10775" max="10775" width="15.375" style="326" customWidth="1"/>
    <col min="10776" max="10776" width="10" style="326" customWidth="1"/>
    <col min="10777" max="10777" width="10.75" style="326" customWidth="1"/>
    <col min="10778" max="10778" width="14.875" style="326" customWidth="1"/>
    <col min="10779" max="10779" width="11.5" style="326" customWidth="1"/>
    <col min="10780" max="10780" width="10" style="326" customWidth="1"/>
    <col min="10781" max="10781" width="10.75" style="326" customWidth="1"/>
    <col min="10782" max="10782" width="13.5" style="326" customWidth="1"/>
    <col min="10783" max="10783" width="9" style="326"/>
    <col min="10784" max="10784" width="10.75" style="326" bestFit="1" customWidth="1"/>
    <col min="10785" max="10785" width="13.75" style="326" customWidth="1"/>
    <col min="10786" max="10786" width="9" style="326"/>
    <col min="10787" max="10787" width="10.625" style="326" customWidth="1"/>
    <col min="10788" max="10788" width="9" style="326"/>
    <col min="10789" max="10789" width="14.25" style="326" customWidth="1"/>
    <col min="10790" max="10790" width="10.75" style="326" bestFit="1" customWidth="1"/>
    <col min="10791" max="10791" width="11.625" style="326" customWidth="1"/>
    <col min="10792" max="10792" width="13.75" style="326" customWidth="1"/>
    <col min="10793" max="10793" width="10.625" style="326" customWidth="1"/>
    <col min="10794" max="10795" width="9" style="326"/>
    <col min="10796" max="10796" width="14.125" style="326" customWidth="1"/>
    <col min="10797" max="10797" width="11" style="326" customWidth="1"/>
    <col min="10798" max="10798" width="10.75" style="326" bestFit="1" customWidth="1"/>
    <col min="10799" max="10799" width="13.5" style="326" customWidth="1"/>
    <col min="10800" max="10801" width="9" style="326"/>
    <col min="10802" max="10802" width="10.75" style="326" bestFit="1" customWidth="1"/>
    <col min="10803" max="10803" width="14" style="326" customWidth="1"/>
    <col min="10804" max="10804" width="9" style="326"/>
    <col min="10805" max="10805" width="10.75" style="326" customWidth="1"/>
    <col min="10806" max="10806" width="12.75" style="326" customWidth="1"/>
    <col min="10807" max="10807" width="9" style="326"/>
    <col min="10808" max="10808" width="10.75" style="326" bestFit="1" customWidth="1"/>
    <col min="10809" max="10809" width="11.5" style="326" customWidth="1"/>
    <col min="10810" max="10810" width="13.625" style="326" customWidth="1"/>
    <col min="10811" max="10811" width="10.625" style="326" customWidth="1"/>
    <col min="10812" max="10812" width="10.75" style="326" bestFit="1" customWidth="1"/>
    <col min="10813" max="10813" width="12.375" style="326" customWidth="1"/>
    <col min="10814" max="10816" width="9" style="326"/>
    <col min="10817" max="10817" width="15.75" style="326" customWidth="1"/>
    <col min="10818" max="10818" width="9" style="326"/>
    <col min="10819" max="10819" width="10.75" style="326" bestFit="1" customWidth="1"/>
    <col min="10820" max="10820" width="12.625" style="326" customWidth="1"/>
    <col min="10821" max="10823" width="9" style="326"/>
    <col min="10824" max="10824" width="13.625" style="326" customWidth="1"/>
    <col min="10825" max="10825" width="9" style="326"/>
    <col min="10826" max="10826" width="10.75" style="326" bestFit="1" customWidth="1"/>
    <col min="10827" max="10827" width="12.5" style="326" customWidth="1"/>
    <col min="10828" max="10830" width="9" style="326"/>
    <col min="10831" max="10831" width="12.875" style="326" customWidth="1"/>
    <col min="10832" max="10832" width="9" style="326"/>
    <col min="10833" max="10833" width="10.75" style="326" bestFit="1" customWidth="1"/>
    <col min="10834" max="10834" width="13.875" style="326" customWidth="1"/>
    <col min="10835" max="10837" width="9" style="326"/>
    <col min="10838" max="10838" width="14.125" style="326" customWidth="1"/>
    <col min="10839" max="10839" width="9" style="326"/>
    <col min="10840" max="10840" width="10.75" style="326" bestFit="1" customWidth="1"/>
    <col min="10841" max="10841" width="13.25" style="326" customWidth="1"/>
    <col min="10842" max="10844" width="9" style="326"/>
    <col min="10845" max="10845" width="13.25" style="326" customWidth="1"/>
    <col min="10846" max="10846" width="9" style="326"/>
    <col min="10847" max="10847" width="10.75" style="326" bestFit="1" customWidth="1"/>
    <col min="10848" max="10848" width="13.875" style="326" customWidth="1"/>
    <col min="10849" max="10851" width="9" style="326"/>
    <col min="10852" max="10852" width="13.625" style="326" customWidth="1"/>
    <col min="10853" max="10853" width="9" style="326"/>
    <col min="10854" max="10854" width="10.75" style="326" bestFit="1" customWidth="1"/>
    <col min="10855" max="10855" width="13" style="326" customWidth="1"/>
    <col min="10856" max="11002" width="9" style="326"/>
    <col min="11003" max="11004" width="12.125" style="326" customWidth="1"/>
    <col min="11005" max="11007" width="13" style="326" customWidth="1"/>
    <col min="11008" max="11008" width="12.875" style="326" customWidth="1"/>
    <col min="11009" max="11009" width="13" style="326" customWidth="1"/>
    <col min="11010" max="11010" width="13.125" style="326" customWidth="1"/>
    <col min="11011" max="11012" width="12.125" style="326" customWidth="1"/>
    <col min="11013" max="11013" width="14.375" style="326" bestFit="1" customWidth="1"/>
    <col min="11014" max="11014" width="11" style="326" customWidth="1"/>
    <col min="11015" max="11015" width="10" style="326" customWidth="1"/>
    <col min="11016" max="11016" width="10.875" style="326" customWidth="1"/>
    <col min="11017" max="11017" width="13.75" style="326" customWidth="1"/>
    <col min="11018" max="11018" width="10" style="326" customWidth="1"/>
    <col min="11019" max="11019" width="13.25" style="326" customWidth="1"/>
    <col min="11020" max="11020" width="14.375" style="326" customWidth="1"/>
    <col min="11021" max="11021" width="10" style="326" customWidth="1"/>
    <col min="11022" max="11022" width="10.875" style="326" customWidth="1"/>
    <col min="11023" max="11023" width="11.375" style="326" customWidth="1"/>
    <col min="11024" max="11024" width="15.375" style="326" customWidth="1"/>
    <col min="11025" max="11026" width="10.75" style="326" customWidth="1"/>
    <col min="11027" max="11027" width="14.375" style="326" customWidth="1"/>
    <col min="11028" max="11028" width="10.75" style="326" customWidth="1"/>
    <col min="11029" max="11029" width="11.75" style="326" customWidth="1"/>
    <col min="11030" max="11030" width="10" style="326" customWidth="1"/>
    <col min="11031" max="11031" width="15.375" style="326" customWidth="1"/>
    <col min="11032" max="11032" width="10" style="326" customWidth="1"/>
    <col min="11033" max="11033" width="10.75" style="326" customWidth="1"/>
    <col min="11034" max="11034" width="14.875" style="326" customWidth="1"/>
    <col min="11035" max="11035" width="11.5" style="326" customWidth="1"/>
    <col min="11036" max="11036" width="10" style="326" customWidth="1"/>
    <col min="11037" max="11037" width="10.75" style="326" customWidth="1"/>
    <col min="11038" max="11038" width="13.5" style="326" customWidth="1"/>
    <col min="11039" max="11039" width="9" style="326"/>
    <col min="11040" max="11040" width="10.75" style="326" bestFit="1" customWidth="1"/>
    <col min="11041" max="11041" width="13.75" style="326" customWidth="1"/>
    <col min="11042" max="11042" width="9" style="326"/>
    <col min="11043" max="11043" width="10.625" style="326" customWidth="1"/>
    <col min="11044" max="11044" width="9" style="326"/>
    <col min="11045" max="11045" width="14.25" style="326" customWidth="1"/>
    <col min="11046" max="11046" width="10.75" style="326" bestFit="1" customWidth="1"/>
    <col min="11047" max="11047" width="11.625" style="326" customWidth="1"/>
    <col min="11048" max="11048" width="13.75" style="326" customWidth="1"/>
    <col min="11049" max="11049" width="10.625" style="326" customWidth="1"/>
    <col min="11050" max="11051" width="9" style="326"/>
    <col min="11052" max="11052" width="14.125" style="326" customWidth="1"/>
    <col min="11053" max="11053" width="11" style="326" customWidth="1"/>
    <col min="11054" max="11054" width="10.75" style="326" bestFit="1" customWidth="1"/>
    <col min="11055" max="11055" width="13.5" style="326" customWidth="1"/>
    <col min="11056" max="11057" width="9" style="326"/>
    <col min="11058" max="11058" width="10.75" style="326" bestFit="1" customWidth="1"/>
    <col min="11059" max="11059" width="14" style="326" customWidth="1"/>
    <col min="11060" max="11060" width="9" style="326"/>
    <col min="11061" max="11061" width="10.75" style="326" customWidth="1"/>
    <col min="11062" max="11062" width="12.75" style="326" customWidth="1"/>
    <col min="11063" max="11063" width="9" style="326"/>
    <col min="11064" max="11064" width="10.75" style="326" bestFit="1" customWidth="1"/>
    <col min="11065" max="11065" width="11.5" style="326" customWidth="1"/>
    <col min="11066" max="11066" width="13.625" style="326" customWidth="1"/>
    <col min="11067" max="11067" width="10.625" style="326" customWidth="1"/>
    <col min="11068" max="11068" width="10.75" style="326" bestFit="1" customWidth="1"/>
    <col min="11069" max="11069" width="12.375" style="326" customWidth="1"/>
    <col min="11070" max="11072" width="9" style="326"/>
    <col min="11073" max="11073" width="15.75" style="326" customWidth="1"/>
    <col min="11074" max="11074" width="9" style="326"/>
    <col min="11075" max="11075" width="10.75" style="326" bestFit="1" customWidth="1"/>
    <col min="11076" max="11076" width="12.625" style="326" customWidth="1"/>
    <col min="11077" max="11079" width="9" style="326"/>
    <col min="11080" max="11080" width="13.625" style="326" customWidth="1"/>
    <col min="11081" max="11081" width="9" style="326"/>
    <col min="11082" max="11082" width="10.75" style="326" bestFit="1" customWidth="1"/>
    <col min="11083" max="11083" width="12.5" style="326" customWidth="1"/>
    <col min="11084" max="11086" width="9" style="326"/>
    <col min="11087" max="11087" width="12.875" style="326" customWidth="1"/>
    <col min="11088" max="11088" width="9" style="326"/>
    <col min="11089" max="11089" width="10.75" style="326" bestFit="1" customWidth="1"/>
    <col min="11090" max="11090" width="13.875" style="326" customWidth="1"/>
    <col min="11091" max="11093" width="9" style="326"/>
    <col min="11094" max="11094" width="14.125" style="326" customWidth="1"/>
    <col min="11095" max="11095" width="9" style="326"/>
    <col min="11096" max="11096" width="10.75" style="326" bestFit="1" customWidth="1"/>
    <col min="11097" max="11097" width="13.25" style="326" customWidth="1"/>
    <col min="11098" max="11100" width="9" style="326"/>
    <col min="11101" max="11101" width="13.25" style="326" customWidth="1"/>
    <col min="11102" max="11102" width="9" style="326"/>
    <col min="11103" max="11103" width="10.75" style="326" bestFit="1" customWidth="1"/>
    <col min="11104" max="11104" width="13.875" style="326" customWidth="1"/>
    <col min="11105" max="11107" width="9" style="326"/>
    <col min="11108" max="11108" width="13.625" style="326" customWidth="1"/>
    <col min="11109" max="11109" width="9" style="326"/>
    <col min="11110" max="11110" width="10.75" style="326" bestFit="1" customWidth="1"/>
    <col min="11111" max="11111" width="13" style="326" customWidth="1"/>
    <col min="11112" max="11258" width="9" style="326"/>
    <col min="11259" max="11260" width="12.125" style="326" customWidth="1"/>
    <col min="11261" max="11263" width="13" style="326" customWidth="1"/>
    <col min="11264" max="11264" width="12.875" style="326" customWidth="1"/>
    <col min="11265" max="11265" width="13" style="326" customWidth="1"/>
    <col min="11266" max="11266" width="13.125" style="326" customWidth="1"/>
    <col min="11267" max="11268" width="12.125" style="326" customWidth="1"/>
    <col min="11269" max="11269" width="14.375" style="326" bestFit="1" customWidth="1"/>
    <col min="11270" max="11270" width="11" style="326" customWidth="1"/>
    <col min="11271" max="11271" width="10" style="326" customWidth="1"/>
    <col min="11272" max="11272" width="10.875" style="326" customWidth="1"/>
    <col min="11273" max="11273" width="13.75" style="326" customWidth="1"/>
    <col min="11274" max="11274" width="10" style="326" customWidth="1"/>
    <col min="11275" max="11275" width="13.25" style="326" customWidth="1"/>
    <col min="11276" max="11276" width="14.375" style="326" customWidth="1"/>
    <col min="11277" max="11277" width="10" style="326" customWidth="1"/>
    <col min="11278" max="11278" width="10.875" style="326" customWidth="1"/>
    <col min="11279" max="11279" width="11.375" style="326" customWidth="1"/>
    <col min="11280" max="11280" width="15.375" style="326" customWidth="1"/>
    <col min="11281" max="11282" width="10.75" style="326" customWidth="1"/>
    <col min="11283" max="11283" width="14.375" style="326" customWidth="1"/>
    <col min="11284" max="11284" width="10.75" style="326" customWidth="1"/>
    <col min="11285" max="11285" width="11.75" style="326" customWidth="1"/>
    <col min="11286" max="11286" width="10" style="326" customWidth="1"/>
    <col min="11287" max="11287" width="15.375" style="326" customWidth="1"/>
    <col min="11288" max="11288" width="10" style="326" customWidth="1"/>
    <col min="11289" max="11289" width="10.75" style="326" customWidth="1"/>
    <col min="11290" max="11290" width="14.875" style="326" customWidth="1"/>
    <col min="11291" max="11291" width="11.5" style="326" customWidth="1"/>
    <col min="11292" max="11292" width="10" style="326" customWidth="1"/>
    <col min="11293" max="11293" width="10.75" style="326" customWidth="1"/>
    <col min="11294" max="11294" width="13.5" style="326" customWidth="1"/>
    <col min="11295" max="11295" width="9" style="326"/>
    <col min="11296" max="11296" width="10.75" style="326" bestFit="1" customWidth="1"/>
    <col min="11297" max="11297" width="13.75" style="326" customWidth="1"/>
    <col min="11298" max="11298" width="9" style="326"/>
    <col min="11299" max="11299" width="10.625" style="326" customWidth="1"/>
    <col min="11300" max="11300" width="9" style="326"/>
    <col min="11301" max="11301" width="14.25" style="326" customWidth="1"/>
    <col min="11302" max="11302" width="10.75" style="326" bestFit="1" customWidth="1"/>
    <col min="11303" max="11303" width="11.625" style="326" customWidth="1"/>
    <col min="11304" max="11304" width="13.75" style="326" customWidth="1"/>
    <col min="11305" max="11305" width="10.625" style="326" customWidth="1"/>
    <col min="11306" max="11307" width="9" style="326"/>
    <col min="11308" max="11308" width="14.125" style="326" customWidth="1"/>
    <col min="11309" max="11309" width="11" style="326" customWidth="1"/>
    <col min="11310" max="11310" width="10.75" style="326" bestFit="1" customWidth="1"/>
    <col min="11311" max="11311" width="13.5" style="326" customWidth="1"/>
    <col min="11312" max="11313" width="9" style="326"/>
    <col min="11314" max="11314" width="10.75" style="326" bestFit="1" customWidth="1"/>
    <col min="11315" max="11315" width="14" style="326" customWidth="1"/>
    <col min="11316" max="11316" width="9" style="326"/>
    <col min="11317" max="11317" width="10.75" style="326" customWidth="1"/>
    <col min="11318" max="11318" width="12.75" style="326" customWidth="1"/>
    <col min="11319" max="11319" width="9" style="326"/>
    <col min="11320" max="11320" width="10.75" style="326" bestFit="1" customWidth="1"/>
    <col min="11321" max="11321" width="11.5" style="326" customWidth="1"/>
    <col min="11322" max="11322" width="13.625" style="326" customWidth="1"/>
    <col min="11323" max="11323" width="10.625" style="326" customWidth="1"/>
    <col min="11324" max="11324" width="10.75" style="326" bestFit="1" customWidth="1"/>
    <col min="11325" max="11325" width="12.375" style="326" customWidth="1"/>
    <col min="11326" max="11328" width="9" style="326"/>
    <col min="11329" max="11329" width="15.75" style="326" customWidth="1"/>
    <col min="11330" max="11330" width="9" style="326"/>
    <col min="11331" max="11331" width="10.75" style="326" bestFit="1" customWidth="1"/>
    <col min="11332" max="11332" width="12.625" style="326" customWidth="1"/>
    <col min="11333" max="11335" width="9" style="326"/>
    <col min="11336" max="11336" width="13.625" style="326" customWidth="1"/>
    <col min="11337" max="11337" width="9" style="326"/>
    <col min="11338" max="11338" width="10.75" style="326" bestFit="1" customWidth="1"/>
    <col min="11339" max="11339" width="12.5" style="326" customWidth="1"/>
    <col min="11340" max="11342" width="9" style="326"/>
    <col min="11343" max="11343" width="12.875" style="326" customWidth="1"/>
    <col min="11344" max="11344" width="9" style="326"/>
    <col min="11345" max="11345" width="10.75" style="326" bestFit="1" customWidth="1"/>
    <col min="11346" max="11346" width="13.875" style="326" customWidth="1"/>
    <col min="11347" max="11349" width="9" style="326"/>
    <col min="11350" max="11350" width="14.125" style="326" customWidth="1"/>
    <col min="11351" max="11351" width="9" style="326"/>
    <col min="11352" max="11352" width="10.75" style="326" bestFit="1" customWidth="1"/>
    <col min="11353" max="11353" width="13.25" style="326" customWidth="1"/>
    <col min="11354" max="11356" width="9" style="326"/>
    <col min="11357" max="11357" width="13.25" style="326" customWidth="1"/>
    <col min="11358" max="11358" width="9" style="326"/>
    <col min="11359" max="11359" width="10.75" style="326" bestFit="1" customWidth="1"/>
    <col min="11360" max="11360" width="13.875" style="326" customWidth="1"/>
    <col min="11361" max="11363" width="9" style="326"/>
    <col min="11364" max="11364" width="13.625" style="326" customWidth="1"/>
    <col min="11365" max="11365" width="9" style="326"/>
    <col min="11366" max="11366" width="10.75" style="326" bestFit="1" customWidth="1"/>
    <col min="11367" max="11367" width="13" style="326" customWidth="1"/>
    <col min="11368" max="11514" width="9" style="326"/>
    <col min="11515" max="11516" width="12.125" style="326" customWidth="1"/>
    <col min="11517" max="11519" width="13" style="326" customWidth="1"/>
    <col min="11520" max="11520" width="12.875" style="326" customWidth="1"/>
    <col min="11521" max="11521" width="13" style="326" customWidth="1"/>
    <col min="11522" max="11522" width="13.125" style="326" customWidth="1"/>
    <col min="11523" max="11524" width="12.125" style="326" customWidth="1"/>
    <col min="11525" max="11525" width="14.375" style="326" bestFit="1" customWidth="1"/>
    <col min="11526" max="11526" width="11" style="326" customWidth="1"/>
    <col min="11527" max="11527" width="10" style="326" customWidth="1"/>
    <col min="11528" max="11528" width="10.875" style="326" customWidth="1"/>
    <col min="11529" max="11529" width="13.75" style="326" customWidth="1"/>
    <col min="11530" max="11530" width="10" style="326" customWidth="1"/>
    <col min="11531" max="11531" width="13.25" style="326" customWidth="1"/>
    <col min="11532" max="11532" width="14.375" style="326" customWidth="1"/>
    <col min="11533" max="11533" width="10" style="326" customWidth="1"/>
    <col min="11534" max="11534" width="10.875" style="326" customWidth="1"/>
    <col min="11535" max="11535" width="11.375" style="326" customWidth="1"/>
    <col min="11536" max="11536" width="15.375" style="326" customWidth="1"/>
    <col min="11537" max="11538" width="10.75" style="326" customWidth="1"/>
    <col min="11539" max="11539" width="14.375" style="326" customWidth="1"/>
    <col min="11540" max="11540" width="10.75" style="326" customWidth="1"/>
    <col min="11541" max="11541" width="11.75" style="326" customWidth="1"/>
    <col min="11542" max="11542" width="10" style="326" customWidth="1"/>
    <col min="11543" max="11543" width="15.375" style="326" customWidth="1"/>
    <col min="11544" max="11544" width="10" style="326" customWidth="1"/>
    <col min="11545" max="11545" width="10.75" style="326" customWidth="1"/>
    <col min="11546" max="11546" width="14.875" style="326" customWidth="1"/>
    <col min="11547" max="11547" width="11.5" style="326" customWidth="1"/>
    <col min="11548" max="11548" width="10" style="326" customWidth="1"/>
    <col min="11549" max="11549" width="10.75" style="326" customWidth="1"/>
    <col min="11550" max="11550" width="13.5" style="326" customWidth="1"/>
    <col min="11551" max="11551" width="9" style="326"/>
    <col min="11552" max="11552" width="10.75" style="326" bestFit="1" customWidth="1"/>
    <col min="11553" max="11553" width="13.75" style="326" customWidth="1"/>
    <col min="11554" max="11554" width="9" style="326"/>
    <col min="11555" max="11555" width="10.625" style="326" customWidth="1"/>
    <col min="11556" max="11556" width="9" style="326"/>
    <col min="11557" max="11557" width="14.25" style="326" customWidth="1"/>
    <col min="11558" max="11558" width="10.75" style="326" bestFit="1" customWidth="1"/>
    <col min="11559" max="11559" width="11.625" style="326" customWidth="1"/>
    <col min="11560" max="11560" width="13.75" style="326" customWidth="1"/>
    <col min="11561" max="11561" width="10.625" style="326" customWidth="1"/>
    <col min="11562" max="11563" width="9" style="326"/>
    <col min="11564" max="11564" width="14.125" style="326" customWidth="1"/>
    <col min="11565" max="11565" width="11" style="326" customWidth="1"/>
    <col min="11566" max="11566" width="10.75" style="326" bestFit="1" customWidth="1"/>
    <col min="11567" max="11567" width="13.5" style="326" customWidth="1"/>
    <col min="11568" max="11569" width="9" style="326"/>
    <col min="11570" max="11570" width="10.75" style="326" bestFit="1" customWidth="1"/>
    <col min="11571" max="11571" width="14" style="326" customWidth="1"/>
    <col min="11572" max="11572" width="9" style="326"/>
    <col min="11573" max="11573" width="10.75" style="326" customWidth="1"/>
    <col min="11574" max="11574" width="12.75" style="326" customWidth="1"/>
    <col min="11575" max="11575" width="9" style="326"/>
    <col min="11576" max="11576" width="10.75" style="326" bestFit="1" customWidth="1"/>
    <col min="11577" max="11577" width="11.5" style="326" customWidth="1"/>
    <col min="11578" max="11578" width="13.625" style="326" customWidth="1"/>
    <col min="11579" max="11579" width="10.625" style="326" customWidth="1"/>
    <col min="11580" max="11580" width="10.75" style="326" bestFit="1" customWidth="1"/>
    <col min="11581" max="11581" width="12.375" style="326" customWidth="1"/>
    <col min="11582" max="11584" width="9" style="326"/>
    <col min="11585" max="11585" width="15.75" style="326" customWidth="1"/>
    <col min="11586" max="11586" width="9" style="326"/>
    <col min="11587" max="11587" width="10.75" style="326" bestFit="1" customWidth="1"/>
    <col min="11588" max="11588" width="12.625" style="326" customWidth="1"/>
    <col min="11589" max="11591" width="9" style="326"/>
    <col min="11592" max="11592" width="13.625" style="326" customWidth="1"/>
    <col min="11593" max="11593" width="9" style="326"/>
    <col min="11594" max="11594" width="10.75" style="326" bestFit="1" customWidth="1"/>
    <col min="11595" max="11595" width="12.5" style="326" customWidth="1"/>
    <col min="11596" max="11598" width="9" style="326"/>
    <col min="11599" max="11599" width="12.875" style="326" customWidth="1"/>
    <col min="11600" max="11600" width="9" style="326"/>
    <col min="11601" max="11601" width="10.75" style="326" bestFit="1" customWidth="1"/>
    <col min="11602" max="11602" width="13.875" style="326" customWidth="1"/>
    <col min="11603" max="11605" width="9" style="326"/>
    <col min="11606" max="11606" width="14.125" style="326" customWidth="1"/>
    <col min="11607" max="11607" width="9" style="326"/>
    <col min="11608" max="11608" width="10.75" style="326" bestFit="1" customWidth="1"/>
    <col min="11609" max="11609" width="13.25" style="326" customWidth="1"/>
    <col min="11610" max="11612" width="9" style="326"/>
    <col min="11613" max="11613" width="13.25" style="326" customWidth="1"/>
    <col min="11614" max="11614" width="9" style="326"/>
    <col min="11615" max="11615" width="10.75" style="326" bestFit="1" customWidth="1"/>
    <col min="11616" max="11616" width="13.875" style="326" customWidth="1"/>
    <col min="11617" max="11619" width="9" style="326"/>
    <col min="11620" max="11620" width="13.625" style="326" customWidth="1"/>
    <col min="11621" max="11621" width="9" style="326"/>
    <col min="11622" max="11622" width="10.75" style="326" bestFit="1" customWidth="1"/>
    <col min="11623" max="11623" width="13" style="326" customWidth="1"/>
    <col min="11624" max="11770" width="9" style="326"/>
    <col min="11771" max="11772" width="12.125" style="326" customWidth="1"/>
    <col min="11773" max="11775" width="13" style="326" customWidth="1"/>
    <col min="11776" max="11776" width="12.875" style="326" customWidth="1"/>
    <col min="11777" max="11777" width="13" style="326" customWidth="1"/>
    <col min="11778" max="11778" width="13.125" style="326" customWidth="1"/>
    <col min="11779" max="11780" width="12.125" style="326" customWidth="1"/>
    <col min="11781" max="11781" width="14.375" style="326" bestFit="1" customWidth="1"/>
    <col min="11782" max="11782" width="11" style="326" customWidth="1"/>
    <col min="11783" max="11783" width="10" style="326" customWidth="1"/>
    <col min="11784" max="11784" width="10.875" style="326" customWidth="1"/>
    <col min="11785" max="11785" width="13.75" style="326" customWidth="1"/>
    <col min="11786" max="11786" width="10" style="326" customWidth="1"/>
    <col min="11787" max="11787" width="13.25" style="326" customWidth="1"/>
    <col min="11788" max="11788" width="14.375" style="326" customWidth="1"/>
    <col min="11789" max="11789" width="10" style="326" customWidth="1"/>
    <col min="11790" max="11790" width="10.875" style="326" customWidth="1"/>
    <col min="11791" max="11791" width="11.375" style="326" customWidth="1"/>
    <col min="11792" max="11792" width="15.375" style="326" customWidth="1"/>
    <col min="11793" max="11794" width="10.75" style="326" customWidth="1"/>
    <col min="11795" max="11795" width="14.375" style="326" customWidth="1"/>
    <col min="11796" max="11796" width="10.75" style="326" customWidth="1"/>
    <col min="11797" max="11797" width="11.75" style="326" customWidth="1"/>
    <col min="11798" max="11798" width="10" style="326" customWidth="1"/>
    <col min="11799" max="11799" width="15.375" style="326" customWidth="1"/>
    <col min="11800" max="11800" width="10" style="326" customWidth="1"/>
    <col min="11801" max="11801" width="10.75" style="326" customWidth="1"/>
    <col min="11802" max="11802" width="14.875" style="326" customWidth="1"/>
    <col min="11803" max="11803" width="11.5" style="326" customWidth="1"/>
    <col min="11804" max="11804" width="10" style="326" customWidth="1"/>
    <col min="11805" max="11805" width="10.75" style="326" customWidth="1"/>
    <col min="11806" max="11806" width="13.5" style="326" customWidth="1"/>
    <col min="11807" max="11807" width="9" style="326"/>
    <col min="11808" max="11808" width="10.75" style="326" bestFit="1" customWidth="1"/>
    <col min="11809" max="11809" width="13.75" style="326" customWidth="1"/>
    <col min="11810" max="11810" width="9" style="326"/>
    <col min="11811" max="11811" width="10.625" style="326" customWidth="1"/>
    <col min="11812" max="11812" width="9" style="326"/>
    <col min="11813" max="11813" width="14.25" style="326" customWidth="1"/>
    <col min="11814" max="11814" width="10.75" style="326" bestFit="1" customWidth="1"/>
    <col min="11815" max="11815" width="11.625" style="326" customWidth="1"/>
    <col min="11816" max="11816" width="13.75" style="326" customWidth="1"/>
    <col min="11817" max="11817" width="10.625" style="326" customWidth="1"/>
    <col min="11818" max="11819" width="9" style="326"/>
    <col min="11820" max="11820" width="14.125" style="326" customWidth="1"/>
    <col min="11821" max="11821" width="11" style="326" customWidth="1"/>
    <col min="11822" max="11822" width="10.75" style="326" bestFit="1" customWidth="1"/>
    <col min="11823" max="11823" width="13.5" style="326" customWidth="1"/>
    <col min="11824" max="11825" width="9" style="326"/>
    <col min="11826" max="11826" width="10.75" style="326" bestFit="1" customWidth="1"/>
    <col min="11827" max="11827" width="14" style="326" customWidth="1"/>
    <col min="11828" max="11828" width="9" style="326"/>
    <col min="11829" max="11829" width="10.75" style="326" customWidth="1"/>
    <col min="11830" max="11830" width="12.75" style="326" customWidth="1"/>
    <col min="11831" max="11831" width="9" style="326"/>
    <col min="11832" max="11832" width="10.75" style="326" bestFit="1" customWidth="1"/>
    <col min="11833" max="11833" width="11.5" style="326" customWidth="1"/>
    <col min="11834" max="11834" width="13.625" style="326" customWidth="1"/>
    <col min="11835" max="11835" width="10.625" style="326" customWidth="1"/>
    <col min="11836" max="11836" width="10.75" style="326" bestFit="1" customWidth="1"/>
    <col min="11837" max="11837" width="12.375" style="326" customWidth="1"/>
    <col min="11838" max="11840" width="9" style="326"/>
    <col min="11841" max="11841" width="15.75" style="326" customWidth="1"/>
    <col min="11842" max="11842" width="9" style="326"/>
    <col min="11843" max="11843" width="10.75" style="326" bestFit="1" customWidth="1"/>
    <col min="11844" max="11844" width="12.625" style="326" customWidth="1"/>
    <col min="11845" max="11847" width="9" style="326"/>
    <col min="11848" max="11848" width="13.625" style="326" customWidth="1"/>
    <col min="11849" max="11849" width="9" style="326"/>
    <col min="11850" max="11850" width="10.75" style="326" bestFit="1" customWidth="1"/>
    <col min="11851" max="11851" width="12.5" style="326" customWidth="1"/>
    <col min="11852" max="11854" width="9" style="326"/>
    <col min="11855" max="11855" width="12.875" style="326" customWidth="1"/>
    <col min="11856" max="11856" width="9" style="326"/>
    <col min="11857" max="11857" width="10.75" style="326" bestFit="1" customWidth="1"/>
    <col min="11858" max="11858" width="13.875" style="326" customWidth="1"/>
    <col min="11859" max="11861" width="9" style="326"/>
    <col min="11862" max="11862" width="14.125" style="326" customWidth="1"/>
    <col min="11863" max="11863" width="9" style="326"/>
    <col min="11864" max="11864" width="10.75" style="326" bestFit="1" customWidth="1"/>
    <col min="11865" max="11865" width="13.25" style="326" customWidth="1"/>
    <col min="11866" max="11868" width="9" style="326"/>
    <col min="11869" max="11869" width="13.25" style="326" customWidth="1"/>
    <col min="11870" max="11870" width="9" style="326"/>
    <col min="11871" max="11871" width="10.75" style="326" bestFit="1" customWidth="1"/>
    <col min="11872" max="11872" width="13.875" style="326" customWidth="1"/>
    <col min="11873" max="11875" width="9" style="326"/>
    <col min="11876" max="11876" width="13.625" style="326" customWidth="1"/>
    <col min="11877" max="11877" width="9" style="326"/>
    <col min="11878" max="11878" width="10.75" style="326" bestFit="1" customWidth="1"/>
    <col min="11879" max="11879" width="13" style="326" customWidth="1"/>
    <col min="11880" max="12026" width="9" style="326"/>
    <col min="12027" max="12028" width="12.125" style="326" customWidth="1"/>
    <col min="12029" max="12031" width="13" style="326" customWidth="1"/>
    <col min="12032" max="12032" width="12.875" style="326" customWidth="1"/>
    <col min="12033" max="12033" width="13" style="326" customWidth="1"/>
    <col min="12034" max="12034" width="13.125" style="326" customWidth="1"/>
    <col min="12035" max="12036" width="12.125" style="326" customWidth="1"/>
    <col min="12037" max="12037" width="14.375" style="326" bestFit="1" customWidth="1"/>
    <col min="12038" max="12038" width="11" style="326" customWidth="1"/>
    <col min="12039" max="12039" width="10" style="326" customWidth="1"/>
    <col min="12040" max="12040" width="10.875" style="326" customWidth="1"/>
    <col min="12041" max="12041" width="13.75" style="326" customWidth="1"/>
    <col min="12042" max="12042" width="10" style="326" customWidth="1"/>
    <col min="12043" max="12043" width="13.25" style="326" customWidth="1"/>
    <col min="12044" max="12044" width="14.375" style="326" customWidth="1"/>
    <col min="12045" max="12045" width="10" style="326" customWidth="1"/>
    <col min="12046" max="12046" width="10.875" style="326" customWidth="1"/>
    <col min="12047" max="12047" width="11.375" style="326" customWidth="1"/>
    <col min="12048" max="12048" width="15.375" style="326" customWidth="1"/>
    <col min="12049" max="12050" width="10.75" style="326" customWidth="1"/>
    <col min="12051" max="12051" width="14.375" style="326" customWidth="1"/>
    <col min="12052" max="12052" width="10.75" style="326" customWidth="1"/>
    <col min="12053" max="12053" width="11.75" style="326" customWidth="1"/>
    <col min="12054" max="12054" width="10" style="326" customWidth="1"/>
    <col min="12055" max="12055" width="15.375" style="326" customWidth="1"/>
    <col min="12056" max="12056" width="10" style="326" customWidth="1"/>
    <col min="12057" max="12057" width="10.75" style="326" customWidth="1"/>
    <col min="12058" max="12058" width="14.875" style="326" customWidth="1"/>
    <col min="12059" max="12059" width="11.5" style="326" customWidth="1"/>
    <col min="12060" max="12060" width="10" style="326" customWidth="1"/>
    <col min="12061" max="12061" width="10.75" style="326" customWidth="1"/>
    <col min="12062" max="12062" width="13.5" style="326" customWidth="1"/>
    <col min="12063" max="12063" width="9" style="326"/>
    <col min="12064" max="12064" width="10.75" style="326" bestFit="1" customWidth="1"/>
    <col min="12065" max="12065" width="13.75" style="326" customWidth="1"/>
    <col min="12066" max="12066" width="9" style="326"/>
    <col min="12067" max="12067" width="10.625" style="326" customWidth="1"/>
    <col min="12068" max="12068" width="9" style="326"/>
    <col min="12069" max="12069" width="14.25" style="326" customWidth="1"/>
    <col min="12070" max="12070" width="10.75" style="326" bestFit="1" customWidth="1"/>
    <col min="12071" max="12071" width="11.625" style="326" customWidth="1"/>
    <col min="12072" max="12072" width="13.75" style="326" customWidth="1"/>
    <col min="12073" max="12073" width="10.625" style="326" customWidth="1"/>
    <col min="12074" max="12075" width="9" style="326"/>
    <col min="12076" max="12076" width="14.125" style="326" customWidth="1"/>
    <col min="12077" max="12077" width="11" style="326" customWidth="1"/>
    <col min="12078" max="12078" width="10.75" style="326" bestFit="1" customWidth="1"/>
    <col min="12079" max="12079" width="13.5" style="326" customWidth="1"/>
    <col min="12080" max="12081" width="9" style="326"/>
    <col min="12082" max="12082" width="10.75" style="326" bestFit="1" customWidth="1"/>
    <col min="12083" max="12083" width="14" style="326" customWidth="1"/>
    <col min="12084" max="12084" width="9" style="326"/>
    <col min="12085" max="12085" width="10.75" style="326" customWidth="1"/>
    <col min="12086" max="12086" width="12.75" style="326" customWidth="1"/>
    <col min="12087" max="12087" width="9" style="326"/>
    <col min="12088" max="12088" width="10.75" style="326" bestFit="1" customWidth="1"/>
    <col min="12089" max="12089" width="11.5" style="326" customWidth="1"/>
    <col min="12090" max="12090" width="13.625" style="326" customWidth="1"/>
    <col min="12091" max="12091" width="10.625" style="326" customWidth="1"/>
    <col min="12092" max="12092" width="10.75" style="326" bestFit="1" customWidth="1"/>
    <col min="12093" max="12093" width="12.375" style="326" customWidth="1"/>
    <col min="12094" max="12096" width="9" style="326"/>
    <col min="12097" max="12097" width="15.75" style="326" customWidth="1"/>
    <col min="12098" max="12098" width="9" style="326"/>
    <col min="12099" max="12099" width="10.75" style="326" bestFit="1" customWidth="1"/>
    <col min="12100" max="12100" width="12.625" style="326" customWidth="1"/>
    <col min="12101" max="12103" width="9" style="326"/>
    <col min="12104" max="12104" width="13.625" style="326" customWidth="1"/>
    <col min="12105" max="12105" width="9" style="326"/>
    <col min="12106" max="12106" width="10.75" style="326" bestFit="1" customWidth="1"/>
    <col min="12107" max="12107" width="12.5" style="326" customWidth="1"/>
    <col min="12108" max="12110" width="9" style="326"/>
    <col min="12111" max="12111" width="12.875" style="326" customWidth="1"/>
    <col min="12112" max="12112" width="9" style="326"/>
    <col min="12113" max="12113" width="10.75" style="326" bestFit="1" customWidth="1"/>
    <col min="12114" max="12114" width="13.875" style="326" customWidth="1"/>
    <col min="12115" max="12117" width="9" style="326"/>
    <col min="12118" max="12118" width="14.125" style="326" customWidth="1"/>
    <col min="12119" max="12119" width="9" style="326"/>
    <col min="12120" max="12120" width="10.75" style="326" bestFit="1" customWidth="1"/>
    <col min="12121" max="12121" width="13.25" style="326" customWidth="1"/>
    <col min="12122" max="12124" width="9" style="326"/>
    <col min="12125" max="12125" width="13.25" style="326" customWidth="1"/>
    <col min="12126" max="12126" width="9" style="326"/>
    <col min="12127" max="12127" width="10.75" style="326" bestFit="1" customWidth="1"/>
    <col min="12128" max="12128" width="13.875" style="326" customWidth="1"/>
    <col min="12129" max="12131" width="9" style="326"/>
    <col min="12132" max="12132" width="13.625" style="326" customWidth="1"/>
    <col min="12133" max="12133" width="9" style="326"/>
    <col min="12134" max="12134" width="10.75" style="326" bestFit="1" customWidth="1"/>
    <col min="12135" max="12135" width="13" style="326" customWidth="1"/>
    <col min="12136" max="12282" width="9" style="326"/>
    <col min="12283" max="12284" width="12.125" style="326" customWidth="1"/>
    <col min="12285" max="12287" width="13" style="326" customWidth="1"/>
    <col min="12288" max="12288" width="12.875" style="326" customWidth="1"/>
    <col min="12289" max="12289" width="13" style="326" customWidth="1"/>
    <col min="12290" max="12290" width="13.125" style="326" customWidth="1"/>
    <col min="12291" max="12292" width="12.125" style="326" customWidth="1"/>
    <col min="12293" max="12293" width="14.375" style="326" bestFit="1" customWidth="1"/>
    <col min="12294" max="12294" width="11" style="326" customWidth="1"/>
    <col min="12295" max="12295" width="10" style="326" customWidth="1"/>
    <col min="12296" max="12296" width="10.875" style="326" customWidth="1"/>
    <col min="12297" max="12297" width="13.75" style="326" customWidth="1"/>
    <col min="12298" max="12298" width="10" style="326" customWidth="1"/>
    <col min="12299" max="12299" width="13.25" style="326" customWidth="1"/>
    <col min="12300" max="12300" width="14.375" style="326" customWidth="1"/>
    <col min="12301" max="12301" width="10" style="326" customWidth="1"/>
    <col min="12302" max="12302" width="10.875" style="326" customWidth="1"/>
    <col min="12303" max="12303" width="11.375" style="326" customWidth="1"/>
    <col min="12304" max="12304" width="15.375" style="326" customWidth="1"/>
    <col min="12305" max="12306" width="10.75" style="326" customWidth="1"/>
    <col min="12307" max="12307" width="14.375" style="326" customWidth="1"/>
    <col min="12308" max="12308" width="10.75" style="326" customWidth="1"/>
    <col min="12309" max="12309" width="11.75" style="326" customWidth="1"/>
    <col min="12310" max="12310" width="10" style="326" customWidth="1"/>
    <col min="12311" max="12311" width="15.375" style="326" customWidth="1"/>
    <col min="12312" max="12312" width="10" style="326" customWidth="1"/>
    <col min="12313" max="12313" width="10.75" style="326" customWidth="1"/>
    <col min="12314" max="12314" width="14.875" style="326" customWidth="1"/>
    <col min="12315" max="12315" width="11.5" style="326" customWidth="1"/>
    <col min="12316" max="12316" width="10" style="326" customWidth="1"/>
    <col min="12317" max="12317" width="10.75" style="326" customWidth="1"/>
    <col min="12318" max="12318" width="13.5" style="326" customWidth="1"/>
    <col min="12319" max="12319" width="9" style="326"/>
    <col min="12320" max="12320" width="10.75" style="326" bestFit="1" customWidth="1"/>
    <col min="12321" max="12321" width="13.75" style="326" customWidth="1"/>
    <col min="12322" max="12322" width="9" style="326"/>
    <col min="12323" max="12323" width="10.625" style="326" customWidth="1"/>
    <col min="12324" max="12324" width="9" style="326"/>
    <col min="12325" max="12325" width="14.25" style="326" customWidth="1"/>
    <col min="12326" max="12326" width="10.75" style="326" bestFit="1" customWidth="1"/>
    <col min="12327" max="12327" width="11.625" style="326" customWidth="1"/>
    <col min="12328" max="12328" width="13.75" style="326" customWidth="1"/>
    <col min="12329" max="12329" width="10.625" style="326" customWidth="1"/>
    <col min="12330" max="12331" width="9" style="326"/>
    <col min="12332" max="12332" width="14.125" style="326" customWidth="1"/>
    <col min="12333" max="12333" width="11" style="326" customWidth="1"/>
    <col min="12334" max="12334" width="10.75" style="326" bestFit="1" customWidth="1"/>
    <col min="12335" max="12335" width="13.5" style="326" customWidth="1"/>
    <col min="12336" max="12337" width="9" style="326"/>
    <col min="12338" max="12338" width="10.75" style="326" bestFit="1" customWidth="1"/>
    <col min="12339" max="12339" width="14" style="326" customWidth="1"/>
    <col min="12340" max="12340" width="9" style="326"/>
    <col min="12341" max="12341" width="10.75" style="326" customWidth="1"/>
    <col min="12342" max="12342" width="12.75" style="326" customWidth="1"/>
    <col min="12343" max="12343" width="9" style="326"/>
    <col min="12344" max="12344" width="10.75" style="326" bestFit="1" customWidth="1"/>
    <col min="12345" max="12345" width="11.5" style="326" customWidth="1"/>
    <col min="12346" max="12346" width="13.625" style="326" customWidth="1"/>
    <col min="12347" max="12347" width="10.625" style="326" customWidth="1"/>
    <col min="12348" max="12348" width="10.75" style="326" bestFit="1" customWidth="1"/>
    <col min="12349" max="12349" width="12.375" style="326" customWidth="1"/>
    <col min="12350" max="12352" width="9" style="326"/>
    <col min="12353" max="12353" width="15.75" style="326" customWidth="1"/>
    <col min="12354" max="12354" width="9" style="326"/>
    <col min="12355" max="12355" width="10.75" style="326" bestFit="1" customWidth="1"/>
    <col min="12356" max="12356" width="12.625" style="326" customWidth="1"/>
    <col min="12357" max="12359" width="9" style="326"/>
    <col min="12360" max="12360" width="13.625" style="326" customWidth="1"/>
    <col min="12361" max="12361" width="9" style="326"/>
    <col min="12362" max="12362" width="10.75" style="326" bestFit="1" customWidth="1"/>
    <col min="12363" max="12363" width="12.5" style="326" customWidth="1"/>
    <col min="12364" max="12366" width="9" style="326"/>
    <col min="12367" max="12367" width="12.875" style="326" customWidth="1"/>
    <col min="12368" max="12368" width="9" style="326"/>
    <col min="12369" max="12369" width="10.75" style="326" bestFit="1" customWidth="1"/>
    <col min="12370" max="12370" width="13.875" style="326" customWidth="1"/>
    <col min="12371" max="12373" width="9" style="326"/>
    <col min="12374" max="12374" width="14.125" style="326" customWidth="1"/>
    <col min="12375" max="12375" width="9" style="326"/>
    <col min="12376" max="12376" width="10.75" style="326" bestFit="1" customWidth="1"/>
    <col min="12377" max="12377" width="13.25" style="326" customWidth="1"/>
    <col min="12378" max="12380" width="9" style="326"/>
    <col min="12381" max="12381" width="13.25" style="326" customWidth="1"/>
    <col min="12382" max="12382" width="9" style="326"/>
    <col min="12383" max="12383" width="10.75" style="326" bestFit="1" customWidth="1"/>
    <col min="12384" max="12384" width="13.875" style="326" customWidth="1"/>
    <col min="12385" max="12387" width="9" style="326"/>
    <col min="12388" max="12388" width="13.625" style="326" customWidth="1"/>
    <col min="12389" max="12389" width="9" style="326"/>
    <col min="12390" max="12390" width="10.75" style="326" bestFit="1" customWidth="1"/>
    <col min="12391" max="12391" width="13" style="326" customWidth="1"/>
    <col min="12392" max="12538" width="9" style="326"/>
    <col min="12539" max="12540" width="12.125" style="326" customWidth="1"/>
    <col min="12541" max="12543" width="13" style="326" customWidth="1"/>
    <col min="12544" max="12544" width="12.875" style="326" customWidth="1"/>
    <col min="12545" max="12545" width="13" style="326" customWidth="1"/>
    <col min="12546" max="12546" width="13.125" style="326" customWidth="1"/>
    <col min="12547" max="12548" width="12.125" style="326" customWidth="1"/>
    <col min="12549" max="12549" width="14.375" style="326" bestFit="1" customWidth="1"/>
    <col min="12550" max="12550" width="11" style="326" customWidth="1"/>
    <col min="12551" max="12551" width="10" style="326" customWidth="1"/>
    <col min="12552" max="12552" width="10.875" style="326" customWidth="1"/>
    <col min="12553" max="12553" width="13.75" style="326" customWidth="1"/>
    <col min="12554" max="12554" width="10" style="326" customWidth="1"/>
    <col min="12555" max="12555" width="13.25" style="326" customWidth="1"/>
    <col min="12556" max="12556" width="14.375" style="326" customWidth="1"/>
    <col min="12557" max="12557" width="10" style="326" customWidth="1"/>
    <col min="12558" max="12558" width="10.875" style="326" customWidth="1"/>
    <col min="12559" max="12559" width="11.375" style="326" customWidth="1"/>
    <col min="12560" max="12560" width="15.375" style="326" customWidth="1"/>
    <col min="12561" max="12562" width="10.75" style="326" customWidth="1"/>
    <col min="12563" max="12563" width="14.375" style="326" customWidth="1"/>
    <col min="12564" max="12564" width="10.75" style="326" customWidth="1"/>
    <col min="12565" max="12565" width="11.75" style="326" customWidth="1"/>
    <col min="12566" max="12566" width="10" style="326" customWidth="1"/>
    <col min="12567" max="12567" width="15.375" style="326" customWidth="1"/>
    <col min="12568" max="12568" width="10" style="326" customWidth="1"/>
    <col min="12569" max="12569" width="10.75" style="326" customWidth="1"/>
    <col min="12570" max="12570" width="14.875" style="326" customWidth="1"/>
    <col min="12571" max="12571" width="11.5" style="326" customWidth="1"/>
    <col min="12572" max="12572" width="10" style="326" customWidth="1"/>
    <col min="12573" max="12573" width="10.75" style="326" customWidth="1"/>
    <col min="12574" max="12574" width="13.5" style="326" customWidth="1"/>
    <col min="12575" max="12575" width="9" style="326"/>
    <col min="12576" max="12576" width="10.75" style="326" bestFit="1" customWidth="1"/>
    <col min="12577" max="12577" width="13.75" style="326" customWidth="1"/>
    <col min="12578" max="12578" width="9" style="326"/>
    <col min="12579" max="12579" width="10.625" style="326" customWidth="1"/>
    <col min="12580" max="12580" width="9" style="326"/>
    <col min="12581" max="12581" width="14.25" style="326" customWidth="1"/>
    <col min="12582" max="12582" width="10.75" style="326" bestFit="1" customWidth="1"/>
    <col min="12583" max="12583" width="11.625" style="326" customWidth="1"/>
    <col min="12584" max="12584" width="13.75" style="326" customWidth="1"/>
    <col min="12585" max="12585" width="10.625" style="326" customWidth="1"/>
    <col min="12586" max="12587" width="9" style="326"/>
    <col min="12588" max="12588" width="14.125" style="326" customWidth="1"/>
    <col min="12589" max="12589" width="11" style="326" customWidth="1"/>
    <col min="12590" max="12590" width="10.75" style="326" bestFit="1" customWidth="1"/>
    <col min="12591" max="12591" width="13.5" style="326" customWidth="1"/>
    <col min="12592" max="12593" width="9" style="326"/>
    <col min="12594" max="12594" width="10.75" style="326" bestFit="1" customWidth="1"/>
    <col min="12595" max="12595" width="14" style="326" customWidth="1"/>
    <col min="12596" max="12596" width="9" style="326"/>
    <col min="12597" max="12597" width="10.75" style="326" customWidth="1"/>
    <col min="12598" max="12598" width="12.75" style="326" customWidth="1"/>
    <col min="12599" max="12599" width="9" style="326"/>
    <col min="12600" max="12600" width="10.75" style="326" bestFit="1" customWidth="1"/>
    <col min="12601" max="12601" width="11.5" style="326" customWidth="1"/>
    <col min="12602" max="12602" width="13.625" style="326" customWidth="1"/>
    <col min="12603" max="12603" width="10.625" style="326" customWidth="1"/>
    <col min="12604" max="12604" width="10.75" style="326" bestFit="1" customWidth="1"/>
    <col min="12605" max="12605" width="12.375" style="326" customWidth="1"/>
    <col min="12606" max="12608" width="9" style="326"/>
    <col min="12609" max="12609" width="15.75" style="326" customWidth="1"/>
    <col min="12610" max="12610" width="9" style="326"/>
    <col min="12611" max="12611" width="10.75" style="326" bestFit="1" customWidth="1"/>
    <col min="12612" max="12612" width="12.625" style="326" customWidth="1"/>
    <col min="12613" max="12615" width="9" style="326"/>
    <col min="12616" max="12616" width="13.625" style="326" customWidth="1"/>
    <col min="12617" max="12617" width="9" style="326"/>
    <col min="12618" max="12618" width="10.75" style="326" bestFit="1" customWidth="1"/>
    <col min="12619" max="12619" width="12.5" style="326" customWidth="1"/>
    <col min="12620" max="12622" width="9" style="326"/>
    <col min="12623" max="12623" width="12.875" style="326" customWidth="1"/>
    <col min="12624" max="12624" width="9" style="326"/>
    <col min="12625" max="12625" width="10.75" style="326" bestFit="1" customWidth="1"/>
    <col min="12626" max="12626" width="13.875" style="326" customWidth="1"/>
    <col min="12627" max="12629" width="9" style="326"/>
    <col min="12630" max="12630" width="14.125" style="326" customWidth="1"/>
    <col min="12631" max="12631" width="9" style="326"/>
    <col min="12632" max="12632" width="10.75" style="326" bestFit="1" customWidth="1"/>
    <col min="12633" max="12633" width="13.25" style="326" customWidth="1"/>
    <col min="12634" max="12636" width="9" style="326"/>
    <col min="12637" max="12637" width="13.25" style="326" customWidth="1"/>
    <col min="12638" max="12638" width="9" style="326"/>
    <col min="12639" max="12639" width="10.75" style="326" bestFit="1" customWidth="1"/>
    <col min="12640" max="12640" width="13.875" style="326" customWidth="1"/>
    <col min="12641" max="12643" width="9" style="326"/>
    <col min="12644" max="12644" width="13.625" style="326" customWidth="1"/>
    <col min="12645" max="12645" width="9" style="326"/>
    <col min="12646" max="12646" width="10.75" style="326" bestFit="1" customWidth="1"/>
    <col min="12647" max="12647" width="13" style="326" customWidth="1"/>
    <col min="12648" max="12794" width="9" style="326"/>
    <col min="12795" max="12796" width="12.125" style="326" customWidth="1"/>
    <col min="12797" max="12799" width="13" style="326" customWidth="1"/>
    <col min="12800" max="12800" width="12.875" style="326" customWidth="1"/>
    <col min="12801" max="12801" width="13" style="326" customWidth="1"/>
    <col min="12802" max="12802" width="13.125" style="326" customWidth="1"/>
    <col min="12803" max="12804" width="12.125" style="326" customWidth="1"/>
    <col min="12805" max="12805" width="14.375" style="326" bestFit="1" customWidth="1"/>
    <col min="12806" max="12806" width="11" style="326" customWidth="1"/>
    <col min="12807" max="12807" width="10" style="326" customWidth="1"/>
    <col min="12808" max="12808" width="10.875" style="326" customWidth="1"/>
    <col min="12809" max="12809" width="13.75" style="326" customWidth="1"/>
    <col min="12810" max="12810" width="10" style="326" customWidth="1"/>
    <col min="12811" max="12811" width="13.25" style="326" customWidth="1"/>
    <col min="12812" max="12812" width="14.375" style="326" customWidth="1"/>
    <col min="12813" max="12813" width="10" style="326" customWidth="1"/>
    <col min="12814" max="12814" width="10.875" style="326" customWidth="1"/>
    <col min="12815" max="12815" width="11.375" style="326" customWidth="1"/>
    <col min="12816" max="12816" width="15.375" style="326" customWidth="1"/>
    <col min="12817" max="12818" width="10.75" style="326" customWidth="1"/>
    <col min="12819" max="12819" width="14.375" style="326" customWidth="1"/>
    <col min="12820" max="12820" width="10.75" style="326" customWidth="1"/>
    <col min="12821" max="12821" width="11.75" style="326" customWidth="1"/>
    <col min="12822" max="12822" width="10" style="326" customWidth="1"/>
    <col min="12823" max="12823" width="15.375" style="326" customWidth="1"/>
    <col min="12824" max="12824" width="10" style="326" customWidth="1"/>
    <col min="12825" max="12825" width="10.75" style="326" customWidth="1"/>
    <col min="12826" max="12826" width="14.875" style="326" customWidth="1"/>
    <col min="12827" max="12827" width="11.5" style="326" customWidth="1"/>
    <col min="12828" max="12828" width="10" style="326" customWidth="1"/>
    <col min="12829" max="12829" width="10.75" style="326" customWidth="1"/>
    <col min="12830" max="12830" width="13.5" style="326" customWidth="1"/>
    <col min="12831" max="12831" width="9" style="326"/>
    <col min="12832" max="12832" width="10.75" style="326" bestFit="1" customWidth="1"/>
    <col min="12833" max="12833" width="13.75" style="326" customWidth="1"/>
    <col min="12834" max="12834" width="9" style="326"/>
    <col min="12835" max="12835" width="10.625" style="326" customWidth="1"/>
    <col min="12836" max="12836" width="9" style="326"/>
    <col min="12837" max="12837" width="14.25" style="326" customWidth="1"/>
    <col min="12838" max="12838" width="10.75" style="326" bestFit="1" customWidth="1"/>
    <col min="12839" max="12839" width="11.625" style="326" customWidth="1"/>
    <col min="12840" max="12840" width="13.75" style="326" customWidth="1"/>
    <col min="12841" max="12841" width="10.625" style="326" customWidth="1"/>
    <col min="12842" max="12843" width="9" style="326"/>
    <col min="12844" max="12844" width="14.125" style="326" customWidth="1"/>
    <col min="12845" max="12845" width="11" style="326" customWidth="1"/>
    <col min="12846" max="12846" width="10.75" style="326" bestFit="1" customWidth="1"/>
    <col min="12847" max="12847" width="13.5" style="326" customWidth="1"/>
    <col min="12848" max="12849" width="9" style="326"/>
    <col min="12850" max="12850" width="10.75" style="326" bestFit="1" customWidth="1"/>
    <col min="12851" max="12851" width="14" style="326" customWidth="1"/>
    <col min="12852" max="12852" width="9" style="326"/>
    <col min="12853" max="12853" width="10.75" style="326" customWidth="1"/>
    <col min="12854" max="12854" width="12.75" style="326" customWidth="1"/>
    <col min="12855" max="12855" width="9" style="326"/>
    <col min="12856" max="12856" width="10.75" style="326" bestFit="1" customWidth="1"/>
    <col min="12857" max="12857" width="11.5" style="326" customWidth="1"/>
    <col min="12858" max="12858" width="13.625" style="326" customWidth="1"/>
    <col min="12859" max="12859" width="10.625" style="326" customWidth="1"/>
    <col min="12860" max="12860" width="10.75" style="326" bestFit="1" customWidth="1"/>
    <col min="12861" max="12861" width="12.375" style="326" customWidth="1"/>
    <col min="12862" max="12864" width="9" style="326"/>
    <col min="12865" max="12865" width="15.75" style="326" customWidth="1"/>
    <col min="12866" max="12866" width="9" style="326"/>
    <col min="12867" max="12867" width="10.75" style="326" bestFit="1" customWidth="1"/>
    <col min="12868" max="12868" width="12.625" style="326" customWidth="1"/>
    <col min="12869" max="12871" width="9" style="326"/>
    <col min="12872" max="12872" width="13.625" style="326" customWidth="1"/>
    <col min="12873" max="12873" width="9" style="326"/>
    <col min="12874" max="12874" width="10.75" style="326" bestFit="1" customWidth="1"/>
    <col min="12875" max="12875" width="12.5" style="326" customWidth="1"/>
    <col min="12876" max="12878" width="9" style="326"/>
    <col min="12879" max="12879" width="12.875" style="326" customWidth="1"/>
    <col min="12880" max="12880" width="9" style="326"/>
    <col min="12881" max="12881" width="10.75" style="326" bestFit="1" customWidth="1"/>
    <col min="12882" max="12882" width="13.875" style="326" customWidth="1"/>
    <col min="12883" max="12885" width="9" style="326"/>
    <col min="12886" max="12886" width="14.125" style="326" customWidth="1"/>
    <col min="12887" max="12887" width="9" style="326"/>
    <col min="12888" max="12888" width="10.75" style="326" bestFit="1" customWidth="1"/>
    <col min="12889" max="12889" width="13.25" style="326" customWidth="1"/>
    <col min="12890" max="12892" width="9" style="326"/>
    <col min="12893" max="12893" width="13.25" style="326" customWidth="1"/>
    <col min="12894" max="12894" width="9" style="326"/>
    <col min="12895" max="12895" width="10.75" style="326" bestFit="1" customWidth="1"/>
    <col min="12896" max="12896" width="13.875" style="326" customWidth="1"/>
    <col min="12897" max="12899" width="9" style="326"/>
    <col min="12900" max="12900" width="13.625" style="326" customWidth="1"/>
    <col min="12901" max="12901" width="9" style="326"/>
    <col min="12902" max="12902" width="10.75" style="326" bestFit="1" customWidth="1"/>
    <col min="12903" max="12903" width="13" style="326" customWidth="1"/>
    <col min="12904" max="13050" width="9" style="326"/>
    <col min="13051" max="13052" width="12.125" style="326" customWidth="1"/>
    <col min="13053" max="13055" width="13" style="326" customWidth="1"/>
    <col min="13056" max="13056" width="12.875" style="326" customWidth="1"/>
    <col min="13057" max="13057" width="13" style="326" customWidth="1"/>
    <col min="13058" max="13058" width="13.125" style="326" customWidth="1"/>
    <col min="13059" max="13060" width="12.125" style="326" customWidth="1"/>
    <col min="13061" max="13061" width="14.375" style="326" bestFit="1" customWidth="1"/>
    <col min="13062" max="13062" width="11" style="326" customWidth="1"/>
    <col min="13063" max="13063" width="10" style="326" customWidth="1"/>
    <col min="13064" max="13064" width="10.875" style="326" customWidth="1"/>
    <col min="13065" max="13065" width="13.75" style="326" customWidth="1"/>
    <col min="13066" max="13066" width="10" style="326" customWidth="1"/>
    <col min="13067" max="13067" width="13.25" style="326" customWidth="1"/>
    <col min="13068" max="13068" width="14.375" style="326" customWidth="1"/>
    <col min="13069" max="13069" width="10" style="326" customWidth="1"/>
    <col min="13070" max="13070" width="10.875" style="326" customWidth="1"/>
    <col min="13071" max="13071" width="11.375" style="326" customWidth="1"/>
    <col min="13072" max="13072" width="15.375" style="326" customWidth="1"/>
    <col min="13073" max="13074" width="10.75" style="326" customWidth="1"/>
    <col min="13075" max="13075" width="14.375" style="326" customWidth="1"/>
    <col min="13076" max="13076" width="10.75" style="326" customWidth="1"/>
    <col min="13077" max="13077" width="11.75" style="326" customWidth="1"/>
    <col min="13078" max="13078" width="10" style="326" customWidth="1"/>
    <col min="13079" max="13079" width="15.375" style="326" customWidth="1"/>
    <col min="13080" max="13080" width="10" style="326" customWidth="1"/>
    <col min="13081" max="13081" width="10.75" style="326" customWidth="1"/>
    <col min="13082" max="13082" width="14.875" style="326" customWidth="1"/>
    <col min="13083" max="13083" width="11.5" style="326" customWidth="1"/>
    <col min="13084" max="13084" width="10" style="326" customWidth="1"/>
    <col min="13085" max="13085" width="10.75" style="326" customWidth="1"/>
    <col min="13086" max="13086" width="13.5" style="326" customWidth="1"/>
    <col min="13087" max="13087" width="9" style="326"/>
    <col min="13088" max="13088" width="10.75" style="326" bestFit="1" customWidth="1"/>
    <col min="13089" max="13089" width="13.75" style="326" customWidth="1"/>
    <col min="13090" max="13090" width="9" style="326"/>
    <col min="13091" max="13091" width="10.625" style="326" customWidth="1"/>
    <col min="13092" max="13092" width="9" style="326"/>
    <col min="13093" max="13093" width="14.25" style="326" customWidth="1"/>
    <col min="13094" max="13094" width="10.75" style="326" bestFit="1" customWidth="1"/>
    <col min="13095" max="13095" width="11.625" style="326" customWidth="1"/>
    <col min="13096" max="13096" width="13.75" style="326" customWidth="1"/>
    <col min="13097" max="13097" width="10.625" style="326" customWidth="1"/>
    <col min="13098" max="13099" width="9" style="326"/>
    <col min="13100" max="13100" width="14.125" style="326" customWidth="1"/>
    <col min="13101" max="13101" width="11" style="326" customWidth="1"/>
    <col min="13102" max="13102" width="10.75" style="326" bestFit="1" customWidth="1"/>
    <col min="13103" max="13103" width="13.5" style="326" customWidth="1"/>
    <col min="13104" max="13105" width="9" style="326"/>
    <col min="13106" max="13106" width="10.75" style="326" bestFit="1" customWidth="1"/>
    <col min="13107" max="13107" width="14" style="326" customWidth="1"/>
    <col min="13108" max="13108" width="9" style="326"/>
    <col min="13109" max="13109" width="10.75" style="326" customWidth="1"/>
    <col min="13110" max="13110" width="12.75" style="326" customWidth="1"/>
    <col min="13111" max="13111" width="9" style="326"/>
    <col min="13112" max="13112" width="10.75" style="326" bestFit="1" customWidth="1"/>
    <col min="13113" max="13113" width="11.5" style="326" customWidth="1"/>
    <col min="13114" max="13114" width="13.625" style="326" customWidth="1"/>
    <col min="13115" max="13115" width="10.625" style="326" customWidth="1"/>
    <col min="13116" max="13116" width="10.75" style="326" bestFit="1" customWidth="1"/>
    <col min="13117" max="13117" width="12.375" style="326" customWidth="1"/>
    <col min="13118" max="13120" width="9" style="326"/>
    <col min="13121" max="13121" width="15.75" style="326" customWidth="1"/>
    <col min="13122" max="13122" width="9" style="326"/>
    <col min="13123" max="13123" width="10.75" style="326" bestFit="1" customWidth="1"/>
    <col min="13124" max="13124" width="12.625" style="326" customWidth="1"/>
    <col min="13125" max="13127" width="9" style="326"/>
    <col min="13128" max="13128" width="13.625" style="326" customWidth="1"/>
    <col min="13129" max="13129" width="9" style="326"/>
    <col min="13130" max="13130" width="10.75" style="326" bestFit="1" customWidth="1"/>
    <col min="13131" max="13131" width="12.5" style="326" customWidth="1"/>
    <col min="13132" max="13134" width="9" style="326"/>
    <col min="13135" max="13135" width="12.875" style="326" customWidth="1"/>
    <col min="13136" max="13136" width="9" style="326"/>
    <col min="13137" max="13137" width="10.75" style="326" bestFit="1" customWidth="1"/>
    <col min="13138" max="13138" width="13.875" style="326" customWidth="1"/>
    <col min="13139" max="13141" width="9" style="326"/>
    <col min="13142" max="13142" width="14.125" style="326" customWidth="1"/>
    <col min="13143" max="13143" width="9" style="326"/>
    <col min="13144" max="13144" width="10.75" style="326" bestFit="1" customWidth="1"/>
    <col min="13145" max="13145" width="13.25" style="326" customWidth="1"/>
    <col min="13146" max="13148" width="9" style="326"/>
    <col min="13149" max="13149" width="13.25" style="326" customWidth="1"/>
    <col min="13150" max="13150" width="9" style="326"/>
    <col min="13151" max="13151" width="10.75" style="326" bestFit="1" customWidth="1"/>
    <col min="13152" max="13152" width="13.875" style="326" customWidth="1"/>
    <col min="13153" max="13155" width="9" style="326"/>
    <col min="13156" max="13156" width="13.625" style="326" customWidth="1"/>
    <col min="13157" max="13157" width="9" style="326"/>
    <col min="13158" max="13158" width="10.75" style="326" bestFit="1" customWidth="1"/>
    <col min="13159" max="13159" width="13" style="326" customWidth="1"/>
    <col min="13160" max="13306" width="9" style="326"/>
    <col min="13307" max="13308" width="12.125" style="326" customWidth="1"/>
    <col min="13309" max="13311" width="13" style="326" customWidth="1"/>
    <col min="13312" max="13312" width="12.875" style="326" customWidth="1"/>
    <col min="13313" max="13313" width="13" style="326" customWidth="1"/>
    <col min="13314" max="13314" width="13.125" style="326" customWidth="1"/>
    <col min="13315" max="13316" width="12.125" style="326" customWidth="1"/>
    <col min="13317" max="13317" width="14.375" style="326" bestFit="1" customWidth="1"/>
    <col min="13318" max="13318" width="11" style="326" customWidth="1"/>
    <col min="13319" max="13319" width="10" style="326" customWidth="1"/>
    <col min="13320" max="13320" width="10.875" style="326" customWidth="1"/>
    <col min="13321" max="13321" width="13.75" style="326" customWidth="1"/>
    <col min="13322" max="13322" width="10" style="326" customWidth="1"/>
    <col min="13323" max="13323" width="13.25" style="326" customWidth="1"/>
    <col min="13324" max="13324" width="14.375" style="326" customWidth="1"/>
    <col min="13325" max="13325" width="10" style="326" customWidth="1"/>
    <col min="13326" max="13326" width="10.875" style="326" customWidth="1"/>
    <col min="13327" max="13327" width="11.375" style="326" customWidth="1"/>
    <col min="13328" max="13328" width="15.375" style="326" customWidth="1"/>
    <col min="13329" max="13330" width="10.75" style="326" customWidth="1"/>
    <col min="13331" max="13331" width="14.375" style="326" customWidth="1"/>
    <col min="13332" max="13332" width="10.75" style="326" customWidth="1"/>
    <col min="13333" max="13333" width="11.75" style="326" customWidth="1"/>
    <col min="13334" max="13334" width="10" style="326" customWidth="1"/>
    <col min="13335" max="13335" width="15.375" style="326" customWidth="1"/>
    <col min="13336" max="13336" width="10" style="326" customWidth="1"/>
    <col min="13337" max="13337" width="10.75" style="326" customWidth="1"/>
    <col min="13338" max="13338" width="14.875" style="326" customWidth="1"/>
    <col min="13339" max="13339" width="11.5" style="326" customWidth="1"/>
    <col min="13340" max="13340" width="10" style="326" customWidth="1"/>
    <col min="13341" max="13341" width="10.75" style="326" customWidth="1"/>
    <col min="13342" max="13342" width="13.5" style="326" customWidth="1"/>
    <col min="13343" max="13343" width="9" style="326"/>
    <col min="13344" max="13344" width="10.75" style="326" bestFit="1" customWidth="1"/>
    <col min="13345" max="13345" width="13.75" style="326" customWidth="1"/>
    <col min="13346" max="13346" width="9" style="326"/>
    <col min="13347" max="13347" width="10.625" style="326" customWidth="1"/>
    <col min="13348" max="13348" width="9" style="326"/>
    <col min="13349" max="13349" width="14.25" style="326" customWidth="1"/>
    <col min="13350" max="13350" width="10.75" style="326" bestFit="1" customWidth="1"/>
    <col min="13351" max="13351" width="11.625" style="326" customWidth="1"/>
    <col min="13352" max="13352" width="13.75" style="326" customWidth="1"/>
    <col min="13353" max="13353" width="10.625" style="326" customWidth="1"/>
    <col min="13354" max="13355" width="9" style="326"/>
    <col min="13356" max="13356" width="14.125" style="326" customWidth="1"/>
    <col min="13357" max="13357" width="11" style="326" customWidth="1"/>
    <col min="13358" max="13358" width="10.75" style="326" bestFit="1" customWidth="1"/>
    <col min="13359" max="13359" width="13.5" style="326" customWidth="1"/>
    <col min="13360" max="13361" width="9" style="326"/>
    <col min="13362" max="13362" width="10.75" style="326" bestFit="1" customWidth="1"/>
    <col min="13363" max="13363" width="14" style="326" customWidth="1"/>
    <col min="13364" max="13364" width="9" style="326"/>
    <col min="13365" max="13365" width="10.75" style="326" customWidth="1"/>
    <col min="13366" max="13366" width="12.75" style="326" customWidth="1"/>
    <col min="13367" max="13367" width="9" style="326"/>
    <col min="13368" max="13368" width="10.75" style="326" bestFit="1" customWidth="1"/>
    <col min="13369" max="13369" width="11.5" style="326" customWidth="1"/>
    <col min="13370" max="13370" width="13.625" style="326" customWidth="1"/>
    <col min="13371" max="13371" width="10.625" style="326" customWidth="1"/>
    <col min="13372" max="13372" width="10.75" style="326" bestFit="1" customWidth="1"/>
    <col min="13373" max="13373" width="12.375" style="326" customWidth="1"/>
    <col min="13374" max="13376" width="9" style="326"/>
    <col min="13377" max="13377" width="15.75" style="326" customWidth="1"/>
    <col min="13378" max="13378" width="9" style="326"/>
    <col min="13379" max="13379" width="10.75" style="326" bestFit="1" customWidth="1"/>
    <col min="13380" max="13380" width="12.625" style="326" customWidth="1"/>
    <col min="13381" max="13383" width="9" style="326"/>
    <col min="13384" max="13384" width="13.625" style="326" customWidth="1"/>
    <col min="13385" max="13385" width="9" style="326"/>
    <col min="13386" max="13386" width="10.75" style="326" bestFit="1" customWidth="1"/>
    <col min="13387" max="13387" width="12.5" style="326" customWidth="1"/>
    <col min="13388" max="13390" width="9" style="326"/>
    <col min="13391" max="13391" width="12.875" style="326" customWidth="1"/>
    <col min="13392" max="13392" width="9" style="326"/>
    <col min="13393" max="13393" width="10.75" style="326" bestFit="1" customWidth="1"/>
    <col min="13394" max="13394" width="13.875" style="326" customWidth="1"/>
    <col min="13395" max="13397" width="9" style="326"/>
    <col min="13398" max="13398" width="14.125" style="326" customWidth="1"/>
    <col min="13399" max="13399" width="9" style="326"/>
    <col min="13400" max="13400" width="10.75" style="326" bestFit="1" customWidth="1"/>
    <col min="13401" max="13401" width="13.25" style="326" customWidth="1"/>
    <col min="13402" max="13404" width="9" style="326"/>
    <col min="13405" max="13405" width="13.25" style="326" customWidth="1"/>
    <col min="13406" max="13406" width="9" style="326"/>
    <col min="13407" max="13407" width="10.75" style="326" bestFit="1" customWidth="1"/>
    <col min="13408" max="13408" width="13.875" style="326" customWidth="1"/>
    <col min="13409" max="13411" width="9" style="326"/>
    <col min="13412" max="13412" width="13.625" style="326" customWidth="1"/>
    <col min="13413" max="13413" width="9" style="326"/>
    <col min="13414" max="13414" width="10.75" style="326" bestFit="1" customWidth="1"/>
    <col min="13415" max="13415" width="13" style="326" customWidth="1"/>
    <col min="13416" max="13562" width="9" style="326"/>
    <col min="13563" max="13564" width="12.125" style="326" customWidth="1"/>
    <col min="13565" max="13567" width="13" style="326" customWidth="1"/>
    <col min="13568" max="13568" width="12.875" style="326" customWidth="1"/>
    <col min="13569" max="13569" width="13" style="326" customWidth="1"/>
    <col min="13570" max="13570" width="13.125" style="326" customWidth="1"/>
    <col min="13571" max="13572" width="12.125" style="326" customWidth="1"/>
    <col min="13573" max="13573" width="14.375" style="326" bestFit="1" customWidth="1"/>
    <col min="13574" max="13574" width="11" style="326" customWidth="1"/>
    <col min="13575" max="13575" width="10" style="326" customWidth="1"/>
    <col min="13576" max="13576" width="10.875" style="326" customWidth="1"/>
    <col min="13577" max="13577" width="13.75" style="326" customWidth="1"/>
    <col min="13578" max="13578" width="10" style="326" customWidth="1"/>
    <col min="13579" max="13579" width="13.25" style="326" customWidth="1"/>
    <col min="13580" max="13580" width="14.375" style="326" customWidth="1"/>
    <col min="13581" max="13581" width="10" style="326" customWidth="1"/>
    <col min="13582" max="13582" width="10.875" style="326" customWidth="1"/>
    <col min="13583" max="13583" width="11.375" style="326" customWidth="1"/>
    <col min="13584" max="13584" width="15.375" style="326" customWidth="1"/>
    <col min="13585" max="13586" width="10.75" style="326" customWidth="1"/>
    <col min="13587" max="13587" width="14.375" style="326" customWidth="1"/>
    <col min="13588" max="13588" width="10.75" style="326" customWidth="1"/>
    <col min="13589" max="13589" width="11.75" style="326" customWidth="1"/>
    <col min="13590" max="13590" width="10" style="326" customWidth="1"/>
    <col min="13591" max="13591" width="15.375" style="326" customWidth="1"/>
    <col min="13592" max="13592" width="10" style="326" customWidth="1"/>
    <col min="13593" max="13593" width="10.75" style="326" customWidth="1"/>
    <col min="13594" max="13594" width="14.875" style="326" customWidth="1"/>
    <col min="13595" max="13595" width="11.5" style="326" customWidth="1"/>
    <col min="13596" max="13596" width="10" style="326" customWidth="1"/>
    <col min="13597" max="13597" width="10.75" style="326" customWidth="1"/>
    <col min="13598" max="13598" width="13.5" style="326" customWidth="1"/>
    <col min="13599" max="13599" width="9" style="326"/>
    <col min="13600" max="13600" width="10.75" style="326" bestFit="1" customWidth="1"/>
    <col min="13601" max="13601" width="13.75" style="326" customWidth="1"/>
    <col min="13602" max="13602" width="9" style="326"/>
    <col min="13603" max="13603" width="10.625" style="326" customWidth="1"/>
    <col min="13604" max="13604" width="9" style="326"/>
    <col min="13605" max="13605" width="14.25" style="326" customWidth="1"/>
    <col min="13606" max="13606" width="10.75" style="326" bestFit="1" customWidth="1"/>
    <col min="13607" max="13607" width="11.625" style="326" customWidth="1"/>
    <col min="13608" max="13608" width="13.75" style="326" customWidth="1"/>
    <col min="13609" max="13609" width="10.625" style="326" customWidth="1"/>
    <col min="13610" max="13611" width="9" style="326"/>
    <col min="13612" max="13612" width="14.125" style="326" customWidth="1"/>
    <col min="13613" max="13613" width="11" style="326" customWidth="1"/>
    <col min="13614" max="13614" width="10.75" style="326" bestFit="1" customWidth="1"/>
    <col min="13615" max="13615" width="13.5" style="326" customWidth="1"/>
    <col min="13616" max="13617" width="9" style="326"/>
    <col min="13618" max="13618" width="10.75" style="326" bestFit="1" customWidth="1"/>
    <col min="13619" max="13619" width="14" style="326" customWidth="1"/>
    <col min="13620" max="13620" width="9" style="326"/>
    <col min="13621" max="13621" width="10.75" style="326" customWidth="1"/>
    <col min="13622" max="13622" width="12.75" style="326" customWidth="1"/>
    <col min="13623" max="13623" width="9" style="326"/>
    <col min="13624" max="13624" width="10.75" style="326" bestFit="1" customWidth="1"/>
    <col min="13625" max="13625" width="11.5" style="326" customWidth="1"/>
    <col min="13626" max="13626" width="13.625" style="326" customWidth="1"/>
    <col min="13627" max="13627" width="10.625" style="326" customWidth="1"/>
    <col min="13628" max="13628" width="10.75" style="326" bestFit="1" customWidth="1"/>
    <col min="13629" max="13629" width="12.375" style="326" customWidth="1"/>
    <col min="13630" max="13632" width="9" style="326"/>
    <col min="13633" max="13633" width="15.75" style="326" customWidth="1"/>
    <col min="13634" max="13634" width="9" style="326"/>
    <col min="13635" max="13635" width="10.75" style="326" bestFit="1" customWidth="1"/>
    <col min="13636" max="13636" width="12.625" style="326" customWidth="1"/>
    <col min="13637" max="13639" width="9" style="326"/>
    <col min="13640" max="13640" width="13.625" style="326" customWidth="1"/>
    <col min="13641" max="13641" width="9" style="326"/>
    <col min="13642" max="13642" width="10.75" style="326" bestFit="1" customWidth="1"/>
    <col min="13643" max="13643" width="12.5" style="326" customWidth="1"/>
    <col min="13644" max="13646" width="9" style="326"/>
    <col min="13647" max="13647" width="12.875" style="326" customWidth="1"/>
    <col min="13648" max="13648" width="9" style="326"/>
    <col min="13649" max="13649" width="10.75" style="326" bestFit="1" customWidth="1"/>
    <col min="13650" max="13650" width="13.875" style="326" customWidth="1"/>
    <col min="13651" max="13653" width="9" style="326"/>
    <col min="13654" max="13654" width="14.125" style="326" customWidth="1"/>
    <col min="13655" max="13655" width="9" style="326"/>
    <col min="13656" max="13656" width="10.75" style="326" bestFit="1" customWidth="1"/>
    <col min="13657" max="13657" width="13.25" style="326" customWidth="1"/>
    <col min="13658" max="13660" width="9" style="326"/>
    <col min="13661" max="13661" width="13.25" style="326" customWidth="1"/>
    <col min="13662" max="13662" width="9" style="326"/>
    <col min="13663" max="13663" width="10.75" style="326" bestFit="1" customWidth="1"/>
    <col min="13664" max="13664" width="13.875" style="326" customWidth="1"/>
    <col min="13665" max="13667" width="9" style="326"/>
    <col min="13668" max="13668" width="13.625" style="326" customWidth="1"/>
    <col min="13669" max="13669" width="9" style="326"/>
    <col min="13670" max="13670" width="10.75" style="326" bestFit="1" customWidth="1"/>
    <col min="13671" max="13671" width="13" style="326" customWidth="1"/>
    <col min="13672" max="13818" width="9" style="326"/>
    <col min="13819" max="13820" width="12.125" style="326" customWidth="1"/>
    <col min="13821" max="13823" width="13" style="326" customWidth="1"/>
    <col min="13824" max="13824" width="12.875" style="326" customWidth="1"/>
    <col min="13825" max="13825" width="13" style="326" customWidth="1"/>
    <col min="13826" max="13826" width="13.125" style="326" customWidth="1"/>
    <col min="13827" max="13828" width="12.125" style="326" customWidth="1"/>
    <col min="13829" max="13829" width="14.375" style="326" bestFit="1" customWidth="1"/>
    <col min="13830" max="13830" width="11" style="326" customWidth="1"/>
    <col min="13831" max="13831" width="10" style="326" customWidth="1"/>
    <col min="13832" max="13832" width="10.875" style="326" customWidth="1"/>
    <col min="13833" max="13833" width="13.75" style="326" customWidth="1"/>
    <col min="13834" max="13834" width="10" style="326" customWidth="1"/>
    <col min="13835" max="13835" width="13.25" style="326" customWidth="1"/>
    <col min="13836" max="13836" width="14.375" style="326" customWidth="1"/>
    <col min="13837" max="13837" width="10" style="326" customWidth="1"/>
    <col min="13838" max="13838" width="10.875" style="326" customWidth="1"/>
    <col min="13839" max="13839" width="11.375" style="326" customWidth="1"/>
    <col min="13840" max="13840" width="15.375" style="326" customWidth="1"/>
    <col min="13841" max="13842" width="10.75" style="326" customWidth="1"/>
    <col min="13843" max="13843" width="14.375" style="326" customWidth="1"/>
    <col min="13844" max="13844" width="10.75" style="326" customWidth="1"/>
    <col min="13845" max="13845" width="11.75" style="326" customWidth="1"/>
    <col min="13846" max="13846" width="10" style="326" customWidth="1"/>
    <col min="13847" max="13847" width="15.375" style="326" customWidth="1"/>
    <col min="13848" max="13848" width="10" style="326" customWidth="1"/>
    <col min="13849" max="13849" width="10.75" style="326" customWidth="1"/>
    <col min="13850" max="13850" width="14.875" style="326" customWidth="1"/>
    <col min="13851" max="13851" width="11.5" style="326" customWidth="1"/>
    <col min="13852" max="13852" width="10" style="326" customWidth="1"/>
    <col min="13853" max="13853" width="10.75" style="326" customWidth="1"/>
    <col min="13854" max="13854" width="13.5" style="326" customWidth="1"/>
    <col min="13855" max="13855" width="9" style="326"/>
    <col min="13856" max="13856" width="10.75" style="326" bestFit="1" customWidth="1"/>
    <col min="13857" max="13857" width="13.75" style="326" customWidth="1"/>
    <col min="13858" max="13858" width="9" style="326"/>
    <col min="13859" max="13859" width="10.625" style="326" customWidth="1"/>
    <col min="13860" max="13860" width="9" style="326"/>
    <col min="13861" max="13861" width="14.25" style="326" customWidth="1"/>
    <col min="13862" max="13862" width="10.75" style="326" bestFit="1" customWidth="1"/>
    <col min="13863" max="13863" width="11.625" style="326" customWidth="1"/>
    <col min="13864" max="13864" width="13.75" style="326" customWidth="1"/>
    <col min="13865" max="13865" width="10.625" style="326" customWidth="1"/>
    <col min="13866" max="13867" width="9" style="326"/>
    <col min="13868" max="13868" width="14.125" style="326" customWidth="1"/>
    <col min="13869" max="13869" width="11" style="326" customWidth="1"/>
    <col min="13870" max="13870" width="10.75" style="326" bestFit="1" customWidth="1"/>
    <col min="13871" max="13871" width="13.5" style="326" customWidth="1"/>
    <col min="13872" max="13873" width="9" style="326"/>
    <col min="13874" max="13874" width="10.75" style="326" bestFit="1" customWidth="1"/>
    <col min="13875" max="13875" width="14" style="326" customWidth="1"/>
    <col min="13876" max="13876" width="9" style="326"/>
    <col min="13877" max="13877" width="10.75" style="326" customWidth="1"/>
    <col min="13878" max="13878" width="12.75" style="326" customWidth="1"/>
    <col min="13879" max="13879" width="9" style="326"/>
    <col min="13880" max="13880" width="10.75" style="326" bestFit="1" customWidth="1"/>
    <col min="13881" max="13881" width="11.5" style="326" customWidth="1"/>
    <col min="13882" max="13882" width="13.625" style="326" customWidth="1"/>
    <col min="13883" max="13883" width="10.625" style="326" customWidth="1"/>
    <col min="13884" max="13884" width="10.75" style="326" bestFit="1" customWidth="1"/>
    <col min="13885" max="13885" width="12.375" style="326" customWidth="1"/>
    <col min="13886" max="13888" width="9" style="326"/>
    <col min="13889" max="13889" width="15.75" style="326" customWidth="1"/>
    <col min="13890" max="13890" width="9" style="326"/>
    <col min="13891" max="13891" width="10.75" style="326" bestFit="1" customWidth="1"/>
    <col min="13892" max="13892" width="12.625" style="326" customWidth="1"/>
    <col min="13893" max="13895" width="9" style="326"/>
    <col min="13896" max="13896" width="13.625" style="326" customWidth="1"/>
    <col min="13897" max="13897" width="9" style="326"/>
    <col min="13898" max="13898" width="10.75" style="326" bestFit="1" customWidth="1"/>
    <col min="13899" max="13899" width="12.5" style="326" customWidth="1"/>
    <col min="13900" max="13902" width="9" style="326"/>
    <col min="13903" max="13903" width="12.875" style="326" customWidth="1"/>
    <col min="13904" max="13904" width="9" style="326"/>
    <col min="13905" max="13905" width="10.75" style="326" bestFit="1" customWidth="1"/>
    <col min="13906" max="13906" width="13.875" style="326" customWidth="1"/>
    <col min="13907" max="13909" width="9" style="326"/>
    <col min="13910" max="13910" width="14.125" style="326" customWidth="1"/>
    <col min="13911" max="13911" width="9" style="326"/>
    <col min="13912" max="13912" width="10.75" style="326" bestFit="1" customWidth="1"/>
    <col min="13913" max="13913" width="13.25" style="326" customWidth="1"/>
    <col min="13914" max="13916" width="9" style="326"/>
    <col min="13917" max="13917" width="13.25" style="326" customWidth="1"/>
    <col min="13918" max="13918" width="9" style="326"/>
    <col min="13919" max="13919" width="10.75" style="326" bestFit="1" customWidth="1"/>
    <col min="13920" max="13920" width="13.875" style="326" customWidth="1"/>
    <col min="13921" max="13923" width="9" style="326"/>
    <col min="13924" max="13924" width="13.625" style="326" customWidth="1"/>
    <col min="13925" max="13925" width="9" style="326"/>
    <col min="13926" max="13926" width="10.75" style="326" bestFit="1" customWidth="1"/>
    <col min="13927" max="13927" width="13" style="326" customWidth="1"/>
    <col min="13928" max="14074" width="9" style="326"/>
    <col min="14075" max="14076" width="12.125" style="326" customWidth="1"/>
    <col min="14077" max="14079" width="13" style="326" customWidth="1"/>
    <col min="14080" max="14080" width="12.875" style="326" customWidth="1"/>
    <col min="14081" max="14081" width="13" style="326" customWidth="1"/>
    <col min="14082" max="14082" width="13.125" style="326" customWidth="1"/>
    <col min="14083" max="14084" width="12.125" style="326" customWidth="1"/>
    <col min="14085" max="14085" width="14.375" style="326" bestFit="1" customWidth="1"/>
    <col min="14086" max="14086" width="11" style="326" customWidth="1"/>
    <col min="14087" max="14087" width="10" style="326" customWidth="1"/>
    <col min="14088" max="14088" width="10.875" style="326" customWidth="1"/>
    <col min="14089" max="14089" width="13.75" style="326" customWidth="1"/>
    <col min="14090" max="14090" width="10" style="326" customWidth="1"/>
    <col min="14091" max="14091" width="13.25" style="326" customWidth="1"/>
    <col min="14092" max="14092" width="14.375" style="326" customWidth="1"/>
    <col min="14093" max="14093" width="10" style="326" customWidth="1"/>
    <col min="14094" max="14094" width="10.875" style="326" customWidth="1"/>
    <col min="14095" max="14095" width="11.375" style="326" customWidth="1"/>
    <col min="14096" max="14096" width="15.375" style="326" customWidth="1"/>
    <col min="14097" max="14098" width="10.75" style="326" customWidth="1"/>
    <col min="14099" max="14099" width="14.375" style="326" customWidth="1"/>
    <col min="14100" max="14100" width="10.75" style="326" customWidth="1"/>
    <col min="14101" max="14101" width="11.75" style="326" customWidth="1"/>
    <col min="14102" max="14102" width="10" style="326" customWidth="1"/>
    <col min="14103" max="14103" width="15.375" style="326" customWidth="1"/>
    <col min="14104" max="14104" width="10" style="326" customWidth="1"/>
    <col min="14105" max="14105" width="10.75" style="326" customWidth="1"/>
    <col min="14106" max="14106" width="14.875" style="326" customWidth="1"/>
    <col min="14107" max="14107" width="11.5" style="326" customWidth="1"/>
    <col min="14108" max="14108" width="10" style="326" customWidth="1"/>
    <col min="14109" max="14109" width="10.75" style="326" customWidth="1"/>
    <col min="14110" max="14110" width="13.5" style="326" customWidth="1"/>
    <col min="14111" max="14111" width="9" style="326"/>
    <col min="14112" max="14112" width="10.75" style="326" bestFit="1" customWidth="1"/>
    <col min="14113" max="14113" width="13.75" style="326" customWidth="1"/>
    <col min="14114" max="14114" width="9" style="326"/>
    <col min="14115" max="14115" width="10.625" style="326" customWidth="1"/>
    <col min="14116" max="14116" width="9" style="326"/>
    <col min="14117" max="14117" width="14.25" style="326" customWidth="1"/>
    <col min="14118" max="14118" width="10.75" style="326" bestFit="1" customWidth="1"/>
    <col min="14119" max="14119" width="11.625" style="326" customWidth="1"/>
    <col min="14120" max="14120" width="13.75" style="326" customWidth="1"/>
    <col min="14121" max="14121" width="10.625" style="326" customWidth="1"/>
    <col min="14122" max="14123" width="9" style="326"/>
    <col min="14124" max="14124" width="14.125" style="326" customWidth="1"/>
    <col min="14125" max="14125" width="11" style="326" customWidth="1"/>
    <col min="14126" max="14126" width="10.75" style="326" bestFit="1" customWidth="1"/>
    <col min="14127" max="14127" width="13.5" style="326" customWidth="1"/>
    <col min="14128" max="14129" width="9" style="326"/>
    <col min="14130" max="14130" width="10.75" style="326" bestFit="1" customWidth="1"/>
    <col min="14131" max="14131" width="14" style="326" customWidth="1"/>
    <col min="14132" max="14132" width="9" style="326"/>
    <col min="14133" max="14133" width="10.75" style="326" customWidth="1"/>
    <col min="14134" max="14134" width="12.75" style="326" customWidth="1"/>
    <col min="14135" max="14135" width="9" style="326"/>
    <col min="14136" max="14136" width="10.75" style="326" bestFit="1" customWidth="1"/>
    <col min="14137" max="14137" width="11.5" style="326" customWidth="1"/>
    <col min="14138" max="14138" width="13.625" style="326" customWidth="1"/>
    <col min="14139" max="14139" width="10.625" style="326" customWidth="1"/>
    <col min="14140" max="14140" width="10.75" style="326" bestFit="1" customWidth="1"/>
    <col min="14141" max="14141" width="12.375" style="326" customWidth="1"/>
    <col min="14142" max="14144" width="9" style="326"/>
    <col min="14145" max="14145" width="15.75" style="326" customWidth="1"/>
    <col min="14146" max="14146" width="9" style="326"/>
    <col min="14147" max="14147" width="10.75" style="326" bestFit="1" customWidth="1"/>
    <col min="14148" max="14148" width="12.625" style="326" customWidth="1"/>
    <col min="14149" max="14151" width="9" style="326"/>
    <col min="14152" max="14152" width="13.625" style="326" customWidth="1"/>
    <col min="14153" max="14153" width="9" style="326"/>
    <col min="14154" max="14154" width="10.75" style="326" bestFit="1" customWidth="1"/>
    <col min="14155" max="14155" width="12.5" style="326" customWidth="1"/>
    <col min="14156" max="14158" width="9" style="326"/>
    <col min="14159" max="14159" width="12.875" style="326" customWidth="1"/>
    <col min="14160" max="14160" width="9" style="326"/>
    <col min="14161" max="14161" width="10.75" style="326" bestFit="1" customWidth="1"/>
    <col min="14162" max="14162" width="13.875" style="326" customWidth="1"/>
    <col min="14163" max="14165" width="9" style="326"/>
    <col min="14166" max="14166" width="14.125" style="326" customWidth="1"/>
    <col min="14167" max="14167" width="9" style="326"/>
    <col min="14168" max="14168" width="10.75" style="326" bestFit="1" customWidth="1"/>
    <col min="14169" max="14169" width="13.25" style="326" customWidth="1"/>
    <col min="14170" max="14172" width="9" style="326"/>
    <col min="14173" max="14173" width="13.25" style="326" customWidth="1"/>
    <col min="14174" max="14174" width="9" style="326"/>
    <col min="14175" max="14175" width="10.75" style="326" bestFit="1" customWidth="1"/>
    <col min="14176" max="14176" width="13.875" style="326" customWidth="1"/>
    <col min="14177" max="14179" width="9" style="326"/>
    <col min="14180" max="14180" width="13.625" style="326" customWidth="1"/>
    <col min="14181" max="14181" width="9" style="326"/>
    <col min="14182" max="14182" width="10.75" style="326" bestFit="1" customWidth="1"/>
    <col min="14183" max="14183" width="13" style="326" customWidth="1"/>
    <col min="14184" max="14330" width="9" style="326"/>
    <col min="14331" max="14332" width="12.125" style="326" customWidth="1"/>
    <col min="14333" max="14335" width="13" style="326" customWidth="1"/>
    <col min="14336" max="14336" width="12.875" style="326" customWidth="1"/>
    <col min="14337" max="14337" width="13" style="326" customWidth="1"/>
    <col min="14338" max="14338" width="13.125" style="326" customWidth="1"/>
    <col min="14339" max="14340" width="12.125" style="326" customWidth="1"/>
    <col min="14341" max="14341" width="14.375" style="326" bestFit="1" customWidth="1"/>
    <col min="14342" max="14342" width="11" style="326" customWidth="1"/>
    <col min="14343" max="14343" width="10" style="326" customWidth="1"/>
    <col min="14344" max="14344" width="10.875" style="326" customWidth="1"/>
    <col min="14345" max="14345" width="13.75" style="326" customWidth="1"/>
    <col min="14346" max="14346" width="10" style="326" customWidth="1"/>
    <col min="14347" max="14347" width="13.25" style="326" customWidth="1"/>
    <col min="14348" max="14348" width="14.375" style="326" customWidth="1"/>
    <col min="14349" max="14349" width="10" style="326" customWidth="1"/>
    <col min="14350" max="14350" width="10.875" style="326" customWidth="1"/>
    <col min="14351" max="14351" width="11.375" style="326" customWidth="1"/>
    <col min="14352" max="14352" width="15.375" style="326" customWidth="1"/>
    <col min="14353" max="14354" width="10.75" style="326" customWidth="1"/>
    <col min="14355" max="14355" width="14.375" style="326" customWidth="1"/>
    <col min="14356" max="14356" width="10.75" style="326" customWidth="1"/>
    <col min="14357" max="14357" width="11.75" style="326" customWidth="1"/>
    <col min="14358" max="14358" width="10" style="326" customWidth="1"/>
    <col min="14359" max="14359" width="15.375" style="326" customWidth="1"/>
    <col min="14360" max="14360" width="10" style="326" customWidth="1"/>
    <col min="14361" max="14361" width="10.75" style="326" customWidth="1"/>
    <col min="14362" max="14362" width="14.875" style="326" customWidth="1"/>
    <col min="14363" max="14363" width="11.5" style="326" customWidth="1"/>
    <col min="14364" max="14364" width="10" style="326" customWidth="1"/>
    <col min="14365" max="14365" width="10.75" style="326" customWidth="1"/>
    <col min="14366" max="14366" width="13.5" style="326" customWidth="1"/>
    <col min="14367" max="14367" width="9" style="326"/>
    <col min="14368" max="14368" width="10.75" style="326" bestFit="1" customWidth="1"/>
    <col min="14369" max="14369" width="13.75" style="326" customWidth="1"/>
    <col min="14370" max="14370" width="9" style="326"/>
    <col min="14371" max="14371" width="10.625" style="326" customWidth="1"/>
    <col min="14372" max="14372" width="9" style="326"/>
    <col min="14373" max="14373" width="14.25" style="326" customWidth="1"/>
    <col min="14374" max="14374" width="10.75" style="326" bestFit="1" customWidth="1"/>
    <col min="14375" max="14375" width="11.625" style="326" customWidth="1"/>
    <col min="14376" max="14376" width="13.75" style="326" customWidth="1"/>
    <col min="14377" max="14377" width="10.625" style="326" customWidth="1"/>
    <col min="14378" max="14379" width="9" style="326"/>
    <col min="14380" max="14380" width="14.125" style="326" customWidth="1"/>
    <col min="14381" max="14381" width="11" style="326" customWidth="1"/>
    <col min="14382" max="14382" width="10.75" style="326" bestFit="1" customWidth="1"/>
    <col min="14383" max="14383" width="13.5" style="326" customWidth="1"/>
    <col min="14384" max="14385" width="9" style="326"/>
    <col min="14386" max="14386" width="10.75" style="326" bestFit="1" customWidth="1"/>
    <col min="14387" max="14387" width="14" style="326" customWidth="1"/>
    <col min="14388" max="14388" width="9" style="326"/>
    <col min="14389" max="14389" width="10.75" style="326" customWidth="1"/>
    <col min="14390" max="14390" width="12.75" style="326" customWidth="1"/>
    <col min="14391" max="14391" width="9" style="326"/>
    <col min="14392" max="14392" width="10.75" style="326" bestFit="1" customWidth="1"/>
    <col min="14393" max="14393" width="11.5" style="326" customWidth="1"/>
    <col min="14394" max="14394" width="13.625" style="326" customWidth="1"/>
    <col min="14395" max="14395" width="10.625" style="326" customWidth="1"/>
    <col min="14396" max="14396" width="10.75" style="326" bestFit="1" customWidth="1"/>
    <col min="14397" max="14397" width="12.375" style="326" customWidth="1"/>
    <col min="14398" max="14400" width="9" style="326"/>
    <col min="14401" max="14401" width="15.75" style="326" customWidth="1"/>
    <col min="14402" max="14402" width="9" style="326"/>
    <col min="14403" max="14403" width="10.75" style="326" bestFit="1" customWidth="1"/>
    <col min="14404" max="14404" width="12.625" style="326" customWidth="1"/>
    <col min="14405" max="14407" width="9" style="326"/>
    <col min="14408" max="14408" width="13.625" style="326" customWidth="1"/>
    <col min="14409" max="14409" width="9" style="326"/>
    <col min="14410" max="14410" width="10.75" style="326" bestFit="1" customWidth="1"/>
    <col min="14411" max="14411" width="12.5" style="326" customWidth="1"/>
    <col min="14412" max="14414" width="9" style="326"/>
    <col min="14415" max="14415" width="12.875" style="326" customWidth="1"/>
    <col min="14416" max="14416" width="9" style="326"/>
    <col min="14417" max="14417" width="10.75" style="326" bestFit="1" customWidth="1"/>
    <col min="14418" max="14418" width="13.875" style="326" customWidth="1"/>
    <col min="14419" max="14421" width="9" style="326"/>
    <col min="14422" max="14422" width="14.125" style="326" customWidth="1"/>
    <col min="14423" max="14423" width="9" style="326"/>
    <col min="14424" max="14424" width="10.75" style="326" bestFit="1" customWidth="1"/>
    <col min="14425" max="14425" width="13.25" style="326" customWidth="1"/>
    <col min="14426" max="14428" width="9" style="326"/>
    <col min="14429" max="14429" width="13.25" style="326" customWidth="1"/>
    <col min="14430" max="14430" width="9" style="326"/>
    <col min="14431" max="14431" width="10.75" style="326" bestFit="1" customWidth="1"/>
    <col min="14432" max="14432" width="13.875" style="326" customWidth="1"/>
    <col min="14433" max="14435" width="9" style="326"/>
    <col min="14436" max="14436" width="13.625" style="326" customWidth="1"/>
    <col min="14437" max="14437" width="9" style="326"/>
    <col min="14438" max="14438" width="10.75" style="326" bestFit="1" customWidth="1"/>
    <col min="14439" max="14439" width="13" style="326" customWidth="1"/>
    <col min="14440" max="14586" width="9" style="326"/>
    <col min="14587" max="14588" width="12.125" style="326" customWidth="1"/>
    <col min="14589" max="14591" width="13" style="326" customWidth="1"/>
    <col min="14592" max="14592" width="12.875" style="326" customWidth="1"/>
    <col min="14593" max="14593" width="13" style="326" customWidth="1"/>
    <col min="14594" max="14594" width="13.125" style="326" customWidth="1"/>
    <col min="14595" max="14596" width="12.125" style="326" customWidth="1"/>
    <col min="14597" max="14597" width="14.375" style="326" bestFit="1" customWidth="1"/>
    <col min="14598" max="14598" width="11" style="326" customWidth="1"/>
    <col min="14599" max="14599" width="10" style="326" customWidth="1"/>
    <col min="14600" max="14600" width="10.875" style="326" customWidth="1"/>
    <col min="14601" max="14601" width="13.75" style="326" customWidth="1"/>
    <col min="14602" max="14602" width="10" style="326" customWidth="1"/>
    <col min="14603" max="14603" width="13.25" style="326" customWidth="1"/>
    <col min="14604" max="14604" width="14.375" style="326" customWidth="1"/>
    <col min="14605" max="14605" width="10" style="326" customWidth="1"/>
    <col min="14606" max="14606" width="10.875" style="326" customWidth="1"/>
    <col min="14607" max="14607" width="11.375" style="326" customWidth="1"/>
    <col min="14608" max="14608" width="15.375" style="326" customWidth="1"/>
    <col min="14609" max="14610" width="10.75" style="326" customWidth="1"/>
    <col min="14611" max="14611" width="14.375" style="326" customWidth="1"/>
    <col min="14612" max="14612" width="10.75" style="326" customWidth="1"/>
    <col min="14613" max="14613" width="11.75" style="326" customWidth="1"/>
    <col min="14614" max="14614" width="10" style="326" customWidth="1"/>
    <col min="14615" max="14615" width="15.375" style="326" customWidth="1"/>
    <col min="14616" max="14616" width="10" style="326" customWidth="1"/>
    <col min="14617" max="14617" width="10.75" style="326" customWidth="1"/>
    <col min="14618" max="14618" width="14.875" style="326" customWidth="1"/>
    <col min="14619" max="14619" width="11.5" style="326" customWidth="1"/>
    <col min="14620" max="14620" width="10" style="326" customWidth="1"/>
    <col min="14621" max="14621" width="10.75" style="326" customWidth="1"/>
    <col min="14622" max="14622" width="13.5" style="326" customWidth="1"/>
    <col min="14623" max="14623" width="9" style="326"/>
    <col min="14624" max="14624" width="10.75" style="326" bestFit="1" customWidth="1"/>
    <col min="14625" max="14625" width="13.75" style="326" customWidth="1"/>
    <col min="14626" max="14626" width="9" style="326"/>
    <col min="14627" max="14627" width="10.625" style="326" customWidth="1"/>
    <col min="14628" max="14628" width="9" style="326"/>
    <col min="14629" max="14629" width="14.25" style="326" customWidth="1"/>
    <col min="14630" max="14630" width="10.75" style="326" bestFit="1" customWidth="1"/>
    <col min="14631" max="14631" width="11.625" style="326" customWidth="1"/>
    <col min="14632" max="14632" width="13.75" style="326" customWidth="1"/>
    <col min="14633" max="14633" width="10.625" style="326" customWidth="1"/>
    <col min="14634" max="14635" width="9" style="326"/>
    <col min="14636" max="14636" width="14.125" style="326" customWidth="1"/>
    <col min="14637" max="14637" width="11" style="326" customWidth="1"/>
    <col min="14638" max="14638" width="10.75" style="326" bestFit="1" customWidth="1"/>
    <col min="14639" max="14639" width="13.5" style="326" customWidth="1"/>
    <col min="14640" max="14641" width="9" style="326"/>
    <col min="14642" max="14642" width="10.75" style="326" bestFit="1" customWidth="1"/>
    <col min="14643" max="14643" width="14" style="326" customWidth="1"/>
    <col min="14644" max="14644" width="9" style="326"/>
    <col min="14645" max="14645" width="10.75" style="326" customWidth="1"/>
    <col min="14646" max="14646" width="12.75" style="326" customWidth="1"/>
    <col min="14647" max="14647" width="9" style="326"/>
    <col min="14648" max="14648" width="10.75" style="326" bestFit="1" customWidth="1"/>
    <col min="14649" max="14649" width="11.5" style="326" customWidth="1"/>
    <col min="14650" max="14650" width="13.625" style="326" customWidth="1"/>
    <col min="14651" max="14651" width="10.625" style="326" customWidth="1"/>
    <col min="14652" max="14652" width="10.75" style="326" bestFit="1" customWidth="1"/>
    <col min="14653" max="14653" width="12.375" style="326" customWidth="1"/>
    <col min="14654" max="14656" width="9" style="326"/>
    <col min="14657" max="14657" width="15.75" style="326" customWidth="1"/>
    <col min="14658" max="14658" width="9" style="326"/>
    <col min="14659" max="14659" width="10.75" style="326" bestFit="1" customWidth="1"/>
    <col min="14660" max="14660" width="12.625" style="326" customWidth="1"/>
    <col min="14661" max="14663" width="9" style="326"/>
    <col min="14664" max="14664" width="13.625" style="326" customWidth="1"/>
    <col min="14665" max="14665" width="9" style="326"/>
    <col min="14666" max="14666" width="10.75" style="326" bestFit="1" customWidth="1"/>
    <col min="14667" max="14667" width="12.5" style="326" customWidth="1"/>
    <col min="14668" max="14670" width="9" style="326"/>
    <col min="14671" max="14671" width="12.875" style="326" customWidth="1"/>
    <col min="14672" max="14672" width="9" style="326"/>
    <col min="14673" max="14673" width="10.75" style="326" bestFit="1" customWidth="1"/>
    <col min="14674" max="14674" width="13.875" style="326" customWidth="1"/>
    <col min="14675" max="14677" width="9" style="326"/>
    <col min="14678" max="14678" width="14.125" style="326" customWidth="1"/>
    <col min="14679" max="14679" width="9" style="326"/>
    <col min="14680" max="14680" width="10.75" style="326" bestFit="1" customWidth="1"/>
    <col min="14681" max="14681" width="13.25" style="326" customWidth="1"/>
    <col min="14682" max="14684" width="9" style="326"/>
    <col min="14685" max="14685" width="13.25" style="326" customWidth="1"/>
    <col min="14686" max="14686" width="9" style="326"/>
    <col min="14687" max="14687" width="10.75" style="326" bestFit="1" customWidth="1"/>
    <col min="14688" max="14688" width="13.875" style="326" customWidth="1"/>
    <col min="14689" max="14691" width="9" style="326"/>
    <col min="14692" max="14692" width="13.625" style="326" customWidth="1"/>
    <col min="14693" max="14693" width="9" style="326"/>
    <col min="14694" max="14694" width="10.75" style="326" bestFit="1" customWidth="1"/>
    <col min="14695" max="14695" width="13" style="326" customWidth="1"/>
    <col min="14696" max="14842" width="9" style="326"/>
    <col min="14843" max="14844" width="12.125" style="326" customWidth="1"/>
    <col min="14845" max="14847" width="13" style="326" customWidth="1"/>
    <col min="14848" max="14848" width="12.875" style="326" customWidth="1"/>
    <col min="14849" max="14849" width="13" style="326" customWidth="1"/>
    <col min="14850" max="14850" width="13.125" style="326" customWidth="1"/>
    <col min="14851" max="14852" width="12.125" style="326" customWidth="1"/>
    <col min="14853" max="14853" width="14.375" style="326" bestFit="1" customWidth="1"/>
    <col min="14854" max="14854" width="11" style="326" customWidth="1"/>
    <col min="14855" max="14855" width="10" style="326" customWidth="1"/>
    <col min="14856" max="14856" width="10.875" style="326" customWidth="1"/>
    <col min="14857" max="14857" width="13.75" style="326" customWidth="1"/>
    <col min="14858" max="14858" width="10" style="326" customWidth="1"/>
    <col min="14859" max="14859" width="13.25" style="326" customWidth="1"/>
    <col min="14860" max="14860" width="14.375" style="326" customWidth="1"/>
    <col min="14861" max="14861" width="10" style="326" customWidth="1"/>
    <col min="14862" max="14862" width="10.875" style="326" customWidth="1"/>
    <col min="14863" max="14863" width="11.375" style="326" customWidth="1"/>
    <col min="14864" max="14864" width="15.375" style="326" customWidth="1"/>
    <col min="14865" max="14866" width="10.75" style="326" customWidth="1"/>
    <col min="14867" max="14867" width="14.375" style="326" customWidth="1"/>
    <col min="14868" max="14868" width="10.75" style="326" customWidth="1"/>
    <col min="14869" max="14869" width="11.75" style="326" customWidth="1"/>
    <col min="14870" max="14870" width="10" style="326" customWidth="1"/>
    <col min="14871" max="14871" width="15.375" style="326" customWidth="1"/>
    <col min="14872" max="14872" width="10" style="326" customWidth="1"/>
    <col min="14873" max="14873" width="10.75" style="326" customWidth="1"/>
    <col min="14874" max="14874" width="14.875" style="326" customWidth="1"/>
    <col min="14875" max="14875" width="11.5" style="326" customWidth="1"/>
    <col min="14876" max="14876" width="10" style="326" customWidth="1"/>
    <col min="14877" max="14877" width="10.75" style="326" customWidth="1"/>
    <col min="14878" max="14878" width="13.5" style="326" customWidth="1"/>
    <col min="14879" max="14879" width="9" style="326"/>
    <col min="14880" max="14880" width="10.75" style="326" bestFit="1" customWidth="1"/>
    <col min="14881" max="14881" width="13.75" style="326" customWidth="1"/>
    <col min="14882" max="14882" width="9" style="326"/>
    <col min="14883" max="14883" width="10.625" style="326" customWidth="1"/>
    <col min="14884" max="14884" width="9" style="326"/>
    <col min="14885" max="14885" width="14.25" style="326" customWidth="1"/>
    <col min="14886" max="14886" width="10.75" style="326" bestFit="1" customWidth="1"/>
    <col min="14887" max="14887" width="11.625" style="326" customWidth="1"/>
    <col min="14888" max="14888" width="13.75" style="326" customWidth="1"/>
    <col min="14889" max="14889" width="10.625" style="326" customWidth="1"/>
    <col min="14890" max="14891" width="9" style="326"/>
    <col min="14892" max="14892" width="14.125" style="326" customWidth="1"/>
    <col min="14893" max="14893" width="11" style="326" customWidth="1"/>
    <col min="14894" max="14894" width="10.75" style="326" bestFit="1" customWidth="1"/>
    <col min="14895" max="14895" width="13.5" style="326" customWidth="1"/>
    <col min="14896" max="14897" width="9" style="326"/>
    <col min="14898" max="14898" width="10.75" style="326" bestFit="1" customWidth="1"/>
    <col min="14899" max="14899" width="14" style="326" customWidth="1"/>
    <col min="14900" max="14900" width="9" style="326"/>
    <col min="14901" max="14901" width="10.75" style="326" customWidth="1"/>
    <col min="14902" max="14902" width="12.75" style="326" customWidth="1"/>
    <col min="14903" max="14903" width="9" style="326"/>
    <col min="14904" max="14904" width="10.75" style="326" bestFit="1" customWidth="1"/>
    <col min="14905" max="14905" width="11.5" style="326" customWidth="1"/>
    <col min="14906" max="14906" width="13.625" style="326" customWidth="1"/>
    <col min="14907" max="14907" width="10.625" style="326" customWidth="1"/>
    <col min="14908" max="14908" width="10.75" style="326" bestFit="1" customWidth="1"/>
    <col min="14909" max="14909" width="12.375" style="326" customWidth="1"/>
    <col min="14910" max="14912" width="9" style="326"/>
    <col min="14913" max="14913" width="15.75" style="326" customWidth="1"/>
    <col min="14914" max="14914" width="9" style="326"/>
    <col min="14915" max="14915" width="10.75" style="326" bestFit="1" customWidth="1"/>
    <col min="14916" max="14916" width="12.625" style="326" customWidth="1"/>
    <col min="14917" max="14919" width="9" style="326"/>
    <col min="14920" max="14920" width="13.625" style="326" customWidth="1"/>
    <col min="14921" max="14921" width="9" style="326"/>
    <col min="14922" max="14922" width="10.75" style="326" bestFit="1" customWidth="1"/>
    <col min="14923" max="14923" width="12.5" style="326" customWidth="1"/>
    <col min="14924" max="14926" width="9" style="326"/>
    <col min="14927" max="14927" width="12.875" style="326" customWidth="1"/>
    <col min="14928" max="14928" width="9" style="326"/>
    <col min="14929" max="14929" width="10.75" style="326" bestFit="1" customWidth="1"/>
    <col min="14930" max="14930" width="13.875" style="326" customWidth="1"/>
    <col min="14931" max="14933" width="9" style="326"/>
    <col min="14934" max="14934" width="14.125" style="326" customWidth="1"/>
    <col min="14935" max="14935" width="9" style="326"/>
    <col min="14936" max="14936" width="10.75" style="326" bestFit="1" customWidth="1"/>
    <col min="14937" max="14937" width="13.25" style="326" customWidth="1"/>
    <col min="14938" max="14940" width="9" style="326"/>
    <col min="14941" max="14941" width="13.25" style="326" customWidth="1"/>
    <col min="14942" max="14942" width="9" style="326"/>
    <col min="14943" max="14943" width="10.75" style="326" bestFit="1" customWidth="1"/>
    <col min="14944" max="14944" width="13.875" style="326" customWidth="1"/>
    <col min="14945" max="14947" width="9" style="326"/>
    <col min="14948" max="14948" width="13.625" style="326" customWidth="1"/>
    <col min="14949" max="14949" width="9" style="326"/>
    <col min="14950" max="14950" width="10.75" style="326" bestFit="1" customWidth="1"/>
    <col min="14951" max="14951" width="13" style="326" customWidth="1"/>
    <col min="14952" max="15098" width="9" style="326"/>
    <col min="15099" max="15100" width="12.125" style="326" customWidth="1"/>
    <col min="15101" max="15103" width="13" style="326" customWidth="1"/>
    <col min="15104" max="15104" width="12.875" style="326" customWidth="1"/>
    <col min="15105" max="15105" width="13" style="326" customWidth="1"/>
    <col min="15106" max="15106" width="13.125" style="326" customWidth="1"/>
    <col min="15107" max="15108" width="12.125" style="326" customWidth="1"/>
    <col min="15109" max="15109" width="14.375" style="326" bestFit="1" customWidth="1"/>
    <col min="15110" max="15110" width="11" style="326" customWidth="1"/>
    <col min="15111" max="15111" width="10" style="326" customWidth="1"/>
    <col min="15112" max="15112" width="10.875" style="326" customWidth="1"/>
    <col min="15113" max="15113" width="13.75" style="326" customWidth="1"/>
    <col min="15114" max="15114" width="10" style="326" customWidth="1"/>
    <col min="15115" max="15115" width="13.25" style="326" customWidth="1"/>
    <col min="15116" max="15116" width="14.375" style="326" customWidth="1"/>
    <col min="15117" max="15117" width="10" style="326" customWidth="1"/>
    <col min="15118" max="15118" width="10.875" style="326" customWidth="1"/>
    <col min="15119" max="15119" width="11.375" style="326" customWidth="1"/>
    <col min="15120" max="15120" width="15.375" style="326" customWidth="1"/>
    <col min="15121" max="15122" width="10.75" style="326" customWidth="1"/>
    <col min="15123" max="15123" width="14.375" style="326" customWidth="1"/>
    <col min="15124" max="15124" width="10.75" style="326" customWidth="1"/>
    <col min="15125" max="15125" width="11.75" style="326" customWidth="1"/>
    <col min="15126" max="15126" width="10" style="326" customWidth="1"/>
    <col min="15127" max="15127" width="15.375" style="326" customWidth="1"/>
    <col min="15128" max="15128" width="10" style="326" customWidth="1"/>
    <col min="15129" max="15129" width="10.75" style="326" customWidth="1"/>
    <col min="15130" max="15130" width="14.875" style="326" customWidth="1"/>
    <col min="15131" max="15131" width="11.5" style="326" customWidth="1"/>
    <col min="15132" max="15132" width="10" style="326" customWidth="1"/>
    <col min="15133" max="15133" width="10.75" style="326" customWidth="1"/>
    <col min="15134" max="15134" width="13.5" style="326" customWidth="1"/>
    <col min="15135" max="15135" width="9" style="326"/>
    <col min="15136" max="15136" width="10.75" style="326" bestFit="1" customWidth="1"/>
    <col min="15137" max="15137" width="13.75" style="326" customWidth="1"/>
    <col min="15138" max="15138" width="9" style="326"/>
    <col min="15139" max="15139" width="10.625" style="326" customWidth="1"/>
    <col min="15140" max="15140" width="9" style="326"/>
    <col min="15141" max="15141" width="14.25" style="326" customWidth="1"/>
    <col min="15142" max="15142" width="10.75" style="326" bestFit="1" customWidth="1"/>
    <col min="15143" max="15143" width="11.625" style="326" customWidth="1"/>
    <col min="15144" max="15144" width="13.75" style="326" customWidth="1"/>
    <col min="15145" max="15145" width="10.625" style="326" customWidth="1"/>
    <col min="15146" max="15147" width="9" style="326"/>
    <col min="15148" max="15148" width="14.125" style="326" customWidth="1"/>
    <col min="15149" max="15149" width="11" style="326" customWidth="1"/>
    <col min="15150" max="15150" width="10.75" style="326" bestFit="1" customWidth="1"/>
    <col min="15151" max="15151" width="13.5" style="326" customWidth="1"/>
    <col min="15152" max="15153" width="9" style="326"/>
    <col min="15154" max="15154" width="10.75" style="326" bestFit="1" customWidth="1"/>
    <col min="15155" max="15155" width="14" style="326" customWidth="1"/>
    <col min="15156" max="15156" width="9" style="326"/>
    <col min="15157" max="15157" width="10.75" style="326" customWidth="1"/>
    <col min="15158" max="15158" width="12.75" style="326" customWidth="1"/>
    <col min="15159" max="15159" width="9" style="326"/>
    <col min="15160" max="15160" width="10.75" style="326" bestFit="1" customWidth="1"/>
    <col min="15161" max="15161" width="11.5" style="326" customWidth="1"/>
    <col min="15162" max="15162" width="13.625" style="326" customWidth="1"/>
    <col min="15163" max="15163" width="10.625" style="326" customWidth="1"/>
    <col min="15164" max="15164" width="10.75" style="326" bestFit="1" customWidth="1"/>
    <col min="15165" max="15165" width="12.375" style="326" customWidth="1"/>
    <col min="15166" max="15168" width="9" style="326"/>
    <col min="15169" max="15169" width="15.75" style="326" customWidth="1"/>
    <col min="15170" max="15170" width="9" style="326"/>
    <col min="15171" max="15171" width="10.75" style="326" bestFit="1" customWidth="1"/>
    <col min="15172" max="15172" width="12.625" style="326" customWidth="1"/>
    <col min="15173" max="15175" width="9" style="326"/>
    <col min="15176" max="15176" width="13.625" style="326" customWidth="1"/>
    <col min="15177" max="15177" width="9" style="326"/>
    <col min="15178" max="15178" width="10.75" style="326" bestFit="1" customWidth="1"/>
    <col min="15179" max="15179" width="12.5" style="326" customWidth="1"/>
    <col min="15180" max="15182" width="9" style="326"/>
    <col min="15183" max="15183" width="12.875" style="326" customWidth="1"/>
    <col min="15184" max="15184" width="9" style="326"/>
    <col min="15185" max="15185" width="10.75" style="326" bestFit="1" customWidth="1"/>
    <col min="15186" max="15186" width="13.875" style="326" customWidth="1"/>
    <col min="15187" max="15189" width="9" style="326"/>
    <col min="15190" max="15190" width="14.125" style="326" customWidth="1"/>
    <col min="15191" max="15191" width="9" style="326"/>
    <col min="15192" max="15192" width="10.75" style="326" bestFit="1" customWidth="1"/>
    <col min="15193" max="15193" width="13.25" style="326" customWidth="1"/>
    <col min="15194" max="15196" width="9" style="326"/>
    <col min="15197" max="15197" width="13.25" style="326" customWidth="1"/>
    <col min="15198" max="15198" width="9" style="326"/>
    <col min="15199" max="15199" width="10.75" style="326" bestFit="1" customWidth="1"/>
    <col min="15200" max="15200" width="13.875" style="326" customWidth="1"/>
    <col min="15201" max="15203" width="9" style="326"/>
    <col min="15204" max="15204" width="13.625" style="326" customWidth="1"/>
    <col min="15205" max="15205" width="9" style="326"/>
    <col min="15206" max="15206" width="10.75" style="326" bestFit="1" customWidth="1"/>
    <col min="15207" max="15207" width="13" style="326" customWidth="1"/>
    <col min="15208" max="15354" width="9" style="326"/>
    <col min="15355" max="15356" width="12.125" style="326" customWidth="1"/>
    <col min="15357" max="15359" width="13" style="326" customWidth="1"/>
    <col min="15360" max="15360" width="12.875" style="326" customWidth="1"/>
    <col min="15361" max="15361" width="13" style="326" customWidth="1"/>
    <col min="15362" max="15362" width="13.125" style="326" customWidth="1"/>
    <col min="15363" max="15364" width="12.125" style="326" customWidth="1"/>
    <col min="15365" max="15365" width="14.375" style="326" bestFit="1" customWidth="1"/>
    <col min="15366" max="15366" width="11" style="326" customWidth="1"/>
    <col min="15367" max="15367" width="10" style="326" customWidth="1"/>
    <col min="15368" max="15368" width="10.875" style="326" customWidth="1"/>
    <col min="15369" max="15369" width="13.75" style="326" customWidth="1"/>
    <col min="15370" max="15370" width="10" style="326" customWidth="1"/>
    <col min="15371" max="15371" width="13.25" style="326" customWidth="1"/>
    <col min="15372" max="15372" width="14.375" style="326" customWidth="1"/>
    <col min="15373" max="15373" width="10" style="326" customWidth="1"/>
    <col min="15374" max="15374" width="10.875" style="326" customWidth="1"/>
    <col min="15375" max="15375" width="11.375" style="326" customWidth="1"/>
    <col min="15376" max="15376" width="15.375" style="326" customWidth="1"/>
    <col min="15377" max="15378" width="10.75" style="326" customWidth="1"/>
    <col min="15379" max="15379" width="14.375" style="326" customWidth="1"/>
    <col min="15380" max="15380" width="10.75" style="326" customWidth="1"/>
    <col min="15381" max="15381" width="11.75" style="326" customWidth="1"/>
    <col min="15382" max="15382" width="10" style="326" customWidth="1"/>
    <col min="15383" max="15383" width="15.375" style="326" customWidth="1"/>
    <col min="15384" max="15384" width="10" style="326" customWidth="1"/>
    <col min="15385" max="15385" width="10.75" style="326" customWidth="1"/>
    <col min="15386" max="15386" width="14.875" style="326" customWidth="1"/>
    <col min="15387" max="15387" width="11.5" style="326" customWidth="1"/>
    <col min="15388" max="15388" width="10" style="326" customWidth="1"/>
    <col min="15389" max="15389" width="10.75" style="326" customWidth="1"/>
    <col min="15390" max="15390" width="13.5" style="326" customWidth="1"/>
    <col min="15391" max="15391" width="9" style="326"/>
    <col min="15392" max="15392" width="10.75" style="326" bestFit="1" customWidth="1"/>
    <col min="15393" max="15393" width="13.75" style="326" customWidth="1"/>
    <col min="15394" max="15394" width="9" style="326"/>
    <col min="15395" max="15395" width="10.625" style="326" customWidth="1"/>
    <col min="15396" max="15396" width="9" style="326"/>
    <col min="15397" max="15397" width="14.25" style="326" customWidth="1"/>
    <col min="15398" max="15398" width="10.75" style="326" bestFit="1" customWidth="1"/>
    <col min="15399" max="15399" width="11.625" style="326" customWidth="1"/>
    <col min="15400" max="15400" width="13.75" style="326" customWidth="1"/>
    <col min="15401" max="15401" width="10.625" style="326" customWidth="1"/>
    <col min="15402" max="15403" width="9" style="326"/>
    <col min="15404" max="15404" width="14.125" style="326" customWidth="1"/>
    <col min="15405" max="15405" width="11" style="326" customWidth="1"/>
    <col min="15406" max="15406" width="10.75" style="326" bestFit="1" customWidth="1"/>
    <col min="15407" max="15407" width="13.5" style="326" customWidth="1"/>
    <col min="15408" max="15409" width="9" style="326"/>
    <col min="15410" max="15410" width="10.75" style="326" bestFit="1" customWidth="1"/>
    <col min="15411" max="15411" width="14" style="326" customWidth="1"/>
    <col min="15412" max="15412" width="9" style="326"/>
    <col min="15413" max="15413" width="10.75" style="326" customWidth="1"/>
    <col min="15414" max="15414" width="12.75" style="326" customWidth="1"/>
    <col min="15415" max="15415" width="9" style="326"/>
    <col min="15416" max="15416" width="10.75" style="326" bestFit="1" customWidth="1"/>
    <col min="15417" max="15417" width="11.5" style="326" customWidth="1"/>
    <col min="15418" max="15418" width="13.625" style="326" customWidth="1"/>
    <col min="15419" max="15419" width="10.625" style="326" customWidth="1"/>
    <col min="15420" max="15420" width="10.75" style="326" bestFit="1" customWidth="1"/>
    <col min="15421" max="15421" width="12.375" style="326" customWidth="1"/>
    <col min="15422" max="15424" width="9" style="326"/>
    <col min="15425" max="15425" width="15.75" style="326" customWidth="1"/>
    <col min="15426" max="15426" width="9" style="326"/>
    <col min="15427" max="15427" width="10.75" style="326" bestFit="1" customWidth="1"/>
    <col min="15428" max="15428" width="12.625" style="326" customWidth="1"/>
    <col min="15429" max="15431" width="9" style="326"/>
    <col min="15432" max="15432" width="13.625" style="326" customWidth="1"/>
    <col min="15433" max="15433" width="9" style="326"/>
    <col min="15434" max="15434" width="10.75" style="326" bestFit="1" customWidth="1"/>
    <col min="15435" max="15435" width="12.5" style="326" customWidth="1"/>
    <col min="15436" max="15438" width="9" style="326"/>
    <col min="15439" max="15439" width="12.875" style="326" customWidth="1"/>
    <col min="15440" max="15440" width="9" style="326"/>
    <col min="15441" max="15441" width="10.75" style="326" bestFit="1" customWidth="1"/>
    <col min="15442" max="15442" width="13.875" style="326" customWidth="1"/>
    <col min="15443" max="15445" width="9" style="326"/>
    <col min="15446" max="15446" width="14.125" style="326" customWidth="1"/>
    <col min="15447" max="15447" width="9" style="326"/>
    <col min="15448" max="15448" width="10.75" style="326" bestFit="1" customWidth="1"/>
    <col min="15449" max="15449" width="13.25" style="326" customWidth="1"/>
    <col min="15450" max="15452" width="9" style="326"/>
    <col min="15453" max="15453" width="13.25" style="326" customWidth="1"/>
    <col min="15454" max="15454" width="9" style="326"/>
    <col min="15455" max="15455" width="10.75" style="326" bestFit="1" customWidth="1"/>
    <col min="15456" max="15456" width="13.875" style="326" customWidth="1"/>
    <col min="15457" max="15459" width="9" style="326"/>
    <col min="15460" max="15460" width="13.625" style="326" customWidth="1"/>
    <col min="15461" max="15461" width="9" style="326"/>
    <col min="15462" max="15462" width="10.75" style="326" bestFit="1" customWidth="1"/>
    <col min="15463" max="15463" width="13" style="326" customWidth="1"/>
    <col min="15464" max="15610" width="9" style="326"/>
    <col min="15611" max="15612" width="12.125" style="326" customWidth="1"/>
    <col min="15613" max="15615" width="13" style="326" customWidth="1"/>
    <col min="15616" max="15616" width="12.875" style="326" customWidth="1"/>
    <col min="15617" max="15617" width="13" style="326" customWidth="1"/>
    <col min="15618" max="15618" width="13.125" style="326" customWidth="1"/>
    <col min="15619" max="15620" width="12.125" style="326" customWidth="1"/>
    <col min="15621" max="15621" width="14.375" style="326" bestFit="1" customWidth="1"/>
    <col min="15622" max="15622" width="11" style="326" customWidth="1"/>
    <col min="15623" max="15623" width="10" style="326" customWidth="1"/>
    <col min="15624" max="15624" width="10.875" style="326" customWidth="1"/>
    <col min="15625" max="15625" width="13.75" style="326" customWidth="1"/>
    <col min="15626" max="15626" width="10" style="326" customWidth="1"/>
    <col min="15627" max="15627" width="13.25" style="326" customWidth="1"/>
    <col min="15628" max="15628" width="14.375" style="326" customWidth="1"/>
    <col min="15629" max="15629" width="10" style="326" customWidth="1"/>
    <col min="15630" max="15630" width="10.875" style="326" customWidth="1"/>
    <col min="15631" max="15631" width="11.375" style="326" customWidth="1"/>
    <col min="15632" max="15632" width="15.375" style="326" customWidth="1"/>
    <col min="15633" max="15634" width="10.75" style="326" customWidth="1"/>
    <col min="15635" max="15635" width="14.375" style="326" customWidth="1"/>
    <col min="15636" max="15636" width="10.75" style="326" customWidth="1"/>
    <col min="15637" max="15637" width="11.75" style="326" customWidth="1"/>
    <col min="15638" max="15638" width="10" style="326" customWidth="1"/>
    <col min="15639" max="15639" width="15.375" style="326" customWidth="1"/>
    <col min="15640" max="15640" width="10" style="326" customWidth="1"/>
    <col min="15641" max="15641" width="10.75" style="326" customWidth="1"/>
    <col min="15642" max="15642" width="14.875" style="326" customWidth="1"/>
    <col min="15643" max="15643" width="11.5" style="326" customWidth="1"/>
    <col min="15644" max="15644" width="10" style="326" customWidth="1"/>
    <col min="15645" max="15645" width="10.75" style="326" customWidth="1"/>
    <col min="15646" max="15646" width="13.5" style="326" customWidth="1"/>
    <col min="15647" max="15647" width="9" style="326"/>
    <col min="15648" max="15648" width="10.75" style="326" bestFit="1" customWidth="1"/>
    <col min="15649" max="15649" width="13.75" style="326" customWidth="1"/>
    <col min="15650" max="15650" width="9" style="326"/>
    <col min="15651" max="15651" width="10.625" style="326" customWidth="1"/>
    <col min="15652" max="15652" width="9" style="326"/>
    <col min="15653" max="15653" width="14.25" style="326" customWidth="1"/>
    <col min="15654" max="15654" width="10.75" style="326" bestFit="1" customWidth="1"/>
    <col min="15655" max="15655" width="11.625" style="326" customWidth="1"/>
    <col min="15656" max="15656" width="13.75" style="326" customWidth="1"/>
    <col min="15657" max="15657" width="10.625" style="326" customWidth="1"/>
    <col min="15658" max="15659" width="9" style="326"/>
    <col min="15660" max="15660" width="14.125" style="326" customWidth="1"/>
    <col min="15661" max="15661" width="11" style="326" customWidth="1"/>
    <col min="15662" max="15662" width="10.75" style="326" bestFit="1" customWidth="1"/>
    <col min="15663" max="15663" width="13.5" style="326" customWidth="1"/>
    <col min="15664" max="15665" width="9" style="326"/>
    <col min="15666" max="15666" width="10.75" style="326" bestFit="1" customWidth="1"/>
    <col min="15667" max="15667" width="14" style="326" customWidth="1"/>
    <col min="15668" max="15668" width="9" style="326"/>
    <col min="15669" max="15669" width="10.75" style="326" customWidth="1"/>
    <col min="15670" max="15670" width="12.75" style="326" customWidth="1"/>
    <col min="15671" max="15671" width="9" style="326"/>
    <col min="15672" max="15672" width="10.75" style="326" bestFit="1" customWidth="1"/>
    <col min="15673" max="15673" width="11.5" style="326" customWidth="1"/>
    <col min="15674" max="15674" width="13.625" style="326" customWidth="1"/>
    <col min="15675" max="15675" width="10.625" style="326" customWidth="1"/>
    <col min="15676" max="15676" width="10.75" style="326" bestFit="1" customWidth="1"/>
    <col min="15677" max="15677" width="12.375" style="326" customWidth="1"/>
    <col min="15678" max="15680" width="9" style="326"/>
    <col min="15681" max="15681" width="15.75" style="326" customWidth="1"/>
    <col min="15682" max="15682" width="9" style="326"/>
    <col min="15683" max="15683" width="10.75" style="326" bestFit="1" customWidth="1"/>
    <col min="15684" max="15684" width="12.625" style="326" customWidth="1"/>
    <col min="15685" max="15687" width="9" style="326"/>
    <col min="15688" max="15688" width="13.625" style="326" customWidth="1"/>
    <col min="15689" max="15689" width="9" style="326"/>
    <col min="15690" max="15690" width="10.75" style="326" bestFit="1" customWidth="1"/>
    <col min="15691" max="15691" width="12.5" style="326" customWidth="1"/>
    <col min="15692" max="15694" width="9" style="326"/>
    <col min="15695" max="15695" width="12.875" style="326" customWidth="1"/>
    <col min="15696" max="15696" width="9" style="326"/>
    <col min="15697" max="15697" width="10.75" style="326" bestFit="1" customWidth="1"/>
    <col min="15698" max="15698" width="13.875" style="326" customWidth="1"/>
    <col min="15699" max="15701" width="9" style="326"/>
    <col min="15702" max="15702" width="14.125" style="326" customWidth="1"/>
    <col min="15703" max="15703" width="9" style="326"/>
    <col min="15704" max="15704" width="10.75" style="326" bestFit="1" customWidth="1"/>
    <col min="15705" max="15705" width="13.25" style="326" customWidth="1"/>
    <col min="15706" max="15708" width="9" style="326"/>
    <col min="15709" max="15709" width="13.25" style="326" customWidth="1"/>
    <col min="15710" max="15710" width="9" style="326"/>
    <col min="15711" max="15711" width="10.75" style="326" bestFit="1" customWidth="1"/>
    <col min="15712" max="15712" width="13.875" style="326" customWidth="1"/>
    <col min="15713" max="15715" width="9" style="326"/>
    <col min="15716" max="15716" width="13.625" style="326" customWidth="1"/>
    <col min="15717" max="15717" width="9" style="326"/>
    <col min="15718" max="15718" width="10.75" style="326" bestFit="1" customWidth="1"/>
    <col min="15719" max="15719" width="13" style="326" customWidth="1"/>
    <col min="15720" max="15866" width="9" style="326"/>
    <col min="15867" max="15868" width="12.125" style="326" customWidth="1"/>
    <col min="15869" max="15871" width="13" style="326" customWidth="1"/>
    <col min="15872" max="15872" width="12.875" style="326" customWidth="1"/>
    <col min="15873" max="15873" width="13" style="326" customWidth="1"/>
    <col min="15874" max="15874" width="13.125" style="326" customWidth="1"/>
    <col min="15875" max="15876" width="12.125" style="326" customWidth="1"/>
    <col min="15877" max="15877" width="14.375" style="326" bestFit="1" customWidth="1"/>
    <col min="15878" max="15878" width="11" style="326" customWidth="1"/>
    <col min="15879" max="15879" width="10" style="326" customWidth="1"/>
    <col min="15880" max="15880" width="10.875" style="326" customWidth="1"/>
    <col min="15881" max="15881" width="13.75" style="326" customWidth="1"/>
    <col min="15882" max="15882" width="10" style="326" customWidth="1"/>
    <col min="15883" max="15883" width="13.25" style="326" customWidth="1"/>
    <col min="15884" max="15884" width="14.375" style="326" customWidth="1"/>
    <col min="15885" max="15885" width="10" style="326" customWidth="1"/>
    <col min="15886" max="15886" width="10.875" style="326" customWidth="1"/>
    <col min="15887" max="15887" width="11.375" style="326" customWidth="1"/>
    <col min="15888" max="15888" width="15.375" style="326" customWidth="1"/>
    <col min="15889" max="15890" width="10.75" style="326" customWidth="1"/>
    <col min="15891" max="15891" width="14.375" style="326" customWidth="1"/>
    <col min="15892" max="15892" width="10.75" style="326" customWidth="1"/>
    <col min="15893" max="15893" width="11.75" style="326" customWidth="1"/>
    <col min="15894" max="15894" width="10" style="326" customWidth="1"/>
    <col min="15895" max="15895" width="15.375" style="326" customWidth="1"/>
    <col min="15896" max="15896" width="10" style="326" customWidth="1"/>
    <col min="15897" max="15897" width="10.75" style="326" customWidth="1"/>
    <col min="15898" max="15898" width="14.875" style="326" customWidth="1"/>
    <col min="15899" max="15899" width="11.5" style="326" customWidth="1"/>
    <col min="15900" max="15900" width="10" style="326" customWidth="1"/>
    <col min="15901" max="15901" width="10.75" style="326" customWidth="1"/>
    <col min="15902" max="15902" width="13.5" style="326" customWidth="1"/>
    <col min="15903" max="15903" width="9" style="326"/>
    <col min="15904" max="15904" width="10.75" style="326" bestFit="1" customWidth="1"/>
    <col min="15905" max="15905" width="13.75" style="326" customWidth="1"/>
    <col min="15906" max="15906" width="9" style="326"/>
    <col min="15907" max="15907" width="10.625" style="326" customWidth="1"/>
    <col min="15908" max="15908" width="9" style="326"/>
    <col min="15909" max="15909" width="14.25" style="326" customWidth="1"/>
    <col min="15910" max="15910" width="10.75" style="326" bestFit="1" customWidth="1"/>
    <col min="15911" max="15911" width="11.625" style="326" customWidth="1"/>
    <col min="15912" max="15912" width="13.75" style="326" customWidth="1"/>
    <col min="15913" max="15913" width="10.625" style="326" customWidth="1"/>
    <col min="15914" max="15915" width="9" style="326"/>
    <col min="15916" max="15916" width="14.125" style="326" customWidth="1"/>
    <col min="15917" max="15917" width="11" style="326" customWidth="1"/>
    <col min="15918" max="15918" width="10.75" style="326" bestFit="1" customWidth="1"/>
    <col min="15919" max="15919" width="13.5" style="326" customWidth="1"/>
    <col min="15920" max="15921" width="9" style="326"/>
    <col min="15922" max="15922" width="10.75" style="326" bestFit="1" customWidth="1"/>
    <col min="15923" max="15923" width="14" style="326" customWidth="1"/>
    <col min="15924" max="15924" width="9" style="326"/>
    <col min="15925" max="15925" width="10.75" style="326" customWidth="1"/>
    <col min="15926" max="15926" width="12.75" style="326" customWidth="1"/>
    <col min="15927" max="15927" width="9" style="326"/>
    <col min="15928" max="15928" width="10.75" style="326" bestFit="1" customWidth="1"/>
    <col min="15929" max="15929" width="11.5" style="326" customWidth="1"/>
    <col min="15930" max="15930" width="13.625" style="326" customWidth="1"/>
    <col min="15931" max="15931" width="10.625" style="326" customWidth="1"/>
    <col min="15932" max="15932" width="10.75" style="326" bestFit="1" customWidth="1"/>
    <col min="15933" max="15933" width="12.375" style="326" customWidth="1"/>
    <col min="15934" max="15936" width="9" style="326"/>
    <col min="15937" max="15937" width="15.75" style="326" customWidth="1"/>
    <col min="15938" max="15938" width="9" style="326"/>
    <col min="15939" max="15939" width="10.75" style="326" bestFit="1" customWidth="1"/>
    <col min="15940" max="15940" width="12.625" style="326" customWidth="1"/>
    <col min="15941" max="15943" width="9" style="326"/>
    <col min="15944" max="15944" width="13.625" style="326" customWidth="1"/>
    <col min="15945" max="15945" width="9" style="326"/>
    <col min="15946" max="15946" width="10.75" style="326" bestFit="1" customWidth="1"/>
    <col min="15947" max="15947" width="12.5" style="326" customWidth="1"/>
    <col min="15948" max="15950" width="9" style="326"/>
    <col min="15951" max="15951" width="12.875" style="326" customWidth="1"/>
    <col min="15952" max="15952" width="9" style="326"/>
    <col min="15953" max="15953" width="10.75" style="326" bestFit="1" customWidth="1"/>
    <col min="15954" max="15954" width="13.875" style="326" customWidth="1"/>
    <col min="15955" max="15957" width="9" style="326"/>
    <col min="15958" max="15958" width="14.125" style="326" customWidth="1"/>
    <col min="15959" max="15959" width="9" style="326"/>
    <col min="15960" max="15960" width="10.75" style="326" bestFit="1" customWidth="1"/>
    <col min="15961" max="15961" width="13.25" style="326" customWidth="1"/>
    <col min="15962" max="15964" width="9" style="326"/>
    <col min="15965" max="15965" width="13.25" style="326" customWidth="1"/>
    <col min="15966" max="15966" width="9" style="326"/>
    <col min="15967" max="15967" width="10.75" style="326" bestFit="1" customWidth="1"/>
    <col min="15968" max="15968" width="13.875" style="326" customWidth="1"/>
    <col min="15969" max="15971" width="9" style="326"/>
    <col min="15972" max="15972" width="13.625" style="326" customWidth="1"/>
    <col min="15973" max="15973" width="9" style="326"/>
    <col min="15974" max="15974" width="10.75" style="326" bestFit="1" customWidth="1"/>
    <col min="15975" max="15975" width="13" style="326" customWidth="1"/>
    <col min="15976" max="16122" width="9" style="326"/>
    <col min="16123" max="16124" width="12.125" style="326" customWidth="1"/>
    <col min="16125" max="16127" width="13" style="326" customWidth="1"/>
    <col min="16128" max="16128" width="12.875" style="326" customWidth="1"/>
    <col min="16129" max="16129" width="13" style="326" customWidth="1"/>
    <col min="16130" max="16130" width="13.125" style="326" customWidth="1"/>
    <col min="16131" max="16132" width="12.125" style="326" customWidth="1"/>
    <col min="16133" max="16133" width="14.375" style="326" bestFit="1" customWidth="1"/>
    <col min="16134" max="16134" width="11" style="326" customWidth="1"/>
    <col min="16135" max="16135" width="10" style="326" customWidth="1"/>
    <col min="16136" max="16136" width="10.875" style="326" customWidth="1"/>
    <col min="16137" max="16137" width="13.75" style="326" customWidth="1"/>
    <col min="16138" max="16138" width="10" style="326" customWidth="1"/>
    <col min="16139" max="16139" width="13.25" style="326" customWidth="1"/>
    <col min="16140" max="16140" width="14.375" style="326" customWidth="1"/>
    <col min="16141" max="16141" width="10" style="326" customWidth="1"/>
    <col min="16142" max="16142" width="10.875" style="326" customWidth="1"/>
    <col min="16143" max="16143" width="11.375" style="326" customWidth="1"/>
    <col min="16144" max="16144" width="15.375" style="326" customWidth="1"/>
    <col min="16145" max="16146" width="10.75" style="326" customWidth="1"/>
    <col min="16147" max="16147" width="14.375" style="326" customWidth="1"/>
    <col min="16148" max="16148" width="10.75" style="326" customWidth="1"/>
    <col min="16149" max="16149" width="11.75" style="326" customWidth="1"/>
    <col min="16150" max="16150" width="10" style="326" customWidth="1"/>
    <col min="16151" max="16151" width="15.375" style="326" customWidth="1"/>
    <col min="16152" max="16152" width="10" style="326" customWidth="1"/>
    <col min="16153" max="16153" width="10.75" style="326" customWidth="1"/>
    <col min="16154" max="16154" width="14.875" style="326" customWidth="1"/>
    <col min="16155" max="16155" width="11.5" style="326" customWidth="1"/>
    <col min="16156" max="16156" width="10" style="326" customWidth="1"/>
    <col min="16157" max="16157" width="10.75" style="326" customWidth="1"/>
    <col min="16158" max="16158" width="13.5" style="326" customWidth="1"/>
    <col min="16159" max="16159" width="9" style="326"/>
    <col min="16160" max="16160" width="10.75" style="326" bestFit="1" customWidth="1"/>
    <col min="16161" max="16161" width="13.75" style="326" customWidth="1"/>
    <col min="16162" max="16162" width="9" style="326"/>
    <col min="16163" max="16163" width="10.625" style="326" customWidth="1"/>
    <col min="16164" max="16164" width="9" style="326"/>
    <col min="16165" max="16165" width="14.25" style="326" customWidth="1"/>
    <col min="16166" max="16166" width="10.75" style="326" bestFit="1" customWidth="1"/>
    <col min="16167" max="16167" width="11.625" style="326" customWidth="1"/>
    <col min="16168" max="16168" width="13.75" style="326" customWidth="1"/>
    <col min="16169" max="16169" width="10.625" style="326" customWidth="1"/>
    <col min="16170" max="16171" width="9" style="326"/>
    <col min="16172" max="16172" width="14.125" style="326" customWidth="1"/>
    <col min="16173" max="16173" width="11" style="326" customWidth="1"/>
    <col min="16174" max="16174" width="10.75" style="326" bestFit="1" customWidth="1"/>
    <col min="16175" max="16175" width="13.5" style="326" customWidth="1"/>
    <col min="16176" max="16177" width="9" style="326"/>
    <col min="16178" max="16178" width="10.75" style="326" bestFit="1" customWidth="1"/>
    <col min="16179" max="16179" width="14" style="326" customWidth="1"/>
    <col min="16180" max="16180" width="9" style="326"/>
    <col min="16181" max="16181" width="10.75" style="326" customWidth="1"/>
    <col min="16182" max="16182" width="12.75" style="326" customWidth="1"/>
    <col min="16183" max="16183" width="9" style="326"/>
    <col min="16184" max="16184" width="10.75" style="326" bestFit="1" customWidth="1"/>
    <col min="16185" max="16185" width="11.5" style="326" customWidth="1"/>
    <col min="16186" max="16186" width="13.625" style="326" customWidth="1"/>
    <col min="16187" max="16187" width="10.625" style="326" customWidth="1"/>
    <col min="16188" max="16188" width="10.75" style="326" bestFit="1" customWidth="1"/>
    <col min="16189" max="16189" width="12.375" style="326" customWidth="1"/>
    <col min="16190" max="16192" width="9" style="326"/>
    <col min="16193" max="16193" width="15.75" style="326" customWidth="1"/>
    <col min="16194" max="16194" width="9" style="326"/>
    <col min="16195" max="16195" width="10.75" style="326" bestFit="1" customWidth="1"/>
    <col min="16196" max="16196" width="12.625" style="326" customWidth="1"/>
    <col min="16197" max="16199" width="9" style="326"/>
    <col min="16200" max="16200" width="13.625" style="326" customWidth="1"/>
    <col min="16201" max="16201" width="9" style="326"/>
    <col min="16202" max="16202" width="10.75" style="326" bestFit="1" customWidth="1"/>
    <col min="16203" max="16203" width="12.5" style="326" customWidth="1"/>
    <col min="16204" max="16206" width="9" style="326"/>
    <col min="16207" max="16207" width="12.875" style="326" customWidth="1"/>
    <col min="16208" max="16208" width="9" style="326"/>
    <col min="16209" max="16209" width="10.75" style="326" bestFit="1" customWidth="1"/>
    <col min="16210" max="16210" width="13.875" style="326" customWidth="1"/>
    <col min="16211" max="16213" width="9" style="326"/>
    <col min="16214" max="16214" width="14.125" style="326" customWidth="1"/>
    <col min="16215" max="16215" width="9" style="326"/>
    <col min="16216" max="16216" width="10.75" style="326" bestFit="1" customWidth="1"/>
    <col min="16217" max="16217" width="13.25" style="326" customWidth="1"/>
    <col min="16218" max="16220" width="9" style="326"/>
    <col min="16221" max="16221" width="13.25" style="326" customWidth="1"/>
    <col min="16222" max="16222" width="9" style="326"/>
    <col min="16223" max="16223" width="10.75" style="326" bestFit="1" customWidth="1"/>
    <col min="16224" max="16224" width="13.875" style="326" customWidth="1"/>
    <col min="16225" max="16227" width="9" style="326"/>
    <col min="16228" max="16228" width="13.625" style="326" customWidth="1"/>
    <col min="16229" max="16229" width="9" style="326"/>
    <col min="16230" max="16230" width="10.75" style="326" bestFit="1" customWidth="1"/>
    <col min="16231" max="16231" width="13" style="326" customWidth="1"/>
    <col min="16232" max="16384" width="9" style="326"/>
  </cols>
  <sheetData>
    <row r="1" spans="1:41" ht="18.75" customHeight="1">
      <c r="D1" s="325" t="s">
        <v>262</v>
      </c>
      <c r="E1" s="327">
        <f>A5</f>
        <v>2006</v>
      </c>
      <c r="F1" s="326" t="s">
        <v>345</v>
      </c>
      <c r="G1" s="328">
        <v>0</v>
      </c>
      <c r="H1" s="329"/>
      <c r="I1" s="328"/>
    </row>
    <row r="2" spans="1:41" ht="24.95" customHeight="1">
      <c r="A2" s="330" t="s">
        <v>1216</v>
      </c>
      <c r="C2" s="330"/>
    </row>
    <row r="3" spans="1:41" ht="9.9499999999999993" customHeight="1">
      <c r="A3" s="2262"/>
      <c r="B3" s="425"/>
      <c r="C3" s="426"/>
      <c r="D3" s="426"/>
      <c r="E3" s="426"/>
      <c r="F3" s="426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2"/>
      <c r="Z3" s="331"/>
      <c r="AA3" s="332"/>
      <c r="AB3" s="333"/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1"/>
      <c r="AN3" s="331"/>
      <c r="AO3" s="332"/>
    </row>
    <row r="4" spans="1:41" s="344" customFormat="1" ht="14.1" customHeight="1">
      <c r="A4" s="334" t="s">
        <v>264</v>
      </c>
      <c r="B4" s="335" t="s">
        <v>265</v>
      </c>
      <c r="C4" s="336" t="s">
        <v>266</v>
      </c>
      <c r="D4" s="337" t="s">
        <v>267</v>
      </c>
      <c r="E4" s="337" t="s">
        <v>268</v>
      </c>
      <c r="F4" s="338" t="s">
        <v>269</v>
      </c>
      <c r="G4" s="339" t="s">
        <v>270</v>
      </c>
      <c r="H4" s="340" t="s">
        <v>271</v>
      </c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41"/>
      <c r="W4" s="341"/>
      <c r="X4" s="341"/>
      <c r="Y4" s="342"/>
      <c r="Z4" s="341"/>
      <c r="AA4" s="342"/>
      <c r="AB4" s="343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341"/>
      <c r="AN4" s="341"/>
      <c r="AO4" s="342"/>
    </row>
    <row r="5" spans="1:41" s="344" customFormat="1" ht="14.1" customHeight="1">
      <c r="A5" s="345">
        <v>2006</v>
      </c>
      <c r="B5" s="346">
        <f>+'1.1.2 인구분석'!E113</f>
        <v>16125</v>
      </c>
      <c r="C5" s="347">
        <f>I65</f>
        <v>16523</v>
      </c>
      <c r="D5" s="348">
        <f>I104</f>
        <v>16539</v>
      </c>
      <c r="E5" s="349">
        <f>I142</f>
        <v>16119</v>
      </c>
      <c r="F5" s="350">
        <f>I178</f>
        <v>16250</v>
      </c>
      <c r="G5" s="351">
        <f t="shared" ref="G5:G34" si="0">ROUND(SUMIF(C$38:H$38,"○",C5:H5),$G$1)</f>
        <v>32369</v>
      </c>
      <c r="H5" s="352">
        <f>B5</f>
        <v>16125</v>
      </c>
      <c r="I5" s="2316" t="s">
        <v>272</v>
      </c>
      <c r="J5" s="2317"/>
      <c r="K5" s="353"/>
      <c r="L5" s="341"/>
      <c r="M5" s="341"/>
      <c r="N5" s="341"/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2"/>
      <c r="Z5" s="341"/>
      <c r="AA5" s="342"/>
      <c r="AB5" s="343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2"/>
    </row>
    <row r="6" spans="1:41" s="344" customFormat="1" ht="14.1" customHeight="1">
      <c r="A6" s="354">
        <v>2007</v>
      </c>
      <c r="B6" s="355">
        <f>+'1.1.2 인구분석'!E114</f>
        <v>16912</v>
      </c>
      <c r="C6" s="356">
        <f t="shared" ref="C6:C37" si="1">I66</f>
        <v>16809</v>
      </c>
      <c r="D6" s="357">
        <f t="shared" ref="D6:D37" si="2">I105</f>
        <v>16808</v>
      </c>
      <c r="E6" s="358">
        <f t="shared" ref="E6:E37" si="3">I143</f>
        <v>16749</v>
      </c>
      <c r="F6" s="359">
        <f t="shared" ref="F6:F37" si="4">I179</f>
        <v>16763</v>
      </c>
      <c r="G6" s="351">
        <f t="shared" si="0"/>
        <v>33512</v>
      </c>
      <c r="H6" s="352">
        <f>B6</f>
        <v>16912</v>
      </c>
      <c r="I6" s="360" t="s">
        <v>273</v>
      </c>
      <c r="J6" s="361">
        <f>ROUND(((B15/B10)^(1/(A15-A10))-1)*100,2)</f>
        <v>1</v>
      </c>
      <c r="K6" s="353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2"/>
      <c r="Z6" s="341"/>
      <c r="AA6" s="342"/>
      <c r="AB6" s="343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2"/>
    </row>
    <row r="7" spans="1:41" s="344" customFormat="1" ht="14.1" customHeight="1">
      <c r="A7" s="354">
        <v>2008</v>
      </c>
      <c r="B7" s="355">
        <f>+'1.1.2 인구분석'!E115</f>
        <v>17123</v>
      </c>
      <c r="C7" s="356">
        <f t="shared" si="1"/>
        <v>17094</v>
      </c>
      <c r="D7" s="357">
        <f t="shared" si="2"/>
        <v>17080</v>
      </c>
      <c r="E7" s="358">
        <f t="shared" si="3"/>
        <v>17195</v>
      </c>
      <c r="F7" s="359">
        <f t="shared" si="4"/>
        <v>17211</v>
      </c>
      <c r="G7" s="351">
        <f t="shared" si="0"/>
        <v>34406</v>
      </c>
      <c r="H7" s="352">
        <f t="shared" ref="H7:H15" si="5">B7</f>
        <v>17123</v>
      </c>
      <c r="I7" s="360" t="s">
        <v>274</v>
      </c>
      <c r="J7" s="360">
        <f>ROUND(((B15/B5)^(1/(A15-A5))-1)*100,2)</f>
        <v>1.52</v>
      </c>
      <c r="K7" s="353"/>
      <c r="L7" s="362"/>
      <c r="M7" s="363"/>
      <c r="N7" s="341"/>
      <c r="O7" s="341"/>
      <c r="P7" s="341"/>
      <c r="Q7" s="341"/>
      <c r="R7" s="341"/>
      <c r="S7" s="341"/>
      <c r="T7" s="341"/>
      <c r="U7" s="341"/>
      <c r="V7" s="341"/>
      <c r="W7" s="341"/>
      <c r="X7" s="341"/>
      <c r="Y7" s="342"/>
      <c r="Z7" s="341"/>
      <c r="AA7" s="342"/>
      <c r="AB7" s="343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2"/>
    </row>
    <row r="8" spans="1:41" s="344" customFormat="1" ht="14.1" customHeight="1">
      <c r="A8" s="354">
        <v>2009</v>
      </c>
      <c r="B8" s="355">
        <f>+'1.1.2 인구분석'!E116</f>
        <v>17334</v>
      </c>
      <c r="C8" s="356">
        <f t="shared" si="1"/>
        <v>17380</v>
      </c>
      <c r="D8" s="357">
        <f t="shared" si="2"/>
        <v>17357</v>
      </c>
      <c r="E8" s="358">
        <f t="shared" si="3"/>
        <v>17551</v>
      </c>
      <c r="F8" s="359">
        <f t="shared" si="4"/>
        <v>17600</v>
      </c>
      <c r="G8" s="351">
        <f t="shared" si="0"/>
        <v>35151</v>
      </c>
      <c r="H8" s="352">
        <f t="shared" si="5"/>
        <v>17334</v>
      </c>
      <c r="I8" s="341"/>
      <c r="J8" s="341"/>
      <c r="K8" s="341"/>
      <c r="L8" s="341"/>
      <c r="M8" s="341"/>
      <c r="N8" s="341"/>
      <c r="O8" s="341"/>
      <c r="P8" s="341"/>
      <c r="Q8" s="341"/>
      <c r="R8" s="341"/>
      <c r="S8" s="341"/>
      <c r="T8" s="341"/>
      <c r="U8" s="341"/>
      <c r="V8" s="341"/>
      <c r="W8" s="341"/>
      <c r="X8" s="341"/>
      <c r="Y8" s="342"/>
      <c r="Z8" s="341"/>
      <c r="AA8" s="342"/>
      <c r="AB8" s="343"/>
      <c r="AC8" s="341"/>
      <c r="AD8" s="341"/>
      <c r="AE8" s="341"/>
      <c r="AF8" s="341"/>
      <c r="AG8" s="341"/>
      <c r="AH8" s="341"/>
      <c r="AI8" s="341"/>
      <c r="AJ8" s="341"/>
      <c r="AK8" s="341"/>
      <c r="AL8" s="341"/>
      <c r="AM8" s="341"/>
      <c r="AN8" s="341"/>
      <c r="AO8" s="342"/>
    </row>
    <row r="9" spans="1:41" s="344" customFormat="1" ht="14.1" customHeight="1">
      <c r="A9" s="354">
        <v>2010</v>
      </c>
      <c r="B9" s="355">
        <f>+'1.1.2 인구분석'!E117</f>
        <v>17604</v>
      </c>
      <c r="C9" s="356">
        <f t="shared" si="1"/>
        <v>17666</v>
      </c>
      <c r="D9" s="357">
        <f t="shared" si="2"/>
        <v>17639</v>
      </c>
      <c r="E9" s="358">
        <f t="shared" si="3"/>
        <v>17852</v>
      </c>
      <c r="F9" s="359">
        <f t="shared" si="4"/>
        <v>17934</v>
      </c>
      <c r="G9" s="351">
        <f t="shared" si="0"/>
        <v>35786</v>
      </c>
      <c r="H9" s="352">
        <f t="shared" si="5"/>
        <v>17604</v>
      </c>
      <c r="I9" s="341"/>
      <c r="J9" s="341"/>
      <c r="K9" s="353"/>
      <c r="L9" s="341"/>
      <c r="M9" s="341"/>
      <c r="N9" s="341"/>
      <c r="O9" s="341"/>
      <c r="P9" s="341"/>
      <c r="Q9" s="341"/>
      <c r="R9" s="341"/>
      <c r="S9" s="341"/>
      <c r="T9" s="341"/>
      <c r="U9" s="341"/>
      <c r="V9" s="341"/>
      <c r="W9" s="341"/>
      <c r="X9" s="341"/>
      <c r="Y9" s="342"/>
      <c r="Z9" s="341"/>
      <c r="AA9" s="342"/>
      <c r="AB9" s="343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2"/>
    </row>
    <row r="10" spans="1:41" s="344" customFormat="1" ht="14.1" customHeight="1">
      <c r="A10" s="354">
        <v>2011</v>
      </c>
      <c r="B10" s="355">
        <f>+'1.1.2 인구분석'!E118</f>
        <v>17831</v>
      </c>
      <c r="C10" s="356">
        <f t="shared" si="1"/>
        <v>17952</v>
      </c>
      <c r="D10" s="357">
        <f t="shared" si="2"/>
        <v>17925</v>
      </c>
      <c r="E10" s="358">
        <f t="shared" si="3"/>
        <v>18117</v>
      </c>
      <c r="F10" s="359">
        <f t="shared" si="4"/>
        <v>18219</v>
      </c>
      <c r="G10" s="351">
        <f t="shared" si="0"/>
        <v>36336</v>
      </c>
      <c r="H10" s="352">
        <f t="shared" si="5"/>
        <v>17831</v>
      </c>
      <c r="I10" s="341"/>
      <c r="J10" s="341"/>
      <c r="K10" s="353"/>
      <c r="L10" s="341"/>
      <c r="M10" s="341"/>
      <c r="N10" s="341"/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2"/>
      <c r="Z10" s="341"/>
      <c r="AA10" s="342"/>
      <c r="AB10" s="343"/>
      <c r="AC10" s="341"/>
      <c r="AD10" s="341"/>
      <c r="AE10" s="341"/>
      <c r="AF10" s="341"/>
      <c r="AG10" s="341"/>
      <c r="AH10" s="341"/>
      <c r="AI10" s="341"/>
      <c r="AJ10" s="341"/>
      <c r="AK10" s="341"/>
      <c r="AL10" s="341"/>
      <c r="AM10" s="341"/>
      <c r="AN10" s="341"/>
      <c r="AO10" s="342"/>
    </row>
    <row r="11" spans="1:41" s="344" customFormat="1" ht="14.1" customHeight="1">
      <c r="A11" s="354">
        <v>2012</v>
      </c>
      <c r="B11" s="355">
        <f>+'1.1.2 인구분석'!E119</f>
        <v>18702</v>
      </c>
      <c r="C11" s="356">
        <f t="shared" si="1"/>
        <v>18237</v>
      </c>
      <c r="D11" s="357">
        <f t="shared" si="2"/>
        <v>18216</v>
      </c>
      <c r="E11" s="358">
        <f t="shared" si="3"/>
        <v>18354</v>
      </c>
      <c r="F11" s="359">
        <f t="shared" si="4"/>
        <v>18462</v>
      </c>
      <c r="G11" s="351">
        <f t="shared" si="0"/>
        <v>36816</v>
      </c>
      <c r="H11" s="352">
        <f t="shared" si="5"/>
        <v>18702</v>
      </c>
      <c r="I11" s="341"/>
      <c r="J11" s="341"/>
      <c r="K11" s="353"/>
      <c r="L11" s="341"/>
      <c r="M11" s="341"/>
      <c r="N11" s="341"/>
      <c r="O11" s="341"/>
      <c r="P11" s="341"/>
      <c r="Q11" s="341"/>
      <c r="R11" s="341"/>
      <c r="S11" s="341"/>
      <c r="T11" s="341"/>
      <c r="U11" s="341"/>
      <c r="V11" s="341"/>
      <c r="W11" s="341"/>
      <c r="X11" s="341"/>
      <c r="Y11" s="342"/>
      <c r="Z11" s="341"/>
      <c r="AA11" s="342"/>
      <c r="AB11" s="343"/>
      <c r="AC11" s="341"/>
      <c r="AD11" s="341"/>
      <c r="AE11" s="341"/>
      <c r="AF11" s="341"/>
      <c r="AG11" s="341"/>
      <c r="AH11" s="341"/>
      <c r="AI11" s="341"/>
      <c r="AJ11" s="341"/>
      <c r="AK11" s="341"/>
      <c r="AL11" s="341"/>
      <c r="AM11" s="341"/>
      <c r="AN11" s="341"/>
      <c r="AO11" s="342"/>
    </row>
    <row r="12" spans="1:41" s="344" customFormat="1" ht="14.1" customHeight="1">
      <c r="A12" s="354">
        <v>2013</v>
      </c>
      <c r="B12" s="355">
        <f>+'1.1.2 인구분석'!E120</f>
        <v>19159</v>
      </c>
      <c r="C12" s="356">
        <f t="shared" si="1"/>
        <v>18523</v>
      </c>
      <c r="D12" s="357">
        <f t="shared" si="2"/>
        <v>18511</v>
      </c>
      <c r="E12" s="358">
        <f t="shared" si="3"/>
        <v>18570</v>
      </c>
      <c r="F12" s="359">
        <f t="shared" si="4"/>
        <v>18667</v>
      </c>
      <c r="G12" s="351">
        <f t="shared" si="0"/>
        <v>37237</v>
      </c>
      <c r="H12" s="352">
        <f t="shared" si="5"/>
        <v>19159</v>
      </c>
      <c r="I12" s="341"/>
      <c r="J12" s="341"/>
      <c r="K12" s="353"/>
      <c r="L12" s="341"/>
      <c r="M12" s="341"/>
      <c r="N12" s="341"/>
      <c r="O12" s="341"/>
      <c r="P12" s="341"/>
      <c r="Q12" s="341"/>
      <c r="R12" s="341"/>
      <c r="S12" s="341"/>
      <c r="T12" s="341"/>
      <c r="U12" s="341"/>
      <c r="V12" s="341"/>
      <c r="W12" s="341"/>
      <c r="X12" s="341"/>
      <c r="Y12" s="342"/>
      <c r="Z12" s="341"/>
      <c r="AA12" s="342"/>
      <c r="AB12" s="343"/>
      <c r="AC12" s="341"/>
      <c r="AD12" s="341"/>
      <c r="AE12" s="341"/>
      <c r="AF12" s="341"/>
      <c r="AG12" s="341"/>
      <c r="AH12" s="341"/>
      <c r="AI12" s="341"/>
      <c r="AJ12" s="341"/>
      <c r="AK12" s="341"/>
      <c r="AL12" s="341"/>
      <c r="AM12" s="341"/>
      <c r="AN12" s="341"/>
      <c r="AO12" s="342"/>
    </row>
    <row r="13" spans="1:41" s="344" customFormat="1" ht="14.1" customHeight="1">
      <c r="A13" s="354">
        <v>2014</v>
      </c>
      <c r="B13" s="355">
        <f>+'1.1.2 인구분석'!E121</f>
        <v>19132</v>
      </c>
      <c r="C13" s="356">
        <f t="shared" si="1"/>
        <v>18809</v>
      </c>
      <c r="D13" s="357">
        <f t="shared" si="2"/>
        <v>18811</v>
      </c>
      <c r="E13" s="358">
        <f t="shared" si="3"/>
        <v>18769</v>
      </c>
      <c r="F13" s="359">
        <f t="shared" si="4"/>
        <v>18839</v>
      </c>
      <c r="G13" s="351">
        <f t="shared" si="0"/>
        <v>37608</v>
      </c>
      <c r="H13" s="352">
        <f t="shared" si="5"/>
        <v>19132</v>
      </c>
      <c r="I13" s="341"/>
      <c r="J13" s="341"/>
      <c r="K13" s="353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2"/>
      <c r="Z13" s="341"/>
      <c r="AA13" s="342"/>
      <c r="AB13" s="343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2"/>
    </row>
    <row r="14" spans="1:41" s="344" customFormat="1" ht="14.1" customHeight="1">
      <c r="A14" s="386">
        <v>2015</v>
      </c>
      <c r="B14" s="2071">
        <f>+'1.1.2 인구분석'!E122</f>
        <v>18802</v>
      </c>
      <c r="C14" s="2072">
        <f t="shared" si="1"/>
        <v>19095</v>
      </c>
      <c r="D14" s="2073">
        <f t="shared" si="2"/>
        <v>19117</v>
      </c>
      <c r="E14" s="2074">
        <f t="shared" si="3"/>
        <v>18953</v>
      </c>
      <c r="F14" s="2075">
        <f t="shared" si="4"/>
        <v>18984</v>
      </c>
      <c r="G14" s="2076">
        <f t="shared" si="0"/>
        <v>37937</v>
      </c>
      <c r="H14" s="2077">
        <f t="shared" si="5"/>
        <v>18802</v>
      </c>
      <c r="I14" s="383"/>
      <c r="J14" s="383"/>
      <c r="K14" s="2078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2079"/>
      <c r="Z14" s="341"/>
      <c r="AA14" s="342"/>
      <c r="AB14" s="343"/>
      <c r="AC14" s="341"/>
      <c r="AD14" s="341"/>
      <c r="AE14" s="341"/>
      <c r="AF14" s="341"/>
      <c r="AG14" s="341"/>
      <c r="AH14" s="341"/>
      <c r="AI14" s="341"/>
      <c r="AJ14" s="341"/>
      <c r="AK14" s="341"/>
      <c r="AL14" s="341"/>
      <c r="AM14" s="341"/>
      <c r="AN14" s="341"/>
      <c r="AO14" s="342"/>
    </row>
    <row r="15" spans="1:41" s="344" customFormat="1" ht="14.1" customHeight="1" thickBot="1">
      <c r="A15" s="2010">
        <v>2016</v>
      </c>
      <c r="B15" s="2014">
        <f>+'1.1.2 인구분석'!E123</f>
        <v>18744</v>
      </c>
      <c r="C15" s="2011">
        <f t="shared" si="1"/>
        <v>19380</v>
      </c>
      <c r="D15" s="2012">
        <f t="shared" si="2"/>
        <v>19427</v>
      </c>
      <c r="E15" s="2011">
        <f t="shared" si="3"/>
        <v>19127</v>
      </c>
      <c r="F15" s="2013">
        <f t="shared" si="4"/>
        <v>19106</v>
      </c>
      <c r="G15" s="351">
        <f t="shared" si="0"/>
        <v>38233</v>
      </c>
      <c r="H15" s="352">
        <f t="shared" si="5"/>
        <v>18744</v>
      </c>
      <c r="I15" s="341"/>
      <c r="J15" s="341"/>
      <c r="K15" s="353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2"/>
      <c r="AB15" s="343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  <c r="AN15" s="341"/>
      <c r="AO15" s="342"/>
    </row>
    <row r="16" spans="1:41" s="344" customFormat="1" ht="14.1" customHeight="1" thickTop="1">
      <c r="A16" s="2114">
        <v>2017</v>
      </c>
      <c r="B16" s="2115"/>
      <c r="C16" s="2116">
        <f t="shared" si="1"/>
        <v>19666</v>
      </c>
      <c r="D16" s="2117">
        <f t="shared" si="2"/>
        <v>19742</v>
      </c>
      <c r="E16" s="2116">
        <f t="shared" si="3"/>
        <v>19290</v>
      </c>
      <c r="F16" s="2118">
        <f t="shared" si="4"/>
        <v>19207</v>
      </c>
      <c r="G16" s="364">
        <f t="shared" si="0"/>
        <v>38497</v>
      </c>
      <c r="H16" s="365"/>
      <c r="I16" s="341"/>
      <c r="J16" s="341"/>
      <c r="K16" s="353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2"/>
      <c r="AB16" s="343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  <c r="AM16" s="341"/>
      <c r="AN16" s="341"/>
      <c r="AO16" s="342"/>
    </row>
    <row r="17" spans="1:41" s="381" customFormat="1" ht="14.1" customHeight="1">
      <c r="A17" s="345">
        <v>2018</v>
      </c>
      <c r="B17" s="346"/>
      <c r="C17" s="347">
        <f t="shared" si="1"/>
        <v>19952</v>
      </c>
      <c r="D17" s="2168">
        <f t="shared" si="2"/>
        <v>20062</v>
      </c>
      <c r="E17" s="347">
        <f t="shared" si="3"/>
        <v>19444</v>
      </c>
      <c r="F17" s="2169">
        <f t="shared" si="4"/>
        <v>19291</v>
      </c>
      <c r="G17" s="2170">
        <f t="shared" si="0"/>
        <v>38735</v>
      </c>
      <c r="H17" s="2171"/>
      <c r="I17" s="2172"/>
      <c r="J17" s="2172"/>
      <c r="K17" s="2173"/>
      <c r="L17" s="2172"/>
      <c r="M17" s="2172"/>
      <c r="N17" s="2172"/>
      <c r="O17" s="2172"/>
      <c r="P17" s="2172"/>
      <c r="Q17" s="2172"/>
      <c r="R17" s="2172"/>
      <c r="S17" s="2172"/>
      <c r="T17" s="2172"/>
      <c r="U17" s="2172"/>
      <c r="V17" s="2172"/>
      <c r="W17" s="2172"/>
      <c r="X17" s="2172"/>
      <c r="Y17" s="2174"/>
      <c r="Z17" s="378"/>
      <c r="AA17" s="379"/>
      <c r="AB17" s="380"/>
      <c r="AC17" s="378"/>
      <c r="AD17" s="378"/>
      <c r="AE17" s="378"/>
      <c r="AF17" s="378"/>
      <c r="AG17" s="378"/>
      <c r="AH17" s="378"/>
      <c r="AI17" s="378"/>
      <c r="AJ17" s="378"/>
      <c r="AK17" s="378"/>
      <c r="AL17" s="378"/>
      <c r="AM17" s="378"/>
      <c r="AN17" s="378"/>
      <c r="AO17" s="379"/>
    </row>
    <row r="18" spans="1:41" s="381" customFormat="1" ht="14.1" customHeight="1">
      <c r="A18" s="354">
        <v>2019</v>
      </c>
      <c r="B18" s="355"/>
      <c r="C18" s="356">
        <f t="shared" si="1"/>
        <v>20237</v>
      </c>
      <c r="D18" s="371">
        <f t="shared" si="2"/>
        <v>20387</v>
      </c>
      <c r="E18" s="356">
        <f t="shared" si="3"/>
        <v>19591</v>
      </c>
      <c r="F18" s="372">
        <f t="shared" si="4"/>
        <v>19361</v>
      </c>
      <c r="G18" s="376">
        <f t="shared" si="0"/>
        <v>38952</v>
      </c>
      <c r="H18" s="377"/>
      <c r="I18" s="378"/>
      <c r="J18" s="378"/>
      <c r="K18" s="1912"/>
      <c r="L18" s="378"/>
      <c r="M18" s="378"/>
      <c r="N18" s="378"/>
      <c r="O18" s="378"/>
      <c r="P18" s="378"/>
      <c r="Q18" s="378"/>
      <c r="R18" s="378"/>
      <c r="S18" s="378"/>
      <c r="T18" s="378"/>
      <c r="U18" s="378"/>
      <c r="V18" s="378"/>
      <c r="W18" s="378"/>
      <c r="X18" s="378"/>
      <c r="Y18" s="379"/>
      <c r="Z18" s="378"/>
      <c r="AA18" s="379"/>
      <c r="AB18" s="380"/>
      <c r="AC18" s="378"/>
      <c r="AD18" s="378"/>
      <c r="AE18" s="378"/>
      <c r="AF18" s="378"/>
      <c r="AG18" s="378"/>
      <c r="AH18" s="378"/>
      <c r="AI18" s="378"/>
      <c r="AJ18" s="378"/>
      <c r="AK18" s="378"/>
      <c r="AL18" s="378"/>
      <c r="AM18" s="378"/>
      <c r="AN18" s="378"/>
      <c r="AO18" s="379"/>
    </row>
    <row r="19" spans="1:41" s="1929" customFormat="1" ht="14.1" customHeight="1">
      <c r="A19" s="366">
        <v>2020</v>
      </c>
      <c r="B19" s="367"/>
      <c r="C19" s="368">
        <f t="shared" si="1"/>
        <v>20523</v>
      </c>
      <c r="D19" s="369">
        <f t="shared" si="2"/>
        <v>20718</v>
      </c>
      <c r="E19" s="368">
        <f t="shared" si="3"/>
        <v>19731</v>
      </c>
      <c r="F19" s="370">
        <f t="shared" si="4"/>
        <v>19420</v>
      </c>
      <c r="G19" s="374">
        <f t="shared" si="0"/>
        <v>39151</v>
      </c>
      <c r="H19" s="373"/>
      <c r="I19" s="1925"/>
      <c r="J19" s="1925"/>
      <c r="K19" s="1926"/>
      <c r="L19" s="1925"/>
      <c r="M19" s="1925"/>
      <c r="N19" s="1925"/>
      <c r="O19" s="1925"/>
      <c r="P19" s="1925"/>
      <c r="Q19" s="1925"/>
      <c r="R19" s="1925"/>
      <c r="S19" s="1925"/>
      <c r="T19" s="1925"/>
      <c r="U19" s="1925"/>
      <c r="V19" s="1925"/>
      <c r="W19" s="1925"/>
      <c r="X19" s="1925"/>
      <c r="Y19" s="1927"/>
      <c r="Z19" s="1925"/>
      <c r="AA19" s="1927"/>
      <c r="AB19" s="1928"/>
      <c r="AC19" s="1925"/>
      <c r="AD19" s="1925"/>
      <c r="AE19" s="1925"/>
      <c r="AF19" s="1925"/>
      <c r="AG19" s="1925"/>
      <c r="AH19" s="1925"/>
      <c r="AI19" s="1925"/>
      <c r="AJ19" s="1925"/>
      <c r="AK19" s="1925"/>
      <c r="AL19" s="1925"/>
      <c r="AM19" s="1925"/>
      <c r="AN19" s="1925"/>
      <c r="AO19" s="1927"/>
    </row>
    <row r="20" spans="1:41" s="381" customFormat="1" ht="14.1" customHeight="1">
      <c r="A20" s="354">
        <v>2021</v>
      </c>
      <c r="B20" s="355"/>
      <c r="C20" s="356">
        <f t="shared" si="1"/>
        <v>20809</v>
      </c>
      <c r="D20" s="371">
        <f t="shared" si="2"/>
        <v>21054</v>
      </c>
      <c r="E20" s="356">
        <f t="shared" si="3"/>
        <v>19866</v>
      </c>
      <c r="F20" s="372">
        <f t="shared" si="4"/>
        <v>19468</v>
      </c>
      <c r="G20" s="376">
        <f t="shared" si="0"/>
        <v>39334</v>
      </c>
      <c r="H20" s="1913"/>
      <c r="I20" s="378"/>
      <c r="J20" s="378"/>
      <c r="K20" s="1912"/>
      <c r="L20" s="378"/>
      <c r="M20" s="378"/>
      <c r="N20" s="378"/>
      <c r="O20" s="378"/>
      <c r="P20" s="378"/>
      <c r="Q20" s="378"/>
      <c r="R20" s="378"/>
      <c r="S20" s="378"/>
      <c r="T20" s="378"/>
      <c r="U20" s="378"/>
      <c r="V20" s="378"/>
      <c r="W20" s="378"/>
      <c r="X20" s="378"/>
      <c r="Y20" s="379"/>
      <c r="Z20" s="378"/>
      <c r="AA20" s="379"/>
      <c r="AB20" s="380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9"/>
    </row>
    <row r="21" spans="1:41" s="381" customFormat="1" ht="14.1" customHeight="1">
      <c r="A21" s="354">
        <v>2022</v>
      </c>
      <c r="B21" s="355"/>
      <c r="C21" s="356">
        <f t="shared" si="1"/>
        <v>21095</v>
      </c>
      <c r="D21" s="371">
        <f t="shared" si="2"/>
        <v>21395</v>
      </c>
      <c r="E21" s="356">
        <f t="shared" si="3"/>
        <v>19995</v>
      </c>
      <c r="F21" s="372">
        <f t="shared" si="4"/>
        <v>19508</v>
      </c>
      <c r="G21" s="376">
        <f t="shared" si="0"/>
        <v>39503</v>
      </c>
      <c r="H21" s="377"/>
      <c r="I21" s="378"/>
      <c r="J21" s="378"/>
      <c r="K21" s="1912"/>
      <c r="L21" s="378"/>
      <c r="M21" s="378"/>
      <c r="N21" s="378"/>
      <c r="O21" s="378"/>
      <c r="P21" s="378"/>
      <c r="Q21" s="378"/>
      <c r="R21" s="378"/>
      <c r="S21" s="378"/>
      <c r="T21" s="378"/>
      <c r="U21" s="378"/>
      <c r="V21" s="378"/>
      <c r="W21" s="378"/>
      <c r="X21" s="378"/>
      <c r="Y21" s="379"/>
      <c r="Z21" s="378"/>
      <c r="AA21" s="379"/>
      <c r="AB21" s="380"/>
      <c r="AC21" s="378"/>
      <c r="AD21" s="378"/>
      <c r="AE21" s="378"/>
      <c r="AF21" s="378"/>
      <c r="AG21" s="378"/>
      <c r="AH21" s="378"/>
      <c r="AI21" s="378"/>
      <c r="AJ21" s="378"/>
      <c r="AK21" s="378"/>
      <c r="AL21" s="378"/>
      <c r="AM21" s="378"/>
      <c r="AN21" s="378"/>
      <c r="AO21" s="379"/>
    </row>
    <row r="22" spans="1:41" s="381" customFormat="1" ht="14.1" customHeight="1">
      <c r="A22" s="354">
        <v>2023</v>
      </c>
      <c r="B22" s="355"/>
      <c r="C22" s="356">
        <f t="shared" si="1"/>
        <v>21380</v>
      </c>
      <c r="D22" s="371">
        <f t="shared" si="2"/>
        <v>21742</v>
      </c>
      <c r="E22" s="356">
        <f t="shared" si="3"/>
        <v>20119</v>
      </c>
      <c r="F22" s="372">
        <f t="shared" si="4"/>
        <v>19542</v>
      </c>
      <c r="G22" s="376">
        <f t="shared" si="0"/>
        <v>39661</v>
      </c>
      <c r="H22" s="377"/>
      <c r="I22" s="378"/>
      <c r="J22" s="378"/>
      <c r="K22" s="1912"/>
      <c r="L22" s="378"/>
      <c r="M22" s="378"/>
      <c r="N22" s="378"/>
      <c r="O22" s="378"/>
      <c r="P22" s="378"/>
      <c r="Q22" s="378"/>
      <c r="R22" s="378"/>
      <c r="S22" s="378"/>
      <c r="T22" s="378"/>
      <c r="U22" s="378"/>
      <c r="V22" s="378"/>
      <c r="W22" s="378"/>
      <c r="X22" s="378"/>
      <c r="Y22" s="379"/>
      <c r="Z22" s="378"/>
      <c r="AA22" s="379"/>
      <c r="AB22" s="380"/>
      <c r="AC22" s="378"/>
      <c r="AD22" s="378"/>
      <c r="AE22" s="378"/>
      <c r="AF22" s="378"/>
      <c r="AG22" s="378"/>
      <c r="AH22" s="378"/>
      <c r="AI22" s="378"/>
      <c r="AJ22" s="378"/>
      <c r="AK22" s="378"/>
      <c r="AL22" s="378"/>
      <c r="AM22" s="378"/>
      <c r="AN22" s="378"/>
      <c r="AO22" s="379"/>
    </row>
    <row r="23" spans="1:41" s="381" customFormat="1" ht="14.1" customHeight="1">
      <c r="A23" s="354">
        <v>2024</v>
      </c>
      <c r="B23" s="355"/>
      <c r="C23" s="356">
        <f t="shared" si="1"/>
        <v>21666</v>
      </c>
      <c r="D23" s="371">
        <f t="shared" si="2"/>
        <v>22095</v>
      </c>
      <c r="E23" s="356">
        <f t="shared" si="3"/>
        <v>20238</v>
      </c>
      <c r="F23" s="372">
        <f t="shared" si="4"/>
        <v>19569</v>
      </c>
      <c r="G23" s="376">
        <f t="shared" si="0"/>
        <v>39807</v>
      </c>
      <c r="H23" s="377"/>
      <c r="I23" s="378"/>
      <c r="J23" s="378"/>
      <c r="K23" s="1912"/>
      <c r="L23" s="378"/>
      <c r="M23" s="378"/>
      <c r="N23" s="378"/>
      <c r="O23" s="378"/>
      <c r="P23" s="378"/>
      <c r="Q23" s="378"/>
      <c r="R23" s="378"/>
      <c r="S23" s="378"/>
      <c r="T23" s="378"/>
      <c r="U23" s="378"/>
      <c r="V23" s="378"/>
      <c r="W23" s="378"/>
      <c r="X23" s="378"/>
      <c r="Y23" s="379"/>
      <c r="Z23" s="378"/>
      <c r="AA23" s="379"/>
      <c r="AB23" s="380"/>
      <c r="AC23" s="378"/>
      <c r="AD23" s="378"/>
      <c r="AE23" s="378"/>
      <c r="AF23" s="378"/>
      <c r="AG23" s="378"/>
      <c r="AH23" s="378"/>
      <c r="AI23" s="378"/>
      <c r="AJ23" s="378"/>
      <c r="AK23" s="378"/>
      <c r="AL23" s="378"/>
      <c r="AM23" s="378"/>
      <c r="AN23" s="378"/>
      <c r="AO23" s="379"/>
    </row>
    <row r="24" spans="1:41" s="1929" customFormat="1" ht="14.1" customHeight="1">
      <c r="A24" s="366">
        <v>2025</v>
      </c>
      <c r="B24" s="367"/>
      <c r="C24" s="368">
        <f t="shared" si="1"/>
        <v>21952</v>
      </c>
      <c r="D24" s="369">
        <f t="shared" si="2"/>
        <v>22453</v>
      </c>
      <c r="E24" s="368">
        <f t="shared" si="3"/>
        <v>20354</v>
      </c>
      <c r="F24" s="370">
        <f t="shared" si="4"/>
        <v>19592</v>
      </c>
      <c r="G24" s="374">
        <f t="shared" si="0"/>
        <v>39946</v>
      </c>
      <c r="H24" s="373"/>
      <c r="I24" s="1925"/>
      <c r="J24" s="1925"/>
      <c r="K24" s="1926"/>
      <c r="L24" s="1925"/>
      <c r="M24" s="1925"/>
      <c r="N24" s="1925"/>
      <c r="O24" s="1925"/>
      <c r="P24" s="1925"/>
      <c r="Q24" s="1925"/>
      <c r="R24" s="1925"/>
      <c r="S24" s="1925"/>
      <c r="T24" s="1925"/>
      <c r="U24" s="1925"/>
      <c r="V24" s="1925"/>
      <c r="W24" s="1925"/>
      <c r="X24" s="1925"/>
      <c r="Y24" s="1927"/>
      <c r="Z24" s="1925"/>
      <c r="AA24" s="1927"/>
      <c r="AB24" s="1928"/>
      <c r="AC24" s="1925"/>
      <c r="AD24" s="1925"/>
      <c r="AE24" s="1925"/>
      <c r="AF24" s="1925"/>
      <c r="AG24" s="1925"/>
      <c r="AH24" s="1925"/>
      <c r="AI24" s="1925"/>
      <c r="AJ24" s="1925"/>
      <c r="AK24" s="1925"/>
      <c r="AL24" s="1925"/>
      <c r="AM24" s="1925"/>
      <c r="AN24" s="1925"/>
      <c r="AO24" s="1927"/>
    </row>
    <row r="25" spans="1:41" s="381" customFormat="1" ht="14.1" customHeight="1">
      <c r="A25" s="354">
        <v>2026</v>
      </c>
      <c r="B25" s="355"/>
      <c r="C25" s="356">
        <f t="shared" si="1"/>
        <v>22238</v>
      </c>
      <c r="D25" s="371">
        <f t="shared" si="2"/>
        <v>22818</v>
      </c>
      <c r="E25" s="356">
        <f t="shared" si="3"/>
        <v>20466</v>
      </c>
      <c r="F25" s="372">
        <f t="shared" si="4"/>
        <v>19611</v>
      </c>
      <c r="G25" s="376">
        <f t="shared" si="0"/>
        <v>40077</v>
      </c>
      <c r="H25" s="1913"/>
      <c r="I25" s="378"/>
      <c r="J25" s="378"/>
      <c r="K25" s="1912"/>
      <c r="L25" s="378"/>
      <c r="M25" s="378"/>
      <c r="N25" s="378"/>
      <c r="O25" s="378"/>
      <c r="P25" s="378"/>
      <c r="Q25" s="378"/>
      <c r="R25" s="378"/>
      <c r="S25" s="378"/>
      <c r="T25" s="378"/>
      <c r="U25" s="378"/>
      <c r="V25" s="378"/>
      <c r="W25" s="378"/>
      <c r="X25" s="378"/>
      <c r="Y25" s="379"/>
      <c r="Z25" s="378"/>
      <c r="AA25" s="379"/>
      <c r="AB25" s="380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9"/>
    </row>
    <row r="26" spans="1:41" s="381" customFormat="1" ht="14.1" customHeight="1">
      <c r="A26" s="354">
        <v>2027</v>
      </c>
      <c r="B26" s="355"/>
      <c r="C26" s="356">
        <f t="shared" si="1"/>
        <v>22523</v>
      </c>
      <c r="D26" s="371">
        <f t="shared" si="2"/>
        <v>23188</v>
      </c>
      <c r="E26" s="356">
        <f t="shared" si="3"/>
        <v>20574</v>
      </c>
      <c r="F26" s="372">
        <f t="shared" si="4"/>
        <v>19626</v>
      </c>
      <c r="G26" s="376">
        <f t="shared" si="0"/>
        <v>40200</v>
      </c>
      <c r="H26" s="375"/>
      <c r="I26" s="378"/>
      <c r="J26" s="378"/>
      <c r="K26" s="1914"/>
      <c r="L26" s="378"/>
      <c r="M26" s="378"/>
      <c r="N26" s="378"/>
      <c r="O26" s="378"/>
      <c r="P26" s="378"/>
      <c r="Q26" s="378"/>
      <c r="R26" s="378"/>
      <c r="S26" s="378"/>
      <c r="T26" s="378"/>
      <c r="U26" s="378"/>
      <c r="V26" s="378"/>
      <c r="W26" s="378"/>
      <c r="X26" s="378"/>
      <c r="Y26" s="379"/>
      <c r="Z26" s="378"/>
      <c r="AA26" s="379"/>
      <c r="AB26" s="380"/>
      <c r="AC26" s="378"/>
      <c r="AD26" s="378"/>
      <c r="AE26" s="378"/>
      <c r="AF26" s="378"/>
      <c r="AG26" s="378"/>
      <c r="AH26" s="378"/>
      <c r="AI26" s="378"/>
      <c r="AJ26" s="378"/>
      <c r="AK26" s="378"/>
      <c r="AL26" s="378"/>
      <c r="AM26" s="378"/>
      <c r="AN26" s="378"/>
      <c r="AO26" s="379"/>
    </row>
    <row r="27" spans="1:41" s="381" customFormat="1" ht="14.1" customHeight="1">
      <c r="A27" s="354">
        <v>2028</v>
      </c>
      <c r="B27" s="382"/>
      <c r="C27" s="356">
        <f t="shared" si="1"/>
        <v>22809</v>
      </c>
      <c r="D27" s="371">
        <f t="shared" si="2"/>
        <v>23564</v>
      </c>
      <c r="E27" s="356">
        <f t="shared" si="3"/>
        <v>20679</v>
      </c>
      <c r="F27" s="372">
        <f t="shared" si="4"/>
        <v>19639</v>
      </c>
      <c r="G27" s="376">
        <f t="shared" si="0"/>
        <v>40318</v>
      </c>
      <c r="H27" s="377"/>
      <c r="I27" s="378"/>
      <c r="J27" s="378"/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9"/>
      <c r="Z27" s="378"/>
      <c r="AA27" s="379"/>
      <c r="AB27" s="380"/>
      <c r="AC27" s="378"/>
      <c r="AD27" s="378"/>
      <c r="AE27" s="378"/>
      <c r="AF27" s="378"/>
      <c r="AG27" s="378"/>
      <c r="AH27" s="378"/>
      <c r="AI27" s="378"/>
      <c r="AJ27" s="378"/>
      <c r="AK27" s="378"/>
      <c r="AL27" s="378"/>
      <c r="AM27" s="378"/>
      <c r="AN27" s="378"/>
      <c r="AO27" s="379"/>
    </row>
    <row r="28" spans="1:41" s="381" customFormat="1" ht="14.1" customHeight="1">
      <c r="A28" s="386">
        <v>2029</v>
      </c>
      <c r="B28" s="387"/>
      <c r="C28" s="2072">
        <f t="shared" si="1"/>
        <v>23095</v>
      </c>
      <c r="D28" s="2175">
        <f t="shared" si="2"/>
        <v>23946</v>
      </c>
      <c r="E28" s="2072">
        <f t="shared" si="3"/>
        <v>20781</v>
      </c>
      <c r="F28" s="2176">
        <f t="shared" si="4"/>
        <v>19650</v>
      </c>
      <c r="G28" s="2177">
        <f t="shared" si="0"/>
        <v>40431</v>
      </c>
      <c r="H28" s="2178"/>
      <c r="I28" s="1916"/>
      <c r="J28" s="1916"/>
      <c r="K28" s="1916"/>
      <c r="L28" s="1916"/>
      <c r="M28" s="1916"/>
      <c r="N28" s="1916"/>
      <c r="O28" s="1916"/>
      <c r="P28" s="1916"/>
      <c r="Q28" s="1916"/>
      <c r="R28" s="1916"/>
      <c r="S28" s="1916"/>
      <c r="T28" s="1916"/>
      <c r="U28" s="1916"/>
      <c r="V28" s="1916"/>
      <c r="W28" s="1916"/>
      <c r="X28" s="1916"/>
      <c r="Y28" s="1917"/>
      <c r="Z28" s="378"/>
      <c r="AA28" s="379"/>
      <c r="AB28" s="1915"/>
      <c r="AC28" s="1916"/>
      <c r="AD28" s="1916"/>
      <c r="AE28" s="1916"/>
      <c r="AF28" s="1916"/>
      <c r="AG28" s="1916"/>
      <c r="AH28" s="1916"/>
      <c r="AI28" s="1916"/>
      <c r="AJ28" s="1916"/>
      <c r="AK28" s="1916"/>
      <c r="AL28" s="1916"/>
      <c r="AM28" s="1916"/>
      <c r="AN28" s="1916"/>
      <c r="AO28" s="1917"/>
    </row>
    <row r="29" spans="1:41" s="1929" customFormat="1" ht="14.1" customHeight="1">
      <c r="A29" s="2135">
        <v>2030</v>
      </c>
      <c r="B29" s="1911"/>
      <c r="C29" s="2136">
        <f t="shared" si="1"/>
        <v>23380</v>
      </c>
      <c r="D29" s="2137">
        <f t="shared" si="2"/>
        <v>24334</v>
      </c>
      <c r="E29" s="2136">
        <f t="shared" si="3"/>
        <v>20881</v>
      </c>
      <c r="F29" s="2138">
        <f t="shared" si="4"/>
        <v>19658</v>
      </c>
      <c r="G29" s="374">
        <f t="shared" si="0"/>
        <v>40539</v>
      </c>
      <c r="H29" s="373"/>
      <c r="I29" s="1925"/>
      <c r="J29" s="1925"/>
      <c r="K29" s="1925"/>
      <c r="L29" s="1925"/>
      <c r="M29" s="1925"/>
      <c r="N29" s="1925"/>
      <c r="O29" s="1925"/>
      <c r="P29" s="1925"/>
      <c r="Q29" s="1925"/>
      <c r="R29" s="1925"/>
      <c r="S29" s="1925"/>
      <c r="T29" s="1925"/>
      <c r="U29" s="1925"/>
      <c r="V29" s="1925"/>
      <c r="W29" s="1925"/>
      <c r="X29" s="1925"/>
      <c r="Y29" s="1925"/>
      <c r="Z29" s="1925"/>
      <c r="AA29" s="1927"/>
    </row>
    <row r="30" spans="1:41" s="381" customFormat="1" ht="14.1" customHeight="1">
      <c r="A30" s="354">
        <v>2031</v>
      </c>
      <c r="B30" s="355"/>
      <c r="C30" s="356">
        <f t="shared" si="1"/>
        <v>23666</v>
      </c>
      <c r="D30" s="371">
        <f t="shared" si="2"/>
        <v>24729</v>
      </c>
      <c r="E30" s="356">
        <f t="shared" si="3"/>
        <v>20978</v>
      </c>
      <c r="F30" s="372">
        <f t="shared" si="4"/>
        <v>19666</v>
      </c>
      <c r="G30" s="376">
        <f t="shared" si="0"/>
        <v>40644</v>
      </c>
      <c r="H30" s="1913"/>
      <c r="I30" s="378"/>
      <c r="J30" s="378"/>
      <c r="K30" s="378"/>
      <c r="L30" s="378"/>
      <c r="M30" s="378"/>
      <c r="N30" s="378"/>
      <c r="O30" s="378"/>
      <c r="P30" s="378"/>
      <c r="Q30" s="378"/>
      <c r="R30" s="378"/>
      <c r="S30" s="378"/>
      <c r="T30" s="378"/>
      <c r="U30" s="378"/>
      <c r="V30" s="378"/>
      <c r="W30" s="378"/>
      <c r="X30" s="378"/>
      <c r="Y30" s="378"/>
      <c r="Z30" s="378"/>
      <c r="AA30" s="379"/>
    </row>
    <row r="31" spans="1:41" s="381" customFormat="1" ht="14.1" customHeight="1">
      <c r="A31" s="354">
        <v>2032</v>
      </c>
      <c r="B31" s="382"/>
      <c r="C31" s="356">
        <f t="shared" si="1"/>
        <v>23952</v>
      </c>
      <c r="D31" s="371">
        <f t="shared" si="2"/>
        <v>25130</v>
      </c>
      <c r="E31" s="356">
        <f t="shared" si="3"/>
        <v>21072</v>
      </c>
      <c r="F31" s="372">
        <f t="shared" si="4"/>
        <v>19672</v>
      </c>
      <c r="G31" s="376">
        <f t="shared" si="0"/>
        <v>40744</v>
      </c>
      <c r="H31" s="377"/>
      <c r="I31" s="378"/>
      <c r="J31" s="378"/>
      <c r="K31" s="378"/>
      <c r="L31" s="378"/>
      <c r="M31" s="378"/>
      <c r="N31" s="378"/>
      <c r="O31" s="378"/>
      <c r="P31" s="378"/>
      <c r="Q31" s="378"/>
      <c r="R31" s="378"/>
      <c r="S31" s="378"/>
      <c r="T31" s="378"/>
      <c r="U31" s="378"/>
      <c r="V31" s="378"/>
      <c r="W31" s="378"/>
      <c r="X31" s="378"/>
      <c r="Y31" s="378"/>
      <c r="Z31" s="378"/>
      <c r="AA31" s="379"/>
    </row>
    <row r="32" spans="1:41" s="381" customFormat="1" ht="14.1" customHeight="1">
      <c r="A32" s="354">
        <v>2033</v>
      </c>
      <c r="B32" s="382"/>
      <c r="C32" s="356">
        <f t="shared" si="1"/>
        <v>24238</v>
      </c>
      <c r="D32" s="371">
        <f t="shared" si="2"/>
        <v>25538</v>
      </c>
      <c r="E32" s="356">
        <f t="shared" si="3"/>
        <v>21165</v>
      </c>
      <c r="F32" s="372">
        <f t="shared" si="4"/>
        <v>19677</v>
      </c>
      <c r="G32" s="376">
        <f t="shared" si="0"/>
        <v>40842</v>
      </c>
      <c r="H32" s="377"/>
      <c r="I32" s="378"/>
      <c r="J32" s="378"/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  <c r="Y32" s="378"/>
      <c r="Z32" s="378"/>
      <c r="AA32" s="379"/>
    </row>
    <row r="33" spans="1:40" s="381" customFormat="1" ht="14.1" customHeight="1">
      <c r="A33" s="354">
        <v>2034</v>
      </c>
      <c r="B33" s="382"/>
      <c r="C33" s="356">
        <f t="shared" si="1"/>
        <v>24523</v>
      </c>
      <c r="D33" s="371">
        <f t="shared" si="2"/>
        <v>25952</v>
      </c>
      <c r="E33" s="356">
        <f t="shared" si="3"/>
        <v>21255</v>
      </c>
      <c r="F33" s="372">
        <f t="shared" si="4"/>
        <v>19681</v>
      </c>
      <c r="G33" s="376">
        <f t="shared" si="0"/>
        <v>40936</v>
      </c>
      <c r="H33" s="377"/>
      <c r="I33" s="378"/>
      <c r="J33" s="378"/>
      <c r="K33" s="378"/>
      <c r="L33" s="378"/>
      <c r="M33" s="378"/>
      <c r="N33" s="378"/>
      <c r="O33" s="378"/>
      <c r="P33" s="378"/>
      <c r="Q33" s="378"/>
      <c r="R33" s="378"/>
      <c r="S33" s="378"/>
      <c r="T33" s="378"/>
      <c r="U33" s="378"/>
      <c r="V33" s="378"/>
      <c r="W33" s="378"/>
      <c r="X33" s="378"/>
      <c r="Y33" s="378"/>
      <c r="Z33" s="378"/>
      <c r="AA33" s="379"/>
    </row>
    <row r="34" spans="1:40" s="1929" customFormat="1" ht="14.1" customHeight="1">
      <c r="A34" s="366">
        <v>2035</v>
      </c>
      <c r="B34" s="367"/>
      <c r="C34" s="368">
        <f t="shared" si="1"/>
        <v>24809</v>
      </c>
      <c r="D34" s="369">
        <f t="shared" si="2"/>
        <v>26373</v>
      </c>
      <c r="E34" s="368">
        <f t="shared" si="3"/>
        <v>21343</v>
      </c>
      <c r="F34" s="370">
        <f t="shared" si="4"/>
        <v>19684</v>
      </c>
      <c r="G34" s="374">
        <f t="shared" si="0"/>
        <v>41027</v>
      </c>
      <c r="H34" s="384"/>
      <c r="I34" s="1925"/>
      <c r="J34" s="1925"/>
      <c r="K34" s="1925"/>
      <c r="L34" s="1930"/>
      <c r="M34" s="1925"/>
      <c r="N34" s="1925"/>
      <c r="O34" s="1925"/>
      <c r="P34" s="1925"/>
      <c r="Q34" s="1925"/>
      <c r="R34" s="1925"/>
      <c r="S34" s="1925"/>
      <c r="T34" s="1925"/>
      <c r="U34" s="1925"/>
      <c r="V34" s="1925"/>
      <c r="W34" s="1925"/>
      <c r="X34" s="1925"/>
      <c r="Y34" s="1925"/>
      <c r="Z34" s="1925"/>
      <c r="AA34" s="1927"/>
    </row>
    <row r="35" spans="1:40" s="381" customFormat="1" ht="14.1" customHeight="1">
      <c r="A35" s="354">
        <v>2036</v>
      </c>
      <c r="B35" s="385"/>
      <c r="C35" s="356">
        <f t="shared" si="1"/>
        <v>25095</v>
      </c>
      <c r="D35" s="371">
        <f t="shared" si="2"/>
        <v>26801</v>
      </c>
      <c r="E35" s="356">
        <f t="shared" si="3"/>
        <v>21429</v>
      </c>
      <c r="F35" s="372">
        <f t="shared" si="4"/>
        <v>19687</v>
      </c>
      <c r="G35" s="376"/>
      <c r="H35" s="377"/>
      <c r="I35" s="378"/>
      <c r="J35" s="378"/>
      <c r="K35" s="378"/>
      <c r="L35" s="410"/>
      <c r="M35" s="378"/>
      <c r="N35" s="378"/>
      <c r="O35" s="378"/>
      <c r="P35" s="378"/>
      <c r="Q35" s="378"/>
      <c r="R35" s="378"/>
      <c r="S35" s="378"/>
      <c r="T35" s="378"/>
      <c r="U35" s="378"/>
      <c r="V35" s="378"/>
      <c r="W35" s="378"/>
      <c r="X35" s="378"/>
      <c r="Y35" s="378"/>
      <c r="Z35" s="378"/>
      <c r="AA35" s="379"/>
    </row>
    <row r="36" spans="1:40" s="381" customFormat="1" ht="14.1" customHeight="1">
      <c r="A36" s="354">
        <v>2037</v>
      </c>
      <c r="B36" s="385"/>
      <c r="C36" s="356">
        <f t="shared" si="1"/>
        <v>25381</v>
      </c>
      <c r="D36" s="371">
        <f t="shared" si="2"/>
        <v>27235</v>
      </c>
      <c r="E36" s="356">
        <f t="shared" si="3"/>
        <v>21514</v>
      </c>
      <c r="F36" s="372">
        <f t="shared" si="4"/>
        <v>19689</v>
      </c>
      <c r="G36" s="376"/>
      <c r="H36" s="377"/>
      <c r="I36" s="378"/>
      <c r="J36" s="378"/>
      <c r="K36" s="378"/>
      <c r="L36" s="410"/>
      <c r="M36" s="378"/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9"/>
    </row>
    <row r="37" spans="1:40" s="381" customFormat="1" ht="14.1" customHeight="1">
      <c r="A37" s="354">
        <f t="shared" ref="A37" si="6">A36+1</f>
        <v>2038</v>
      </c>
      <c r="B37" s="385"/>
      <c r="C37" s="356">
        <f t="shared" si="1"/>
        <v>25666</v>
      </c>
      <c r="D37" s="371">
        <f t="shared" si="2"/>
        <v>27677</v>
      </c>
      <c r="E37" s="356">
        <f t="shared" si="3"/>
        <v>21597</v>
      </c>
      <c r="F37" s="372">
        <f t="shared" si="4"/>
        <v>19691</v>
      </c>
      <c r="G37" s="376"/>
      <c r="H37" s="377"/>
      <c r="I37" s="378"/>
      <c r="J37" s="378"/>
      <c r="K37" s="378"/>
      <c r="L37" s="410"/>
      <c r="M37" s="378"/>
      <c r="N37" s="378"/>
      <c r="O37" s="378"/>
      <c r="P37" s="378"/>
      <c r="Q37" s="378"/>
      <c r="R37" s="378"/>
      <c r="S37" s="378"/>
      <c r="T37" s="378"/>
      <c r="U37" s="378"/>
      <c r="V37" s="378"/>
      <c r="W37" s="378"/>
      <c r="X37" s="378"/>
      <c r="Y37" s="378"/>
      <c r="Z37" s="378"/>
      <c r="AA37" s="379"/>
    </row>
    <row r="38" spans="1:40" s="381" customFormat="1" ht="14.1" customHeight="1">
      <c r="A38" s="386" t="s">
        <v>275</v>
      </c>
      <c r="B38" s="387"/>
      <c r="C38" s="387" t="str">
        <f>IF(OR(C42=1,C42=2),"○","")</f>
        <v/>
      </c>
      <c r="D38" s="387" t="str">
        <f>IF(OR(D42=1,D42=2),"○","")</f>
        <v/>
      </c>
      <c r="E38" s="387" t="str">
        <f>IF(OR(E42=1,E42=2),"○","")</f>
        <v>○</v>
      </c>
      <c r="F38" s="1918" t="str">
        <f>IF(OR(F42=1,F42=2),"○","")</f>
        <v>○</v>
      </c>
      <c r="G38" s="1919"/>
      <c r="H38" s="1920"/>
      <c r="I38" s="378"/>
      <c r="J38" s="378"/>
      <c r="K38" s="1921"/>
      <c r="L38" s="1921"/>
      <c r="M38" s="1921"/>
      <c r="N38" s="1921"/>
      <c r="O38" s="1921"/>
      <c r="P38" s="1921"/>
      <c r="Q38" s="1921"/>
      <c r="R38" s="1921"/>
      <c r="S38" s="1921"/>
      <c r="T38" s="1922"/>
      <c r="U38" s="1922"/>
      <c r="V38" s="410"/>
      <c r="W38" s="410"/>
      <c r="X38" s="410"/>
      <c r="Y38" s="410"/>
      <c r="Z38" s="410"/>
      <c r="AA38" s="1923"/>
      <c r="AB38" s="1924"/>
      <c r="AC38" s="1924"/>
      <c r="AD38" s="1924"/>
      <c r="AE38" s="1924"/>
      <c r="AF38" s="1924"/>
      <c r="AG38" s="1924"/>
      <c r="AH38" s="1924"/>
      <c r="AI38" s="1924"/>
      <c r="AJ38" s="1924"/>
      <c r="AK38" s="1924"/>
      <c r="AL38" s="1924"/>
      <c r="AM38" s="1924"/>
      <c r="AN38" s="1924"/>
    </row>
    <row r="39" spans="1:40" s="344" customFormat="1" ht="14.1" customHeight="1">
      <c r="A39" s="2318" t="s">
        <v>276</v>
      </c>
      <c r="B39" s="2319"/>
      <c r="C39" s="392">
        <f>F70</f>
        <v>0.86463925739964065</v>
      </c>
      <c r="D39" s="393">
        <f>G115</f>
        <v>0.85395214104650929</v>
      </c>
      <c r="E39" s="393">
        <f>H153</f>
        <v>0.90478087706930821</v>
      </c>
      <c r="F39" s="394">
        <f>G190</f>
        <v>0.91440121962838539</v>
      </c>
      <c r="G39" s="395"/>
      <c r="H39" s="396"/>
      <c r="I39" s="341"/>
      <c r="J39" s="341"/>
      <c r="K39" s="362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90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</row>
    <row r="40" spans="1:40" s="344" customFormat="1" ht="14.1" customHeight="1">
      <c r="A40" s="2318" t="s">
        <v>294</v>
      </c>
      <c r="B40" s="2319"/>
      <c r="C40" s="397">
        <f>F71</f>
        <v>1405.85</v>
      </c>
      <c r="D40" s="398">
        <f>G116</f>
        <v>1519.5059999999999</v>
      </c>
      <c r="E40" s="398">
        <f>H154</f>
        <v>991.46199999999999</v>
      </c>
      <c r="F40" s="399">
        <f>G191</f>
        <v>925.45100000000002</v>
      </c>
      <c r="G40" s="400"/>
      <c r="H40" s="401"/>
      <c r="I40" s="341"/>
      <c r="J40" s="341"/>
      <c r="K40" s="388"/>
      <c r="L40" s="388"/>
      <c r="M40" s="388"/>
      <c r="N40" s="388"/>
      <c r="O40" s="388"/>
      <c r="P40" s="388"/>
      <c r="Q40" s="388"/>
      <c r="R40" s="388"/>
      <c r="S40" s="388"/>
      <c r="T40" s="389"/>
      <c r="U40" s="389"/>
      <c r="V40" s="362"/>
      <c r="W40" s="362"/>
      <c r="X40" s="362"/>
      <c r="Y40" s="362"/>
      <c r="Z40" s="362"/>
      <c r="AA40" s="390"/>
      <c r="AB40" s="391"/>
      <c r="AC40" s="391"/>
      <c r="AD40" s="391"/>
      <c r="AE40" s="391"/>
      <c r="AF40" s="391"/>
      <c r="AG40" s="391"/>
      <c r="AH40" s="391"/>
      <c r="AI40" s="391"/>
      <c r="AJ40" s="391"/>
      <c r="AK40" s="391"/>
      <c r="AL40" s="391"/>
      <c r="AM40" s="391"/>
      <c r="AN40" s="391"/>
    </row>
    <row r="41" spans="1:40" s="344" customFormat="1" ht="14.1" customHeight="1">
      <c r="A41" s="2318" t="s">
        <v>278</v>
      </c>
      <c r="B41" s="2319"/>
      <c r="C41" s="402">
        <f>F72</f>
        <v>1.5444028055449435</v>
      </c>
      <c r="D41" s="403">
        <f>G117</f>
        <v>1.5700063756909204</v>
      </c>
      <c r="E41" s="403">
        <f>H155</f>
        <v>1.3968100884150076</v>
      </c>
      <c r="F41" s="404">
        <f>G192</f>
        <v>0.72896686179974168</v>
      </c>
      <c r="G41" s="405"/>
      <c r="H41" s="401"/>
      <c r="I41" s="383"/>
      <c r="J41" s="383"/>
      <c r="K41" s="406"/>
      <c r="L41" s="406"/>
      <c r="M41" s="406"/>
      <c r="N41" s="406"/>
      <c r="O41" s="406"/>
      <c r="P41" s="406"/>
      <c r="Q41" s="406"/>
      <c r="R41" s="406"/>
      <c r="S41" s="406"/>
      <c r="T41" s="407"/>
      <c r="U41" s="407"/>
      <c r="V41" s="408"/>
      <c r="W41" s="408"/>
      <c r="X41" s="408"/>
      <c r="Y41" s="408"/>
      <c r="Z41" s="408"/>
      <c r="AA41" s="409"/>
      <c r="AB41" s="391"/>
      <c r="AC41" s="391"/>
      <c r="AD41" s="391"/>
      <c r="AE41" s="391"/>
      <c r="AF41" s="391"/>
      <c r="AG41" s="391"/>
      <c r="AH41" s="391"/>
      <c r="AI41" s="391"/>
      <c r="AJ41" s="391"/>
      <c r="AK41" s="391"/>
      <c r="AL41" s="391"/>
      <c r="AM41" s="391"/>
      <c r="AN41" s="391"/>
    </row>
    <row r="42" spans="1:40" s="344" customFormat="1" ht="20.100000000000001" customHeight="1">
      <c r="A42" s="410"/>
      <c r="B42" s="411"/>
      <c r="C42" s="1007">
        <f>RANK(C39,$C$39:$F$39)</f>
        <v>3</v>
      </c>
      <c r="D42" s="1007">
        <f>RANK(D39,$C$39:$F$39)</f>
        <v>4</v>
      </c>
      <c r="E42" s="1007">
        <f>RANK(E39,$C$39:$F$39)</f>
        <v>2</v>
      </c>
      <c r="F42" s="1007">
        <f>RANK(F39,$C$39:$F$39)</f>
        <v>1</v>
      </c>
      <c r="G42" s="341"/>
      <c r="H42" s="341"/>
      <c r="I42" s="341"/>
      <c r="J42" s="413"/>
      <c r="K42" s="391"/>
      <c r="L42" s="391"/>
      <c r="M42" s="391"/>
      <c r="N42" s="391"/>
      <c r="O42" s="391"/>
      <c r="P42" s="391"/>
      <c r="Q42" s="391"/>
      <c r="R42" s="391"/>
      <c r="S42" s="391"/>
      <c r="T42" s="391"/>
      <c r="U42" s="391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391"/>
      <c r="AG42" s="391"/>
      <c r="AH42" s="391"/>
      <c r="AI42" s="391"/>
      <c r="AJ42" s="391"/>
      <c r="AK42" s="391"/>
      <c r="AL42" s="391"/>
      <c r="AM42" s="391"/>
    </row>
    <row r="43" spans="1:40" s="344" customFormat="1" ht="18.95" customHeight="1">
      <c r="A43" s="414" t="s">
        <v>85</v>
      </c>
      <c r="B43" s="415" t="s">
        <v>279</v>
      </c>
      <c r="C43" s="415" t="s">
        <v>280</v>
      </c>
      <c r="D43" s="415" t="s">
        <v>281</v>
      </c>
      <c r="E43" s="415" t="s">
        <v>282</v>
      </c>
      <c r="F43" s="360" t="s">
        <v>5</v>
      </c>
      <c r="G43" s="341"/>
      <c r="H43" s="341"/>
      <c r="I43" s="341"/>
      <c r="J43" s="413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  <c r="AM43" s="391"/>
    </row>
    <row r="44" spans="1:40" s="344" customFormat="1" ht="18.95" customHeight="1">
      <c r="A44" s="416" t="s">
        <v>251</v>
      </c>
      <c r="B44" s="417">
        <f>+C19</f>
        <v>20523</v>
      </c>
      <c r="C44" s="417">
        <f>+C24</f>
        <v>21952</v>
      </c>
      <c r="D44" s="417">
        <f>+C29</f>
        <v>23380</v>
      </c>
      <c r="E44" s="418">
        <f>+C34</f>
        <v>24809</v>
      </c>
      <c r="F44" s="419" t="str">
        <f>IF(C38="","제외","")</f>
        <v>제외</v>
      </c>
      <c r="G44" s="341"/>
      <c r="H44" s="341"/>
      <c r="I44" s="341"/>
      <c r="J44" s="413"/>
      <c r="K44" s="391"/>
      <c r="L44" s="391"/>
      <c r="M44" s="391"/>
      <c r="N44" s="391"/>
      <c r="O44" s="391"/>
      <c r="P44" s="391"/>
      <c r="Q44" s="391"/>
      <c r="R44" s="391"/>
      <c r="S44" s="391"/>
      <c r="T44" s="391"/>
      <c r="U44" s="391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391"/>
      <c r="AG44" s="391"/>
      <c r="AH44" s="391"/>
      <c r="AI44" s="391"/>
      <c r="AJ44" s="391"/>
      <c r="AK44" s="391"/>
      <c r="AL44" s="391"/>
      <c r="AM44" s="391"/>
    </row>
    <row r="45" spans="1:40" s="344" customFormat="1" ht="18.95" customHeight="1">
      <c r="A45" s="416" t="s">
        <v>253</v>
      </c>
      <c r="B45" s="417">
        <f>+D19</f>
        <v>20718</v>
      </c>
      <c r="C45" s="417">
        <f>+D24</f>
        <v>22453</v>
      </c>
      <c r="D45" s="417">
        <f>+D29</f>
        <v>24334</v>
      </c>
      <c r="E45" s="418">
        <f>+D34</f>
        <v>26373</v>
      </c>
      <c r="F45" s="419" t="str">
        <f>IF(D38="","제외","")</f>
        <v>제외</v>
      </c>
      <c r="G45" s="341"/>
      <c r="H45" s="341"/>
      <c r="I45" s="341"/>
      <c r="J45" s="413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1"/>
    </row>
    <row r="46" spans="1:40" s="344" customFormat="1" ht="18.95" customHeight="1">
      <c r="A46" s="416" t="s">
        <v>254</v>
      </c>
      <c r="B46" s="417">
        <f>+E19</f>
        <v>19731</v>
      </c>
      <c r="C46" s="417">
        <f>+E24</f>
        <v>20354</v>
      </c>
      <c r="D46" s="417">
        <f>+E29</f>
        <v>20881</v>
      </c>
      <c r="E46" s="418">
        <f>+E34</f>
        <v>21343</v>
      </c>
      <c r="F46" s="419" t="str">
        <f>IF(E38="","제외","")</f>
        <v/>
      </c>
      <c r="G46" s="341"/>
      <c r="H46" s="341"/>
      <c r="I46" s="341"/>
      <c r="J46" s="413"/>
      <c r="K46" s="391"/>
      <c r="L46" s="391"/>
      <c r="M46" s="391"/>
      <c r="N46" s="391"/>
      <c r="O46" s="391"/>
      <c r="P46" s="391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  <c r="AM46" s="391"/>
    </row>
    <row r="47" spans="1:40" s="344" customFormat="1" ht="18.95" customHeight="1">
      <c r="A47" s="416" t="s">
        <v>256</v>
      </c>
      <c r="B47" s="417">
        <f>+F19</f>
        <v>19420</v>
      </c>
      <c r="C47" s="417">
        <f>+F24</f>
        <v>19592</v>
      </c>
      <c r="D47" s="417">
        <f>+F29</f>
        <v>19658</v>
      </c>
      <c r="E47" s="418">
        <f>+F34</f>
        <v>19684</v>
      </c>
      <c r="F47" s="419" t="str">
        <f>IF(F38="","제외","")</f>
        <v/>
      </c>
      <c r="G47" s="341"/>
      <c r="H47" s="341"/>
      <c r="I47" s="341"/>
      <c r="J47" s="413"/>
      <c r="K47" s="391"/>
      <c r="L47" s="391"/>
      <c r="M47" s="391"/>
      <c r="N47" s="391"/>
      <c r="O47" s="391"/>
      <c r="P47" s="391"/>
      <c r="Q47" s="391"/>
      <c r="R47" s="391"/>
      <c r="S47" s="391"/>
      <c r="T47" s="391"/>
      <c r="U47" s="391"/>
      <c r="V47" s="391"/>
      <c r="W47" s="391"/>
      <c r="X47" s="391"/>
      <c r="Y47" s="391"/>
      <c r="Z47" s="391"/>
      <c r="AA47" s="391"/>
      <c r="AB47" s="391"/>
      <c r="AC47" s="391"/>
      <c r="AD47" s="391"/>
      <c r="AE47" s="391"/>
      <c r="AF47" s="391"/>
      <c r="AG47" s="391"/>
      <c r="AH47" s="391"/>
      <c r="AI47" s="391"/>
      <c r="AJ47" s="391"/>
      <c r="AK47" s="391"/>
      <c r="AL47" s="391"/>
      <c r="AM47" s="391"/>
    </row>
    <row r="48" spans="1:40" s="344" customFormat="1" ht="18.95" customHeight="1">
      <c r="A48" s="416" t="s">
        <v>283</v>
      </c>
      <c r="B48" s="420">
        <f>ROUND(AVERAGE(B46,B47),0)</f>
        <v>19576</v>
      </c>
      <c r="C48" s="420">
        <f t="shared" ref="C48:E48" si="7">ROUND(AVERAGE(C46,C47),0)</f>
        <v>19973</v>
      </c>
      <c r="D48" s="420">
        <f t="shared" si="7"/>
        <v>20270</v>
      </c>
      <c r="E48" s="420">
        <f t="shared" si="7"/>
        <v>20514</v>
      </c>
      <c r="F48" s="419"/>
      <c r="G48" s="341"/>
      <c r="H48" s="341"/>
      <c r="I48" s="341"/>
      <c r="J48" s="413"/>
      <c r="K48" s="391"/>
      <c r="L48" s="391"/>
      <c r="M48" s="391"/>
      <c r="N48" s="391"/>
      <c r="O48" s="391"/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  <c r="AM48" s="391"/>
    </row>
    <row r="49" spans="1:40" s="344" customFormat="1" ht="18.95" customHeight="1">
      <c r="A49" s="416" t="s">
        <v>284</v>
      </c>
      <c r="B49" s="420">
        <f>B48</f>
        <v>19576</v>
      </c>
      <c r="C49" s="420">
        <f>C48</f>
        <v>19973</v>
      </c>
      <c r="D49" s="420">
        <f>D48</f>
        <v>20270</v>
      </c>
      <c r="E49" s="420">
        <f>E48</f>
        <v>20514</v>
      </c>
      <c r="F49" s="419"/>
      <c r="G49" s="341"/>
      <c r="H49" s="341"/>
      <c r="I49" s="341"/>
      <c r="J49" s="413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391"/>
      <c r="AG49" s="391"/>
      <c r="AH49" s="391"/>
      <c r="AI49" s="391"/>
      <c r="AJ49" s="391"/>
      <c r="AK49" s="391"/>
      <c r="AL49" s="391"/>
      <c r="AM49" s="391"/>
    </row>
    <row r="50" spans="1:40" s="344" customFormat="1" ht="20.100000000000001" customHeight="1">
      <c r="A50" s="410"/>
      <c r="B50" s="411"/>
      <c r="C50" s="421">
        <f>C48-B48</f>
        <v>397</v>
      </c>
      <c r="D50" s="421">
        <f>D48-C48</f>
        <v>297</v>
      </c>
      <c r="E50" s="421">
        <f>E48-D48</f>
        <v>244</v>
      </c>
      <c r="F50" s="341"/>
      <c r="G50" s="341"/>
      <c r="H50" s="341"/>
      <c r="I50" s="341"/>
      <c r="J50" s="413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391"/>
      <c r="AG50" s="391"/>
      <c r="AH50" s="391"/>
      <c r="AI50" s="391"/>
      <c r="AJ50" s="391"/>
      <c r="AK50" s="391"/>
      <c r="AL50" s="391"/>
      <c r="AM50" s="391"/>
    </row>
    <row r="51" spans="1:40" s="344" customFormat="1" ht="20.100000000000001" customHeight="1">
      <c r="A51" s="410"/>
      <c r="B51" s="422"/>
      <c r="C51" s="423">
        <f>ROUND((C48/B48)^(1/5)-1,4)</f>
        <v>4.0000000000000001E-3</v>
      </c>
      <c r="D51" s="423">
        <f>ROUND((D48/C48)^(1/5)-1,4)</f>
        <v>3.0000000000000001E-3</v>
      </c>
      <c r="E51" s="423">
        <f>ROUND((E48/D48)^(1/5)-1,4)</f>
        <v>2.3999999999999998E-3</v>
      </c>
      <c r="F51" s="341"/>
      <c r="G51" s="341"/>
      <c r="H51" s="341"/>
      <c r="I51" s="341"/>
      <c r="J51" s="413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391"/>
      <c r="AG51" s="391"/>
      <c r="AH51" s="391"/>
      <c r="AI51" s="391"/>
      <c r="AJ51" s="391"/>
      <c r="AK51" s="391"/>
      <c r="AL51" s="391"/>
      <c r="AM51" s="391"/>
    </row>
    <row r="52" spans="1:40" s="344" customFormat="1" ht="20.100000000000001" customHeight="1">
      <c r="A52" s="410"/>
      <c r="B52" s="411"/>
      <c r="C52" s="423"/>
      <c r="D52" s="423"/>
      <c r="E52" s="423"/>
      <c r="F52" s="341"/>
      <c r="G52" s="341"/>
      <c r="H52" s="341"/>
      <c r="I52" s="341"/>
      <c r="J52" s="413"/>
      <c r="K52" s="391"/>
      <c r="L52" s="391"/>
      <c r="M52" s="391"/>
      <c r="N52" s="391"/>
      <c r="O52" s="391"/>
      <c r="P52" s="391"/>
      <c r="Q52" s="391"/>
      <c r="R52" s="391"/>
      <c r="S52" s="391"/>
      <c r="T52" s="391"/>
      <c r="U52" s="391"/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391"/>
      <c r="AG52" s="391"/>
      <c r="AH52" s="391"/>
      <c r="AI52" s="391"/>
      <c r="AJ52" s="391"/>
      <c r="AK52" s="391"/>
      <c r="AL52" s="391"/>
      <c r="AM52" s="391"/>
    </row>
    <row r="53" spans="1:40" s="344" customFormat="1" ht="20.100000000000001" customHeight="1">
      <c r="A53" s="410"/>
      <c r="B53" s="411"/>
      <c r="C53" s="412"/>
      <c r="D53" s="412"/>
      <c r="E53" s="412"/>
      <c r="F53" s="341"/>
      <c r="G53" s="341"/>
      <c r="H53" s="341"/>
      <c r="I53" s="341"/>
      <c r="J53" s="413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  <c r="AF53" s="391"/>
      <c r="AG53" s="391"/>
      <c r="AH53" s="391"/>
      <c r="AI53" s="391"/>
      <c r="AJ53" s="391"/>
      <c r="AK53" s="391"/>
      <c r="AL53" s="391"/>
      <c r="AM53" s="391"/>
    </row>
    <row r="54" spans="1:40" s="344" customFormat="1" ht="20.100000000000001" customHeight="1">
      <c r="A54" s="410"/>
      <c r="B54" s="411"/>
      <c r="C54" s="412"/>
      <c r="D54" s="412"/>
      <c r="E54" s="412"/>
      <c r="F54" s="341"/>
      <c r="G54" s="341"/>
      <c r="H54" s="341"/>
      <c r="I54" s="341"/>
      <c r="J54" s="413"/>
      <c r="K54" s="391"/>
      <c r="L54" s="391"/>
      <c r="M54" s="391"/>
      <c r="N54" s="391"/>
      <c r="O54" s="391"/>
      <c r="P54" s="391"/>
      <c r="Q54" s="391"/>
      <c r="R54" s="391"/>
      <c r="S54" s="391"/>
      <c r="T54" s="391"/>
      <c r="U54" s="391"/>
      <c r="V54" s="391"/>
      <c r="W54" s="391"/>
      <c r="X54" s="391"/>
      <c r="Y54" s="391"/>
      <c r="Z54" s="391"/>
      <c r="AA54" s="391"/>
      <c r="AB54" s="391"/>
      <c r="AC54" s="391"/>
      <c r="AD54" s="391"/>
      <c r="AE54" s="391"/>
      <c r="AF54" s="391"/>
      <c r="AG54" s="391"/>
      <c r="AH54" s="391"/>
      <c r="AI54" s="391"/>
      <c r="AJ54" s="391"/>
      <c r="AK54" s="391"/>
      <c r="AL54" s="391"/>
      <c r="AM54" s="391"/>
    </row>
    <row r="55" spans="1:40" s="344" customFormat="1" ht="20.100000000000001" customHeight="1">
      <c r="A55" s="410"/>
      <c r="B55" s="411"/>
      <c r="C55" s="412"/>
      <c r="D55" s="412"/>
      <c r="E55" s="412"/>
      <c r="F55" s="341"/>
      <c r="G55" s="341"/>
      <c r="H55" s="341"/>
      <c r="I55" s="341"/>
      <c r="J55" s="413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1"/>
    </row>
    <row r="56" spans="1:40" s="344" customFormat="1" ht="20.100000000000001" customHeight="1">
      <c r="A56" s="410"/>
      <c r="B56" s="411"/>
      <c r="C56" s="412"/>
      <c r="D56" s="412"/>
      <c r="E56" s="412"/>
      <c r="F56" s="341"/>
      <c r="G56" s="341"/>
      <c r="H56" s="341"/>
      <c r="I56" s="341"/>
      <c r="J56" s="413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  <c r="AF56" s="391"/>
      <c r="AG56" s="391"/>
      <c r="AH56" s="391"/>
      <c r="AI56" s="391"/>
      <c r="AJ56" s="391"/>
      <c r="AK56" s="391"/>
      <c r="AL56" s="391"/>
      <c r="AM56" s="391"/>
    </row>
    <row r="57" spans="1:40" s="344" customFormat="1" ht="20.100000000000001" customHeight="1">
      <c r="A57" s="410"/>
      <c r="B57" s="411"/>
      <c r="C57" s="412"/>
      <c r="D57" s="412"/>
      <c r="E57" s="412"/>
      <c r="F57" s="341"/>
      <c r="G57" s="341"/>
      <c r="H57" s="341"/>
      <c r="I57" s="341"/>
      <c r="J57" s="413"/>
      <c r="K57" s="391"/>
      <c r="L57" s="391"/>
      <c r="M57" s="391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91"/>
      <c r="Y57" s="391"/>
      <c r="Z57" s="391"/>
      <c r="AA57" s="391"/>
      <c r="AB57" s="391"/>
      <c r="AC57" s="391"/>
      <c r="AD57" s="391"/>
      <c r="AE57" s="391"/>
      <c r="AF57" s="391"/>
      <c r="AG57" s="391"/>
      <c r="AH57" s="391"/>
      <c r="AI57" s="391"/>
      <c r="AJ57" s="391"/>
      <c r="AK57" s="391"/>
      <c r="AL57" s="391"/>
      <c r="AM57" s="391"/>
    </row>
    <row r="58" spans="1:40" s="344" customFormat="1" ht="20.100000000000001" customHeight="1">
      <c r="A58" s="410"/>
      <c r="B58" s="411"/>
      <c r="C58" s="412"/>
      <c r="D58" s="412"/>
      <c r="E58" s="412"/>
      <c r="F58" s="341"/>
      <c r="G58" s="341"/>
      <c r="H58" s="341"/>
      <c r="I58" s="341"/>
      <c r="J58" s="413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1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  <c r="AF58" s="391"/>
      <c r="AG58" s="391"/>
      <c r="AH58" s="391"/>
      <c r="AI58" s="391"/>
      <c r="AJ58" s="391"/>
      <c r="AK58" s="391"/>
      <c r="AL58" s="391"/>
      <c r="AM58" s="391"/>
    </row>
    <row r="59" spans="1:40" s="344" customFormat="1" ht="20.100000000000001" customHeight="1">
      <c r="A59" s="410"/>
      <c r="B59" s="411"/>
      <c r="C59" s="412"/>
      <c r="D59" s="412"/>
      <c r="E59" s="412"/>
      <c r="F59" s="341"/>
      <c r="G59" s="341"/>
      <c r="H59" s="341"/>
      <c r="I59" s="341"/>
      <c r="J59" s="413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  <c r="AF59" s="391"/>
      <c r="AG59" s="391"/>
      <c r="AH59" s="391"/>
      <c r="AI59" s="391"/>
      <c r="AJ59" s="391"/>
      <c r="AK59" s="391"/>
      <c r="AL59" s="391"/>
      <c r="AM59" s="391"/>
    </row>
    <row r="60" spans="1:40" s="344" customFormat="1" ht="20.100000000000001" customHeight="1">
      <c r="A60" s="410"/>
      <c r="B60" s="411"/>
      <c r="C60" s="412"/>
      <c r="D60" s="412"/>
      <c r="E60" s="412"/>
      <c r="F60" s="341"/>
      <c r="G60" s="341"/>
      <c r="H60" s="341"/>
      <c r="I60" s="341"/>
      <c r="J60" s="413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  <c r="Z60" s="391"/>
      <c r="AA60" s="391"/>
      <c r="AB60" s="391"/>
      <c r="AC60" s="391"/>
      <c r="AD60" s="391"/>
      <c r="AE60" s="391"/>
      <c r="AF60" s="391"/>
      <c r="AG60" s="391"/>
      <c r="AH60" s="391"/>
      <c r="AI60" s="391"/>
      <c r="AJ60" s="391"/>
      <c r="AK60" s="391"/>
      <c r="AL60" s="391"/>
      <c r="AM60" s="391"/>
    </row>
    <row r="61" spans="1:40" s="344" customFormat="1" ht="20.100000000000001" customHeight="1">
      <c r="A61" s="410"/>
      <c r="B61" s="411"/>
      <c r="C61" s="412"/>
      <c r="D61" s="412"/>
      <c r="E61" s="412"/>
      <c r="F61" s="341"/>
      <c r="G61" s="341"/>
      <c r="H61" s="341"/>
      <c r="I61" s="341"/>
      <c r="J61" s="413"/>
      <c r="K61" s="391"/>
      <c r="L61" s="391"/>
      <c r="M61" s="391"/>
      <c r="N61" s="391"/>
      <c r="O61" s="391"/>
      <c r="P61" s="391"/>
      <c r="Q61" s="391"/>
      <c r="R61" s="391"/>
      <c r="S61" s="391"/>
      <c r="T61" s="391"/>
      <c r="U61" s="391"/>
      <c r="V61" s="391"/>
      <c r="W61" s="391"/>
      <c r="X61" s="391"/>
      <c r="Y61" s="391"/>
      <c r="Z61" s="391"/>
      <c r="AA61" s="391"/>
      <c r="AB61" s="391"/>
      <c r="AC61" s="391"/>
      <c r="AD61" s="391"/>
      <c r="AE61" s="391"/>
      <c r="AF61" s="391"/>
      <c r="AG61" s="391"/>
      <c r="AH61" s="391"/>
      <c r="AI61" s="391"/>
      <c r="AJ61" s="391"/>
      <c r="AK61" s="391"/>
      <c r="AL61" s="391"/>
      <c r="AM61" s="391"/>
    </row>
    <row r="62" spans="1:40" s="344" customFormat="1" ht="20.100000000000001" customHeight="1">
      <c r="A62" s="410"/>
      <c r="B62" s="411"/>
      <c r="C62" s="412"/>
      <c r="D62" s="412"/>
      <c r="E62" s="412"/>
      <c r="F62" s="341"/>
      <c r="G62" s="341"/>
      <c r="H62" s="341"/>
      <c r="I62" s="341"/>
      <c r="J62" s="413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  <c r="Z62" s="391"/>
      <c r="AA62" s="391"/>
      <c r="AB62" s="391"/>
      <c r="AC62" s="391"/>
      <c r="AD62" s="391"/>
      <c r="AE62" s="391"/>
      <c r="AF62" s="391"/>
      <c r="AG62" s="391"/>
      <c r="AH62" s="391"/>
      <c r="AI62" s="391"/>
      <c r="AJ62" s="391"/>
      <c r="AK62" s="391"/>
      <c r="AL62" s="391"/>
      <c r="AM62" s="391"/>
      <c r="AN62" s="391"/>
    </row>
    <row r="63" spans="1:40" ht="15" customHeight="1">
      <c r="A63" s="424" t="s">
        <v>285</v>
      </c>
      <c r="B63" s="425"/>
      <c r="I63" s="426"/>
    </row>
    <row r="64" spans="1:40" ht="15" customHeight="1">
      <c r="A64" s="427" t="s">
        <v>264</v>
      </c>
      <c r="B64" s="428" t="s">
        <v>286</v>
      </c>
      <c r="C64" s="429" t="s">
        <v>287</v>
      </c>
      <c r="D64" s="430"/>
      <c r="E64" s="430"/>
      <c r="F64" s="431"/>
      <c r="G64" s="432"/>
      <c r="H64" s="432" t="s">
        <v>288</v>
      </c>
      <c r="I64" s="433">
        <f>RSQ(I65:I75,B65:B75)</f>
        <v>0.86463925739964065</v>
      </c>
      <c r="J64" s="434" t="s">
        <v>289</v>
      </c>
      <c r="K64" s="435" t="s">
        <v>290</v>
      </c>
    </row>
    <row r="65" spans="1:14" ht="15" customHeight="1">
      <c r="A65" s="436">
        <f>A5</f>
        <v>2006</v>
      </c>
      <c r="B65" s="437">
        <f>B5</f>
        <v>16125</v>
      </c>
      <c r="C65" s="438">
        <v>1</v>
      </c>
      <c r="D65" s="439" t="s">
        <v>291</v>
      </c>
      <c r="E65" s="440"/>
      <c r="F65" s="440"/>
      <c r="G65" s="441"/>
      <c r="H65" s="442"/>
      <c r="I65" s="443">
        <f t="shared" ref="I65:I97" si="8">ROUND($E$66*C65+$E$67,$G$1)</f>
        <v>16523</v>
      </c>
      <c r="J65" s="444">
        <f t="shared" ref="J65:J75" si="9">ABS(B65-I65)/B65*100</f>
        <v>2.4682170542635657</v>
      </c>
      <c r="K65" s="443">
        <f t="shared" ref="K65:K75" si="10">(B65-I65)^2/1000</f>
        <v>158.404</v>
      </c>
      <c r="L65" s="445"/>
    </row>
    <row r="66" spans="1:14" ht="15" customHeight="1">
      <c r="A66" s="436">
        <f t="shared" ref="A66:A97" si="11">A65+1</f>
        <v>2007</v>
      </c>
      <c r="B66" s="437">
        <f t="shared" ref="B66:B75" si="12">B6</f>
        <v>16912</v>
      </c>
      <c r="C66" s="438">
        <f t="shared" ref="C66:C75" si="13">C65+1</f>
        <v>2</v>
      </c>
      <c r="D66" s="439" t="s">
        <v>292</v>
      </c>
      <c r="E66" s="363">
        <f>INDEX(LINEST(B65:B75,C65:C75),1)</f>
        <v>285.72727272727275</v>
      </c>
      <c r="F66" s="440"/>
      <c r="G66" s="441"/>
      <c r="H66" s="442"/>
      <c r="I66" s="443">
        <f t="shared" si="8"/>
        <v>16809</v>
      </c>
      <c r="J66" s="446">
        <f t="shared" si="9"/>
        <v>0.60903500473036898</v>
      </c>
      <c r="K66" s="443">
        <f>(B66-I66)^2/1000</f>
        <v>10.609</v>
      </c>
      <c r="L66" s="445">
        <f t="shared" ref="L66:L97" si="14">+I66-I65</f>
        <v>286</v>
      </c>
      <c r="M66" s="445"/>
    </row>
    <row r="67" spans="1:14" ht="15" customHeight="1">
      <c r="A67" s="436">
        <f t="shared" si="11"/>
        <v>2008</v>
      </c>
      <c r="B67" s="437">
        <f t="shared" si="12"/>
        <v>17123</v>
      </c>
      <c r="C67" s="438">
        <f t="shared" si="13"/>
        <v>3</v>
      </c>
      <c r="D67" s="439" t="s">
        <v>293</v>
      </c>
      <c r="E67" s="363">
        <f>INDEX(LINEST(B65:B75,C65:C75),2)</f>
        <v>16237.272727272728</v>
      </c>
      <c r="G67" s="441"/>
      <c r="H67" s="442"/>
      <c r="I67" s="443">
        <f t="shared" si="8"/>
        <v>17094</v>
      </c>
      <c r="J67" s="446">
        <f t="shared" si="9"/>
        <v>0.16936284529580095</v>
      </c>
      <c r="K67" s="443">
        <f>(B67-I67)^2/1000</f>
        <v>0.84099999999999997</v>
      </c>
      <c r="L67" s="445">
        <f t="shared" si="14"/>
        <v>285</v>
      </c>
      <c r="M67" s="445"/>
    </row>
    <row r="68" spans="1:14" ht="15" customHeight="1">
      <c r="A68" s="436">
        <f t="shared" si="11"/>
        <v>2009</v>
      </c>
      <c r="B68" s="437">
        <f t="shared" si="12"/>
        <v>17334</v>
      </c>
      <c r="C68" s="438">
        <f t="shared" si="13"/>
        <v>4</v>
      </c>
      <c r="G68" s="442"/>
      <c r="H68" s="442"/>
      <c r="I68" s="443">
        <f t="shared" si="8"/>
        <v>17380</v>
      </c>
      <c r="J68" s="446">
        <f t="shared" si="9"/>
        <v>0.26537440867658935</v>
      </c>
      <c r="K68" s="443">
        <f t="shared" si="10"/>
        <v>2.1160000000000001</v>
      </c>
      <c r="L68" s="445">
        <f t="shared" si="14"/>
        <v>286</v>
      </c>
      <c r="M68" s="445"/>
    </row>
    <row r="69" spans="1:14" ht="15" customHeight="1">
      <c r="A69" s="436">
        <f t="shared" si="11"/>
        <v>2010</v>
      </c>
      <c r="B69" s="437">
        <f t="shared" si="12"/>
        <v>17604</v>
      </c>
      <c r="C69" s="438">
        <f t="shared" si="13"/>
        <v>5</v>
      </c>
      <c r="G69" s="442"/>
      <c r="H69" s="442"/>
      <c r="I69" s="443">
        <f t="shared" si="8"/>
        <v>17666</v>
      </c>
      <c r="J69" s="446">
        <f t="shared" si="9"/>
        <v>0.352192683481027</v>
      </c>
      <c r="K69" s="443">
        <f t="shared" si="10"/>
        <v>3.8439999999999999</v>
      </c>
      <c r="L69" s="445">
        <f t="shared" si="14"/>
        <v>286</v>
      </c>
      <c r="M69" s="445"/>
    </row>
    <row r="70" spans="1:14" ht="15" customHeight="1">
      <c r="A70" s="436">
        <f t="shared" si="11"/>
        <v>2011</v>
      </c>
      <c r="B70" s="437">
        <f t="shared" si="12"/>
        <v>17831</v>
      </c>
      <c r="C70" s="438">
        <f t="shared" si="13"/>
        <v>6</v>
      </c>
      <c r="D70" s="2318" t="s">
        <v>276</v>
      </c>
      <c r="E70" s="2320"/>
      <c r="F70" s="447">
        <f>I64</f>
        <v>0.86463925739964065</v>
      </c>
      <c r="G70" s="442"/>
      <c r="H70" s="442"/>
      <c r="I70" s="443">
        <f t="shared" si="8"/>
        <v>17952</v>
      </c>
      <c r="J70" s="446">
        <f t="shared" si="9"/>
        <v>0.67859346082665017</v>
      </c>
      <c r="K70" s="443">
        <f t="shared" si="10"/>
        <v>14.641</v>
      </c>
      <c r="L70" s="445">
        <f t="shared" si="14"/>
        <v>286</v>
      </c>
      <c r="M70" s="445"/>
    </row>
    <row r="71" spans="1:14" ht="15" customHeight="1">
      <c r="A71" s="436">
        <f t="shared" si="11"/>
        <v>2012</v>
      </c>
      <c r="B71" s="437">
        <f t="shared" si="12"/>
        <v>18702</v>
      </c>
      <c r="C71" s="438">
        <f t="shared" si="13"/>
        <v>7</v>
      </c>
      <c r="D71" s="2318" t="s">
        <v>294</v>
      </c>
      <c r="E71" s="2320"/>
      <c r="F71" s="448">
        <f>SUM(K65:K75)</f>
        <v>1405.85</v>
      </c>
      <c r="G71" s="442"/>
      <c r="H71" s="442"/>
      <c r="I71" s="443">
        <f t="shared" si="8"/>
        <v>18237</v>
      </c>
      <c r="J71" s="446">
        <f t="shared" si="9"/>
        <v>2.4863650946422844</v>
      </c>
      <c r="K71" s="443">
        <f t="shared" si="10"/>
        <v>216.22499999999999</v>
      </c>
      <c r="L71" s="445">
        <f t="shared" si="14"/>
        <v>285</v>
      </c>
      <c r="M71" s="445"/>
    </row>
    <row r="72" spans="1:14" ht="15" customHeight="1">
      <c r="A72" s="436">
        <f t="shared" si="11"/>
        <v>2013</v>
      </c>
      <c r="B72" s="437">
        <f t="shared" si="12"/>
        <v>19159</v>
      </c>
      <c r="C72" s="438">
        <f t="shared" si="13"/>
        <v>8</v>
      </c>
      <c r="D72" s="2318" t="s">
        <v>295</v>
      </c>
      <c r="E72" s="2321"/>
      <c r="F72" s="449">
        <f>SUM(J65:J75)/C75</f>
        <v>1.5444028055449435</v>
      </c>
      <c r="G72" s="442"/>
      <c r="H72" s="442"/>
      <c r="I72" s="443">
        <f t="shared" si="8"/>
        <v>18523</v>
      </c>
      <c r="J72" s="446">
        <f t="shared" si="9"/>
        <v>3.3195887050472361</v>
      </c>
      <c r="K72" s="443">
        <f t="shared" si="10"/>
        <v>404.49599999999998</v>
      </c>
      <c r="L72" s="445">
        <f t="shared" si="14"/>
        <v>286</v>
      </c>
      <c r="M72" s="445"/>
    </row>
    <row r="73" spans="1:14" ht="15" customHeight="1">
      <c r="A73" s="436">
        <f t="shared" si="11"/>
        <v>2014</v>
      </c>
      <c r="B73" s="437">
        <f t="shared" si="12"/>
        <v>19132</v>
      </c>
      <c r="C73" s="438">
        <f t="shared" si="13"/>
        <v>9</v>
      </c>
      <c r="D73" s="2322"/>
      <c r="E73" s="2322"/>
      <c r="F73" s="450"/>
      <c r="G73" s="442"/>
      <c r="H73" s="442"/>
      <c r="I73" s="443">
        <f t="shared" si="8"/>
        <v>18809</v>
      </c>
      <c r="J73" s="446">
        <f t="shared" si="9"/>
        <v>1.688270959648756</v>
      </c>
      <c r="K73" s="443">
        <f t="shared" si="10"/>
        <v>104.32899999999999</v>
      </c>
      <c r="L73" s="445">
        <f t="shared" si="14"/>
        <v>286</v>
      </c>
      <c r="M73" s="445"/>
    </row>
    <row r="74" spans="1:14" ht="15" customHeight="1">
      <c r="A74" s="436">
        <f t="shared" si="11"/>
        <v>2015</v>
      </c>
      <c r="B74" s="437">
        <f t="shared" si="12"/>
        <v>18802</v>
      </c>
      <c r="C74" s="438">
        <f t="shared" si="13"/>
        <v>10</v>
      </c>
      <c r="G74" s="439"/>
      <c r="H74" s="451"/>
      <c r="I74" s="443">
        <f t="shared" si="8"/>
        <v>19095</v>
      </c>
      <c r="J74" s="446">
        <f t="shared" si="9"/>
        <v>1.5583448569301139</v>
      </c>
      <c r="K74" s="443">
        <f t="shared" si="10"/>
        <v>85.849000000000004</v>
      </c>
      <c r="L74" s="445">
        <f t="shared" si="14"/>
        <v>286</v>
      </c>
      <c r="M74" s="445"/>
    </row>
    <row r="75" spans="1:14" ht="15" customHeight="1" thickBot="1">
      <c r="A75" s="452">
        <f t="shared" si="11"/>
        <v>2016</v>
      </c>
      <c r="B75" s="453">
        <f t="shared" si="12"/>
        <v>18744</v>
      </c>
      <c r="C75" s="438">
        <f t="shared" si="13"/>
        <v>11</v>
      </c>
      <c r="D75" s="454"/>
      <c r="E75" s="454"/>
      <c r="F75" s="454"/>
      <c r="G75" s="455"/>
      <c r="H75" s="454"/>
      <c r="I75" s="456">
        <f t="shared" si="8"/>
        <v>19380</v>
      </c>
      <c r="J75" s="457">
        <f t="shared" si="9"/>
        <v>3.3930857874519846</v>
      </c>
      <c r="K75" s="456">
        <f t="shared" si="10"/>
        <v>404.49599999999998</v>
      </c>
      <c r="L75" s="445">
        <f t="shared" si="14"/>
        <v>285</v>
      </c>
      <c r="M75" s="445"/>
    </row>
    <row r="76" spans="1:14" ht="15" customHeight="1" thickTop="1">
      <c r="A76" s="458">
        <f t="shared" si="11"/>
        <v>2017</v>
      </c>
      <c r="B76" s="459">
        <f t="shared" ref="B76:B97" si="15">ROUND($E$66*C76+$E$67,$G$1)</f>
        <v>19666</v>
      </c>
      <c r="C76" s="460">
        <f>C75+1</f>
        <v>12</v>
      </c>
      <c r="D76" s="461"/>
      <c r="E76" s="461"/>
      <c r="F76" s="461"/>
      <c r="G76" s="462"/>
      <c r="H76" s="461"/>
      <c r="I76" s="443">
        <f t="shared" si="8"/>
        <v>19666</v>
      </c>
      <c r="J76" s="463"/>
      <c r="K76" s="464"/>
      <c r="L76" s="445">
        <f t="shared" si="14"/>
        <v>286</v>
      </c>
    </row>
    <row r="77" spans="1:14" ht="15" customHeight="1">
      <c r="A77" s="465">
        <f t="shared" si="11"/>
        <v>2018</v>
      </c>
      <c r="B77" s="437">
        <f t="shared" si="15"/>
        <v>19952</v>
      </c>
      <c r="C77" s="466">
        <f>C76+1</f>
        <v>13</v>
      </c>
      <c r="F77" s="451"/>
      <c r="G77" s="439"/>
      <c r="H77" s="451"/>
      <c r="I77" s="443">
        <f t="shared" si="8"/>
        <v>19952</v>
      </c>
      <c r="J77" s="467"/>
      <c r="K77" s="443"/>
      <c r="L77" s="445">
        <f t="shared" si="14"/>
        <v>286</v>
      </c>
    </row>
    <row r="78" spans="1:14" ht="15" customHeight="1">
      <c r="A78" s="465">
        <f t="shared" si="11"/>
        <v>2019</v>
      </c>
      <c r="B78" s="437">
        <f t="shared" si="15"/>
        <v>20237</v>
      </c>
      <c r="C78" s="466">
        <f t="shared" ref="C78:C94" si="16">C77+1</f>
        <v>14</v>
      </c>
      <c r="F78" s="451"/>
      <c r="G78" s="439"/>
      <c r="H78" s="451"/>
      <c r="I78" s="443">
        <f t="shared" si="8"/>
        <v>20237</v>
      </c>
      <c r="J78" s="467"/>
      <c r="K78" s="443"/>
      <c r="L78" s="445">
        <f t="shared" si="14"/>
        <v>285</v>
      </c>
    </row>
    <row r="79" spans="1:14" ht="15" customHeight="1">
      <c r="A79" s="465">
        <f t="shared" si="11"/>
        <v>2020</v>
      </c>
      <c r="B79" s="437">
        <f t="shared" si="15"/>
        <v>20523</v>
      </c>
      <c r="C79" s="466">
        <f t="shared" si="16"/>
        <v>15</v>
      </c>
      <c r="F79" s="451"/>
      <c r="G79" s="439"/>
      <c r="H79" s="451"/>
      <c r="I79" s="443">
        <f t="shared" si="8"/>
        <v>20523</v>
      </c>
      <c r="J79" s="467"/>
      <c r="K79" s="443"/>
      <c r="L79" s="445">
        <f t="shared" si="14"/>
        <v>286</v>
      </c>
      <c r="N79" s="326">
        <f>1/0.75</f>
        <v>1.3333333333333333</v>
      </c>
    </row>
    <row r="80" spans="1:14" ht="15" customHeight="1">
      <c r="A80" s="465">
        <f t="shared" si="11"/>
        <v>2021</v>
      </c>
      <c r="B80" s="437">
        <f t="shared" si="15"/>
        <v>20809</v>
      </c>
      <c r="C80" s="466">
        <f t="shared" si="16"/>
        <v>16</v>
      </c>
      <c r="F80" s="451"/>
      <c r="G80" s="439"/>
      <c r="H80" s="451"/>
      <c r="I80" s="443">
        <f t="shared" si="8"/>
        <v>20809</v>
      </c>
      <c r="J80" s="467"/>
      <c r="K80" s="443"/>
      <c r="L80" s="445">
        <f t="shared" si="14"/>
        <v>286</v>
      </c>
    </row>
    <row r="81" spans="1:12" ht="15" customHeight="1">
      <c r="A81" s="465">
        <f t="shared" si="11"/>
        <v>2022</v>
      </c>
      <c r="B81" s="437">
        <f t="shared" si="15"/>
        <v>21095</v>
      </c>
      <c r="C81" s="466">
        <f t="shared" si="16"/>
        <v>17</v>
      </c>
      <c r="D81" s="439"/>
      <c r="E81" s="439"/>
      <c r="F81" s="451"/>
      <c r="G81" s="439"/>
      <c r="H81" s="451"/>
      <c r="I81" s="443">
        <f t="shared" si="8"/>
        <v>21095</v>
      </c>
      <c r="J81" s="467"/>
      <c r="K81" s="443"/>
      <c r="L81" s="445">
        <f t="shared" si="14"/>
        <v>286</v>
      </c>
    </row>
    <row r="82" spans="1:12" ht="15" customHeight="1">
      <c r="A82" s="465">
        <f t="shared" si="11"/>
        <v>2023</v>
      </c>
      <c r="B82" s="437">
        <f t="shared" si="15"/>
        <v>21380</v>
      </c>
      <c r="C82" s="466">
        <f t="shared" si="16"/>
        <v>18</v>
      </c>
      <c r="D82" s="439"/>
      <c r="E82" s="439"/>
      <c r="F82" s="451"/>
      <c r="G82" s="439"/>
      <c r="H82" s="451"/>
      <c r="I82" s="443">
        <f t="shared" si="8"/>
        <v>21380</v>
      </c>
      <c r="J82" s="467"/>
      <c r="K82" s="443"/>
      <c r="L82" s="445">
        <f t="shared" si="14"/>
        <v>285</v>
      </c>
    </row>
    <row r="83" spans="1:12" s="451" customFormat="1" ht="15" customHeight="1">
      <c r="A83" s="465">
        <f t="shared" si="11"/>
        <v>2024</v>
      </c>
      <c r="B83" s="437">
        <f t="shared" si="15"/>
        <v>21666</v>
      </c>
      <c r="C83" s="466">
        <f t="shared" si="16"/>
        <v>19</v>
      </c>
      <c r="G83" s="439"/>
      <c r="H83" s="439"/>
      <c r="I83" s="443">
        <f t="shared" si="8"/>
        <v>21666</v>
      </c>
      <c r="J83" s="467"/>
      <c r="K83" s="443"/>
      <c r="L83" s="445">
        <f t="shared" si="14"/>
        <v>286</v>
      </c>
    </row>
    <row r="84" spans="1:12" ht="15" customHeight="1">
      <c r="A84" s="465">
        <f t="shared" si="11"/>
        <v>2025</v>
      </c>
      <c r="B84" s="437">
        <f t="shared" si="15"/>
        <v>21952</v>
      </c>
      <c r="C84" s="466">
        <f t="shared" si="16"/>
        <v>20</v>
      </c>
      <c r="D84" s="451"/>
      <c r="E84" s="451"/>
      <c r="F84" s="451"/>
      <c r="G84" s="439"/>
      <c r="H84" s="451"/>
      <c r="I84" s="443">
        <f t="shared" si="8"/>
        <v>21952</v>
      </c>
      <c r="J84" s="467"/>
      <c r="K84" s="443"/>
      <c r="L84" s="445">
        <f t="shared" si="14"/>
        <v>286</v>
      </c>
    </row>
    <row r="85" spans="1:12" s="451" customFormat="1" ht="15" customHeight="1">
      <c r="A85" s="465">
        <f t="shared" si="11"/>
        <v>2026</v>
      </c>
      <c r="B85" s="437">
        <f t="shared" si="15"/>
        <v>22238</v>
      </c>
      <c r="C85" s="466">
        <f t="shared" si="16"/>
        <v>21</v>
      </c>
      <c r="G85" s="439"/>
      <c r="I85" s="443">
        <f t="shared" si="8"/>
        <v>22238</v>
      </c>
      <c r="J85" s="467"/>
      <c r="K85" s="443"/>
      <c r="L85" s="445">
        <f t="shared" si="14"/>
        <v>286</v>
      </c>
    </row>
    <row r="86" spans="1:12" s="451" customFormat="1" ht="15" customHeight="1">
      <c r="A86" s="465">
        <f t="shared" si="11"/>
        <v>2027</v>
      </c>
      <c r="B86" s="437">
        <f t="shared" si="15"/>
        <v>22523</v>
      </c>
      <c r="C86" s="466">
        <f t="shared" si="16"/>
        <v>22</v>
      </c>
      <c r="G86" s="439"/>
      <c r="I86" s="443">
        <f t="shared" si="8"/>
        <v>22523</v>
      </c>
      <c r="J86" s="467"/>
      <c r="K86" s="443"/>
      <c r="L86" s="445">
        <f t="shared" si="14"/>
        <v>285</v>
      </c>
    </row>
    <row r="87" spans="1:12" s="451" customFormat="1" ht="15" customHeight="1">
      <c r="A87" s="465">
        <f t="shared" si="11"/>
        <v>2028</v>
      </c>
      <c r="B87" s="437">
        <f t="shared" si="15"/>
        <v>22809</v>
      </c>
      <c r="C87" s="466">
        <f t="shared" si="16"/>
        <v>23</v>
      </c>
      <c r="D87" s="468"/>
      <c r="E87" s="468"/>
      <c r="I87" s="443">
        <f t="shared" si="8"/>
        <v>22809</v>
      </c>
      <c r="J87" s="469"/>
      <c r="K87" s="469"/>
      <c r="L87" s="445">
        <f t="shared" si="14"/>
        <v>286</v>
      </c>
    </row>
    <row r="88" spans="1:12" ht="15" customHeight="1">
      <c r="A88" s="465">
        <f t="shared" si="11"/>
        <v>2029</v>
      </c>
      <c r="B88" s="437">
        <f t="shared" si="15"/>
        <v>23095</v>
      </c>
      <c r="C88" s="466">
        <f t="shared" si="16"/>
        <v>24</v>
      </c>
      <c r="D88" s="468"/>
      <c r="E88" s="468"/>
      <c r="F88" s="451"/>
      <c r="G88" s="451"/>
      <c r="H88" s="451"/>
      <c r="I88" s="443">
        <f t="shared" si="8"/>
        <v>23095</v>
      </c>
      <c r="J88" s="469"/>
      <c r="K88" s="469"/>
      <c r="L88" s="445">
        <f t="shared" si="14"/>
        <v>286</v>
      </c>
    </row>
    <row r="89" spans="1:12" ht="15" customHeight="1">
      <c r="A89" s="465">
        <f t="shared" si="11"/>
        <v>2030</v>
      </c>
      <c r="B89" s="437">
        <f t="shared" si="15"/>
        <v>23380</v>
      </c>
      <c r="C89" s="466">
        <f t="shared" si="16"/>
        <v>25</v>
      </c>
      <c r="D89" s="468"/>
      <c r="E89" s="468"/>
      <c r="F89" s="451"/>
      <c r="G89" s="451"/>
      <c r="H89" s="451"/>
      <c r="I89" s="443">
        <f t="shared" si="8"/>
        <v>23380</v>
      </c>
      <c r="J89" s="469"/>
      <c r="K89" s="469"/>
      <c r="L89" s="445">
        <f t="shared" si="14"/>
        <v>285</v>
      </c>
    </row>
    <row r="90" spans="1:12" ht="15" customHeight="1">
      <c r="A90" s="465">
        <f t="shared" si="11"/>
        <v>2031</v>
      </c>
      <c r="B90" s="437">
        <f t="shared" si="15"/>
        <v>23666</v>
      </c>
      <c r="C90" s="466">
        <f t="shared" si="16"/>
        <v>26</v>
      </c>
      <c r="D90" s="468"/>
      <c r="E90" s="468"/>
      <c r="F90" s="451"/>
      <c r="G90" s="451"/>
      <c r="H90" s="451"/>
      <c r="I90" s="443">
        <f t="shared" si="8"/>
        <v>23666</v>
      </c>
      <c r="J90" s="469"/>
      <c r="K90" s="469"/>
      <c r="L90" s="445">
        <f t="shared" si="14"/>
        <v>286</v>
      </c>
    </row>
    <row r="91" spans="1:12" ht="15" customHeight="1">
      <c r="A91" s="465">
        <f t="shared" si="11"/>
        <v>2032</v>
      </c>
      <c r="B91" s="437">
        <f t="shared" si="15"/>
        <v>23952</v>
      </c>
      <c r="C91" s="466">
        <f t="shared" si="16"/>
        <v>27</v>
      </c>
      <c r="D91" s="468"/>
      <c r="E91" s="468"/>
      <c r="F91" s="451"/>
      <c r="G91" s="451"/>
      <c r="H91" s="451"/>
      <c r="I91" s="443">
        <f t="shared" si="8"/>
        <v>23952</v>
      </c>
      <c r="J91" s="469"/>
      <c r="K91" s="469"/>
      <c r="L91" s="445">
        <f t="shared" si="14"/>
        <v>286</v>
      </c>
    </row>
    <row r="92" spans="1:12" ht="15" customHeight="1">
      <c r="A92" s="465">
        <f t="shared" si="11"/>
        <v>2033</v>
      </c>
      <c r="B92" s="437">
        <f t="shared" si="15"/>
        <v>24238</v>
      </c>
      <c r="C92" s="466">
        <f t="shared" si="16"/>
        <v>28</v>
      </c>
      <c r="D92" s="468"/>
      <c r="E92" s="468"/>
      <c r="F92" s="451"/>
      <c r="G92" s="451"/>
      <c r="H92" s="451"/>
      <c r="I92" s="443">
        <f t="shared" si="8"/>
        <v>24238</v>
      </c>
      <c r="J92" s="469"/>
      <c r="K92" s="469"/>
      <c r="L92" s="445">
        <f t="shared" si="14"/>
        <v>286</v>
      </c>
    </row>
    <row r="93" spans="1:12" ht="15" customHeight="1">
      <c r="A93" s="465">
        <f t="shared" si="11"/>
        <v>2034</v>
      </c>
      <c r="B93" s="437">
        <f t="shared" si="15"/>
        <v>24523</v>
      </c>
      <c r="C93" s="466">
        <f t="shared" si="16"/>
        <v>29</v>
      </c>
      <c r="D93" s="468"/>
      <c r="E93" s="468"/>
      <c r="F93" s="451"/>
      <c r="G93" s="451"/>
      <c r="H93" s="451"/>
      <c r="I93" s="443">
        <f t="shared" si="8"/>
        <v>24523</v>
      </c>
      <c r="J93" s="469"/>
      <c r="K93" s="469"/>
      <c r="L93" s="445">
        <f t="shared" si="14"/>
        <v>285</v>
      </c>
    </row>
    <row r="94" spans="1:12" ht="15" customHeight="1">
      <c r="A94" s="470">
        <f t="shared" si="11"/>
        <v>2035</v>
      </c>
      <c r="B94" s="471">
        <f t="shared" si="15"/>
        <v>24809</v>
      </c>
      <c r="C94" s="472">
        <f t="shared" si="16"/>
        <v>30</v>
      </c>
      <c r="D94" s="473"/>
      <c r="E94" s="473"/>
      <c r="F94" s="474"/>
      <c r="G94" s="474"/>
      <c r="H94" s="474"/>
      <c r="I94" s="471">
        <f t="shared" si="8"/>
        <v>24809</v>
      </c>
      <c r="J94" s="475"/>
      <c r="K94" s="476"/>
      <c r="L94" s="445">
        <f t="shared" si="14"/>
        <v>286</v>
      </c>
    </row>
    <row r="95" spans="1:12" ht="15" customHeight="1">
      <c r="A95" s="477">
        <f t="shared" si="11"/>
        <v>2036</v>
      </c>
      <c r="B95" s="478">
        <f t="shared" si="15"/>
        <v>25095</v>
      </c>
      <c r="C95" s="479">
        <v>31</v>
      </c>
      <c r="D95" s="480"/>
      <c r="E95" s="480"/>
      <c r="F95" s="481"/>
      <c r="G95" s="481"/>
      <c r="H95" s="481"/>
      <c r="I95" s="478">
        <f t="shared" si="8"/>
        <v>25095</v>
      </c>
      <c r="J95" s="482"/>
      <c r="K95" s="483"/>
      <c r="L95" s="445">
        <f t="shared" si="14"/>
        <v>286</v>
      </c>
    </row>
    <row r="96" spans="1:12" ht="15" customHeight="1">
      <c r="A96" s="477">
        <f t="shared" si="11"/>
        <v>2037</v>
      </c>
      <c r="B96" s="478">
        <f t="shared" si="15"/>
        <v>25381</v>
      </c>
      <c r="C96" s="479">
        <v>32</v>
      </c>
      <c r="D96" s="480"/>
      <c r="E96" s="480"/>
      <c r="F96" s="481"/>
      <c r="G96" s="481"/>
      <c r="H96" s="481"/>
      <c r="I96" s="478">
        <f t="shared" si="8"/>
        <v>25381</v>
      </c>
      <c r="J96" s="482"/>
      <c r="K96" s="483"/>
      <c r="L96" s="445">
        <f t="shared" si="14"/>
        <v>286</v>
      </c>
    </row>
    <row r="97" spans="1:13" ht="15" customHeight="1">
      <c r="A97" s="484">
        <f t="shared" si="11"/>
        <v>2038</v>
      </c>
      <c r="B97" s="485">
        <f t="shared" si="15"/>
        <v>25666</v>
      </c>
      <c r="C97" s="486">
        <v>33</v>
      </c>
      <c r="D97" s="487"/>
      <c r="E97" s="487"/>
      <c r="F97" s="488"/>
      <c r="G97" s="488"/>
      <c r="H97" s="488"/>
      <c r="I97" s="485">
        <f t="shared" si="8"/>
        <v>25666</v>
      </c>
      <c r="J97" s="489"/>
      <c r="K97" s="490"/>
      <c r="L97" s="445">
        <f t="shared" si="14"/>
        <v>285</v>
      </c>
    </row>
    <row r="98" spans="1:13" ht="15" customHeight="1">
      <c r="A98" s="491"/>
      <c r="B98" s="492"/>
      <c r="C98" s="439"/>
      <c r="D98" s="468"/>
      <c r="E98" s="468"/>
      <c r="F98" s="451"/>
      <c r="G98" s="451"/>
      <c r="H98" s="451"/>
      <c r="I98" s="492"/>
      <c r="J98" s="493"/>
      <c r="K98" s="493"/>
      <c r="L98" s="445"/>
    </row>
    <row r="99" spans="1:13" ht="15" customHeight="1">
      <c r="A99" s="491"/>
      <c r="B99" s="492"/>
      <c r="C99" s="439"/>
      <c r="D99" s="468"/>
      <c r="E99" s="468"/>
      <c r="F99" s="451"/>
      <c r="G99" s="451"/>
      <c r="H99" s="451"/>
      <c r="I99" s="492"/>
      <c r="J99" s="493"/>
      <c r="K99" s="493"/>
      <c r="L99" s="445"/>
    </row>
    <row r="100" spans="1:13" ht="15" customHeight="1">
      <c r="A100" s="491"/>
      <c r="B100" s="492"/>
      <c r="C100" s="439"/>
      <c r="D100" s="468"/>
      <c r="E100" s="468"/>
      <c r="F100" s="451"/>
      <c r="G100" s="451"/>
      <c r="H100" s="451"/>
      <c r="I100" s="492"/>
      <c r="J100" s="493"/>
      <c r="K100" s="493"/>
      <c r="L100" s="445"/>
    </row>
    <row r="101" spans="1:13" ht="15" customHeight="1">
      <c r="A101" s="491"/>
      <c r="B101" s="494"/>
      <c r="C101" s="439"/>
      <c r="D101" s="468"/>
      <c r="E101" s="468"/>
      <c r="F101" s="451"/>
      <c r="G101" s="451"/>
      <c r="H101" s="451"/>
      <c r="I101" s="495"/>
      <c r="J101" s="495"/>
    </row>
    <row r="102" spans="1:13" ht="15" customHeight="1">
      <c r="A102" s="424" t="s">
        <v>296</v>
      </c>
    </row>
    <row r="103" spans="1:13" ht="15" customHeight="1">
      <c r="A103" s="427" t="s">
        <v>264</v>
      </c>
      <c r="B103" s="428" t="s">
        <v>286</v>
      </c>
      <c r="C103" s="429" t="s">
        <v>297</v>
      </c>
      <c r="D103" s="429" t="s">
        <v>287</v>
      </c>
      <c r="E103" s="496"/>
      <c r="F103" s="430"/>
      <c r="G103" s="431"/>
      <c r="H103" s="432" t="s">
        <v>288</v>
      </c>
      <c r="I103" s="433">
        <f>RSQ(I104:I114,B104:B114)</f>
        <v>0.85395214104650929</v>
      </c>
      <c r="J103" s="434" t="s">
        <v>289</v>
      </c>
      <c r="K103" s="435" t="s">
        <v>290</v>
      </c>
    </row>
    <row r="104" spans="1:13" ht="15" customHeight="1">
      <c r="A104" s="436">
        <f t="shared" ref="A104:B119" si="17">A65</f>
        <v>2006</v>
      </c>
      <c r="B104" s="437">
        <f t="shared" si="17"/>
        <v>16125</v>
      </c>
      <c r="C104" s="497">
        <f t="shared" ref="C104:C114" si="18">LN(B104)</f>
        <v>9.6881261416639735</v>
      </c>
      <c r="D104" s="438">
        <f>C65</f>
        <v>1</v>
      </c>
      <c r="E104" s="498" t="s">
        <v>298</v>
      </c>
      <c r="F104" s="499"/>
      <c r="G104" s="500"/>
      <c r="H104" s="501"/>
      <c r="I104" s="502">
        <f t="shared" ref="I104:I136" si="19">ROUND($F$111*(1+$F$112)^D104,$G$1)</f>
        <v>16539</v>
      </c>
      <c r="J104" s="444">
        <f t="shared" ref="J104:J114" si="20">ABS(B104-I104)/B104*100</f>
        <v>2.5674418604651161</v>
      </c>
      <c r="K104" s="443">
        <f t="shared" ref="K104:K114" si="21">(B104-I104)^2/1000</f>
        <v>171.39599999999999</v>
      </c>
      <c r="L104" s="503"/>
    </row>
    <row r="105" spans="1:13" ht="15" customHeight="1">
      <c r="A105" s="436">
        <f t="shared" si="17"/>
        <v>2007</v>
      </c>
      <c r="B105" s="437">
        <f t="shared" si="17"/>
        <v>16912</v>
      </c>
      <c r="C105" s="497">
        <f>LN(B105)</f>
        <v>9.7357787081100184</v>
      </c>
      <c r="D105" s="438">
        <f t="shared" ref="D105:D136" si="22">D104+1</f>
        <v>2</v>
      </c>
      <c r="E105" s="498" t="s">
        <v>299</v>
      </c>
      <c r="F105" s="439"/>
      <c r="G105" s="500"/>
      <c r="H105" s="501"/>
      <c r="I105" s="443">
        <f t="shared" si="19"/>
        <v>16808</v>
      </c>
      <c r="J105" s="446">
        <f t="shared" si="20"/>
        <v>0.61494796594134349</v>
      </c>
      <c r="K105" s="443">
        <f t="shared" si="21"/>
        <v>10.816000000000001</v>
      </c>
      <c r="L105" s="503">
        <f>ROUND((I105/I104)^(1/1)-1,4)</f>
        <v>1.6299999999999999E-2</v>
      </c>
    </row>
    <row r="106" spans="1:13" ht="15" customHeight="1">
      <c r="A106" s="436">
        <f t="shared" si="17"/>
        <v>2008</v>
      </c>
      <c r="B106" s="437">
        <f t="shared" si="17"/>
        <v>17123</v>
      </c>
      <c r="C106" s="497">
        <f>LN(B106)</f>
        <v>9.7481778679889715</v>
      </c>
      <c r="D106" s="438">
        <f t="shared" si="22"/>
        <v>3</v>
      </c>
      <c r="E106" s="326" t="s">
        <v>300</v>
      </c>
      <c r="G106" s="451"/>
      <c r="H106" s="442"/>
      <c r="I106" s="443">
        <f t="shared" si="19"/>
        <v>17080</v>
      </c>
      <c r="J106" s="446">
        <f t="shared" si="20"/>
        <v>0.2511242188868773</v>
      </c>
      <c r="K106" s="443">
        <f t="shared" si="21"/>
        <v>1.849</v>
      </c>
      <c r="L106" s="503">
        <f t="shared" ref="L106:L136" si="23">ROUND((I106/I105)^(1/1)-1,4)</f>
        <v>1.6199999999999999E-2</v>
      </c>
      <c r="M106" s="503"/>
    </row>
    <row r="107" spans="1:13" ht="15" customHeight="1">
      <c r="A107" s="436">
        <f t="shared" si="17"/>
        <v>2009</v>
      </c>
      <c r="B107" s="437">
        <f t="shared" si="17"/>
        <v>17334</v>
      </c>
      <c r="C107" s="497">
        <f t="shared" si="18"/>
        <v>9.7604251696942903</v>
      </c>
      <c r="D107" s="438">
        <f t="shared" si="22"/>
        <v>4</v>
      </c>
      <c r="G107" s="451"/>
      <c r="H107" s="442"/>
      <c r="I107" s="443">
        <f t="shared" si="19"/>
        <v>17357</v>
      </c>
      <c r="J107" s="446">
        <f t="shared" si="20"/>
        <v>0.13268720433829467</v>
      </c>
      <c r="K107" s="443">
        <f t="shared" si="21"/>
        <v>0.52900000000000003</v>
      </c>
      <c r="L107" s="503">
        <f t="shared" si="23"/>
        <v>1.6199999999999999E-2</v>
      </c>
      <c r="M107" s="503"/>
    </row>
    <row r="108" spans="1:13" ht="15" customHeight="1">
      <c r="A108" s="436">
        <f t="shared" si="17"/>
        <v>2010</v>
      </c>
      <c r="B108" s="437">
        <f t="shared" si="17"/>
        <v>17604</v>
      </c>
      <c r="C108" s="497">
        <f t="shared" si="18"/>
        <v>9.7758814279309814</v>
      </c>
      <c r="D108" s="438">
        <f t="shared" si="22"/>
        <v>5</v>
      </c>
      <c r="E108" s="329" t="s">
        <v>301</v>
      </c>
      <c r="F108" s="442" t="s">
        <v>302</v>
      </c>
      <c r="G108" s="504">
        <f>INDEX(LINEST(C104:C114,D104:D114),2)</f>
        <v>9.6974164003927061</v>
      </c>
      <c r="H108" s="442"/>
      <c r="I108" s="443">
        <f t="shared" si="19"/>
        <v>17639</v>
      </c>
      <c r="J108" s="446">
        <f t="shared" si="20"/>
        <v>0.1988184503521927</v>
      </c>
      <c r="K108" s="443">
        <f t="shared" si="21"/>
        <v>1.2250000000000001</v>
      </c>
      <c r="L108" s="503">
        <f t="shared" si="23"/>
        <v>1.6199999999999999E-2</v>
      </c>
      <c r="M108" s="503"/>
    </row>
    <row r="109" spans="1:13" ht="15" customHeight="1">
      <c r="A109" s="436">
        <f t="shared" si="17"/>
        <v>2011</v>
      </c>
      <c r="B109" s="437">
        <f t="shared" si="17"/>
        <v>17831</v>
      </c>
      <c r="C109" s="497">
        <f t="shared" si="18"/>
        <v>9.788693794534046</v>
      </c>
      <c r="D109" s="438">
        <f t="shared" si="22"/>
        <v>6</v>
      </c>
      <c r="E109" s="329" t="s">
        <v>303</v>
      </c>
      <c r="F109" s="442" t="s">
        <v>304</v>
      </c>
      <c r="G109" s="504">
        <f>INDEX(LINEST(C104:C114,D104:D114),1)</f>
        <v>1.6089112482124274E-2</v>
      </c>
      <c r="H109" s="442"/>
      <c r="I109" s="443">
        <f t="shared" si="19"/>
        <v>17925</v>
      </c>
      <c r="J109" s="446">
        <f t="shared" si="20"/>
        <v>0.52717177948516636</v>
      </c>
      <c r="K109" s="443">
        <f t="shared" si="21"/>
        <v>8.8360000000000003</v>
      </c>
      <c r="L109" s="503">
        <f t="shared" si="23"/>
        <v>1.6199999999999999E-2</v>
      </c>
      <c r="M109" s="503"/>
    </row>
    <row r="110" spans="1:13" ht="15" customHeight="1">
      <c r="A110" s="436">
        <f t="shared" si="17"/>
        <v>2012</v>
      </c>
      <c r="B110" s="437">
        <f t="shared" si="17"/>
        <v>18702</v>
      </c>
      <c r="C110" s="497">
        <f t="shared" si="18"/>
        <v>9.8363857489953919</v>
      </c>
      <c r="D110" s="438">
        <f t="shared" si="22"/>
        <v>7</v>
      </c>
      <c r="H110" s="442"/>
      <c r="I110" s="443">
        <f t="shared" si="19"/>
        <v>18216</v>
      </c>
      <c r="J110" s="446">
        <f t="shared" si="20"/>
        <v>2.598652550529355</v>
      </c>
      <c r="K110" s="443">
        <f t="shared" si="21"/>
        <v>236.196</v>
      </c>
      <c r="L110" s="503">
        <f t="shared" si="23"/>
        <v>1.6199999999999999E-2</v>
      </c>
      <c r="M110" s="503"/>
    </row>
    <row r="111" spans="1:13" ht="15" customHeight="1">
      <c r="A111" s="436">
        <f t="shared" si="17"/>
        <v>2013</v>
      </c>
      <c r="B111" s="437">
        <f t="shared" si="17"/>
        <v>19159</v>
      </c>
      <c r="C111" s="497">
        <f t="shared" si="18"/>
        <v>9.8605278580959919</v>
      </c>
      <c r="D111" s="438">
        <f t="shared" si="22"/>
        <v>8</v>
      </c>
      <c r="E111" s="329" t="s">
        <v>305</v>
      </c>
      <c r="F111" s="505">
        <f>EXP(G108)</f>
        <v>16275.503447503472</v>
      </c>
      <c r="G111" s="451"/>
      <c r="H111" s="442"/>
      <c r="I111" s="443">
        <f t="shared" si="19"/>
        <v>18511</v>
      </c>
      <c r="J111" s="446">
        <f t="shared" si="20"/>
        <v>3.3822224541990709</v>
      </c>
      <c r="K111" s="443">
        <f t="shared" si="21"/>
        <v>419.904</v>
      </c>
      <c r="L111" s="503">
        <f t="shared" si="23"/>
        <v>1.6199999999999999E-2</v>
      </c>
      <c r="M111" s="503"/>
    </row>
    <row r="112" spans="1:13" ht="15" customHeight="1">
      <c r="A112" s="436">
        <f t="shared" si="17"/>
        <v>2014</v>
      </c>
      <c r="B112" s="437">
        <f t="shared" si="17"/>
        <v>19132</v>
      </c>
      <c r="C112" s="506">
        <f t="shared" si="18"/>
        <v>9.8591176048001881</v>
      </c>
      <c r="D112" s="438">
        <f t="shared" si="22"/>
        <v>9</v>
      </c>
      <c r="E112" s="329" t="s">
        <v>306</v>
      </c>
      <c r="F112" s="507">
        <f>EXP(G109)-1</f>
        <v>1.6219239190085277E-2</v>
      </c>
      <c r="G112" s="451"/>
      <c r="H112" s="442"/>
      <c r="I112" s="443">
        <f t="shared" si="19"/>
        <v>18811</v>
      </c>
      <c r="J112" s="467">
        <f t="shared" si="20"/>
        <v>1.6778172694961322</v>
      </c>
      <c r="K112" s="443">
        <f t="shared" si="21"/>
        <v>103.041</v>
      </c>
      <c r="L112" s="503">
        <f t="shared" si="23"/>
        <v>1.6199999999999999E-2</v>
      </c>
      <c r="M112" s="503"/>
    </row>
    <row r="113" spans="1:13" ht="15" customHeight="1">
      <c r="A113" s="436">
        <f t="shared" si="17"/>
        <v>2015</v>
      </c>
      <c r="B113" s="437">
        <f t="shared" si="17"/>
        <v>18802</v>
      </c>
      <c r="C113" s="506">
        <f t="shared" si="18"/>
        <v>9.8417185261384965</v>
      </c>
      <c r="D113" s="508">
        <f t="shared" si="22"/>
        <v>10</v>
      </c>
      <c r="H113" s="509"/>
      <c r="I113" s="443">
        <f t="shared" si="19"/>
        <v>19117</v>
      </c>
      <c r="J113" s="467">
        <f t="shared" si="20"/>
        <v>1.6753536857781088</v>
      </c>
      <c r="K113" s="443">
        <f t="shared" si="21"/>
        <v>99.224999999999994</v>
      </c>
      <c r="L113" s="503">
        <f t="shared" si="23"/>
        <v>1.6299999999999999E-2</v>
      </c>
      <c r="M113" s="503"/>
    </row>
    <row r="114" spans="1:13" ht="15" customHeight="1" thickBot="1">
      <c r="A114" s="436">
        <f t="shared" si="17"/>
        <v>2016</v>
      </c>
      <c r="B114" s="437">
        <f t="shared" si="17"/>
        <v>18744</v>
      </c>
      <c r="C114" s="506">
        <f t="shared" si="18"/>
        <v>9.8386289801876323</v>
      </c>
      <c r="D114" s="508">
        <f t="shared" si="22"/>
        <v>11</v>
      </c>
      <c r="G114" s="510"/>
      <c r="H114" s="509"/>
      <c r="I114" s="443">
        <f t="shared" si="19"/>
        <v>19427</v>
      </c>
      <c r="J114" s="467">
        <f t="shared" si="20"/>
        <v>3.6438326931284672</v>
      </c>
      <c r="K114" s="443">
        <f t="shared" si="21"/>
        <v>466.48899999999998</v>
      </c>
      <c r="L114" s="503">
        <f t="shared" si="23"/>
        <v>1.6199999999999999E-2</v>
      </c>
      <c r="M114" s="503"/>
    </row>
    <row r="115" spans="1:13" ht="15" customHeight="1" thickTop="1">
      <c r="A115" s="511">
        <f t="shared" si="17"/>
        <v>2017</v>
      </c>
      <c r="B115" s="459">
        <f t="shared" ref="B115:B136" si="24">ROUND($F$111*(1+$F$112)^D115,$G$1)</f>
        <v>19742</v>
      </c>
      <c r="C115" s="512"/>
      <c r="D115" s="513">
        <f t="shared" si="22"/>
        <v>12</v>
      </c>
      <c r="E115" s="2314" t="s">
        <v>276</v>
      </c>
      <c r="F115" s="2315"/>
      <c r="G115" s="514">
        <f>I103</f>
        <v>0.85395214104650929</v>
      </c>
      <c r="H115" s="515"/>
      <c r="I115" s="464">
        <f t="shared" si="19"/>
        <v>19742</v>
      </c>
      <c r="J115" s="463"/>
      <c r="K115" s="464"/>
      <c r="L115" s="503">
        <f t="shared" si="23"/>
        <v>1.6199999999999999E-2</v>
      </c>
      <c r="M115" s="503"/>
    </row>
    <row r="116" spans="1:13" ht="15" customHeight="1">
      <c r="A116" s="436">
        <f t="shared" si="17"/>
        <v>2018</v>
      </c>
      <c r="B116" s="437">
        <f t="shared" si="24"/>
        <v>20062</v>
      </c>
      <c r="C116" s="506"/>
      <c r="D116" s="508">
        <f t="shared" si="22"/>
        <v>13</v>
      </c>
      <c r="E116" s="2318" t="s">
        <v>294</v>
      </c>
      <c r="F116" s="2320"/>
      <c r="G116" s="448">
        <f>SUM(K104:K114)</f>
        <v>1519.5059999999999</v>
      </c>
      <c r="H116" s="509"/>
      <c r="I116" s="443">
        <f t="shared" si="19"/>
        <v>20062</v>
      </c>
      <c r="J116" s="467"/>
      <c r="K116" s="443"/>
      <c r="L116" s="503">
        <f t="shared" si="23"/>
        <v>1.6199999999999999E-2</v>
      </c>
      <c r="M116" s="503"/>
    </row>
    <row r="117" spans="1:13" ht="15" customHeight="1">
      <c r="A117" s="436">
        <f t="shared" si="17"/>
        <v>2019</v>
      </c>
      <c r="B117" s="437">
        <f t="shared" si="24"/>
        <v>20387</v>
      </c>
      <c r="C117" s="506"/>
      <c r="D117" s="508">
        <f t="shared" si="22"/>
        <v>14</v>
      </c>
      <c r="E117" s="2318" t="s">
        <v>278</v>
      </c>
      <c r="F117" s="2320"/>
      <c r="G117" s="449">
        <f>SUM(J104:J114)/D114</f>
        <v>1.5700063756909204</v>
      </c>
      <c r="H117" s="509"/>
      <c r="I117" s="443">
        <f t="shared" si="19"/>
        <v>20387</v>
      </c>
      <c r="J117" s="467"/>
      <c r="K117" s="443"/>
      <c r="L117" s="503">
        <f t="shared" si="23"/>
        <v>1.6199999999999999E-2</v>
      </c>
      <c r="M117" s="503"/>
    </row>
    <row r="118" spans="1:13" ht="15" customHeight="1">
      <c r="A118" s="436">
        <f t="shared" si="17"/>
        <v>2020</v>
      </c>
      <c r="B118" s="437">
        <f t="shared" si="24"/>
        <v>20718</v>
      </c>
      <c r="C118" s="506"/>
      <c r="D118" s="508">
        <f t="shared" si="22"/>
        <v>15</v>
      </c>
      <c r="H118" s="509"/>
      <c r="I118" s="443">
        <f t="shared" si="19"/>
        <v>20718</v>
      </c>
      <c r="J118" s="467"/>
      <c r="K118" s="443"/>
      <c r="L118" s="503">
        <f t="shared" si="23"/>
        <v>1.6199999999999999E-2</v>
      </c>
      <c r="M118" s="503"/>
    </row>
    <row r="119" spans="1:13" ht="15" customHeight="1">
      <c r="A119" s="436">
        <f t="shared" si="17"/>
        <v>2021</v>
      </c>
      <c r="B119" s="437">
        <f t="shared" si="24"/>
        <v>21054</v>
      </c>
      <c r="C119" s="506"/>
      <c r="D119" s="508">
        <f t="shared" si="22"/>
        <v>16</v>
      </c>
      <c r="E119" s="451"/>
      <c r="F119" s="451"/>
      <c r="G119" s="451"/>
      <c r="H119" s="509"/>
      <c r="I119" s="443">
        <f t="shared" si="19"/>
        <v>21054</v>
      </c>
      <c r="J119" s="467"/>
      <c r="K119" s="443"/>
      <c r="L119" s="503">
        <f t="shared" si="23"/>
        <v>1.6199999999999999E-2</v>
      </c>
      <c r="M119" s="503"/>
    </row>
    <row r="120" spans="1:13" ht="15" customHeight="1">
      <c r="A120" s="436">
        <f t="shared" ref="A120:A136" si="25">A81</f>
        <v>2022</v>
      </c>
      <c r="B120" s="437">
        <f t="shared" si="24"/>
        <v>21395</v>
      </c>
      <c r="C120" s="506"/>
      <c r="D120" s="508">
        <f t="shared" si="22"/>
        <v>17</v>
      </c>
      <c r="E120" s="516"/>
      <c r="F120" s="517"/>
      <c r="G120" s="509"/>
      <c r="H120" s="509"/>
      <c r="I120" s="443">
        <f t="shared" si="19"/>
        <v>21395</v>
      </c>
      <c r="J120" s="467"/>
      <c r="K120" s="443"/>
      <c r="L120" s="503">
        <f t="shared" si="23"/>
        <v>1.6199999999999999E-2</v>
      </c>
      <c r="M120" s="503"/>
    </row>
    <row r="121" spans="1:13" ht="15" customHeight="1">
      <c r="A121" s="436">
        <f t="shared" si="25"/>
        <v>2023</v>
      </c>
      <c r="B121" s="437">
        <f t="shared" si="24"/>
        <v>21742</v>
      </c>
      <c r="C121" s="506"/>
      <c r="D121" s="508">
        <f t="shared" si="22"/>
        <v>18</v>
      </c>
      <c r="E121" s="509"/>
      <c r="F121" s="509"/>
      <c r="G121" s="518"/>
      <c r="H121" s="509"/>
      <c r="I121" s="443">
        <f t="shared" si="19"/>
        <v>21742</v>
      </c>
      <c r="J121" s="467"/>
      <c r="K121" s="443"/>
      <c r="L121" s="503">
        <f t="shared" si="23"/>
        <v>1.6199999999999999E-2</v>
      </c>
      <c r="M121" s="503"/>
    </row>
    <row r="122" spans="1:13" s="451" customFormat="1" ht="15" customHeight="1">
      <c r="A122" s="436">
        <f t="shared" si="25"/>
        <v>2024</v>
      </c>
      <c r="B122" s="437">
        <f t="shared" si="24"/>
        <v>22095</v>
      </c>
      <c r="C122" s="506"/>
      <c r="D122" s="508">
        <f t="shared" si="22"/>
        <v>19</v>
      </c>
      <c r="G122" s="518"/>
      <c r="H122" s="509"/>
      <c r="I122" s="443">
        <f t="shared" si="19"/>
        <v>22095</v>
      </c>
      <c r="J122" s="467"/>
      <c r="K122" s="443"/>
      <c r="L122" s="503">
        <f t="shared" si="23"/>
        <v>1.6199999999999999E-2</v>
      </c>
      <c r="M122" s="503"/>
    </row>
    <row r="123" spans="1:13" ht="15" customHeight="1">
      <c r="A123" s="436">
        <f t="shared" si="25"/>
        <v>2025</v>
      </c>
      <c r="B123" s="437">
        <f t="shared" si="24"/>
        <v>22453</v>
      </c>
      <c r="C123" s="506"/>
      <c r="D123" s="508">
        <f t="shared" si="22"/>
        <v>20</v>
      </c>
      <c r="E123" s="519"/>
      <c r="F123" s="451"/>
      <c r="G123" s="451"/>
      <c r="H123" s="451"/>
      <c r="I123" s="443">
        <f t="shared" si="19"/>
        <v>22453</v>
      </c>
      <c r="J123" s="467"/>
      <c r="K123" s="443"/>
      <c r="L123" s="503">
        <f t="shared" si="23"/>
        <v>1.6199999999999999E-2</v>
      </c>
      <c r="M123" s="503"/>
    </row>
    <row r="124" spans="1:13" s="451" customFormat="1" ht="15" customHeight="1">
      <c r="A124" s="436">
        <f t="shared" si="25"/>
        <v>2026</v>
      </c>
      <c r="B124" s="437">
        <f t="shared" si="24"/>
        <v>22818</v>
      </c>
      <c r="C124" s="506"/>
      <c r="D124" s="508">
        <f t="shared" si="22"/>
        <v>21</v>
      </c>
      <c r="E124" s="519"/>
      <c r="I124" s="443">
        <f t="shared" si="19"/>
        <v>22818</v>
      </c>
      <c r="J124" s="467"/>
      <c r="K124" s="443"/>
      <c r="L124" s="503">
        <f t="shared" si="23"/>
        <v>1.6299999999999999E-2</v>
      </c>
      <c r="M124" s="503"/>
    </row>
    <row r="125" spans="1:13" s="451" customFormat="1" ht="15" customHeight="1">
      <c r="A125" s="436">
        <f t="shared" si="25"/>
        <v>2027</v>
      </c>
      <c r="B125" s="437">
        <f t="shared" si="24"/>
        <v>23188</v>
      </c>
      <c r="C125" s="506"/>
      <c r="D125" s="508">
        <f t="shared" si="22"/>
        <v>22</v>
      </c>
      <c r="E125" s="519"/>
      <c r="I125" s="443">
        <f t="shared" si="19"/>
        <v>23188</v>
      </c>
      <c r="J125" s="467"/>
      <c r="K125" s="443"/>
      <c r="L125" s="503">
        <f t="shared" si="23"/>
        <v>1.6199999999999999E-2</v>
      </c>
      <c r="M125" s="503"/>
    </row>
    <row r="126" spans="1:13" ht="15" customHeight="1">
      <c r="A126" s="436">
        <f t="shared" si="25"/>
        <v>2028</v>
      </c>
      <c r="B126" s="437">
        <f t="shared" si="24"/>
        <v>23564</v>
      </c>
      <c r="C126" s="520"/>
      <c r="D126" s="508">
        <f t="shared" si="22"/>
        <v>23</v>
      </c>
      <c r="E126" s="521"/>
      <c r="F126" s="468"/>
      <c r="G126" s="451"/>
      <c r="H126" s="451"/>
      <c r="I126" s="443">
        <f t="shared" si="19"/>
        <v>23564</v>
      </c>
      <c r="J126" s="469"/>
      <c r="K126" s="469"/>
      <c r="L126" s="503">
        <f t="shared" si="23"/>
        <v>1.6199999999999999E-2</v>
      </c>
      <c r="M126" s="503"/>
    </row>
    <row r="127" spans="1:13" ht="15" customHeight="1">
      <c r="A127" s="436">
        <f t="shared" si="25"/>
        <v>2029</v>
      </c>
      <c r="B127" s="437">
        <f t="shared" si="24"/>
        <v>23946</v>
      </c>
      <c r="C127" s="520"/>
      <c r="D127" s="508">
        <f t="shared" si="22"/>
        <v>24</v>
      </c>
      <c r="E127" s="521"/>
      <c r="F127" s="468"/>
      <c r="G127" s="451"/>
      <c r="H127" s="451"/>
      <c r="I127" s="443">
        <f t="shared" si="19"/>
        <v>23946</v>
      </c>
      <c r="J127" s="469"/>
      <c r="K127" s="469"/>
      <c r="L127" s="503">
        <f t="shared" si="23"/>
        <v>1.6199999999999999E-2</v>
      </c>
      <c r="M127" s="503"/>
    </row>
    <row r="128" spans="1:13" ht="15" customHeight="1">
      <c r="A128" s="436">
        <f t="shared" si="25"/>
        <v>2030</v>
      </c>
      <c r="B128" s="437">
        <f t="shared" si="24"/>
        <v>24334</v>
      </c>
      <c r="C128" s="520"/>
      <c r="D128" s="508">
        <f t="shared" si="22"/>
        <v>25</v>
      </c>
      <c r="E128" s="521"/>
      <c r="F128" s="468"/>
      <c r="G128" s="451"/>
      <c r="H128" s="451"/>
      <c r="I128" s="443">
        <f t="shared" si="19"/>
        <v>24334</v>
      </c>
      <c r="J128" s="469"/>
      <c r="K128" s="469"/>
      <c r="L128" s="503">
        <f t="shared" si="23"/>
        <v>1.6199999999999999E-2</v>
      </c>
      <c r="M128" s="503"/>
    </row>
    <row r="129" spans="1:102" ht="15" customHeight="1">
      <c r="A129" s="436">
        <f t="shared" si="25"/>
        <v>2031</v>
      </c>
      <c r="B129" s="437">
        <f t="shared" si="24"/>
        <v>24729</v>
      </c>
      <c r="C129" s="520"/>
      <c r="D129" s="508">
        <f t="shared" si="22"/>
        <v>26</v>
      </c>
      <c r="E129" s="521"/>
      <c r="F129" s="468"/>
      <c r="G129" s="451"/>
      <c r="H129" s="451"/>
      <c r="I129" s="443">
        <f t="shared" si="19"/>
        <v>24729</v>
      </c>
      <c r="J129" s="469"/>
      <c r="K129" s="469"/>
      <c r="L129" s="503">
        <f t="shared" si="23"/>
        <v>1.6199999999999999E-2</v>
      </c>
      <c r="M129" s="503"/>
    </row>
    <row r="130" spans="1:102" ht="15" customHeight="1">
      <c r="A130" s="436">
        <f t="shared" si="25"/>
        <v>2032</v>
      </c>
      <c r="B130" s="437">
        <f t="shared" si="24"/>
        <v>25130</v>
      </c>
      <c r="C130" s="520"/>
      <c r="D130" s="508">
        <f t="shared" si="22"/>
        <v>27</v>
      </c>
      <c r="E130" s="521"/>
      <c r="F130" s="468"/>
      <c r="G130" s="451"/>
      <c r="H130" s="451"/>
      <c r="I130" s="443">
        <f t="shared" si="19"/>
        <v>25130</v>
      </c>
      <c r="J130" s="469"/>
      <c r="K130" s="469"/>
      <c r="L130" s="503">
        <f t="shared" si="23"/>
        <v>1.6199999999999999E-2</v>
      </c>
      <c r="M130" s="503"/>
    </row>
    <row r="131" spans="1:102" ht="15" customHeight="1">
      <c r="A131" s="436">
        <f t="shared" si="25"/>
        <v>2033</v>
      </c>
      <c r="B131" s="437">
        <f t="shared" si="24"/>
        <v>25538</v>
      </c>
      <c r="C131" s="520"/>
      <c r="D131" s="508">
        <f t="shared" si="22"/>
        <v>28</v>
      </c>
      <c r="E131" s="521"/>
      <c r="F131" s="468"/>
      <c r="G131" s="451"/>
      <c r="H131" s="451"/>
      <c r="I131" s="443">
        <f t="shared" si="19"/>
        <v>25538</v>
      </c>
      <c r="J131" s="469"/>
      <c r="K131" s="469"/>
      <c r="L131" s="503">
        <f t="shared" si="23"/>
        <v>1.6199999999999999E-2</v>
      </c>
      <c r="M131" s="503"/>
    </row>
    <row r="132" spans="1:102" ht="15" customHeight="1">
      <c r="A132" s="436">
        <f t="shared" si="25"/>
        <v>2034</v>
      </c>
      <c r="B132" s="437">
        <f t="shared" si="24"/>
        <v>25952</v>
      </c>
      <c r="C132" s="520"/>
      <c r="D132" s="508">
        <f t="shared" si="22"/>
        <v>29</v>
      </c>
      <c r="E132" s="521"/>
      <c r="F132" s="468"/>
      <c r="G132" s="451"/>
      <c r="H132" s="451"/>
      <c r="I132" s="443">
        <f t="shared" si="19"/>
        <v>25952</v>
      </c>
      <c r="J132" s="469"/>
      <c r="K132" s="469"/>
      <c r="L132" s="503">
        <f t="shared" si="23"/>
        <v>1.6199999999999999E-2</v>
      </c>
      <c r="M132" s="503"/>
    </row>
    <row r="133" spans="1:102" ht="15" customHeight="1">
      <c r="A133" s="522">
        <f t="shared" si="25"/>
        <v>2035</v>
      </c>
      <c r="B133" s="523">
        <f t="shared" si="24"/>
        <v>26373</v>
      </c>
      <c r="C133" s="524"/>
      <c r="D133" s="525">
        <f t="shared" si="22"/>
        <v>30</v>
      </c>
      <c r="E133" s="526"/>
      <c r="F133" s="527"/>
      <c r="G133" s="426"/>
      <c r="H133" s="426"/>
      <c r="I133" s="528">
        <f t="shared" si="19"/>
        <v>26373</v>
      </c>
      <c r="J133" s="529"/>
      <c r="K133" s="529"/>
      <c r="L133" s="503">
        <f t="shared" si="23"/>
        <v>1.6199999999999999E-2</v>
      </c>
      <c r="M133" s="503"/>
    </row>
    <row r="134" spans="1:102" ht="15" customHeight="1">
      <c r="A134" s="522">
        <f t="shared" si="25"/>
        <v>2036</v>
      </c>
      <c r="B134" s="523">
        <f t="shared" si="24"/>
        <v>26801</v>
      </c>
      <c r="C134" s="524"/>
      <c r="D134" s="525">
        <f t="shared" si="22"/>
        <v>31</v>
      </c>
      <c r="E134" s="526"/>
      <c r="F134" s="527"/>
      <c r="G134" s="426"/>
      <c r="H134" s="426"/>
      <c r="I134" s="528">
        <f t="shared" si="19"/>
        <v>26801</v>
      </c>
      <c r="J134" s="529"/>
      <c r="K134" s="529"/>
      <c r="L134" s="503">
        <f t="shared" si="23"/>
        <v>1.6199999999999999E-2</v>
      </c>
      <c r="M134" s="503"/>
    </row>
    <row r="135" spans="1:102" ht="15" customHeight="1">
      <c r="A135" s="522">
        <f t="shared" si="25"/>
        <v>2037</v>
      </c>
      <c r="B135" s="523">
        <f t="shared" si="24"/>
        <v>27235</v>
      </c>
      <c r="C135" s="524"/>
      <c r="D135" s="525">
        <f t="shared" si="22"/>
        <v>32</v>
      </c>
      <c r="E135" s="526"/>
      <c r="F135" s="527"/>
      <c r="G135" s="426"/>
      <c r="H135" s="426"/>
      <c r="I135" s="528">
        <f t="shared" si="19"/>
        <v>27235</v>
      </c>
      <c r="J135" s="529"/>
      <c r="K135" s="529"/>
      <c r="L135" s="503">
        <f t="shared" si="23"/>
        <v>1.6199999999999999E-2</v>
      </c>
      <c r="M135" s="503"/>
    </row>
    <row r="136" spans="1:102" ht="15" customHeight="1">
      <c r="A136" s="522">
        <f t="shared" si="25"/>
        <v>2038</v>
      </c>
      <c r="B136" s="523">
        <f t="shared" si="24"/>
        <v>27677</v>
      </c>
      <c r="C136" s="524"/>
      <c r="D136" s="525">
        <f t="shared" si="22"/>
        <v>33</v>
      </c>
      <c r="E136" s="526"/>
      <c r="F136" s="527"/>
      <c r="G136" s="426"/>
      <c r="H136" s="426"/>
      <c r="I136" s="528">
        <f t="shared" si="19"/>
        <v>27677</v>
      </c>
      <c r="J136" s="529"/>
      <c r="K136" s="529"/>
      <c r="L136" s="503">
        <f t="shared" si="23"/>
        <v>1.6199999999999999E-2</v>
      </c>
      <c r="M136" s="503"/>
    </row>
    <row r="137" spans="1:102" ht="15" customHeight="1">
      <c r="A137" s="491"/>
      <c r="B137" s="492"/>
      <c r="C137" s="451"/>
      <c r="D137" s="439"/>
      <c r="E137" s="530"/>
      <c r="F137" s="468"/>
      <c r="G137" s="451"/>
      <c r="H137" s="451"/>
      <c r="I137" s="492"/>
      <c r="J137" s="493"/>
      <c r="K137" s="493"/>
      <c r="L137" s="503"/>
      <c r="M137" s="503"/>
    </row>
    <row r="138" spans="1:102" ht="15" customHeight="1">
      <c r="A138" s="491"/>
      <c r="B138" s="492"/>
      <c r="C138" s="451"/>
      <c r="D138" s="439"/>
      <c r="E138" s="530"/>
      <c r="F138" s="468"/>
      <c r="G138" s="451"/>
      <c r="H138" s="451"/>
      <c r="I138" s="492"/>
      <c r="J138" s="493"/>
      <c r="K138" s="493"/>
      <c r="L138" s="503"/>
      <c r="M138" s="503"/>
    </row>
    <row r="139" spans="1:102" ht="15" customHeight="1">
      <c r="A139" s="491"/>
      <c r="B139" s="493"/>
      <c r="C139" s="451"/>
      <c r="D139" s="439"/>
      <c r="E139" s="530"/>
      <c r="F139" s="468"/>
      <c r="G139" s="451"/>
      <c r="H139" s="451"/>
      <c r="I139" s="531"/>
      <c r="J139" s="531"/>
    </row>
    <row r="140" spans="1:102" ht="15" customHeight="1">
      <c r="A140" s="424" t="s">
        <v>307</v>
      </c>
    </row>
    <row r="141" spans="1:102" ht="15" customHeight="1">
      <c r="A141" s="427" t="s">
        <v>264</v>
      </c>
      <c r="B141" s="428" t="s">
        <v>286</v>
      </c>
      <c r="C141" s="429" t="s">
        <v>308</v>
      </c>
      <c r="D141" s="429" t="s">
        <v>287</v>
      </c>
      <c r="E141" s="429" t="s">
        <v>309</v>
      </c>
      <c r="F141" s="496"/>
      <c r="G141" s="430"/>
      <c r="H141" s="432" t="s">
        <v>288</v>
      </c>
      <c r="I141" s="433">
        <f>RSQ(I142:I152,B142:B152)</f>
        <v>0.90478087706930821</v>
      </c>
      <c r="J141" s="434" t="s">
        <v>289</v>
      </c>
      <c r="K141" s="435" t="s">
        <v>290</v>
      </c>
      <c r="M141" s="532" t="s">
        <v>308</v>
      </c>
      <c r="N141" s="431"/>
      <c r="O141" s="432" t="s">
        <v>288</v>
      </c>
      <c r="P141" s="433">
        <f>RSQ($B142:$B152,Q142:Q152)</f>
        <v>0.90160639966099698</v>
      </c>
      <c r="Q141" s="434" t="s">
        <v>310</v>
      </c>
      <c r="R141" s="435" t="s">
        <v>290</v>
      </c>
      <c r="T141" s="532" t="s">
        <v>308</v>
      </c>
      <c r="U141" s="431"/>
      <c r="V141" s="432" t="s">
        <v>288</v>
      </c>
      <c r="W141" s="433">
        <f>RSQ($B142:$B152,X142:X152)</f>
        <v>0.90279670160823522</v>
      </c>
      <c r="X141" s="434" t="s">
        <v>310</v>
      </c>
      <c r="Y141" s="435" t="s">
        <v>290</v>
      </c>
      <c r="AA141" s="532" t="s">
        <v>308</v>
      </c>
      <c r="AB141" s="431"/>
      <c r="AC141" s="432" t="s">
        <v>288</v>
      </c>
      <c r="AD141" s="433">
        <f>RSQ($B142:$B152,AE142:AE152)</f>
        <v>0.9039886110450942</v>
      </c>
      <c r="AE141" s="434" t="s">
        <v>310</v>
      </c>
      <c r="AF141" s="435" t="s">
        <v>290</v>
      </c>
      <c r="AH141" s="532" t="s">
        <v>308</v>
      </c>
      <c r="AI141" s="431"/>
      <c r="AJ141" s="432" t="s">
        <v>288</v>
      </c>
      <c r="AK141" s="433">
        <f>RSQ($B142:$B152,AL142:AL152)</f>
        <v>0.90467501455342936</v>
      </c>
      <c r="AL141" s="434" t="s">
        <v>310</v>
      </c>
      <c r="AM141" s="435" t="s">
        <v>290</v>
      </c>
      <c r="AO141" s="532" t="s">
        <v>308</v>
      </c>
      <c r="AP141" s="431"/>
      <c r="AQ141" s="432" t="s">
        <v>288</v>
      </c>
      <c r="AR141" s="433">
        <f>RSQ($B142:$B152,AS142:AS152)</f>
        <v>0.90155709170777676</v>
      </c>
      <c r="AS141" s="434" t="s">
        <v>310</v>
      </c>
      <c r="AT141" s="435" t="s">
        <v>290</v>
      </c>
      <c r="AV141" s="532" t="s">
        <v>308</v>
      </c>
      <c r="AW141" s="431"/>
      <c r="AX141" s="432" t="s">
        <v>288</v>
      </c>
      <c r="AY141" s="433">
        <f>RSQ($B142:$B152,AZ142:AZ152)</f>
        <v>0.90452349810954735</v>
      </c>
      <c r="AZ141" s="434" t="s">
        <v>310</v>
      </c>
      <c r="BA141" s="435" t="s">
        <v>290</v>
      </c>
      <c r="BC141" s="532" t="s">
        <v>308</v>
      </c>
      <c r="BD141" s="431"/>
      <c r="BE141" s="432" t="s">
        <v>288</v>
      </c>
      <c r="BF141" s="433">
        <f>RSQ($B142:$B152,BG142:BG152)</f>
        <v>0.90453329226063639</v>
      </c>
      <c r="BG141" s="434" t="s">
        <v>310</v>
      </c>
      <c r="BH141" s="435" t="s">
        <v>290</v>
      </c>
      <c r="BJ141" s="532" t="s">
        <v>308</v>
      </c>
      <c r="BK141" s="431"/>
      <c r="BL141" s="432" t="s">
        <v>288</v>
      </c>
      <c r="BM141" s="433">
        <f>RSQ($B142:$B152,BN142:BN152)</f>
        <v>0.90476387854560958</v>
      </c>
      <c r="BN141" s="434" t="s">
        <v>310</v>
      </c>
      <c r="BO141" s="435" t="s">
        <v>290</v>
      </c>
      <c r="BQ141" s="532" t="s">
        <v>308</v>
      </c>
      <c r="BR141" s="431"/>
      <c r="BS141" s="432" t="s">
        <v>288</v>
      </c>
      <c r="BT141" s="433">
        <f>RSQ($B142:$B152,BU142:BU152)</f>
        <v>0.90478087706930821</v>
      </c>
      <c r="BU141" s="434" t="s">
        <v>310</v>
      </c>
      <c r="BV141" s="435" t="s">
        <v>290</v>
      </c>
      <c r="BX141" s="532" t="s">
        <v>308</v>
      </c>
      <c r="BY141" s="431"/>
      <c r="BZ141" s="432" t="s">
        <v>288</v>
      </c>
      <c r="CA141" s="433">
        <f>RSQ($B142:$B152,CB142:CB152)</f>
        <v>0.90477905366024824</v>
      </c>
      <c r="CB141" s="434" t="s">
        <v>310</v>
      </c>
      <c r="CC141" s="435" t="s">
        <v>290</v>
      </c>
      <c r="CE141" s="532" t="s">
        <v>308</v>
      </c>
      <c r="CF141" s="431"/>
      <c r="CG141" s="432" t="s">
        <v>288</v>
      </c>
      <c r="CH141" s="433">
        <f>RSQ($B142:$B152,CI142:CI152)</f>
        <v>0.90438894745761855</v>
      </c>
      <c r="CI141" s="434" t="s">
        <v>310</v>
      </c>
      <c r="CJ141" s="435" t="s">
        <v>290</v>
      </c>
      <c r="CL141" s="532" t="s">
        <v>308</v>
      </c>
      <c r="CM141" s="431"/>
      <c r="CN141" s="432" t="s">
        <v>288</v>
      </c>
      <c r="CO141" s="433">
        <f>RSQ($B142:$B152,CP142:CP152)</f>
        <v>0.90423162860017292</v>
      </c>
      <c r="CP141" s="434" t="s">
        <v>310</v>
      </c>
      <c r="CQ141" s="435" t="s">
        <v>290</v>
      </c>
      <c r="CS141" s="532" t="s">
        <v>308</v>
      </c>
      <c r="CT141" s="431"/>
      <c r="CU141" s="432" t="s">
        <v>288</v>
      </c>
      <c r="CV141" s="433">
        <f>RSQ($B142:$B152,CW142:CW152)</f>
        <v>0.90409836259347509</v>
      </c>
      <c r="CW141" s="434" t="s">
        <v>310</v>
      </c>
      <c r="CX141" s="435" t="s">
        <v>290</v>
      </c>
    </row>
    <row r="142" spans="1:102" ht="15" customHeight="1">
      <c r="A142" s="436">
        <f t="shared" ref="A142:B157" si="26">A104</f>
        <v>2006</v>
      </c>
      <c r="B142" s="437">
        <f t="shared" si="26"/>
        <v>16125</v>
      </c>
      <c r="C142" s="533">
        <f>LN(B142-$G$147)</f>
        <v>7.7514753180214564</v>
      </c>
      <c r="D142" s="438">
        <f t="shared" ref="D142:D174" si="27">C65</f>
        <v>1</v>
      </c>
      <c r="E142" s="534">
        <f>LN(D142)</f>
        <v>0</v>
      </c>
      <c r="F142" s="498" t="s">
        <v>311</v>
      </c>
      <c r="I142" s="502">
        <f t="shared" ref="I142:I174" si="28">ROUND($G$147+$G$150*D142^$G$148,$G$1)</f>
        <v>16119</v>
      </c>
      <c r="J142" s="444">
        <f t="shared" ref="J142:J152" si="29">ABS(B142-I142)/B142*100</f>
        <v>3.7209302325581395E-2</v>
      </c>
      <c r="K142" s="535">
        <f>(B142-I142)^2/1000</f>
        <v>3.5999999999999997E-2</v>
      </c>
      <c r="M142" s="536">
        <f>LN($B142-$O$144)</f>
        <v>8.5418858040066095</v>
      </c>
      <c r="N142" s="331"/>
      <c r="O142" s="331"/>
      <c r="P142" s="331"/>
      <c r="Q142" s="443">
        <f t="shared" ref="Q142:Q152" si="30">ROUND($O$147*D142^$O$145+$O$144,$G$1)</f>
        <v>16040</v>
      </c>
      <c r="R142" s="502">
        <f t="shared" ref="R142:R152" si="31">($B142-Q142)^2/1000</f>
        <v>7.2249999999999996</v>
      </c>
      <c r="T142" s="536">
        <f>LN($B142-$V$144)</f>
        <v>8.3248212987687822</v>
      </c>
      <c r="U142" s="331"/>
      <c r="V142" s="331"/>
      <c r="W142" s="331"/>
      <c r="X142" s="443">
        <f t="shared" ref="X142:X152" si="32">ROUND($V$147*D142^$V$145+$V$144,$G$1)</f>
        <v>16061</v>
      </c>
      <c r="Y142" s="502">
        <f t="shared" ref="Y142:Y152" si="33">($B142-X142)^2/1000</f>
        <v>4.0960000000000001</v>
      </c>
      <c r="AA142" s="536">
        <f>LN($B142-$AC$144)</f>
        <v>8.0471895621705016</v>
      </c>
      <c r="AB142" s="331"/>
      <c r="AC142" s="331"/>
      <c r="AD142" s="331"/>
      <c r="AE142" s="443">
        <f t="shared" ref="AE142:AE152" si="34">ROUND($AC$147*$D142^$AC$145+$AC$144,$G$1)</f>
        <v>16089</v>
      </c>
      <c r="AF142" s="502">
        <f t="shared" ref="AF142:AF152" si="35">($B142-AE142)^2/1000</f>
        <v>1.296</v>
      </c>
      <c r="AH142" s="536">
        <f>LN($B142-$AJ$144)</f>
        <v>7.6615270813585168</v>
      </c>
      <c r="AI142" s="331"/>
      <c r="AJ142" s="331"/>
      <c r="AK142" s="331"/>
      <c r="AL142" s="443">
        <f t="shared" ref="AL142:AL152" si="36">ROUND($AJ$147*$D142^$AJ$145+$AJ$144,$G$1)</f>
        <v>16128</v>
      </c>
      <c r="AM142" s="502">
        <f t="shared" ref="AM142:AM152" si="37">($B142-AL142)^2/1000</f>
        <v>8.9999999999999993E-3</v>
      </c>
      <c r="AO142" s="536">
        <f>LN($B142-$AQ$144)</f>
        <v>7.0255383146385206</v>
      </c>
      <c r="AP142" s="331"/>
      <c r="AQ142" s="331"/>
      <c r="AR142" s="331"/>
      <c r="AS142" s="443">
        <f t="shared" ref="AS142:AS152" si="38">ROUND($AQ$147*$D142^$AQ$145+$AQ$144,$G$1)</f>
        <v>16186</v>
      </c>
      <c r="AT142" s="502">
        <f t="shared" ref="AT142:AT152" si="39">($B142-AS142)^2/1000</f>
        <v>3.7210000000000001</v>
      </c>
      <c r="AV142" s="536">
        <f>LN($B142-$AX$144)</f>
        <v>7.8728361750257241</v>
      </c>
      <c r="AW142" s="331"/>
      <c r="AX142" s="331"/>
      <c r="AY142" s="331"/>
      <c r="AZ142" s="443">
        <f t="shared" ref="AZ142:AZ152" si="40">ROUND($AX$147*$D142^$AX$145+$AX$144,$G$1)</f>
        <v>16107</v>
      </c>
      <c r="BA142" s="502">
        <f t="shared" ref="BA142:BA152" si="41">($B142-AZ142)^2/1000</f>
        <v>0.32400000000000001</v>
      </c>
      <c r="BC142" s="536">
        <f>LN($B142-$BE$144)</f>
        <v>7.8339963417094598</v>
      </c>
      <c r="BD142" s="331"/>
      <c r="BE142" s="331"/>
      <c r="BF142" s="331"/>
      <c r="BG142" s="443">
        <f t="shared" ref="BG142:BG152" si="42">ROUND($BE$147*$D142^$BE$145+$BE$144,$G$1)</f>
        <v>16111</v>
      </c>
      <c r="BH142" s="502">
        <f t="shared" ref="BH142:BH152" si="43">($B142-BG142)^2/1000</f>
        <v>0.19600000000000001</v>
      </c>
      <c r="BJ142" s="536">
        <f>LN($B142-$BL$144)</f>
        <v>7.7935868033715838</v>
      </c>
      <c r="BK142" s="331"/>
      <c r="BL142" s="331"/>
      <c r="BM142" s="331"/>
      <c r="BN142" s="443">
        <f t="shared" ref="BN142:BN152" si="44">ROUND($BL$147*$D142^$BL$145+$BL$144,$G$1)</f>
        <v>16115</v>
      </c>
      <c r="BO142" s="502">
        <f t="shared" ref="BO142:BO152" si="45">($B142-BN142)^2/1000</f>
        <v>0.1</v>
      </c>
      <c r="BQ142" s="536">
        <f>LN($B142-$BS$144)</f>
        <v>7.7514753180214564</v>
      </c>
      <c r="BR142" s="331"/>
      <c r="BS142" s="331"/>
      <c r="BT142" s="331"/>
      <c r="BU142" s="443">
        <f t="shared" ref="BU142:BU152" si="46">ROUND($BS$147*$D142^$BS$145+$BS$144,$G$1)</f>
        <v>16119</v>
      </c>
      <c r="BV142" s="502">
        <f t="shared" ref="BV142:BV152" si="47">($B142-BU142)^2/1000</f>
        <v>3.5999999999999997E-2</v>
      </c>
      <c r="BX142" s="536">
        <f>LN($B142-$BZ$144)</f>
        <v>7.7075121946003406</v>
      </c>
      <c r="BY142" s="331"/>
      <c r="BZ142" s="331"/>
      <c r="CA142" s="331"/>
      <c r="CB142" s="443">
        <f t="shared" ref="CB142:CB152" si="48">ROUND($BZ$147*$D142^$BZ$145+$BZ$144,$G$1)</f>
        <v>16124</v>
      </c>
      <c r="CC142" s="502">
        <f t="shared" ref="CC142:CC152" si="49">($B142-CB142)^2/1000</f>
        <v>1E-3</v>
      </c>
      <c r="CE142" s="536">
        <f>LN($B142-$CG$144)</f>
        <v>7.9102237070973445</v>
      </c>
      <c r="CF142" s="331"/>
      <c r="CG142" s="331"/>
      <c r="CH142" s="331"/>
      <c r="CI142" s="443">
        <f t="shared" ref="CI142:CI152" si="50">ROUND($CG$147*$D142^$CG$145+$CG$144,$G$1)</f>
        <v>16103</v>
      </c>
      <c r="CJ142" s="502">
        <f t="shared" ref="CJ142:CJ152" si="51">($B142-CI142)^2/1000</f>
        <v>0.48399999999999999</v>
      </c>
      <c r="CL142" s="536">
        <f>LN($B142-$CN$144)</f>
        <v>7.9810497596659573</v>
      </c>
      <c r="CM142" s="331"/>
      <c r="CN142" s="331"/>
      <c r="CO142" s="331"/>
      <c r="CP142" s="443">
        <f t="shared" ref="CP142:CP152" si="52">ROUND($CN$147*$D142^$CN$145+$CN$144,$G$1)</f>
        <v>16096</v>
      </c>
      <c r="CQ142" s="502">
        <f t="shared" ref="CQ142:CQ152" si="53">($B142-CP142)^2/1000</f>
        <v>0.84099999999999997</v>
      </c>
      <c r="CS142" s="536">
        <f>LN($B142-$CU$144)</f>
        <v>8.0146663704649423</v>
      </c>
      <c r="CT142" s="331"/>
      <c r="CU142" s="331"/>
      <c r="CV142" s="331"/>
      <c r="CW142" s="443">
        <f t="shared" ref="CW142:CW152" si="54">ROUND($CU$147*$D142^$CU$145+$CU$144,$G$1)</f>
        <v>16092</v>
      </c>
      <c r="CX142" s="502">
        <f t="shared" ref="CX142:CX152" si="55">($B142-CW142)^2/1000</f>
        <v>1.089</v>
      </c>
    </row>
    <row r="143" spans="1:102" ht="15" customHeight="1">
      <c r="A143" s="436">
        <f t="shared" si="26"/>
        <v>2007</v>
      </c>
      <c r="B143" s="437">
        <f t="shared" si="26"/>
        <v>16912</v>
      </c>
      <c r="C143" s="533">
        <f>LN(B143-$G$147)</f>
        <v>8.043020885298283</v>
      </c>
      <c r="D143" s="438">
        <f t="shared" si="27"/>
        <v>2</v>
      </c>
      <c r="E143" s="534">
        <f>LN(D143)</f>
        <v>0.69314718055994529</v>
      </c>
      <c r="F143" s="498"/>
      <c r="I143" s="443">
        <f t="shared" si="28"/>
        <v>16749</v>
      </c>
      <c r="J143" s="446">
        <f>ABS(B143-I143)/B143*100</f>
        <v>0.96381267738883636</v>
      </c>
      <c r="K143" s="535">
        <f>(B143-I143)^2/1000</f>
        <v>26.568999999999999</v>
      </c>
      <c r="M143" s="536">
        <f t="shared" ref="M143:M152" si="56">LN($B143-$O$144)</f>
        <v>8.6847394626280376</v>
      </c>
      <c r="N143" s="451"/>
      <c r="O143" s="451"/>
      <c r="P143" s="451"/>
      <c r="Q143" s="443">
        <f t="shared" si="30"/>
        <v>16772</v>
      </c>
      <c r="R143" s="443">
        <f t="shared" si="31"/>
        <v>19.600000000000001</v>
      </c>
      <c r="T143" s="536">
        <f t="shared" ref="T143:T152" si="57">LN($B143-$V$144)</f>
        <v>8.4994364698269784</v>
      </c>
      <c r="U143" s="451"/>
      <c r="V143" s="451"/>
      <c r="W143" s="451"/>
      <c r="X143" s="443">
        <f t="shared" si="32"/>
        <v>16767</v>
      </c>
      <c r="Y143" s="443">
        <f t="shared" si="33"/>
        <v>21.024999999999999</v>
      </c>
      <c r="AA143" s="536">
        <f t="shared" ref="AA143:AA152" si="58">LN($B143-$AC$144)</f>
        <v>8.2718040311547085</v>
      </c>
      <c r="AB143" s="451"/>
      <c r="AC143" s="451"/>
      <c r="AD143" s="451"/>
      <c r="AE143" s="443">
        <f t="shared" si="34"/>
        <v>16759</v>
      </c>
      <c r="AF143" s="443">
        <f t="shared" si="35"/>
        <v>23.408999999999999</v>
      </c>
      <c r="AH143" s="536">
        <f t="shared" ref="AH143:AH152" si="59">LN($B143-$AJ$144)</f>
        <v>7.9765954093165767</v>
      </c>
      <c r="AI143" s="451"/>
      <c r="AJ143" s="451"/>
      <c r="AK143" s="451"/>
      <c r="AL143" s="443">
        <f t="shared" si="36"/>
        <v>16746</v>
      </c>
      <c r="AM143" s="443">
        <f t="shared" si="37"/>
        <v>27.556000000000001</v>
      </c>
      <c r="AO143" s="536">
        <f t="shared" ref="AO143:AO152" si="60">LN($B143-$AQ$144)</f>
        <v>7.5559050936113463</v>
      </c>
      <c r="AP143" s="451"/>
      <c r="AQ143" s="451"/>
      <c r="AR143" s="451"/>
      <c r="AS143" s="443">
        <f t="shared" si="38"/>
        <v>16714</v>
      </c>
      <c r="AT143" s="443">
        <f t="shared" si="39"/>
        <v>39.204000000000001</v>
      </c>
      <c r="AV143" s="536">
        <f t="shared" ref="AV143:AV152" si="61">LN($B143-$AX$144)</f>
        <v>8.1350539086115692</v>
      </c>
      <c r="AW143" s="451"/>
      <c r="AX143" s="451"/>
      <c r="AY143" s="451"/>
      <c r="AZ143" s="443">
        <f t="shared" si="40"/>
        <v>16754</v>
      </c>
      <c r="BA143" s="443">
        <f t="shared" si="41"/>
        <v>24.963999999999999</v>
      </c>
      <c r="BC143" s="536">
        <f t="shared" ref="BC143:BC152" si="62">LN($B143-$BE$144)</f>
        <v>8.1053075155051495</v>
      </c>
      <c r="BD143" s="451"/>
      <c r="BE143" s="451"/>
      <c r="BF143" s="451"/>
      <c r="BG143" s="443">
        <f t="shared" si="42"/>
        <v>16752</v>
      </c>
      <c r="BH143" s="443">
        <f t="shared" si="43"/>
        <v>25.6</v>
      </c>
      <c r="BJ143" s="536">
        <f t="shared" ref="BJ143:BJ152" si="63">LN($B143-$BL$144)</f>
        <v>8.0746490750666524</v>
      </c>
      <c r="BK143" s="451"/>
      <c r="BL143" s="451"/>
      <c r="BM143" s="451"/>
      <c r="BN143" s="443">
        <f t="shared" si="44"/>
        <v>16751</v>
      </c>
      <c r="BO143" s="443">
        <f t="shared" si="45"/>
        <v>25.920999999999999</v>
      </c>
      <c r="BQ143" s="536">
        <f t="shared" ref="BQ143:BQ152" si="64">LN($B143-$BS$144)</f>
        <v>8.043020885298283</v>
      </c>
      <c r="BR143" s="451"/>
      <c r="BS143" s="451"/>
      <c r="BT143" s="451"/>
      <c r="BU143" s="443">
        <f t="shared" si="46"/>
        <v>16749</v>
      </c>
      <c r="BV143" s="443">
        <f t="shared" si="47"/>
        <v>26.568999999999999</v>
      </c>
      <c r="BX143" s="536">
        <f t="shared" ref="BX143:BX152" si="65">LN($B143-$BZ$144)</f>
        <v>8.0103595889197834</v>
      </c>
      <c r="BY143" s="451"/>
      <c r="BZ143" s="451"/>
      <c r="CA143" s="451"/>
      <c r="CB143" s="443">
        <f t="shared" si="48"/>
        <v>16748</v>
      </c>
      <c r="CC143" s="443">
        <f t="shared" si="49"/>
        <v>26.896000000000001</v>
      </c>
      <c r="CE143" s="536">
        <f t="shared" ref="CE143:CE152" si="66">LN($B143-$CG$144)</f>
        <v>8.1639409547550077</v>
      </c>
      <c r="CF143" s="451"/>
      <c r="CG143" s="451"/>
      <c r="CH143" s="451"/>
      <c r="CI143" s="443">
        <f t="shared" si="50"/>
        <v>16755</v>
      </c>
      <c r="CJ143" s="443">
        <f t="shared" si="51"/>
        <v>24.649000000000001</v>
      </c>
      <c r="CL143" s="536">
        <f t="shared" ref="CL143:CL152" si="67">LN($B143-$CN$144)</f>
        <v>8.2193260939060906</v>
      </c>
      <c r="CM143" s="451"/>
      <c r="CN143" s="451"/>
      <c r="CO143" s="451"/>
      <c r="CP143" s="443">
        <f t="shared" si="52"/>
        <v>16757</v>
      </c>
      <c r="CQ143" s="443">
        <f t="shared" si="53"/>
        <v>24.024999999999999</v>
      </c>
      <c r="CS143" s="536">
        <f t="shared" ref="CS143:CS152" si="68">LN($B143-$CU$144)</f>
        <v>8.2459092647740935</v>
      </c>
      <c r="CT143" s="451"/>
      <c r="CU143" s="451"/>
      <c r="CV143" s="451"/>
      <c r="CW143" s="443">
        <f t="shared" si="54"/>
        <v>16758</v>
      </c>
      <c r="CX143" s="443">
        <f t="shared" si="55"/>
        <v>23.716000000000001</v>
      </c>
    </row>
    <row r="144" spans="1:102" ht="15" customHeight="1">
      <c r="A144" s="436">
        <f t="shared" si="26"/>
        <v>2008</v>
      </c>
      <c r="B144" s="437">
        <f t="shared" si="26"/>
        <v>17123</v>
      </c>
      <c r="C144" s="533">
        <f>LN(B144-$G$147)</f>
        <v>8.1086232683545951</v>
      </c>
      <c r="D144" s="438">
        <f t="shared" si="27"/>
        <v>3</v>
      </c>
      <c r="E144" s="534">
        <f>LN(D144)</f>
        <v>1.0986122886681098</v>
      </c>
      <c r="F144" s="498" t="s">
        <v>312</v>
      </c>
      <c r="I144" s="443">
        <f t="shared" si="28"/>
        <v>17195</v>
      </c>
      <c r="J144" s="446">
        <f>ABS(B144-I144)/B144*100</f>
        <v>0.42048706418267828</v>
      </c>
      <c r="K144" s="535">
        <f>(B144-I144)^2/1000</f>
        <v>5.1840000000000002</v>
      </c>
      <c r="M144" s="536">
        <f t="shared" si="56"/>
        <v>8.7198074514779549</v>
      </c>
      <c r="N144" s="442" t="s">
        <v>313</v>
      </c>
      <c r="O144" s="537">
        <f>F159</f>
        <v>11000</v>
      </c>
      <c r="P144" s="451"/>
      <c r="Q144" s="443">
        <f t="shared" si="30"/>
        <v>17249</v>
      </c>
      <c r="R144" s="443">
        <f t="shared" si="31"/>
        <v>15.875999999999999</v>
      </c>
      <c r="T144" s="536">
        <f t="shared" si="57"/>
        <v>8.5414954839392028</v>
      </c>
      <c r="U144" s="442" t="s">
        <v>313</v>
      </c>
      <c r="V144" s="538">
        <f>F160</f>
        <v>12000</v>
      </c>
      <c r="W144" s="451"/>
      <c r="X144" s="443">
        <f t="shared" si="32"/>
        <v>17236</v>
      </c>
      <c r="Y144" s="443">
        <f t="shared" si="33"/>
        <v>12.769</v>
      </c>
      <c r="AA144" s="536">
        <f t="shared" si="58"/>
        <v>8.3243363327069009</v>
      </c>
      <c r="AB144" s="442" t="s">
        <v>313</v>
      </c>
      <c r="AC144" s="538">
        <f>F161</f>
        <v>13000</v>
      </c>
      <c r="AD144" s="451"/>
      <c r="AE144" s="443">
        <f t="shared" si="34"/>
        <v>17217</v>
      </c>
      <c r="AF144" s="443">
        <f t="shared" si="35"/>
        <v>8.8360000000000003</v>
      </c>
      <c r="AH144" s="536">
        <f t="shared" si="59"/>
        <v>8.0465493572830784</v>
      </c>
      <c r="AI144" s="442" t="s">
        <v>313</v>
      </c>
      <c r="AJ144" s="538">
        <f>F162</f>
        <v>14000</v>
      </c>
      <c r="AK144" s="451"/>
      <c r="AL144" s="443">
        <f t="shared" si="36"/>
        <v>17187</v>
      </c>
      <c r="AM144" s="443">
        <f t="shared" si="37"/>
        <v>4.0960000000000001</v>
      </c>
      <c r="AO144" s="536">
        <f t="shared" si="60"/>
        <v>7.6605854617032563</v>
      </c>
      <c r="AP144" s="442" t="s">
        <v>313</v>
      </c>
      <c r="AQ144" s="538">
        <f>F163</f>
        <v>15000</v>
      </c>
      <c r="AR144" s="451"/>
      <c r="AS144" s="443">
        <f t="shared" si="38"/>
        <v>17126</v>
      </c>
      <c r="AT144" s="443">
        <f t="shared" si="39"/>
        <v>8.9999999999999993E-3</v>
      </c>
      <c r="AV144" s="536">
        <f t="shared" si="61"/>
        <v>8.1950576908950765</v>
      </c>
      <c r="AW144" s="442" t="s">
        <v>313</v>
      </c>
      <c r="AX144" s="538">
        <f>F164</f>
        <v>13500</v>
      </c>
      <c r="AY144" s="538"/>
      <c r="AZ144" s="443">
        <f t="shared" si="40"/>
        <v>17204</v>
      </c>
      <c r="BA144" s="443">
        <f t="shared" si="41"/>
        <v>6.5609999999999999</v>
      </c>
      <c r="BC144" s="536">
        <f t="shared" si="62"/>
        <v>8.1670681783412373</v>
      </c>
      <c r="BD144" s="442" t="s">
        <v>313</v>
      </c>
      <c r="BE144" s="538">
        <f>F165</f>
        <v>13600</v>
      </c>
      <c r="BF144" s="451"/>
      <c r="BG144" s="443">
        <f t="shared" si="42"/>
        <v>17201</v>
      </c>
      <c r="BH144" s="443">
        <f t="shared" si="43"/>
        <v>6.0839999999999996</v>
      </c>
      <c r="BJ144" s="536">
        <f t="shared" si="63"/>
        <v>8.1382726385301858</v>
      </c>
      <c r="BK144" s="442" t="s">
        <v>313</v>
      </c>
      <c r="BL144" s="538">
        <f>F166</f>
        <v>13700</v>
      </c>
      <c r="BM144" s="451"/>
      <c r="BN144" s="443">
        <f t="shared" si="44"/>
        <v>17198</v>
      </c>
      <c r="BO144" s="443">
        <f t="shared" si="45"/>
        <v>5.625</v>
      </c>
      <c r="BQ144" s="536">
        <f t="shared" si="64"/>
        <v>8.1086232683545951</v>
      </c>
      <c r="BR144" s="442" t="s">
        <v>313</v>
      </c>
      <c r="BS144" s="538">
        <f>F167</f>
        <v>13800</v>
      </c>
      <c r="BT144" s="451"/>
      <c r="BU144" s="443">
        <f t="shared" si="46"/>
        <v>17195</v>
      </c>
      <c r="BV144" s="443">
        <f t="shared" si="47"/>
        <v>5.1840000000000002</v>
      </c>
      <c r="BX144" s="536">
        <f t="shared" si="65"/>
        <v>8.0780678818154374</v>
      </c>
      <c r="BY144" s="442" t="s">
        <v>313</v>
      </c>
      <c r="BZ144" s="538">
        <f>F168</f>
        <v>13900</v>
      </c>
      <c r="CA144" s="451"/>
      <c r="CB144" s="443">
        <f t="shared" si="48"/>
        <v>17191</v>
      </c>
      <c r="CC144" s="443">
        <f t="shared" si="49"/>
        <v>4.6239999999999997</v>
      </c>
      <c r="CE144" s="536">
        <f t="shared" si="66"/>
        <v>8.2222850738727171</v>
      </c>
      <c r="CF144" s="442" t="s">
        <v>313</v>
      </c>
      <c r="CG144" s="538">
        <f>F169</f>
        <v>13400</v>
      </c>
      <c r="CH144" s="451"/>
      <c r="CI144" s="443">
        <f t="shared" si="50"/>
        <v>17207</v>
      </c>
      <c r="CJ144" s="443">
        <f t="shared" si="51"/>
        <v>7.056</v>
      </c>
      <c r="CL144" s="536">
        <f t="shared" si="67"/>
        <v>8.2746119462095518</v>
      </c>
      <c r="CM144" s="442" t="s">
        <v>313</v>
      </c>
      <c r="CN144" s="538">
        <f>F170</f>
        <v>13200</v>
      </c>
      <c r="CO144" s="451"/>
      <c r="CP144" s="443">
        <f t="shared" si="52"/>
        <v>17213</v>
      </c>
      <c r="CQ144" s="443">
        <f t="shared" si="53"/>
        <v>8.1</v>
      </c>
      <c r="CS144" s="536">
        <f t="shared" si="68"/>
        <v>8.2997831719497874</v>
      </c>
      <c r="CT144" s="442" t="s">
        <v>313</v>
      </c>
      <c r="CU144" s="538">
        <f>F171</f>
        <v>13100</v>
      </c>
      <c r="CV144" s="451"/>
      <c r="CW144" s="443">
        <f t="shared" si="54"/>
        <v>17215</v>
      </c>
      <c r="CX144" s="443">
        <f t="shared" si="55"/>
        <v>8.4640000000000004</v>
      </c>
    </row>
    <row r="145" spans="1:102" ht="15" customHeight="1">
      <c r="A145" s="436">
        <f t="shared" si="26"/>
        <v>2009</v>
      </c>
      <c r="B145" s="437">
        <f t="shared" si="26"/>
        <v>17334</v>
      </c>
      <c r="C145" s="533">
        <f t="shared" ref="C145:C152" si="69">LN(B145-$G$147)</f>
        <v>8.1701856528796419</v>
      </c>
      <c r="D145" s="438">
        <f t="shared" si="27"/>
        <v>4</v>
      </c>
      <c r="E145" s="534">
        <f t="shared" ref="E145:E152" si="70">LN(D145)</f>
        <v>1.3862943611198906</v>
      </c>
      <c r="F145" s="451" t="s">
        <v>346</v>
      </c>
      <c r="G145" s="539"/>
      <c r="H145" s="439"/>
      <c r="I145" s="443">
        <f t="shared" si="28"/>
        <v>17551</v>
      </c>
      <c r="J145" s="446">
        <f>ABS(B145-I145)/B145*100</f>
        <v>1.2518749278873891</v>
      </c>
      <c r="K145" s="535">
        <f t="shared" ref="K145:K152" si="71">(B145-I145)^2/1000</f>
        <v>47.088999999999999</v>
      </c>
      <c r="M145" s="536">
        <f t="shared" si="56"/>
        <v>8.7536872270985846</v>
      </c>
      <c r="N145" s="442" t="s">
        <v>306</v>
      </c>
      <c r="O145" s="504">
        <f>INDEX(LINEST(M142:M152,$E142:$E152),1)</f>
        <v>0.19568890795361552</v>
      </c>
      <c r="Q145" s="443">
        <f t="shared" si="30"/>
        <v>17610</v>
      </c>
      <c r="R145" s="443">
        <f t="shared" si="31"/>
        <v>76.176000000000002</v>
      </c>
      <c r="T145" s="536">
        <f t="shared" si="57"/>
        <v>8.5818567047419592</v>
      </c>
      <c r="U145" s="442" t="s">
        <v>306</v>
      </c>
      <c r="V145" s="504">
        <f>INDEX(LINEST(T142:T152,$E142:$E152),1)</f>
        <v>0.23138193880827501</v>
      </c>
      <c r="X145" s="443">
        <f t="shared" si="32"/>
        <v>17596</v>
      </c>
      <c r="Y145" s="443">
        <f t="shared" si="33"/>
        <v>68.644000000000005</v>
      </c>
      <c r="AA145" s="536">
        <f t="shared" si="58"/>
        <v>8.3742461820963037</v>
      </c>
      <c r="AB145" s="442" t="s">
        <v>306</v>
      </c>
      <c r="AC145" s="504">
        <f>INDEX(LINEST(AA142:AA152,$E142:$E152),1)</f>
        <v>0.28348950496495384</v>
      </c>
      <c r="AE145" s="443">
        <f t="shared" si="34"/>
        <v>17576</v>
      </c>
      <c r="AF145" s="443">
        <f t="shared" si="35"/>
        <v>58.564</v>
      </c>
      <c r="AH145" s="536">
        <f t="shared" si="59"/>
        <v>8.1119280633107387</v>
      </c>
      <c r="AI145" s="442" t="s">
        <v>306</v>
      </c>
      <c r="AJ145" s="504">
        <f>INDEX(LINEST(AH142:AH152,$E142:$E152),1)</f>
        <v>0.36751618728061558</v>
      </c>
      <c r="AL145" s="443">
        <f t="shared" si="36"/>
        <v>17542</v>
      </c>
      <c r="AM145" s="443">
        <f t="shared" si="37"/>
        <v>43.264000000000003</v>
      </c>
      <c r="AO145" s="536">
        <f t="shared" si="60"/>
        <v>7.7553388128465013</v>
      </c>
      <c r="AP145" s="442" t="s">
        <v>306</v>
      </c>
      <c r="AQ145" s="504">
        <f>INDEX(LINEST(AO142:AO152,$E142:$E152),1)</f>
        <v>0.53100091030682628</v>
      </c>
      <c r="AS145" s="443">
        <f t="shared" si="38"/>
        <v>17477</v>
      </c>
      <c r="AT145" s="443">
        <f t="shared" si="39"/>
        <v>20.449000000000002</v>
      </c>
      <c r="AV145" s="536">
        <f t="shared" si="61"/>
        <v>8.2516639236055891</v>
      </c>
      <c r="AW145" s="442" t="s">
        <v>306</v>
      </c>
      <c r="AX145" s="504">
        <f>INDEX(LINEST(AV142:AV152,$E142:$E152),1)</f>
        <v>0.31985855496979515</v>
      </c>
      <c r="AZ145" s="443">
        <f t="shared" si="40"/>
        <v>17561</v>
      </c>
      <c r="BA145" s="443">
        <f t="shared" si="41"/>
        <v>51.529000000000003</v>
      </c>
      <c r="BC145" s="536">
        <f t="shared" si="62"/>
        <v>8.2252353241016678</v>
      </c>
      <c r="BD145" s="442" t="s">
        <v>306</v>
      </c>
      <c r="BE145" s="504">
        <f>INDEX(LINEST(BC142:BC152,$E142:$E152),1)</f>
        <v>0.3283309399205806</v>
      </c>
      <c r="BG145" s="443">
        <f t="shared" si="42"/>
        <v>17558</v>
      </c>
      <c r="BH145" s="443">
        <f t="shared" si="43"/>
        <v>50.176000000000002</v>
      </c>
      <c r="BJ145" s="536">
        <f t="shared" si="63"/>
        <v>8.1980892489561157</v>
      </c>
      <c r="BK145" s="442" t="s">
        <v>306</v>
      </c>
      <c r="BL145" s="504">
        <f>INDEX(LINEST(BJ142:BJ152,$E142:$E152),1)</f>
        <v>0.33728542970598097</v>
      </c>
      <c r="BN145" s="443">
        <f t="shared" si="44"/>
        <v>17554</v>
      </c>
      <c r="BO145" s="443">
        <f t="shared" si="45"/>
        <v>48.4</v>
      </c>
      <c r="BQ145" s="536">
        <f t="shared" si="64"/>
        <v>8.1701856528796419</v>
      </c>
      <c r="BR145" s="442" t="s">
        <v>306</v>
      </c>
      <c r="BS145" s="504">
        <f>INDEX(LINEST(BQ142:BQ152,$E142:$E152),1)</f>
        <v>0.34676643207031249</v>
      </c>
      <c r="BU145" s="443">
        <f t="shared" si="46"/>
        <v>17551</v>
      </c>
      <c r="BV145" s="443">
        <f t="shared" si="47"/>
        <v>47.088999999999999</v>
      </c>
      <c r="BX145" s="536">
        <f t="shared" si="65"/>
        <v>8.1414810414574212</v>
      </c>
      <c r="BY145" s="442" t="s">
        <v>306</v>
      </c>
      <c r="BZ145" s="504">
        <f>INDEX(LINEST(BX142:BX152,$E142:$E152),1)</f>
        <v>0.35682425845527255</v>
      </c>
      <c r="CB145" s="443">
        <f t="shared" si="48"/>
        <v>17547</v>
      </c>
      <c r="CC145" s="443">
        <f t="shared" si="49"/>
        <v>45.369</v>
      </c>
      <c r="CE145" s="536">
        <f t="shared" si="66"/>
        <v>8.2774119989490043</v>
      </c>
      <c r="CF145" s="442" t="s">
        <v>306</v>
      </c>
      <c r="CG145" s="504">
        <f>INDEX(LINEST(CE142:CE152,$E142:$E152),1)</f>
        <v>0.31182890183859696</v>
      </c>
      <c r="CI145" s="443">
        <f t="shared" si="50"/>
        <v>17565</v>
      </c>
      <c r="CJ145" s="443">
        <f t="shared" si="51"/>
        <v>53.360999999999997</v>
      </c>
      <c r="CL145" s="536">
        <f t="shared" si="67"/>
        <v>8.3270007402417132</v>
      </c>
      <c r="CM145" s="442" t="s">
        <v>306</v>
      </c>
      <c r="CN145" s="504">
        <f>INDEX(LINEST(CL142:CL152,$E142:$E152),1)</f>
        <v>0.29696129983617259</v>
      </c>
      <c r="CP145" s="443">
        <f t="shared" si="52"/>
        <v>17570</v>
      </c>
      <c r="CQ145" s="443">
        <f t="shared" si="53"/>
        <v>55.695999999999998</v>
      </c>
      <c r="CS145" s="536">
        <f t="shared" si="68"/>
        <v>8.3509024516948109</v>
      </c>
      <c r="CT145" s="442" t="s">
        <v>306</v>
      </c>
      <c r="CU145" s="504">
        <f>INDEX(LINEST(CS142:CS152,$E142:$E152),1)</f>
        <v>0.29006392197098468</v>
      </c>
      <c r="CW145" s="443">
        <f t="shared" si="54"/>
        <v>17573</v>
      </c>
      <c r="CX145" s="443">
        <f t="shared" si="55"/>
        <v>57.121000000000002</v>
      </c>
    </row>
    <row r="146" spans="1:102" ht="15" customHeight="1">
      <c r="A146" s="436">
        <f t="shared" si="26"/>
        <v>2010</v>
      </c>
      <c r="B146" s="437">
        <f t="shared" si="26"/>
        <v>17604</v>
      </c>
      <c r="C146" s="533">
        <f t="shared" si="69"/>
        <v>8.2438084236652802</v>
      </c>
      <c r="D146" s="438">
        <f t="shared" si="27"/>
        <v>5</v>
      </c>
      <c r="E146" s="534">
        <f t="shared" si="70"/>
        <v>1.6094379124341003</v>
      </c>
      <c r="I146" s="443">
        <f t="shared" si="28"/>
        <v>17852</v>
      </c>
      <c r="J146" s="446">
        <f>ABS(B146-I146)/B146*100</f>
        <v>1.408770733924108</v>
      </c>
      <c r="K146" s="443">
        <f t="shared" si="71"/>
        <v>61.503999999999998</v>
      </c>
      <c r="M146" s="536">
        <f t="shared" si="56"/>
        <v>8.7954308050400183</v>
      </c>
      <c r="N146" s="442" t="s">
        <v>301</v>
      </c>
      <c r="O146" s="442" t="s">
        <v>347</v>
      </c>
      <c r="P146" s="504">
        <f>INDEX(LINEST(M142:M152,$E142:$E152),2)</f>
        <v>8.525113908684629</v>
      </c>
      <c r="Q146" s="443">
        <f t="shared" si="30"/>
        <v>17905</v>
      </c>
      <c r="R146" s="443">
        <f t="shared" si="31"/>
        <v>90.600999999999999</v>
      </c>
      <c r="T146" s="536">
        <f t="shared" si="57"/>
        <v>8.6312359074568974</v>
      </c>
      <c r="U146" s="442" t="s">
        <v>301</v>
      </c>
      <c r="V146" s="442" t="s">
        <v>347</v>
      </c>
      <c r="W146" s="504">
        <f>INDEX(LINEST(T142:T152,$E142:$E152),2)</f>
        <v>8.3090987300803363</v>
      </c>
      <c r="X146" s="443">
        <f t="shared" si="32"/>
        <v>17893</v>
      </c>
      <c r="Y146" s="443">
        <f t="shared" si="33"/>
        <v>83.521000000000001</v>
      </c>
      <c r="AA146" s="536">
        <f t="shared" si="58"/>
        <v>8.4346807698417727</v>
      </c>
      <c r="AB146" s="442" t="s">
        <v>301</v>
      </c>
      <c r="AC146" s="442" t="s">
        <v>347</v>
      </c>
      <c r="AD146" s="504">
        <f>INDEX(LINEST(AA142:AA152,$E142:$E152),2)</f>
        <v>8.0355211223740319</v>
      </c>
      <c r="AE146" s="443">
        <f t="shared" si="34"/>
        <v>17875</v>
      </c>
      <c r="AF146" s="443">
        <f t="shared" si="35"/>
        <v>73.441000000000003</v>
      </c>
      <c r="AH146" s="536">
        <f t="shared" si="59"/>
        <v>8.1897996187282285</v>
      </c>
      <c r="AI146" s="442" t="s">
        <v>301</v>
      </c>
      <c r="AJ146" s="442" t="s">
        <v>347</v>
      </c>
      <c r="AK146" s="504">
        <f>INDEX(LINEST(AH142:AH152,$E142:$E152),2)</f>
        <v>7.6630740854645056</v>
      </c>
      <c r="AL146" s="443">
        <f t="shared" si="36"/>
        <v>17845</v>
      </c>
      <c r="AM146" s="443">
        <f t="shared" si="37"/>
        <v>58.081000000000003</v>
      </c>
      <c r="AO146" s="536">
        <f t="shared" si="60"/>
        <v>7.8648040033284596</v>
      </c>
      <c r="AP146" s="442" t="s">
        <v>301</v>
      </c>
      <c r="AQ146" s="442" t="s">
        <v>347</v>
      </c>
      <c r="AR146" s="504">
        <f>INDEX(LINEST(AO142:AO152,$E142:$E152),2)</f>
        <v>7.0785621087611252</v>
      </c>
      <c r="AS146" s="443">
        <f t="shared" si="38"/>
        <v>17788</v>
      </c>
      <c r="AT146" s="443">
        <f t="shared" si="39"/>
        <v>33.856000000000002</v>
      </c>
      <c r="AV146" s="536">
        <f t="shared" si="61"/>
        <v>8.3197173868506056</v>
      </c>
      <c r="AW146" s="442" t="s">
        <v>301</v>
      </c>
      <c r="AX146" s="442" t="s">
        <v>347</v>
      </c>
      <c r="AY146" s="504">
        <f>INDEX(LINEST(AV142:AV152,$E142:$E152),2)</f>
        <v>7.865847271155185</v>
      </c>
      <c r="AZ146" s="443">
        <f t="shared" si="40"/>
        <v>17862</v>
      </c>
      <c r="BA146" s="443">
        <f t="shared" si="41"/>
        <v>66.563999999999993</v>
      </c>
      <c r="BC146" s="536">
        <f t="shared" si="62"/>
        <v>8.2950491404351112</v>
      </c>
      <c r="BD146" s="442" t="s">
        <v>301</v>
      </c>
      <c r="BE146" s="442" t="s">
        <v>347</v>
      </c>
      <c r="BF146" s="504">
        <f>INDEX(LINEST(BC142:BC152,$E142:$E152),2)</f>
        <v>7.8283228893966799</v>
      </c>
      <c r="BG146" s="443">
        <f t="shared" si="42"/>
        <v>17859</v>
      </c>
      <c r="BH146" s="443">
        <f t="shared" si="43"/>
        <v>65.025000000000006</v>
      </c>
      <c r="BJ146" s="536">
        <f t="shared" si="63"/>
        <v>8.2697569475329828</v>
      </c>
      <c r="BK146" s="442" t="s">
        <v>301</v>
      </c>
      <c r="BL146" s="442" t="s">
        <v>347</v>
      </c>
      <c r="BM146" s="504">
        <f>INDEX(LINEST(BJ142:BJ152,$E142:$E152),2)</f>
        <v>7.7893977596778887</v>
      </c>
      <c r="BN146" s="443">
        <f t="shared" si="44"/>
        <v>17856</v>
      </c>
      <c r="BO146" s="443">
        <f t="shared" si="45"/>
        <v>63.503999999999998</v>
      </c>
      <c r="BQ146" s="536">
        <f t="shared" si="64"/>
        <v>8.2438084236652802</v>
      </c>
      <c r="BR146" s="442" t="s">
        <v>301</v>
      </c>
      <c r="BS146" s="442" t="s">
        <v>347</v>
      </c>
      <c r="BT146" s="504">
        <f>INDEX(LINEST(BQ142:BQ152,$E142:$E152),2)</f>
        <v>7.7489642265530083</v>
      </c>
      <c r="BU146" s="443">
        <f t="shared" si="46"/>
        <v>17852</v>
      </c>
      <c r="BV146" s="443">
        <f t="shared" si="47"/>
        <v>61.503999999999998</v>
      </c>
      <c r="BX146" s="536">
        <f t="shared" si="65"/>
        <v>8.2171685957660703</v>
      </c>
      <c r="BY146" s="442" t="s">
        <v>301</v>
      </c>
      <c r="BZ146" s="442" t="s">
        <v>347</v>
      </c>
      <c r="CA146" s="504">
        <f>INDEX(LINEST(BX142:BX152,$E142:$E152),2)</f>
        <v>7.7069016292626991</v>
      </c>
      <c r="CB146" s="443">
        <f t="shared" si="48"/>
        <v>17849</v>
      </c>
      <c r="CC146" s="443">
        <f t="shared" si="49"/>
        <v>60.024999999999999</v>
      </c>
      <c r="CE146" s="536">
        <f t="shared" si="66"/>
        <v>8.3437917319968413</v>
      </c>
      <c r="CF146" s="442" t="s">
        <v>301</v>
      </c>
      <c r="CG146" s="442" t="s">
        <v>347</v>
      </c>
      <c r="CH146" s="504">
        <f>INDEX(LINEST(CE142:CE152,$E142:$E152),2)</f>
        <v>7.9020673777748369</v>
      </c>
      <c r="CI146" s="443">
        <f t="shared" si="50"/>
        <v>17865</v>
      </c>
      <c r="CJ146" s="443">
        <f t="shared" si="51"/>
        <v>68.120999999999995</v>
      </c>
      <c r="CL146" s="536">
        <f t="shared" si="67"/>
        <v>8.3902684978425714</v>
      </c>
      <c r="CM146" s="442" t="s">
        <v>301</v>
      </c>
      <c r="CN146" s="442" t="s">
        <v>347</v>
      </c>
      <c r="CO146" s="504">
        <f>INDEX(LINEST(CL142:CL152,$E142:$E152),2)</f>
        <v>7.9709335598620177</v>
      </c>
      <c r="CP146" s="443">
        <f t="shared" si="52"/>
        <v>17870</v>
      </c>
      <c r="CQ146" s="443">
        <f t="shared" si="53"/>
        <v>70.756</v>
      </c>
      <c r="CS146" s="536">
        <f t="shared" si="68"/>
        <v>8.4127211698195268</v>
      </c>
      <c r="CT146" s="442" t="s">
        <v>301</v>
      </c>
      <c r="CU146" s="442" t="s">
        <v>347</v>
      </c>
      <c r="CV146" s="504">
        <f>INDEX(LINEST(CS142:CS152,$E142:$E152),2)</f>
        <v>8.0037290676286137</v>
      </c>
      <c r="CW146" s="443">
        <f t="shared" si="54"/>
        <v>17872</v>
      </c>
      <c r="CX146" s="443">
        <f t="shared" si="55"/>
        <v>71.823999999999998</v>
      </c>
    </row>
    <row r="147" spans="1:102" ht="15" customHeight="1">
      <c r="A147" s="436">
        <f t="shared" si="26"/>
        <v>2011</v>
      </c>
      <c r="B147" s="437">
        <f t="shared" si="26"/>
        <v>17831</v>
      </c>
      <c r="C147" s="533">
        <f t="shared" si="69"/>
        <v>8.3017697631171661</v>
      </c>
      <c r="D147" s="438">
        <f t="shared" si="27"/>
        <v>6</v>
      </c>
      <c r="E147" s="534">
        <f t="shared" si="70"/>
        <v>1.791759469228055</v>
      </c>
      <c r="F147" s="540" t="s">
        <v>313</v>
      </c>
      <c r="G147" s="541">
        <f>INDEX(F159:L171,MATCH(1,L159:L171,0),1)</f>
        <v>13800</v>
      </c>
      <c r="H147" s="439"/>
      <c r="I147" s="443">
        <f t="shared" si="28"/>
        <v>18117</v>
      </c>
      <c r="J147" s="446">
        <f t="shared" si="29"/>
        <v>1.6039481801357187</v>
      </c>
      <c r="K147" s="443">
        <f t="shared" si="71"/>
        <v>81.796000000000006</v>
      </c>
      <c r="M147" s="536">
        <f t="shared" si="56"/>
        <v>8.8292263547318495</v>
      </c>
      <c r="N147" s="442" t="s">
        <v>305</v>
      </c>
      <c r="O147" s="542">
        <f>EXP(P146)</f>
        <v>5039.7608456751086</v>
      </c>
      <c r="P147" s="451"/>
      <c r="Q147" s="443">
        <f t="shared" si="30"/>
        <v>18156</v>
      </c>
      <c r="R147" s="443">
        <f t="shared" si="31"/>
        <v>105.625</v>
      </c>
      <c r="T147" s="536">
        <f t="shared" si="57"/>
        <v>8.6709437912221556</v>
      </c>
      <c r="U147" s="442" t="s">
        <v>305</v>
      </c>
      <c r="V147" s="542">
        <f>EXP(W146)</f>
        <v>4060.6515908687388</v>
      </c>
      <c r="W147" s="504"/>
      <c r="X147" s="443">
        <f t="shared" si="32"/>
        <v>18147</v>
      </c>
      <c r="Y147" s="443">
        <f t="shared" si="33"/>
        <v>99.855999999999995</v>
      </c>
      <c r="AA147" s="536">
        <f t="shared" si="58"/>
        <v>8.4828087645544059</v>
      </c>
      <c r="AB147" s="442" t="s">
        <v>305</v>
      </c>
      <c r="AC147" s="542">
        <f>EXP(AD146)</f>
        <v>3088.7480388643289</v>
      </c>
      <c r="AD147" s="451"/>
      <c r="AE147" s="443">
        <f t="shared" si="34"/>
        <v>18133</v>
      </c>
      <c r="AF147" s="443">
        <f t="shared" si="35"/>
        <v>91.203999999999994</v>
      </c>
      <c r="AH147" s="536">
        <f t="shared" si="59"/>
        <v>8.2508811447006494</v>
      </c>
      <c r="AI147" s="442" t="s">
        <v>305</v>
      </c>
      <c r="AJ147" s="542">
        <f>EXP(AK146)</f>
        <v>2128.2899278350328</v>
      </c>
      <c r="AK147" s="451"/>
      <c r="AL147" s="443">
        <f t="shared" si="36"/>
        <v>18112</v>
      </c>
      <c r="AM147" s="443">
        <f t="shared" si="37"/>
        <v>78.960999999999999</v>
      </c>
      <c r="AO147" s="536">
        <f t="shared" si="60"/>
        <v>7.9483852851118995</v>
      </c>
      <c r="AP147" s="442" t="s">
        <v>305</v>
      </c>
      <c r="AQ147" s="542">
        <f>EXP(AR146)</f>
        <v>1186.261576476863</v>
      </c>
      <c r="AR147" s="451"/>
      <c r="AS147" s="443">
        <f t="shared" si="38"/>
        <v>18072</v>
      </c>
      <c r="AT147" s="443">
        <f t="shared" si="39"/>
        <v>58.081000000000003</v>
      </c>
      <c r="AV147" s="536">
        <f t="shared" si="61"/>
        <v>8.3735537412146268</v>
      </c>
      <c r="AW147" s="442" t="s">
        <v>305</v>
      </c>
      <c r="AX147" s="542">
        <f>EXP(AY146)</f>
        <v>2606.7180870206294</v>
      </c>
      <c r="AY147" s="451"/>
      <c r="AZ147" s="443">
        <f t="shared" si="40"/>
        <v>18124</v>
      </c>
      <c r="BA147" s="443">
        <f t="shared" si="41"/>
        <v>85.849000000000004</v>
      </c>
      <c r="BC147" s="536">
        <f t="shared" si="62"/>
        <v>8.3501936507200671</v>
      </c>
      <c r="BD147" s="442" t="s">
        <v>305</v>
      </c>
      <c r="BE147" s="542">
        <f>EXP(BF146)</f>
        <v>2510.7150935948039</v>
      </c>
      <c r="BF147" s="451"/>
      <c r="BG147" s="443">
        <f t="shared" si="42"/>
        <v>18122</v>
      </c>
      <c r="BH147" s="443">
        <f t="shared" si="43"/>
        <v>84.680999999999997</v>
      </c>
      <c r="BJ147" s="536">
        <f t="shared" si="63"/>
        <v>8.3262747873967644</v>
      </c>
      <c r="BK147" s="442" t="s">
        <v>305</v>
      </c>
      <c r="BL147" s="542">
        <f>EXP(BM146)</f>
        <v>2414.862816419276</v>
      </c>
      <c r="BM147" s="451"/>
      <c r="BN147" s="443">
        <f t="shared" si="44"/>
        <v>18119</v>
      </c>
      <c r="BO147" s="443">
        <f t="shared" si="45"/>
        <v>82.944000000000003</v>
      </c>
      <c r="BQ147" s="536">
        <f t="shared" si="64"/>
        <v>8.3017697631171661</v>
      </c>
      <c r="BR147" s="442" t="s">
        <v>305</v>
      </c>
      <c r="BS147" s="542">
        <f>EXP(BT146)</f>
        <v>2319.169036441247</v>
      </c>
      <c r="BT147" s="451"/>
      <c r="BU147" s="443">
        <f t="shared" si="46"/>
        <v>18117</v>
      </c>
      <c r="BV147" s="443">
        <f t="shared" si="47"/>
        <v>81.796000000000006</v>
      </c>
      <c r="BX147" s="536">
        <f t="shared" si="65"/>
        <v>8.2766491254218604</v>
      </c>
      <c r="BY147" s="442" t="s">
        <v>305</v>
      </c>
      <c r="BZ147" s="542">
        <f>EXP(CA146)</f>
        <v>2223.6419067682641</v>
      </c>
      <c r="CA147" s="451"/>
      <c r="CB147" s="443">
        <f t="shared" si="48"/>
        <v>18114</v>
      </c>
      <c r="CC147" s="443">
        <f t="shared" si="49"/>
        <v>80.088999999999999</v>
      </c>
      <c r="CE147" s="536">
        <f t="shared" si="66"/>
        <v>8.3963805711994901</v>
      </c>
      <c r="CF147" s="442" t="s">
        <v>305</v>
      </c>
      <c r="CG147" s="542">
        <f>EXP(CH146)</f>
        <v>2702.8643979416506</v>
      </c>
      <c r="CH147" s="451"/>
      <c r="CI147" s="443">
        <f t="shared" si="50"/>
        <v>18126</v>
      </c>
      <c r="CJ147" s="443">
        <f t="shared" si="51"/>
        <v>87.025000000000006</v>
      </c>
      <c r="CL147" s="536">
        <f t="shared" si="67"/>
        <v>8.4405281064807518</v>
      </c>
      <c r="CM147" s="442" t="s">
        <v>305</v>
      </c>
      <c r="CN147" s="542">
        <f>EXP(CO146)</f>
        <v>2895.5592807463504</v>
      </c>
      <c r="CO147" s="451"/>
      <c r="CP147" s="443">
        <f t="shared" si="52"/>
        <v>18130</v>
      </c>
      <c r="CQ147" s="443">
        <f t="shared" si="53"/>
        <v>89.400999999999996</v>
      </c>
      <c r="CS147" s="536">
        <f t="shared" si="68"/>
        <v>8.4618918756311476</v>
      </c>
      <c r="CT147" s="442" t="s">
        <v>305</v>
      </c>
      <c r="CU147" s="542">
        <f>EXP(CV146)</f>
        <v>2992.0949332805026</v>
      </c>
      <c r="CV147" s="451"/>
      <c r="CW147" s="443">
        <f t="shared" si="54"/>
        <v>18131</v>
      </c>
      <c r="CX147" s="443">
        <f t="shared" si="55"/>
        <v>90</v>
      </c>
    </row>
    <row r="148" spans="1:102" ht="15" customHeight="1">
      <c r="A148" s="436">
        <f t="shared" si="26"/>
        <v>2012</v>
      </c>
      <c r="B148" s="437">
        <f t="shared" si="26"/>
        <v>18702</v>
      </c>
      <c r="C148" s="533">
        <f t="shared" si="69"/>
        <v>8.4973985640880585</v>
      </c>
      <c r="D148" s="438">
        <f t="shared" si="27"/>
        <v>7</v>
      </c>
      <c r="E148" s="534">
        <f t="shared" si="70"/>
        <v>1.9459101490553132</v>
      </c>
      <c r="F148" s="540" t="s">
        <v>306</v>
      </c>
      <c r="G148" s="504">
        <f>INDEX(LINEST(C142:C152,E142:E152),1)</f>
        <v>0.34676643207031249</v>
      </c>
      <c r="H148" s="439"/>
      <c r="I148" s="443">
        <f t="shared" si="28"/>
        <v>18354</v>
      </c>
      <c r="J148" s="446">
        <f t="shared" si="29"/>
        <v>1.8607635547000321</v>
      </c>
      <c r="K148" s="443">
        <f t="shared" si="71"/>
        <v>121.104</v>
      </c>
      <c r="M148" s="536">
        <f t="shared" si="56"/>
        <v>8.9492353143748549</v>
      </c>
      <c r="Q148" s="443">
        <f t="shared" si="30"/>
        <v>18375</v>
      </c>
      <c r="R148" s="443">
        <f t="shared" si="31"/>
        <v>106.929</v>
      </c>
      <c r="T148" s="536">
        <f t="shared" si="57"/>
        <v>8.8101612682972554</v>
      </c>
      <c r="W148" s="451"/>
      <c r="X148" s="443">
        <f t="shared" si="32"/>
        <v>18370</v>
      </c>
      <c r="Y148" s="443">
        <f t="shared" si="33"/>
        <v>110.224</v>
      </c>
      <c r="AA148" s="536">
        <f t="shared" si="58"/>
        <v>8.6485722694726181</v>
      </c>
      <c r="AD148" s="451"/>
      <c r="AE148" s="443">
        <f t="shared" si="34"/>
        <v>18362</v>
      </c>
      <c r="AF148" s="443">
        <f t="shared" si="35"/>
        <v>115.6</v>
      </c>
      <c r="AH148" s="536">
        <f t="shared" si="59"/>
        <v>8.4557432291000154</v>
      </c>
      <c r="AK148" s="451"/>
      <c r="AL148" s="443">
        <f t="shared" si="36"/>
        <v>18351</v>
      </c>
      <c r="AM148" s="443">
        <f t="shared" si="37"/>
        <v>123.20099999999999</v>
      </c>
      <c r="AO148" s="536">
        <f t="shared" si="60"/>
        <v>8.2166284931334435</v>
      </c>
      <c r="AR148" s="451"/>
      <c r="AS148" s="443">
        <f t="shared" si="38"/>
        <v>18334</v>
      </c>
      <c r="AT148" s="443">
        <f t="shared" si="39"/>
        <v>135.42400000000001</v>
      </c>
      <c r="AV148" s="536">
        <f t="shared" si="61"/>
        <v>8.5567984460085977</v>
      </c>
      <c r="AY148" s="451"/>
      <c r="AZ148" s="443">
        <f t="shared" si="40"/>
        <v>18357</v>
      </c>
      <c r="BA148" s="443">
        <f t="shared" si="41"/>
        <v>119.02500000000001</v>
      </c>
      <c r="BC148" s="536">
        <f t="shared" si="62"/>
        <v>8.5373878987017573</v>
      </c>
      <c r="BF148" s="451"/>
      <c r="BG148" s="443">
        <f t="shared" si="42"/>
        <v>18356</v>
      </c>
      <c r="BH148" s="443">
        <f t="shared" si="43"/>
        <v>119.71599999999999</v>
      </c>
      <c r="BJ148" s="536">
        <f t="shared" si="63"/>
        <v>8.5175931114375647</v>
      </c>
      <c r="BM148" s="451"/>
      <c r="BN148" s="443">
        <f t="shared" si="44"/>
        <v>18355</v>
      </c>
      <c r="BO148" s="443">
        <f t="shared" si="45"/>
        <v>120.40900000000001</v>
      </c>
      <c r="BQ148" s="536">
        <f t="shared" si="64"/>
        <v>8.4973985640880585</v>
      </c>
      <c r="BT148" s="451"/>
      <c r="BU148" s="443">
        <f t="shared" si="46"/>
        <v>18354</v>
      </c>
      <c r="BV148" s="443">
        <f t="shared" si="47"/>
        <v>121.104</v>
      </c>
      <c r="BX148" s="536">
        <f t="shared" si="65"/>
        <v>8.4767877767811992</v>
      </c>
      <c r="CA148" s="451"/>
      <c r="CB148" s="443">
        <f t="shared" si="48"/>
        <v>18353</v>
      </c>
      <c r="CC148" s="443">
        <f t="shared" si="49"/>
        <v>121.801</v>
      </c>
      <c r="CE148" s="536">
        <f t="shared" si="66"/>
        <v>8.5758393868489708</v>
      </c>
      <c r="CH148" s="451"/>
      <c r="CI148" s="443">
        <f t="shared" si="50"/>
        <v>18358</v>
      </c>
      <c r="CJ148" s="443">
        <f t="shared" si="51"/>
        <v>118.336</v>
      </c>
      <c r="CL148" s="536">
        <f t="shared" si="67"/>
        <v>8.6128669414845191</v>
      </c>
      <c r="CO148" s="451"/>
      <c r="CP148" s="443">
        <f t="shared" si="52"/>
        <v>18361</v>
      </c>
      <c r="CQ148" s="443">
        <f t="shared" si="53"/>
        <v>116.28100000000001</v>
      </c>
      <c r="CS148" s="536">
        <f t="shared" si="68"/>
        <v>8.6308789558200534</v>
      </c>
      <c r="CV148" s="451"/>
      <c r="CW148" s="443">
        <f t="shared" si="54"/>
        <v>18361</v>
      </c>
      <c r="CX148" s="443">
        <f t="shared" si="55"/>
        <v>116.28100000000001</v>
      </c>
    </row>
    <row r="149" spans="1:102" ht="15" customHeight="1">
      <c r="A149" s="436">
        <f t="shared" si="26"/>
        <v>2013</v>
      </c>
      <c r="B149" s="437">
        <f t="shared" si="26"/>
        <v>19159</v>
      </c>
      <c r="C149" s="533">
        <f t="shared" si="69"/>
        <v>8.5865326694948507</v>
      </c>
      <c r="D149" s="438">
        <f t="shared" si="27"/>
        <v>8</v>
      </c>
      <c r="E149" s="543">
        <f t="shared" si="70"/>
        <v>2.0794415416798357</v>
      </c>
      <c r="F149" s="540" t="s">
        <v>301</v>
      </c>
      <c r="G149" s="504">
        <f>INDEX(LINEST(C142:C152,E142:E152),2)</f>
        <v>7.7489642265530083</v>
      </c>
      <c r="H149" s="544" t="s">
        <v>320</v>
      </c>
      <c r="I149" s="443">
        <f t="shared" si="28"/>
        <v>18570</v>
      </c>
      <c r="J149" s="446">
        <f t="shared" si="29"/>
        <v>3.074273187535884</v>
      </c>
      <c r="K149" s="443">
        <f t="shared" si="71"/>
        <v>346.92099999999999</v>
      </c>
      <c r="M149" s="536">
        <f t="shared" si="56"/>
        <v>9.0068768914287993</v>
      </c>
      <c r="P149" s="451"/>
      <c r="Q149" s="443">
        <f t="shared" si="30"/>
        <v>18571</v>
      </c>
      <c r="R149" s="443">
        <f t="shared" si="31"/>
        <v>345.74400000000003</v>
      </c>
      <c r="T149" s="536">
        <f t="shared" si="57"/>
        <v>8.8761255853961849</v>
      </c>
      <c r="W149" s="451"/>
      <c r="X149" s="443">
        <f t="shared" si="32"/>
        <v>18570</v>
      </c>
      <c r="Y149" s="443">
        <f t="shared" si="33"/>
        <v>346.92099999999999</v>
      </c>
      <c r="AA149" s="536">
        <f t="shared" si="58"/>
        <v>8.7256697056870429</v>
      </c>
      <c r="AD149" s="451"/>
      <c r="AE149" s="443">
        <f t="shared" si="34"/>
        <v>18569</v>
      </c>
      <c r="AF149" s="443">
        <f t="shared" si="35"/>
        <v>348.1</v>
      </c>
      <c r="AH149" s="536">
        <f t="shared" si="59"/>
        <v>8.5484980412446507</v>
      </c>
      <c r="AK149" s="451"/>
      <c r="AL149" s="443">
        <f t="shared" si="36"/>
        <v>18570</v>
      </c>
      <c r="AM149" s="443">
        <f t="shared" si="37"/>
        <v>346.92099999999999</v>
      </c>
      <c r="AO149" s="536">
        <f t="shared" si="60"/>
        <v>8.3330299397429108</v>
      </c>
      <c r="AR149" s="451"/>
      <c r="AS149" s="443">
        <f t="shared" si="38"/>
        <v>18579</v>
      </c>
      <c r="AT149" s="443">
        <f t="shared" si="39"/>
        <v>336.4</v>
      </c>
      <c r="AV149" s="536">
        <f t="shared" si="61"/>
        <v>8.6410024771425231</v>
      </c>
      <c r="AY149" s="451"/>
      <c r="AZ149" s="443">
        <f t="shared" si="40"/>
        <v>18569</v>
      </c>
      <c r="BA149" s="443">
        <f t="shared" si="41"/>
        <v>348.1</v>
      </c>
      <c r="BC149" s="536">
        <f t="shared" si="62"/>
        <v>8.6231735149534696</v>
      </c>
      <c r="BF149" s="451"/>
      <c r="BG149" s="443">
        <f t="shared" si="42"/>
        <v>18569</v>
      </c>
      <c r="BH149" s="443">
        <f t="shared" si="43"/>
        <v>348.1</v>
      </c>
      <c r="BJ149" s="536">
        <f t="shared" si="63"/>
        <v>8.6050209017817583</v>
      </c>
      <c r="BM149" s="451"/>
      <c r="BN149" s="443">
        <f t="shared" si="44"/>
        <v>18570</v>
      </c>
      <c r="BO149" s="443">
        <f t="shared" si="45"/>
        <v>346.92099999999999</v>
      </c>
      <c r="BQ149" s="536">
        <f t="shared" si="64"/>
        <v>8.5865326694948507</v>
      </c>
      <c r="BT149" s="451"/>
      <c r="BU149" s="443">
        <f t="shared" si="46"/>
        <v>18570</v>
      </c>
      <c r="BV149" s="443">
        <f t="shared" si="47"/>
        <v>346.92099999999999</v>
      </c>
      <c r="BX149" s="536">
        <f t="shared" si="65"/>
        <v>8.5676961735893435</v>
      </c>
      <c r="CA149" s="451"/>
      <c r="CB149" s="443">
        <f t="shared" si="48"/>
        <v>18570</v>
      </c>
      <c r="CC149" s="443">
        <f t="shared" si="49"/>
        <v>346.92099999999999</v>
      </c>
      <c r="CE149" s="536">
        <f t="shared" si="66"/>
        <v>8.658519127506672</v>
      </c>
      <c r="CH149" s="451"/>
      <c r="CI149" s="443">
        <f t="shared" si="50"/>
        <v>18569</v>
      </c>
      <c r="CJ149" s="443">
        <f t="shared" si="51"/>
        <v>348.1</v>
      </c>
      <c r="CL149" s="536">
        <f t="shared" si="67"/>
        <v>8.6926579607469794</v>
      </c>
      <c r="CO149" s="451"/>
      <c r="CP149" s="443">
        <f t="shared" si="52"/>
        <v>18569</v>
      </c>
      <c r="CQ149" s="443">
        <f t="shared" si="53"/>
        <v>348.1</v>
      </c>
      <c r="CS149" s="536">
        <f t="shared" si="68"/>
        <v>8.7093000489449892</v>
      </c>
      <c r="CV149" s="451"/>
      <c r="CW149" s="443">
        <f t="shared" si="54"/>
        <v>18569</v>
      </c>
      <c r="CX149" s="443">
        <f t="shared" si="55"/>
        <v>348.1</v>
      </c>
    </row>
    <row r="150" spans="1:102" ht="15" customHeight="1">
      <c r="A150" s="436">
        <f t="shared" si="26"/>
        <v>2014</v>
      </c>
      <c r="B150" s="437">
        <f t="shared" si="26"/>
        <v>19132</v>
      </c>
      <c r="C150" s="545">
        <f t="shared" si="69"/>
        <v>8.5814816812985999</v>
      </c>
      <c r="D150" s="438">
        <f t="shared" si="27"/>
        <v>9</v>
      </c>
      <c r="E150" s="546">
        <f t="shared" si="70"/>
        <v>2.1972245773362196</v>
      </c>
      <c r="F150" s="540" t="s">
        <v>305</v>
      </c>
      <c r="G150" s="547">
        <f>EXP(G149)</f>
        <v>2319.169036441247</v>
      </c>
      <c r="I150" s="443">
        <f t="shared" si="28"/>
        <v>18769</v>
      </c>
      <c r="J150" s="467">
        <f t="shared" si="29"/>
        <v>1.8973447627012336</v>
      </c>
      <c r="K150" s="443">
        <f t="shared" si="71"/>
        <v>131.76900000000001</v>
      </c>
      <c r="M150" s="536">
        <f t="shared" si="56"/>
        <v>9.0035621747482377</v>
      </c>
      <c r="N150" s="451"/>
      <c r="O150" s="451"/>
      <c r="P150" s="510"/>
      <c r="Q150" s="443">
        <f t="shared" si="30"/>
        <v>18747</v>
      </c>
      <c r="R150" s="443">
        <f t="shared" si="31"/>
        <v>148.22499999999999</v>
      </c>
      <c r="T150" s="536">
        <f t="shared" si="57"/>
        <v>8.8723469789830318</v>
      </c>
      <c r="U150" s="451"/>
      <c r="V150" s="451"/>
      <c r="W150" s="510"/>
      <c r="X150" s="443">
        <f t="shared" si="32"/>
        <v>18751</v>
      </c>
      <c r="Y150" s="443">
        <f t="shared" si="33"/>
        <v>145.161</v>
      </c>
      <c r="AA150" s="536">
        <f t="shared" si="58"/>
        <v>8.7212762399917043</v>
      </c>
      <c r="AB150" s="451"/>
      <c r="AC150" s="451"/>
      <c r="AD150" s="510"/>
      <c r="AE150" s="443">
        <f t="shared" si="34"/>
        <v>18758</v>
      </c>
      <c r="AF150" s="443">
        <f t="shared" si="35"/>
        <v>139.876</v>
      </c>
      <c r="AH150" s="536">
        <f t="shared" si="59"/>
        <v>8.5432507257355272</v>
      </c>
      <c r="AI150" s="451"/>
      <c r="AJ150" s="451"/>
      <c r="AK150" s="510"/>
      <c r="AL150" s="443">
        <f t="shared" si="36"/>
        <v>18772</v>
      </c>
      <c r="AM150" s="443">
        <f t="shared" si="37"/>
        <v>129.6</v>
      </c>
      <c r="AO150" s="536">
        <f t="shared" si="60"/>
        <v>8.3265168302395285</v>
      </c>
      <c r="AP150" s="451"/>
      <c r="AQ150" s="451"/>
      <c r="AR150" s="510"/>
      <c r="AS150" s="443">
        <f t="shared" si="38"/>
        <v>18810</v>
      </c>
      <c r="AT150" s="443">
        <f t="shared" si="39"/>
        <v>103.684</v>
      </c>
      <c r="AV150" s="536">
        <f t="shared" si="61"/>
        <v>8.6362198978378775</v>
      </c>
      <c r="AW150" s="451"/>
      <c r="AX150" s="451"/>
      <c r="AY150" s="510"/>
      <c r="AZ150" s="443">
        <f t="shared" si="40"/>
        <v>18764</v>
      </c>
      <c r="BA150" s="443">
        <f t="shared" si="41"/>
        <v>135.42400000000001</v>
      </c>
      <c r="BC150" s="536">
        <f t="shared" si="62"/>
        <v>8.6183046927846494</v>
      </c>
      <c r="BD150" s="451"/>
      <c r="BE150" s="451"/>
      <c r="BF150" s="510"/>
      <c r="BG150" s="443">
        <f t="shared" si="42"/>
        <v>18765</v>
      </c>
      <c r="BH150" s="443">
        <f t="shared" si="43"/>
        <v>134.68899999999999</v>
      </c>
      <c r="BJ150" s="536">
        <f t="shared" si="63"/>
        <v>8.6000626692385325</v>
      </c>
      <c r="BK150" s="451"/>
      <c r="BL150" s="451"/>
      <c r="BM150" s="510"/>
      <c r="BN150" s="443">
        <f t="shared" si="44"/>
        <v>18767</v>
      </c>
      <c r="BO150" s="443">
        <f t="shared" si="45"/>
        <v>133.22499999999999</v>
      </c>
      <c r="BQ150" s="536">
        <f t="shared" si="64"/>
        <v>8.5814816812985999</v>
      </c>
      <c r="BR150" s="451"/>
      <c r="BS150" s="451"/>
      <c r="BT150" s="510"/>
      <c r="BU150" s="443">
        <f t="shared" si="46"/>
        <v>18769</v>
      </c>
      <c r="BV150" s="443">
        <f t="shared" si="47"/>
        <v>131.76900000000001</v>
      </c>
      <c r="BX150" s="536">
        <f t="shared" si="65"/>
        <v>8.5625488931370342</v>
      </c>
      <c r="BY150" s="451"/>
      <c r="BZ150" s="451"/>
      <c r="CA150" s="510"/>
      <c r="CB150" s="443">
        <f t="shared" si="48"/>
        <v>18770</v>
      </c>
      <c r="CC150" s="443">
        <f t="shared" si="49"/>
        <v>131.04400000000001</v>
      </c>
      <c r="CE150" s="536">
        <f t="shared" si="66"/>
        <v>8.6538197889480628</v>
      </c>
      <c r="CF150" s="451"/>
      <c r="CG150" s="451"/>
      <c r="CH150" s="510"/>
      <c r="CI150" s="443">
        <f t="shared" si="50"/>
        <v>18763</v>
      </c>
      <c r="CJ150" s="443">
        <f t="shared" si="51"/>
        <v>136.161</v>
      </c>
      <c r="CL150" s="536">
        <f t="shared" si="67"/>
        <v>8.6881167032578226</v>
      </c>
      <c r="CM150" s="451"/>
      <c r="CN150" s="451"/>
      <c r="CO150" s="510"/>
      <c r="CP150" s="443">
        <f t="shared" si="52"/>
        <v>18760</v>
      </c>
      <c r="CQ150" s="443">
        <f t="shared" si="53"/>
        <v>138.38399999999999</v>
      </c>
      <c r="CS150" s="536">
        <f t="shared" si="68"/>
        <v>8.7048339096877925</v>
      </c>
      <c r="CT150" s="451"/>
      <c r="CU150" s="451"/>
      <c r="CV150" s="510"/>
      <c r="CW150" s="443">
        <f t="shared" si="54"/>
        <v>18759</v>
      </c>
      <c r="CX150" s="443">
        <f t="shared" si="55"/>
        <v>139.12899999999999</v>
      </c>
    </row>
    <row r="151" spans="1:102" ht="15" customHeight="1">
      <c r="A151" s="436">
        <f t="shared" si="26"/>
        <v>2015</v>
      </c>
      <c r="B151" s="437">
        <f t="shared" si="26"/>
        <v>18802</v>
      </c>
      <c r="C151" s="545">
        <f t="shared" si="69"/>
        <v>8.5175931114375647</v>
      </c>
      <c r="D151" s="438">
        <f t="shared" si="27"/>
        <v>10</v>
      </c>
      <c r="E151" s="546">
        <f t="shared" si="70"/>
        <v>2.3025850929940459</v>
      </c>
      <c r="H151" s="439"/>
      <c r="I151" s="443">
        <f t="shared" si="28"/>
        <v>18953</v>
      </c>
      <c r="J151" s="467">
        <f t="shared" si="29"/>
        <v>0.80310605254760126</v>
      </c>
      <c r="K151" s="443">
        <f t="shared" si="71"/>
        <v>22.800999999999998</v>
      </c>
      <c r="M151" s="536">
        <f t="shared" si="56"/>
        <v>8.9621353900666012</v>
      </c>
      <c r="N151" s="439" t="s">
        <v>321</v>
      </c>
      <c r="O151" s="504">
        <f>P141</f>
        <v>0.90160639966099698</v>
      </c>
      <c r="P151" s="510"/>
      <c r="Q151" s="443">
        <f t="shared" si="30"/>
        <v>18909</v>
      </c>
      <c r="R151" s="443">
        <f t="shared" si="31"/>
        <v>11.449</v>
      </c>
      <c r="T151" s="536">
        <f t="shared" si="57"/>
        <v>8.8249719655671406</v>
      </c>
      <c r="U151" s="439" t="s">
        <v>321</v>
      </c>
      <c r="V151" s="504">
        <f>W141</f>
        <v>0.90279670160823522</v>
      </c>
      <c r="W151" s="510"/>
      <c r="X151" s="443">
        <f t="shared" si="32"/>
        <v>18918</v>
      </c>
      <c r="Y151" s="443">
        <f t="shared" si="33"/>
        <v>13.456</v>
      </c>
      <c r="AA151" s="536">
        <f t="shared" si="58"/>
        <v>8.6659579646813487</v>
      </c>
      <c r="AB151" s="439" t="s">
        <v>321</v>
      </c>
      <c r="AC151" s="504">
        <f>AD141</f>
        <v>0.9039886110450942</v>
      </c>
      <c r="AD151" s="510"/>
      <c r="AE151" s="443">
        <f t="shared" si="34"/>
        <v>18933</v>
      </c>
      <c r="AF151" s="443">
        <f t="shared" si="35"/>
        <v>17.161000000000001</v>
      </c>
      <c r="AH151" s="536">
        <f t="shared" si="59"/>
        <v>8.4767877767811992</v>
      </c>
      <c r="AI151" s="439" t="s">
        <v>321</v>
      </c>
      <c r="AJ151" s="504">
        <f>AK141</f>
        <v>0.90467501455342936</v>
      </c>
      <c r="AK151" s="510"/>
      <c r="AL151" s="443">
        <f t="shared" si="36"/>
        <v>18961</v>
      </c>
      <c r="AM151" s="443">
        <f t="shared" si="37"/>
        <v>25.280999999999999</v>
      </c>
      <c r="AO151" s="536">
        <f t="shared" si="60"/>
        <v>8.2432825230483751</v>
      </c>
      <c r="AP151" s="439" t="s">
        <v>321</v>
      </c>
      <c r="AQ151" s="504">
        <f>AR141</f>
        <v>0.90155709170777676</v>
      </c>
      <c r="AR151" s="510"/>
      <c r="AS151" s="443">
        <f t="shared" si="38"/>
        <v>19029</v>
      </c>
      <c r="AT151" s="443">
        <f t="shared" si="39"/>
        <v>51.529000000000003</v>
      </c>
      <c r="AV151" s="536">
        <f t="shared" si="61"/>
        <v>8.5758393868489708</v>
      </c>
      <c r="AW151" s="439" t="s">
        <v>321</v>
      </c>
      <c r="AX151" s="504">
        <f>AY141</f>
        <v>0.90452349810954735</v>
      </c>
      <c r="AY151" s="510"/>
      <c r="AZ151" s="443">
        <f t="shared" si="40"/>
        <v>18944</v>
      </c>
      <c r="BA151" s="443">
        <f t="shared" si="41"/>
        <v>20.164000000000001</v>
      </c>
      <c r="BC151" s="536">
        <f t="shared" si="62"/>
        <v>8.5567984460085977</v>
      </c>
      <c r="BD151" s="439" t="s">
        <v>321</v>
      </c>
      <c r="BE151" s="504">
        <f>BF141</f>
        <v>0.90453329226063639</v>
      </c>
      <c r="BF151" s="510"/>
      <c r="BG151" s="443">
        <f t="shared" si="42"/>
        <v>18947</v>
      </c>
      <c r="BH151" s="443">
        <f t="shared" si="43"/>
        <v>21.024999999999999</v>
      </c>
      <c r="BJ151" s="536">
        <f t="shared" si="63"/>
        <v>8.5373878987017573</v>
      </c>
      <c r="BK151" s="439" t="s">
        <v>321</v>
      </c>
      <c r="BL151" s="504">
        <f>BM141</f>
        <v>0.90476387854560958</v>
      </c>
      <c r="BM151" s="510"/>
      <c r="BN151" s="443">
        <f t="shared" si="44"/>
        <v>18950</v>
      </c>
      <c r="BO151" s="443">
        <f t="shared" si="45"/>
        <v>21.904</v>
      </c>
      <c r="BQ151" s="536">
        <f t="shared" si="64"/>
        <v>8.5175931114375647</v>
      </c>
      <c r="BR151" s="439" t="s">
        <v>321</v>
      </c>
      <c r="BS151" s="504">
        <f>BT141</f>
        <v>0.90478087706930821</v>
      </c>
      <c r="BT151" s="510"/>
      <c r="BU151" s="443">
        <f t="shared" si="46"/>
        <v>18953</v>
      </c>
      <c r="BV151" s="443">
        <f t="shared" si="47"/>
        <v>22.800999999999998</v>
      </c>
      <c r="BX151" s="536">
        <f t="shared" si="65"/>
        <v>8.4973985640880585</v>
      </c>
      <c r="BY151" s="439" t="s">
        <v>321</v>
      </c>
      <c r="BZ151" s="504">
        <f>CA141</f>
        <v>0.90477905366024824</v>
      </c>
      <c r="CA151" s="510"/>
      <c r="CB151" s="443">
        <f t="shared" si="48"/>
        <v>18957</v>
      </c>
      <c r="CC151" s="443">
        <f t="shared" si="49"/>
        <v>24.024999999999999</v>
      </c>
      <c r="CE151" s="536">
        <f t="shared" si="66"/>
        <v>8.5945245343525603</v>
      </c>
      <c r="CF151" s="439" t="s">
        <v>321</v>
      </c>
      <c r="CG151" s="504">
        <f>CH141</f>
        <v>0.90438894745761855</v>
      </c>
      <c r="CH151" s="510"/>
      <c r="CI151" s="443">
        <f t="shared" si="50"/>
        <v>18942</v>
      </c>
      <c r="CJ151" s="443">
        <f t="shared" si="51"/>
        <v>19.600000000000001</v>
      </c>
      <c r="CL151" s="536">
        <f t="shared" si="67"/>
        <v>8.6308789558200534</v>
      </c>
      <c r="CM151" s="439" t="s">
        <v>321</v>
      </c>
      <c r="CN151" s="504">
        <f>CO141</f>
        <v>0.90423162860017292</v>
      </c>
      <c r="CO151" s="510"/>
      <c r="CP151" s="443">
        <f t="shared" si="52"/>
        <v>18937</v>
      </c>
      <c r="CQ151" s="443">
        <f t="shared" si="53"/>
        <v>18.225000000000001</v>
      </c>
      <c r="CS151" s="536">
        <f t="shared" si="68"/>
        <v>8.6485722694726181</v>
      </c>
      <c r="CT151" s="439" t="s">
        <v>321</v>
      </c>
      <c r="CU151" s="504">
        <f>CV141</f>
        <v>0.90409836259347509</v>
      </c>
      <c r="CV151" s="510"/>
      <c r="CW151" s="443">
        <f t="shared" si="54"/>
        <v>18935</v>
      </c>
      <c r="CX151" s="443">
        <f t="shared" si="55"/>
        <v>17.689</v>
      </c>
    </row>
    <row r="152" spans="1:102" ht="15" customHeight="1" thickBot="1">
      <c r="A152" s="436">
        <f t="shared" si="26"/>
        <v>2016</v>
      </c>
      <c r="B152" s="437">
        <f t="shared" si="26"/>
        <v>18744</v>
      </c>
      <c r="C152" s="545">
        <f t="shared" si="69"/>
        <v>8.5059299991375266</v>
      </c>
      <c r="D152" s="438">
        <f t="shared" si="27"/>
        <v>11</v>
      </c>
      <c r="E152" s="546">
        <f t="shared" si="70"/>
        <v>2.3978952727983707</v>
      </c>
      <c r="I152" s="443">
        <f t="shared" si="28"/>
        <v>19127</v>
      </c>
      <c r="J152" s="467">
        <f t="shared" si="29"/>
        <v>2.0433205292360221</v>
      </c>
      <c r="K152" s="443">
        <f t="shared" si="71"/>
        <v>146.68899999999999</v>
      </c>
      <c r="M152" s="536">
        <f t="shared" si="56"/>
        <v>8.9546736289564137</v>
      </c>
      <c r="N152" s="439" t="s">
        <v>322</v>
      </c>
      <c r="O152" s="548">
        <f>SUM(R142:R152)</f>
        <v>1025.4190000000001</v>
      </c>
      <c r="P152" s="509"/>
      <c r="Q152" s="443">
        <f t="shared" si="30"/>
        <v>19057</v>
      </c>
      <c r="R152" s="443">
        <f t="shared" si="31"/>
        <v>97.968999999999994</v>
      </c>
      <c r="T152" s="536">
        <f t="shared" si="57"/>
        <v>8.8164084996816907</v>
      </c>
      <c r="U152" s="439" t="s">
        <v>322</v>
      </c>
      <c r="V152" s="548">
        <f>SUM(Y142:Y152)</f>
        <v>1013.2570000000001</v>
      </c>
      <c r="W152" s="509"/>
      <c r="X152" s="443">
        <f t="shared" si="32"/>
        <v>19072</v>
      </c>
      <c r="Y152" s="443">
        <f t="shared" si="33"/>
        <v>107.584</v>
      </c>
      <c r="AA152" s="536">
        <f t="shared" si="58"/>
        <v>8.6559111107280593</v>
      </c>
      <c r="AB152" s="439" t="s">
        <v>322</v>
      </c>
      <c r="AC152" s="548">
        <f>SUM(AF142:AF152)</f>
        <v>1000.6880000000001</v>
      </c>
      <c r="AD152" s="509"/>
      <c r="AE152" s="443">
        <f t="shared" si="34"/>
        <v>19095</v>
      </c>
      <c r="AF152" s="443">
        <f t="shared" si="35"/>
        <v>123.20099999999999</v>
      </c>
      <c r="AH152" s="536">
        <f t="shared" si="59"/>
        <v>8.464635940677562</v>
      </c>
      <c r="AI152" s="439" t="s">
        <v>322</v>
      </c>
      <c r="AJ152" s="548">
        <f>SUM(AM142:AM152)</f>
        <v>992.2059999999999</v>
      </c>
      <c r="AK152" s="509"/>
      <c r="AL152" s="443">
        <f t="shared" si="36"/>
        <v>19138</v>
      </c>
      <c r="AM152" s="443">
        <f t="shared" si="37"/>
        <v>155.23599999999999</v>
      </c>
      <c r="AO152" s="536">
        <f t="shared" si="60"/>
        <v>8.2279098375974833</v>
      </c>
      <c r="AP152" s="439" t="s">
        <v>322</v>
      </c>
      <c r="AQ152" s="548">
        <f>SUM(AT142:AT152)</f>
        <v>1026.393</v>
      </c>
      <c r="AR152" s="509"/>
      <c r="AS152" s="443">
        <f t="shared" si="38"/>
        <v>19238</v>
      </c>
      <c r="AT152" s="443">
        <f t="shared" si="39"/>
        <v>244.036</v>
      </c>
      <c r="AV152" s="536">
        <f t="shared" si="61"/>
        <v>8.5648398448835898</v>
      </c>
      <c r="AW152" s="439" t="s">
        <v>322</v>
      </c>
      <c r="AX152" s="548">
        <f>SUM(BA142:BA152)</f>
        <v>994.66499999999996</v>
      </c>
      <c r="AY152" s="509"/>
      <c r="AZ152" s="443">
        <f t="shared" si="40"/>
        <v>19113</v>
      </c>
      <c r="BA152" s="443">
        <f t="shared" si="41"/>
        <v>136.161</v>
      </c>
      <c r="BC152" s="536">
        <f t="shared" si="62"/>
        <v>8.5455862659174553</v>
      </c>
      <c r="BD152" s="439" t="s">
        <v>322</v>
      </c>
      <c r="BE152" s="548">
        <f>SUM(BH142:BH152)</f>
        <v>994.42099999999994</v>
      </c>
      <c r="BF152" s="509"/>
      <c r="BG152" s="443">
        <f t="shared" si="42"/>
        <v>19117</v>
      </c>
      <c r="BH152" s="443">
        <f t="shared" si="43"/>
        <v>139.12899999999999</v>
      </c>
      <c r="BJ152" s="536">
        <f t="shared" si="63"/>
        <v>8.5259546970848099</v>
      </c>
      <c r="BK152" s="439" t="s">
        <v>322</v>
      </c>
      <c r="BL152" s="548">
        <f>SUM(BO142:BO152)</f>
        <v>991.83699999999999</v>
      </c>
      <c r="BM152" s="509"/>
      <c r="BN152" s="443">
        <f t="shared" si="44"/>
        <v>19122</v>
      </c>
      <c r="BO152" s="443">
        <f t="shared" si="45"/>
        <v>142.88399999999999</v>
      </c>
      <c r="BQ152" s="536">
        <f t="shared" si="64"/>
        <v>8.5059299991375266</v>
      </c>
      <c r="BR152" s="439" t="s">
        <v>322</v>
      </c>
      <c r="BS152" s="548">
        <f>SUM(BV142:BV152)</f>
        <v>991.46199999999999</v>
      </c>
      <c r="BT152" s="509"/>
      <c r="BU152" s="443">
        <f t="shared" si="46"/>
        <v>19127</v>
      </c>
      <c r="BV152" s="443">
        <f t="shared" si="47"/>
        <v>146.68899999999999</v>
      </c>
      <c r="BX152" s="536">
        <f t="shared" si="65"/>
        <v>8.4854961046729827</v>
      </c>
      <c r="BY152" s="439" t="s">
        <v>322</v>
      </c>
      <c r="BZ152" s="548">
        <f>SUM(CC142:CC152)</f>
        <v>991.33899999999994</v>
      </c>
      <c r="CA152" s="509"/>
      <c r="CB152" s="443">
        <f t="shared" si="48"/>
        <v>19132</v>
      </c>
      <c r="CC152" s="443">
        <f t="shared" si="49"/>
        <v>150.54400000000001</v>
      </c>
      <c r="CE152" s="536">
        <f t="shared" si="66"/>
        <v>8.5837297152164815</v>
      </c>
      <c r="CF152" s="439" t="s">
        <v>322</v>
      </c>
      <c r="CG152" s="548">
        <f>SUM(CJ142:CJ152)</f>
        <v>996.11800000000017</v>
      </c>
      <c r="CH152" s="509"/>
      <c r="CI152" s="443">
        <f t="shared" si="50"/>
        <v>19109</v>
      </c>
      <c r="CJ152" s="443">
        <f t="shared" si="51"/>
        <v>133.22499999999999</v>
      </c>
      <c r="CL152" s="536">
        <f t="shared" si="67"/>
        <v>8.6204715408697385</v>
      </c>
      <c r="CM152" s="439" t="s">
        <v>322</v>
      </c>
      <c r="CN152" s="548">
        <f>SUM(CQ142:CQ152)</f>
        <v>997.97300000000007</v>
      </c>
      <c r="CO152" s="509"/>
      <c r="CP152" s="443">
        <f t="shared" si="52"/>
        <v>19102</v>
      </c>
      <c r="CQ152" s="443">
        <f t="shared" si="53"/>
        <v>128.16399999999999</v>
      </c>
      <c r="CS152" s="536">
        <f t="shared" si="68"/>
        <v>8.6383483129727043</v>
      </c>
      <c r="CT152" s="439" t="s">
        <v>322</v>
      </c>
      <c r="CU152" s="548">
        <f>SUM(CX142:CX152)</f>
        <v>999.43799999999999</v>
      </c>
      <c r="CV152" s="509"/>
      <c r="CW152" s="443">
        <f t="shared" si="54"/>
        <v>19099</v>
      </c>
      <c r="CX152" s="443">
        <f t="shared" si="55"/>
        <v>126.02500000000001</v>
      </c>
    </row>
    <row r="153" spans="1:102" ht="15" customHeight="1" thickTop="1">
      <c r="A153" s="458">
        <f t="shared" si="26"/>
        <v>2017</v>
      </c>
      <c r="B153" s="459">
        <f>ROUND($G$147+$G$150*D153^$G$148,$G$1)</f>
        <v>19290</v>
      </c>
      <c r="C153" s="549"/>
      <c r="D153" s="550">
        <f t="shared" si="27"/>
        <v>12</v>
      </c>
      <c r="E153" s="551"/>
      <c r="F153" s="2314" t="s">
        <v>276</v>
      </c>
      <c r="G153" s="2315"/>
      <c r="H153" s="514">
        <f>I141</f>
        <v>0.90478087706930821</v>
      </c>
      <c r="I153" s="464">
        <f t="shared" si="28"/>
        <v>19290</v>
      </c>
      <c r="J153" s="463"/>
      <c r="K153" s="464"/>
      <c r="M153" s="552"/>
      <c r="N153" s="553"/>
      <c r="O153" s="554"/>
      <c r="P153" s="331"/>
      <c r="Q153" s="555"/>
      <c r="R153" s="556"/>
      <c r="T153" s="552"/>
      <c r="U153" s="553"/>
      <c r="V153" s="554"/>
      <c r="W153" s="331"/>
      <c r="X153" s="555"/>
      <c r="Y153" s="556"/>
      <c r="AA153" s="552"/>
      <c r="AB153" s="553"/>
      <c r="AC153" s="554"/>
      <c r="AD153" s="331"/>
      <c r="AE153" s="555"/>
      <c r="AF153" s="556"/>
      <c r="AH153" s="552"/>
      <c r="AI153" s="553"/>
      <c r="AJ153" s="554"/>
      <c r="AK153" s="331"/>
      <c r="AL153" s="555"/>
      <c r="AM153" s="556"/>
      <c r="AO153" s="552"/>
      <c r="AP153" s="553"/>
      <c r="AQ153" s="554"/>
      <c r="AR153" s="331"/>
      <c r="AS153" s="555"/>
      <c r="AT153" s="556"/>
      <c r="AV153" s="552"/>
      <c r="AW153" s="553"/>
      <c r="AX153" s="554"/>
      <c r="AY153" s="331"/>
      <c r="AZ153" s="555"/>
      <c r="BA153" s="556"/>
      <c r="BC153" s="552"/>
      <c r="BD153" s="553"/>
      <c r="BE153" s="554"/>
      <c r="BF153" s="331"/>
      <c r="BG153" s="555"/>
      <c r="BH153" s="556"/>
      <c r="BJ153" s="552"/>
      <c r="BK153" s="553"/>
      <c r="BL153" s="554"/>
      <c r="BM153" s="331"/>
      <c r="BN153" s="555"/>
      <c r="BO153" s="556"/>
      <c r="BQ153" s="552"/>
      <c r="BR153" s="553"/>
      <c r="BS153" s="554"/>
      <c r="BT153" s="331"/>
      <c r="BU153" s="555"/>
      <c r="BV153" s="556"/>
      <c r="BX153" s="552"/>
      <c r="BY153" s="553"/>
      <c r="BZ153" s="554"/>
      <c r="CA153" s="331"/>
      <c r="CB153" s="555"/>
      <c r="CC153" s="556"/>
      <c r="CE153" s="552"/>
      <c r="CF153" s="553"/>
      <c r="CG153" s="554"/>
      <c r="CH153" s="331"/>
      <c r="CI153" s="555"/>
      <c r="CJ153" s="556"/>
      <c r="CL153" s="552"/>
      <c r="CM153" s="553"/>
      <c r="CN153" s="554"/>
      <c r="CO153" s="331"/>
      <c r="CP153" s="555"/>
      <c r="CQ153" s="556"/>
      <c r="CS153" s="552"/>
      <c r="CT153" s="553"/>
      <c r="CU153" s="554"/>
      <c r="CV153" s="331"/>
      <c r="CW153" s="555"/>
      <c r="CX153" s="556"/>
    </row>
    <row r="154" spans="1:102" ht="15" customHeight="1">
      <c r="A154" s="436">
        <f t="shared" si="26"/>
        <v>2018</v>
      </c>
      <c r="B154" s="437">
        <f>ROUND($G$147+$G$150*D154^$G$148,$G$1)</f>
        <v>19444</v>
      </c>
      <c r="C154" s="545"/>
      <c r="D154" s="438">
        <f t="shared" si="27"/>
        <v>13</v>
      </c>
      <c r="E154" s="546"/>
      <c r="F154" s="2318" t="s">
        <v>323</v>
      </c>
      <c r="G154" s="2320"/>
      <c r="H154" s="448">
        <f>SUM(K142:K152)</f>
        <v>991.46199999999999</v>
      </c>
      <c r="I154" s="443">
        <f t="shared" si="28"/>
        <v>19444</v>
      </c>
      <c r="J154" s="467"/>
      <c r="K154" s="443"/>
      <c r="M154" s="557"/>
      <c r="N154" s="439"/>
      <c r="O154" s="548"/>
      <c r="P154" s="451"/>
      <c r="Q154" s="493"/>
      <c r="R154" s="492"/>
      <c r="T154" s="557"/>
      <c r="U154" s="439"/>
      <c r="V154" s="548"/>
      <c r="W154" s="451"/>
      <c r="X154" s="493"/>
      <c r="Y154" s="492"/>
      <c r="AA154" s="557"/>
      <c r="AB154" s="439"/>
      <c r="AC154" s="548"/>
      <c r="AD154" s="451"/>
      <c r="AE154" s="493"/>
      <c r="AF154" s="492"/>
      <c r="AH154" s="557"/>
      <c r="AI154" s="439"/>
      <c r="AJ154" s="548"/>
      <c r="AK154" s="451"/>
      <c r="AL154" s="493"/>
      <c r="AM154" s="492"/>
      <c r="AO154" s="557"/>
      <c r="AP154" s="439"/>
      <c r="AQ154" s="548"/>
      <c r="AR154" s="451"/>
      <c r="AS154" s="493"/>
      <c r="AT154" s="492"/>
      <c r="AV154" s="557"/>
      <c r="AW154" s="439"/>
      <c r="AX154" s="548"/>
      <c r="AY154" s="451"/>
      <c r="AZ154" s="493"/>
      <c r="BA154" s="492"/>
      <c r="BC154" s="557"/>
      <c r="BD154" s="439"/>
      <c r="BE154" s="548"/>
      <c r="BF154" s="451"/>
      <c r="BG154" s="493"/>
      <c r="BH154" s="492"/>
      <c r="BJ154" s="557"/>
      <c r="BK154" s="439"/>
      <c r="BL154" s="548"/>
      <c r="BM154" s="451"/>
      <c r="BN154" s="493"/>
      <c r="BO154" s="492"/>
      <c r="BQ154" s="557"/>
      <c r="BR154" s="439"/>
      <c r="BS154" s="548"/>
      <c r="BT154" s="451"/>
      <c r="BU154" s="493"/>
      <c r="BV154" s="492"/>
      <c r="BX154" s="557"/>
      <c r="BY154" s="439"/>
      <c r="BZ154" s="548"/>
      <c r="CA154" s="451"/>
      <c r="CB154" s="493"/>
      <c r="CC154" s="492"/>
      <c r="CE154" s="557"/>
      <c r="CF154" s="439"/>
      <c r="CG154" s="548"/>
      <c r="CH154" s="451"/>
      <c r="CI154" s="493"/>
      <c r="CJ154" s="492"/>
      <c r="CL154" s="557"/>
      <c r="CM154" s="439"/>
      <c r="CN154" s="548"/>
      <c r="CO154" s="451"/>
      <c r="CP154" s="493"/>
      <c r="CQ154" s="492"/>
      <c r="CS154" s="557"/>
      <c r="CT154" s="439"/>
      <c r="CU154" s="548"/>
      <c r="CV154" s="451"/>
      <c r="CW154" s="493"/>
      <c r="CX154" s="492"/>
    </row>
    <row r="155" spans="1:102" ht="15" customHeight="1">
      <c r="A155" s="436">
        <f t="shared" si="26"/>
        <v>2019</v>
      </c>
      <c r="B155" s="437">
        <f t="shared" ref="B155:B174" si="72">ROUND($G$147+$G$150*D155^$G$148,$G$1)</f>
        <v>19591</v>
      </c>
      <c r="C155" s="545"/>
      <c r="D155" s="438">
        <f t="shared" si="27"/>
        <v>14</v>
      </c>
      <c r="E155" s="546"/>
      <c r="F155" s="2318" t="s">
        <v>324</v>
      </c>
      <c r="G155" s="2320"/>
      <c r="H155" s="449">
        <f>SUM(J142:J152)/D152</f>
        <v>1.3968100884150076</v>
      </c>
      <c r="I155" s="443">
        <f t="shared" si="28"/>
        <v>19591</v>
      </c>
      <c r="J155" s="467"/>
      <c r="K155" s="443"/>
      <c r="M155" s="505" t="s">
        <v>325</v>
      </c>
      <c r="N155" s="505">
        <f>MIN(B142:B152)</f>
        <v>16125</v>
      </c>
      <c r="O155" s="505"/>
      <c r="P155" s="505"/>
      <c r="Q155" s="505"/>
      <c r="R155" s="505"/>
      <c r="S155" s="505"/>
      <c r="T155" s="505" t="s">
        <v>325</v>
      </c>
      <c r="U155" s="505">
        <f>N155</f>
        <v>16125</v>
      </c>
      <c r="V155" s="505"/>
      <c r="W155" s="505"/>
      <c r="X155" s="505"/>
      <c r="Y155" s="505"/>
      <c r="Z155" s="505"/>
      <c r="AA155" s="505" t="s">
        <v>325</v>
      </c>
      <c r="AB155" s="505">
        <f>U155</f>
        <v>16125</v>
      </c>
      <c r="AH155" s="505" t="s">
        <v>325</v>
      </c>
      <c r="AI155" s="505">
        <f>AB155</f>
        <v>16125</v>
      </c>
      <c r="AO155" s="505" t="s">
        <v>325</v>
      </c>
      <c r="AP155" s="505">
        <f>AI155</f>
        <v>16125</v>
      </c>
      <c r="AV155" s="505" t="s">
        <v>325</v>
      </c>
      <c r="AW155" s="505">
        <f>AP155</f>
        <v>16125</v>
      </c>
      <c r="BC155" s="505" t="s">
        <v>325</v>
      </c>
      <c r="BD155" s="505">
        <f>AW155</f>
        <v>16125</v>
      </c>
      <c r="BJ155" s="505" t="s">
        <v>325</v>
      </c>
      <c r="BK155" s="505">
        <f>BD155</f>
        <v>16125</v>
      </c>
      <c r="BQ155" s="505" t="s">
        <v>325</v>
      </c>
      <c r="BR155" s="505">
        <f>BK155</f>
        <v>16125</v>
      </c>
      <c r="BX155" s="505" t="s">
        <v>325</v>
      </c>
      <c r="BY155" s="505">
        <f>BR155</f>
        <v>16125</v>
      </c>
      <c r="CE155" s="505" t="s">
        <v>325</v>
      </c>
      <c r="CF155" s="505">
        <f>BY155</f>
        <v>16125</v>
      </c>
      <c r="CL155" s="505" t="s">
        <v>325</v>
      </c>
      <c r="CM155" s="505">
        <f>CF155</f>
        <v>16125</v>
      </c>
      <c r="CS155" s="505" t="s">
        <v>325</v>
      </c>
      <c r="CT155" s="505">
        <f>CM155</f>
        <v>16125</v>
      </c>
    </row>
    <row r="156" spans="1:102" ht="15" customHeight="1">
      <c r="A156" s="436">
        <f t="shared" si="26"/>
        <v>2020</v>
      </c>
      <c r="B156" s="437">
        <f t="shared" si="72"/>
        <v>19731</v>
      </c>
      <c r="C156" s="545"/>
      <c r="D156" s="438">
        <f t="shared" si="27"/>
        <v>15</v>
      </c>
      <c r="E156" s="546"/>
      <c r="I156" s="443">
        <f t="shared" si="28"/>
        <v>19731</v>
      </c>
      <c r="J156" s="467"/>
      <c r="K156" s="443"/>
      <c r="M156" s="505" t="s">
        <v>326</v>
      </c>
      <c r="N156" s="505">
        <v>3</v>
      </c>
      <c r="O156" s="505"/>
      <c r="P156" s="505"/>
      <c r="Q156" s="505"/>
      <c r="R156" s="505"/>
      <c r="S156" s="505"/>
      <c r="T156" s="505" t="s">
        <v>326</v>
      </c>
      <c r="U156" s="505">
        <f>N156</f>
        <v>3</v>
      </c>
      <c r="V156" s="505"/>
      <c r="W156" s="505"/>
      <c r="X156" s="505"/>
      <c r="Y156" s="505"/>
      <c r="Z156" s="505"/>
      <c r="AA156" s="505" t="s">
        <v>326</v>
      </c>
      <c r="AB156" s="505">
        <f>U156</f>
        <v>3</v>
      </c>
      <c r="AH156" s="505" t="s">
        <v>326</v>
      </c>
      <c r="AI156" s="505">
        <f>AB156</f>
        <v>3</v>
      </c>
      <c r="AO156" s="505" t="s">
        <v>326</v>
      </c>
      <c r="AP156" s="505">
        <f>AI156</f>
        <v>3</v>
      </c>
      <c r="AV156" s="505" t="s">
        <v>326</v>
      </c>
      <c r="AW156" s="505">
        <f>AP156</f>
        <v>3</v>
      </c>
      <c r="BC156" s="505" t="s">
        <v>326</v>
      </c>
      <c r="BD156" s="505">
        <f>AW156</f>
        <v>3</v>
      </c>
      <c r="BJ156" s="505" t="s">
        <v>326</v>
      </c>
      <c r="BK156" s="505">
        <f>BD156</f>
        <v>3</v>
      </c>
      <c r="BQ156" s="505" t="s">
        <v>326</v>
      </c>
      <c r="BR156" s="505">
        <f>BK156</f>
        <v>3</v>
      </c>
      <c r="BX156" s="505" t="s">
        <v>326</v>
      </c>
      <c r="BY156" s="505">
        <f>BR156</f>
        <v>3</v>
      </c>
      <c r="CE156" s="505" t="s">
        <v>326</v>
      </c>
      <c r="CF156" s="505">
        <f>BY156</f>
        <v>3</v>
      </c>
      <c r="CL156" s="505" t="s">
        <v>326</v>
      </c>
      <c r="CM156" s="505">
        <f>CF156</f>
        <v>3</v>
      </c>
      <c r="CS156" s="505" t="s">
        <v>326</v>
      </c>
      <c r="CT156" s="505">
        <f>CM156</f>
        <v>3</v>
      </c>
    </row>
    <row r="157" spans="1:102" ht="15" customHeight="1">
      <c r="A157" s="436">
        <f t="shared" si="26"/>
        <v>2021</v>
      </c>
      <c r="B157" s="437">
        <f t="shared" si="72"/>
        <v>19866</v>
      </c>
      <c r="C157" s="545"/>
      <c r="D157" s="438">
        <f t="shared" si="27"/>
        <v>16</v>
      </c>
      <c r="E157" s="546"/>
      <c r="F157" s="519"/>
      <c r="G157" s="451"/>
      <c r="H157" s="558"/>
      <c r="I157" s="443">
        <f t="shared" si="28"/>
        <v>19866</v>
      </c>
      <c r="J157" s="467"/>
      <c r="K157" s="443"/>
      <c r="M157" s="505" t="s">
        <v>329</v>
      </c>
      <c r="N157" s="559">
        <v>150</v>
      </c>
      <c r="O157" s="505"/>
      <c r="P157" s="505"/>
      <c r="Q157" s="505"/>
      <c r="R157" s="505"/>
      <c r="S157" s="505"/>
      <c r="T157" s="505" t="s">
        <v>329</v>
      </c>
      <c r="U157" s="505">
        <f>N157</f>
        <v>150</v>
      </c>
      <c r="V157" s="505"/>
      <c r="W157" s="505"/>
      <c r="X157" s="505"/>
      <c r="Y157" s="505"/>
      <c r="Z157" s="505"/>
      <c r="AA157" s="505" t="s">
        <v>329</v>
      </c>
      <c r="AB157" s="505">
        <f>U157</f>
        <v>150</v>
      </c>
      <c r="AH157" s="505" t="s">
        <v>329</v>
      </c>
      <c r="AI157" s="505">
        <v>500</v>
      </c>
      <c r="AO157" s="505" t="s">
        <v>329</v>
      </c>
      <c r="AP157" s="505">
        <f>AI157</f>
        <v>500</v>
      </c>
      <c r="AV157" s="505" t="s">
        <v>329</v>
      </c>
      <c r="AW157" s="505">
        <f>AP157</f>
        <v>500</v>
      </c>
      <c r="BC157" s="505" t="s">
        <v>329</v>
      </c>
      <c r="BD157" s="505">
        <f>AW157</f>
        <v>500</v>
      </c>
      <c r="BJ157" s="505" t="s">
        <v>329</v>
      </c>
      <c r="BK157" s="505">
        <f>BD157</f>
        <v>500</v>
      </c>
      <c r="BQ157" s="505" t="s">
        <v>329</v>
      </c>
      <c r="BR157" s="505">
        <f>BK157</f>
        <v>500</v>
      </c>
      <c r="BX157" s="505" t="s">
        <v>329</v>
      </c>
      <c r="BY157" s="505">
        <f>BR157</f>
        <v>500</v>
      </c>
      <c r="CE157" s="505" t="s">
        <v>329</v>
      </c>
      <c r="CF157" s="505">
        <f>BY157</f>
        <v>500</v>
      </c>
      <c r="CL157" s="505" t="s">
        <v>329</v>
      </c>
      <c r="CM157" s="505">
        <f>CF157</f>
        <v>500</v>
      </c>
      <c r="CS157" s="505" t="s">
        <v>329</v>
      </c>
      <c r="CT157" s="505">
        <f>CM157</f>
        <v>500</v>
      </c>
    </row>
    <row r="158" spans="1:102" ht="15" customHeight="1" thickBot="1">
      <c r="A158" s="436">
        <f t="shared" ref="A158:A174" si="73">A120</f>
        <v>2022</v>
      </c>
      <c r="B158" s="437">
        <f t="shared" si="72"/>
        <v>19995</v>
      </c>
      <c r="C158" s="545"/>
      <c r="D158" s="438">
        <f t="shared" si="27"/>
        <v>17</v>
      </c>
      <c r="E158" s="546"/>
      <c r="F158" s="560" t="s">
        <v>331</v>
      </c>
      <c r="G158" s="561" t="s">
        <v>332</v>
      </c>
      <c r="H158" s="562" t="s">
        <v>294</v>
      </c>
      <c r="I158" s="443">
        <f t="shared" si="28"/>
        <v>19995</v>
      </c>
      <c r="J158" s="467"/>
      <c r="K158" s="443"/>
      <c r="M158" s="557"/>
      <c r="N158" s="451"/>
      <c r="O158" s="451"/>
      <c r="P158" s="451"/>
      <c r="Q158" s="493"/>
      <c r="R158" s="492"/>
      <c r="T158" s="557"/>
      <c r="U158" s="451"/>
      <c r="V158" s="451"/>
      <c r="W158" s="451"/>
      <c r="X158" s="493"/>
      <c r="Y158" s="492"/>
      <c r="AA158" s="557"/>
      <c r="AB158" s="451"/>
      <c r="AC158" s="451"/>
      <c r="AD158" s="451"/>
      <c r="AE158" s="493"/>
      <c r="AF158" s="492"/>
      <c r="AH158" s="557"/>
      <c r="AI158" s="451"/>
      <c r="AJ158" s="451"/>
      <c r="AK158" s="451"/>
      <c r="AL158" s="493"/>
      <c r="AM158" s="492"/>
      <c r="AO158" s="557"/>
      <c r="AP158" s="451"/>
      <c r="AQ158" s="451"/>
      <c r="AR158" s="451"/>
      <c r="AS158" s="493"/>
      <c r="AT158" s="492"/>
      <c r="AV158" s="557"/>
      <c r="AW158" s="451"/>
      <c r="AX158" s="451"/>
      <c r="AY158" s="451"/>
      <c r="AZ158" s="493"/>
      <c r="BA158" s="492"/>
      <c r="BC158" s="557"/>
      <c r="BD158" s="451"/>
      <c r="BE158" s="451"/>
      <c r="BF158" s="451"/>
      <c r="BG158" s="493"/>
      <c r="BH158" s="492"/>
      <c r="BJ158" s="557"/>
      <c r="BK158" s="451"/>
      <c r="BL158" s="451"/>
      <c r="BM158" s="451"/>
      <c r="BN158" s="493"/>
      <c r="BO158" s="492"/>
      <c r="BQ158" s="557"/>
      <c r="BR158" s="451"/>
      <c r="BS158" s="451"/>
      <c r="BT158" s="451"/>
      <c r="BU158" s="493"/>
      <c r="BV158" s="492"/>
      <c r="BX158" s="557"/>
      <c r="BY158" s="451"/>
      <c r="BZ158" s="451"/>
      <c r="CA158" s="451"/>
      <c r="CB158" s="493"/>
      <c r="CC158" s="492"/>
      <c r="CE158" s="557"/>
      <c r="CF158" s="451"/>
      <c r="CG158" s="451"/>
      <c r="CH158" s="451"/>
      <c r="CI158" s="493"/>
      <c r="CJ158" s="492"/>
      <c r="CL158" s="557"/>
      <c r="CM158" s="451"/>
      <c r="CN158" s="451"/>
      <c r="CO158" s="451"/>
      <c r="CP158" s="493"/>
      <c r="CQ158" s="492"/>
      <c r="CS158" s="557"/>
      <c r="CT158" s="451"/>
      <c r="CU158" s="451"/>
      <c r="CV158" s="451"/>
      <c r="CW158" s="493"/>
      <c r="CX158" s="492"/>
    </row>
    <row r="159" spans="1:102" ht="15" customHeight="1" thickTop="1">
      <c r="A159" s="436">
        <f t="shared" si="73"/>
        <v>2023</v>
      </c>
      <c r="B159" s="437">
        <f t="shared" si="72"/>
        <v>20119</v>
      </c>
      <c r="C159" s="545"/>
      <c r="D159" s="438">
        <f t="shared" si="27"/>
        <v>18</v>
      </c>
      <c r="E159" s="546"/>
      <c r="F159" s="505">
        <v>11000</v>
      </c>
      <c r="G159" s="563">
        <f>IFERROR(O151,0)</f>
        <v>0.90160639966099698</v>
      </c>
      <c r="H159" s="564">
        <f>O152</f>
        <v>1025.4190000000001</v>
      </c>
      <c r="I159" s="443">
        <f t="shared" si="28"/>
        <v>20119</v>
      </c>
      <c r="J159" s="467"/>
      <c r="K159" s="443"/>
      <c r="L159" s="326">
        <f>RANK(G159,$G$159:$G$171)</f>
        <v>12</v>
      </c>
      <c r="M159" s="557"/>
      <c r="N159" s="451"/>
      <c r="O159" s="451"/>
      <c r="P159" s="451"/>
      <c r="Q159" s="493"/>
      <c r="R159" s="492"/>
      <c r="T159" s="557"/>
      <c r="U159" s="451"/>
      <c r="V159" s="451"/>
      <c r="W159" s="451"/>
      <c r="X159" s="493"/>
      <c r="Y159" s="492"/>
      <c r="AA159" s="557"/>
      <c r="AB159" s="451"/>
      <c r="AC159" s="451"/>
      <c r="AD159" s="451"/>
      <c r="AE159" s="493"/>
      <c r="AF159" s="492"/>
      <c r="AH159" s="557"/>
      <c r="AI159" s="451"/>
      <c r="AJ159" s="451"/>
      <c r="AK159" s="451"/>
      <c r="AL159" s="493"/>
      <c r="AM159" s="492"/>
      <c r="AO159" s="557"/>
      <c r="AP159" s="451"/>
      <c r="AQ159" s="451"/>
      <c r="AR159" s="451"/>
      <c r="AS159" s="493"/>
      <c r="AT159" s="492"/>
      <c r="AV159" s="557"/>
      <c r="AW159" s="451"/>
      <c r="AX159" s="451"/>
      <c r="AY159" s="451"/>
      <c r="AZ159" s="493"/>
      <c r="BA159" s="492"/>
      <c r="BC159" s="557"/>
      <c r="BD159" s="451"/>
      <c r="BE159" s="451"/>
      <c r="BF159" s="451"/>
      <c r="BG159" s="493"/>
      <c r="BH159" s="492"/>
      <c r="BJ159" s="557"/>
      <c r="BK159" s="451"/>
      <c r="BL159" s="451"/>
      <c r="BM159" s="451"/>
      <c r="BN159" s="493"/>
      <c r="BO159" s="492"/>
      <c r="BQ159" s="557"/>
      <c r="BR159" s="451"/>
      <c r="BS159" s="451"/>
      <c r="BT159" s="451"/>
      <c r="BU159" s="493"/>
      <c r="BV159" s="492"/>
      <c r="BX159" s="557"/>
      <c r="BY159" s="451"/>
      <c r="BZ159" s="451"/>
      <c r="CA159" s="451"/>
      <c r="CB159" s="493"/>
      <c r="CC159" s="492"/>
      <c r="CE159" s="557"/>
      <c r="CF159" s="451"/>
      <c r="CG159" s="451"/>
      <c r="CH159" s="451"/>
      <c r="CI159" s="493"/>
      <c r="CJ159" s="492"/>
      <c r="CL159" s="557"/>
      <c r="CM159" s="451"/>
      <c r="CN159" s="451"/>
      <c r="CO159" s="451"/>
      <c r="CP159" s="493"/>
      <c r="CQ159" s="492"/>
      <c r="CS159" s="557"/>
      <c r="CT159" s="451"/>
      <c r="CU159" s="451"/>
      <c r="CV159" s="451"/>
      <c r="CW159" s="493"/>
      <c r="CX159" s="492"/>
    </row>
    <row r="160" spans="1:102" s="451" customFormat="1" ht="15" customHeight="1">
      <c r="A160" s="436">
        <f t="shared" si="73"/>
        <v>2024</v>
      </c>
      <c r="B160" s="437">
        <f t="shared" si="72"/>
        <v>20238</v>
      </c>
      <c r="C160" s="545"/>
      <c r="D160" s="438">
        <f t="shared" si="27"/>
        <v>19</v>
      </c>
      <c r="E160" s="546"/>
      <c r="F160" s="505">
        <v>12000</v>
      </c>
      <c r="G160" s="565">
        <f>IFERROR(V151,0)</f>
        <v>0.90279670160823522</v>
      </c>
      <c r="H160" s="564">
        <f>V152</f>
        <v>1013.2570000000001</v>
      </c>
      <c r="I160" s="443">
        <f t="shared" si="28"/>
        <v>20238</v>
      </c>
      <c r="J160" s="467"/>
      <c r="K160" s="443"/>
      <c r="L160" s="326">
        <f t="shared" ref="L160:L171" si="74">RANK(G160,$G$159:$G$171)</f>
        <v>11</v>
      </c>
      <c r="M160" s="557"/>
      <c r="P160" s="439"/>
      <c r="Q160" s="493"/>
      <c r="R160" s="492"/>
      <c r="T160" s="557"/>
      <c r="W160" s="439"/>
      <c r="X160" s="493"/>
      <c r="Y160" s="492"/>
      <c r="AA160" s="557"/>
      <c r="AD160" s="439"/>
      <c r="AE160" s="493"/>
      <c r="AF160" s="492"/>
      <c r="AH160" s="557"/>
      <c r="AK160" s="439"/>
      <c r="AL160" s="493"/>
      <c r="AM160" s="492"/>
      <c r="AO160" s="557"/>
      <c r="AR160" s="439"/>
      <c r="AS160" s="493"/>
      <c r="AT160" s="492"/>
      <c r="AV160" s="557"/>
      <c r="AY160" s="439"/>
      <c r="AZ160" s="493"/>
      <c r="BA160" s="492"/>
      <c r="BC160" s="557"/>
      <c r="BF160" s="439"/>
      <c r="BG160" s="493"/>
      <c r="BH160" s="492"/>
      <c r="BJ160" s="557"/>
      <c r="BM160" s="439"/>
      <c r="BN160" s="493"/>
      <c r="BO160" s="492"/>
      <c r="BQ160" s="557"/>
      <c r="BT160" s="439"/>
      <c r="BU160" s="493"/>
      <c r="BV160" s="492"/>
      <c r="BX160" s="557"/>
      <c r="CA160" s="439"/>
      <c r="CB160" s="493"/>
      <c r="CC160" s="492"/>
      <c r="CE160" s="557"/>
      <c r="CH160" s="439"/>
      <c r="CI160" s="493"/>
      <c r="CJ160" s="492"/>
      <c r="CL160" s="557"/>
      <c r="CO160" s="439"/>
      <c r="CP160" s="493"/>
      <c r="CQ160" s="492"/>
      <c r="CS160" s="557"/>
      <c r="CV160" s="439"/>
      <c r="CW160" s="493"/>
      <c r="CX160" s="492"/>
    </row>
    <row r="161" spans="1:102" ht="15" customHeight="1">
      <c r="A161" s="436">
        <f t="shared" si="73"/>
        <v>2025</v>
      </c>
      <c r="B161" s="437">
        <f t="shared" si="72"/>
        <v>20354</v>
      </c>
      <c r="C161" s="545"/>
      <c r="D161" s="438">
        <f t="shared" si="27"/>
        <v>20</v>
      </c>
      <c r="E161" s="546"/>
      <c r="F161" s="505">
        <v>13000</v>
      </c>
      <c r="G161" s="565">
        <f>IFERROR(AC151,0)</f>
        <v>0.9039886110450942</v>
      </c>
      <c r="H161" s="505">
        <f>AC152</f>
        <v>1000.6880000000001</v>
      </c>
      <c r="I161" s="443">
        <f t="shared" si="28"/>
        <v>20354</v>
      </c>
      <c r="J161" s="467"/>
      <c r="K161" s="443"/>
      <c r="L161" s="326">
        <f t="shared" si="74"/>
        <v>10</v>
      </c>
      <c r="M161" s="557"/>
      <c r="N161" s="451"/>
      <c r="O161" s="451"/>
      <c r="P161" s="439"/>
      <c r="Q161" s="493"/>
      <c r="R161" s="492"/>
      <c r="T161" s="557"/>
      <c r="U161" s="451"/>
      <c r="V161" s="451"/>
      <c r="W161" s="439"/>
      <c r="X161" s="493"/>
      <c r="Y161" s="492"/>
      <c r="AA161" s="557"/>
      <c r="AB161" s="451"/>
      <c r="AC161" s="451"/>
      <c r="AD161" s="439"/>
      <c r="AE161" s="493"/>
      <c r="AF161" s="492"/>
      <c r="AH161" s="557"/>
      <c r="AI161" s="451"/>
      <c r="AJ161" s="451"/>
      <c r="AK161" s="439"/>
      <c r="AL161" s="493"/>
      <c r="AM161" s="492"/>
      <c r="AO161" s="557"/>
      <c r="AP161" s="451"/>
      <c r="AQ161" s="451"/>
      <c r="AR161" s="439"/>
      <c r="AS161" s="493"/>
      <c r="AT161" s="492"/>
      <c r="AV161" s="557"/>
      <c r="AW161" s="451"/>
      <c r="AX161" s="451"/>
      <c r="AY161" s="439"/>
      <c r="AZ161" s="493"/>
      <c r="BA161" s="492"/>
      <c r="BC161" s="557"/>
      <c r="BD161" s="451"/>
      <c r="BE161" s="451"/>
      <c r="BF161" s="439"/>
      <c r="BG161" s="493"/>
      <c r="BH161" s="492"/>
      <c r="BJ161" s="557"/>
      <c r="BK161" s="451"/>
      <c r="BL161" s="451"/>
      <c r="BM161" s="439"/>
      <c r="BN161" s="493"/>
      <c r="BO161" s="492"/>
      <c r="BQ161" s="557"/>
      <c r="BR161" s="451"/>
      <c r="BS161" s="451"/>
      <c r="BT161" s="439"/>
      <c r="BU161" s="493"/>
      <c r="BV161" s="492"/>
      <c r="BX161" s="557"/>
      <c r="BY161" s="451"/>
      <c r="BZ161" s="451"/>
      <c r="CA161" s="439"/>
      <c r="CB161" s="493"/>
      <c r="CC161" s="492"/>
      <c r="CE161" s="557"/>
      <c r="CF161" s="451"/>
      <c r="CG161" s="451"/>
      <c r="CH161" s="439"/>
      <c r="CI161" s="493"/>
      <c r="CJ161" s="492"/>
      <c r="CL161" s="557"/>
      <c r="CM161" s="451"/>
      <c r="CN161" s="451"/>
      <c r="CO161" s="439"/>
      <c r="CP161" s="493"/>
      <c r="CQ161" s="492"/>
      <c r="CS161" s="557"/>
      <c r="CT161" s="451"/>
      <c r="CU161" s="451"/>
      <c r="CV161" s="439"/>
      <c r="CW161" s="493"/>
      <c r="CX161" s="492"/>
    </row>
    <row r="162" spans="1:102" s="451" customFormat="1" ht="15" customHeight="1">
      <c r="A162" s="436">
        <f t="shared" si="73"/>
        <v>2026</v>
      </c>
      <c r="B162" s="437">
        <f t="shared" si="72"/>
        <v>20466</v>
      </c>
      <c r="C162" s="545"/>
      <c r="D162" s="438">
        <f t="shared" si="27"/>
        <v>21</v>
      </c>
      <c r="E162" s="546"/>
      <c r="F162" s="505">
        <v>14000</v>
      </c>
      <c r="G162" s="565">
        <f>IFERROR(AJ151,0)</f>
        <v>0.90467501455342936</v>
      </c>
      <c r="H162" s="505">
        <f>AJ152</f>
        <v>992.2059999999999</v>
      </c>
      <c r="I162" s="443">
        <f t="shared" si="28"/>
        <v>20466</v>
      </c>
      <c r="J162" s="467"/>
      <c r="K162" s="443"/>
      <c r="L162" s="326">
        <f t="shared" si="74"/>
        <v>4</v>
      </c>
      <c r="M162" s="557"/>
      <c r="Q162" s="493"/>
      <c r="R162" s="492"/>
      <c r="T162" s="557"/>
      <c r="X162" s="493"/>
      <c r="Y162" s="492"/>
      <c r="AA162" s="557"/>
      <c r="AE162" s="493"/>
      <c r="AF162" s="492"/>
      <c r="AH162" s="557"/>
      <c r="AL162" s="493"/>
      <c r="AM162" s="492"/>
      <c r="AO162" s="557"/>
      <c r="AS162" s="493"/>
      <c r="AT162" s="492"/>
      <c r="AV162" s="557"/>
      <c r="AZ162" s="493"/>
      <c r="BA162" s="492"/>
      <c r="BC162" s="557"/>
      <c r="BG162" s="493"/>
      <c r="BH162" s="492"/>
      <c r="BJ162" s="557"/>
      <c r="BN162" s="493"/>
      <c r="BO162" s="492"/>
      <c r="BQ162" s="557"/>
      <c r="BU162" s="493"/>
      <c r="BV162" s="492"/>
      <c r="BX162" s="557"/>
      <c r="CB162" s="493"/>
      <c r="CC162" s="492"/>
      <c r="CE162" s="557"/>
      <c r="CI162" s="493"/>
      <c r="CJ162" s="492"/>
      <c r="CL162" s="557"/>
      <c r="CP162" s="493"/>
      <c r="CQ162" s="492"/>
      <c r="CS162" s="557"/>
      <c r="CW162" s="493"/>
      <c r="CX162" s="492"/>
    </row>
    <row r="163" spans="1:102" s="451" customFormat="1" ht="15" customHeight="1">
      <c r="A163" s="436">
        <f t="shared" si="73"/>
        <v>2027</v>
      </c>
      <c r="B163" s="437">
        <f t="shared" si="72"/>
        <v>20574</v>
      </c>
      <c r="C163" s="545"/>
      <c r="D163" s="438">
        <f t="shared" si="27"/>
        <v>22</v>
      </c>
      <c r="E163" s="546"/>
      <c r="F163" s="505">
        <v>15000</v>
      </c>
      <c r="G163" s="565">
        <f>IFERROR(AQ151,0)</f>
        <v>0.90155709170777676</v>
      </c>
      <c r="H163" s="505">
        <f>AQ152</f>
        <v>1026.393</v>
      </c>
      <c r="I163" s="443">
        <f t="shared" si="28"/>
        <v>20574</v>
      </c>
      <c r="J163" s="467"/>
      <c r="K163" s="443"/>
      <c r="L163" s="326">
        <f t="shared" si="74"/>
        <v>13</v>
      </c>
      <c r="M163" s="557"/>
      <c r="N163" s="538"/>
      <c r="O163" s="538"/>
      <c r="P163" s="566"/>
      <c r="Q163" s="493"/>
      <c r="R163" s="492"/>
      <c r="T163" s="557"/>
      <c r="X163" s="493"/>
      <c r="Y163" s="492"/>
      <c r="AA163" s="557"/>
      <c r="AE163" s="493"/>
      <c r="AF163" s="492"/>
      <c r="AH163" s="557"/>
      <c r="AL163" s="493"/>
      <c r="AM163" s="492"/>
      <c r="AO163" s="557"/>
      <c r="AS163" s="493"/>
      <c r="AT163" s="492"/>
      <c r="AV163" s="557"/>
      <c r="AZ163" s="493"/>
      <c r="BA163" s="492"/>
      <c r="BC163" s="557"/>
      <c r="BG163" s="493"/>
      <c r="BH163" s="492"/>
      <c r="BJ163" s="557"/>
      <c r="BN163" s="493"/>
      <c r="BO163" s="492"/>
      <c r="BQ163" s="557"/>
      <c r="BU163" s="493"/>
      <c r="BV163" s="492"/>
      <c r="BX163" s="557"/>
      <c r="CB163" s="493"/>
      <c r="CC163" s="492"/>
      <c r="CE163" s="557"/>
      <c r="CI163" s="493"/>
      <c r="CJ163" s="492"/>
      <c r="CL163" s="557"/>
      <c r="CP163" s="493"/>
      <c r="CQ163" s="492"/>
      <c r="CS163" s="557"/>
      <c r="CW163" s="493"/>
      <c r="CX163" s="492"/>
    </row>
    <row r="164" spans="1:102" ht="15" customHeight="1">
      <c r="A164" s="436">
        <f t="shared" si="73"/>
        <v>2028</v>
      </c>
      <c r="B164" s="437">
        <f t="shared" si="72"/>
        <v>20679</v>
      </c>
      <c r="C164" s="520"/>
      <c r="D164" s="438">
        <f t="shared" si="27"/>
        <v>23</v>
      </c>
      <c r="E164" s="508"/>
      <c r="F164" s="548">
        <v>13500</v>
      </c>
      <c r="G164" s="565">
        <f>IFERROR(AX151,0)</f>
        <v>0.90452349810954735</v>
      </c>
      <c r="H164" s="548">
        <f>AX152</f>
        <v>994.66499999999996</v>
      </c>
      <c r="I164" s="443">
        <f t="shared" si="28"/>
        <v>20679</v>
      </c>
      <c r="J164" s="469"/>
      <c r="K164" s="469"/>
      <c r="L164" s="326">
        <f t="shared" si="74"/>
        <v>6</v>
      </c>
    </row>
    <row r="165" spans="1:102" ht="15" customHeight="1">
      <c r="A165" s="436">
        <f t="shared" si="73"/>
        <v>2029</v>
      </c>
      <c r="B165" s="437">
        <f t="shared" si="72"/>
        <v>20781</v>
      </c>
      <c r="C165" s="520"/>
      <c r="D165" s="438">
        <f t="shared" si="27"/>
        <v>24</v>
      </c>
      <c r="E165" s="508"/>
      <c r="F165" s="548">
        <v>13600</v>
      </c>
      <c r="G165" s="565">
        <f>IFERROR(BE151,0)</f>
        <v>0.90453329226063639</v>
      </c>
      <c r="H165" s="548">
        <f>BE152</f>
        <v>994.42099999999994</v>
      </c>
      <c r="I165" s="443">
        <f t="shared" si="28"/>
        <v>20781</v>
      </c>
      <c r="J165" s="469"/>
      <c r="K165" s="469"/>
      <c r="L165" s="326">
        <f t="shared" si="74"/>
        <v>5</v>
      </c>
    </row>
    <row r="166" spans="1:102" ht="15" customHeight="1">
      <c r="A166" s="436">
        <f t="shared" si="73"/>
        <v>2030</v>
      </c>
      <c r="B166" s="437">
        <f t="shared" si="72"/>
        <v>20881</v>
      </c>
      <c r="C166" s="520"/>
      <c r="D166" s="438">
        <f t="shared" si="27"/>
        <v>25</v>
      </c>
      <c r="E166" s="508"/>
      <c r="F166" s="567">
        <v>13700</v>
      </c>
      <c r="G166" s="568">
        <f>IFERROR(BL151,0)</f>
        <v>0.90476387854560958</v>
      </c>
      <c r="H166" s="567">
        <f>BL152</f>
        <v>991.83699999999999</v>
      </c>
      <c r="I166" s="443">
        <f t="shared" si="28"/>
        <v>20881</v>
      </c>
      <c r="J166" s="469"/>
      <c r="K166" s="469"/>
      <c r="L166" s="326">
        <f t="shared" si="74"/>
        <v>3</v>
      </c>
    </row>
    <row r="167" spans="1:102" ht="15" customHeight="1">
      <c r="A167" s="436">
        <f t="shared" si="73"/>
        <v>2031</v>
      </c>
      <c r="B167" s="437">
        <f t="shared" si="72"/>
        <v>20978</v>
      </c>
      <c r="C167" s="520"/>
      <c r="D167" s="438">
        <f t="shared" si="27"/>
        <v>26</v>
      </c>
      <c r="E167" s="508"/>
      <c r="F167" s="567">
        <v>13800</v>
      </c>
      <c r="G167" s="568">
        <f>IFERROR(BS151,0)</f>
        <v>0.90478087706930821</v>
      </c>
      <c r="H167" s="567">
        <f>BS152</f>
        <v>991.46199999999999</v>
      </c>
      <c r="I167" s="443">
        <f t="shared" si="28"/>
        <v>20978</v>
      </c>
      <c r="J167" s="469"/>
      <c r="K167" s="469"/>
      <c r="L167" s="326">
        <f t="shared" si="74"/>
        <v>1</v>
      </c>
    </row>
    <row r="168" spans="1:102" ht="15" customHeight="1">
      <c r="A168" s="436">
        <f t="shared" si="73"/>
        <v>2032</v>
      </c>
      <c r="B168" s="437">
        <f t="shared" si="72"/>
        <v>21072</v>
      </c>
      <c r="C168" s="520"/>
      <c r="D168" s="438">
        <f t="shared" si="27"/>
        <v>27</v>
      </c>
      <c r="E168" s="508"/>
      <c r="F168" s="567">
        <v>13900</v>
      </c>
      <c r="G168" s="568">
        <f>IFERROR(BZ151,0)</f>
        <v>0.90477905366024824</v>
      </c>
      <c r="H168" s="567">
        <f>BZ152</f>
        <v>991.33899999999994</v>
      </c>
      <c r="I168" s="443">
        <f t="shared" si="28"/>
        <v>21072</v>
      </c>
      <c r="J168" s="469"/>
      <c r="K168" s="469"/>
      <c r="L168" s="326">
        <f t="shared" si="74"/>
        <v>2</v>
      </c>
    </row>
    <row r="169" spans="1:102" ht="15" customHeight="1">
      <c r="A169" s="436">
        <f t="shared" si="73"/>
        <v>2033</v>
      </c>
      <c r="B169" s="437">
        <f t="shared" si="72"/>
        <v>21165</v>
      </c>
      <c r="C169" s="520"/>
      <c r="D169" s="438">
        <f t="shared" si="27"/>
        <v>28</v>
      </c>
      <c r="E169" s="508"/>
      <c r="F169" s="567">
        <v>13400</v>
      </c>
      <c r="G169" s="568">
        <f>IFERROR(CG151,0)</f>
        <v>0.90438894745761855</v>
      </c>
      <c r="H169" s="567">
        <f>CG152</f>
        <v>996.11800000000017</v>
      </c>
      <c r="I169" s="443">
        <f t="shared" si="28"/>
        <v>21165</v>
      </c>
      <c r="J169" s="469"/>
      <c r="K169" s="469"/>
      <c r="L169" s="326">
        <f t="shared" si="74"/>
        <v>7</v>
      </c>
    </row>
    <row r="170" spans="1:102" ht="15" customHeight="1">
      <c r="A170" s="436">
        <f t="shared" si="73"/>
        <v>2034</v>
      </c>
      <c r="B170" s="437">
        <f t="shared" si="72"/>
        <v>21255</v>
      </c>
      <c r="C170" s="520"/>
      <c r="D170" s="438">
        <f t="shared" si="27"/>
        <v>29</v>
      </c>
      <c r="E170" s="508"/>
      <c r="F170" s="567">
        <v>13200</v>
      </c>
      <c r="G170" s="568">
        <f>IFERROR(CN151,0)</f>
        <v>0.90423162860017292</v>
      </c>
      <c r="H170" s="567">
        <f>CN152</f>
        <v>997.97300000000007</v>
      </c>
      <c r="I170" s="443">
        <f t="shared" si="28"/>
        <v>21255</v>
      </c>
      <c r="J170" s="469"/>
      <c r="K170" s="469"/>
      <c r="L170" s="326">
        <f t="shared" si="74"/>
        <v>8</v>
      </c>
    </row>
    <row r="171" spans="1:102" ht="15" customHeight="1">
      <c r="A171" s="522">
        <f t="shared" si="73"/>
        <v>2035</v>
      </c>
      <c r="B171" s="523">
        <f t="shared" si="72"/>
        <v>21343</v>
      </c>
      <c r="C171" s="524"/>
      <c r="D171" s="569">
        <f t="shared" si="27"/>
        <v>30</v>
      </c>
      <c r="E171" s="525"/>
      <c r="F171" s="570">
        <v>13100</v>
      </c>
      <c r="G171" s="571">
        <f>IFERROR(CU151,0)</f>
        <v>0.90409836259347509</v>
      </c>
      <c r="H171" s="570">
        <f>CU152</f>
        <v>999.43799999999999</v>
      </c>
      <c r="I171" s="528">
        <f t="shared" si="28"/>
        <v>21343</v>
      </c>
      <c r="J171" s="529"/>
      <c r="K171" s="529"/>
      <c r="L171" s="326">
        <f t="shared" si="74"/>
        <v>9</v>
      </c>
    </row>
    <row r="172" spans="1:102" ht="15" customHeight="1">
      <c r="A172" s="522">
        <f t="shared" si="73"/>
        <v>2036</v>
      </c>
      <c r="B172" s="523">
        <f t="shared" si="72"/>
        <v>21429</v>
      </c>
      <c r="C172" s="524"/>
      <c r="D172" s="569">
        <f t="shared" si="27"/>
        <v>31</v>
      </c>
      <c r="E172" s="525"/>
      <c r="F172" s="570"/>
      <c r="G172" s="571"/>
      <c r="H172" s="570"/>
      <c r="I172" s="528">
        <f t="shared" si="28"/>
        <v>21429</v>
      </c>
      <c r="J172" s="529"/>
      <c r="K172" s="529"/>
    </row>
    <row r="173" spans="1:102" ht="15" customHeight="1">
      <c r="A173" s="522">
        <f t="shared" si="73"/>
        <v>2037</v>
      </c>
      <c r="B173" s="523">
        <f t="shared" si="72"/>
        <v>21514</v>
      </c>
      <c r="C173" s="524"/>
      <c r="D173" s="569">
        <f t="shared" si="27"/>
        <v>32</v>
      </c>
      <c r="E173" s="525"/>
      <c r="F173" s="570"/>
      <c r="G173" s="571"/>
      <c r="H173" s="570"/>
      <c r="I173" s="528">
        <f t="shared" si="28"/>
        <v>21514</v>
      </c>
      <c r="J173" s="529"/>
      <c r="K173" s="529"/>
    </row>
    <row r="174" spans="1:102" ht="15" customHeight="1">
      <c r="A174" s="522">
        <f t="shared" si="73"/>
        <v>2038</v>
      </c>
      <c r="B174" s="523">
        <f t="shared" si="72"/>
        <v>21597</v>
      </c>
      <c r="C174" s="524"/>
      <c r="D174" s="569">
        <f t="shared" si="27"/>
        <v>33</v>
      </c>
      <c r="E174" s="525"/>
      <c r="F174" s="570"/>
      <c r="G174" s="571"/>
      <c r="H174" s="570"/>
      <c r="I174" s="528">
        <f t="shared" si="28"/>
        <v>21597</v>
      </c>
      <c r="J174" s="529"/>
      <c r="K174" s="529"/>
    </row>
    <row r="175" spans="1:102" ht="15" customHeight="1">
      <c r="A175" s="491"/>
      <c r="B175" s="494"/>
      <c r="C175" s="451"/>
      <c r="D175" s="439"/>
      <c r="E175" s="439"/>
      <c r="F175" s="530"/>
      <c r="G175" s="572"/>
      <c r="H175" s="451"/>
      <c r="I175" s="538"/>
      <c r="J175" s="538"/>
      <c r="O175" s="573"/>
    </row>
    <row r="176" spans="1:102" ht="15" customHeight="1">
      <c r="A176" s="424" t="s">
        <v>333</v>
      </c>
    </row>
    <row r="177" spans="1:60" ht="15" customHeight="1">
      <c r="A177" s="427" t="s">
        <v>264</v>
      </c>
      <c r="B177" s="428" t="s">
        <v>286</v>
      </c>
      <c r="C177" s="429" t="s">
        <v>334</v>
      </c>
      <c r="D177" s="429" t="s">
        <v>287</v>
      </c>
      <c r="E177" s="496"/>
      <c r="F177" s="430"/>
      <c r="G177" s="431"/>
      <c r="H177" s="432" t="s">
        <v>288</v>
      </c>
      <c r="I177" s="433">
        <f>RSQ(I178:I188,B178:B188)</f>
        <v>0.91440121962838539</v>
      </c>
      <c r="J177" s="434" t="s">
        <v>289</v>
      </c>
      <c r="K177" s="435" t="s">
        <v>290</v>
      </c>
      <c r="M177" s="532" t="s">
        <v>334</v>
      </c>
      <c r="N177" s="430"/>
      <c r="O177" s="432" t="s">
        <v>288</v>
      </c>
      <c r="P177" s="433">
        <f>RSQ($B178:$B188,P178:P188)</f>
        <v>0.91237061869126079</v>
      </c>
      <c r="Q177" s="435" t="s">
        <v>290</v>
      </c>
      <c r="S177" s="532" t="s">
        <v>334</v>
      </c>
      <c r="T177" s="430"/>
      <c r="U177" s="432" t="s">
        <v>288</v>
      </c>
      <c r="V177" s="433">
        <f>RSQ($B178:$B188,V178:V188)</f>
        <v>0.91397530176889863</v>
      </c>
      <c r="W177" s="435" t="s">
        <v>290</v>
      </c>
      <c r="Y177" s="532" t="s">
        <v>334</v>
      </c>
      <c r="Z177" s="430"/>
      <c r="AA177" s="432" t="s">
        <v>288</v>
      </c>
      <c r="AB177" s="433">
        <f>RSQ($B178:$B188,AB178:AB188)</f>
        <v>0.91440121962838539</v>
      </c>
      <c r="AC177" s="435" t="s">
        <v>290</v>
      </c>
      <c r="AE177" s="532" t="s">
        <v>334</v>
      </c>
      <c r="AF177" s="430"/>
      <c r="AG177" s="432" t="s">
        <v>288</v>
      </c>
      <c r="AH177" s="433">
        <f>RSQ($B178:$B188,AH178:AH188)</f>
        <v>0.91434543342875307</v>
      </c>
      <c r="AI177" s="435" t="s">
        <v>290</v>
      </c>
      <c r="AK177" s="532" t="s">
        <v>334</v>
      </c>
      <c r="AL177" s="430"/>
      <c r="AM177" s="432" t="s">
        <v>288</v>
      </c>
      <c r="AN177" s="433">
        <f>RSQ($B178:$B188,AN178:AN188)</f>
        <v>0.91379504526556554</v>
      </c>
      <c r="AO177" s="435" t="s">
        <v>290</v>
      </c>
      <c r="AQ177" s="532" t="s">
        <v>334</v>
      </c>
      <c r="AR177" s="430"/>
      <c r="AS177" s="432" t="s">
        <v>288</v>
      </c>
      <c r="AT177" s="433">
        <f>RSQ($B178:$B188,AT178:AT188)</f>
        <v>0.91301594776812334</v>
      </c>
      <c r="AU177" s="435" t="s">
        <v>290</v>
      </c>
      <c r="AW177" s="532" t="s">
        <v>334</v>
      </c>
      <c r="AX177" s="430"/>
      <c r="AY177" s="432" t="s">
        <v>288</v>
      </c>
      <c r="AZ177" s="433">
        <f>RSQ($B178:$B188,AZ178:AZ188)</f>
        <v>0.91204135808901943</v>
      </c>
      <c r="BA177" s="435" t="s">
        <v>290</v>
      </c>
      <c r="BC177" s="532" t="s">
        <v>334</v>
      </c>
      <c r="BD177" s="430"/>
      <c r="BE177" s="432" t="s">
        <v>288</v>
      </c>
      <c r="BF177" s="433">
        <f>RSQ($B178:$B188,BF178:BF188)</f>
        <v>0.91108543637307737</v>
      </c>
      <c r="BG177" s="435" t="s">
        <v>290</v>
      </c>
    </row>
    <row r="178" spans="1:60" ht="15" customHeight="1">
      <c r="A178" s="436">
        <f t="shared" ref="A178:B189" si="75">A142</f>
        <v>2006</v>
      </c>
      <c r="B178" s="437">
        <f t="shared" si="75"/>
        <v>16125</v>
      </c>
      <c r="C178" s="533">
        <f t="shared" ref="C178:C188" si="76">LN(F$182/B178-1)</f>
        <v>-1.506405686535865</v>
      </c>
      <c r="D178" s="438">
        <f t="shared" ref="D178:D184" si="77">D142</f>
        <v>1</v>
      </c>
      <c r="E178" s="498" t="s">
        <v>335</v>
      </c>
      <c r="F178" s="439"/>
      <c r="H178" s="574"/>
      <c r="I178" s="502">
        <f t="shared" ref="I178:I210" si="78">ROUND($F$182/(1+EXP($F$187+$F$186*D178)),$G$1)</f>
        <v>16250</v>
      </c>
      <c r="J178" s="444">
        <f t="shared" ref="J178:J188" si="79">ABS(B178-I178)/B178*100</f>
        <v>0.77519379844961245</v>
      </c>
      <c r="K178" s="443">
        <f t="shared" ref="K178:K188" si="80">(B178-I178)^2/1000</f>
        <v>15.625</v>
      </c>
      <c r="M178" s="575">
        <f t="shared" ref="M178:M188" si="81">LN($O$181/B178-1)</f>
        <v>-1.5639755383573435</v>
      </c>
      <c r="N178" s="539" t="s">
        <v>335</v>
      </c>
      <c r="O178" s="439"/>
      <c r="P178" s="469">
        <f t="shared" ref="P178:P188" si="82">ROUND(O$181/(1+EXP(O$185+O$184*$D178)),$G$1)</f>
        <v>16176</v>
      </c>
      <c r="Q178" s="502">
        <f t="shared" ref="Q178:Q183" si="83">($B178-P178)^2/1000</f>
        <v>2.601</v>
      </c>
      <c r="S178" s="575">
        <f>LN($U$181/$B178-1)</f>
        <v>-1.5347763836650807</v>
      </c>
      <c r="T178" s="539" t="s">
        <v>335</v>
      </c>
      <c r="U178" s="439"/>
      <c r="V178" s="469">
        <f t="shared" ref="V178:V188" si="84">ROUND(U$181/(1+EXP(U$185+U$184*$D178)),$G$1)</f>
        <v>16217</v>
      </c>
      <c r="W178" s="502">
        <f t="shared" ref="W178:W183" si="85">($B178-V178)^2/1000</f>
        <v>8.4640000000000004</v>
      </c>
      <c r="Y178" s="575">
        <f>LN($AA$181/$B178-1)</f>
        <v>-1.506405686535865</v>
      </c>
      <c r="Z178" s="539" t="s">
        <v>335</v>
      </c>
      <c r="AA178" s="439"/>
      <c r="AB178" s="469">
        <f t="shared" ref="AB178:AB188" si="86">ROUND(AA$181/(1+EXP(AA$185+AA$184*$D178)),$G$1)</f>
        <v>16250</v>
      </c>
      <c r="AC178" s="502">
        <f t="shared" ref="AC178:AC185" si="87">($B178-AB178)^2/1000</f>
        <v>15.625</v>
      </c>
      <c r="AE178" s="575">
        <f>LN($AG$181/$B178-1)</f>
        <v>-1.4788177300170358</v>
      </c>
      <c r="AF178" s="539" t="s">
        <v>335</v>
      </c>
      <c r="AG178" s="439"/>
      <c r="AH178" s="469">
        <f t="shared" ref="AH178:AH188" si="88">ROUND(AG$181/(1+EXP(AG$185+AG$184*$D178)),$G$1)</f>
        <v>16277</v>
      </c>
      <c r="AI178" s="502">
        <f t="shared" ref="AI178:AI185" si="89">($B178-AH178)^2/1000</f>
        <v>23.103999999999999</v>
      </c>
      <c r="AK178" s="575">
        <f>LN($AM$181/$B178-1)</f>
        <v>-1.4519704799808484</v>
      </c>
      <c r="AL178" s="539" t="s">
        <v>335</v>
      </c>
      <c r="AM178" s="439"/>
      <c r="AN178" s="469">
        <f t="shared" ref="AN178:AN188" si="90">ROUND(AM$181/(1+EXP(AM$185+AM$184*$D178)),$G$1)</f>
        <v>16298</v>
      </c>
      <c r="AO178" s="502">
        <f t="shared" ref="AO178:AO187" si="91">($B178-AN178)^2/1000</f>
        <v>29.928999999999998</v>
      </c>
      <c r="AQ178" s="575">
        <f>LN($AS$181/$B178-1)</f>
        <v>-1.4258251998765259</v>
      </c>
      <c r="AR178" s="539" t="s">
        <v>335</v>
      </c>
      <c r="AS178" s="439"/>
      <c r="AT178" s="469">
        <f t="shared" ref="AT178:AT188" si="92">ROUND(AS$181/(1+EXP(AS$185+AS$184*$D178)),$G$1)</f>
        <v>16317</v>
      </c>
      <c r="AU178" s="502">
        <f t="shared" ref="AU178:AU185" si="93">($B178-AT178)^2/1000</f>
        <v>36.863999999999997</v>
      </c>
      <c r="AW178" s="575">
        <f>LN($AY$181/$B178-1)</f>
        <v>-1.4003461145755407</v>
      </c>
      <c r="AX178" s="539" t="s">
        <v>335</v>
      </c>
      <c r="AY178" s="439"/>
      <c r="AZ178" s="469">
        <f t="shared" ref="AZ178:AZ188" si="94">ROUND(AY$181/(1+EXP(AY$185+AY$184*$D178)),$G$1)</f>
        <v>16333</v>
      </c>
      <c r="BA178" s="502">
        <f t="shared" ref="BA178:BA185" si="95">($B178-AZ178)^2/1000</f>
        <v>43.264000000000003</v>
      </c>
      <c r="BC178" s="575">
        <f>LN($BE$181/$B178-1)</f>
        <v>-1.3755001159890097</v>
      </c>
      <c r="BD178" s="539" t="s">
        <v>335</v>
      </c>
      <c r="BE178" s="439"/>
      <c r="BF178" s="469">
        <f t="shared" ref="BF178:BF188" si="96">ROUND(BE$181/(1+EXP(BE$185+BE$184*$D178)),$G$1)</f>
        <v>16347</v>
      </c>
      <c r="BG178" s="502">
        <f t="shared" ref="BG178:BG185" si="97">($B178-BF178)^2/1000</f>
        <v>49.283999999999999</v>
      </c>
    </row>
    <row r="179" spans="1:60" ht="15" customHeight="1">
      <c r="A179" s="436">
        <f t="shared" si="75"/>
        <v>2007</v>
      </c>
      <c r="B179" s="437">
        <f t="shared" si="75"/>
        <v>16912</v>
      </c>
      <c r="C179" s="533">
        <f t="shared" si="76"/>
        <v>-1.8026989362296044</v>
      </c>
      <c r="D179" s="438">
        <f t="shared" si="77"/>
        <v>2</v>
      </c>
      <c r="E179" s="498" t="s">
        <v>336</v>
      </c>
      <c r="F179" s="439"/>
      <c r="H179" s="574"/>
      <c r="I179" s="443">
        <f t="shared" si="78"/>
        <v>16763</v>
      </c>
      <c r="J179" s="446">
        <f t="shared" si="79"/>
        <v>0.88103122043519388</v>
      </c>
      <c r="K179" s="443">
        <f t="shared" si="80"/>
        <v>22.201000000000001</v>
      </c>
      <c r="M179" s="576">
        <f t="shared" si="81"/>
        <v>-1.8771380524892272</v>
      </c>
      <c r="N179" s="539"/>
      <c r="O179" s="439"/>
      <c r="P179" s="469">
        <f t="shared" si="82"/>
        <v>16749</v>
      </c>
      <c r="Q179" s="443">
        <f t="shared" si="83"/>
        <v>26.568999999999999</v>
      </c>
      <c r="S179" s="576">
        <f t="shared" ref="S179:S188" si="98">LN($U$181/$B179-1)</f>
        <v>-1.8392260064669792</v>
      </c>
      <c r="T179" s="539"/>
      <c r="U179" s="439"/>
      <c r="V179" s="469">
        <f t="shared" si="84"/>
        <v>16757</v>
      </c>
      <c r="W179" s="443">
        <f t="shared" si="85"/>
        <v>24.024999999999999</v>
      </c>
      <c r="Y179" s="576">
        <f t="shared" ref="Y179:Y188" si="99">LN($AA$181/$B179-1)</f>
        <v>-1.8026989362296044</v>
      </c>
      <c r="Z179" s="539"/>
      <c r="AA179" s="439"/>
      <c r="AB179" s="469">
        <f t="shared" si="86"/>
        <v>16763</v>
      </c>
      <c r="AC179" s="443">
        <f t="shared" si="87"/>
        <v>22.201000000000001</v>
      </c>
      <c r="AE179" s="576">
        <f t="shared" ref="AE179:AE188" si="100">LN($AG$181/$B179-1)</f>
        <v>-1.7674592080973019</v>
      </c>
      <c r="AF179" s="539"/>
      <c r="AG179" s="439"/>
      <c r="AH179" s="469">
        <f t="shared" si="88"/>
        <v>16768</v>
      </c>
      <c r="AI179" s="443">
        <f t="shared" si="89"/>
        <v>20.736000000000001</v>
      </c>
      <c r="AK179" s="576">
        <f t="shared" ref="AK179:AK188" si="101">LN($AM$181/$B179-1)</f>
        <v>-1.7334191618573105</v>
      </c>
      <c r="AL179" s="539"/>
      <c r="AM179" s="439"/>
      <c r="AN179" s="469">
        <f t="shared" si="90"/>
        <v>16773</v>
      </c>
      <c r="AO179" s="443">
        <f t="shared" si="91"/>
        <v>19.321000000000002</v>
      </c>
      <c r="AQ179" s="576">
        <f t="shared" ref="AQ179:AQ188" si="102">LN($AS$181/$B179-1)</f>
        <v>-1.7004997969653526</v>
      </c>
      <c r="AR179" s="539"/>
      <c r="AS179" s="439"/>
      <c r="AT179" s="469">
        <f t="shared" si="92"/>
        <v>16776</v>
      </c>
      <c r="AU179" s="443">
        <f t="shared" si="93"/>
        <v>18.495999999999999</v>
      </c>
      <c r="AW179" s="576">
        <f t="shared" ref="AW179:AW188" si="103">LN($AY$181/$B179-1)</f>
        <v>-1.6686296681999133</v>
      </c>
      <c r="AX179" s="539"/>
      <c r="AY179" s="439"/>
      <c r="AZ179" s="469">
        <f t="shared" si="94"/>
        <v>16779</v>
      </c>
      <c r="BA179" s="443">
        <f t="shared" si="95"/>
        <v>17.689</v>
      </c>
      <c r="BC179" s="576">
        <f t="shared" ref="BC179:BC188" si="104">LN($BE$181/$B179-1)</f>
        <v>-1.6377439519339483</v>
      </c>
      <c r="BD179" s="539"/>
      <c r="BE179" s="439"/>
      <c r="BF179" s="469">
        <f t="shared" si="96"/>
        <v>16782</v>
      </c>
      <c r="BG179" s="443">
        <f t="shared" si="97"/>
        <v>16.899999999999999</v>
      </c>
    </row>
    <row r="180" spans="1:60" ht="15" customHeight="1">
      <c r="A180" s="436">
        <f t="shared" si="75"/>
        <v>2008</v>
      </c>
      <c r="B180" s="437">
        <f t="shared" si="75"/>
        <v>17123</v>
      </c>
      <c r="C180" s="533">
        <f t="shared" si="76"/>
        <v>-1.8937966573366067</v>
      </c>
      <c r="D180" s="438">
        <f t="shared" si="77"/>
        <v>3</v>
      </c>
      <c r="H180" s="574"/>
      <c r="I180" s="443">
        <f t="shared" si="78"/>
        <v>17211</v>
      </c>
      <c r="J180" s="446">
        <f t="shared" si="79"/>
        <v>0.51392863400105115</v>
      </c>
      <c r="K180" s="443">
        <f t="shared" si="80"/>
        <v>7.7439999999999998</v>
      </c>
      <c r="M180" s="576">
        <f t="shared" si="81"/>
        <v>-1.9745834006287775</v>
      </c>
      <c r="N180" s="539" t="s">
        <v>336</v>
      </c>
      <c r="O180" s="439"/>
      <c r="P180" s="469">
        <f t="shared" si="82"/>
        <v>17237</v>
      </c>
      <c r="Q180" s="443">
        <f t="shared" si="83"/>
        <v>12.996</v>
      </c>
      <c r="S180" s="576">
        <f t="shared" si="98"/>
        <v>-1.9333744384996112</v>
      </c>
      <c r="T180" s="539" t="s">
        <v>336</v>
      </c>
      <c r="U180" s="439"/>
      <c r="V180" s="469">
        <f t="shared" si="84"/>
        <v>17223</v>
      </c>
      <c r="W180" s="443">
        <f t="shared" si="85"/>
        <v>10</v>
      </c>
      <c r="Y180" s="576">
        <f t="shared" si="99"/>
        <v>-1.8937966573366067</v>
      </c>
      <c r="Z180" s="539" t="s">
        <v>336</v>
      </c>
      <c r="AA180" s="439"/>
      <c r="AB180" s="469">
        <f t="shared" si="86"/>
        <v>17211</v>
      </c>
      <c r="AC180" s="443">
        <f t="shared" si="87"/>
        <v>7.7439999999999998</v>
      </c>
      <c r="AE180" s="576">
        <f t="shared" si="100"/>
        <v>-1.8557258244686188</v>
      </c>
      <c r="AF180" s="539" t="s">
        <v>336</v>
      </c>
      <c r="AG180" s="439"/>
      <c r="AH180" s="469">
        <f t="shared" si="88"/>
        <v>17202</v>
      </c>
      <c r="AI180" s="443">
        <f t="shared" si="89"/>
        <v>6.2409999999999997</v>
      </c>
      <c r="AK180" s="576">
        <f t="shared" si="101"/>
        <v>-1.8190513806821713</v>
      </c>
      <c r="AL180" s="539" t="s">
        <v>336</v>
      </c>
      <c r="AM180" s="439"/>
      <c r="AN180" s="469">
        <f t="shared" si="90"/>
        <v>17195</v>
      </c>
      <c r="AO180" s="443">
        <f t="shared" si="91"/>
        <v>5.1840000000000002</v>
      </c>
      <c r="AQ180" s="576">
        <f t="shared" si="102"/>
        <v>-1.7836745044374238</v>
      </c>
      <c r="AR180" s="539" t="s">
        <v>336</v>
      </c>
      <c r="AS180" s="439"/>
      <c r="AT180" s="469">
        <f t="shared" si="92"/>
        <v>17188</v>
      </c>
      <c r="AU180" s="443">
        <f t="shared" si="93"/>
        <v>4.2249999999999996</v>
      </c>
      <c r="AW180" s="576">
        <f t="shared" si="103"/>
        <v>-1.749506506973195</v>
      </c>
      <c r="AX180" s="539" t="s">
        <v>336</v>
      </c>
      <c r="AY180" s="439"/>
      <c r="AZ180" s="469">
        <f t="shared" si="94"/>
        <v>17183</v>
      </c>
      <c r="BA180" s="443">
        <f t="shared" si="95"/>
        <v>3.6</v>
      </c>
      <c r="BC180" s="576">
        <f t="shared" si="104"/>
        <v>-1.716467492666929</v>
      </c>
      <c r="BD180" s="539" t="s">
        <v>336</v>
      </c>
      <c r="BE180" s="439"/>
      <c r="BF180" s="469">
        <f t="shared" si="96"/>
        <v>17178</v>
      </c>
      <c r="BG180" s="443">
        <f t="shared" si="97"/>
        <v>3.0249999999999999</v>
      </c>
    </row>
    <row r="181" spans="1:60" ht="15" customHeight="1">
      <c r="A181" s="436">
        <f t="shared" si="75"/>
        <v>2009</v>
      </c>
      <c r="B181" s="437">
        <f t="shared" si="75"/>
        <v>17334</v>
      </c>
      <c r="C181" s="533">
        <f t="shared" si="76"/>
        <v>-1.9914691251559578</v>
      </c>
      <c r="D181" s="438">
        <f t="shared" si="77"/>
        <v>4</v>
      </c>
      <c r="E181" s="540"/>
      <c r="G181" s="451"/>
      <c r="H181" s="442"/>
      <c r="I181" s="443">
        <f t="shared" si="78"/>
        <v>17600</v>
      </c>
      <c r="J181" s="446">
        <f t="shared" si="79"/>
        <v>1.5345563632167993</v>
      </c>
      <c r="K181" s="443">
        <f t="shared" si="80"/>
        <v>70.756</v>
      </c>
      <c r="M181" s="576">
        <f t="shared" si="81"/>
        <v>-2.0797877421333539</v>
      </c>
      <c r="N181" s="439" t="s">
        <v>337</v>
      </c>
      <c r="O181" s="577">
        <f>E200</f>
        <v>19500</v>
      </c>
      <c r="P181" s="469">
        <f t="shared" si="82"/>
        <v>17648</v>
      </c>
      <c r="Q181" s="443">
        <f t="shared" si="83"/>
        <v>98.596000000000004</v>
      </c>
      <c r="S181" s="576">
        <f t="shared" si="98"/>
        <v>-2.0346537281063379</v>
      </c>
      <c r="T181" s="439" t="s">
        <v>337</v>
      </c>
      <c r="U181" s="363">
        <f>E201</f>
        <v>19600</v>
      </c>
      <c r="V181" s="469">
        <f t="shared" si="84"/>
        <v>17621</v>
      </c>
      <c r="W181" s="443">
        <f t="shared" si="85"/>
        <v>82.369</v>
      </c>
      <c r="Y181" s="576">
        <f t="shared" si="99"/>
        <v>-1.9914691251559578</v>
      </c>
      <c r="Z181" s="439" t="s">
        <v>337</v>
      </c>
      <c r="AA181" s="363">
        <f>E202</f>
        <v>19700</v>
      </c>
      <c r="AB181" s="469">
        <f t="shared" si="86"/>
        <v>17600</v>
      </c>
      <c r="AC181" s="443">
        <f t="shared" si="87"/>
        <v>70.756</v>
      </c>
      <c r="AE181" s="576">
        <f t="shared" si="100"/>
        <v>-1.9500724859700003</v>
      </c>
      <c r="AF181" s="439" t="s">
        <v>337</v>
      </c>
      <c r="AG181" s="363">
        <f>E203</f>
        <v>19800</v>
      </c>
      <c r="AH181" s="469">
        <f t="shared" si="88"/>
        <v>17582</v>
      </c>
      <c r="AI181" s="443">
        <f t="shared" si="89"/>
        <v>61.503999999999998</v>
      </c>
      <c r="AK181" s="576">
        <f t="shared" si="101"/>
        <v>-1.9103216245187082</v>
      </c>
      <c r="AL181" s="439" t="s">
        <v>337</v>
      </c>
      <c r="AM181" s="363">
        <f>E204</f>
        <v>19900</v>
      </c>
      <c r="AN181" s="469">
        <f t="shared" si="90"/>
        <v>17568</v>
      </c>
      <c r="AO181" s="443">
        <f t="shared" si="91"/>
        <v>54.756</v>
      </c>
      <c r="AQ181" s="576">
        <f t="shared" si="102"/>
        <v>-1.872090668955636</v>
      </c>
      <c r="AR181" s="439" t="s">
        <v>337</v>
      </c>
      <c r="AS181" s="363">
        <f>E205</f>
        <v>20000</v>
      </c>
      <c r="AT181" s="469">
        <f t="shared" si="92"/>
        <v>17555</v>
      </c>
      <c r="AU181" s="443">
        <f t="shared" si="93"/>
        <v>48.841000000000001</v>
      </c>
      <c r="AW181" s="576">
        <f t="shared" si="103"/>
        <v>-1.8352676574695865</v>
      </c>
      <c r="AX181" s="439" t="s">
        <v>337</v>
      </c>
      <c r="AY181" s="363">
        <f>E206</f>
        <v>20100</v>
      </c>
      <c r="AZ181" s="469">
        <f t="shared" si="94"/>
        <v>17544</v>
      </c>
      <c r="BA181" s="443">
        <f t="shared" si="95"/>
        <v>44.1</v>
      </c>
      <c r="BC181" s="576">
        <f t="shared" si="104"/>
        <v>-1.7997525613061729</v>
      </c>
      <c r="BD181" s="439" t="s">
        <v>337</v>
      </c>
      <c r="BE181" s="363">
        <f>E207</f>
        <v>20200</v>
      </c>
      <c r="BF181" s="469">
        <f t="shared" si="96"/>
        <v>17534</v>
      </c>
      <c r="BG181" s="443">
        <f t="shared" si="97"/>
        <v>40</v>
      </c>
    </row>
    <row r="182" spans="1:60" ht="15" customHeight="1">
      <c r="A182" s="436">
        <f t="shared" si="75"/>
        <v>2010</v>
      </c>
      <c r="B182" s="437">
        <f t="shared" si="75"/>
        <v>17604</v>
      </c>
      <c r="C182" s="533">
        <f t="shared" si="76"/>
        <v>-2.1280953824900499</v>
      </c>
      <c r="D182" s="438">
        <f t="shared" si="77"/>
        <v>5</v>
      </c>
      <c r="E182" s="540" t="s">
        <v>337</v>
      </c>
      <c r="F182" s="577">
        <f>INDEX(E200:L207,MATCH(1,L200:L207,0),1)</f>
        <v>19700</v>
      </c>
      <c r="G182" s="451"/>
      <c r="I182" s="443">
        <f t="shared" si="78"/>
        <v>17934</v>
      </c>
      <c r="J182" s="446">
        <f t="shared" si="79"/>
        <v>1.8745739604635312</v>
      </c>
      <c r="K182" s="443">
        <f t="shared" si="80"/>
        <v>108.9</v>
      </c>
      <c r="M182" s="576">
        <f t="shared" si="81"/>
        <v>-2.2283797451160154</v>
      </c>
      <c r="N182" s="578" t="s">
        <v>338</v>
      </c>
      <c r="O182" s="505">
        <f>MAX($B178:$B188)</f>
        <v>19159</v>
      </c>
      <c r="P182" s="469">
        <f t="shared" si="82"/>
        <v>17991</v>
      </c>
      <c r="Q182" s="443">
        <f t="shared" si="83"/>
        <v>149.76900000000001</v>
      </c>
      <c r="S182" s="576">
        <f t="shared" si="98"/>
        <v>-2.1769809710595722</v>
      </c>
      <c r="T182" s="578" t="s">
        <v>338</v>
      </c>
      <c r="U182" s="505">
        <f>MAX($B178:$B188)</f>
        <v>19159</v>
      </c>
      <c r="V182" s="469">
        <f t="shared" si="84"/>
        <v>17959</v>
      </c>
      <c r="W182" s="443">
        <f t="shared" si="85"/>
        <v>126.02500000000001</v>
      </c>
      <c r="Y182" s="576">
        <f t="shared" si="99"/>
        <v>-2.1280953824900499</v>
      </c>
      <c r="Z182" s="578" t="s">
        <v>338</v>
      </c>
      <c r="AA182" s="505">
        <f>MAX($B178:$B188)</f>
        <v>19159</v>
      </c>
      <c r="AB182" s="469">
        <f t="shared" si="86"/>
        <v>17934</v>
      </c>
      <c r="AC182" s="443">
        <f t="shared" si="87"/>
        <v>108.9</v>
      </c>
      <c r="AE182" s="576">
        <f t="shared" si="100"/>
        <v>-2.0814886253015605</v>
      </c>
      <c r="AF182" s="578" t="s">
        <v>338</v>
      </c>
      <c r="AG182" s="505">
        <f>MAX($B178:$B188)</f>
        <v>19159</v>
      </c>
      <c r="AH182" s="469">
        <f t="shared" si="88"/>
        <v>17913</v>
      </c>
      <c r="AI182" s="443">
        <f t="shared" si="89"/>
        <v>95.480999999999995</v>
      </c>
      <c r="AK182" s="576">
        <f t="shared" si="101"/>
        <v>-2.036957670491526</v>
      </c>
      <c r="AL182" s="578" t="s">
        <v>338</v>
      </c>
      <c r="AM182" s="505">
        <f>MAX($B178:$B188)</f>
        <v>19159</v>
      </c>
      <c r="AN182" s="469">
        <f t="shared" si="90"/>
        <v>17895</v>
      </c>
      <c r="AO182" s="443">
        <f t="shared" si="91"/>
        <v>84.680999999999997</v>
      </c>
      <c r="AQ182" s="576">
        <f t="shared" si="102"/>
        <v>-1.9943254686956422</v>
      </c>
      <c r="AR182" s="578" t="s">
        <v>338</v>
      </c>
      <c r="AS182" s="505">
        <f>MAX($B178:$B188)</f>
        <v>19159</v>
      </c>
      <c r="AT182" s="469">
        <f t="shared" si="92"/>
        <v>17880</v>
      </c>
      <c r="AU182" s="443">
        <f t="shared" si="93"/>
        <v>76.176000000000002</v>
      </c>
      <c r="AW182" s="576">
        <f t="shared" si="103"/>
        <v>-1.9534366984416631</v>
      </c>
      <c r="AX182" s="578" t="s">
        <v>338</v>
      </c>
      <c r="AY182" s="505">
        <f>MAX($B178:$B188)</f>
        <v>19159</v>
      </c>
      <c r="AZ182" s="469">
        <f t="shared" si="94"/>
        <v>17867</v>
      </c>
      <c r="BA182" s="443">
        <f t="shared" si="95"/>
        <v>69.168999999999997</v>
      </c>
      <c r="BC182" s="576">
        <f t="shared" si="104"/>
        <v>-1.9141543501070015</v>
      </c>
      <c r="BD182" s="578" t="s">
        <v>338</v>
      </c>
      <c r="BE182" s="505">
        <f>MAX($B178:$B188)</f>
        <v>19159</v>
      </c>
      <c r="BF182" s="469">
        <f t="shared" si="96"/>
        <v>17855</v>
      </c>
      <c r="BG182" s="443">
        <f t="shared" si="97"/>
        <v>63.000999999999998</v>
      </c>
    </row>
    <row r="183" spans="1:60" ht="15" customHeight="1">
      <c r="A183" s="436">
        <f t="shared" si="75"/>
        <v>2011</v>
      </c>
      <c r="B183" s="437">
        <f t="shared" si="75"/>
        <v>17831</v>
      </c>
      <c r="C183" s="533">
        <f t="shared" si="76"/>
        <v>-2.2555349870784838</v>
      </c>
      <c r="D183" s="438">
        <f t="shared" si="77"/>
        <v>6</v>
      </c>
      <c r="E183" s="578" t="s">
        <v>338</v>
      </c>
      <c r="F183" s="505">
        <f>MAX(B178:B188)</f>
        <v>19159</v>
      </c>
      <c r="G183" s="451"/>
      <c r="H183" s="442"/>
      <c r="I183" s="443">
        <f t="shared" si="78"/>
        <v>18219</v>
      </c>
      <c r="J183" s="446">
        <f t="shared" si="79"/>
        <v>2.1759856429813245</v>
      </c>
      <c r="K183" s="443">
        <f t="shared" si="80"/>
        <v>150.54400000000001</v>
      </c>
      <c r="M183" s="576">
        <f t="shared" si="81"/>
        <v>-2.3687138708722122</v>
      </c>
      <c r="N183" s="578" t="s">
        <v>339</v>
      </c>
      <c r="O183" s="505">
        <f>AVERAGE($B184:$B188)</f>
        <v>18907.8</v>
      </c>
      <c r="P183" s="469">
        <f t="shared" si="82"/>
        <v>18275</v>
      </c>
      <c r="Q183" s="443">
        <f t="shared" si="83"/>
        <v>197.136</v>
      </c>
      <c r="S183" s="576">
        <f t="shared" si="98"/>
        <v>-2.3105241003742618</v>
      </c>
      <c r="T183" s="578" t="s">
        <v>339</v>
      </c>
      <c r="U183" s="505">
        <f>AVERAGE($B184:$B188)</f>
        <v>18907.8</v>
      </c>
      <c r="V183" s="469">
        <f t="shared" si="84"/>
        <v>18244</v>
      </c>
      <c r="W183" s="443">
        <f t="shared" si="85"/>
        <v>170.56899999999999</v>
      </c>
      <c r="Y183" s="576">
        <f t="shared" si="99"/>
        <v>-2.2555349870784838</v>
      </c>
      <c r="Z183" s="578" t="s">
        <v>339</v>
      </c>
      <c r="AA183" s="505">
        <f>AVERAGE($B184:$B188)</f>
        <v>18907.8</v>
      </c>
      <c r="AB183" s="469">
        <f t="shared" si="86"/>
        <v>18219</v>
      </c>
      <c r="AC183" s="443">
        <f t="shared" si="87"/>
        <v>150.54400000000001</v>
      </c>
      <c r="AE183" s="576">
        <f t="shared" si="100"/>
        <v>-2.2034127158949208</v>
      </c>
      <c r="AF183" s="578" t="s">
        <v>339</v>
      </c>
      <c r="AG183" s="505">
        <f>AVERAGE($B184:$B188)</f>
        <v>18907.8</v>
      </c>
      <c r="AH183" s="469">
        <f t="shared" si="88"/>
        <v>18199</v>
      </c>
      <c r="AI183" s="443">
        <f t="shared" si="89"/>
        <v>135.42400000000001</v>
      </c>
      <c r="AK183" s="576">
        <f t="shared" si="101"/>
        <v>-2.1538731167885032</v>
      </c>
      <c r="AL183" s="578" t="s">
        <v>339</v>
      </c>
      <c r="AM183" s="505">
        <f>AVERAGE($B184:$B188)</f>
        <v>18907.8</v>
      </c>
      <c r="AN183" s="469">
        <f t="shared" si="90"/>
        <v>18181</v>
      </c>
      <c r="AO183" s="443">
        <f t="shared" si="91"/>
        <v>122.5</v>
      </c>
      <c r="AQ183" s="576">
        <f t="shared" si="102"/>
        <v>-2.1066722837071716</v>
      </c>
      <c r="AR183" s="578" t="s">
        <v>339</v>
      </c>
      <c r="AS183" s="505">
        <f>AVERAGE($B184:$B188)</f>
        <v>18907.8</v>
      </c>
      <c r="AT183" s="469">
        <f t="shared" si="92"/>
        <v>18166</v>
      </c>
      <c r="AU183" s="443">
        <f t="shared" si="93"/>
        <v>112.22499999999999</v>
      </c>
      <c r="AW183" s="576">
        <f t="shared" si="103"/>
        <v>-2.0615993097542056</v>
      </c>
      <c r="AX183" s="578" t="s">
        <v>339</v>
      </c>
      <c r="AY183" s="505">
        <f>AVERAGE($B184:$B188)</f>
        <v>18907.8</v>
      </c>
      <c r="AZ183" s="469">
        <f t="shared" si="94"/>
        <v>18153</v>
      </c>
      <c r="BA183" s="443">
        <f t="shared" si="95"/>
        <v>103.684</v>
      </c>
      <c r="BC183" s="576">
        <f t="shared" si="104"/>
        <v>-2.0184705903752618</v>
      </c>
      <c r="BD183" s="578" t="s">
        <v>339</v>
      </c>
      <c r="BE183" s="505">
        <f>AVERAGE($B184:$B188)</f>
        <v>18907.8</v>
      </c>
      <c r="BF183" s="469">
        <f t="shared" si="96"/>
        <v>18142</v>
      </c>
      <c r="BG183" s="443">
        <f t="shared" si="97"/>
        <v>96.721000000000004</v>
      </c>
    </row>
    <row r="184" spans="1:60" ht="15" customHeight="1">
      <c r="A184" s="436">
        <f t="shared" si="75"/>
        <v>2012</v>
      </c>
      <c r="B184" s="437">
        <f t="shared" si="75"/>
        <v>18702</v>
      </c>
      <c r="C184" s="533">
        <f t="shared" si="76"/>
        <v>-2.9306324726839272</v>
      </c>
      <c r="D184" s="438">
        <f t="shared" si="77"/>
        <v>7</v>
      </c>
      <c r="E184" s="578" t="s">
        <v>339</v>
      </c>
      <c r="F184" s="505">
        <f>AVERAGE(B184:B188)</f>
        <v>18907.8</v>
      </c>
      <c r="G184" s="451"/>
      <c r="H184" s="442"/>
      <c r="I184" s="443">
        <f t="shared" si="78"/>
        <v>18462</v>
      </c>
      <c r="J184" s="446">
        <f t="shared" si="79"/>
        <v>1.2832852101379533</v>
      </c>
      <c r="K184" s="443">
        <f t="shared" si="80"/>
        <v>57.6</v>
      </c>
      <c r="M184" s="576">
        <f t="shared" si="81"/>
        <v>-3.154277151545581</v>
      </c>
      <c r="N184" s="579" t="s">
        <v>340</v>
      </c>
      <c r="O184" s="504">
        <f>INDEX(LINEST(M178:M188,$D178:$D188),1)</f>
        <v>-0.22410429357815106</v>
      </c>
      <c r="P184" s="469">
        <f t="shared" si="82"/>
        <v>18509</v>
      </c>
      <c r="Q184" s="443">
        <f>($B184-P184)^2/1000</f>
        <v>37.249000000000002</v>
      </c>
      <c r="S184" s="576">
        <f t="shared" si="98"/>
        <v>-3.0362156806931933</v>
      </c>
      <c r="T184" s="579" t="s">
        <v>340</v>
      </c>
      <c r="U184" s="504">
        <f>INDEX(LINEST(S178:S188,$D178:$D188),1)</f>
        <v>-0.20640149655144438</v>
      </c>
      <c r="V184" s="469">
        <f t="shared" si="84"/>
        <v>18483</v>
      </c>
      <c r="W184" s="443">
        <f>($B184-V184)^2/1000</f>
        <v>47.960999999999999</v>
      </c>
      <c r="Y184" s="576">
        <f t="shared" si="99"/>
        <v>-2.9306324726839272</v>
      </c>
      <c r="Z184" s="579" t="s">
        <v>340</v>
      </c>
      <c r="AA184" s="504">
        <f>INDEX(LINEST(Y178:Y188,$D178:$D188),1)</f>
        <v>-0.19205581430942625</v>
      </c>
      <c r="AB184" s="469">
        <f t="shared" si="86"/>
        <v>18462</v>
      </c>
      <c r="AC184" s="443">
        <f t="shared" si="87"/>
        <v>57.6</v>
      </c>
      <c r="AE184" s="576">
        <f t="shared" si="100"/>
        <v>-2.8351401269259178</v>
      </c>
      <c r="AF184" s="579" t="s">
        <v>340</v>
      </c>
      <c r="AG184" s="504">
        <f>INDEX(LINEST(AE178:AE188,$D178:$D188),1)</f>
        <v>-0.18006979317146024</v>
      </c>
      <c r="AH184" s="469">
        <f t="shared" si="88"/>
        <v>18445</v>
      </c>
      <c r="AI184" s="443">
        <f t="shared" si="89"/>
        <v>66.049000000000007</v>
      </c>
      <c r="AK184" s="576">
        <f t="shared" si="101"/>
        <v>-2.7479769703199977</v>
      </c>
      <c r="AL184" s="579" t="s">
        <v>340</v>
      </c>
      <c r="AM184" s="504">
        <f>INDEX(LINEST(AK178:AK188,$D178:$D188),1)</f>
        <v>-0.16983783830019133</v>
      </c>
      <c r="AN184" s="469">
        <f t="shared" si="90"/>
        <v>18430</v>
      </c>
      <c r="AO184" s="443">
        <f t="shared" si="91"/>
        <v>73.983999999999995</v>
      </c>
      <c r="AQ184" s="576">
        <f t="shared" si="102"/>
        <v>-2.6678058517313561</v>
      </c>
      <c r="AR184" s="579" t="s">
        <v>340</v>
      </c>
      <c r="AS184" s="504">
        <f>INDEX(LINEST(AQ178:AQ188,$D178:$D188),1)</f>
        <v>-0.16096134151712357</v>
      </c>
      <c r="AT184" s="469">
        <f t="shared" si="92"/>
        <v>18417</v>
      </c>
      <c r="AU184" s="443">
        <f t="shared" si="93"/>
        <v>81.224999999999994</v>
      </c>
      <c r="AW184" s="576">
        <f t="shared" si="103"/>
        <v>-2.5935878262016376</v>
      </c>
      <c r="AX184" s="579" t="s">
        <v>340</v>
      </c>
      <c r="AY184" s="504">
        <f>INDEX(LINEST(AW178:AW188,$D178:$D188),1)</f>
        <v>-0.15316272827045643</v>
      </c>
      <c r="AZ184" s="469">
        <f t="shared" si="94"/>
        <v>18406</v>
      </c>
      <c r="BA184" s="443">
        <f t="shared" si="95"/>
        <v>87.616</v>
      </c>
      <c r="BC184" s="576">
        <f t="shared" si="104"/>
        <v>-2.5244995849182272</v>
      </c>
      <c r="BD184" s="579" t="s">
        <v>340</v>
      </c>
      <c r="BE184" s="504">
        <f>INDEX(LINEST(BC178:BC188,$D178:$D188),1)</f>
        <v>-0.14624047956230363</v>
      </c>
      <c r="BF184" s="469">
        <f t="shared" si="96"/>
        <v>18397</v>
      </c>
      <c r="BG184" s="443">
        <f t="shared" si="97"/>
        <v>93.025000000000006</v>
      </c>
    </row>
    <row r="185" spans="1:60" ht="15" customHeight="1">
      <c r="A185" s="436">
        <f t="shared" si="75"/>
        <v>2013</v>
      </c>
      <c r="B185" s="437">
        <f t="shared" si="75"/>
        <v>19159</v>
      </c>
      <c r="C185" s="533">
        <f t="shared" si="76"/>
        <v>-3.5671085792495134</v>
      </c>
      <c r="D185" s="438">
        <f t="shared" ref="D185:D210" si="105">D184+1</f>
        <v>8</v>
      </c>
      <c r="G185" s="451"/>
      <c r="H185" s="442"/>
      <c r="I185" s="443">
        <f t="shared" si="78"/>
        <v>18667</v>
      </c>
      <c r="J185" s="446">
        <f t="shared" si="79"/>
        <v>2.5679837152252203</v>
      </c>
      <c r="K185" s="443">
        <f t="shared" si="80"/>
        <v>242.06399999999999</v>
      </c>
      <c r="M185" s="576">
        <f t="shared" si="81"/>
        <v>-4.0286453808124767</v>
      </c>
      <c r="N185" s="439" t="s">
        <v>305</v>
      </c>
      <c r="O185" s="504">
        <f>INDEX(LINEST(M178:M188,$D178:$D188),2)</f>
        <v>-1.3581581090738641</v>
      </c>
      <c r="P185" s="469">
        <f t="shared" si="82"/>
        <v>18699</v>
      </c>
      <c r="Q185" s="443">
        <f>($B185-P185)^2/1000</f>
        <v>211.6</v>
      </c>
      <c r="S185" s="576">
        <f t="shared" si="98"/>
        <v>-3.7714829826491436</v>
      </c>
      <c r="T185" s="439" t="s">
        <v>305</v>
      </c>
      <c r="U185" s="504">
        <f>INDEX(LINEST(S178:S188,$D178:$D188),2)</f>
        <v>-1.3610321237032692</v>
      </c>
      <c r="V185" s="469">
        <f t="shared" si="84"/>
        <v>18681</v>
      </c>
      <c r="W185" s="443">
        <f>($B185-V185)^2/1000</f>
        <v>228.48400000000001</v>
      </c>
      <c r="Y185" s="576">
        <f t="shared" si="99"/>
        <v>-3.5671085792495134</v>
      </c>
      <c r="Z185" s="439" t="s">
        <v>305</v>
      </c>
      <c r="AA185" s="504">
        <f>INDEX(LINEST(Y178:Y188,$D178:$D188),2)</f>
        <v>-1.3576794357626762</v>
      </c>
      <c r="AB185" s="469">
        <f t="shared" si="86"/>
        <v>18667</v>
      </c>
      <c r="AC185" s="443">
        <f t="shared" si="87"/>
        <v>242.06399999999999</v>
      </c>
      <c r="AE185" s="576">
        <f t="shared" si="100"/>
        <v>-3.3974984011753224</v>
      </c>
      <c r="AF185" s="439" t="s">
        <v>305</v>
      </c>
      <c r="AG185" s="504">
        <f>INDEX(LINEST(AE178:AE188,$D178:$D188),2)</f>
        <v>-1.3501989968678454</v>
      </c>
      <c r="AH185" s="469">
        <f t="shared" si="88"/>
        <v>18655</v>
      </c>
      <c r="AI185" s="443">
        <f t="shared" si="89"/>
        <v>254.01599999999999</v>
      </c>
      <c r="AK185" s="576">
        <f t="shared" si="101"/>
        <v>-3.2525272327999035</v>
      </c>
      <c r="AL185" s="439" t="s">
        <v>305</v>
      </c>
      <c r="AM185" s="504">
        <f>INDEX(LINEST(AK178:AK188,$D178:$D188),2)</f>
        <v>-1.3398644560275628</v>
      </c>
      <c r="AN185" s="469">
        <f t="shared" si="90"/>
        <v>18645</v>
      </c>
      <c r="AO185" s="443">
        <f t="shared" si="91"/>
        <v>264.19600000000003</v>
      </c>
      <c r="AQ185" s="576">
        <f t="shared" si="102"/>
        <v>-3.1259361981230458</v>
      </c>
      <c r="AR185" s="439" t="s">
        <v>305</v>
      </c>
      <c r="AS185" s="504">
        <f>INDEX(LINEST(AQ178:AQ188,$D178:$D188),2)</f>
        <v>-1.3275053366476752</v>
      </c>
      <c r="AT185" s="469">
        <f t="shared" si="92"/>
        <v>18637</v>
      </c>
      <c r="AU185" s="443">
        <f t="shared" si="93"/>
        <v>272.48399999999998</v>
      </c>
      <c r="AW185" s="576">
        <f t="shared" si="103"/>
        <v>-3.0135847185106122</v>
      </c>
      <c r="AX185" s="439" t="s">
        <v>305</v>
      </c>
      <c r="AY185" s="504">
        <f>INDEX(LINEST(AW178:AW188,$D178:$D188),2)</f>
        <v>-1.3136888265783264</v>
      </c>
      <c r="AZ185" s="469">
        <f t="shared" si="94"/>
        <v>18629</v>
      </c>
      <c r="BA185" s="443">
        <f t="shared" si="95"/>
        <v>280.89999999999998</v>
      </c>
      <c r="BC185" s="576">
        <f t="shared" si="104"/>
        <v>-2.9125907894810217</v>
      </c>
      <c r="BD185" s="439" t="s">
        <v>305</v>
      </c>
      <c r="BE185" s="504">
        <f>INDEX(LINEST(BC178:BC188,$D178:$D188),2)</f>
        <v>-1.2988167023383017</v>
      </c>
      <c r="BF185" s="469">
        <f t="shared" si="96"/>
        <v>18623</v>
      </c>
      <c r="BG185" s="443">
        <f t="shared" si="97"/>
        <v>287.29599999999999</v>
      </c>
    </row>
    <row r="186" spans="1:60" ht="15" customHeight="1">
      <c r="A186" s="436">
        <f t="shared" si="75"/>
        <v>2014</v>
      </c>
      <c r="B186" s="437">
        <f t="shared" si="75"/>
        <v>19132</v>
      </c>
      <c r="C186" s="580">
        <f t="shared" si="76"/>
        <v>-3.516996186079036</v>
      </c>
      <c r="D186" s="508">
        <f t="shared" si="105"/>
        <v>9</v>
      </c>
      <c r="E186" s="581" t="s">
        <v>340</v>
      </c>
      <c r="F186" s="504">
        <f>INDEX(LINEST(C178:C188,D178:D188),1)</f>
        <v>-0.19205581430942625</v>
      </c>
      <c r="G186" s="582"/>
      <c r="H186" s="442"/>
      <c r="I186" s="443">
        <f t="shared" si="78"/>
        <v>18839</v>
      </c>
      <c r="J186" s="467">
        <f t="shared" si="79"/>
        <v>1.531465607359398</v>
      </c>
      <c r="K186" s="443">
        <f t="shared" si="80"/>
        <v>85.849000000000004</v>
      </c>
      <c r="M186" s="576">
        <f t="shared" si="81"/>
        <v>-3.9510346666312621</v>
      </c>
      <c r="N186" s="578" t="s">
        <v>306</v>
      </c>
      <c r="O186" s="583">
        <f>O184*-1</f>
        <v>0.22410429357815106</v>
      </c>
      <c r="P186" s="469">
        <f t="shared" si="82"/>
        <v>18855</v>
      </c>
      <c r="Q186" s="443">
        <f>($B186-P186)^2/1000</f>
        <v>76.728999999999999</v>
      </c>
      <c r="S186" s="576">
        <f t="shared" si="98"/>
        <v>-3.7106493088825427</v>
      </c>
      <c r="T186" s="578" t="s">
        <v>306</v>
      </c>
      <c r="U186" s="583">
        <f>U184*-1</f>
        <v>0.20640149655144438</v>
      </c>
      <c r="V186" s="469">
        <f t="shared" si="84"/>
        <v>18846</v>
      </c>
      <c r="W186" s="443">
        <f>($B186-V186)^2/1000</f>
        <v>81.796000000000006</v>
      </c>
      <c r="Y186" s="576">
        <f t="shared" si="99"/>
        <v>-3.516996186079036</v>
      </c>
      <c r="Z186" s="578" t="s">
        <v>306</v>
      </c>
      <c r="AA186" s="583">
        <f>AA184*-1</f>
        <v>0.19205581430942625</v>
      </c>
      <c r="AB186" s="469">
        <f t="shared" si="86"/>
        <v>18839</v>
      </c>
      <c r="AC186" s="443">
        <f>($B186-AB186)^2/1000</f>
        <v>85.849000000000004</v>
      </c>
      <c r="AE186" s="576">
        <f t="shared" si="100"/>
        <v>-3.3548294312635401</v>
      </c>
      <c r="AF186" s="578" t="s">
        <v>306</v>
      </c>
      <c r="AG186" s="583">
        <f>AG184*-1</f>
        <v>0.18006979317146024</v>
      </c>
      <c r="AH186" s="469">
        <f t="shared" si="88"/>
        <v>18835</v>
      </c>
      <c r="AI186" s="443">
        <f>($B186-AH186)^2/1000</f>
        <v>88.209000000000003</v>
      </c>
      <c r="AK186" s="576">
        <f t="shared" si="101"/>
        <v>-3.215327871652518</v>
      </c>
      <c r="AL186" s="578" t="s">
        <v>306</v>
      </c>
      <c r="AM186" s="583">
        <f>AM184*-1</f>
        <v>0.16983783830019133</v>
      </c>
      <c r="AN186" s="469">
        <f t="shared" si="90"/>
        <v>18831</v>
      </c>
      <c r="AO186" s="443">
        <f t="shared" si="91"/>
        <v>90.600999999999999</v>
      </c>
      <c r="AQ186" s="576">
        <f t="shared" si="102"/>
        <v>-3.0929258901398384</v>
      </c>
      <c r="AR186" s="578" t="s">
        <v>306</v>
      </c>
      <c r="AS186" s="583">
        <f>AS184*-1</f>
        <v>0.16096134151712357</v>
      </c>
      <c r="AT186" s="469">
        <f t="shared" si="92"/>
        <v>18827</v>
      </c>
      <c r="AU186" s="443">
        <f>($B186-AT186)^2/1000</f>
        <v>93.025000000000006</v>
      </c>
      <c r="AW186" s="576">
        <f t="shared" si="103"/>
        <v>-2.9838855175236105</v>
      </c>
      <c r="AX186" s="578" t="s">
        <v>306</v>
      </c>
      <c r="AY186" s="583">
        <f>AY184*-1</f>
        <v>0.15316272827045643</v>
      </c>
      <c r="AZ186" s="469">
        <f t="shared" si="94"/>
        <v>18825</v>
      </c>
      <c r="BA186" s="443">
        <f>($B186-AZ186)^2/1000</f>
        <v>94.248999999999995</v>
      </c>
      <c r="BC186" s="576">
        <f t="shared" si="104"/>
        <v>-2.8855745852800463</v>
      </c>
      <c r="BD186" s="578" t="s">
        <v>306</v>
      </c>
      <c r="BE186" s="583">
        <f>BE184*-1</f>
        <v>0.14624047956230363</v>
      </c>
      <c r="BF186" s="469">
        <f t="shared" si="96"/>
        <v>18823</v>
      </c>
      <c r="BG186" s="443">
        <f>($B186-BF186)^2/1000</f>
        <v>95.480999999999995</v>
      </c>
    </row>
    <row r="187" spans="1:60" ht="15" customHeight="1">
      <c r="A187" s="436">
        <f t="shared" si="75"/>
        <v>2015</v>
      </c>
      <c r="B187" s="437">
        <f t="shared" si="75"/>
        <v>18802</v>
      </c>
      <c r="C187" s="580">
        <f t="shared" si="76"/>
        <v>-3.041548457836297</v>
      </c>
      <c r="D187" s="508">
        <f t="shared" si="105"/>
        <v>10</v>
      </c>
      <c r="E187" s="540" t="s">
        <v>305</v>
      </c>
      <c r="F187" s="504">
        <f>INDEX(LINEST(C178:C188,D178:D188),2)</f>
        <v>-1.3576794357626762</v>
      </c>
      <c r="G187" s="451"/>
      <c r="H187" s="439"/>
      <c r="I187" s="443">
        <f t="shared" si="78"/>
        <v>18984</v>
      </c>
      <c r="J187" s="467">
        <f t="shared" si="79"/>
        <v>0.96798212956068497</v>
      </c>
      <c r="K187" s="443">
        <f t="shared" si="80"/>
        <v>33.124000000000002</v>
      </c>
      <c r="M187" s="576">
        <f t="shared" si="81"/>
        <v>-3.2934994233761246</v>
      </c>
      <c r="N187" s="439" t="s">
        <v>321</v>
      </c>
      <c r="O187" s="504">
        <f>P177</f>
        <v>0.91237061869126079</v>
      </c>
      <c r="P187" s="469">
        <f t="shared" si="82"/>
        <v>18981</v>
      </c>
      <c r="Q187" s="443">
        <f>($B187-P187)^2/1000</f>
        <v>32.040999999999997</v>
      </c>
      <c r="S187" s="576">
        <f t="shared" si="98"/>
        <v>-3.1596099286886856</v>
      </c>
      <c r="T187" s="439" t="s">
        <v>321</v>
      </c>
      <c r="U187" s="504">
        <f>V177</f>
        <v>0.91397530176889863</v>
      </c>
      <c r="V187" s="469">
        <f t="shared" si="84"/>
        <v>18982</v>
      </c>
      <c r="W187" s="443">
        <f>($B187-V187)^2/1000</f>
        <v>32.4</v>
      </c>
      <c r="Y187" s="576">
        <f t="shared" si="99"/>
        <v>-3.041548457836297</v>
      </c>
      <c r="Z187" s="439" t="s">
        <v>321</v>
      </c>
      <c r="AA187" s="504">
        <f>AB177</f>
        <v>0.91440121962838539</v>
      </c>
      <c r="AB187" s="469">
        <f t="shared" si="86"/>
        <v>18984</v>
      </c>
      <c r="AC187" s="443">
        <f>($B187-AB187)^2/1000</f>
        <v>33.124000000000002</v>
      </c>
      <c r="AE187" s="576">
        <f t="shared" si="100"/>
        <v>-2.9359652498270301</v>
      </c>
      <c r="AF187" s="439" t="s">
        <v>321</v>
      </c>
      <c r="AG187" s="504">
        <f>AH177</f>
        <v>0.91434543342875307</v>
      </c>
      <c r="AH187" s="469">
        <f t="shared" si="88"/>
        <v>18987</v>
      </c>
      <c r="AI187" s="443">
        <f>($B187-AH187)^2/1000</f>
        <v>34.225000000000001</v>
      </c>
      <c r="AK187" s="576">
        <f t="shared" si="101"/>
        <v>-2.8404729040690202</v>
      </c>
      <c r="AL187" s="439" t="s">
        <v>321</v>
      </c>
      <c r="AM187" s="504">
        <f>AN177</f>
        <v>0.91379504526556554</v>
      </c>
      <c r="AN187" s="469">
        <f t="shared" si="90"/>
        <v>18990</v>
      </c>
      <c r="AO187" s="443">
        <f t="shared" si="91"/>
        <v>35.344000000000001</v>
      </c>
      <c r="AQ187" s="576">
        <f t="shared" si="102"/>
        <v>-2.7533097474631032</v>
      </c>
      <c r="AR187" s="439" t="s">
        <v>321</v>
      </c>
      <c r="AS187" s="504">
        <f>AT177</f>
        <v>0.91301594776812334</v>
      </c>
      <c r="AT187" s="469">
        <f t="shared" si="92"/>
        <v>18993</v>
      </c>
      <c r="AU187" s="443">
        <f>($B187-AT187)^2/1000</f>
        <v>36.481000000000002</v>
      </c>
      <c r="AW187" s="576">
        <f t="shared" si="103"/>
        <v>-2.6731386288744607</v>
      </c>
      <c r="AX187" s="439" t="s">
        <v>321</v>
      </c>
      <c r="AY187" s="504">
        <f>AZ177</f>
        <v>0.91204135808901943</v>
      </c>
      <c r="AZ187" s="469">
        <f t="shared" si="94"/>
        <v>18996</v>
      </c>
      <c r="BA187" s="443">
        <f>($B187-AZ187)^2/1000</f>
        <v>37.636000000000003</v>
      </c>
      <c r="BC187" s="576">
        <f t="shared" si="104"/>
        <v>-2.5989206033447418</v>
      </c>
      <c r="BD187" s="439" t="s">
        <v>321</v>
      </c>
      <c r="BE187" s="504">
        <f>BF177</f>
        <v>0.91108543637307737</v>
      </c>
      <c r="BF187" s="469">
        <f t="shared" si="96"/>
        <v>18999</v>
      </c>
      <c r="BG187" s="443">
        <f>($B187-BF187)^2/1000</f>
        <v>38.808999999999997</v>
      </c>
    </row>
    <row r="188" spans="1:60" ht="15" customHeight="1" thickBot="1">
      <c r="A188" s="436">
        <f t="shared" si="75"/>
        <v>2016</v>
      </c>
      <c r="B188" s="437">
        <f t="shared" si="75"/>
        <v>18744</v>
      </c>
      <c r="C188" s="580">
        <f t="shared" si="76"/>
        <v>-2.9758710671362323</v>
      </c>
      <c r="D188" s="508">
        <f t="shared" si="105"/>
        <v>11</v>
      </c>
      <c r="E188" s="578" t="s">
        <v>306</v>
      </c>
      <c r="F188" s="583">
        <f>F186*-1</f>
        <v>0.19205581430942625</v>
      </c>
      <c r="H188" s="558"/>
      <c r="I188" s="443">
        <f t="shared" si="78"/>
        <v>19106</v>
      </c>
      <c r="J188" s="467">
        <f t="shared" si="79"/>
        <v>1.9312846777635511</v>
      </c>
      <c r="K188" s="443">
        <f t="shared" si="80"/>
        <v>131.04400000000001</v>
      </c>
      <c r="M188" s="576">
        <f t="shared" si="81"/>
        <v>-3.2105876040080967</v>
      </c>
      <c r="N188" s="439" t="s">
        <v>322</v>
      </c>
      <c r="O188" s="363">
        <f>SUM(Q178:Q188)</f>
        <v>960.20700000000011</v>
      </c>
      <c r="P188" s="469">
        <f t="shared" si="82"/>
        <v>19083</v>
      </c>
      <c r="Q188" s="443">
        <f>($B188-P188)^2/1000</f>
        <v>114.92100000000001</v>
      </c>
      <c r="S188" s="584">
        <f t="shared" si="98"/>
        <v>-3.0863586040458872</v>
      </c>
      <c r="T188" s="439" t="s">
        <v>322</v>
      </c>
      <c r="U188" s="363">
        <f>SUM(W178:W188)</f>
        <v>934.59300000000007</v>
      </c>
      <c r="V188" s="469">
        <f t="shared" si="84"/>
        <v>19094</v>
      </c>
      <c r="W188" s="443">
        <f>($B188-V188)^2/1000</f>
        <v>122.5</v>
      </c>
      <c r="Y188" s="584">
        <f t="shared" si="99"/>
        <v>-2.9758710671362323</v>
      </c>
      <c r="Z188" s="439" t="s">
        <v>322</v>
      </c>
      <c r="AA188" s="363">
        <f>SUM(AC178:AC188)</f>
        <v>925.45100000000002</v>
      </c>
      <c r="AB188" s="469">
        <f t="shared" si="86"/>
        <v>19106</v>
      </c>
      <c r="AC188" s="443">
        <f>($B188-AB188)^2/1000</f>
        <v>131.04400000000001</v>
      </c>
      <c r="AE188" s="584">
        <f t="shared" si="100"/>
        <v>-2.876385515921426</v>
      </c>
      <c r="AF188" s="439" t="s">
        <v>322</v>
      </c>
      <c r="AG188" s="363">
        <f>SUM(AI178:AI188)</f>
        <v>923.37299999999993</v>
      </c>
      <c r="AH188" s="469">
        <f t="shared" si="88"/>
        <v>19116</v>
      </c>
      <c r="AI188" s="443">
        <f>($B188-AH188)^2/1000</f>
        <v>138.38399999999999</v>
      </c>
      <c r="AK188" s="584">
        <f t="shared" si="101"/>
        <v>-2.7859079309553096</v>
      </c>
      <c r="AL188" s="439" t="s">
        <v>322</v>
      </c>
      <c r="AM188" s="363">
        <f>SUM(AO178:AO188)</f>
        <v>927.18499999999995</v>
      </c>
      <c r="AN188" s="469">
        <f t="shared" si="90"/>
        <v>19127</v>
      </c>
      <c r="AO188" s="443">
        <f>($B188-AN188)^2/1000</f>
        <v>146.68899999999999</v>
      </c>
      <c r="AQ188" s="584">
        <f t="shared" si="102"/>
        <v>-2.702941633159488</v>
      </c>
      <c r="AR188" s="439" t="s">
        <v>322</v>
      </c>
      <c r="AS188" s="363">
        <f>SUM(AU178:AU188)</f>
        <v>933.70600000000002</v>
      </c>
      <c r="AT188" s="469">
        <f t="shared" si="92"/>
        <v>19136</v>
      </c>
      <c r="AU188" s="443">
        <f>($B188-AT188)^2/1000</f>
        <v>153.66399999999999</v>
      </c>
      <c r="AW188" s="584">
        <f t="shared" si="103"/>
        <v>-2.6263345116872907</v>
      </c>
      <c r="AX188" s="439" t="s">
        <v>322</v>
      </c>
      <c r="AY188" s="363">
        <f>SUM(BA178:BA188)</f>
        <v>942.70799999999986</v>
      </c>
      <c r="AZ188" s="469">
        <f t="shared" si="94"/>
        <v>19145</v>
      </c>
      <c r="BA188" s="443">
        <f>($B188-AZ188)^2/1000</f>
        <v>160.80099999999999</v>
      </c>
      <c r="BC188" s="584">
        <f t="shared" si="104"/>
        <v>-2.5551807514310001</v>
      </c>
      <c r="BD188" s="439" t="s">
        <v>322</v>
      </c>
      <c r="BE188" s="363">
        <f>SUM(BG178:BG188)</f>
        <v>951.64199999999994</v>
      </c>
      <c r="BF188" s="469">
        <f t="shared" si="96"/>
        <v>19154</v>
      </c>
      <c r="BG188" s="443">
        <f>($B188-BF188)^2/1000</f>
        <v>168.1</v>
      </c>
    </row>
    <row r="189" spans="1:60" ht="15" customHeight="1" thickTop="1">
      <c r="A189" s="511">
        <f t="shared" si="75"/>
        <v>2017</v>
      </c>
      <c r="B189" s="459">
        <f t="shared" si="75"/>
        <v>19290</v>
      </c>
      <c r="C189" s="585"/>
      <c r="D189" s="513">
        <f t="shared" si="105"/>
        <v>12</v>
      </c>
      <c r="E189" s="462"/>
      <c r="F189" s="461"/>
      <c r="G189" s="461"/>
      <c r="H189" s="586"/>
      <c r="I189" s="464">
        <f t="shared" si="78"/>
        <v>19207</v>
      </c>
      <c r="J189" s="463"/>
      <c r="K189" s="464"/>
      <c r="M189" s="587"/>
      <c r="N189" s="461"/>
      <c r="O189" s="461"/>
      <c r="P189" s="588"/>
      <c r="Q189" s="589"/>
      <c r="S189" s="587"/>
      <c r="T189" s="461"/>
      <c r="U189" s="461"/>
      <c r="V189" s="588"/>
      <c r="W189" s="589"/>
      <c r="Y189" s="587"/>
      <c r="Z189" s="461"/>
      <c r="AA189" s="461"/>
      <c r="AB189" s="588"/>
      <c r="AC189" s="589"/>
      <c r="AE189" s="587"/>
      <c r="AF189" s="461"/>
      <c r="AG189" s="461"/>
      <c r="AH189" s="588"/>
      <c r="AI189" s="589"/>
      <c r="AK189" s="587"/>
      <c r="AL189" s="461"/>
      <c r="AM189" s="461"/>
      <c r="AN189" s="588"/>
      <c r="AO189" s="589"/>
      <c r="AQ189" s="587"/>
      <c r="AR189" s="461"/>
      <c r="AS189" s="461"/>
      <c r="AT189" s="588"/>
      <c r="AU189" s="589"/>
      <c r="AW189" s="587"/>
      <c r="AX189" s="461"/>
      <c r="AY189" s="461"/>
      <c r="AZ189" s="588"/>
      <c r="BA189" s="589"/>
      <c r="BC189" s="587"/>
      <c r="BD189" s="461"/>
      <c r="BE189" s="461"/>
      <c r="BF189" s="588"/>
      <c r="BG189" s="589"/>
    </row>
    <row r="190" spans="1:60" ht="15" customHeight="1">
      <c r="A190" s="436">
        <f>A154</f>
        <v>2018</v>
      </c>
      <c r="B190" s="437">
        <f t="shared" ref="B190:B210" si="106">ROUND(F$182/(1+EXP(F$187+F$186*D190)),$G$1)</f>
        <v>19291</v>
      </c>
      <c r="C190" s="580"/>
      <c r="D190" s="508">
        <f t="shared" si="105"/>
        <v>13</v>
      </c>
      <c r="E190" s="2318" t="s">
        <v>276</v>
      </c>
      <c r="F190" s="2320"/>
      <c r="G190" s="447">
        <f>I177</f>
        <v>0.91440121962838539</v>
      </c>
      <c r="H190" s="558"/>
      <c r="I190" s="443">
        <f t="shared" si="78"/>
        <v>19291</v>
      </c>
      <c r="J190" s="467"/>
      <c r="K190" s="443"/>
      <c r="M190" s="590"/>
      <c r="N190" s="451"/>
      <c r="O190" s="451"/>
      <c r="P190" s="493"/>
      <c r="Q190" s="492"/>
      <c r="S190" s="590"/>
      <c r="T190" s="451"/>
      <c r="U190" s="451"/>
      <c r="V190" s="493"/>
      <c r="W190" s="492"/>
      <c r="Y190" s="590"/>
      <c r="Z190" s="451"/>
      <c r="AA190" s="451"/>
      <c r="AB190" s="493"/>
      <c r="AC190" s="492"/>
      <c r="AE190" s="590"/>
      <c r="AF190" s="451"/>
      <c r="AG190" s="451"/>
      <c r="AH190" s="493"/>
      <c r="AI190" s="492"/>
      <c r="AK190" s="590"/>
      <c r="AL190" s="451"/>
      <c r="AM190" s="451"/>
      <c r="AN190" s="493"/>
      <c r="AO190" s="492"/>
      <c r="AQ190" s="590"/>
      <c r="AR190" s="451"/>
      <c r="AS190" s="451"/>
      <c r="AT190" s="493"/>
      <c r="AU190" s="492"/>
      <c r="AW190" s="590"/>
      <c r="AX190" s="451"/>
      <c r="AY190" s="451"/>
      <c r="AZ190" s="493"/>
      <c r="BA190" s="492"/>
      <c r="BC190" s="590"/>
      <c r="BD190" s="451"/>
      <c r="BE190" s="451"/>
      <c r="BF190" s="493"/>
      <c r="BG190" s="492"/>
    </row>
    <row r="191" spans="1:60" ht="15" customHeight="1">
      <c r="A191" s="436">
        <f>A155</f>
        <v>2019</v>
      </c>
      <c r="B191" s="437">
        <f t="shared" si="106"/>
        <v>19361</v>
      </c>
      <c r="C191" s="580"/>
      <c r="D191" s="508">
        <f t="shared" si="105"/>
        <v>14</v>
      </c>
      <c r="E191" s="2318" t="s">
        <v>323</v>
      </c>
      <c r="F191" s="2320"/>
      <c r="G191" s="448">
        <f>SUM(K178:K188)</f>
        <v>925.45100000000002</v>
      </c>
      <c r="H191" s="558"/>
      <c r="I191" s="443">
        <f t="shared" si="78"/>
        <v>19361</v>
      </c>
      <c r="J191" s="467"/>
      <c r="K191" s="443"/>
      <c r="M191" s="505" t="str">
        <f>E183</f>
        <v>max(y) =</v>
      </c>
      <c r="N191" s="505">
        <f>F183</f>
        <v>19159</v>
      </c>
      <c r="O191" s="505"/>
      <c r="P191" s="505"/>
      <c r="Q191" s="505"/>
      <c r="R191" s="505"/>
      <c r="S191" s="505" t="str">
        <f>M191</f>
        <v>max(y) =</v>
      </c>
      <c r="T191" s="505">
        <f>N191</f>
        <v>19159</v>
      </c>
      <c r="U191" s="505"/>
      <c r="V191" s="505"/>
      <c r="W191" s="505"/>
      <c r="X191" s="505"/>
      <c r="Y191" s="505" t="str">
        <f>S191</f>
        <v>max(y) =</v>
      </c>
      <c r="Z191" s="505">
        <f>T191</f>
        <v>19159</v>
      </c>
      <c r="AA191" s="505"/>
      <c r="AB191" s="505"/>
      <c r="AC191" s="505"/>
      <c r="AD191" s="505"/>
      <c r="AE191" s="505" t="str">
        <f>Y191</f>
        <v>max(y) =</v>
      </c>
      <c r="AF191" s="505">
        <f>Z191</f>
        <v>19159</v>
      </c>
      <c r="AG191" s="505"/>
      <c r="AH191" s="505"/>
      <c r="AI191" s="505"/>
      <c r="AJ191" s="505"/>
      <c r="AK191" s="505" t="str">
        <f>AE191</f>
        <v>max(y) =</v>
      </c>
      <c r="AL191" s="505">
        <f>AF191</f>
        <v>19159</v>
      </c>
      <c r="AM191" s="505"/>
      <c r="AN191" s="505"/>
      <c r="AO191" s="505"/>
      <c r="AP191" s="505"/>
      <c r="AQ191" s="505" t="str">
        <f>AK191</f>
        <v>max(y) =</v>
      </c>
      <c r="AR191" s="505">
        <f>AL191</f>
        <v>19159</v>
      </c>
      <c r="AS191" s="505"/>
      <c r="AT191" s="505"/>
      <c r="AU191" s="505"/>
      <c r="AV191" s="505"/>
      <c r="AW191" s="505" t="str">
        <f>AQ191</f>
        <v>max(y) =</v>
      </c>
      <c r="AX191" s="505">
        <f>AR191</f>
        <v>19159</v>
      </c>
      <c r="AY191" s="505"/>
      <c r="AZ191" s="505"/>
      <c r="BA191" s="505"/>
      <c r="BB191" s="505"/>
      <c r="BC191" s="505" t="str">
        <f>AW191</f>
        <v>max(y) =</v>
      </c>
      <c r="BD191" s="505">
        <f>AX191</f>
        <v>19159</v>
      </c>
      <c r="BE191" s="505"/>
      <c r="BF191" s="505"/>
      <c r="BG191" s="505"/>
      <c r="BH191" s="505"/>
    </row>
    <row r="192" spans="1:60" ht="15" customHeight="1">
      <c r="A192" s="436">
        <f>A156</f>
        <v>2020</v>
      </c>
      <c r="B192" s="437">
        <f t="shared" si="106"/>
        <v>19420</v>
      </c>
      <c r="C192" s="580"/>
      <c r="D192" s="508">
        <f t="shared" si="105"/>
        <v>15</v>
      </c>
      <c r="E192" s="2318" t="s">
        <v>324</v>
      </c>
      <c r="F192" s="2320"/>
      <c r="G192" s="449">
        <f>SUM(J178:J188)/D199</f>
        <v>0.72896686179974168</v>
      </c>
      <c r="H192" s="558"/>
      <c r="I192" s="443">
        <f t="shared" si="78"/>
        <v>19420</v>
      </c>
      <c r="J192" s="467"/>
      <c r="K192" s="443"/>
      <c r="M192" s="505" t="s">
        <v>326</v>
      </c>
      <c r="N192" s="505">
        <v>3</v>
      </c>
      <c r="O192" s="505"/>
      <c r="P192" s="505"/>
      <c r="Q192" s="505"/>
      <c r="R192" s="505"/>
      <c r="S192" s="505" t="s">
        <v>326</v>
      </c>
      <c r="T192" s="505">
        <f>N192</f>
        <v>3</v>
      </c>
      <c r="U192" s="505"/>
      <c r="V192" s="505"/>
      <c r="W192" s="505"/>
      <c r="X192" s="505"/>
      <c r="Y192" s="505" t="s">
        <v>326</v>
      </c>
      <c r="Z192" s="505">
        <f>T192</f>
        <v>3</v>
      </c>
      <c r="AA192" s="505"/>
      <c r="AB192" s="505"/>
      <c r="AC192" s="505"/>
      <c r="AD192" s="505"/>
      <c r="AE192" s="505" t="s">
        <v>326</v>
      </c>
      <c r="AF192" s="505">
        <f>Z192</f>
        <v>3</v>
      </c>
      <c r="AG192" s="505"/>
      <c r="AH192" s="505"/>
      <c r="AI192" s="505"/>
      <c r="AJ192" s="505"/>
      <c r="AK192" s="505" t="s">
        <v>326</v>
      </c>
      <c r="AL192" s="505">
        <f>AF192</f>
        <v>3</v>
      </c>
      <c r="AM192" s="505"/>
      <c r="AN192" s="505"/>
      <c r="AO192" s="505"/>
      <c r="AP192" s="505"/>
      <c r="AQ192" s="505" t="s">
        <v>326</v>
      </c>
      <c r="AR192" s="505">
        <f>AL192</f>
        <v>3</v>
      </c>
      <c r="AS192" s="505"/>
      <c r="AT192" s="505"/>
      <c r="AU192" s="505"/>
      <c r="AV192" s="505"/>
      <c r="AW192" s="505" t="s">
        <v>326</v>
      </c>
      <c r="AX192" s="505">
        <f>AR192</f>
        <v>3</v>
      </c>
      <c r="AY192" s="505"/>
      <c r="AZ192" s="505"/>
      <c r="BA192" s="505"/>
      <c r="BB192" s="505"/>
      <c r="BC192" s="505" t="s">
        <v>326</v>
      </c>
      <c r="BD192" s="505">
        <f>AX192</f>
        <v>3</v>
      </c>
      <c r="BE192" s="505"/>
      <c r="BF192" s="505"/>
      <c r="BG192" s="505"/>
      <c r="BH192" s="505"/>
    </row>
    <row r="193" spans="1:70" ht="15" customHeight="1">
      <c r="A193" s="436">
        <f>A157</f>
        <v>2021</v>
      </c>
      <c r="B193" s="437">
        <f t="shared" si="106"/>
        <v>19468</v>
      </c>
      <c r="C193" s="580"/>
      <c r="D193" s="508">
        <f t="shared" si="105"/>
        <v>16</v>
      </c>
      <c r="H193" s="558"/>
      <c r="I193" s="443">
        <f t="shared" si="78"/>
        <v>19468</v>
      </c>
      <c r="J193" s="467"/>
      <c r="K193" s="443"/>
      <c r="M193" s="505" t="s">
        <v>343</v>
      </c>
      <c r="N193" s="559">
        <v>100000</v>
      </c>
      <c r="O193" s="505"/>
      <c r="P193" s="505"/>
      <c r="Q193" s="505"/>
      <c r="R193" s="505"/>
      <c r="S193" s="505" t="s">
        <v>343</v>
      </c>
      <c r="T193" s="505">
        <f>N193</f>
        <v>100000</v>
      </c>
      <c r="U193" s="505"/>
      <c r="V193" s="505"/>
      <c r="W193" s="505"/>
      <c r="X193" s="505"/>
      <c r="Y193" s="505" t="s">
        <v>343</v>
      </c>
      <c r="Z193" s="505">
        <f>T193</f>
        <v>100000</v>
      </c>
      <c r="AA193" s="505"/>
      <c r="AB193" s="505"/>
      <c r="AC193" s="505"/>
      <c r="AD193" s="505"/>
      <c r="AE193" s="505" t="s">
        <v>343</v>
      </c>
      <c r="AF193" s="505">
        <f>Z193</f>
        <v>100000</v>
      </c>
      <c r="AG193" s="505"/>
      <c r="AH193" s="505"/>
      <c r="AI193" s="505"/>
      <c r="AJ193" s="505"/>
      <c r="AK193" s="505" t="s">
        <v>343</v>
      </c>
      <c r="AL193" s="505">
        <f>AF193</f>
        <v>100000</v>
      </c>
      <c r="AM193" s="505"/>
      <c r="AN193" s="505"/>
      <c r="AO193" s="505"/>
      <c r="AP193" s="505"/>
      <c r="AQ193" s="505" t="s">
        <v>343</v>
      </c>
      <c r="AR193" s="505">
        <f>AL193</f>
        <v>100000</v>
      </c>
      <c r="AS193" s="505"/>
      <c r="AT193" s="505"/>
      <c r="AU193" s="505"/>
      <c r="AV193" s="505"/>
      <c r="AW193" s="505" t="s">
        <v>343</v>
      </c>
      <c r="AX193" s="505">
        <f>AR193</f>
        <v>100000</v>
      </c>
      <c r="AY193" s="505"/>
      <c r="AZ193" s="505"/>
      <c r="BA193" s="505"/>
      <c r="BB193" s="505"/>
      <c r="BC193" s="505" t="s">
        <v>343</v>
      </c>
      <c r="BD193" s="505">
        <f>AX193</f>
        <v>100000</v>
      </c>
      <c r="BE193" s="505"/>
      <c r="BF193" s="505"/>
      <c r="BG193" s="505"/>
      <c r="BH193" s="505"/>
    </row>
    <row r="194" spans="1:70" ht="15" customHeight="1">
      <c r="A194" s="436">
        <f>A158</f>
        <v>2022</v>
      </c>
      <c r="B194" s="437">
        <f t="shared" si="106"/>
        <v>19508</v>
      </c>
      <c r="C194" s="580"/>
      <c r="D194" s="508">
        <f t="shared" si="105"/>
        <v>17</v>
      </c>
      <c r="E194" s="451"/>
      <c r="F194" s="451"/>
      <c r="G194" s="451"/>
      <c r="H194" s="558"/>
      <c r="I194" s="443">
        <f t="shared" si="78"/>
        <v>19508</v>
      </c>
      <c r="J194" s="467"/>
      <c r="K194" s="443"/>
      <c r="M194" s="590"/>
      <c r="N194" s="451"/>
      <c r="O194" s="451"/>
      <c r="P194" s="493"/>
      <c r="Q194" s="492"/>
      <c r="S194" s="590"/>
      <c r="T194" s="451"/>
      <c r="U194" s="451"/>
      <c r="V194" s="493"/>
      <c r="W194" s="492"/>
      <c r="Y194" s="590"/>
      <c r="Z194" s="451"/>
      <c r="AA194" s="451"/>
      <c r="AB194" s="493"/>
      <c r="AC194" s="492"/>
      <c r="AE194" s="590"/>
      <c r="AF194" s="451"/>
      <c r="AG194" s="451"/>
      <c r="AH194" s="493"/>
      <c r="AI194" s="492"/>
      <c r="AK194" s="590"/>
      <c r="AL194" s="451"/>
      <c r="AM194" s="451"/>
      <c r="AN194" s="493"/>
      <c r="AO194" s="492"/>
      <c r="AQ194" s="590"/>
      <c r="AR194" s="451"/>
      <c r="AS194" s="451"/>
      <c r="AT194" s="493"/>
      <c r="AU194" s="492"/>
      <c r="AW194" s="590"/>
      <c r="AX194" s="451"/>
      <c r="AY194" s="451"/>
      <c r="AZ194" s="493"/>
      <c r="BA194" s="492"/>
      <c r="BC194" s="590"/>
      <c r="BD194" s="451"/>
      <c r="BE194" s="451"/>
      <c r="BF194" s="493"/>
      <c r="BG194" s="492"/>
    </row>
    <row r="195" spans="1:70" ht="15" customHeight="1">
      <c r="A195" s="436">
        <f t="shared" ref="A195:A210" si="107">A159</f>
        <v>2023</v>
      </c>
      <c r="B195" s="437">
        <f t="shared" si="106"/>
        <v>19542</v>
      </c>
      <c r="C195" s="580"/>
      <c r="D195" s="508">
        <f t="shared" si="105"/>
        <v>18</v>
      </c>
      <c r="E195" s="451"/>
      <c r="F195" s="451"/>
      <c r="G195" s="451"/>
      <c r="H195" s="558"/>
      <c r="I195" s="443">
        <f t="shared" si="78"/>
        <v>19542</v>
      </c>
      <c r="J195" s="467"/>
      <c r="K195" s="443"/>
      <c r="M195" s="590"/>
      <c r="N195" s="451"/>
      <c r="O195" s="451"/>
      <c r="P195" s="493"/>
      <c r="Q195" s="492"/>
      <c r="S195" s="590"/>
      <c r="T195" s="451"/>
      <c r="U195" s="451"/>
      <c r="V195" s="493"/>
      <c r="W195" s="492"/>
      <c r="Y195" s="590"/>
      <c r="Z195" s="451"/>
      <c r="AA195" s="451"/>
      <c r="AB195" s="493"/>
      <c r="AC195" s="492"/>
      <c r="AE195" s="590"/>
      <c r="AF195" s="451"/>
      <c r="AG195" s="451"/>
      <c r="AH195" s="493"/>
      <c r="AI195" s="492"/>
      <c r="AK195" s="590"/>
      <c r="AL195" s="451"/>
      <c r="AM195" s="451"/>
      <c r="AN195" s="493"/>
      <c r="AO195" s="492"/>
      <c r="AQ195" s="590"/>
      <c r="AR195" s="451"/>
      <c r="AS195" s="451"/>
      <c r="AT195" s="493"/>
      <c r="AU195" s="492"/>
      <c r="AW195" s="590"/>
      <c r="AX195" s="451"/>
      <c r="AY195" s="451"/>
      <c r="AZ195" s="493"/>
      <c r="BA195" s="492"/>
      <c r="BC195" s="590"/>
      <c r="BD195" s="451"/>
      <c r="BE195" s="451"/>
      <c r="BF195" s="493"/>
      <c r="BG195" s="492"/>
    </row>
    <row r="196" spans="1:70" s="451" customFormat="1" ht="15" customHeight="1">
      <c r="A196" s="436">
        <f t="shared" si="107"/>
        <v>2024</v>
      </c>
      <c r="B196" s="437">
        <f t="shared" si="106"/>
        <v>19569</v>
      </c>
      <c r="C196" s="580"/>
      <c r="D196" s="508">
        <f t="shared" si="105"/>
        <v>19</v>
      </c>
      <c r="H196" s="558"/>
      <c r="I196" s="443">
        <f t="shared" si="78"/>
        <v>19569</v>
      </c>
      <c r="J196" s="467"/>
      <c r="K196" s="443"/>
      <c r="M196" s="590"/>
      <c r="P196" s="493"/>
      <c r="Q196" s="492"/>
      <c r="S196" s="590"/>
      <c r="V196" s="493"/>
      <c r="W196" s="492"/>
      <c r="Y196" s="590"/>
      <c r="AB196" s="493"/>
      <c r="AC196" s="492"/>
      <c r="AE196" s="590"/>
      <c r="AH196" s="493"/>
      <c r="AI196" s="492"/>
      <c r="AK196" s="590"/>
      <c r="AN196" s="493"/>
      <c r="AO196" s="492"/>
      <c r="AQ196" s="590"/>
      <c r="AT196" s="493"/>
      <c r="AU196" s="492"/>
      <c r="AW196" s="590"/>
      <c r="AZ196" s="493"/>
      <c r="BA196" s="492"/>
      <c r="BC196" s="590"/>
      <c r="BF196" s="493"/>
      <c r="BG196" s="492"/>
    </row>
    <row r="197" spans="1:70" ht="15" customHeight="1">
      <c r="A197" s="436">
        <f t="shared" si="107"/>
        <v>2025</v>
      </c>
      <c r="B197" s="437">
        <f t="shared" si="106"/>
        <v>19592</v>
      </c>
      <c r="C197" s="580"/>
      <c r="D197" s="508">
        <f t="shared" si="105"/>
        <v>20</v>
      </c>
      <c r="E197" s="519"/>
      <c r="F197" s="451"/>
      <c r="G197" s="451"/>
      <c r="H197" s="558"/>
      <c r="I197" s="443">
        <f t="shared" si="78"/>
        <v>19592</v>
      </c>
      <c r="J197" s="467"/>
      <c r="K197" s="443"/>
      <c r="M197" s="590"/>
      <c r="N197" s="451"/>
      <c r="O197" s="451"/>
      <c r="P197" s="493"/>
      <c r="Q197" s="492"/>
      <c r="S197" s="590"/>
      <c r="T197" s="451"/>
      <c r="U197" s="451"/>
      <c r="V197" s="493"/>
      <c r="W197" s="492"/>
      <c r="Y197" s="590"/>
      <c r="Z197" s="451"/>
      <c r="AA197" s="451"/>
      <c r="AB197" s="493"/>
      <c r="AC197" s="492"/>
      <c r="AE197" s="590"/>
      <c r="AF197" s="451"/>
      <c r="AG197" s="451"/>
      <c r="AH197" s="493"/>
      <c r="AI197" s="492"/>
      <c r="AK197" s="590"/>
      <c r="AL197" s="451"/>
      <c r="AM197" s="451"/>
      <c r="AN197" s="493"/>
      <c r="AO197" s="492"/>
      <c r="AQ197" s="590"/>
      <c r="AR197" s="451"/>
      <c r="AS197" s="451"/>
      <c r="AT197" s="493"/>
      <c r="AU197" s="492"/>
      <c r="AW197" s="590"/>
      <c r="AX197" s="451"/>
      <c r="AY197" s="451"/>
      <c r="AZ197" s="493"/>
      <c r="BA197" s="492"/>
      <c r="BC197" s="590"/>
      <c r="BD197" s="451"/>
      <c r="BE197" s="451"/>
      <c r="BF197" s="493"/>
      <c r="BG197" s="492"/>
      <c r="BI197" s="590"/>
      <c r="BJ197" s="451"/>
      <c r="BK197" s="451"/>
      <c r="BL197" s="493"/>
      <c r="BM197" s="492"/>
    </row>
    <row r="198" spans="1:70" s="451" customFormat="1" ht="15" customHeight="1">
      <c r="A198" s="436">
        <f t="shared" si="107"/>
        <v>2026</v>
      </c>
      <c r="B198" s="437">
        <f t="shared" si="106"/>
        <v>19611</v>
      </c>
      <c r="C198" s="580"/>
      <c r="D198" s="508">
        <f t="shared" si="105"/>
        <v>21</v>
      </c>
      <c r="E198" s="519"/>
      <c r="H198" s="591"/>
      <c r="I198" s="443">
        <f t="shared" si="78"/>
        <v>19611</v>
      </c>
      <c r="J198" s="467"/>
      <c r="K198" s="443"/>
      <c r="M198" s="590"/>
      <c r="P198" s="493"/>
      <c r="Q198" s="492"/>
      <c r="S198" s="590"/>
      <c r="V198" s="493"/>
      <c r="W198" s="492"/>
      <c r="Y198" s="590"/>
      <c r="AB198" s="493"/>
      <c r="AC198" s="492"/>
      <c r="AE198" s="590"/>
      <c r="AH198" s="493"/>
      <c r="AI198" s="492"/>
      <c r="AK198" s="590"/>
      <c r="AN198" s="493"/>
      <c r="AO198" s="492"/>
      <c r="AQ198" s="590"/>
      <c r="AT198" s="493"/>
      <c r="AU198" s="492"/>
      <c r="AW198" s="590"/>
      <c r="AZ198" s="493"/>
      <c r="BA198" s="492"/>
      <c r="BC198" s="590"/>
      <c r="BF198" s="493"/>
      <c r="BG198" s="492"/>
      <c r="BI198" s="590"/>
      <c r="BL198" s="493"/>
      <c r="BM198" s="492"/>
    </row>
    <row r="199" spans="1:70" s="451" customFormat="1" ht="15" customHeight="1" thickBot="1">
      <c r="A199" s="436">
        <f t="shared" si="107"/>
        <v>2027</v>
      </c>
      <c r="B199" s="437">
        <f t="shared" si="106"/>
        <v>19626</v>
      </c>
      <c r="C199" s="580"/>
      <c r="D199" s="508">
        <f t="shared" si="105"/>
        <v>22</v>
      </c>
      <c r="E199" s="560" t="s">
        <v>344</v>
      </c>
      <c r="F199" s="561" t="s">
        <v>332</v>
      </c>
      <c r="G199" s="561" t="s">
        <v>294</v>
      </c>
      <c r="H199" s="591"/>
      <c r="I199" s="443">
        <f t="shared" si="78"/>
        <v>19626</v>
      </c>
      <c r="J199" s="467"/>
      <c r="K199" s="443"/>
      <c r="M199" s="590"/>
      <c r="P199" s="493"/>
      <c r="Q199" s="492"/>
      <c r="S199" s="590"/>
      <c r="V199" s="493"/>
      <c r="W199" s="492"/>
      <c r="Y199" s="590"/>
      <c r="AB199" s="493"/>
      <c r="AC199" s="492"/>
      <c r="AE199" s="590"/>
      <c r="AH199" s="493"/>
      <c r="AI199" s="492"/>
      <c r="AK199" s="590"/>
      <c r="AN199" s="493"/>
      <c r="AO199" s="492"/>
      <c r="AQ199" s="590"/>
      <c r="AT199" s="493"/>
      <c r="AU199" s="492"/>
      <c r="AW199" s="590"/>
      <c r="AZ199" s="493"/>
      <c r="BA199" s="492"/>
      <c r="BC199" s="590"/>
      <c r="BF199" s="493"/>
      <c r="BG199" s="492"/>
      <c r="BI199" s="590"/>
      <c r="BL199" s="493"/>
      <c r="BM199" s="492"/>
    </row>
    <row r="200" spans="1:70" ht="15" customHeight="1" thickTop="1">
      <c r="A200" s="436">
        <f t="shared" si="107"/>
        <v>2028</v>
      </c>
      <c r="B200" s="437">
        <f t="shared" si="106"/>
        <v>19639</v>
      </c>
      <c r="C200" s="520"/>
      <c r="D200" s="508">
        <f t="shared" si="105"/>
        <v>23</v>
      </c>
      <c r="E200" s="592">
        <v>19500</v>
      </c>
      <c r="F200" s="563">
        <f>IFERROR(O187,0)</f>
        <v>0.91237061869126079</v>
      </c>
      <c r="G200" s="564">
        <f>O188</f>
        <v>960.20700000000011</v>
      </c>
      <c r="H200" s="591"/>
      <c r="I200" s="443">
        <f t="shared" si="78"/>
        <v>19639</v>
      </c>
      <c r="J200" s="469"/>
      <c r="K200" s="469"/>
      <c r="L200" s="326">
        <f>RANK(F200,$F$200:$F$207)</f>
        <v>6</v>
      </c>
    </row>
    <row r="201" spans="1:70" ht="15" customHeight="1">
      <c r="A201" s="436">
        <f t="shared" si="107"/>
        <v>2029</v>
      </c>
      <c r="B201" s="437">
        <f t="shared" si="106"/>
        <v>19650</v>
      </c>
      <c r="C201" s="520"/>
      <c r="D201" s="508">
        <f t="shared" si="105"/>
        <v>24</v>
      </c>
      <c r="E201" s="593">
        <v>19600</v>
      </c>
      <c r="F201" s="565">
        <f>IFERROR(V177,0)</f>
        <v>0.91397530176889863</v>
      </c>
      <c r="G201" s="564">
        <f>U188</f>
        <v>934.59300000000007</v>
      </c>
      <c r="H201" s="591"/>
      <c r="I201" s="443">
        <f t="shared" si="78"/>
        <v>19650</v>
      </c>
      <c r="J201" s="469"/>
      <c r="K201" s="469"/>
      <c r="L201" s="326">
        <f t="shared" ref="L201:L207" si="108">RANK(F201,$F$200:$F$207)</f>
        <v>3</v>
      </c>
    </row>
    <row r="202" spans="1:70" ht="15" customHeight="1">
      <c r="A202" s="436">
        <f t="shared" si="107"/>
        <v>2030</v>
      </c>
      <c r="B202" s="437">
        <f t="shared" si="106"/>
        <v>19658</v>
      </c>
      <c r="C202" s="520"/>
      <c r="D202" s="508">
        <f t="shared" si="105"/>
        <v>25</v>
      </c>
      <c r="E202" s="593">
        <v>19700</v>
      </c>
      <c r="F202" s="565">
        <f>IFERROR(AB177,0)</f>
        <v>0.91440121962838539</v>
      </c>
      <c r="G202" s="564">
        <f>AA188</f>
        <v>925.45100000000002</v>
      </c>
      <c r="H202" s="591"/>
      <c r="I202" s="443">
        <f t="shared" si="78"/>
        <v>19658</v>
      </c>
      <c r="J202" s="469"/>
      <c r="K202" s="469"/>
      <c r="L202" s="326">
        <f t="shared" si="108"/>
        <v>1</v>
      </c>
      <c r="BK202" s="505"/>
      <c r="BL202" s="505"/>
      <c r="BM202" s="505"/>
      <c r="BN202" s="505"/>
      <c r="BO202" s="505"/>
      <c r="BP202" s="505"/>
      <c r="BQ202" s="505"/>
      <c r="BR202" s="505"/>
    </row>
    <row r="203" spans="1:70" ht="15" customHeight="1">
      <c r="A203" s="436">
        <f t="shared" si="107"/>
        <v>2031</v>
      </c>
      <c r="B203" s="437">
        <f t="shared" si="106"/>
        <v>19666</v>
      </c>
      <c r="C203" s="520"/>
      <c r="D203" s="508">
        <f t="shared" si="105"/>
        <v>26</v>
      </c>
      <c r="E203" s="593">
        <v>19800</v>
      </c>
      <c r="F203" s="565">
        <f>IFERROR(AH177,0)</f>
        <v>0.91434543342875307</v>
      </c>
      <c r="G203" s="564">
        <f>AG188</f>
        <v>923.37299999999993</v>
      </c>
      <c r="H203" s="591"/>
      <c r="I203" s="443">
        <f t="shared" si="78"/>
        <v>19666</v>
      </c>
      <c r="J203" s="469"/>
      <c r="K203" s="469"/>
      <c r="L203" s="326">
        <f t="shared" si="108"/>
        <v>2</v>
      </c>
    </row>
    <row r="204" spans="1:70" ht="15" customHeight="1">
      <c r="A204" s="436">
        <f t="shared" si="107"/>
        <v>2032</v>
      </c>
      <c r="B204" s="437">
        <f t="shared" si="106"/>
        <v>19672</v>
      </c>
      <c r="C204" s="520"/>
      <c r="D204" s="508">
        <f t="shared" si="105"/>
        <v>27</v>
      </c>
      <c r="E204" s="593">
        <v>19900</v>
      </c>
      <c r="F204" s="565">
        <f>IFERROR(AN177,0)</f>
        <v>0.91379504526556554</v>
      </c>
      <c r="G204" s="564">
        <f>AM188</f>
        <v>927.18499999999995</v>
      </c>
      <c r="H204" s="591"/>
      <c r="I204" s="443">
        <f t="shared" si="78"/>
        <v>19672</v>
      </c>
      <c r="J204" s="469"/>
      <c r="K204" s="469"/>
      <c r="L204" s="326">
        <f t="shared" si="108"/>
        <v>4</v>
      </c>
    </row>
    <row r="205" spans="1:70" ht="15" customHeight="1">
      <c r="A205" s="436">
        <f t="shared" si="107"/>
        <v>2033</v>
      </c>
      <c r="B205" s="437">
        <f t="shared" si="106"/>
        <v>19677</v>
      </c>
      <c r="C205" s="520"/>
      <c r="D205" s="508">
        <f t="shared" si="105"/>
        <v>28</v>
      </c>
      <c r="E205" s="593">
        <v>20000</v>
      </c>
      <c r="F205" s="565">
        <f>IFERROR(AT177,0)</f>
        <v>0.91301594776812334</v>
      </c>
      <c r="G205" s="564">
        <f>AS188</f>
        <v>933.70600000000002</v>
      </c>
      <c r="H205" s="591"/>
      <c r="I205" s="443">
        <f t="shared" si="78"/>
        <v>19677</v>
      </c>
      <c r="J205" s="469"/>
      <c r="K205" s="469"/>
      <c r="L205" s="326">
        <f t="shared" si="108"/>
        <v>5</v>
      </c>
    </row>
    <row r="206" spans="1:70" ht="15" customHeight="1">
      <c r="A206" s="436">
        <f t="shared" si="107"/>
        <v>2034</v>
      </c>
      <c r="B206" s="437">
        <f t="shared" si="106"/>
        <v>19681</v>
      </c>
      <c r="C206" s="520"/>
      <c r="D206" s="508">
        <f t="shared" si="105"/>
        <v>29</v>
      </c>
      <c r="E206" s="593">
        <v>20100</v>
      </c>
      <c r="F206" s="565">
        <f>IFERROR(AZ177,0)</f>
        <v>0.91204135808901943</v>
      </c>
      <c r="G206" s="594">
        <f>AY188</f>
        <v>942.70799999999986</v>
      </c>
      <c r="H206" s="591"/>
      <c r="I206" s="443">
        <f t="shared" si="78"/>
        <v>19681</v>
      </c>
      <c r="J206" s="469"/>
      <c r="K206" s="469"/>
      <c r="L206" s="326">
        <f t="shared" si="108"/>
        <v>7</v>
      </c>
    </row>
    <row r="207" spans="1:70" ht="15" customHeight="1">
      <c r="A207" s="522">
        <f t="shared" si="107"/>
        <v>2035</v>
      </c>
      <c r="B207" s="523">
        <f t="shared" si="106"/>
        <v>19684</v>
      </c>
      <c r="C207" s="524"/>
      <c r="D207" s="525">
        <f t="shared" si="105"/>
        <v>30</v>
      </c>
      <c r="E207" s="570">
        <v>20200</v>
      </c>
      <c r="F207" s="571">
        <f>IFERROR(BF177,0)</f>
        <v>0.91108543637307737</v>
      </c>
      <c r="G207" s="595">
        <f>BE188</f>
        <v>951.64199999999994</v>
      </c>
      <c r="H207" s="596"/>
      <c r="I207" s="528">
        <f t="shared" si="78"/>
        <v>19684</v>
      </c>
      <c r="J207" s="529"/>
      <c r="K207" s="529"/>
      <c r="L207" s="326">
        <f t="shared" si="108"/>
        <v>8</v>
      </c>
    </row>
    <row r="208" spans="1:70" ht="15" customHeight="1">
      <c r="A208" s="522">
        <f t="shared" si="107"/>
        <v>2036</v>
      </c>
      <c r="B208" s="523">
        <f t="shared" si="106"/>
        <v>19687</v>
      </c>
      <c r="C208" s="524"/>
      <c r="D208" s="525">
        <f t="shared" si="105"/>
        <v>31</v>
      </c>
      <c r="E208" s="570"/>
      <c r="F208" s="571"/>
      <c r="G208" s="595"/>
      <c r="H208" s="596"/>
      <c r="I208" s="528">
        <f t="shared" si="78"/>
        <v>19687</v>
      </c>
      <c r="J208" s="529"/>
      <c r="K208" s="529"/>
    </row>
    <row r="209" spans="1:41" ht="20.100000000000001" customHeight="1">
      <c r="A209" s="522">
        <f t="shared" si="107"/>
        <v>2037</v>
      </c>
      <c r="B209" s="523">
        <f t="shared" si="106"/>
        <v>19689</v>
      </c>
      <c r="C209" s="524"/>
      <c r="D209" s="525">
        <f t="shared" si="105"/>
        <v>32</v>
      </c>
      <c r="E209" s="570"/>
      <c r="F209" s="571"/>
      <c r="G209" s="595"/>
      <c r="H209" s="596"/>
      <c r="I209" s="528">
        <f t="shared" si="78"/>
        <v>19689</v>
      </c>
      <c r="J209" s="529"/>
      <c r="K209" s="529"/>
      <c r="L209" s="578"/>
      <c r="M209" s="578"/>
      <c r="N209" s="578"/>
      <c r="O209" s="578"/>
      <c r="P209" s="578"/>
      <c r="Q209" s="578"/>
      <c r="R209" s="578"/>
      <c r="S209" s="578"/>
      <c r="T209" s="578"/>
      <c r="U209" s="578"/>
      <c r="V209" s="578"/>
      <c r="W209" s="578"/>
      <c r="X209" s="578"/>
      <c r="Y209" s="578"/>
      <c r="Z209" s="578"/>
      <c r="AA209" s="578"/>
      <c r="AB209" s="578"/>
      <c r="AC209" s="578"/>
      <c r="AD209" s="578"/>
      <c r="AE209" s="578"/>
      <c r="AF209" s="578"/>
      <c r="AG209" s="578"/>
      <c r="AH209" s="578"/>
      <c r="AI209" s="578"/>
      <c r="AJ209" s="578"/>
      <c r="AK209" s="578"/>
      <c r="AL209" s="578"/>
      <c r="AM209" s="578"/>
      <c r="AN209" s="578"/>
      <c r="AO209" s="578"/>
    </row>
    <row r="210" spans="1:41" ht="20.100000000000001" customHeight="1">
      <c r="A210" s="522">
        <f t="shared" si="107"/>
        <v>2038</v>
      </c>
      <c r="B210" s="523">
        <f t="shared" si="106"/>
        <v>19691</v>
      </c>
      <c r="C210" s="524"/>
      <c r="D210" s="525">
        <f t="shared" si="105"/>
        <v>33</v>
      </c>
      <c r="E210" s="570"/>
      <c r="F210" s="571"/>
      <c r="G210" s="595"/>
      <c r="H210" s="596"/>
      <c r="I210" s="528">
        <f t="shared" si="78"/>
        <v>19691</v>
      </c>
      <c r="J210" s="529"/>
      <c r="K210" s="529"/>
      <c r="L210" s="578"/>
      <c r="M210" s="578"/>
      <c r="N210" s="578"/>
      <c r="O210" s="578"/>
      <c r="P210" s="578"/>
      <c r="Q210" s="578"/>
      <c r="R210" s="578"/>
      <c r="S210" s="578"/>
      <c r="T210" s="578"/>
      <c r="U210" s="578"/>
      <c r="V210" s="578"/>
      <c r="W210" s="578"/>
      <c r="X210" s="578"/>
      <c r="Y210" s="578"/>
      <c r="Z210" s="578"/>
      <c r="AA210" s="578"/>
      <c r="AB210" s="578"/>
      <c r="AC210" s="578"/>
      <c r="AD210" s="578"/>
      <c r="AE210" s="578"/>
      <c r="AF210" s="578"/>
      <c r="AG210" s="578"/>
      <c r="AH210" s="578"/>
      <c r="AI210" s="578"/>
      <c r="AJ210" s="578"/>
      <c r="AK210" s="578"/>
      <c r="AL210" s="578"/>
      <c r="AM210" s="578"/>
      <c r="AN210" s="578"/>
      <c r="AO210" s="578"/>
    </row>
    <row r="211" spans="1:41" ht="20.100000000000001" customHeight="1">
      <c r="K211" s="578"/>
      <c r="L211" s="578"/>
      <c r="M211" s="578"/>
      <c r="N211" s="578"/>
      <c r="O211" s="578"/>
      <c r="P211" s="578"/>
      <c r="Q211" s="578"/>
      <c r="R211" s="578"/>
      <c r="S211" s="578"/>
      <c r="T211" s="578"/>
      <c r="U211" s="578"/>
      <c r="V211" s="578"/>
      <c r="W211" s="578"/>
      <c r="X211" s="578"/>
      <c r="Y211" s="578"/>
      <c r="Z211" s="578"/>
      <c r="AA211" s="578"/>
      <c r="AB211" s="578"/>
      <c r="AC211" s="578"/>
      <c r="AD211" s="578"/>
      <c r="AE211" s="578"/>
      <c r="AF211" s="578"/>
      <c r="AG211" s="578"/>
      <c r="AH211" s="578"/>
      <c r="AI211" s="578"/>
      <c r="AJ211" s="578"/>
      <c r="AK211" s="578"/>
      <c r="AL211" s="578"/>
      <c r="AM211" s="578"/>
      <c r="AN211" s="578"/>
      <c r="AO211" s="578"/>
    </row>
    <row r="212" spans="1:41" ht="20.100000000000001" customHeight="1">
      <c r="K212" s="578"/>
      <c r="L212" s="578"/>
      <c r="M212" s="578"/>
      <c r="N212" s="578"/>
      <c r="O212" s="578"/>
      <c r="P212" s="578"/>
      <c r="Q212" s="578"/>
      <c r="R212" s="578"/>
      <c r="S212" s="578"/>
      <c r="T212" s="578"/>
      <c r="U212" s="578"/>
      <c r="V212" s="578"/>
      <c r="W212" s="578"/>
      <c r="X212" s="578"/>
      <c r="Y212" s="578"/>
      <c r="Z212" s="578"/>
      <c r="AA212" s="578"/>
      <c r="AB212" s="578"/>
      <c r="AC212" s="578"/>
      <c r="AD212" s="578"/>
      <c r="AE212" s="578"/>
      <c r="AF212" s="578"/>
      <c r="AG212" s="578"/>
      <c r="AH212" s="578"/>
      <c r="AI212" s="578"/>
      <c r="AJ212" s="578"/>
      <c r="AK212" s="578"/>
      <c r="AL212" s="578"/>
      <c r="AM212" s="578"/>
      <c r="AN212" s="578"/>
      <c r="AO212" s="578"/>
    </row>
    <row r="213" spans="1:41" ht="20.100000000000001" customHeight="1">
      <c r="K213" s="578"/>
      <c r="L213" s="578"/>
      <c r="M213" s="578"/>
      <c r="N213" s="578"/>
      <c r="O213" s="578"/>
      <c r="P213" s="578"/>
      <c r="Q213" s="578"/>
      <c r="R213" s="578"/>
      <c r="S213" s="578"/>
      <c r="T213" s="578"/>
      <c r="U213" s="578"/>
      <c r="V213" s="578"/>
      <c r="W213" s="578"/>
      <c r="X213" s="578"/>
      <c r="Y213" s="578"/>
      <c r="Z213" s="578"/>
      <c r="AA213" s="578"/>
      <c r="AB213" s="578"/>
      <c r="AC213" s="578"/>
      <c r="AD213" s="578"/>
      <c r="AE213" s="578"/>
      <c r="AF213" s="578"/>
      <c r="AG213" s="578"/>
      <c r="AH213" s="578"/>
      <c r="AI213" s="578"/>
      <c r="AJ213" s="578"/>
      <c r="AK213" s="578"/>
      <c r="AL213" s="578"/>
      <c r="AM213" s="578"/>
      <c r="AN213" s="578"/>
      <c r="AO213" s="578"/>
    </row>
    <row r="214" spans="1:41" ht="20.100000000000001" customHeight="1"/>
    <row r="215" spans="1:41" ht="20.100000000000001" customHeight="1"/>
    <row r="216" spans="1:41" ht="20.100000000000001" customHeight="1"/>
    <row r="217" spans="1:41" ht="20.100000000000001" customHeight="1"/>
    <row r="218" spans="1:41" ht="20.100000000000001" customHeight="1"/>
    <row r="219" spans="1:41" ht="20.100000000000001" customHeight="1"/>
    <row r="220" spans="1:41" ht="20.100000000000001" customHeight="1"/>
    <row r="221" spans="1:41" ht="20.100000000000001" customHeight="1"/>
    <row r="222" spans="1:41" ht="20.100000000000001" customHeight="1"/>
    <row r="223" spans="1:41" ht="20.100000000000001" customHeight="1"/>
    <row r="224" spans="1:41" ht="20.100000000000001" customHeight="1"/>
    <row r="225" ht="20.100000000000001" customHeight="1"/>
    <row r="226" s="325" customFormat="1" ht="20.100000000000001" customHeight="1"/>
    <row r="227" s="325" customFormat="1" ht="20.100000000000001" customHeight="1"/>
    <row r="228" s="325" customFormat="1" ht="20.100000000000001" customHeight="1"/>
    <row r="229" s="325" customFormat="1" ht="20.100000000000001" customHeight="1"/>
    <row r="230" s="325" customFormat="1" ht="20.100000000000001" customHeight="1"/>
  </sheetData>
  <mergeCells count="17">
    <mergeCell ref="F154:G154"/>
    <mergeCell ref="F155:G155"/>
    <mergeCell ref="E190:F190"/>
    <mergeCell ref="E191:F191"/>
    <mergeCell ref="E192:F192"/>
    <mergeCell ref="F153:G153"/>
    <mergeCell ref="I5:J5"/>
    <mergeCell ref="A39:B39"/>
    <mergeCell ref="A40:B40"/>
    <mergeCell ref="A41:B41"/>
    <mergeCell ref="D70:E70"/>
    <mergeCell ref="D71:E71"/>
    <mergeCell ref="D72:E72"/>
    <mergeCell ref="D73:E73"/>
    <mergeCell ref="E115:F115"/>
    <mergeCell ref="E116:F116"/>
    <mergeCell ref="E117:F117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CX230"/>
  <sheetViews>
    <sheetView view="pageBreakPreview" zoomScaleNormal="100" zoomScaleSheetLayoutView="100" workbookViewId="0">
      <selection activeCell="A3" sqref="A3:F3"/>
    </sheetView>
  </sheetViews>
  <sheetFormatPr defaultRowHeight="14.85" customHeight="1"/>
  <cols>
    <col min="1" max="2" width="12.125" style="325" customWidth="1"/>
    <col min="3" max="5" width="13" style="326" customWidth="1"/>
    <col min="6" max="6" width="12.875" style="326" customWidth="1"/>
    <col min="7" max="7" width="13" style="326" customWidth="1"/>
    <col min="8" max="8" width="13.125" style="326" customWidth="1"/>
    <col min="9" max="10" width="12.125" style="326" customWidth="1"/>
    <col min="11" max="11" width="14.375" style="326" bestFit="1" customWidth="1"/>
    <col min="12" max="12" width="11" style="326" customWidth="1"/>
    <col min="13" max="13" width="10" style="326" customWidth="1"/>
    <col min="14" max="14" width="10.875" style="326" customWidth="1"/>
    <col min="15" max="15" width="13.75" style="326" customWidth="1"/>
    <col min="16" max="16" width="10" style="326" customWidth="1"/>
    <col min="17" max="17" width="13.25" style="326" customWidth="1"/>
    <col min="18" max="18" width="14.375" style="326" customWidth="1"/>
    <col min="19" max="19" width="10" style="326" customWidth="1"/>
    <col min="20" max="20" width="10.875" style="326" customWidth="1"/>
    <col min="21" max="21" width="11.375" style="326" customWidth="1"/>
    <col min="22" max="22" width="15.375" style="326" customWidth="1"/>
    <col min="23" max="24" width="10.75" style="326" customWidth="1"/>
    <col min="25" max="25" width="14.375" style="326" customWidth="1"/>
    <col min="26" max="26" width="10.75" style="326" customWidth="1"/>
    <col min="27" max="27" width="11.75" style="326" customWidth="1"/>
    <col min="28" max="28" width="10" style="326" customWidth="1"/>
    <col min="29" max="29" width="15.375" style="326" customWidth="1"/>
    <col min="30" max="30" width="10" style="326" customWidth="1"/>
    <col min="31" max="31" width="10.75" style="326" customWidth="1"/>
    <col min="32" max="32" width="14.875" style="326" customWidth="1"/>
    <col min="33" max="33" width="11.5" style="326" customWidth="1"/>
    <col min="34" max="34" width="10" style="326" customWidth="1"/>
    <col min="35" max="35" width="10.75" style="326" customWidth="1"/>
    <col min="36" max="36" width="13.5" style="326" customWidth="1"/>
    <col min="37" max="37" width="9" style="326"/>
    <col min="38" max="38" width="10.75" style="326" bestFit="1" customWidth="1"/>
    <col min="39" max="39" width="13.75" style="326" customWidth="1"/>
    <col min="40" max="40" width="9" style="326"/>
    <col min="41" max="41" width="10.625" style="326" customWidth="1"/>
    <col min="42" max="42" width="9" style="326"/>
    <col min="43" max="43" width="14.25" style="326" customWidth="1"/>
    <col min="44" max="44" width="10.75" style="326" bestFit="1" customWidth="1"/>
    <col min="45" max="45" width="11.625" style="326" customWidth="1"/>
    <col min="46" max="46" width="13.75" style="326" customWidth="1"/>
    <col min="47" max="47" width="10.625" style="326" customWidth="1"/>
    <col min="48" max="49" width="9" style="326"/>
    <col min="50" max="50" width="14.125" style="326" customWidth="1"/>
    <col min="51" max="51" width="11" style="326" customWidth="1"/>
    <col min="52" max="52" width="10.75" style="326" bestFit="1" customWidth="1"/>
    <col min="53" max="53" width="13.5" style="326" customWidth="1"/>
    <col min="54" max="55" width="9" style="326"/>
    <col min="56" max="56" width="10.75" style="326" bestFit="1" customWidth="1"/>
    <col min="57" max="57" width="14" style="326" customWidth="1"/>
    <col min="58" max="58" width="9" style="326"/>
    <col min="59" max="59" width="10.75" style="326" customWidth="1"/>
    <col min="60" max="60" width="12.75" style="326" customWidth="1"/>
    <col min="61" max="61" width="9" style="326"/>
    <col min="62" max="62" width="10.75" style="326" bestFit="1" customWidth="1"/>
    <col min="63" max="63" width="11.5" style="326" customWidth="1"/>
    <col min="64" max="64" width="13.625" style="326" customWidth="1"/>
    <col min="65" max="65" width="10.625" style="326" customWidth="1"/>
    <col min="66" max="66" width="10.75" style="326" bestFit="1" customWidth="1"/>
    <col min="67" max="67" width="12.375" style="326" customWidth="1"/>
    <col min="68" max="70" width="9" style="326"/>
    <col min="71" max="71" width="15.75" style="326" customWidth="1"/>
    <col min="72" max="72" width="9" style="326"/>
    <col min="73" max="73" width="10.75" style="326" bestFit="1" customWidth="1"/>
    <col min="74" max="74" width="12.625" style="326" customWidth="1"/>
    <col min="75" max="77" width="9" style="326"/>
    <col min="78" max="78" width="13.625" style="326" customWidth="1"/>
    <col min="79" max="79" width="9" style="326"/>
    <col min="80" max="80" width="10.75" style="326" bestFit="1" customWidth="1"/>
    <col min="81" max="81" width="12.5" style="326" customWidth="1"/>
    <col min="82" max="84" width="9" style="326"/>
    <col min="85" max="85" width="12.875" style="326" customWidth="1"/>
    <col min="86" max="86" width="9" style="326"/>
    <col min="87" max="87" width="10.75" style="326" bestFit="1" customWidth="1"/>
    <col min="88" max="88" width="13.875" style="326" customWidth="1"/>
    <col min="89" max="91" width="9" style="326"/>
    <col min="92" max="92" width="14.125" style="326" customWidth="1"/>
    <col min="93" max="93" width="9" style="326"/>
    <col min="94" max="94" width="10.75" style="326" bestFit="1" customWidth="1"/>
    <col min="95" max="95" width="13.25" style="326" customWidth="1"/>
    <col min="96" max="98" width="9" style="326"/>
    <col min="99" max="99" width="13.25" style="326" customWidth="1"/>
    <col min="100" max="100" width="9" style="326"/>
    <col min="101" max="101" width="10.75" style="326" bestFit="1" customWidth="1"/>
    <col min="102" max="102" width="13.875" style="326" customWidth="1"/>
    <col min="103" max="250" width="9" style="326"/>
    <col min="251" max="252" width="12.125" style="326" customWidth="1"/>
    <col min="253" max="255" width="13" style="326" customWidth="1"/>
    <col min="256" max="256" width="12.875" style="326" customWidth="1"/>
    <col min="257" max="257" width="13" style="326" customWidth="1"/>
    <col min="258" max="258" width="13.125" style="326" customWidth="1"/>
    <col min="259" max="260" width="12.125" style="326" customWidth="1"/>
    <col min="261" max="261" width="14.375" style="326" bestFit="1" customWidth="1"/>
    <col min="262" max="262" width="11" style="326" customWidth="1"/>
    <col min="263" max="263" width="10" style="326" customWidth="1"/>
    <col min="264" max="264" width="10.875" style="326" customWidth="1"/>
    <col min="265" max="265" width="13.75" style="326" customWidth="1"/>
    <col min="266" max="266" width="10" style="326" customWidth="1"/>
    <col min="267" max="267" width="13.25" style="326" customWidth="1"/>
    <col min="268" max="268" width="14.375" style="326" customWidth="1"/>
    <col min="269" max="269" width="10" style="326" customWidth="1"/>
    <col min="270" max="270" width="10.875" style="326" customWidth="1"/>
    <col min="271" max="271" width="11.375" style="326" customWidth="1"/>
    <col min="272" max="272" width="15.375" style="326" customWidth="1"/>
    <col min="273" max="274" width="10.75" style="326" customWidth="1"/>
    <col min="275" max="275" width="14.375" style="326" customWidth="1"/>
    <col min="276" max="276" width="10.75" style="326" customWidth="1"/>
    <col min="277" max="277" width="11.75" style="326" customWidth="1"/>
    <col min="278" max="278" width="10" style="326" customWidth="1"/>
    <col min="279" max="279" width="15.375" style="326" customWidth="1"/>
    <col min="280" max="280" width="10" style="326" customWidth="1"/>
    <col min="281" max="281" width="10.75" style="326" customWidth="1"/>
    <col min="282" max="282" width="14.875" style="326" customWidth="1"/>
    <col min="283" max="283" width="11.5" style="326" customWidth="1"/>
    <col min="284" max="284" width="10" style="326" customWidth="1"/>
    <col min="285" max="285" width="10.75" style="326" customWidth="1"/>
    <col min="286" max="286" width="13.5" style="326" customWidth="1"/>
    <col min="287" max="287" width="9" style="326"/>
    <col min="288" max="288" width="10.75" style="326" bestFit="1" customWidth="1"/>
    <col min="289" max="289" width="13.75" style="326" customWidth="1"/>
    <col min="290" max="290" width="9" style="326"/>
    <col min="291" max="291" width="10.625" style="326" customWidth="1"/>
    <col min="292" max="292" width="9" style="326"/>
    <col min="293" max="293" width="14.25" style="326" customWidth="1"/>
    <col min="294" max="294" width="10.75" style="326" bestFit="1" customWidth="1"/>
    <col min="295" max="295" width="11.625" style="326" customWidth="1"/>
    <col min="296" max="296" width="13.75" style="326" customWidth="1"/>
    <col min="297" max="297" width="10.625" style="326" customWidth="1"/>
    <col min="298" max="299" width="9" style="326"/>
    <col min="300" max="300" width="14.125" style="326" customWidth="1"/>
    <col min="301" max="301" width="11" style="326" customWidth="1"/>
    <col min="302" max="302" width="10.75" style="326" bestFit="1" customWidth="1"/>
    <col min="303" max="303" width="13.5" style="326" customWidth="1"/>
    <col min="304" max="305" width="9" style="326"/>
    <col min="306" max="306" width="10.75" style="326" bestFit="1" customWidth="1"/>
    <col min="307" max="307" width="14" style="326" customWidth="1"/>
    <col min="308" max="308" width="9" style="326"/>
    <col min="309" max="309" width="10.75" style="326" customWidth="1"/>
    <col min="310" max="310" width="12.75" style="326" customWidth="1"/>
    <col min="311" max="311" width="9" style="326"/>
    <col min="312" max="312" width="10.75" style="326" bestFit="1" customWidth="1"/>
    <col min="313" max="313" width="11.5" style="326" customWidth="1"/>
    <col min="314" max="314" width="13.625" style="326" customWidth="1"/>
    <col min="315" max="315" width="10.625" style="326" customWidth="1"/>
    <col min="316" max="316" width="10.75" style="326" bestFit="1" customWidth="1"/>
    <col min="317" max="317" width="12.375" style="326" customWidth="1"/>
    <col min="318" max="320" width="9" style="326"/>
    <col min="321" max="321" width="15.75" style="326" customWidth="1"/>
    <col min="322" max="322" width="9" style="326"/>
    <col min="323" max="323" width="10.75" style="326" bestFit="1" customWidth="1"/>
    <col min="324" max="324" width="12.625" style="326" customWidth="1"/>
    <col min="325" max="327" width="9" style="326"/>
    <col min="328" max="328" width="13.625" style="326" customWidth="1"/>
    <col min="329" max="329" width="9" style="326"/>
    <col min="330" max="330" width="10.75" style="326" bestFit="1" customWidth="1"/>
    <col min="331" max="331" width="12.5" style="326" customWidth="1"/>
    <col min="332" max="334" width="9" style="326"/>
    <col min="335" max="335" width="12.875" style="326" customWidth="1"/>
    <col min="336" max="336" width="9" style="326"/>
    <col min="337" max="337" width="10.75" style="326" bestFit="1" customWidth="1"/>
    <col min="338" max="338" width="13.875" style="326" customWidth="1"/>
    <col min="339" max="341" width="9" style="326"/>
    <col min="342" max="342" width="14.125" style="326" customWidth="1"/>
    <col min="343" max="343" width="9" style="326"/>
    <col min="344" max="344" width="10.75" style="326" bestFit="1" customWidth="1"/>
    <col min="345" max="345" width="13.25" style="326" customWidth="1"/>
    <col min="346" max="348" width="9" style="326"/>
    <col min="349" max="349" width="13.25" style="326" customWidth="1"/>
    <col min="350" max="350" width="9" style="326"/>
    <col min="351" max="351" width="10.75" style="326" bestFit="1" customWidth="1"/>
    <col min="352" max="352" width="13.875" style="326" customWidth="1"/>
    <col min="353" max="355" width="9" style="326"/>
    <col min="356" max="356" width="13.625" style="326" customWidth="1"/>
    <col min="357" max="357" width="9" style="326"/>
    <col min="358" max="358" width="10.75" style="326" bestFit="1" customWidth="1"/>
    <col min="359" max="359" width="13" style="326" customWidth="1"/>
    <col min="360" max="506" width="9" style="326"/>
    <col min="507" max="508" width="12.125" style="326" customWidth="1"/>
    <col min="509" max="511" width="13" style="326" customWidth="1"/>
    <col min="512" max="512" width="12.875" style="326" customWidth="1"/>
    <col min="513" max="513" width="13" style="326" customWidth="1"/>
    <col min="514" max="514" width="13.125" style="326" customWidth="1"/>
    <col min="515" max="516" width="12.125" style="326" customWidth="1"/>
    <col min="517" max="517" width="14.375" style="326" bestFit="1" customWidth="1"/>
    <col min="518" max="518" width="11" style="326" customWidth="1"/>
    <col min="519" max="519" width="10" style="326" customWidth="1"/>
    <col min="520" max="520" width="10.875" style="326" customWidth="1"/>
    <col min="521" max="521" width="13.75" style="326" customWidth="1"/>
    <col min="522" max="522" width="10" style="326" customWidth="1"/>
    <col min="523" max="523" width="13.25" style="326" customWidth="1"/>
    <col min="524" max="524" width="14.375" style="326" customWidth="1"/>
    <col min="525" max="525" width="10" style="326" customWidth="1"/>
    <col min="526" max="526" width="10.875" style="326" customWidth="1"/>
    <col min="527" max="527" width="11.375" style="326" customWidth="1"/>
    <col min="528" max="528" width="15.375" style="326" customWidth="1"/>
    <col min="529" max="530" width="10.75" style="326" customWidth="1"/>
    <col min="531" max="531" width="14.375" style="326" customWidth="1"/>
    <col min="532" max="532" width="10.75" style="326" customWidth="1"/>
    <col min="533" max="533" width="11.75" style="326" customWidth="1"/>
    <col min="534" max="534" width="10" style="326" customWidth="1"/>
    <col min="535" max="535" width="15.375" style="326" customWidth="1"/>
    <col min="536" max="536" width="10" style="326" customWidth="1"/>
    <col min="537" max="537" width="10.75" style="326" customWidth="1"/>
    <col min="538" max="538" width="14.875" style="326" customWidth="1"/>
    <col min="539" max="539" width="11.5" style="326" customWidth="1"/>
    <col min="540" max="540" width="10" style="326" customWidth="1"/>
    <col min="541" max="541" width="10.75" style="326" customWidth="1"/>
    <col min="542" max="542" width="13.5" style="326" customWidth="1"/>
    <col min="543" max="543" width="9" style="326"/>
    <col min="544" max="544" width="10.75" style="326" bestFit="1" customWidth="1"/>
    <col min="545" max="545" width="13.75" style="326" customWidth="1"/>
    <col min="546" max="546" width="9" style="326"/>
    <col min="547" max="547" width="10.625" style="326" customWidth="1"/>
    <col min="548" max="548" width="9" style="326"/>
    <col min="549" max="549" width="14.25" style="326" customWidth="1"/>
    <col min="550" max="550" width="10.75" style="326" bestFit="1" customWidth="1"/>
    <col min="551" max="551" width="11.625" style="326" customWidth="1"/>
    <col min="552" max="552" width="13.75" style="326" customWidth="1"/>
    <col min="553" max="553" width="10.625" style="326" customWidth="1"/>
    <col min="554" max="555" width="9" style="326"/>
    <col min="556" max="556" width="14.125" style="326" customWidth="1"/>
    <col min="557" max="557" width="11" style="326" customWidth="1"/>
    <col min="558" max="558" width="10.75" style="326" bestFit="1" customWidth="1"/>
    <col min="559" max="559" width="13.5" style="326" customWidth="1"/>
    <col min="560" max="561" width="9" style="326"/>
    <col min="562" max="562" width="10.75" style="326" bestFit="1" customWidth="1"/>
    <col min="563" max="563" width="14" style="326" customWidth="1"/>
    <col min="564" max="564" width="9" style="326"/>
    <col min="565" max="565" width="10.75" style="326" customWidth="1"/>
    <col min="566" max="566" width="12.75" style="326" customWidth="1"/>
    <col min="567" max="567" width="9" style="326"/>
    <col min="568" max="568" width="10.75" style="326" bestFit="1" customWidth="1"/>
    <col min="569" max="569" width="11.5" style="326" customWidth="1"/>
    <col min="570" max="570" width="13.625" style="326" customWidth="1"/>
    <col min="571" max="571" width="10.625" style="326" customWidth="1"/>
    <col min="572" max="572" width="10.75" style="326" bestFit="1" customWidth="1"/>
    <col min="573" max="573" width="12.375" style="326" customWidth="1"/>
    <col min="574" max="576" width="9" style="326"/>
    <col min="577" max="577" width="15.75" style="326" customWidth="1"/>
    <col min="578" max="578" width="9" style="326"/>
    <col min="579" max="579" width="10.75" style="326" bestFit="1" customWidth="1"/>
    <col min="580" max="580" width="12.625" style="326" customWidth="1"/>
    <col min="581" max="583" width="9" style="326"/>
    <col min="584" max="584" width="13.625" style="326" customWidth="1"/>
    <col min="585" max="585" width="9" style="326"/>
    <col min="586" max="586" width="10.75" style="326" bestFit="1" customWidth="1"/>
    <col min="587" max="587" width="12.5" style="326" customWidth="1"/>
    <col min="588" max="590" width="9" style="326"/>
    <col min="591" max="591" width="12.875" style="326" customWidth="1"/>
    <col min="592" max="592" width="9" style="326"/>
    <col min="593" max="593" width="10.75" style="326" bestFit="1" customWidth="1"/>
    <col min="594" max="594" width="13.875" style="326" customWidth="1"/>
    <col min="595" max="597" width="9" style="326"/>
    <col min="598" max="598" width="14.125" style="326" customWidth="1"/>
    <col min="599" max="599" width="9" style="326"/>
    <col min="600" max="600" width="10.75" style="326" bestFit="1" customWidth="1"/>
    <col min="601" max="601" width="13.25" style="326" customWidth="1"/>
    <col min="602" max="604" width="9" style="326"/>
    <col min="605" max="605" width="13.25" style="326" customWidth="1"/>
    <col min="606" max="606" width="9" style="326"/>
    <col min="607" max="607" width="10.75" style="326" bestFit="1" customWidth="1"/>
    <col min="608" max="608" width="13.875" style="326" customWidth="1"/>
    <col min="609" max="611" width="9" style="326"/>
    <col min="612" max="612" width="13.625" style="326" customWidth="1"/>
    <col min="613" max="613" width="9" style="326"/>
    <col min="614" max="614" width="10.75" style="326" bestFit="1" customWidth="1"/>
    <col min="615" max="615" width="13" style="326" customWidth="1"/>
    <col min="616" max="762" width="9" style="326"/>
    <col min="763" max="764" width="12.125" style="326" customWidth="1"/>
    <col min="765" max="767" width="13" style="326" customWidth="1"/>
    <col min="768" max="768" width="12.875" style="326" customWidth="1"/>
    <col min="769" max="769" width="13" style="326" customWidth="1"/>
    <col min="770" max="770" width="13.125" style="326" customWidth="1"/>
    <col min="771" max="772" width="12.125" style="326" customWidth="1"/>
    <col min="773" max="773" width="14.375" style="326" bestFit="1" customWidth="1"/>
    <col min="774" max="774" width="11" style="326" customWidth="1"/>
    <col min="775" max="775" width="10" style="326" customWidth="1"/>
    <col min="776" max="776" width="10.875" style="326" customWidth="1"/>
    <col min="777" max="777" width="13.75" style="326" customWidth="1"/>
    <col min="778" max="778" width="10" style="326" customWidth="1"/>
    <col min="779" max="779" width="13.25" style="326" customWidth="1"/>
    <col min="780" max="780" width="14.375" style="326" customWidth="1"/>
    <col min="781" max="781" width="10" style="326" customWidth="1"/>
    <col min="782" max="782" width="10.875" style="326" customWidth="1"/>
    <col min="783" max="783" width="11.375" style="326" customWidth="1"/>
    <col min="784" max="784" width="15.375" style="326" customWidth="1"/>
    <col min="785" max="786" width="10.75" style="326" customWidth="1"/>
    <col min="787" max="787" width="14.375" style="326" customWidth="1"/>
    <col min="788" max="788" width="10.75" style="326" customWidth="1"/>
    <col min="789" max="789" width="11.75" style="326" customWidth="1"/>
    <col min="790" max="790" width="10" style="326" customWidth="1"/>
    <col min="791" max="791" width="15.375" style="326" customWidth="1"/>
    <col min="792" max="792" width="10" style="326" customWidth="1"/>
    <col min="793" max="793" width="10.75" style="326" customWidth="1"/>
    <col min="794" max="794" width="14.875" style="326" customWidth="1"/>
    <col min="795" max="795" width="11.5" style="326" customWidth="1"/>
    <col min="796" max="796" width="10" style="326" customWidth="1"/>
    <col min="797" max="797" width="10.75" style="326" customWidth="1"/>
    <col min="798" max="798" width="13.5" style="326" customWidth="1"/>
    <col min="799" max="799" width="9" style="326"/>
    <col min="800" max="800" width="10.75" style="326" bestFit="1" customWidth="1"/>
    <col min="801" max="801" width="13.75" style="326" customWidth="1"/>
    <col min="802" max="802" width="9" style="326"/>
    <col min="803" max="803" width="10.625" style="326" customWidth="1"/>
    <col min="804" max="804" width="9" style="326"/>
    <col min="805" max="805" width="14.25" style="326" customWidth="1"/>
    <col min="806" max="806" width="10.75" style="326" bestFit="1" customWidth="1"/>
    <col min="807" max="807" width="11.625" style="326" customWidth="1"/>
    <col min="808" max="808" width="13.75" style="326" customWidth="1"/>
    <col min="809" max="809" width="10.625" style="326" customWidth="1"/>
    <col min="810" max="811" width="9" style="326"/>
    <col min="812" max="812" width="14.125" style="326" customWidth="1"/>
    <col min="813" max="813" width="11" style="326" customWidth="1"/>
    <col min="814" max="814" width="10.75" style="326" bestFit="1" customWidth="1"/>
    <col min="815" max="815" width="13.5" style="326" customWidth="1"/>
    <col min="816" max="817" width="9" style="326"/>
    <col min="818" max="818" width="10.75" style="326" bestFit="1" customWidth="1"/>
    <col min="819" max="819" width="14" style="326" customWidth="1"/>
    <col min="820" max="820" width="9" style="326"/>
    <col min="821" max="821" width="10.75" style="326" customWidth="1"/>
    <col min="822" max="822" width="12.75" style="326" customWidth="1"/>
    <col min="823" max="823" width="9" style="326"/>
    <col min="824" max="824" width="10.75" style="326" bestFit="1" customWidth="1"/>
    <col min="825" max="825" width="11.5" style="326" customWidth="1"/>
    <col min="826" max="826" width="13.625" style="326" customWidth="1"/>
    <col min="827" max="827" width="10.625" style="326" customWidth="1"/>
    <col min="828" max="828" width="10.75" style="326" bestFit="1" customWidth="1"/>
    <col min="829" max="829" width="12.375" style="326" customWidth="1"/>
    <col min="830" max="832" width="9" style="326"/>
    <col min="833" max="833" width="15.75" style="326" customWidth="1"/>
    <col min="834" max="834" width="9" style="326"/>
    <col min="835" max="835" width="10.75" style="326" bestFit="1" customWidth="1"/>
    <col min="836" max="836" width="12.625" style="326" customWidth="1"/>
    <col min="837" max="839" width="9" style="326"/>
    <col min="840" max="840" width="13.625" style="326" customWidth="1"/>
    <col min="841" max="841" width="9" style="326"/>
    <col min="842" max="842" width="10.75" style="326" bestFit="1" customWidth="1"/>
    <col min="843" max="843" width="12.5" style="326" customWidth="1"/>
    <col min="844" max="846" width="9" style="326"/>
    <col min="847" max="847" width="12.875" style="326" customWidth="1"/>
    <col min="848" max="848" width="9" style="326"/>
    <col min="849" max="849" width="10.75" style="326" bestFit="1" customWidth="1"/>
    <col min="850" max="850" width="13.875" style="326" customWidth="1"/>
    <col min="851" max="853" width="9" style="326"/>
    <col min="854" max="854" width="14.125" style="326" customWidth="1"/>
    <col min="855" max="855" width="9" style="326"/>
    <col min="856" max="856" width="10.75" style="326" bestFit="1" customWidth="1"/>
    <col min="857" max="857" width="13.25" style="326" customWidth="1"/>
    <col min="858" max="860" width="9" style="326"/>
    <col min="861" max="861" width="13.25" style="326" customWidth="1"/>
    <col min="862" max="862" width="9" style="326"/>
    <col min="863" max="863" width="10.75" style="326" bestFit="1" customWidth="1"/>
    <col min="864" max="864" width="13.875" style="326" customWidth="1"/>
    <col min="865" max="867" width="9" style="326"/>
    <col min="868" max="868" width="13.625" style="326" customWidth="1"/>
    <col min="869" max="869" width="9" style="326"/>
    <col min="870" max="870" width="10.75" style="326" bestFit="1" customWidth="1"/>
    <col min="871" max="871" width="13" style="326" customWidth="1"/>
    <col min="872" max="1018" width="9" style="326"/>
    <col min="1019" max="1020" width="12.125" style="326" customWidth="1"/>
    <col min="1021" max="1023" width="13" style="326" customWidth="1"/>
    <col min="1024" max="1024" width="12.875" style="326" customWidth="1"/>
    <col min="1025" max="1025" width="13" style="326" customWidth="1"/>
    <col min="1026" max="1026" width="13.125" style="326" customWidth="1"/>
    <col min="1027" max="1028" width="12.125" style="326" customWidth="1"/>
    <col min="1029" max="1029" width="14.375" style="326" bestFit="1" customWidth="1"/>
    <col min="1030" max="1030" width="11" style="326" customWidth="1"/>
    <col min="1031" max="1031" width="10" style="326" customWidth="1"/>
    <col min="1032" max="1032" width="10.875" style="326" customWidth="1"/>
    <col min="1033" max="1033" width="13.75" style="326" customWidth="1"/>
    <col min="1034" max="1034" width="10" style="326" customWidth="1"/>
    <col min="1035" max="1035" width="13.25" style="326" customWidth="1"/>
    <col min="1036" max="1036" width="14.375" style="326" customWidth="1"/>
    <col min="1037" max="1037" width="10" style="326" customWidth="1"/>
    <col min="1038" max="1038" width="10.875" style="326" customWidth="1"/>
    <col min="1039" max="1039" width="11.375" style="326" customWidth="1"/>
    <col min="1040" max="1040" width="15.375" style="326" customWidth="1"/>
    <col min="1041" max="1042" width="10.75" style="326" customWidth="1"/>
    <col min="1043" max="1043" width="14.375" style="326" customWidth="1"/>
    <col min="1044" max="1044" width="10.75" style="326" customWidth="1"/>
    <col min="1045" max="1045" width="11.75" style="326" customWidth="1"/>
    <col min="1046" max="1046" width="10" style="326" customWidth="1"/>
    <col min="1047" max="1047" width="15.375" style="326" customWidth="1"/>
    <col min="1048" max="1048" width="10" style="326" customWidth="1"/>
    <col min="1049" max="1049" width="10.75" style="326" customWidth="1"/>
    <col min="1050" max="1050" width="14.875" style="326" customWidth="1"/>
    <col min="1051" max="1051" width="11.5" style="326" customWidth="1"/>
    <col min="1052" max="1052" width="10" style="326" customWidth="1"/>
    <col min="1053" max="1053" width="10.75" style="326" customWidth="1"/>
    <col min="1054" max="1054" width="13.5" style="326" customWidth="1"/>
    <col min="1055" max="1055" width="9" style="326"/>
    <col min="1056" max="1056" width="10.75" style="326" bestFit="1" customWidth="1"/>
    <col min="1057" max="1057" width="13.75" style="326" customWidth="1"/>
    <col min="1058" max="1058" width="9" style="326"/>
    <col min="1059" max="1059" width="10.625" style="326" customWidth="1"/>
    <col min="1060" max="1060" width="9" style="326"/>
    <col min="1061" max="1061" width="14.25" style="326" customWidth="1"/>
    <col min="1062" max="1062" width="10.75" style="326" bestFit="1" customWidth="1"/>
    <col min="1063" max="1063" width="11.625" style="326" customWidth="1"/>
    <col min="1064" max="1064" width="13.75" style="326" customWidth="1"/>
    <col min="1065" max="1065" width="10.625" style="326" customWidth="1"/>
    <col min="1066" max="1067" width="9" style="326"/>
    <col min="1068" max="1068" width="14.125" style="326" customWidth="1"/>
    <col min="1069" max="1069" width="11" style="326" customWidth="1"/>
    <col min="1070" max="1070" width="10.75" style="326" bestFit="1" customWidth="1"/>
    <col min="1071" max="1071" width="13.5" style="326" customWidth="1"/>
    <col min="1072" max="1073" width="9" style="326"/>
    <col min="1074" max="1074" width="10.75" style="326" bestFit="1" customWidth="1"/>
    <col min="1075" max="1075" width="14" style="326" customWidth="1"/>
    <col min="1076" max="1076" width="9" style="326"/>
    <col min="1077" max="1077" width="10.75" style="326" customWidth="1"/>
    <col min="1078" max="1078" width="12.75" style="326" customWidth="1"/>
    <col min="1079" max="1079" width="9" style="326"/>
    <col min="1080" max="1080" width="10.75" style="326" bestFit="1" customWidth="1"/>
    <col min="1081" max="1081" width="11.5" style="326" customWidth="1"/>
    <col min="1082" max="1082" width="13.625" style="326" customWidth="1"/>
    <col min="1083" max="1083" width="10.625" style="326" customWidth="1"/>
    <col min="1084" max="1084" width="10.75" style="326" bestFit="1" customWidth="1"/>
    <col min="1085" max="1085" width="12.375" style="326" customWidth="1"/>
    <col min="1086" max="1088" width="9" style="326"/>
    <col min="1089" max="1089" width="15.75" style="326" customWidth="1"/>
    <col min="1090" max="1090" width="9" style="326"/>
    <col min="1091" max="1091" width="10.75" style="326" bestFit="1" customWidth="1"/>
    <col min="1092" max="1092" width="12.625" style="326" customWidth="1"/>
    <col min="1093" max="1095" width="9" style="326"/>
    <col min="1096" max="1096" width="13.625" style="326" customWidth="1"/>
    <col min="1097" max="1097" width="9" style="326"/>
    <col min="1098" max="1098" width="10.75" style="326" bestFit="1" customWidth="1"/>
    <col min="1099" max="1099" width="12.5" style="326" customWidth="1"/>
    <col min="1100" max="1102" width="9" style="326"/>
    <col min="1103" max="1103" width="12.875" style="326" customWidth="1"/>
    <col min="1104" max="1104" width="9" style="326"/>
    <col min="1105" max="1105" width="10.75" style="326" bestFit="1" customWidth="1"/>
    <col min="1106" max="1106" width="13.875" style="326" customWidth="1"/>
    <col min="1107" max="1109" width="9" style="326"/>
    <col min="1110" max="1110" width="14.125" style="326" customWidth="1"/>
    <col min="1111" max="1111" width="9" style="326"/>
    <col min="1112" max="1112" width="10.75" style="326" bestFit="1" customWidth="1"/>
    <col min="1113" max="1113" width="13.25" style="326" customWidth="1"/>
    <col min="1114" max="1116" width="9" style="326"/>
    <col min="1117" max="1117" width="13.25" style="326" customWidth="1"/>
    <col min="1118" max="1118" width="9" style="326"/>
    <col min="1119" max="1119" width="10.75" style="326" bestFit="1" customWidth="1"/>
    <col min="1120" max="1120" width="13.875" style="326" customWidth="1"/>
    <col min="1121" max="1123" width="9" style="326"/>
    <col min="1124" max="1124" width="13.625" style="326" customWidth="1"/>
    <col min="1125" max="1125" width="9" style="326"/>
    <col min="1126" max="1126" width="10.75" style="326" bestFit="1" customWidth="1"/>
    <col min="1127" max="1127" width="13" style="326" customWidth="1"/>
    <col min="1128" max="1274" width="9" style="326"/>
    <col min="1275" max="1276" width="12.125" style="326" customWidth="1"/>
    <col min="1277" max="1279" width="13" style="326" customWidth="1"/>
    <col min="1280" max="1280" width="12.875" style="326" customWidth="1"/>
    <col min="1281" max="1281" width="13" style="326" customWidth="1"/>
    <col min="1282" max="1282" width="13.125" style="326" customWidth="1"/>
    <col min="1283" max="1284" width="12.125" style="326" customWidth="1"/>
    <col min="1285" max="1285" width="14.375" style="326" bestFit="1" customWidth="1"/>
    <col min="1286" max="1286" width="11" style="326" customWidth="1"/>
    <col min="1287" max="1287" width="10" style="326" customWidth="1"/>
    <col min="1288" max="1288" width="10.875" style="326" customWidth="1"/>
    <col min="1289" max="1289" width="13.75" style="326" customWidth="1"/>
    <col min="1290" max="1290" width="10" style="326" customWidth="1"/>
    <col min="1291" max="1291" width="13.25" style="326" customWidth="1"/>
    <col min="1292" max="1292" width="14.375" style="326" customWidth="1"/>
    <col min="1293" max="1293" width="10" style="326" customWidth="1"/>
    <col min="1294" max="1294" width="10.875" style="326" customWidth="1"/>
    <col min="1295" max="1295" width="11.375" style="326" customWidth="1"/>
    <col min="1296" max="1296" width="15.375" style="326" customWidth="1"/>
    <col min="1297" max="1298" width="10.75" style="326" customWidth="1"/>
    <col min="1299" max="1299" width="14.375" style="326" customWidth="1"/>
    <col min="1300" max="1300" width="10.75" style="326" customWidth="1"/>
    <col min="1301" max="1301" width="11.75" style="326" customWidth="1"/>
    <col min="1302" max="1302" width="10" style="326" customWidth="1"/>
    <col min="1303" max="1303" width="15.375" style="326" customWidth="1"/>
    <col min="1304" max="1304" width="10" style="326" customWidth="1"/>
    <col min="1305" max="1305" width="10.75" style="326" customWidth="1"/>
    <col min="1306" max="1306" width="14.875" style="326" customWidth="1"/>
    <col min="1307" max="1307" width="11.5" style="326" customWidth="1"/>
    <col min="1308" max="1308" width="10" style="326" customWidth="1"/>
    <col min="1309" max="1309" width="10.75" style="326" customWidth="1"/>
    <col min="1310" max="1310" width="13.5" style="326" customWidth="1"/>
    <col min="1311" max="1311" width="9" style="326"/>
    <col min="1312" max="1312" width="10.75" style="326" bestFit="1" customWidth="1"/>
    <col min="1313" max="1313" width="13.75" style="326" customWidth="1"/>
    <col min="1314" max="1314" width="9" style="326"/>
    <col min="1315" max="1315" width="10.625" style="326" customWidth="1"/>
    <col min="1316" max="1316" width="9" style="326"/>
    <col min="1317" max="1317" width="14.25" style="326" customWidth="1"/>
    <col min="1318" max="1318" width="10.75" style="326" bestFit="1" customWidth="1"/>
    <col min="1319" max="1319" width="11.625" style="326" customWidth="1"/>
    <col min="1320" max="1320" width="13.75" style="326" customWidth="1"/>
    <col min="1321" max="1321" width="10.625" style="326" customWidth="1"/>
    <col min="1322" max="1323" width="9" style="326"/>
    <col min="1324" max="1324" width="14.125" style="326" customWidth="1"/>
    <col min="1325" max="1325" width="11" style="326" customWidth="1"/>
    <col min="1326" max="1326" width="10.75" style="326" bestFit="1" customWidth="1"/>
    <col min="1327" max="1327" width="13.5" style="326" customWidth="1"/>
    <col min="1328" max="1329" width="9" style="326"/>
    <col min="1330" max="1330" width="10.75" style="326" bestFit="1" customWidth="1"/>
    <col min="1331" max="1331" width="14" style="326" customWidth="1"/>
    <col min="1332" max="1332" width="9" style="326"/>
    <col min="1333" max="1333" width="10.75" style="326" customWidth="1"/>
    <col min="1334" max="1334" width="12.75" style="326" customWidth="1"/>
    <col min="1335" max="1335" width="9" style="326"/>
    <col min="1336" max="1336" width="10.75" style="326" bestFit="1" customWidth="1"/>
    <col min="1337" max="1337" width="11.5" style="326" customWidth="1"/>
    <col min="1338" max="1338" width="13.625" style="326" customWidth="1"/>
    <col min="1339" max="1339" width="10.625" style="326" customWidth="1"/>
    <col min="1340" max="1340" width="10.75" style="326" bestFit="1" customWidth="1"/>
    <col min="1341" max="1341" width="12.375" style="326" customWidth="1"/>
    <col min="1342" max="1344" width="9" style="326"/>
    <col min="1345" max="1345" width="15.75" style="326" customWidth="1"/>
    <col min="1346" max="1346" width="9" style="326"/>
    <col min="1347" max="1347" width="10.75" style="326" bestFit="1" customWidth="1"/>
    <col min="1348" max="1348" width="12.625" style="326" customWidth="1"/>
    <col min="1349" max="1351" width="9" style="326"/>
    <col min="1352" max="1352" width="13.625" style="326" customWidth="1"/>
    <col min="1353" max="1353" width="9" style="326"/>
    <col min="1354" max="1354" width="10.75" style="326" bestFit="1" customWidth="1"/>
    <col min="1355" max="1355" width="12.5" style="326" customWidth="1"/>
    <col min="1356" max="1358" width="9" style="326"/>
    <col min="1359" max="1359" width="12.875" style="326" customWidth="1"/>
    <col min="1360" max="1360" width="9" style="326"/>
    <col min="1361" max="1361" width="10.75" style="326" bestFit="1" customWidth="1"/>
    <col min="1362" max="1362" width="13.875" style="326" customWidth="1"/>
    <col min="1363" max="1365" width="9" style="326"/>
    <col min="1366" max="1366" width="14.125" style="326" customWidth="1"/>
    <col min="1367" max="1367" width="9" style="326"/>
    <col min="1368" max="1368" width="10.75" style="326" bestFit="1" customWidth="1"/>
    <col min="1369" max="1369" width="13.25" style="326" customWidth="1"/>
    <col min="1370" max="1372" width="9" style="326"/>
    <col min="1373" max="1373" width="13.25" style="326" customWidth="1"/>
    <col min="1374" max="1374" width="9" style="326"/>
    <col min="1375" max="1375" width="10.75" style="326" bestFit="1" customWidth="1"/>
    <col min="1376" max="1376" width="13.875" style="326" customWidth="1"/>
    <col min="1377" max="1379" width="9" style="326"/>
    <col min="1380" max="1380" width="13.625" style="326" customWidth="1"/>
    <col min="1381" max="1381" width="9" style="326"/>
    <col min="1382" max="1382" width="10.75" style="326" bestFit="1" customWidth="1"/>
    <col min="1383" max="1383" width="13" style="326" customWidth="1"/>
    <col min="1384" max="1530" width="9" style="326"/>
    <col min="1531" max="1532" width="12.125" style="326" customWidth="1"/>
    <col min="1533" max="1535" width="13" style="326" customWidth="1"/>
    <col min="1536" max="1536" width="12.875" style="326" customWidth="1"/>
    <col min="1537" max="1537" width="13" style="326" customWidth="1"/>
    <col min="1538" max="1538" width="13.125" style="326" customWidth="1"/>
    <col min="1539" max="1540" width="12.125" style="326" customWidth="1"/>
    <col min="1541" max="1541" width="14.375" style="326" bestFit="1" customWidth="1"/>
    <col min="1542" max="1542" width="11" style="326" customWidth="1"/>
    <col min="1543" max="1543" width="10" style="326" customWidth="1"/>
    <col min="1544" max="1544" width="10.875" style="326" customWidth="1"/>
    <col min="1545" max="1545" width="13.75" style="326" customWidth="1"/>
    <col min="1546" max="1546" width="10" style="326" customWidth="1"/>
    <col min="1547" max="1547" width="13.25" style="326" customWidth="1"/>
    <col min="1548" max="1548" width="14.375" style="326" customWidth="1"/>
    <col min="1549" max="1549" width="10" style="326" customWidth="1"/>
    <col min="1550" max="1550" width="10.875" style="326" customWidth="1"/>
    <col min="1551" max="1551" width="11.375" style="326" customWidth="1"/>
    <col min="1552" max="1552" width="15.375" style="326" customWidth="1"/>
    <col min="1553" max="1554" width="10.75" style="326" customWidth="1"/>
    <col min="1555" max="1555" width="14.375" style="326" customWidth="1"/>
    <col min="1556" max="1556" width="10.75" style="326" customWidth="1"/>
    <col min="1557" max="1557" width="11.75" style="326" customWidth="1"/>
    <col min="1558" max="1558" width="10" style="326" customWidth="1"/>
    <col min="1559" max="1559" width="15.375" style="326" customWidth="1"/>
    <col min="1560" max="1560" width="10" style="326" customWidth="1"/>
    <col min="1561" max="1561" width="10.75" style="326" customWidth="1"/>
    <col min="1562" max="1562" width="14.875" style="326" customWidth="1"/>
    <col min="1563" max="1563" width="11.5" style="326" customWidth="1"/>
    <col min="1564" max="1564" width="10" style="326" customWidth="1"/>
    <col min="1565" max="1565" width="10.75" style="326" customWidth="1"/>
    <col min="1566" max="1566" width="13.5" style="326" customWidth="1"/>
    <col min="1567" max="1567" width="9" style="326"/>
    <col min="1568" max="1568" width="10.75" style="326" bestFit="1" customWidth="1"/>
    <col min="1569" max="1569" width="13.75" style="326" customWidth="1"/>
    <col min="1570" max="1570" width="9" style="326"/>
    <col min="1571" max="1571" width="10.625" style="326" customWidth="1"/>
    <col min="1572" max="1572" width="9" style="326"/>
    <col min="1573" max="1573" width="14.25" style="326" customWidth="1"/>
    <col min="1574" max="1574" width="10.75" style="326" bestFit="1" customWidth="1"/>
    <col min="1575" max="1575" width="11.625" style="326" customWidth="1"/>
    <col min="1576" max="1576" width="13.75" style="326" customWidth="1"/>
    <col min="1577" max="1577" width="10.625" style="326" customWidth="1"/>
    <col min="1578" max="1579" width="9" style="326"/>
    <col min="1580" max="1580" width="14.125" style="326" customWidth="1"/>
    <col min="1581" max="1581" width="11" style="326" customWidth="1"/>
    <col min="1582" max="1582" width="10.75" style="326" bestFit="1" customWidth="1"/>
    <col min="1583" max="1583" width="13.5" style="326" customWidth="1"/>
    <col min="1584" max="1585" width="9" style="326"/>
    <col min="1586" max="1586" width="10.75" style="326" bestFit="1" customWidth="1"/>
    <col min="1587" max="1587" width="14" style="326" customWidth="1"/>
    <col min="1588" max="1588" width="9" style="326"/>
    <col min="1589" max="1589" width="10.75" style="326" customWidth="1"/>
    <col min="1590" max="1590" width="12.75" style="326" customWidth="1"/>
    <col min="1591" max="1591" width="9" style="326"/>
    <col min="1592" max="1592" width="10.75" style="326" bestFit="1" customWidth="1"/>
    <col min="1593" max="1593" width="11.5" style="326" customWidth="1"/>
    <col min="1594" max="1594" width="13.625" style="326" customWidth="1"/>
    <col min="1595" max="1595" width="10.625" style="326" customWidth="1"/>
    <col min="1596" max="1596" width="10.75" style="326" bestFit="1" customWidth="1"/>
    <col min="1597" max="1597" width="12.375" style="326" customWidth="1"/>
    <col min="1598" max="1600" width="9" style="326"/>
    <col min="1601" max="1601" width="15.75" style="326" customWidth="1"/>
    <col min="1602" max="1602" width="9" style="326"/>
    <col min="1603" max="1603" width="10.75" style="326" bestFit="1" customWidth="1"/>
    <col min="1604" max="1604" width="12.625" style="326" customWidth="1"/>
    <col min="1605" max="1607" width="9" style="326"/>
    <col min="1608" max="1608" width="13.625" style="326" customWidth="1"/>
    <col min="1609" max="1609" width="9" style="326"/>
    <col min="1610" max="1610" width="10.75" style="326" bestFit="1" customWidth="1"/>
    <col min="1611" max="1611" width="12.5" style="326" customWidth="1"/>
    <col min="1612" max="1614" width="9" style="326"/>
    <col min="1615" max="1615" width="12.875" style="326" customWidth="1"/>
    <col min="1616" max="1616" width="9" style="326"/>
    <col min="1617" max="1617" width="10.75" style="326" bestFit="1" customWidth="1"/>
    <col min="1618" max="1618" width="13.875" style="326" customWidth="1"/>
    <col min="1619" max="1621" width="9" style="326"/>
    <col min="1622" max="1622" width="14.125" style="326" customWidth="1"/>
    <col min="1623" max="1623" width="9" style="326"/>
    <col min="1624" max="1624" width="10.75" style="326" bestFit="1" customWidth="1"/>
    <col min="1625" max="1625" width="13.25" style="326" customWidth="1"/>
    <col min="1626" max="1628" width="9" style="326"/>
    <col min="1629" max="1629" width="13.25" style="326" customWidth="1"/>
    <col min="1630" max="1630" width="9" style="326"/>
    <col min="1631" max="1631" width="10.75" style="326" bestFit="1" customWidth="1"/>
    <col min="1632" max="1632" width="13.875" style="326" customWidth="1"/>
    <col min="1633" max="1635" width="9" style="326"/>
    <col min="1636" max="1636" width="13.625" style="326" customWidth="1"/>
    <col min="1637" max="1637" width="9" style="326"/>
    <col min="1638" max="1638" width="10.75" style="326" bestFit="1" customWidth="1"/>
    <col min="1639" max="1639" width="13" style="326" customWidth="1"/>
    <col min="1640" max="1786" width="9" style="326"/>
    <col min="1787" max="1788" width="12.125" style="326" customWidth="1"/>
    <col min="1789" max="1791" width="13" style="326" customWidth="1"/>
    <col min="1792" max="1792" width="12.875" style="326" customWidth="1"/>
    <col min="1793" max="1793" width="13" style="326" customWidth="1"/>
    <col min="1794" max="1794" width="13.125" style="326" customWidth="1"/>
    <col min="1795" max="1796" width="12.125" style="326" customWidth="1"/>
    <col min="1797" max="1797" width="14.375" style="326" bestFit="1" customWidth="1"/>
    <col min="1798" max="1798" width="11" style="326" customWidth="1"/>
    <col min="1799" max="1799" width="10" style="326" customWidth="1"/>
    <col min="1800" max="1800" width="10.875" style="326" customWidth="1"/>
    <col min="1801" max="1801" width="13.75" style="326" customWidth="1"/>
    <col min="1802" max="1802" width="10" style="326" customWidth="1"/>
    <col min="1803" max="1803" width="13.25" style="326" customWidth="1"/>
    <col min="1804" max="1804" width="14.375" style="326" customWidth="1"/>
    <col min="1805" max="1805" width="10" style="326" customWidth="1"/>
    <col min="1806" max="1806" width="10.875" style="326" customWidth="1"/>
    <col min="1807" max="1807" width="11.375" style="326" customWidth="1"/>
    <col min="1808" max="1808" width="15.375" style="326" customWidth="1"/>
    <col min="1809" max="1810" width="10.75" style="326" customWidth="1"/>
    <col min="1811" max="1811" width="14.375" style="326" customWidth="1"/>
    <col min="1812" max="1812" width="10.75" style="326" customWidth="1"/>
    <col min="1813" max="1813" width="11.75" style="326" customWidth="1"/>
    <col min="1814" max="1814" width="10" style="326" customWidth="1"/>
    <col min="1815" max="1815" width="15.375" style="326" customWidth="1"/>
    <col min="1816" max="1816" width="10" style="326" customWidth="1"/>
    <col min="1817" max="1817" width="10.75" style="326" customWidth="1"/>
    <col min="1818" max="1818" width="14.875" style="326" customWidth="1"/>
    <col min="1819" max="1819" width="11.5" style="326" customWidth="1"/>
    <col min="1820" max="1820" width="10" style="326" customWidth="1"/>
    <col min="1821" max="1821" width="10.75" style="326" customWidth="1"/>
    <col min="1822" max="1822" width="13.5" style="326" customWidth="1"/>
    <col min="1823" max="1823" width="9" style="326"/>
    <col min="1824" max="1824" width="10.75" style="326" bestFit="1" customWidth="1"/>
    <col min="1825" max="1825" width="13.75" style="326" customWidth="1"/>
    <col min="1826" max="1826" width="9" style="326"/>
    <col min="1827" max="1827" width="10.625" style="326" customWidth="1"/>
    <col min="1828" max="1828" width="9" style="326"/>
    <col min="1829" max="1829" width="14.25" style="326" customWidth="1"/>
    <col min="1830" max="1830" width="10.75" style="326" bestFit="1" customWidth="1"/>
    <col min="1831" max="1831" width="11.625" style="326" customWidth="1"/>
    <col min="1832" max="1832" width="13.75" style="326" customWidth="1"/>
    <col min="1833" max="1833" width="10.625" style="326" customWidth="1"/>
    <col min="1834" max="1835" width="9" style="326"/>
    <col min="1836" max="1836" width="14.125" style="326" customWidth="1"/>
    <col min="1837" max="1837" width="11" style="326" customWidth="1"/>
    <col min="1838" max="1838" width="10.75" style="326" bestFit="1" customWidth="1"/>
    <col min="1839" max="1839" width="13.5" style="326" customWidth="1"/>
    <col min="1840" max="1841" width="9" style="326"/>
    <col min="1842" max="1842" width="10.75" style="326" bestFit="1" customWidth="1"/>
    <col min="1843" max="1843" width="14" style="326" customWidth="1"/>
    <col min="1844" max="1844" width="9" style="326"/>
    <col min="1845" max="1845" width="10.75" style="326" customWidth="1"/>
    <col min="1846" max="1846" width="12.75" style="326" customWidth="1"/>
    <col min="1847" max="1847" width="9" style="326"/>
    <col min="1848" max="1848" width="10.75" style="326" bestFit="1" customWidth="1"/>
    <col min="1849" max="1849" width="11.5" style="326" customWidth="1"/>
    <col min="1850" max="1850" width="13.625" style="326" customWidth="1"/>
    <col min="1851" max="1851" width="10.625" style="326" customWidth="1"/>
    <col min="1852" max="1852" width="10.75" style="326" bestFit="1" customWidth="1"/>
    <col min="1853" max="1853" width="12.375" style="326" customWidth="1"/>
    <col min="1854" max="1856" width="9" style="326"/>
    <col min="1857" max="1857" width="15.75" style="326" customWidth="1"/>
    <col min="1858" max="1858" width="9" style="326"/>
    <col min="1859" max="1859" width="10.75" style="326" bestFit="1" customWidth="1"/>
    <col min="1860" max="1860" width="12.625" style="326" customWidth="1"/>
    <col min="1861" max="1863" width="9" style="326"/>
    <col min="1864" max="1864" width="13.625" style="326" customWidth="1"/>
    <col min="1865" max="1865" width="9" style="326"/>
    <col min="1866" max="1866" width="10.75" style="326" bestFit="1" customWidth="1"/>
    <col min="1867" max="1867" width="12.5" style="326" customWidth="1"/>
    <col min="1868" max="1870" width="9" style="326"/>
    <col min="1871" max="1871" width="12.875" style="326" customWidth="1"/>
    <col min="1872" max="1872" width="9" style="326"/>
    <col min="1873" max="1873" width="10.75" style="326" bestFit="1" customWidth="1"/>
    <col min="1874" max="1874" width="13.875" style="326" customWidth="1"/>
    <col min="1875" max="1877" width="9" style="326"/>
    <col min="1878" max="1878" width="14.125" style="326" customWidth="1"/>
    <col min="1879" max="1879" width="9" style="326"/>
    <col min="1880" max="1880" width="10.75" style="326" bestFit="1" customWidth="1"/>
    <col min="1881" max="1881" width="13.25" style="326" customWidth="1"/>
    <col min="1882" max="1884" width="9" style="326"/>
    <col min="1885" max="1885" width="13.25" style="326" customWidth="1"/>
    <col min="1886" max="1886" width="9" style="326"/>
    <col min="1887" max="1887" width="10.75" style="326" bestFit="1" customWidth="1"/>
    <col min="1888" max="1888" width="13.875" style="326" customWidth="1"/>
    <col min="1889" max="1891" width="9" style="326"/>
    <col min="1892" max="1892" width="13.625" style="326" customWidth="1"/>
    <col min="1893" max="1893" width="9" style="326"/>
    <col min="1894" max="1894" width="10.75" style="326" bestFit="1" customWidth="1"/>
    <col min="1895" max="1895" width="13" style="326" customWidth="1"/>
    <col min="1896" max="2042" width="9" style="326"/>
    <col min="2043" max="2044" width="12.125" style="326" customWidth="1"/>
    <col min="2045" max="2047" width="13" style="326" customWidth="1"/>
    <col min="2048" max="2048" width="12.875" style="326" customWidth="1"/>
    <col min="2049" max="2049" width="13" style="326" customWidth="1"/>
    <col min="2050" max="2050" width="13.125" style="326" customWidth="1"/>
    <col min="2051" max="2052" width="12.125" style="326" customWidth="1"/>
    <col min="2053" max="2053" width="14.375" style="326" bestFit="1" customWidth="1"/>
    <col min="2054" max="2054" width="11" style="326" customWidth="1"/>
    <col min="2055" max="2055" width="10" style="326" customWidth="1"/>
    <col min="2056" max="2056" width="10.875" style="326" customWidth="1"/>
    <col min="2057" max="2057" width="13.75" style="326" customWidth="1"/>
    <col min="2058" max="2058" width="10" style="326" customWidth="1"/>
    <col min="2059" max="2059" width="13.25" style="326" customWidth="1"/>
    <col min="2060" max="2060" width="14.375" style="326" customWidth="1"/>
    <col min="2061" max="2061" width="10" style="326" customWidth="1"/>
    <col min="2062" max="2062" width="10.875" style="326" customWidth="1"/>
    <col min="2063" max="2063" width="11.375" style="326" customWidth="1"/>
    <col min="2064" max="2064" width="15.375" style="326" customWidth="1"/>
    <col min="2065" max="2066" width="10.75" style="326" customWidth="1"/>
    <col min="2067" max="2067" width="14.375" style="326" customWidth="1"/>
    <col min="2068" max="2068" width="10.75" style="326" customWidth="1"/>
    <col min="2069" max="2069" width="11.75" style="326" customWidth="1"/>
    <col min="2070" max="2070" width="10" style="326" customWidth="1"/>
    <col min="2071" max="2071" width="15.375" style="326" customWidth="1"/>
    <col min="2072" max="2072" width="10" style="326" customWidth="1"/>
    <col min="2073" max="2073" width="10.75" style="326" customWidth="1"/>
    <col min="2074" max="2074" width="14.875" style="326" customWidth="1"/>
    <col min="2075" max="2075" width="11.5" style="326" customWidth="1"/>
    <col min="2076" max="2076" width="10" style="326" customWidth="1"/>
    <col min="2077" max="2077" width="10.75" style="326" customWidth="1"/>
    <col min="2078" max="2078" width="13.5" style="326" customWidth="1"/>
    <col min="2079" max="2079" width="9" style="326"/>
    <col min="2080" max="2080" width="10.75" style="326" bestFit="1" customWidth="1"/>
    <col min="2081" max="2081" width="13.75" style="326" customWidth="1"/>
    <col min="2082" max="2082" width="9" style="326"/>
    <col min="2083" max="2083" width="10.625" style="326" customWidth="1"/>
    <col min="2084" max="2084" width="9" style="326"/>
    <col min="2085" max="2085" width="14.25" style="326" customWidth="1"/>
    <col min="2086" max="2086" width="10.75" style="326" bestFit="1" customWidth="1"/>
    <col min="2087" max="2087" width="11.625" style="326" customWidth="1"/>
    <col min="2088" max="2088" width="13.75" style="326" customWidth="1"/>
    <col min="2089" max="2089" width="10.625" style="326" customWidth="1"/>
    <col min="2090" max="2091" width="9" style="326"/>
    <col min="2092" max="2092" width="14.125" style="326" customWidth="1"/>
    <col min="2093" max="2093" width="11" style="326" customWidth="1"/>
    <col min="2094" max="2094" width="10.75" style="326" bestFit="1" customWidth="1"/>
    <col min="2095" max="2095" width="13.5" style="326" customWidth="1"/>
    <col min="2096" max="2097" width="9" style="326"/>
    <col min="2098" max="2098" width="10.75" style="326" bestFit="1" customWidth="1"/>
    <col min="2099" max="2099" width="14" style="326" customWidth="1"/>
    <col min="2100" max="2100" width="9" style="326"/>
    <col min="2101" max="2101" width="10.75" style="326" customWidth="1"/>
    <col min="2102" max="2102" width="12.75" style="326" customWidth="1"/>
    <col min="2103" max="2103" width="9" style="326"/>
    <col min="2104" max="2104" width="10.75" style="326" bestFit="1" customWidth="1"/>
    <col min="2105" max="2105" width="11.5" style="326" customWidth="1"/>
    <col min="2106" max="2106" width="13.625" style="326" customWidth="1"/>
    <col min="2107" max="2107" width="10.625" style="326" customWidth="1"/>
    <col min="2108" max="2108" width="10.75" style="326" bestFit="1" customWidth="1"/>
    <col min="2109" max="2109" width="12.375" style="326" customWidth="1"/>
    <col min="2110" max="2112" width="9" style="326"/>
    <col min="2113" max="2113" width="15.75" style="326" customWidth="1"/>
    <col min="2114" max="2114" width="9" style="326"/>
    <col min="2115" max="2115" width="10.75" style="326" bestFit="1" customWidth="1"/>
    <col min="2116" max="2116" width="12.625" style="326" customWidth="1"/>
    <col min="2117" max="2119" width="9" style="326"/>
    <col min="2120" max="2120" width="13.625" style="326" customWidth="1"/>
    <col min="2121" max="2121" width="9" style="326"/>
    <col min="2122" max="2122" width="10.75" style="326" bestFit="1" customWidth="1"/>
    <col min="2123" max="2123" width="12.5" style="326" customWidth="1"/>
    <col min="2124" max="2126" width="9" style="326"/>
    <col min="2127" max="2127" width="12.875" style="326" customWidth="1"/>
    <col min="2128" max="2128" width="9" style="326"/>
    <col min="2129" max="2129" width="10.75" style="326" bestFit="1" customWidth="1"/>
    <col min="2130" max="2130" width="13.875" style="326" customWidth="1"/>
    <col min="2131" max="2133" width="9" style="326"/>
    <col min="2134" max="2134" width="14.125" style="326" customWidth="1"/>
    <col min="2135" max="2135" width="9" style="326"/>
    <col min="2136" max="2136" width="10.75" style="326" bestFit="1" customWidth="1"/>
    <col min="2137" max="2137" width="13.25" style="326" customWidth="1"/>
    <col min="2138" max="2140" width="9" style="326"/>
    <col min="2141" max="2141" width="13.25" style="326" customWidth="1"/>
    <col min="2142" max="2142" width="9" style="326"/>
    <col min="2143" max="2143" width="10.75" style="326" bestFit="1" customWidth="1"/>
    <col min="2144" max="2144" width="13.875" style="326" customWidth="1"/>
    <col min="2145" max="2147" width="9" style="326"/>
    <col min="2148" max="2148" width="13.625" style="326" customWidth="1"/>
    <col min="2149" max="2149" width="9" style="326"/>
    <col min="2150" max="2150" width="10.75" style="326" bestFit="1" customWidth="1"/>
    <col min="2151" max="2151" width="13" style="326" customWidth="1"/>
    <col min="2152" max="2298" width="9" style="326"/>
    <col min="2299" max="2300" width="12.125" style="326" customWidth="1"/>
    <col min="2301" max="2303" width="13" style="326" customWidth="1"/>
    <col min="2304" max="2304" width="12.875" style="326" customWidth="1"/>
    <col min="2305" max="2305" width="13" style="326" customWidth="1"/>
    <col min="2306" max="2306" width="13.125" style="326" customWidth="1"/>
    <col min="2307" max="2308" width="12.125" style="326" customWidth="1"/>
    <col min="2309" max="2309" width="14.375" style="326" bestFit="1" customWidth="1"/>
    <col min="2310" max="2310" width="11" style="326" customWidth="1"/>
    <col min="2311" max="2311" width="10" style="326" customWidth="1"/>
    <col min="2312" max="2312" width="10.875" style="326" customWidth="1"/>
    <col min="2313" max="2313" width="13.75" style="326" customWidth="1"/>
    <col min="2314" max="2314" width="10" style="326" customWidth="1"/>
    <col min="2315" max="2315" width="13.25" style="326" customWidth="1"/>
    <col min="2316" max="2316" width="14.375" style="326" customWidth="1"/>
    <col min="2317" max="2317" width="10" style="326" customWidth="1"/>
    <col min="2318" max="2318" width="10.875" style="326" customWidth="1"/>
    <col min="2319" max="2319" width="11.375" style="326" customWidth="1"/>
    <col min="2320" max="2320" width="15.375" style="326" customWidth="1"/>
    <col min="2321" max="2322" width="10.75" style="326" customWidth="1"/>
    <col min="2323" max="2323" width="14.375" style="326" customWidth="1"/>
    <col min="2324" max="2324" width="10.75" style="326" customWidth="1"/>
    <col min="2325" max="2325" width="11.75" style="326" customWidth="1"/>
    <col min="2326" max="2326" width="10" style="326" customWidth="1"/>
    <col min="2327" max="2327" width="15.375" style="326" customWidth="1"/>
    <col min="2328" max="2328" width="10" style="326" customWidth="1"/>
    <col min="2329" max="2329" width="10.75" style="326" customWidth="1"/>
    <col min="2330" max="2330" width="14.875" style="326" customWidth="1"/>
    <col min="2331" max="2331" width="11.5" style="326" customWidth="1"/>
    <col min="2332" max="2332" width="10" style="326" customWidth="1"/>
    <col min="2333" max="2333" width="10.75" style="326" customWidth="1"/>
    <col min="2334" max="2334" width="13.5" style="326" customWidth="1"/>
    <col min="2335" max="2335" width="9" style="326"/>
    <col min="2336" max="2336" width="10.75" style="326" bestFit="1" customWidth="1"/>
    <col min="2337" max="2337" width="13.75" style="326" customWidth="1"/>
    <col min="2338" max="2338" width="9" style="326"/>
    <col min="2339" max="2339" width="10.625" style="326" customWidth="1"/>
    <col min="2340" max="2340" width="9" style="326"/>
    <col min="2341" max="2341" width="14.25" style="326" customWidth="1"/>
    <col min="2342" max="2342" width="10.75" style="326" bestFit="1" customWidth="1"/>
    <col min="2343" max="2343" width="11.625" style="326" customWidth="1"/>
    <col min="2344" max="2344" width="13.75" style="326" customWidth="1"/>
    <col min="2345" max="2345" width="10.625" style="326" customWidth="1"/>
    <col min="2346" max="2347" width="9" style="326"/>
    <col min="2348" max="2348" width="14.125" style="326" customWidth="1"/>
    <col min="2349" max="2349" width="11" style="326" customWidth="1"/>
    <col min="2350" max="2350" width="10.75" style="326" bestFit="1" customWidth="1"/>
    <col min="2351" max="2351" width="13.5" style="326" customWidth="1"/>
    <col min="2352" max="2353" width="9" style="326"/>
    <col min="2354" max="2354" width="10.75" style="326" bestFit="1" customWidth="1"/>
    <col min="2355" max="2355" width="14" style="326" customWidth="1"/>
    <col min="2356" max="2356" width="9" style="326"/>
    <col min="2357" max="2357" width="10.75" style="326" customWidth="1"/>
    <col min="2358" max="2358" width="12.75" style="326" customWidth="1"/>
    <col min="2359" max="2359" width="9" style="326"/>
    <col min="2360" max="2360" width="10.75" style="326" bestFit="1" customWidth="1"/>
    <col min="2361" max="2361" width="11.5" style="326" customWidth="1"/>
    <col min="2362" max="2362" width="13.625" style="326" customWidth="1"/>
    <col min="2363" max="2363" width="10.625" style="326" customWidth="1"/>
    <col min="2364" max="2364" width="10.75" style="326" bestFit="1" customWidth="1"/>
    <col min="2365" max="2365" width="12.375" style="326" customWidth="1"/>
    <col min="2366" max="2368" width="9" style="326"/>
    <col min="2369" max="2369" width="15.75" style="326" customWidth="1"/>
    <col min="2370" max="2370" width="9" style="326"/>
    <col min="2371" max="2371" width="10.75" style="326" bestFit="1" customWidth="1"/>
    <col min="2372" max="2372" width="12.625" style="326" customWidth="1"/>
    <col min="2373" max="2375" width="9" style="326"/>
    <col min="2376" max="2376" width="13.625" style="326" customWidth="1"/>
    <col min="2377" max="2377" width="9" style="326"/>
    <col min="2378" max="2378" width="10.75" style="326" bestFit="1" customWidth="1"/>
    <col min="2379" max="2379" width="12.5" style="326" customWidth="1"/>
    <col min="2380" max="2382" width="9" style="326"/>
    <col min="2383" max="2383" width="12.875" style="326" customWidth="1"/>
    <col min="2384" max="2384" width="9" style="326"/>
    <col min="2385" max="2385" width="10.75" style="326" bestFit="1" customWidth="1"/>
    <col min="2386" max="2386" width="13.875" style="326" customWidth="1"/>
    <col min="2387" max="2389" width="9" style="326"/>
    <col min="2390" max="2390" width="14.125" style="326" customWidth="1"/>
    <col min="2391" max="2391" width="9" style="326"/>
    <col min="2392" max="2392" width="10.75" style="326" bestFit="1" customWidth="1"/>
    <col min="2393" max="2393" width="13.25" style="326" customWidth="1"/>
    <col min="2394" max="2396" width="9" style="326"/>
    <col min="2397" max="2397" width="13.25" style="326" customWidth="1"/>
    <col min="2398" max="2398" width="9" style="326"/>
    <col min="2399" max="2399" width="10.75" style="326" bestFit="1" customWidth="1"/>
    <col min="2400" max="2400" width="13.875" style="326" customWidth="1"/>
    <col min="2401" max="2403" width="9" style="326"/>
    <col min="2404" max="2404" width="13.625" style="326" customWidth="1"/>
    <col min="2405" max="2405" width="9" style="326"/>
    <col min="2406" max="2406" width="10.75" style="326" bestFit="1" customWidth="1"/>
    <col min="2407" max="2407" width="13" style="326" customWidth="1"/>
    <col min="2408" max="2554" width="9" style="326"/>
    <col min="2555" max="2556" width="12.125" style="326" customWidth="1"/>
    <col min="2557" max="2559" width="13" style="326" customWidth="1"/>
    <col min="2560" max="2560" width="12.875" style="326" customWidth="1"/>
    <col min="2561" max="2561" width="13" style="326" customWidth="1"/>
    <col min="2562" max="2562" width="13.125" style="326" customWidth="1"/>
    <col min="2563" max="2564" width="12.125" style="326" customWidth="1"/>
    <col min="2565" max="2565" width="14.375" style="326" bestFit="1" customWidth="1"/>
    <col min="2566" max="2566" width="11" style="326" customWidth="1"/>
    <col min="2567" max="2567" width="10" style="326" customWidth="1"/>
    <col min="2568" max="2568" width="10.875" style="326" customWidth="1"/>
    <col min="2569" max="2569" width="13.75" style="326" customWidth="1"/>
    <col min="2570" max="2570" width="10" style="326" customWidth="1"/>
    <col min="2571" max="2571" width="13.25" style="326" customWidth="1"/>
    <col min="2572" max="2572" width="14.375" style="326" customWidth="1"/>
    <col min="2573" max="2573" width="10" style="326" customWidth="1"/>
    <col min="2574" max="2574" width="10.875" style="326" customWidth="1"/>
    <col min="2575" max="2575" width="11.375" style="326" customWidth="1"/>
    <col min="2576" max="2576" width="15.375" style="326" customWidth="1"/>
    <col min="2577" max="2578" width="10.75" style="326" customWidth="1"/>
    <col min="2579" max="2579" width="14.375" style="326" customWidth="1"/>
    <col min="2580" max="2580" width="10.75" style="326" customWidth="1"/>
    <col min="2581" max="2581" width="11.75" style="326" customWidth="1"/>
    <col min="2582" max="2582" width="10" style="326" customWidth="1"/>
    <col min="2583" max="2583" width="15.375" style="326" customWidth="1"/>
    <col min="2584" max="2584" width="10" style="326" customWidth="1"/>
    <col min="2585" max="2585" width="10.75" style="326" customWidth="1"/>
    <col min="2586" max="2586" width="14.875" style="326" customWidth="1"/>
    <col min="2587" max="2587" width="11.5" style="326" customWidth="1"/>
    <col min="2588" max="2588" width="10" style="326" customWidth="1"/>
    <col min="2589" max="2589" width="10.75" style="326" customWidth="1"/>
    <col min="2590" max="2590" width="13.5" style="326" customWidth="1"/>
    <col min="2591" max="2591" width="9" style="326"/>
    <col min="2592" max="2592" width="10.75" style="326" bestFit="1" customWidth="1"/>
    <col min="2593" max="2593" width="13.75" style="326" customWidth="1"/>
    <col min="2594" max="2594" width="9" style="326"/>
    <col min="2595" max="2595" width="10.625" style="326" customWidth="1"/>
    <col min="2596" max="2596" width="9" style="326"/>
    <col min="2597" max="2597" width="14.25" style="326" customWidth="1"/>
    <col min="2598" max="2598" width="10.75" style="326" bestFit="1" customWidth="1"/>
    <col min="2599" max="2599" width="11.625" style="326" customWidth="1"/>
    <col min="2600" max="2600" width="13.75" style="326" customWidth="1"/>
    <col min="2601" max="2601" width="10.625" style="326" customWidth="1"/>
    <col min="2602" max="2603" width="9" style="326"/>
    <col min="2604" max="2604" width="14.125" style="326" customWidth="1"/>
    <col min="2605" max="2605" width="11" style="326" customWidth="1"/>
    <col min="2606" max="2606" width="10.75" style="326" bestFit="1" customWidth="1"/>
    <col min="2607" max="2607" width="13.5" style="326" customWidth="1"/>
    <col min="2608" max="2609" width="9" style="326"/>
    <col min="2610" max="2610" width="10.75" style="326" bestFit="1" customWidth="1"/>
    <col min="2611" max="2611" width="14" style="326" customWidth="1"/>
    <col min="2612" max="2612" width="9" style="326"/>
    <col min="2613" max="2613" width="10.75" style="326" customWidth="1"/>
    <col min="2614" max="2614" width="12.75" style="326" customWidth="1"/>
    <col min="2615" max="2615" width="9" style="326"/>
    <col min="2616" max="2616" width="10.75" style="326" bestFit="1" customWidth="1"/>
    <col min="2617" max="2617" width="11.5" style="326" customWidth="1"/>
    <col min="2618" max="2618" width="13.625" style="326" customWidth="1"/>
    <col min="2619" max="2619" width="10.625" style="326" customWidth="1"/>
    <col min="2620" max="2620" width="10.75" style="326" bestFit="1" customWidth="1"/>
    <col min="2621" max="2621" width="12.375" style="326" customWidth="1"/>
    <col min="2622" max="2624" width="9" style="326"/>
    <col min="2625" max="2625" width="15.75" style="326" customWidth="1"/>
    <col min="2626" max="2626" width="9" style="326"/>
    <col min="2627" max="2627" width="10.75" style="326" bestFit="1" customWidth="1"/>
    <col min="2628" max="2628" width="12.625" style="326" customWidth="1"/>
    <col min="2629" max="2631" width="9" style="326"/>
    <col min="2632" max="2632" width="13.625" style="326" customWidth="1"/>
    <col min="2633" max="2633" width="9" style="326"/>
    <col min="2634" max="2634" width="10.75" style="326" bestFit="1" customWidth="1"/>
    <col min="2635" max="2635" width="12.5" style="326" customWidth="1"/>
    <col min="2636" max="2638" width="9" style="326"/>
    <col min="2639" max="2639" width="12.875" style="326" customWidth="1"/>
    <col min="2640" max="2640" width="9" style="326"/>
    <col min="2641" max="2641" width="10.75" style="326" bestFit="1" customWidth="1"/>
    <col min="2642" max="2642" width="13.875" style="326" customWidth="1"/>
    <col min="2643" max="2645" width="9" style="326"/>
    <col min="2646" max="2646" width="14.125" style="326" customWidth="1"/>
    <col min="2647" max="2647" width="9" style="326"/>
    <col min="2648" max="2648" width="10.75" style="326" bestFit="1" customWidth="1"/>
    <col min="2649" max="2649" width="13.25" style="326" customWidth="1"/>
    <col min="2650" max="2652" width="9" style="326"/>
    <col min="2653" max="2653" width="13.25" style="326" customWidth="1"/>
    <col min="2654" max="2654" width="9" style="326"/>
    <col min="2655" max="2655" width="10.75" style="326" bestFit="1" customWidth="1"/>
    <col min="2656" max="2656" width="13.875" style="326" customWidth="1"/>
    <col min="2657" max="2659" width="9" style="326"/>
    <col min="2660" max="2660" width="13.625" style="326" customWidth="1"/>
    <col min="2661" max="2661" width="9" style="326"/>
    <col min="2662" max="2662" width="10.75" style="326" bestFit="1" customWidth="1"/>
    <col min="2663" max="2663" width="13" style="326" customWidth="1"/>
    <col min="2664" max="2810" width="9" style="326"/>
    <col min="2811" max="2812" width="12.125" style="326" customWidth="1"/>
    <col min="2813" max="2815" width="13" style="326" customWidth="1"/>
    <col min="2816" max="2816" width="12.875" style="326" customWidth="1"/>
    <col min="2817" max="2817" width="13" style="326" customWidth="1"/>
    <col min="2818" max="2818" width="13.125" style="326" customWidth="1"/>
    <col min="2819" max="2820" width="12.125" style="326" customWidth="1"/>
    <col min="2821" max="2821" width="14.375" style="326" bestFit="1" customWidth="1"/>
    <col min="2822" max="2822" width="11" style="326" customWidth="1"/>
    <col min="2823" max="2823" width="10" style="326" customWidth="1"/>
    <col min="2824" max="2824" width="10.875" style="326" customWidth="1"/>
    <col min="2825" max="2825" width="13.75" style="326" customWidth="1"/>
    <col min="2826" max="2826" width="10" style="326" customWidth="1"/>
    <col min="2827" max="2827" width="13.25" style="326" customWidth="1"/>
    <col min="2828" max="2828" width="14.375" style="326" customWidth="1"/>
    <col min="2829" max="2829" width="10" style="326" customWidth="1"/>
    <col min="2830" max="2830" width="10.875" style="326" customWidth="1"/>
    <col min="2831" max="2831" width="11.375" style="326" customWidth="1"/>
    <col min="2832" max="2832" width="15.375" style="326" customWidth="1"/>
    <col min="2833" max="2834" width="10.75" style="326" customWidth="1"/>
    <col min="2835" max="2835" width="14.375" style="326" customWidth="1"/>
    <col min="2836" max="2836" width="10.75" style="326" customWidth="1"/>
    <col min="2837" max="2837" width="11.75" style="326" customWidth="1"/>
    <col min="2838" max="2838" width="10" style="326" customWidth="1"/>
    <col min="2839" max="2839" width="15.375" style="326" customWidth="1"/>
    <col min="2840" max="2840" width="10" style="326" customWidth="1"/>
    <col min="2841" max="2841" width="10.75" style="326" customWidth="1"/>
    <col min="2842" max="2842" width="14.875" style="326" customWidth="1"/>
    <col min="2843" max="2843" width="11.5" style="326" customWidth="1"/>
    <col min="2844" max="2844" width="10" style="326" customWidth="1"/>
    <col min="2845" max="2845" width="10.75" style="326" customWidth="1"/>
    <col min="2846" max="2846" width="13.5" style="326" customWidth="1"/>
    <col min="2847" max="2847" width="9" style="326"/>
    <col min="2848" max="2848" width="10.75" style="326" bestFit="1" customWidth="1"/>
    <col min="2849" max="2849" width="13.75" style="326" customWidth="1"/>
    <col min="2850" max="2850" width="9" style="326"/>
    <col min="2851" max="2851" width="10.625" style="326" customWidth="1"/>
    <col min="2852" max="2852" width="9" style="326"/>
    <col min="2853" max="2853" width="14.25" style="326" customWidth="1"/>
    <col min="2854" max="2854" width="10.75" style="326" bestFit="1" customWidth="1"/>
    <col min="2855" max="2855" width="11.625" style="326" customWidth="1"/>
    <col min="2856" max="2856" width="13.75" style="326" customWidth="1"/>
    <col min="2857" max="2857" width="10.625" style="326" customWidth="1"/>
    <col min="2858" max="2859" width="9" style="326"/>
    <col min="2860" max="2860" width="14.125" style="326" customWidth="1"/>
    <col min="2861" max="2861" width="11" style="326" customWidth="1"/>
    <col min="2862" max="2862" width="10.75" style="326" bestFit="1" customWidth="1"/>
    <col min="2863" max="2863" width="13.5" style="326" customWidth="1"/>
    <col min="2864" max="2865" width="9" style="326"/>
    <col min="2866" max="2866" width="10.75" style="326" bestFit="1" customWidth="1"/>
    <col min="2867" max="2867" width="14" style="326" customWidth="1"/>
    <col min="2868" max="2868" width="9" style="326"/>
    <col min="2869" max="2869" width="10.75" style="326" customWidth="1"/>
    <col min="2870" max="2870" width="12.75" style="326" customWidth="1"/>
    <col min="2871" max="2871" width="9" style="326"/>
    <col min="2872" max="2872" width="10.75" style="326" bestFit="1" customWidth="1"/>
    <col min="2873" max="2873" width="11.5" style="326" customWidth="1"/>
    <col min="2874" max="2874" width="13.625" style="326" customWidth="1"/>
    <col min="2875" max="2875" width="10.625" style="326" customWidth="1"/>
    <col min="2876" max="2876" width="10.75" style="326" bestFit="1" customWidth="1"/>
    <col min="2877" max="2877" width="12.375" style="326" customWidth="1"/>
    <col min="2878" max="2880" width="9" style="326"/>
    <col min="2881" max="2881" width="15.75" style="326" customWidth="1"/>
    <col min="2882" max="2882" width="9" style="326"/>
    <col min="2883" max="2883" width="10.75" style="326" bestFit="1" customWidth="1"/>
    <col min="2884" max="2884" width="12.625" style="326" customWidth="1"/>
    <col min="2885" max="2887" width="9" style="326"/>
    <col min="2888" max="2888" width="13.625" style="326" customWidth="1"/>
    <col min="2889" max="2889" width="9" style="326"/>
    <col min="2890" max="2890" width="10.75" style="326" bestFit="1" customWidth="1"/>
    <col min="2891" max="2891" width="12.5" style="326" customWidth="1"/>
    <col min="2892" max="2894" width="9" style="326"/>
    <col min="2895" max="2895" width="12.875" style="326" customWidth="1"/>
    <col min="2896" max="2896" width="9" style="326"/>
    <col min="2897" max="2897" width="10.75" style="326" bestFit="1" customWidth="1"/>
    <col min="2898" max="2898" width="13.875" style="326" customWidth="1"/>
    <col min="2899" max="2901" width="9" style="326"/>
    <col min="2902" max="2902" width="14.125" style="326" customWidth="1"/>
    <col min="2903" max="2903" width="9" style="326"/>
    <col min="2904" max="2904" width="10.75" style="326" bestFit="1" customWidth="1"/>
    <col min="2905" max="2905" width="13.25" style="326" customWidth="1"/>
    <col min="2906" max="2908" width="9" style="326"/>
    <col min="2909" max="2909" width="13.25" style="326" customWidth="1"/>
    <col min="2910" max="2910" width="9" style="326"/>
    <col min="2911" max="2911" width="10.75" style="326" bestFit="1" customWidth="1"/>
    <col min="2912" max="2912" width="13.875" style="326" customWidth="1"/>
    <col min="2913" max="2915" width="9" style="326"/>
    <col min="2916" max="2916" width="13.625" style="326" customWidth="1"/>
    <col min="2917" max="2917" width="9" style="326"/>
    <col min="2918" max="2918" width="10.75" style="326" bestFit="1" customWidth="1"/>
    <col min="2919" max="2919" width="13" style="326" customWidth="1"/>
    <col min="2920" max="3066" width="9" style="326"/>
    <col min="3067" max="3068" width="12.125" style="326" customWidth="1"/>
    <col min="3069" max="3071" width="13" style="326" customWidth="1"/>
    <col min="3072" max="3072" width="12.875" style="326" customWidth="1"/>
    <col min="3073" max="3073" width="13" style="326" customWidth="1"/>
    <col min="3074" max="3074" width="13.125" style="326" customWidth="1"/>
    <col min="3075" max="3076" width="12.125" style="326" customWidth="1"/>
    <col min="3077" max="3077" width="14.375" style="326" bestFit="1" customWidth="1"/>
    <col min="3078" max="3078" width="11" style="326" customWidth="1"/>
    <col min="3079" max="3079" width="10" style="326" customWidth="1"/>
    <col min="3080" max="3080" width="10.875" style="326" customWidth="1"/>
    <col min="3081" max="3081" width="13.75" style="326" customWidth="1"/>
    <col min="3082" max="3082" width="10" style="326" customWidth="1"/>
    <col min="3083" max="3083" width="13.25" style="326" customWidth="1"/>
    <col min="3084" max="3084" width="14.375" style="326" customWidth="1"/>
    <col min="3085" max="3085" width="10" style="326" customWidth="1"/>
    <col min="3086" max="3086" width="10.875" style="326" customWidth="1"/>
    <col min="3087" max="3087" width="11.375" style="326" customWidth="1"/>
    <col min="3088" max="3088" width="15.375" style="326" customWidth="1"/>
    <col min="3089" max="3090" width="10.75" style="326" customWidth="1"/>
    <col min="3091" max="3091" width="14.375" style="326" customWidth="1"/>
    <col min="3092" max="3092" width="10.75" style="326" customWidth="1"/>
    <col min="3093" max="3093" width="11.75" style="326" customWidth="1"/>
    <col min="3094" max="3094" width="10" style="326" customWidth="1"/>
    <col min="3095" max="3095" width="15.375" style="326" customWidth="1"/>
    <col min="3096" max="3096" width="10" style="326" customWidth="1"/>
    <col min="3097" max="3097" width="10.75" style="326" customWidth="1"/>
    <col min="3098" max="3098" width="14.875" style="326" customWidth="1"/>
    <col min="3099" max="3099" width="11.5" style="326" customWidth="1"/>
    <col min="3100" max="3100" width="10" style="326" customWidth="1"/>
    <col min="3101" max="3101" width="10.75" style="326" customWidth="1"/>
    <col min="3102" max="3102" width="13.5" style="326" customWidth="1"/>
    <col min="3103" max="3103" width="9" style="326"/>
    <col min="3104" max="3104" width="10.75" style="326" bestFit="1" customWidth="1"/>
    <col min="3105" max="3105" width="13.75" style="326" customWidth="1"/>
    <col min="3106" max="3106" width="9" style="326"/>
    <col min="3107" max="3107" width="10.625" style="326" customWidth="1"/>
    <col min="3108" max="3108" width="9" style="326"/>
    <col min="3109" max="3109" width="14.25" style="326" customWidth="1"/>
    <col min="3110" max="3110" width="10.75" style="326" bestFit="1" customWidth="1"/>
    <col min="3111" max="3111" width="11.625" style="326" customWidth="1"/>
    <col min="3112" max="3112" width="13.75" style="326" customWidth="1"/>
    <col min="3113" max="3113" width="10.625" style="326" customWidth="1"/>
    <col min="3114" max="3115" width="9" style="326"/>
    <col min="3116" max="3116" width="14.125" style="326" customWidth="1"/>
    <col min="3117" max="3117" width="11" style="326" customWidth="1"/>
    <col min="3118" max="3118" width="10.75" style="326" bestFit="1" customWidth="1"/>
    <col min="3119" max="3119" width="13.5" style="326" customWidth="1"/>
    <col min="3120" max="3121" width="9" style="326"/>
    <col min="3122" max="3122" width="10.75" style="326" bestFit="1" customWidth="1"/>
    <col min="3123" max="3123" width="14" style="326" customWidth="1"/>
    <col min="3124" max="3124" width="9" style="326"/>
    <col min="3125" max="3125" width="10.75" style="326" customWidth="1"/>
    <col min="3126" max="3126" width="12.75" style="326" customWidth="1"/>
    <col min="3127" max="3127" width="9" style="326"/>
    <col min="3128" max="3128" width="10.75" style="326" bestFit="1" customWidth="1"/>
    <col min="3129" max="3129" width="11.5" style="326" customWidth="1"/>
    <col min="3130" max="3130" width="13.625" style="326" customWidth="1"/>
    <col min="3131" max="3131" width="10.625" style="326" customWidth="1"/>
    <col min="3132" max="3132" width="10.75" style="326" bestFit="1" customWidth="1"/>
    <col min="3133" max="3133" width="12.375" style="326" customWidth="1"/>
    <col min="3134" max="3136" width="9" style="326"/>
    <col min="3137" max="3137" width="15.75" style="326" customWidth="1"/>
    <col min="3138" max="3138" width="9" style="326"/>
    <col min="3139" max="3139" width="10.75" style="326" bestFit="1" customWidth="1"/>
    <col min="3140" max="3140" width="12.625" style="326" customWidth="1"/>
    <col min="3141" max="3143" width="9" style="326"/>
    <col min="3144" max="3144" width="13.625" style="326" customWidth="1"/>
    <col min="3145" max="3145" width="9" style="326"/>
    <col min="3146" max="3146" width="10.75" style="326" bestFit="1" customWidth="1"/>
    <col min="3147" max="3147" width="12.5" style="326" customWidth="1"/>
    <col min="3148" max="3150" width="9" style="326"/>
    <col min="3151" max="3151" width="12.875" style="326" customWidth="1"/>
    <col min="3152" max="3152" width="9" style="326"/>
    <col min="3153" max="3153" width="10.75" style="326" bestFit="1" customWidth="1"/>
    <col min="3154" max="3154" width="13.875" style="326" customWidth="1"/>
    <col min="3155" max="3157" width="9" style="326"/>
    <col min="3158" max="3158" width="14.125" style="326" customWidth="1"/>
    <col min="3159" max="3159" width="9" style="326"/>
    <col min="3160" max="3160" width="10.75" style="326" bestFit="1" customWidth="1"/>
    <col min="3161" max="3161" width="13.25" style="326" customWidth="1"/>
    <col min="3162" max="3164" width="9" style="326"/>
    <col min="3165" max="3165" width="13.25" style="326" customWidth="1"/>
    <col min="3166" max="3166" width="9" style="326"/>
    <col min="3167" max="3167" width="10.75" style="326" bestFit="1" customWidth="1"/>
    <col min="3168" max="3168" width="13.875" style="326" customWidth="1"/>
    <col min="3169" max="3171" width="9" style="326"/>
    <col min="3172" max="3172" width="13.625" style="326" customWidth="1"/>
    <col min="3173" max="3173" width="9" style="326"/>
    <col min="3174" max="3174" width="10.75" style="326" bestFit="1" customWidth="1"/>
    <col min="3175" max="3175" width="13" style="326" customWidth="1"/>
    <col min="3176" max="3322" width="9" style="326"/>
    <col min="3323" max="3324" width="12.125" style="326" customWidth="1"/>
    <col min="3325" max="3327" width="13" style="326" customWidth="1"/>
    <col min="3328" max="3328" width="12.875" style="326" customWidth="1"/>
    <col min="3329" max="3329" width="13" style="326" customWidth="1"/>
    <col min="3330" max="3330" width="13.125" style="326" customWidth="1"/>
    <col min="3331" max="3332" width="12.125" style="326" customWidth="1"/>
    <col min="3333" max="3333" width="14.375" style="326" bestFit="1" customWidth="1"/>
    <col min="3334" max="3334" width="11" style="326" customWidth="1"/>
    <col min="3335" max="3335" width="10" style="326" customWidth="1"/>
    <col min="3336" max="3336" width="10.875" style="326" customWidth="1"/>
    <col min="3337" max="3337" width="13.75" style="326" customWidth="1"/>
    <col min="3338" max="3338" width="10" style="326" customWidth="1"/>
    <col min="3339" max="3339" width="13.25" style="326" customWidth="1"/>
    <col min="3340" max="3340" width="14.375" style="326" customWidth="1"/>
    <col min="3341" max="3341" width="10" style="326" customWidth="1"/>
    <col min="3342" max="3342" width="10.875" style="326" customWidth="1"/>
    <col min="3343" max="3343" width="11.375" style="326" customWidth="1"/>
    <col min="3344" max="3344" width="15.375" style="326" customWidth="1"/>
    <col min="3345" max="3346" width="10.75" style="326" customWidth="1"/>
    <col min="3347" max="3347" width="14.375" style="326" customWidth="1"/>
    <col min="3348" max="3348" width="10.75" style="326" customWidth="1"/>
    <col min="3349" max="3349" width="11.75" style="326" customWidth="1"/>
    <col min="3350" max="3350" width="10" style="326" customWidth="1"/>
    <col min="3351" max="3351" width="15.375" style="326" customWidth="1"/>
    <col min="3352" max="3352" width="10" style="326" customWidth="1"/>
    <col min="3353" max="3353" width="10.75" style="326" customWidth="1"/>
    <col min="3354" max="3354" width="14.875" style="326" customWidth="1"/>
    <col min="3355" max="3355" width="11.5" style="326" customWidth="1"/>
    <col min="3356" max="3356" width="10" style="326" customWidth="1"/>
    <col min="3357" max="3357" width="10.75" style="326" customWidth="1"/>
    <col min="3358" max="3358" width="13.5" style="326" customWidth="1"/>
    <col min="3359" max="3359" width="9" style="326"/>
    <col min="3360" max="3360" width="10.75" style="326" bestFit="1" customWidth="1"/>
    <col min="3361" max="3361" width="13.75" style="326" customWidth="1"/>
    <col min="3362" max="3362" width="9" style="326"/>
    <col min="3363" max="3363" width="10.625" style="326" customWidth="1"/>
    <col min="3364" max="3364" width="9" style="326"/>
    <col min="3365" max="3365" width="14.25" style="326" customWidth="1"/>
    <col min="3366" max="3366" width="10.75" style="326" bestFit="1" customWidth="1"/>
    <col min="3367" max="3367" width="11.625" style="326" customWidth="1"/>
    <col min="3368" max="3368" width="13.75" style="326" customWidth="1"/>
    <col min="3369" max="3369" width="10.625" style="326" customWidth="1"/>
    <col min="3370" max="3371" width="9" style="326"/>
    <col min="3372" max="3372" width="14.125" style="326" customWidth="1"/>
    <col min="3373" max="3373" width="11" style="326" customWidth="1"/>
    <col min="3374" max="3374" width="10.75" style="326" bestFit="1" customWidth="1"/>
    <col min="3375" max="3375" width="13.5" style="326" customWidth="1"/>
    <col min="3376" max="3377" width="9" style="326"/>
    <col min="3378" max="3378" width="10.75" style="326" bestFit="1" customWidth="1"/>
    <col min="3379" max="3379" width="14" style="326" customWidth="1"/>
    <col min="3380" max="3380" width="9" style="326"/>
    <col min="3381" max="3381" width="10.75" style="326" customWidth="1"/>
    <col min="3382" max="3382" width="12.75" style="326" customWidth="1"/>
    <col min="3383" max="3383" width="9" style="326"/>
    <col min="3384" max="3384" width="10.75" style="326" bestFit="1" customWidth="1"/>
    <col min="3385" max="3385" width="11.5" style="326" customWidth="1"/>
    <col min="3386" max="3386" width="13.625" style="326" customWidth="1"/>
    <col min="3387" max="3387" width="10.625" style="326" customWidth="1"/>
    <col min="3388" max="3388" width="10.75" style="326" bestFit="1" customWidth="1"/>
    <col min="3389" max="3389" width="12.375" style="326" customWidth="1"/>
    <col min="3390" max="3392" width="9" style="326"/>
    <col min="3393" max="3393" width="15.75" style="326" customWidth="1"/>
    <col min="3394" max="3394" width="9" style="326"/>
    <col min="3395" max="3395" width="10.75" style="326" bestFit="1" customWidth="1"/>
    <col min="3396" max="3396" width="12.625" style="326" customWidth="1"/>
    <col min="3397" max="3399" width="9" style="326"/>
    <col min="3400" max="3400" width="13.625" style="326" customWidth="1"/>
    <col min="3401" max="3401" width="9" style="326"/>
    <col min="3402" max="3402" width="10.75" style="326" bestFit="1" customWidth="1"/>
    <col min="3403" max="3403" width="12.5" style="326" customWidth="1"/>
    <col min="3404" max="3406" width="9" style="326"/>
    <col min="3407" max="3407" width="12.875" style="326" customWidth="1"/>
    <col min="3408" max="3408" width="9" style="326"/>
    <col min="3409" max="3409" width="10.75" style="326" bestFit="1" customWidth="1"/>
    <col min="3410" max="3410" width="13.875" style="326" customWidth="1"/>
    <col min="3411" max="3413" width="9" style="326"/>
    <col min="3414" max="3414" width="14.125" style="326" customWidth="1"/>
    <col min="3415" max="3415" width="9" style="326"/>
    <col min="3416" max="3416" width="10.75" style="326" bestFit="1" customWidth="1"/>
    <col min="3417" max="3417" width="13.25" style="326" customWidth="1"/>
    <col min="3418" max="3420" width="9" style="326"/>
    <col min="3421" max="3421" width="13.25" style="326" customWidth="1"/>
    <col min="3422" max="3422" width="9" style="326"/>
    <col min="3423" max="3423" width="10.75" style="326" bestFit="1" customWidth="1"/>
    <col min="3424" max="3424" width="13.875" style="326" customWidth="1"/>
    <col min="3425" max="3427" width="9" style="326"/>
    <col min="3428" max="3428" width="13.625" style="326" customWidth="1"/>
    <col min="3429" max="3429" width="9" style="326"/>
    <col min="3430" max="3430" width="10.75" style="326" bestFit="1" customWidth="1"/>
    <col min="3431" max="3431" width="13" style="326" customWidth="1"/>
    <col min="3432" max="3578" width="9" style="326"/>
    <col min="3579" max="3580" width="12.125" style="326" customWidth="1"/>
    <col min="3581" max="3583" width="13" style="326" customWidth="1"/>
    <col min="3584" max="3584" width="12.875" style="326" customWidth="1"/>
    <col min="3585" max="3585" width="13" style="326" customWidth="1"/>
    <col min="3586" max="3586" width="13.125" style="326" customWidth="1"/>
    <col min="3587" max="3588" width="12.125" style="326" customWidth="1"/>
    <col min="3589" max="3589" width="14.375" style="326" bestFit="1" customWidth="1"/>
    <col min="3590" max="3590" width="11" style="326" customWidth="1"/>
    <col min="3591" max="3591" width="10" style="326" customWidth="1"/>
    <col min="3592" max="3592" width="10.875" style="326" customWidth="1"/>
    <col min="3593" max="3593" width="13.75" style="326" customWidth="1"/>
    <col min="3594" max="3594" width="10" style="326" customWidth="1"/>
    <col min="3595" max="3595" width="13.25" style="326" customWidth="1"/>
    <col min="3596" max="3596" width="14.375" style="326" customWidth="1"/>
    <col min="3597" max="3597" width="10" style="326" customWidth="1"/>
    <col min="3598" max="3598" width="10.875" style="326" customWidth="1"/>
    <col min="3599" max="3599" width="11.375" style="326" customWidth="1"/>
    <col min="3600" max="3600" width="15.375" style="326" customWidth="1"/>
    <col min="3601" max="3602" width="10.75" style="326" customWidth="1"/>
    <col min="3603" max="3603" width="14.375" style="326" customWidth="1"/>
    <col min="3604" max="3604" width="10.75" style="326" customWidth="1"/>
    <col min="3605" max="3605" width="11.75" style="326" customWidth="1"/>
    <col min="3606" max="3606" width="10" style="326" customWidth="1"/>
    <col min="3607" max="3607" width="15.375" style="326" customWidth="1"/>
    <col min="3608" max="3608" width="10" style="326" customWidth="1"/>
    <col min="3609" max="3609" width="10.75" style="326" customWidth="1"/>
    <col min="3610" max="3610" width="14.875" style="326" customWidth="1"/>
    <col min="3611" max="3611" width="11.5" style="326" customWidth="1"/>
    <col min="3612" max="3612" width="10" style="326" customWidth="1"/>
    <col min="3613" max="3613" width="10.75" style="326" customWidth="1"/>
    <col min="3614" max="3614" width="13.5" style="326" customWidth="1"/>
    <col min="3615" max="3615" width="9" style="326"/>
    <col min="3616" max="3616" width="10.75" style="326" bestFit="1" customWidth="1"/>
    <col min="3617" max="3617" width="13.75" style="326" customWidth="1"/>
    <col min="3618" max="3618" width="9" style="326"/>
    <col min="3619" max="3619" width="10.625" style="326" customWidth="1"/>
    <col min="3620" max="3620" width="9" style="326"/>
    <col min="3621" max="3621" width="14.25" style="326" customWidth="1"/>
    <col min="3622" max="3622" width="10.75" style="326" bestFit="1" customWidth="1"/>
    <col min="3623" max="3623" width="11.625" style="326" customWidth="1"/>
    <col min="3624" max="3624" width="13.75" style="326" customWidth="1"/>
    <col min="3625" max="3625" width="10.625" style="326" customWidth="1"/>
    <col min="3626" max="3627" width="9" style="326"/>
    <col min="3628" max="3628" width="14.125" style="326" customWidth="1"/>
    <col min="3629" max="3629" width="11" style="326" customWidth="1"/>
    <col min="3630" max="3630" width="10.75" style="326" bestFit="1" customWidth="1"/>
    <col min="3631" max="3631" width="13.5" style="326" customWidth="1"/>
    <col min="3632" max="3633" width="9" style="326"/>
    <col min="3634" max="3634" width="10.75" style="326" bestFit="1" customWidth="1"/>
    <col min="3635" max="3635" width="14" style="326" customWidth="1"/>
    <col min="3636" max="3636" width="9" style="326"/>
    <col min="3637" max="3637" width="10.75" style="326" customWidth="1"/>
    <col min="3638" max="3638" width="12.75" style="326" customWidth="1"/>
    <col min="3639" max="3639" width="9" style="326"/>
    <col min="3640" max="3640" width="10.75" style="326" bestFit="1" customWidth="1"/>
    <col min="3641" max="3641" width="11.5" style="326" customWidth="1"/>
    <col min="3642" max="3642" width="13.625" style="326" customWidth="1"/>
    <col min="3643" max="3643" width="10.625" style="326" customWidth="1"/>
    <col min="3644" max="3644" width="10.75" style="326" bestFit="1" customWidth="1"/>
    <col min="3645" max="3645" width="12.375" style="326" customWidth="1"/>
    <col min="3646" max="3648" width="9" style="326"/>
    <col min="3649" max="3649" width="15.75" style="326" customWidth="1"/>
    <col min="3650" max="3650" width="9" style="326"/>
    <col min="3651" max="3651" width="10.75" style="326" bestFit="1" customWidth="1"/>
    <col min="3652" max="3652" width="12.625" style="326" customWidth="1"/>
    <col min="3653" max="3655" width="9" style="326"/>
    <col min="3656" max="3656" width="13.625" style="326" customWidth="1"/>
    <col min="3657" max="3657" width="9" style="326"/>
    <col min="3658" max="3658" width="10.75" style="326" bestFit="1" customWidth="1"/>
    <col min="3659" max="3659" width="12.5" style="326" customWidth="1"/>
    <col min="3660" max="3662" width="9" style="326"/>
    <col min="3663" max="3663" width="12.875" style="326" customWidth="1"/>
    <col min="3664" max="3664" width="9" style="326"/>
    <col min="3665" max="3665" width="10.75" style="326" bestFit="1" customWidth="1"/>
    <col min="3666" max="3666" width="13.875" style="326" customWidth="1"/>
    <col min="3667" max="3669" width="9" style="326"/>
    <col min="3670" max="3670" width="14.125" style="326" customWidth="1"/>
    <col min="3671" max="3671" width="9" style="326"/>
    <col min="3672" max="3672" width="10.75" style="326" bestFit="1" customWidth="1"/>
    <col min="3673" max="3673" width="13.25" style="326" customWidth="1"/>
    <col min="3674" max="3676" width="9" style="326"/>
    <col min="3677" max="3677" width="13.25" style="326" customWidth="1"/>
    <col min="3678" max="3678" width="9" style="326"/>
    <col min="3679" max="3679" width="10.75" style="326" bestFit="1" customWidth="1"/>
    <col min="3680" max="3680" width="13.875" style="326" customWidth="1"/>
    <col min="3681" max="3683" width="9" style="326"/>
    <col min="3684" max="3684" width="13.625" style="326" customWidth="1"/>
    <col min="3685" max="3685" width="9" style="326"/>
    <col min="3686" max="3686" width="10.75" style="326" bestFit="1" customWidth="1"/>
    <col min="3687" max="3687" width="13" style="326" customWidth="1"/>
    <col min="3688" max="3834" width="9" style="326"/>
    <col min="3835" max="3836" width="12.125" style="326" customWidth="1"/>
    <col min="3837" max="3839" width="13" style="326" customWidth="1"/>
    <col min="3840" max="3840" width="12.875" style="326" customWidth="1"/>
    <col min="3841" max="3841" width="13" style="326" customWidth="1"/>
    <col min="3842" max="3842" width="13.125" style="326" customWidth="1"/>
    <col min="3843" max="3844" width="12.125" style="326" customWidth="1"/>
    <col min="3845" max="3845" width="14.375" style="326" bestFit="1" customWidth="1"/>
    <col min="3846" max="3846" width="11" style="326" customWidth="1"/>
    <col min="3847" max="3847" width="10" style="326" customWidth="1"/>
    <col min="3848" max="3848" width="10.875" style="326" customWidth="1"/>
    <col min="3849" max="3849" width="13.75" style="326" customWidth="1"/>
    <col min="3850" max="3850" width="10" style="326" customWidth="1"/>
    <col min="3851" max="3851" width="13.25" style="326" customWidth="1"/>
    <col min="3852" max="3852" width="14.375" style="326" customWidth="1"/>
    <col min="3853" max="3853" width="10" style="326" customWidth="1"/>
    <col min="3854" max="3854" width="10.875" style="326" customWidth="1"/>
    <col min="3855" max="3855" width="11.375" style="326" customWidth="1"/>
    <col min="3856" max="3856" width="15.375" style="326" customWidth="1"/>
    <col min="3857" max="3858" width="10.75" style="326" customWidth="1"/>
    <col min="3859" max="3859" width="14.375" style="326" customWidth="1"/>
    <col min="3860" max="3860" width="10.75" style="326" customWidth="1"/>
    <col min="3861" max="3861" width="11.75" style="326" customWidth="1"/>
    <col min="3862" max="3862" width="10" style="326" customWidth="1"/>
    <col min="3863" max="3863" width="15.375" style="326" customWidth="1"/>
    <col min="3864" max="3864" width="10" style="326" customWidth="1"/>
    <col min="3865" max="3865" width="10.75" style="326" customWidth="1"/>
    <col min="3866" max="3866" width="14.875" style="326" customWidth="1"/>
    <col min="3867" max="3867" width="11.5" style="326" customWidth="1"/>
    <col min="3868" max="3868" width="10" style="326" customWidth="1"/>
    <col min="3869" max="3869" width="10.75" style="326" customWidth="1"/>
    <col min="3870" max="3870" width="13.5" style="326" customWidth="1"/>
    <col min="3871" max="3871" width="9" style="326"/>
    <col min="3872" max="3872" width="10.75" style="326" bestFit="1" customWidth="1"/>
    <col min="3873" max="3873" width="13.75" style="326" customWidth="1"/>
    <col min="3874" max="3874" width="9" style="326"/>
    <col min="3875" max="3875" width="10.625" style="326" customWidth="1"/>
    <col min="3876" max="3876" width="9" style="326"/>
    <col min="3877" max="3877" width="14.25" style="326" customWidth="1"/>
    <col min="3878" max="3878" width="10.75" style="326" bestFit="1" customWidth="1"/>
    <col min="3879" max="3879" width="11.625" style="326" customWidth="1"/>
    <col min="3880" max="3880" width="13.75" style="326" customWidth="1"/>
    <col min="3881" max="3881" width="10.625" style="326" customWidth="1"/>
    <col min="3882" max="3883" width="9" style="326"/>
    <col min="3884" max="3884" width="14.125" style="326" customWidth="1"/>
    <col min="3885" max="3885" width="11" style="326" customWidth="1"/>
    <col min="3886" max="3886" width="10.75" style="326" bestFit="1" customWidth="1"/>
    <col min="3887" max="3887" width="13.5" style="326" customWidth="1"/>
    <col min="3888" max="3889" width="9" style="326"/>
    <col min="3890" max="3890" width="10.75" style="326" bestFit="1" customWidth="1"/>
    <col min="3891" max="3891" width="14" style="326" customWidth="1"/>
    <col min="3892" max="3892" width="9" style="326"/>
    <col min="3893" max="3893" width="10.75" style="326" customWidth="1"/>
    <col min="3894" max="3894" width="12.75" style="326" customWidth="1"/>
    <col min="3895" max="3895" width="9" style="326"/>
    <col min="3896" max="3896" width="10.75" style="326" bestFit="1" customWidth="1"/>
    <col min="3897" max="3897" width="11.5" style="326" customWidth="1"/>
    <col min="3898" max="3898" width="13.625" style="326" customWidth="1"/>
    <col min="3899" max="3899" width="10.625" style="326" customWidth="1"/>
    <col min="3900" max="3900" width="10.75" style="326" bestFit="1" customWidth="1"/>
    <col min="3901" max="3901" width="12.375" style="326" customWidth="1"/>
    <col min="3902" max="3904" width="9" style="326"/>
    <col min="3905" max="3905" width="15.75" style="326" customWidth="1"/>
    <col min="3906" max="3906" width="9" style="326"/>
    <col min="3907" max="3907" width="10.75" style="326" bestFit="1" customWidth="1"/>
    <col min="3908" max="3908" width="12.625" style="326" customWidth="1"/>
    <col min="3909" max="3911" width="9" style="326"/>
    <col min="3912" max="3912" width="13.625" style="326" customWidth="1"/>
    <col min="3913" max="3913" width="9" style="326"/>
    <col min="3914" max="3914" width="10.75" style="326" bestFit="1" customWidth="1"/>
    <col min="3915" max="3915" width="12.5" style="326" customWidth="1"/>
    <col min="3916" max="3918" width="9" style="326"/>
    <col min="3919" max="3919" width="12.875" style="326" customWidth="1"/>
    <col min="3920" max="3920" width="9" style="326"/>
    <col min="3921" max="3921" width="10.75" style="326" bestFit="1" customWidth="1"/>
    <col min="3922" max="3922" width="13.875" style="326" customWidth="1"/>
    <col min="3923" max="3925" width="9" style="326"/>
    <col min="3926" max="3926" width="14.125" style="326" customWidth="1"/>
    <col min="3927" max="3927" width="9" style="326"/>
    <col min="3928" max="3928" width="10.75" style="326" bestFit="1" customWidth="1"/>
    <col min="3929" max="3929" width="13.25" style="326" customWidth="1"/>
    <col min="3930" max="3932" width="9" style="326"/>
    <col min="3933" max="3933" width="13.25" style="326" customWidth="1"/>
    <col min="3934" max="3934" width="9" style="326"/>
    <col min="3935" max="3935" width="10.75" style="326" bestFit="1" customWidth="1"/>
    <col min="3936" max="3936" width="13.875" style="326" customWidth="1"/>
    <col min="3937" max="3939" width="9" style="326"/>
    <col min="3940" max="3940" width="13.625" style="326" customWidth="1"/>
    <col min="3941" max="3941" width="9" style="326"/>
    <col min="3942" max="3942" width="10.75" style="326" bestFit="1" customWidth="1"/>
    <col min="3943" max="3943" width="13" style="326" customWidth="1"/>
    <col min="3944" max="4090" width="9" style="326"/>
    <col min="4091" max="4092" width="12.125" style="326" customWidth="1"/>
    <col min="4093" max="4095" width="13" style="326" customWidth="1"/>
    <col min="4096" max="4096" width="12.875" style="326" customWidth="1"/>
    <col min="4097" max="4097" width="13" style="326" customWidth="1"/>
    <col min="4098" max="4098" width="13.125" style="326" customWidth="1"/>
    <col min="4099" max="4100" width="12.125" style="326" customWidth="1"/>
    <col min="4101" max="4101" width="14.375" style="326" bestFit="1" customWidth="1"/>
    <col min="4102" max="4102" width="11" style="326" customWidth="1"/>
    <col min="4103" max="4103" width="10" style="326" customWidth="1"/>
    <col min="4104" max="4104" width="10.875" style="326" customWidth="1"/>
    <col min="4105" max="4105" width="13.75" style="326" customWidth="1"/>
    <col min="4106" max="4106" width="10" style="326" customWidth="1"/>
    <col min="4107" max="4107" width="13.25" style="326" customWidth="1"/>
    <col min="4108" max="4108" width="14.375" style="326" customWidth="1"/>
    <col min="4109" max="4109" width="10" style="326" customWidth="1"/>
    <col min="4110" max="4110" width="10.875" style="326" customWidth="1"/>
    <col min="4111" max="4111" width="11.375" style="326" customWidth="1"/>
    <col min="4112" max="4112" width="15.375" style="326" customWidth="1"/>
    <col min="4113" max="4114" width="10.75" style="326" customWidth="1"/>
    <col min="4115" max="4115" width="14.375" style="326" customWidth="1"/>
    <col min="4116" max="4116" width="10.75" style="326" customWidth="1"/>
    <col min="4117" max="4117" width="11.75" style="326" customWidth="1"/>
    <col min="4118" max="4118" width="10" style="326" customWidth="1"/>
    <col min="4119" max="4119" width="15.375" style="326" customWidth="1"/>
    <col min="4120" max="4120" width="10" style="326" customWidth="1"/>
    <col min="4121" max="4121" width="10.75" style="326" customWidth="1"/>
    <col min="4122" max="4122" width="14.875" style="326" customWidth="1"/>
    <col min="4123" max="4123" width="11.5" style="326" customWidth="1"/>
    <col min="4124" max="4124" width="10" style="326" customWidth="1"/>
    <col min="4125" max="4125" width="10.75" style="326" customWidth="1"/>
    <col min="4126" max="4126" width="13.5" style="326" customWidth="1"/>
    <col min="4127" max="4127" width="9" style="326"/>
    <col min="4128" max="4128" width="10.75" style="326" bestFit="1" customWidth="1"/>
    <col min="4129" max="4129" width="13.75" style="326" customWidth="1"/>
    <col min="4130" max="4130" width="9" style="326"/>
    <col min="4131" max="4131" width="10.625" style="326" customWidth="1"/>
    <col min="4132" max="4132" width="9" style="326"/>
    <col min="4133" max="4133" width="14.25" style="326" customWidth="1"/>
    <col min="4134" max="4134" width="10.75" style="326" bestFit="1" customWidth="1"/>
    <col min="4135" max="4135" width="11.625" style="326" customWidth="1"/>
    <col min="4136" max="4136" width="13.75" style="326" customWidth="1"/>
    <col min="4137" max="4137" width="10.625" style="326" customWidth="1"/>
    <col min="4138" max="4139" width="9" style="326"/>
    <col min="4140" max="4140" width="14.125" style="326" customWidth="1"/>
    <col min="4141" max="4141" width="11" style="326" customWidth="1"/>
    <col min="4142" max="4142" width="10.75" style="326" bestFit="1" customWidth="1"/>
    <col min="4143" max="4143" width="13.5" style="326" customWidth="1"/>
    <col min="4144" max="4145" width="9" style="326"/>
    <col min="4146" max="4146" width="10.75" style="326" bestFit="1" customWidth="1"/>
    <col min="4147" max="4147" width="14" style="326" customWidth="1"/>
    <col min="4148" max="4148" width="9" style="326"/>
    <col min="4149" max="4149" width="10.75" style="326" customWidth="1"/>
    <col min="4150" max="4150" width="12.75" style="326" customWidth="1"/>
    <col min="4151" max="4151" width="9" style="326"/>
    <col min="4152" max="4152" width="10.75" style="326" bestFit="1" customWidth="1"/>
    <col min="4153" max="4153" width="11.5" style="326" customWidth="1"/>
    <col min="4154" max="4154" width="13.625" style="326" customWidth="1"/>
    <col min="4155" max="4155" width="10.625" style="326" customWidth="1"/>
    <col min="4156" max="4156" width="10.75" style="326" bestFit="1" customWidth="1"/>
    <col min="4157" max="4157" width="12.375" style="326" customWidth="1"/>
    <col min="4158" max="4160" width="9" style="326"/>
    <col min="4161" max="4161" width="15.75" style="326" customWidth="1"/>
    <col min="4162" max="4162" width="9" style="326"/>
    <col min="4163" max="4163" width="10.75" style="326" bestFit="1" customWidth="1"/>
    <col min="4164" max="4164" width="12.625" style="326" customWidth="1"/>
    <col min="4165" max="4167" width="9" style="326"/>
    <col min="4168" max="4168" width="13.625" style="326" customWidth="1"/>
    <col min="4169" max="4169" width="9" style="326"/>
    <col min="4170" max="4170" width="10.75" style="326" bestFit="1" customWidth="1"/>
    <col min="4171" max="4171" width="12.5" style="326" customWidth="1"/>
    <col min="4172" max="4174" width="9" style="326"/>
    <col min="4175" max="4175" width="12.875" style="326" customWidth="1"/>
    <col min="4176" max="4176" width="9" style="326"/>
    <col min="4177" max="4177" width="10.75" style="326" bestFit="1" customWidth="1"/>
    <col min="4178" max="4178" width="13.875" style="326" customWidth="1"/>
    <col min="4179" max="4181" width="9" style="326"/>
    <col min="4182" max="4182" width="14.125" style="326" customWidth="1"/>
    <col min="4183" max="4183" width="9" style="326"/>
    <col min="4184" max="4184" width="10.75" style="326" bestFit="1" customWidth="1"/>
    <col min="4185" max="4185" width="13.25" style="326" customWidth="1"/>
    <col min="4186" max="4188" width="9" style="326"/>
    <col min="4189" max="4189" width="13.25" style="326" customWidth="1"/>
    <col min="4190" max="4190" width="9" style="326"/>
    <col min="4191" max="4191" width="10.75" style="326" bestFit="1" customWidth="1"/>
    <col min="4192" max="4192" width="13.875" style="326" customWidth="1"/>
    <col min="4193" max="4195" width="9" style="326"/>
    <col min="4196" max="4196" width="13.625" style="326" customWidth="1"/>
    <col min="4197" max="4197" width="9" style="326"/>
    <col min="4198" max="4198" width="10.75" style="326" bestFit="1" customWidth="1"/>
    <col min="4199" max="4199" width="13" style="326" customWidth="1"/>
    <col min="4200" max="4346" width="9" style="326"/>
    <col min="4347" max="4348" width="12.125" style="326" customWidth="1"/>
    <col min="4349" max="4351" width="13" style="326" customWidth="1"/>
    <col min="4352" max="4352" width="12.875" style="326" customWidth="1"/>
    <col min="4353" max="4353" width="13" style="326" customWidth="1"/>
    <col min="4354" max="4354" width="13.125" style="326" customWidth="1"/>
    <col min="4355" max="4356" width="12.125" style="326" customWidth="1"/>
    <col min="4357" max="4357" width="14.375" style="326" bestFit="1" customWidth="1"/>
    <col min="4358" max="4358" width="11" style="326" customWidth="1"/>
    <col min="4359" max="4359" width="10" style="326" customWidth="1"/>
    <col min="4360" max="4360" width="10.875" style="326" customWidth="1"/>
    <col min="4361" max="4361" width="13.75" style="326" customWidth="1"/>
    <col min="4362" max="4362" width="10" style="326" customWidth="1"/>
    <col min="4363" max="4363" width="13.25" style="326" customWidth="1"/>
    <col min="4364" max="4364" width="14.375" style="326" customWidth="1"/>
    <col min="4365" max="4365" width="10" style="326" customWidth="1"/>
    <col min="4366" max="4366" width="10.875" style="326" customWidth="1"/>
    <col min="4367" max="4367" width="11.375" style="326" customWidth="1"/>
    <col min="4368" max="4368" width="15.375" style="326" customWidth="1"/>
    <col min="4369" max="4370" width="10.75" style="326" customWidth="1"/>
    <col min="4371" max="4371" width="14.375" style="326" customWidth="1"/>
    <col min="4372" max="4372" width="10.75" style="326" customWidth="1"/>
    <col min="4373" max="4373" width="11.75" style="326" customWidth="1"/>
    <col min="4374" max="4374" width="10" style="326" customWidth="1"/>
    <col min="4375" max="4375" width="15.375" style="326" customWidth="1"/>
    <col min="4376" max="4376" width="10" style="326" customWidth="1"/>
    <col min="4377" max="4377" width="10.75" style="326" customWidth="1"/>
    <col min="4378" max="4378" width="14.875" style="326" customWidth="1"/>
    <col min="4379" max="4379" width="11.5" style="326" customWidth="1"/>
    <col min="4380" max="4380" width="10" style="326" customWidth="1"/>
    <col min="4381" max="4381" width="10.75" style="326" customWidth="1"/>
    <col min="4382" max="4382" width="13.5" style="326" customWidth="1"/>
    <col min="4383" max="4383" width="9" style="326"/>
    <col min="4384" max="4384" width="10.75" style="326" bestFit="1" customWidth="1"/>
    <col min="4385" max="4385" width="13.75" style="326" customWidth="1"/>
    <col min="4386" max="4386" width="9" style="326"/>
    <col min="4387" max="4387" width="10.625" style="326" customWidth="1"/>
    <col min="4388" max="4388" width="9" style="326"/>
    <col min="4389" max="4389" width="14.25" style="326" customWidth="1"/>
    <col min="4390" max="4390" width="10.75" style="326" bestFit="1" customWidth="1"/>
    <col min="4391" max="4391" width="11.625" style="326" customWidth="1"/>
    <col min="4392" max="4392" width="13.75" style="326" customWidth="1"/>
    <col min="4393" max="4393" width="10.625" style="326" customWidth="1"/>
    <col min="4394" max="4395" width="9" style="326"/>
    <col min="4396" max="4396" width="14.125" style="326" customWidth="1"/>
    <col min="4397" max="4397" width="11" style="326" customWidth="1"/>
    <col min="4398" max="4398" width="10.75" style="326" bestFit="1" customWidth="1"/>
    <col min="4399" max="4399" width="13.5" style="326" customWidth="1"/>
    <col min="4400" max="4401" width="9" style="326"/>
    <col min="4402" max="4402" width="10.75" style="326" bestFit="1" customWidth="1"/>
    <col min="4403" max="4403" width="14" style="326" customWidth="1"/>
    <col min="4404" max="4404" width="9" style="326"/>
    <col min="4405" max="4405" width="10.75" style="326" customWidth="1"/>
    <col min="4406" max="4406" width="12.75" style="326" customWidth="1"/>
    <col min="4407" max="4407" width="9" style="326"/>
    <col min="4408" max="4408" width="10.75" style="326" bestFit="1" customWidth="1"/>
    <col min="4409" max="4409" width="11.5" style="326" customWidth="1"/>
    <col min="4410" max="4410" width="13.625" style="326" customWidth="1"/>
    <col min="4411" max="4411" width="10.625" style="326" customWidth="1"/>
    <col min="4412" max="4412" width="10.75" style="326" bestFit="1" customWidth="1"/>
    <col min="4413" max="4413" width="12.375" style="326" customWidth="1"/>
    <col min="4414" max="4416" width="9" style="326"/>
    <col min="4417" max="4417" width="15.75" style="326" customWidth="1"/>
    <col min="4418" max="4418" width="9" style="326"/>
    <col min="4419" max="4419" width="10.75" style="326" bestFit="1" customWidth="1"/>
    <col min="4420" max="4420" width="12.625" style="326" customWidth="1"/>
    <col min="4421" max="4423" width="9" style="326"/>
    <col min="4424" max="4424" width="13.625" style="326" customWidth="1"/>
    <col min="4425" max="4425" width="9" style="326"/>
    <col min="4426" max="4426" width="10.75" style="326" bestFit="1" customWidth="1"/>
    <col min="4427" max="4427" width="12.5" style="326" customWidth="1"/>
    <col min="4428" max="4430" width="9" style="326"/>
    <col min="4431" max="4431" width="12.875" style="326" customWidth="1"/>
    <col min="4432" max="4432" width="9" style="326"/>
    <col min="4433" max="4433" width="10.75" style="326" bestFit="1" customWidth="1"/>
    <col min="4434" max="4434" width="13.875" style="326" customWidth="1"/>
    <col min="4435" max="4437" width="9" style="326"/>
    <col min="4438" max="4438" width="14.125" style="326" customWidth="1"/>
    <col min="4439" max="4439" width="9" style="326"/>
    <col min="4440" max="4440" width="10.75" style="326" bestFit="1" customWidth="1"/>
    <col min="4441" max="4441" width="13.25" style="326" customWidth="1"/>
    <col min="4442" max="4444" width="9" style="326"/>
    <col min="4445" max="4445" width="13.25" style="326" customWidth="1"/>
    <col min="4446" max="4446" width="9" style="326"/>
    <col min="4447" max="4447" width="10.75" style="326" bestFit="1" customWidth="1"/>
    <col min="4448" max="4448" width="13.875" style="326" customWidth="1"/>
    <col min="4449" max="4451" width="9" style="326"/>
    <col min="4452" max="4452" width="13.625" style="326" customWidth="1"/>
    <col min="4453" max="4453" width="9" style="326"/>
    <col min="4454" max="4454" width="10.75" style="326" bestFit="1" customWidth="1"/>
    <col min="4455" max="4455" width="13" style="326" customWidth="1"/>
    <col min="4456" max="4602" width="9" style="326"/>
    <col min="4603" max="4604" width="12.125" style="326" customWidth="1"/>
    <col min="4605" max="4607" width="13" style="326" customWidth="1"/>
    <col min="4608" max="4608" width="12.875" style="326" customWidth="1"/>
    <col min="4609" max="4609" width="13" style="326" customWidth="1"/>
    <col min="4610" max="4610" width="13.125" style="326" customWidth="1"/>
    <col min="4611" max="4612" width="12.125" style="326" customWidth="1"/>
    <col min="4613" max="4613" width="14.375" style="326" bestFit="1" customWidth="1"/>
    <col min="4614" max="4614" width="11" style="326" customWidth="1"/>
    <col min="4615" max="4615" width="10" style="326" customWidth="1"/>
    <col min="4616" max="4616" width="10.875" style="326" customWidth="1"/>
    <col min="4617" max="4617" width="13.75" style="326" customWidth="1"/>
    <col min="4618" max="4618" width="10" style="326" customWidth="1"/>
    <col min="4619" max="4619" width="13.25" style="326" customWidth="1"/>
    <col min="4620" max="4620" width="14.375" style="326" customWidth="1"/>
    <col min="4621" max="4621" width="10" style="326" customWidth="1"/>
    <col min="4622" max="4622" width="10.875" style="326" customWidth="1"/>
    <col min="4623" max="4623" width="11.375" style="326" customWidth="1"/>
    <col min="4624" max="4624" width="15.375" style="326" customWidth="1"/>
    <col min="4625" max="4626" width="10.75" style="326" customWidth="1"/>
    <col min="4627" max="4627" width="14.375" style="326" customWidth="1"/>
    <col min="4628" max="4628" width="10.75" style="326" customWidth="1"/>
    <col min="4629" max="4629" width="11.75" style="326" customWidth="1"/>
    <col min="4630" max="4630" width="10" style="326" customWidth="1"/>
    <col min="4631" max="4631" width="15.375" style="326" customWidth="1"/>
    <col min="4632" max="4632" width="10" style="326" customWidth="1"/>
    <col min="4633" max="4633" width="10.75" style="326" customWidth="1"/>
    <col min="4634" max="4634" width="14.875" style="326" customWidth="1"/>
    <col min="4635" max="4635" width="11.5" style="326" customWidth="1"/>
    <col min="4636" max="4636" width="10" style="326" customWidth="1"/>
    <col min="4637" max="4637" width="10.75" style="326" customWidth="1"/>
    <col min="4638" max="4638" width="13.5" style="326" customWidth="1"/>
    <col min="4639" max="4639" width="9" style="326"/>
    <col min="4640" max="4640" width="10.75" style="326" bestFit="1" customWidth="1"/>
    <col min="4641" max="4641" width="13.75" style="326" customWidth="1"/>
    <col min="4642" max="4642" width="9" style="326"/>
    <col min="4643" max="4643" width="10.625" style="326" customWidth="1"/>
    <col min="4644" max="4644" width="9" style="326"/>
    <col min="4645" max="4645" width="14.25" style="326" customWidth="1"/>
    <col min="4646" max="4646" width="10.75" style="326" bestFit="1" customWidth="1"/>
    <col min="4647" max="4647" width="11.625" style="326" customWidth="1"/>
    <col min="4648" max="4648" width="13.75" style="326" customWidth="1"/>
    <col min="4649" max="4649" width="10.625" style="326" customWidth="1"/>
    <col min="4650" max="4651" width="9" style="326"/>
    <col min="4652" max="4652" width="14.125" style="326" customWidth="1"/>
    <col min="4653" max="4653" width="11" style="326" customWidth="1"/>
    <col min="4654" max="4654" width="10.75" style="326" bestFit="1" customWidth="1"/>
    <col min="4655" max="4655" width="13.5" style="326" customWidth="1"/>
    <col min="4656" max="4657" width="9" style="326"/>
    <col min="4658" max="4658" width="10.75" style="326" bestFit="1" customWidth="1"/>
    <col min="4659" max="4659" width="14" style="326" customWidth="1"/>
    <col min="4660" max="4660" width="9" style="326"/>
    <col min="4661" max="4661" width="10.75" style="326" customWidth="1"/>
    <col min="4662" max="4662" width="12.75" style="326" customWidth="1"/>
    <col min="4663" max="4663" width="9" style="326"/>
    <col min="4664" max="4664" width="10.75" style="326" bestFit="1" customWidth="1"/>
    <col min="4665" max="4665" width="11.5" style="326" customWidth="1"/>
    <col min="4666" max="4666" width="13.625" style="326" customWidth="1"/>
    <col min="4667" max="4667" width="10.625" style="326" customWidth="1"/>
    <col min="4668" max="4668" width="10.75" style="326" bestFit="1" customWidth="1"/>
    <col min="4669" max="4669" width="12.375" style="326" customWidth="1"/>
    <col min="4670" max="4672" width="9" style="326"/>
    <col min="4673" max="4673" width="15.75" style="326" customWidth="1"/>
    <col min="4674" max="4674" width="9" style="326"/>
    <col min="4675" max="4675" width="10.75" style="326" bestFit="1" customWidth="1"/>
    <col min="4676" max="4676" width="12.625" style="326" customWidth="1"/>
    <col min="4677" max="4679" width="9" style="326"/>
    <col min="4680" max="4680" width="13.625" style="326" customWidth="1"/>
    <col min="4681" max="4681" width="9" style="326"/>
    <col min="4682" max="4682" width="10.75" style="326" bestFit="1" customWidth="1"/>
    <col min="4683" max="4683" width="12.5" style="326" customWidth="1"/>
    <col min="4684" max="4686" width="9" style="326"/>
    <col min="4687" max="4687" width="12.875" style="326" customWidth="1"/>
    <col min="4688" max="4688" width="9" style="326"/>
    <col min="4689" max="4689" width="10.75" style="326" bestFit="1" customWidth="1"/>
    <col min="4690" max="4690" width="13.875" style="326" customWidth="1"/>
    <col min="4691" max="4693" width="9" style="326"/>
    <col min="4694" max="4694" width="14.125" style="326" customWidth="1"/>
    <col min="4695" max="4695" width="9" style="326"/>
    <col min="4696" max="4696" width="10.75" style="326" bestFit="1" customWidth="1"/>
    <col min="4697" max="4697" width="13.25" style="326" customWidth="1"/>
    <col min="4698" max="4700" width="9" style="326"/>
    <col min="4701" max="4701" width="13.25" style="326" customWidth="1"/>
    <col min="4702" max="4702" width="9" style="326"/>
    <col min="4703" max="4703" width="10.75" style="326" bestFit="1" customWidth="1"/>
    <col min="4704" max="4704" width="13.875" style="326" customWidth="1"/>
    <col min="4705" max="4707" width="9" style="326"/>
    <col min="4708" max="4708" width="13.625" style="326" customWidth="1"/>
    <col min="4709" max="4709" width="9" style="326"/>
    <col min="4710" max="4710" width="10.75" style="326" bestFit="1" customWidth="1"/>
    <col min="4711" max="4711" width="13" style="326" customWidth="1"/>
    <col min="4712" max="4858" width="9" style="326"/>
    <col min="4859" max="4860" width="12.125" style="326" customWidth="1"/>
    <col min="4861" max="4863" width="13" style="326" customWidth="1"/>
    <col min="4864" max="4864" width="12.875" style="326" customWidth="1"/>
    <col min="4865" max="4865" width="13" style="326" customWidth="1"/>
    <col min="4866" max="4866" width="13.125" style="326" customWidth="1"/>
    <col min="4867" max="4868" width="12.125" style="326" customWidth="1"/>
    <col min="4869" max="4869" width="14.375" style="326" bestFit="1" customWidth="1"/>
    <col min="4870" max="4870" width="11" style="326" customWidth="1"/>
    <col min="4871" max="4871" width="10" style="326" customWidth="1"/>
    <col min="4872" max="4872" width="10.875" style="326" customWidth="1"/>
    <col min="4873" max="4873" width="13.75" style="326" customWidth="1"/>
    <col min="4874" max="4874" width="10" style="326" customWidth="1"/>
    <col min="4875" max="4875" width="13.25" style="326" customWidth="1"/>
    <col min="4876" max="4876" width="14.375" style="326" customWidth="1"/>
    <col min="4877" max="4877" width="10" style="326" customWidth="1"/>
    <col min="4878" max="4878" width="10.875" style="326" customWidth="1"/>
    <col min="4879" max="4879" width="11.375" style="326" customWidth="1"/>
    <col min="4880" max="4880" width="15.375" style="326" customWidth="1"/>
    <col min="4881" max="4882" width="10.75" style="326" customWidth="1"/>
    <col min="4883" max="4883" width="14.375" style="326" customWidth="1"/>
    <col min="4884" max="4884" width="10.75" style="326" customWidth="1"/>
    <col min="4885" max="4885" width="11.75" style="326" customWidth="1"/>
    <col min="4886" max="4886" width="10" style="326" customWidth="1"/>
    <col min="4887" max="4887" width="15.375" style="326" customWidth="1"/>
    <col min="4888" max="4888" width="10" style="326" customWidth="1"/>
    <col min="4889" max="4889" width="10.75" style="326" customWidth="1"/>
    <col min="4890" max="4890" width="14.875" style="326" customWidth="1"/>
    <col min="4891" max="4891" width="11.5" style="326" customWidth="1"/>
    <col min="4892" max="4892" width="10" style="326" customWidth="1"/>
    <col min="4893" max="4893" width="10.75" style="326" customWidth="1"/>
    <col min="4894" max="4894" width="13.5" style="326" customWidth="1"/>
    <col min="4895" max="4895" width="9" style="326"/>
    <col min="4896" max="4896" width="10.75" style="326" bestFit="1" customWidth="1"/>
    <col min="4897" max="4897" width="13.75" style="326" customWidth="1"/>
    <col min="4898" max="4898" width="9" style="326"/>
    <col min="4899" max="4899" width="10.625" style="326" customWidth="1"/>
    <col min="4900" max="4900" width="9" style="326"/>
    <col min="4901" max="4901" width="14.25" style="326" customWidth="1"/>
    <col min="4902" max="4902" width="10.75" style="326" bestFit="1" customWidth="1"/>
    <col min="4903" max="4903" width="11.625" style="326" customWidth="1"/>
    <col min="4904" max="4904" width="13.75" style="326" customWidth="1"/>
    <col min="4905" max="4905" width="10.625" style="326" customWidth="1"/>
    <col min="4906" max="4907" width="9" style="326"/>
    <col min="4908" max="4908" width="14.125" style="326" customWidth="1"/>
    <col min="4909" max="4909" width="11" style="326" customWidth="1"/>
    <col min="4910" max="4910" width="10.75" style="326" bestFit="1" customWidth="1"/>
    <col min="4911" max="4911" width="13.5" style="326" customWidth="1"/>
    <col min="4912" max="4913" width="9" style="326"/>
    <col min="4914" max="4914" width="10.75" style="326" bestFit="1" customWidth="1"/>
    <col min="4915" max="4915" width="14" style="326" customWidth="1"/>
    <col min="4916" max="4916" width="9" style="326"/>
    <col min="4917" max="4917" width="10.75" style="326" customWidth="1"/>
    <col min="4918" max="4918" width="12.75" style="326" customWidth="1"/>
    <col min="4919" max="4919" width="9" style="326"/>
    <col min="4920" max="4920" width="10.75" style="326" bestFit="1" customWidth="1"/>
    <col min="4921" max="4921" width="11.5" style="326" customWidth="1"/>
    <col min="4922" max="4922" width="13.625" style="326" customWidth="1"/>
    <col min="4923" max="4923" width="10.625" style="326" customWidth="1"/>
    <col min="4924" max="4924" width="10.75" style="326" bestFit="1" customWidth="1"/>
    <col min="4925" max="4925" width="12.375" style="326" customWidth="1"/>
    <col min="4926" max="4928" width="9" style="326"/>
    <col min="4929" max="4929" width="15.75" style="326" customWidth="1"/>
    <col min="4930" max="4930" width="9" style="326"/>
    <col min="4931" max="4931" width="10.75" style="326" bestFit="1" customWidth="1"/>
    <col min="4932" max="4932" width="12.625" style="326" customWidth="1"/>
    <col min="4933" max="4935" width="9" style="326"/>
    <col min="4936" max="4936" width="13.625" style="326" customWidth="1"/>
    <col min="4937" max="4937" width="9" style="326"/>
    <col min="4938" max="4938" width="10.75" style="326" bestFit="1" customWidth="1"/>
    <col min="4939" max="4939" width="12.5" style="326" customWidth="1"/>
    <col min="4940" max="4942" width="9" style="326"/>
    <col min="4943" max="4943" width="12.875" style="326" customWidth="1"/>
    <col min="4944" max="4944" width="9" style="326"/>
    <col min="4945" max="4945" width="10.75" style="326" bestFit="1" customWidth="1"/>
    <col min="4946" max="4946" width="13.875" style="326" customWidth="1"/>
    <col min="4947" max="4949" width="9" style="326"/>
    <col min="4950" max="4950" width="14.125" style="326" customWidth="1"/>
    <col min="4951" max="4951" width="9" style="326"/>
    <col min="4952" max="4952" width="10.75" style="326" bestFit="1" customWidth="1"/>
    <col min="4953" max="4953" width="13.25" style="326" customWidth="1"/>
    <col min="4954" max="4956" width="9" style="326"/>
    <col min="4957" max="4957" width="13.25" style="326" customWidth="1"/>
    <col min="4958" max="4958" width="9" style="326"/>
    <col min="4959" max="4959" width="10.75" style="326" bestFit="1" customWidth="1"/>
    <col min="4960" max="4960" width="13.875" style="326" customWidth="1"/>
    <col min="4961" max="4963" width="9" style="326"/>
    <col min="4964" max="4964" width="13.625" style="326" customWidth="1"/>
    <col min="4965" max="4965" width="9" style="326"/>
    <col min="4966" max="4966" width="10.75" style="326" bestFit="1" customWidth="1"/>
    <col min="4967" max="4967" width="13" style="326" customWidth="1"/>
    <col min="4968" max="5114" width="9" style="326"/>
    <col min="5115" max="5116" width="12.125" style="326" customWidth="1"/>
    <col min="5117" max="5119" width="13" style="326" customWidth="1"/>
    <col min="5120" max="5120" width="12.875" style="326" customWidth="1"/>
    <col min="5121" max="5121" width="13" style="326" customWidth="1"/>
    <col min="5122" max="5122" width="13.125" style="326" customWidth="1"/>
    <col min="5123" max="5124" width="12.125" style="326" customWidth="1"/>
    <col min="5125" max="5125" width="14.375" style="326" bestFit="1" customWidth="1"/>
    <col min="5126" max="5126" width="11" style="326" customWidth="1"/>
    <col min="5127" max="5127" width="10" style="326" customWidth="1"/>
    <col min="5128" max="5128" width="10.875" style="326" customWidth="1"/>
    <col min="5129" max="5129" width="13.75" style="326" customWidth="1"/>
    <col min="5130" max="5130" width="10" style="326" customWidth="1"/>
    <col min="5131" max="5131" width="13.25" style="326" customWidth="1"/>
    <col min="5132" max="5132" width="14.375" style="326" customWidth="1"/>
    <col min="5133" max="5133" width="10" style="326" customWidth="1"/>
    <col min="5134" max="5134" width="10.875" style="326" customWidth="1"/>
    <col min="5135" max="5135" width="11.375" style="326" customWidth="1"/>
    <col min="5136" max="5136" width="15.375" style="326" customWidth="1"/>
    <col min="5137" max="5138" width="10.75" style="326" customWidth="1"/>
    <col min="5139" max="5139" width="14.375" style="326" customWidth="1"/>
    <col min="5140" max="5140" width="10.75" style="326" customWidth="1"/>
    <col min="5141" max="5141" width="11.75" style="326" customWidth="1"/>
    <col min="5142" max="5142" width="10" style="326" customWidth="1"/>
    <col min="5143" max="5143" width="15.375" style="326" customWidth="1"/>
    <col min="5144" max="5144" width="10" style="326" customWidth="1"/>
    <col min="5145" max="5145" width="10.75" style="326" customWidth="1"/>
    <col min="5146" max="5146" width="14.875" style="326" customWidth="1"/>
    <col min="5147" max="5147" width="11.5" style="326" customWidth="1"/>
    <col min="5148" max="5148" width="10" style="326" customWidth="1"/>
    <col min="5149" max="5149" width="10.75" style="326" customWidth="1"/>
    <col min="5150" max="5150" width="13.5" style="326" customWidth="1"/>
    <col min="5151" max="5151" width="9" style="326"/>
    <col min="5152" max="5152" width="10.75" style="326" bestFit="1" customWidth="1"/>
    <col min="5153" max="5153" width="13.75" style="326" customWidth="1"/>
    <col min="5154" max="5154" width="9" style="326"/>
    <col min="5155" max="5155" width="10.625" style="326" customWidth="1"/>
    <col min="5156" max="5156" width="9" style="326"/>
    <col min="5157" max="5157" width="14.25" style="326" customWidth="1"/>
    <col min="5158" max="5158" width="10.75" style="326" bestFit="1" customWidth="1"/>
    <col min="5159" max="5159" width="11.625" style="326" customWidth="1"/>
    <col min="5160" max="5160" width="13.75" style="326" customWidth="1"/>
    <col min="5161" max="5161" width="10.625" style="326" customWidth="1"/>
    <col min="5162" max="5163" width="9" style="326"/>
    <col min="5164" max="5164" width="14.125" style="326" customWidth="1"/>
    <col min="5165" max="5165" width="11" style="326" customWidth="1"/>
    <col min="5166" max="5166" width="10.75" style="326" bestFit="1" customWidth="1"/>
    <col min="5167" max="5167" width="13.5" style="326" customWidth="1"/>
    <col min="5168" max="5169" width="9" style="326"/>
    <col min="5170" max="5170" width="10.75" style="326" bestFit="1" customWidth="1"/>
    <col min="5171" max="5171" width="14" style="326" customWidth="1"/>
    <col min="5172" max="5172" width="9" style="326"/>
    <col min="5173" max="5173" width="10.75" style="326" customWidth="1"/>
    <col min="5174" max="5174" width="12.75" style="326" customWidth="1"/>
    <col min="5175" max="5175" width="9" style="326"/>
    <col min="5176" max="5176" width="10.75" style="326" bestFit="1" customWidth="1"/>
    <col min="5177" max="5177" width="11.5" style="326" customWidth="1"/>
    <col min="5178" max="5178" width="13.625" style="326" customWidth="1"/>
    <col min="5179" max="5179" width="10.625" style="326" customWidth="1"/>
    <col min="5180" max="5180" width="10.75" style="326" bestFit="1" customWidth="1"/>
    <col min="5181" max="5181" width="12.375" style="326" customWidth="1"/>
    <col min="5182" max="5184" width="9" style="326"/>
    <col min="5185" max="5185" width="15.75" style="326" customWidth="1"/>
    <col min="5186" max="5186" width="9" style="326"/>
    <col min="5187" max="5187" width="10.75" style="326" bestFit="1" customWidth="1"/>
    <col min="5188" max="5188" width="12.625" style="326" customWidth="1"/>
    <col min="5189" max="5191" width="9" style="326"/>
    <col min="5192" max="5192" width="13.625" style="326" customWidth="1"/>
    <col min="5193" max="5193" width="9" style="326"/>
    <col min="5194" max="5194" width="10.75" style="326" bestFit="1" customWidth="1"/>
    <col min="5195" max="5195" width="12.5" style="326" customWidth="1"/>
    <col min="5196" max="5198" width="9" style="326"/>
    <col min="5199" max="5199" width="12.875" style="326" customWidth="1"/>
    <col min="5200" max="5200" width="9" style="326"/>
    <col min="5201" max="5201" width="10.75" style="326" bestFit="1" customWidth="1"/>
    <col min="5202" max="5202" width="13.875" style="326" customWidth="1"/>
    <col min="5203" max="5205" width="9" style="326"/>
    <col min="5206" max="5206" width="14.125" style="326" customWidth="1"/>
    <col min="5207" max="5207" width="9" style="326"/>
    <col min="5208" max="5208" width="10.75" style="326" bestFit="1" customWidth="1"/>
    <col min="5209" max="5209" width="13.25" style="326" customWidth="1"/>
    <col min="5210" max="5212" width="9" style="326"/>
    <col min="5213" max="5213" width="13.25" style="326" customWidth="1"/>
    <col min="5214" max="5214" width="9" style="326"/>
    <col min="5215" max="5215" width="10.75" style="326" bestFit="1" customWidth="1"/>
    <col min="5216" max="5216" width="13.875" style="326" customWidth="1"/>
    <col min="5217" max="5219" width="9" style="326"/>
    <col min="5220" max="5220" width="13.625" style="326" customWidth="1"/>
    <col min="5221" max="5221" width="9" style="326"/>
    <col min="5222" max="5222" width="10.75" style="326" bestFit="1" customWidth="1"/>
    <col min="5223" max="5223" width="13" style="326" customWidth="1"/>
    <col min="5224" max="5370" width="9" style="326"/>
    <col min="5371" max="5372" width="12.125" style="326" customWidth="1"/>
    <col min="5373" max="5375" width="13" style="326" customWidth="1"/>
    <col min="5376" max="5376" width="12.875" style="326" customWidth="1"/>
    <col min="5377" max="5377" width="13" style="326" customWidth="1"/>
    <col min="5378" max="5378" width="13.125" style="326" customWidth="1"/>
    <col min="5379" max="5380" width="12.125" style="326" customWidth="1"/>
    <col min="5381" max="5381" width="14.375" style="326" bestFit="1" customWidth="1"/>
    <col min="5382" max="5382" width="11" style="326" customWidth="1"/>
    <col min="5383" max="5383" width="10" style="326" customWidth="1"/>
    <col min="5384" max="5384" width="10.875" style="326" customWidth="1"/>
    <col min="5385" max="5385" width="13.75" style="326" customWidth="1"/>
    <col min="5386" max="5386" width="10" style="326" customWidth="1"/>
    <col min="5387" max="5387" width="13.25" style="326" customWidth="1"/>
    <col min="5388" max="5388" width="14.375" style="326" customWidth="1"/>
    <col min="5389" max="5389" width="10" style="326" customWidth="1"/>
    <col min="5390" max="5390" width="10.875" style="326" customWidth="1"/>
    <col min="5391" max="5391" width="11.375" style="326" customWidth="1"/>
    <col min="5392" max="5392" width="15.375" style="326" customWidth="1"/>
    <col min="5393" max="5394" width="10.75" style="326" customWidth="1"/>
    <col min="5395" max="5395" width="14.375" style="326" customWidth="1"/>
    <col min="5396" max="5396" width="10.75" style="326" customWidth="1"/>
    <col min="5397" max="5397" width="11.75" style="326" customWidth="1"/>
    <col min="5398" max="5398" width="10" style="326" customWidth="1"/>
    <col min="5399" max="5399" width="15.375" style="326" customWidth="1"/>
    <col min="5400" max="5400" width="10" style="326" customWidth="1"/>
    <col min="5401" max="5401" width="10.75" style="326" customWidth="1"/>
    <col min="5402" max="5402" width="14.875" style="326" customWidth="1"/>
    <col min="5403" max="5403" width="11.5" style="326" customWidth="1"/>
    <col min="5404" max="5404" width="10" style="326" customWidth="1"/>
    <col min="5405" max="5405" width="10.75" style="326" customWidth="1"/>
    <col min="5406" max="5406" width="13.5" style="326" customWidth="1"/>
    <col min="5407" max="5407" width="9" style="326"/>
    <col min="5408" max="5408" width="10.75" style="326" bestFit="1" customWidth="1"/>
    <col min="5409" max="5409" width="13.75" style="326" customWidth="1"/>
    <col min="5410" max="5410" width="9" style="326"/>
    <col min="5411" max="5411" width="10.625" style="326" customWidth="1"/>
    <col min="5412" max="5412" width="9" style="326"/>
    <col min="5413" max="5413" width="14.25" style="326" customWidth="1"/>
    <col min="5414" max="5414" width="10.75" style="326" bestFit="1" customWidth="1"/>
    <col min="5415" max="5415" width="11.625" style="326" customWidth="1"/>
    <col min="5416" max="5416" width="13.75" style="326" customWidth="1"/>
    <col min="5417" max="5417" width="10.625" style="326" customWidth="1"/>
    <col min="5418" max="5419" width="9" style="326"/>
    <col min="5420" max="5420" width="14.125" style="326" customWidth="1"/>
    <col min="5421" max="5421" width="11" style="326" customWidth="1"/>
    <col min="5422" max="5422" width="10.75" style="326" bestFit="1" customWidth="1"/>
    <col min="5423" max="5423" width="13.5" style="326" customWidth="1"/>
    <col min="5424" max="5425" width="9" style="326"/>
    <col min="5426" max="5426" width="10.75" style="326" bestFit="1" customWidth="1"/>
    <col min="5427" max="5427" width="14" style="326" customWidth="1"/>
    <col min="5428" max="5428" width="9" style="326"/>
    <col min="5429" max="5429" width="10.75" style="326" customWidth="1"/>
    <col min="5430" max="5430" width="12.75" style="326" customWidth="1"/>
    <col min="5431" max="5431" width="9" style="326"/>
    <col min="5432" max="5432" width="10.75" style="326" bestFit="1" customWidth="1"/>
    <col min="5433" max="5433" width="11.5" style="326" customWidth="1"/>
    <col min="5434" max="5434" width="13.625" style="326" customWidth="1"/>
    <col min="5435" max="5435" width="10.625" style="326" customWidth="1"/>
    <col min="5436" max="5436" width="10.75" style="326" bestFit="1" customWidth="1"/>
    <col min="5437" max="5437" width="12.375" style="326" customWidth="1"/>
    <col min="5438" max="5440" width="9" style="326"/>
    <col min="5441" max="5441" width="15.75" style="326" customWidth="1"/>
    <col min="5442" max="5442" width="9" style="326"/>
    <col min="5443" max="5443" width="10.75" style="326" bestFit="1" customWidth="1"/>
    <col min="5444" max="5444" width="12.625" style="326" customWidth="1"/>
    <col min="5445" max="5447" width="9" style="326"/>
    <col min="5448" max="5448" width="13.625" style="326" customWidth="1"/>
    <col min="5449" max="5449" width="9" style="326"/>
    <col min="5450" max="5450" width="10.75" style="326" bestFit="1" customWidth="1"/>
    <col min="5451" max="5451" width="12.5" style="326" customWidth="1"/>
    <col min="5452" max="5454" width="9" style="326"/>
    <col min="5455" max="5455" width="12.875" style="326" customWidth="1"/>
    <col min="5456" max="5456" width="9" style="326"/>
    <col min="5457" max="5457" width="10.75" style="326" bestFit="1" customWidth="1"/>
    <col min="5458" max="5458" width="13.875" style="326" customWidth="1"/>
    <col min="5459" max="5461" width="9" style="326"/>
    <col min="5462" max="5462" width="14.125" style="326" customWidth="1"/>
    <col min="5463" max="5463" width="9" style="326"/>
    <col min="5464" max="5464" width="10.75" style="326" bestFit="1" customWidth="1"/>
    <col min="5465" max="5465" width="13.25" style="326" customWidth="1"/>
    <col min="5466" max="5468" width="9" style="326"/>
    <col min="5469" max="5469" width="13.25" style="326" customWidth="1"/>
    <col min="5470" max="5470" width="9" style="326"/>
    <col min="5471" max="5471" width="10.75" style="326" bestFit="1" customWidth="1"/>
    <col min="5472" max="5472" width="13.875" style="326" customWidth="1"/>
    <col min="5473" max="5475" width="9" style="326"/>
    <col min="5476" max="5476" width="13.625" style="326" customWidth="1"/>
    <col min="5477" max="5477" width="9" style="326"/>
    <col min="5478" max="5478" width="10.75" style="326" bestFit="1" customWidth="1"/>
    <col min="5479" max="5479" width="13" style="326" customWidth="1"/>
    <col min="5480" max="5626" width="9" style="326"/>
    <col min="5627" max="5628" width="12.125" style="326" customWidth="1"/>
    <col min="5629" max="5631" width="13" style="326" customWidth="1"/>
    <col min="5632" max="5632" width="12.875" style="326" customWidth="1"/>
    <col min="5633" max="5633" width="13" style="326" customWidth="1"/>
    <col min="5634" max="5634" width="13.125" style="326" customWidth="1"/>
    <col min="5635" max="5636" width="12.125" style="326" customWidth="1"/>
    <col min="5637" max="5637" width="14.375" style="326" bestFit="1" customWidth="1"/>
    <col min="5638" max="5638" width="11" style="326" customWidth="1"/>
    <col min="5639" max="5639" width="10" style="326" customWidth="1"/>
    <col min="5640" max="5640" width="10.875" style="326" customWidth="1"/>
    <col min="5641" max="5641" width="13.75" style="326" customWidth="1"/>
    <col min="5642" max="5642" width="10" style="326" customWidth="1"/>
    <col min="5643" max="5643" width="13.25" style="326" customWidth="1"/>
    <col min="5644" max="5644" width="14.375" style="326" customWidth="1"/>
    <col min="5645" max="5645" width="10" style="326" customWidth="1"/>
    <col min="5646" max="5646" width="10.875" style="326" customWidth="1"/>
    <col min="5647" max="5647" width="11.375" style="326" customWidth="1"/>
    <col min="5648" max="5648" width="15.375" style="326" customWidth="1"/>
    <col min="5649" max="5650" width="10.75" style="326" customWidth="1"/>
    <col min="5651" max="5651" width="14.375" style="326" customWidth="1"/>
    <col min="5652" max="5652" width="10.75" style="326" customWidth="1"/>
    <col min="5653" max="5653" width="11.75" style="326" customWidth="1"/>
    <col min="5654" max="5654" width="10" style="326" customWidth="1"/>
    <col min="5655" max="5655" width="15.375" style="326" customWidth="1"/>
    <col min="5656" max="5656" width="10" style="326" customWidth="1"/>
    <col min="5657" max="5657" width="10.75" style="326" customWidth="1"/>
    <col min="5658" max="5658" width="14.875" style="326" customWidth="1"/>
    <col min="5659" max="5659" width="11.5" style="326" customWidth="1"/>
    <col min="5660" max="5660" width="10" style="326" customWidth="1"/>
    <col min="5661" max="5661" width="10.75" style="326" customWidth="1"/>
    <col min="5662" max="5662" width="13.5" style="326" customWidth="1"/>
    <col min="5663" max="5663" width="9" style="326"/>
    <col min="5664" max="5664" width="10.75" style="326" bestFit="1" customWidth="1"/>
    <col min="5665" max="5665" width="13.75" style="326" customWidth="1"/>
    <col min="5666" max="5666" width="9" style="326"/>
    <col min="5667" max="5667" width="10.625" style="326" customWidth="1"/>
    <col min="5668" max="5668" width="9" style="326"/>
    <col min="5669" max="5669" width="14.25" style="326" customWidth="1"/>
    <col min="5670" max="5670" width="10.75" style="326" bestFit="1" customWidth="1"/>
    <col min="5671" max="5671" width="11.625" style="326" customWidth="1"/>
    <col min="5672" max="5672" width="13.75" style="326" customWidth="1"/>
    <col min="5673" max="5673" width="10.625" style="326" customWidth="1"/>
    <col min="5674" max="5675" width="9" style="326"/>
    <col min="5676" max="5676" width="14.125" style="326" customWidth="1"/>
    <col min="5677" max="5677" width="11" style="326" customWidth="1"/>
    <col min="5678" max="5678" width="10.75" style="326" bestFit="1" customWidth="1"/>
    <col min="5679" max="5679" width="13.5" style="326" customWidth="1"/>
    <col min="5680" max="5681" width="9" style="326"/>
    <col min="5682" max="5682" width="10.75" style="326" bestFit="1" customWidth="1"/>
    <col min="5683" max="5683" width="14" style="326" customWidth="1"/>
    <col min="5684" max="5684" width="9" style="326"/>
    <col min="5685" max="5685" width="10.75" style="326" customWidth="1"/>
    <col min="5686" max="5686" width="12.75" style="326" customWidth="1"/>
    <col min="5687" max="5687" width="9" style="326"/>
    <col min="5688" max="5688" width="10.75" style="326" bestFit="1" customWidth="1"/>
    <col min="5689" max="5689" width="11.5" style="326" customWidth="1"/>
    <col min="5690" max="5690" width="13.625" style="326" customWidth="1"/>
    <col min="5691" max="5691" width="10.625" style="326" customWidth="1"/>
    <col min="5692" max="5692" width="10.75" style="326" bestFit="1" customWidth="1"/>
    <col min="5693" max="5693" width="12.375" style="326" customWidth="1"/>
    <col min="5694" max="5696" width="9" style="326"/>
    <col min="5697" max="5697" width="15.75" style="326" customWidth="1"/>
    <col min="5698" max="5698" width="9" style="326"/>
    <col min="5699" max="5699" width="10.75" style="326" bestFit="1" customWidth="1"/>
    <col min="5700" max="5700" width="12.625" style="326" customWidth="1"/>
    <col min="5701" max="5703" width="9" style="326"/>
    <col min="5704" max="5704" width="13.625" style="326" customWidth="1"/>
    <col min="5705" max="5705" width="9" style="326"/>
    <col min="5706" max="5706" width="10.75" style="326" bestFit="1" customWidth="1"/>
    <col min="5707" max="5707" width="12.5" style="326" customWidth="1"/>
    <col min="5708" max="5710" width="9" style="326"/>
    <col min="5711" max="5711" width="12.875" style="326" customWidth="1"/>
    <col min="5712" max="5712" width="9" style="326"/>
    <col min="5713" max="5713" width="10.75" style="326" bestFit="1" customWidth="1"/>
    <col min="5714" max="5714" width="13.875" style="326" customWidth="1"/>
    <col min="5715" max="5717" width="9" style="326"/>
    <col min="5718" max="5718" width="14.125" style="326" customWidth="1"/>
    <col min="5719" max="5719" width="9" style="326"/>
    <col min="5720" max="5720" width="10.75" style="326" bestFit="1" customWidth="1"/>
    <col min="5721" max="5721" width="13.25" style="326" customWidth="1"/>
    <col min="5722" max="5724" width="9" style="326"/>
    <col min="5725" max="5725" width="13.25" style="326" customWidth="1"/>
    <col min="5726" max="5726" width="9" style="326"/>
    <col min="5727" max="5727" width="10.75" style="326" bestFit="1" customWidth="1"/>
    <col min="5728" max="5728" width="13.875" style="326" customWidth="1"/>
    <col min="5729" max="5731" width="9" style="326"/>
    <col min="5732" max="5732" width="13.625" style="326" customWidth="1"/>
    <col min="5733" max="5733" width="9" style="326"/>
    <col min="5734" max="5734" width="10.75" style="326" bestFit="1" customWidth="1"/>
    <col min="5735" max="5735" width="13" style="326" customWidth="1"/>
    <col min="5736" max="5882" width="9" style="326"/>
    <col min="5883" max="5884" width="12.125" style="326" customWidth="1"/>
    <col min="5885" max="5887" width="13" style="326" customWidth="1"/>
    <col min="5888" max="5888" width="12.875" style="326" customWidth="1"/>
    <col min="5889" max="5889" width="13" style="326" customWidth="1"/>
    <col min="5890" max="5890" width="13.125" style="326" customWidth="1"/>
    <col min="5891" max="5892" width="12.125" style="326" customWidth="1"/>
    <col min="5893" max="5893" width="14.375" style="326" bestFit="1" customWidth="1"/>
    <col min="5894" max="5894" width="11" style="326" customWidth="1"/>
    <col min="5895" max="5895" width="10" style="326" customWidth="1"/>
    <col min="5896" max="5896" width="10.875" style="326" customWidth="1"/>
    <col min="5897" max="5897" width="13.75" style="326" customWidth="1"/>
    <col min="5898" max="5898" width="10" style="326" customWidth="1"/>
    <col min="5899" max="5899" width="13.25" style="326" customWidth="1"/>
    <col min="5900" max="5900" width="14.375" style="326" customWidth="1"/>
    <col min="5901" max="5901" width="10" style="326" customWidth="1"/>
    <col min="5902" max="5902" width="10.875" style="326" customWidth="1"/>
    <col min="5903" max="5903" width="11.375" style="326" customWidth="1"/>
    <col min="5904" max="5904" width="15.375" style="326" customWidth="1"/>
    <col min="5905" max="5906" width="10.75" style="326" customWidth="1"/>
    <col min="5907" max="5907" width="14.375" style="326" customWidth="1"/>
    <col min="5908" max="5908" width="10.75" style="326" customWidth="1"/>
    <col min="5909" max="5909" width="11.75" style="326" customWidth="1"/>
    <col min="5910" max="5910" width="10" style="326" customWidth="1"/>
    <col min="5911" max="5911" width="15.375" style="326" customWidth="1"/>
    <col min="5912" max="5912" width="10" style="326" customWidth="1"/>
    <col min="5913" max="5913" width="10.75" style="326" customWidth="1"/>
    <col min="5914" max="5914" width="14.875" style="326" customWidth="1"/>
    <col min="5915" max="5915" width="11.5" style="326" customWidth="1"/>
    <col min="5916" max="5916" width="10" style="326" customWidth="1"/>
    <col min="5917" max="5917" width="10.75" style="326" customWidth="1"/>
    <col min="5918" max="5918" width="13.5" style="326" customWidth="1"/>
    <col min="5919" max="5919" width="9" style="326"/>
    <col min="5920" max="5920" width="10.75" style="326" bestFit="1" customWidth="1"/>
    <col min="5921" max="5921" width="13.75" style="326" customWidth="1"/>
    <col min="5922" max="5922" width="9" style="326"/>
    <col min="5923" max="5923" width="10.625" style="326" customWidth="1"/>
    <col min="5924" max="5924" width="9" style="326"/>
    <col min="5925" max="5925" width="14.25" style="326" customWidth="1"/>
    <col min="5926" max="5926" width="10.75" style="326" bestFit="1" customWidth="1"/>
    <col min="5927" max="5927" width="11.625" style="326" customWidth="1"/>
    <col min="5928" max="5928" width="13.75" style="326" customWidth="1"/>
    <col min="5929" max="5929" width="10.625" style="326" customWidth="1"/>
    <col min="5930" max="5931" width="9" style="326"/>
    <col min="5932" max="5932" width="14.125" style="326" customWidth="1"/>
    <col min="5933" max="5933" width="11" style="326" customWidth="1"/>
    <col min="5934" max="5934" width="10.75" style="326" bestFit="1" customWidth="1"/>
    <col min="5935" max="5935" width="13.5" style="326" customWidth="1"/>
    <col min="5936" max="5937" width="9" style="326"/>
    <col min="5938" max="5938" width="10.75" style="326" bestFit="1" customWidth="1"/>
    <col min="5939" max="5939" width="14" style="326" customWidth="1"/>
    <col min="5940" max="5940" width="9" style="326"/>
    <col min="5941" max="5941" width="10.75" style="326" customWidth="1"/>
    <col min="5942" max="5942" width="12.75" style="326" customWidth="1"/>
    <col min="5943" max="5943" width="9" style="326"/>
    <col min="5944" max="5944" width="10.75" style="326" bestFit="1" customWidth="1"/>
    <col min="5945" max="5945" width="11.5" style="326" customWidth="1"/>
    <col min="5946" max="5946" width="13.625" style="326" customWidth="1"/>
    <col min="5947" max="5947" width="10.625" style="326" customWidth="1"/>
    <col min="5948" max="5948" width="10.75" style="326" bestFit="1" customWidth="1"/>
    <col min="5949" max="5949" width="12.375" style="326" customWidth="1"/>
    <col min="5950" max="5952" width="9" style="326"/>
    <col min="5953" max="5953" width="15.75" style="326" customWidth="1"/>
    <col min="5954" max="5954" width="9" style="326"/>
    <col min="5955" max="5955" width="10.75" style="326" bestFit="1" customWidth="1"/>
    <col min="5956" max="5956" width="12.625" style="326" customWidth="1"/>
    <col min="5957" max="5959" width="9" style="326"/>
    <col min="5960" max="5960" width="13.625" style="326" customWidth="1"/>
    <col min="5961" max="5961" width="9" style="326"/>
    <col min="5962" max="5962" width="10.75" style="326" bestFit="1" customWidth="1"/>
    <col min="5963" max="5963" width="12.5" style="326" customWidth="1"/>
    <col min="5964" max="5966" width="9" style="326"/>
    <col min="5967" max="5967" width="12.875" style="326" customWidth="1"/>
    <col min="5968" max="5968" width="9" style="326"/>
    <col min="5969" max="5969" width="10.75" style="326" bestFit="1" customWidth="1"/>
    <col min="5970" max="5970" width="13.875" style="326" customWidth="1"/>
    <col min="5971" max="5973" width="9" style="326"/>
    <col min="5974" max="5974" width="14.125" style="326" customWidth="1"/>
    <col min="5975" max="5975" width="9" style="326"/>
    <col min="5976" max="5976" width="10.75" style="326" bestFit="1" customWidth="1"/>
    <col min="5977" max="5977" width="13.25" style="326" customWidth="1"/>
    <col min="5978" max="5980" width="9" style="326"/>
    <col min="5981" max="5981" width="13.25" style="326" customWidth="1"/>
    <col min="5982" max="5982" width="9" style="326"/>
    <col min="5983" max="5983" width="10.75" style="326" bestFit="1" customWidth="1"/>
    <col min="5984" max="5984" width="13.875" style="326" customWidth="1"/>
    <col min="5985" max="5987" width="9" style="326"/>
    <col min="5988" max="5988" width="13.625" style="326" customWidth="1"/>
    <col min="5989" max="5989" width="9" style="326"/>
    <col min="5990" max="5990" width="10.75" style="326" bestFit="1" customWidth="1"/>
    <col min="5991" max="5991" width="13" style="326" customWidth="1"/>
    <col min="5992" max="6138" width="9" style="326"/>
    <col min="6139" max="6140" width="12.125" style="326" customWidth="1"/>
    <col min="6141" max="6143" width="13" style="326" customWidth="1"/>
    <col min="6144" max="6144" width="12.875" style="326" customWidth="1"/>
    <col min="6145" max="6145" width="13" style="326" customWidth="1"/>
    <col min="6146" max="6146" width="13.125" style="326" customWidth="1"/>
    <col min="6147" max="6148" width="12.125" style="326" customWidth="1"/>
    <col min="6149" max="6149" width="14.375" style="326" bestFit="1" customWidth="1"/>
    <col min="6150" max="6150" width="11" style="326" customWidth="1"/>
    <col min="6151" max="6151" width="10" style="326" customWidth="1"/>
    <col min="6152" max="6152" width="10.875" style="326" customWidth="1"/>
    <col min="6153" max="6153" width="13.75" style="326" customWidth="1"/>
    <col min="6154" max="6154" width="10" style="326" customWidth="1"/>
    <col min="6155" max="6155" width="13.25" style="326" customWidth="1"/>
    <col min="6156" max="6156" width="14.375" style="326" customWidth="1"/>
    <col min="6157" max="6157" width="10" style="326" customWidth="1"/>
    <col min="6158" max="6158" width="10.875" style="326" customWidth="1"/>
    <col min="6159" max="6159" width="11.375" style="326" customWidth="1"/>
    <col min="6160" max="6160" width="15.375" style="326" customWidth="1"/>
    <col min="6161" max="6162" width="10.75" style="326" customWidth="1"/>
    <col min="6163" max="6163" width="14.375" style="326" customWidth="1"/>
    <col min="6164" max="6164" width="10.75" style="326" customWidth="1"/>
    <col min="6165" max="6165" width="11.75" style="326" customWidth="1"/>
    <col min="6166" max="6166" width="10" style="326" customWidth="1"/>
    <col min="6167" max="6167" width="15.375" style="326" customWidth="1"/>
    <col min="6168" max="6168" width="10" style="326" customWidth="1"/>
    <col min="6169" max="6169" width="10.75" style="326" customWidth="1"/>
    <col min="6170" max="6170" width="14.875" style="326" customWidth="1"/>
    <col min="6171" max="6171" width="11.5" style="326" customWidth="1"/>
    <col min="6172" max="6172" width="10" style="326" customWidth="1"/>
    <col min="6173" max="6173" width="10.75" style="326" customWidth="1"/>
    <col min="6174" max="6174" width="13.5" style="326" customWidth="1"/>
    <col min="6175" max="6175" width="9" style="326"/>
    <col min="6176" max="6176" width="10.75" style="326" bestFit="1" customWidth="1"/>
    <col min="6177" max="6177" width="13.75" style="326" customWidth="1"/>
    <col min="6178" max="6178" width="9" style="326"/>
    <col min="6179" max="6179" width="10.625" style="326" customWidth="1"/>
    <col min="6180" max="6180" width="9" style="326"/>
    <col min="6181" max="6181" width="14.25" style="326" customWidth="1"/>
    <col min="6182" max="6182" width="10.75" style="326" bestFit="1" customWidth="1"/>
    <col min="6183" max="6183" width="11.625" style="326" customWidth="1"/>
    <col min="6184" max="6184" width="13.75" style="326" customWidth="1"/>
    <col min="6185" max="6185" width="10.625" style="326" customWidth="1"/>
    <col min="6186" max="6187" width="9" style="326"/>
    <col min="6188" max="6188" width="14.125" style="326" customWidth="1"/>
    <col min="6189" max="6189" width="11" style="326" customWidth="1"/>
    <col min="6190" max="6190" width="10.75" style="326" bestFit="1" customWidth="1"/>
    <col min="6191" max="6191" width="13.5" style="326" customWidth="1"/>
    <col min="6192" max="6193" width="9" style="326"/>
    <col min="6194" max="6194" width="10.75" style="326" bestFit="1" customWidth="1"/>
    <col min="6195" max="6195" width="14" style="326" customWidth="1"/>
    <col min="6196" max="6196" width="9" style="326"/>
    <col min="6197" max="6197" width="10.75" style="326" customWidth="1"/>
    <col min="6198" max="6198" width="12.75" style="326" customWidth="1"/>
    <col min="6199" max="6199" width="9" style="326"/>
    <col min="6200" max="6200" width="10.75" style="326" bestFit="1" customWidth="1"/>
    <col min="6201" max="6201" width="11.5" style="326" customWidth="1"/>
    <col min="6202" max="6202" width="13.625" style="326" customWidth="1"/>
    <col min="6203" max="6203" width="10.625" style="326" customWidth="1"/>
    <col min="6204" max="6204" width="10.75" style="326" bestFit="1" customWidth="1"/>
    <col min="6205" max="6205" width="12.375" style="326" customWidth="1"/>
    <col min="6206" max="6208" width="9" style="326"/>
    <col min="6209" max="6209" width="15.75" style="326" customWidth="1"/>
    <col min="6210" max="6210" width="9" style="326"/>
    <col min="6211" max="6211" width="10.75" style="326" bestFit="1" customWidth="1"/>
    <col min="6212" max="6212" width="12.625" style="326" customWidth="1"/>
    <col min="6213" max="6215" width="9" style="326"/>
    <col min="6216" max="6216" width="13.625" style="326" customWidth="1"/>
    <col min="6217" max="6217" width="9" style="326"/>
    <col min="6218" max="6218" width="10.75" style="326" bestFit="1" customWidth="1"/>
    <col min="6219" max="6219" width="12.5" style="326" customWidth="1"/>
    <col min="6220" max="6222" width="9" style="326"/>
    <col min="6223" max="6223" width="12.875" style="326" customWidth="1"/>
    <col min="6224" max="6224" width="9" style="326"/>
    <col min="6225" max="6225" width="10.75" style="326" bestFit="1" customWidth="1"/>
    <col min="6226" max="6226" width="13.875" style="326" customWidth="1"/>
    <col min="6227" max="6229" width="9" style="326"/>
    <col min="6230" max="6230" width="14.125" style="326" customWidth="1"/>
    <col min="6231" max="6231" width="9" style="326"/>
    <col min="6232" max="6232" width="10.75" style="326" bestFit="1" customWidth="1"/>
    <col min="6233" max="6233" width="13.25" style="326" customWidth="1"/>
    <col min="6234" max="6236" width="9" style="326"/>
    <col min="6237" max="6237" width="13.25" style="326" customWidth="1"/>
    <col min="6238" max="6238" width="9" style="326"/>
    <col min="6239" max="6239" width="10.75" style="326" bestFit="1" customWidth="1"/>
    <col min="6240" max="6240" width="13.875" style="326" customWidth="1"/>
    <col min="6241" max="6243" width="9" style="326"/>
    <col min="6244" max="6244" width="13.625" style="326" customWidth="1"/>
    <col min="6245" max="6245" width="9" style="326"/>
    <col min="6246" max="6246" width="10.75" style="326" bestFit="1" customWidth="1"/>
    <col min="6247" max="6247" width="13" style="326" customWidth="1"/>
    <col min="6248" max="6394" width="9" style="326"/>
    <col min="6395" max="6396" width="12.125" style="326" customWidth="1"/>
    <col min="6397" max="6399" width="13" style="326" customWidth="1"/>
    <col min="6400" max="6400" width="12.875" style="326" customWidth="1"/>
    <col min="6401" max="6401" width="13" style="326" customWidth="1"/>
    <col min="6402" max="6402" width="13.125" style="326" customWidth="1"/>
    <col min="6403" max="6404" width="12.125" style="326" customWidth="1"/>
    <col min="6405" max="6405" width="14.375" style="326" bestFit="1" customWidth="1"/>
    <col min="6406" max="6406" width="11" style="326" customWidth="1"/>
    <col min="6407" max="6407" width="10" style="326" customWidth="1"/>
    <col min="6408" max="6408" width="10.875" style="326" customWidth="1"/>
    <col min="6409" max="6409" width="13.75" style="326" customWidth="1"/>
    <col min="6410" max="6410" width="10" style="326" customWidth="1"/>
    <col min="6411" max="6411" width="13.25" style="326" customWidth="1"/>
    <col min="6412" max="6412" width="14.375" style="326" customWidth="1"/>
    <col min="6413" max="6413" width="10" style="326" customWidth="1"/>
    <col min="6414" max="6414" width="10.875" style="326" customWidth="1"/>
    <col min="6415" max="6415" width="11.375" style="326" customWidth="1"/>
    <col min="6416" max="6416" width="15.375" style="326" customWidth="1"/>
    <col min="6417" max="6418" width="10.75" style="326" customWidth="1"/>
    <col min="6419" max="6419" width="14.375" style="326" customWidth="1"/>
    <col min="6420" max="6420" width="10.75" style="326" customWidth="1"/>
    <col min="6421" max="6421" width="11.75" style="326" customWidth="1"/>
    <col min="6422" max="6422" width="10" style="326" customWidth="1"/>
    <col min="6423" max="6423" width="15.375" style="326" customWidth="1"/>
    <col min="6424" max="6424" width="10" style="326" customWidth="1"/>
    <col min="6425" max="6425" width="10.75" style="326" customWidth="1"/>
    <col min="6426" max="6426" width="14.875" style="326" customWidth="1"/>
    <col min="6427" max="6427" width="11.5" style="326" customWidth="1"/>
    <col min="6428" max="6428" width="10" style="326" customWidth="1"/>
    <col min="6429" max="6429" width="10.75" style="326" customWidth="1"/>
    <col min="6430" max="6430" width="13.5" style="326" customWidth="1"/>
    <col min="6431" max="6431" width="9" style="326"/>
    <col min="6432" max="6432" width="10.75" style="326" bestFit="1" customWidth="1"/>
    <col min="6433" max="6433" width="13.75" style="326" customWidth="1"/>
    <col min="6434" max="6434" width="9" style="326"/>
    <col min="6435" max="6435" width="10.625" style="326" customWidth="1"/>
    <col min="6436" max="6436" width="9" style="326"/>
    <col min="6437" max="6437" width="14.25" style="326" customWidth="1"/>
    <col min="6438" max="6438" width="10.75" style="326" bestFit="1" customWidth="1"/>
    <col min="6439" max="6439" width="11.625" style="326" customWidth="1"/>
    <col min="6440" max="6440" width="13.75" style="326" customWidth="1"/>
    <col min="6441" max="6441" width="10.625" style="326" customWidth="1"/>
    <col min="6442" max="6443" width="9" style="326"/>
    <col min="6444" max="6444" width="14.125" style="326" customWidth="1"/>
    <col min="6445" max="6445" width="11" style="326" customWidth="1"/>
    <col min="6446" max="6446" width="10.75" style="326" bestFit="1" customWidth="1"/>
    <col min="6447" max="6447" width="13.5" style="326" customWidth="1"/>
    <col min="6448" max="6449" width="9" style="326"/>
    <col min="6450" max="6450" width="10.75" style="326" bestFit="1" customWidth="1"/>
    <col min="6451" max="6451" width="14" style="326" customWidth="1"/>
    <col min="6452" max="6452" width="9" style="326"/>
    <col min="6453" max="6453" width="10.75" style="326" customWidth="1"/>
    <col min="6454" max="6454" width="12.75" style="326" customWidth="1"/>
    <col min="6455" max="6455" width="9" style="326"/>
    <col min="6456" max="6456" width="10.75" style="326" bestFit="1" customWidth="1"/>
    <col min="6457" max="6457" width="11.5" style="326" customWidth="1"/>
    <col min="6458" max="6458" width="13.625" style="326" customWidth="1"/>
    <col min="6459" max="6459" width="10.625" style="326" customWidth="1"/>
    <col min="6460" max="6460" width="10.75" style="326" bestFit="1" customWidth="1"/>
    <col min="6461" max="6461" width="12.375" style="326" customWidth="1"/>
    <col min="6462" max="6464" width="9" style="326"/>
    <col min="6465" max="6465" width="15.75" style="326" customWidth="1"/>
    <col min="6466" max="6466" width="9" style="326"/>
    <col min="6467" max="6467" width="10.75" style="326" bestFit="1" customWidth="1"/>
    <col min="6468" max="6468" width="12.625" style="326" customWidth="1"/>
    <col min="6469" max="6471" width="9" style="326"/>
    <col min="6472" max="6472" width="13.625" style="326" customWidth="1"/>
    <col min="6473" max="6473" width="9" style="326"/>
    <col min="6474" max="6474" width="10.75" style="326" bestFit="1" customWidth="1"/>
    <col min="6475" max="6475" width="12.5" style="326" customWidth="1"/>
    <col min="6476" max="6478" width="9" style="326"/>
    <col min="6479" max="6479" width="12.875" style="326" customWidth="1"/>
    <col min="6480" max="6480" width="9" style="326"/>
    <col min="6481" max="6481" width="10.75" style="326" bestFit="1" customWidth="1"/>
    <col min="6482" max="6482" width="13.875" style="326" customWidth="1"/>
    <col min="6483" max="6485" width="9" style="326"/>
    <col min="6486" max="6486" width="14.125" style="326" customWidth="1"/>
    <col min="6487" max="6487" width="9" style="326"/>
    <col min="6488" max="6488" width="10.75" style="326" bestFit="1" customWidth="1"/>
    <col min="6489" max="6489" width="13.25" style="326" customWidth="1"/>
    <col min="6490" max="6492" width="9" style="326"/>
    <col min="6493" max="6493" width="13.25" style="326" customWidth="1"/>
    <col min="6494" max="6494" width="9" style="326"/>
    <col min="6495" max="6495" width="10.75" style="326" bestFit="1" customWidth="1"/>
    <col min="6496" max="6496" width="13.875" style="326" customWidth="1"/>
    <col min="6497" max="6499" width="9" style="326"/>
    <col min="6500" max="6500" width="13.625" style="326" customWidth="1"/>
    <col min="6501" max="6501" width="9" style="326"/>
    <col min="6502" max="6502" width="10.75" style="326" bestFit="1" customWidth="1"/>
    <col min="6503" max="6503" width="13" style="326" customWidth="1"/>
    <col min="6504" max="6650" width="9" style="326"/>
    <col min="6651" max="6652" width="12.125" style="326" customWidth="1"/>
    <col min="6653" max="6655" width="13" style="326" customWidth="1"/>
    <col min="6656" max="6656" width="12.875" style="326" customWidth="1"/>
    <col min="6657" max="6657" width="13" style="326" customWidth="1"/>
    <col min="6658" max="6658" width="13.125" style="326" customWidth="1"/>
    <col min="6659" max="6660" width="12.125" style="326" customWidth="1"/>
    <col min="6661" max="6661" width="14.375" style="326" bestFit="1" customWidth="1"/>
    <col min="6662" max="6662" width="11" style="326" customWidth="1"/>
    <col min="6663" max="6663" width="10" style="326" customWidth="1"/>
    <col min="6664" max="6664" width="10.875" style="326" customWidth="1"/>
    <col min="6665" max="6665" width="13.75" style="326" customWidth="1"/>
    <col min="6666" max="6666" width="10" style="326" customWidth="1"/>
    <col min="6667" max="6667" width="13.25" style="326" customWidth="1"/>
    <col min="6668" max="6668" width="14.375" style="326" customWidth="1"/>
    <col min="6669" max="6669" width="10" style="326" customWidth="1"/>
    <col min="6670" max="6670" width="10.875" style="326" customWidth="1"/>
    <col min="6671" max="6671" width="11.375" style="326" customWidth="1"/>
    <col min="6672" max="6672" width="15.375" style="326" customWidth="1"/>
    <col min="6673" max="6674" width="10.75" style="326" customWidth="1"/>
    <col min="6675" max="6675" width="14.375" style="326" customWidth="1"/>
    <col min="6676" max="6676" width="10.75" style="326" customWidth="1"/>
    <col min="6677" max="6677" width="11.75" style="326" customWidth="1"/>
    <col min="6678" max="6678" width="10" style="326" customWidth="1"/>
    <col min="6679" max="6679" width="15.375" style="326" customWidth="1"/>
    <col min="6680" max="6680" width="10" style="326" customWidth="1"/>
    <col min="6681" max="6681" width="10.75" style="326" customWidth="1"/>
    <col min="6682" max="6682" width="14.875" style="326" customWidth="1"/>
    <col min="6683" max="6683" width="11.5" style="326" customWidth="1"/>
    <col min="6684" max="6684" width="10" style="326" customWidth="1"/>
    <col min="6685" max="6685" width="10.75" style="326" customWidth="1"/>
    <col min="6686" max="6686" width="13.5" style="326" customWidth="1"/>
    <col min="6687" max="6687" width="9" style="326"/>
    <col min="6688" max="6688" width="10.75" style="326" bestFit="1" customWidth="1"/>
    <col min="6689" max="6689" width="13.75" style="326" customWidth="1"/>
    <col min="6690" max="6690" width="9" style="326"/>
    <col min="6691" max="6691" width="10.625" style="326" customWidth="1"/>
    <col min="6692" max="6692" width="9" style="326"/>
    <col min="6693" max="6693" width="14.25" style="326" customWidth="1"/>
    <col min="6694" max="6694" width="10.75" style="326" bestFit="1" customWidth="1"/>
    <col min="6695" max="6695" width="11.625" style="326" customWidth="1"/>
    <col min="6696" max="6696" width="13.75" style="326" customWidth="1"/>
    <col min="6697" max="6697" width="10.625" style="326" customWidth="1"/>
    <col min="6698" max="6699" width="9" style="326"/>
    <col min="6700" max="6700" width="14.125" style="326" customWidth="1"/>
    <col min="6701" max="6701" width="11" style="326" customWidth="1"/>
    <col min="6702" max="6702" width="10.75" style="326" bestFit="1" customWidth="1"/>
    <col min="6703" max="6703" width="13.5" style="326" customWidth="1"/>
    <col min="6704" max="6705" width="9" style="326"/>
    <col min="6706" max="6706" width="10.75" style="326" bestFit="1" customWidth="1"/>
    <col min="6707" max="6707" width="14" style="326" customWidth="1"/>
    <col min="6708" max="6708" width="9" style="326"/>
    <col min="6709" max="6709" width="10.75" style="326" customWidth="1"/>
    <col min="6710" max="6710" width="12.75" style="326" customWidth="1"/>
    <col min="6711" max="6711" width="9" style="326"/>
    <col min="6712" max="6712" width="10.75" style="326" bestFit="1" customWidth="1"/>
    <col min="6713" max="6713" width="11.5" style="326" customWidth="1"/>
    <col min="6714" max="6714" width="13.625" style="326" customWidth="1"/>
    <col min="6715" max="6715" width="10.625" style="326" customWidth="1"/>
    <col min="6716" max="6716" width="10.75" style="326" bestFit="1" customWidth="1"/>
    <col min="6717" max="6717" width="12.375" style="326" customWidth="1"/>
    <col min="6718" max="6720" width="9" style="326"/>
    <col min="6721" max="6721" width="15.75" style="326" customWidth="1"/>
    <col min="6722" max="6722" width="9" style="326"/>
    <col min="6723" max="6723" width="10.75" style="326" bestFit="1" customWidth="1"/>
    <col min="6724" max="6724" width="12.625" style="326" customWidth="1"/>
    <col min="6725" max="6727" width="9" style="326"/>
    <col min="6728" max="6728" width="13.625" style="326" customWidth="1"/>
    <col min="6729" max="6729" width="9" style="326"/>
    <col min="6730" max="6730" width="10.75" style="326" bestFit="1" customWidth="1"/>
    <col min="6731" max="6731" width="12.5" style="326" customWidth="1"/>
    <col min="6732" max="6734" width="9" style="326"/>
    <col min="6735" max="6735" width="12.875" style="326" customWidth="1"/>
    <col min="6736" max="6736" width="9" style="326"/>
    <col min="6737" max="6737" width="10.75" style="326" bestFit="1" customWidth="1"/>
    <col min="6738" max="6738" width="13.875" style="326" customWidth="1"/>
    <col min="6739" max="6741" width="9" style="326"/>
    <col min="6742" max="6742" width="14.125" style="326" customWidth="1"/>
    <col min="6743" max="6743" width="9" style="326"/>
    <col min="6744" max="6744" width="10.75" style="326" bestFit="1" customWidth="1"/>
    <col min="6745" max="6745" width="13.25" style="326" customWidth="1"/>
    <col min="6746" max="6748" width="9" style="326"/>
    <col min="6749" max="6749" width="13.25" style="326" customWidth="1"/>
    <col min="6750" max="6750" width="9" style="326"/>
    <col min="6751" max="6751" width="10.75" style="326" bestFit="1" customWidth="1"/>
    <col min="6752" max="6752" width="13.875" style="326" customWidth="1"/>
    <col min="6753" max="6755" width="9" style="326"/>
    <col min="6756" max="6756" width="13.625" style="326" customWidth="1"/>
    <col min="6757" max="6757" width="9" style="326"/>
    <col min="6758" max="6758" width="10.75" style="326" bestFit="1" customWidth="1"/>
    <col min="6759" max="6759" width="13" style="326" customWidth="1"/>
    <col min="6760" max="6906" width="9" style="326"/>
    <col min="6907" max="6908" width="12.125" style="326" customWidth="1"/>
    <col min="6909" max="6911" width="13" style="326" customWidth="1"/>
    <col min="6912" max="6912" width="12.875" style="326" customWidth="1"/>
    <col min="6913" max="6913" width="13" style="326" customWidth="1"/>
    <col min="6914" max="6914" width="13.125" style="326" customWidth="1"/>
    <col min="6915" max="6916" width="12.125" style="326" customWidth="1"/>
    <col min="6917" max="6917" width="14.375" style="326" bestFit="1" customWidth="1"/>
    <col min="6918" max="6918" width="11" style="326" customWidth="1"/>
    <col min="6919" max="6919" width="10" style="326" customWidth="1"/>
    <col min="6920" max="6920" width="10.875" style="326" customWidth="1"/>
    <col min="6921" max="6921" width="13.75" style="326" customWidth="1"/>
    <col min="6922" max="6922" width="10" style="326" customWidth="1"/>
    <col min="6923" max="6923" width="13.25" style="326" customWidth="1"/>
    <col min="6924" max="6924" width="14.375" style="326" customWidth="1"/>
    <col min="6925" max="6925" width="10" style="326" customWidth="1"/>
    <col min="6926" max="6926" width="10.875" style="326" customWidth="1"/>
    <col min="6927" max="6927" width="11.375" style="326" customWidth="1"/>
    <col min="6928" max="6928" width="15.375" style="326" customWidth="1"/>
    <col min="6929" max="6930" width="10.75" style="326" customWidth="1"/>
    <col min="6931" max="6931" width="14.375" style="326" customWidth="1"/>
    <col min="6932" max="6932" width="10.75" style="326" customWidth="1"/>
    <col min="6933" max="6933" width="11.75" style="326" customWidth="1"/>
    <col min="6934" max="6934" width="10" style="326" customWidth="1"/>
    <col min="6935" max="6935" width="15.375" style="326" customWidth="1"/>
    <col min="6936" max="6936" width="10" style="326" customWidth="1"/>
    <col min="6937" max="6937" width="10.75" style="326" customWidth="1"/>
    <col min="6938" max="6938" width="14.875" style="326" customWidth="1"/>
    <col min="6939" max="6939" width="11.5" style="326" customWidth="1"/>
    <col min="6940" max="6940" width="10" style="326" customWidth="1"/>
    <col min="6941" max="6941" width="10.75" style="326" customWidth="1"/>
    <col min="6942" max="6942" width="13.5" style="326" customWidth="1"/>
    <col min="6943" max="6943" width="9" style="326"/>
    <col min="6944" max="6944" width="10.75" style="326" bestFit="1" customWidth="1"/>
    <col min="6945" max="6945" width="13.75" style="326" customWidth="1"/>
    <col min="6946" max="6946" width="9" style="326"/>
    <col min="6947" max="6947" width="10.625" style="326" customWidth="1"/>
    <col min="6948" max="6948" width="9" style="326"/>
    <col min="6949" max="6949" width="14.25" style="326" customWidth="1"/>
    <col min="6950" max="6950" width="10.75" style="326" bestFit="1" customWidth="1"/>
    <col min="6951" max="6951" width="11.625" style="326" customWidth="1"/>
    <col min="6952" max="6952" width="13.75" style="326" customWidth="1"/>
    <col min="6953" max="6953" width="10.625" style="326" customWidth="1"/>
    <col min="6954" max="6955" width="9" style="326"/>
    <col min="6956" max="6956" width="14.125" style="326" customWidth="1"/>
    <col min="6957" max="6957" width="11" style="326" customWidth="1"/>
    <col min="6958" max="6958" width="10.75" style="326" bestFit="1" customWidth="1"/>
    <col min="6959" max="6959" width="13.5" style="326" customWidth="1"/>
    <col min="6960" max="6961" width="9" style="326"/>
    <col min="6962" max="6962" width="10.75" style="326" bestFit="1" customWidth="1"/>
    <col min="6963" max="6963" width="14" style="326" customWidth="1"/>
    <col min="6964" max="6964" width="9" style="326"/>
    <col min="6965" max="6965" width="10.75" style="326" customWidth="1"/>
    <col min="6966" max="6966" width="12.75" style="326" customWidth="1"/>
    <col min="6967" max="6967" width="9" style="326"/>
    <col min="6968" max="6968" width="10.75" style="326" bestFit="1" customWidth="1"/>
    <col min="6969" max="6969" width="11.5" style="326" customWidth="1"/>
    <col min="6970" max="6970" width="13.625" style="326" customWidth="1"/>
    <col min="6971" max="6971" width="10.625" style="326" customWidth="1"/>
    <col min="6972" max="6972" width="10.75" style="326" bestFit="1" customWidth="1"/>
    <col min="6973" max="6973" width="12.375" style="326" customWidth="1"/>
    <col min="6974" max="6976" width="9" style="326"/>
    <col min="6977" max="6977" width="15.75" style="326" customWidth="1"/>
    <col min="6978" max="6978" width="9" style="326"/>
    <col min="6979" max="6979" width="10.75" style="326" bestFit="1" customWidth="1"/>
    <col min="6980" max="6980" width="12.625" style="326" customWidth="1"/>
    <col min="6981" max="6983" width="9" style="326"/>
    <col min="6984" max="6984" width="13.625" style="326" customWidth="1"/>
    <col min="6985" max="6985" width="9" style="326"/>
    <col min="6986" max="6986" width="10.75" style="326" bestFit="1" customWidth="1"/>
    <col min="6987" max="6987" width="12.5" style="326" customWidth="1"/>
    <col min="6988" max="6990" width="9" style="326"/>
    <col min="6991" max="6991" width="12.875" style="326" customWidth="1"/>
    <col min="6992" max="6992" width="9" style="326"/>
    <col min="6993" max="6993" width="10.75" style="326" bestFit="1" customWidth="1"/>
    <col min="6994" max="6994" width="13.875" style="326" customWidth="1"/>
    <col min="6995" max="6997" width="9" style="326"/>
    <col min="6998" max="6998" width="14.125" style="326" customWidth="1"/>
    <col min="6999" max="6999" width="9" style="326"/>
    <col min="7000" max="7000" width="10.75" style="326" bestFit="1" customWidth="1"/>
    <col min="7001" max="7001" width="13.25" style="326" customWidth="1"/>
    <col min="7002" max="7004" width="9" style="326"/>
    <col min="7005" max="7005" width="13.25" style="326" customWidth="1"/>
    <col min="7006" max="7006" width="9" style="326"/>
    <col min="7007" max="7007" width="10.75" style="326" bestFit="1" customWidth="1"/>
    <col min="7008" max="7008" width="13.875" style="326" customWidth="1"/>
    <col min="7009" max="7011" width="9" style="326"/>
    <col min="7012" max="7012" width="13.625" style="326" customWidth="1"/>
    <col min="7013" max="7013" width="9" style="326"/>
    <col min="7014" max="7014" width="10.75" style="326" bestFit="1" customWidth="1"/>
    <col min="7015" max="7015" width="13" style="326" customWidth="1"/>
    <col min="7016" max="7162" width="9" style="326"/>
    <col min="7163" max="7164" width="12.125" style="326" customWidth="1"/>
    <col min="7165" max="7167" width="13" style="326" customWidth="1"/>
    <col min="7168" max="7168" width="12.875" style="326" customWidth="1"/>
    <col min="7169" max="7169" width="13" style="326" customWidth="1"/>
    <col min="7170" max="7170" width="13.125" style="326" customWidth="1"/>
    <col min="7171" max="7172" width="12.125" style="326" customWidth="1"/>
    <col min="7173" max="7173" width="14.375" style="326" bestFit="1" customWidth="1"/>
    <col min="7174" max="7174" width="11" style="326" customWidth="1"/>
    <col min="7175" max="7175" width="10" style="326" customWidth="1"/>
    <col min="7176" max="7176" width="10.875" style="326" customWidth="1"/>
    <col min="7177" max="7177" width="13.75" style="326" customWidth="1"/>
    <col min="7178" max="7178" width="10" style="326" customWidth="1"/>
    <col min="7179" max="7179" width="13.25" style="326" customWidth="1"/>
    <col min="7180" max="7180" width="14.375" style="326" customWidth="1"/>
    <col min="7181" max="7181" width="10" style="326" customWidth="1"/>
    <col min="7182" max="7182" width="10.875" style="326" customWidth="1"/>
    <col min="7183" max="7183" width="11.375" style="326" customWidth="1"/>
    <col min="7184" max="7184" width="15.375" style="326" customWidth="1"/>
    <col min="7185" max="7186" width="10.75" style="326" customWidth="1"/>
    <col min="7187" max="7187" width="14.375" style="326" customWidth="1"/>
    <col min="7188" max="7188" width="10.75" style="326" customWidth="1"/>
    <col min="7189" max="7189" width="11.75" style="326" customWidth="1"/>
    <col min="7190" max="7190" width="10" style="326" customWidth="1"/>
    <col min="7191" max="7191" width="15.375" style="326" customWidth="1"/>
    <col min="7192" max="7192" width="10" style="326" customWidth="1"/>
    <col min="7193" max="7193" width="10.75" style="326" customWidth="1"/>
    <col min="7194" max="7194" width="14.875" style="326" customWidth="1"/>
    <col min="7195" max="7195" width="11.5" style="326" customWidth="1"/>
    <col min="7196" max="7196" width="10" style="326" customWidth="1"/>
    <col min="7197" max="7197" width="10.75" style="326" customWidth="1"/>
    <col min="7198" max="7198" width="13.5" style="326" customWidth="1"/>
    <col min="7199" max="7199" width="9" style="326"/>
    <col min="7200" max="7200" width="10.75" style="326" bestFit="1" customWidth="1"/>
    <col min="7201" max="7201" width="13.75" style="326" customWidth="1"/>
    <col min="7202" max="7202" width="9" style="326"/>
    <col min="7203" max="7203" width="10.625" style="326" customWidth="1"/>
    <col min="7204" max="7204" width="9" style="326"/>
    <col min="7205" max="7205" width="14.25" style="326" customWidth="1"/>
    <col min="7206" max="7206" width="10.75" style="326" bestFit="1" customWidth="1"/>
    <col min="7207" max="7207" width="11.625" style="326" customWidth="1"/>
    <col min="7208" max="7208" width="13.75" style="326" customWidth="1"/>
    <col min="7209" max="7209" width="10.625" style="326" customWidth="1"/>
    <col min="7210" max="7211" width="9" style="326"/>
    <col min="7212" max="7212" width="14.125" style="326" customWidth="1"/>
    <col min="7213" max="7213" width="11" style="326" customWidth="1"/>
    <col min="7214" max="7214" width="10.75" style="326" bestFit="1" customWidth="1"/>
    <col min="7215" max="7215" width="13.5" style="326" customWidth="1"/>
    <col min="7216" max="7217" width="9" style="326"/>
    <col min="7218" max="7218" width="10.75" style="326" bestFit="1" customWidth="1"/>
    <col min="7219" max="7219" width="14" style="326" customWidth="1"/>
    <col min="7220" max="7220" width="9" style="326"/>
    <col min="7221" max="7221" width="10.75" style="326" customWidth="1"/>
    <col min="7222" max="7222" width="12.75" style="326" customWidth="1"/>
    <col min="7223" max="7223" width="9" style="326"/>
    <col min="7224" max="7224" width="10.75" style="326" bestFit="1" customWidth="1"/>
    <col min="7225" max="7225" width="11.5" style="326" customWidth="1"/>
    <col min="7226" max="7226" width="13.625" style="326" customWidth="1"/>
    <col min="7227" max="7227" width="10.625" style="326" customWidth="1"/>
    <col min="7228" max="7228" width="10.75" style="326" bestFit="1" customWidth="1"/>
    <col min="7229" max="7229" width="12.375" style="326" customWidth="1"/>
    <col min="7230" max="7232" width="9" style="326"/>
    <col min="7233" max="7233" width="15.75" style="326" customWidth="1"/>
    <col min="7234" max="7234" width="9" style="326"/>
    <col min="7235" max="7235" width="10.75" style="326" bestFit="1" customWidth="1"/>
    <col min="7236" max="7236" width="12.625" style="326" customWidth="1"/>
    <col min="7237" max="7239" width="9" style="326"/>
    <col min="7240" max="7240" width="13.625" style="326" customWidth="1"/>
    <col min="7241" max="7241" width="9" style="326"/>
    <col min="7242" max="7242" width="10.75" style="326" bestFit="1" customWidth="1"/>
    <col min="7243" max="7243" width="12.5" style="326" customWidth="1"/>
    <col min="7244" max="7246" width="9" style="326"/>
    <col min="7247" max="7247" width="12.875" style="326" customWidth="1"/>
    <col min="7248" max="7248" width="9" style="326"/>
    <col min="7249" max="7249" width="10.75" style="326" bestFit="1" customWidth="1"/>
    <col min="7250" max="7250" width="13.875" style="326" customWidth="1"/>
    <col min="7251" max="7253" width="9" style="326"/>
    <col min="7254" max="7254" width="14.125" style="326" customWidth="1"/>
    <col min="7255" max="7255" width="9" style="326"/>
    <col min="7256" max="7256" width="10.75" style="326" bestFit="1" customWidth="1"/>
    <col min="7257" max="7257" width="13.25" style="326" customWidth="1"/>
    <col min="7258" max="7260" width="9" style="326"/>
    <col min="7261" max="7261" width="13.25" style="326" customWidth="1"/>
    <col min="7262" max="7262" width="9" style="326"/>
    <col min="7263" max="7263" width="10.75" style="326" bestFit="1" customWidth="1"/>
    <col min="7264" max="7264" width="13.875" style="326" customWidth="1"/>
    <col min="7265" max="7267" width="9" style="326"/>
    <col min="7268" max="7268" width="13.625" style="326" customWidth="1"/>
    <col min="7269" max="7269" width="9" style="326"/>
    <col min="7270" max="7270" width="10.75" style="326" bestFit="1" customWidth="1"/>
    <col min="7271" max="7271" width="13" style="326" customWidth="1"/>
    <col min="7272" max="7418" width="9" style="326"/>
    <col min="7419" max="7420" width="12.125" style="326" customWidth="1"/>
    <col min="7421" max="7423" width="13" style="326" customWidth="1"/>
    <col min="7424" max="7424" width="12.875" style="326" customWidth="1"/>
    <col min="7425" max="7425" width="13" style="326" customWidth="1"/>
    <col min="7426" max="7426" width="13.125" style="326" customWidth="1"/>
    <col min="7427" max="7428" width="12.125" style="326" customWidth="1"/>
    <col min="7429" max="7429" width="14.375" style="326" bestFit="1" customWidth="1"/>
    <col min="7430" max="7430" width="11" style="326" customWidth="1"/>
    <col min="7431" max="7431" width="10" style="326" customWidth="1"/>
    <col min="7432" max="7432" width="10.875" style="326" customWidth="1"/>
    <col min="7433" max="7433" width="13.75" style="326" customWidth="1"/>
    <col min="7434" max="7434" width="10" style="326" customWidth="1"/>
    <col min="7435" max="7435" width="13.25" style="326" customWidth="1"/>
    <col min="7436" max="7436" width="14.375" style="326" customWidth="1"/>
    <col min="7437" max="7437" width="10" style="326" customWidth="1"/>
    <col min="7438" max="7438" width="10.875" style="326" customWidth="1"/>
    <col min="7439" max="7439" width="11.375" style="326" customWidth="1"/>
    <col min="7440" max="7440" width="15.375" style="326" customWidth="1"/>
    <col min="7441" max="7442" width="10.75" style="326" customWidth="1"/>
    <col min="7443" max="7443" width="14.375" style="326" customWidth="1"/>
    <col min="7444" max="7444" width="10.75" style="326" customWidth="1"/>
    <col min="7445" max="7445" width="11.75" style="326" customWidth="1"/>
    <col min="7446" max="7446" width="10" style="326" customWidth="1"/>
    <col min="7447" max="7447" width="15.375" style="326" customWidth="1"/>
    <col min="7448" max="7448" width="10" style="326" customWidth="1"/>
    <col min="7449" max="7449" width="10.75" style="326" customWidth="1"/>
    <col min="7450" max="7450" width="14.875" style="326" customWidth="1"/>
    <col min="7451" max="7451" width="11.5" style="326" customWidth="1"/>
    <col min="7452" max="7452" width="10" style="326" customWidth="1"/>
    <col min="7453" max="7453" width="10.75" style="326" customWidth="1"/>
    <col min="7454" max="7454" width="13.5" style="326" customWidth="1"/>
    <col min="7455" max="7455" width="9" style="326"/>
    <col min="7456" max="7456" width="10.75" style="326" bestFit="1" customWidth="1"/>
    <col min="7457" max="7457" width="13.75" style="326" customWidth="1"/>
    <col min="7458" max="7458" width="9" style="326"/>
    <col min="7459" max="7459" width="10.625" style="326" customWidth="1"/>
    <col min="7460" max="7460" width="9" style="326"/>
    <col min="7461" max="7461" width="14.25" style="326" customWidth="1"/>
    <col min="7462" max="7462" width="10.75" style="326" bestFit="1" customWidth="1"/>
    <col min="7463" max="7463" width="11.625" style="326" customWidth="1"/>
    <col min="7464" max="7464" width="13.75" style="326" customWidth="1"/>
    <col min="7465" max="7465" width="10.625" style="326" customWidth="1"/>
    <col min="7466" max="7467" width="9" style="326"/>
    <col min="7468" max="7468" width="14.125" style="326" customWidth="1"/>
    <col min="7469" max="7469" width="11" style="326" customWidth="1"/>
    <col min="7470" max="7470" width="10.75" style="326" bestFit="1" customWidth="1"/>
    <col min="7471" max="7471" width="13.5" style="326" customWidth="1"/>
    <col min="7472" max="7473" width="9" style="326"/>
    <col min="7474" max="7474" width="10.75" style="326" bestFit="1" customWidth="1"/>
    <col min="7475" max="7475" width="14" style="326" customWidth="1"/>
    <col min="7476" max="7476" width="9" style="326"/>
    <col min="7477" max="7477" width="10.75" style="326" customWidth="1"/>
    <col min="7478" max="7478" width="12.75" style="326" customWidth="1"/>
    <col min="7479" max="7479" width="9" style="326"/>
    <col min="7480" max="7480" width="10.75" style="326" bestFit="1" customWidth="1"/>
    <col min="7481" max="7481" width="11.5" style="326" customWidth="1"/>
    <col min="7482" max="7482" width="13.625" style="326" customWidth="1"/>
    <col min="7483" max="7483" width="10.625" style="326" customWidth="1"/>
    <col min="7484" max="7484" width="10.75" style="326" bestFit="1" customWidth="1"/>
    <col min="7485" max="7485" width="12.375" style="326" customWidth="1"/>
    <col min="7486" max="7488" width="9" style="326"/>
    <col min="7489" max="7489" width="15.75" style="326" customWidth="1"/>
    <col min="7490" max="7490" width="9" style="326"/>
    <col min="7491" max="7491" width="10.75" style="326" bestFit="1" customWidth="1"/>
    <col min="7492" max="7492" width="12.625" style="326" customWidth="1"/>
    <col min="7493" max="7495" width="9" style="326"/>
    <col min="7496" max="7496" width="13.625" style="326" customWidth="1"/>
    <col min="7497" max="7497" width="9" style="326"/>
    <col min="7498" max="7498" width="10.75" style="326" bestFit="1" customWidth="1"/>
    <col min="7499" max="7499" width="12.5" style="326" customWidth="1"/>
    <col min="7500" max="7502" width="9" style="326"/>
    <col min="7503" max="7503" width="12.875" style="326" customWidth="1"/>
    <col min="7504" max="7504" width="9" style="326"/>
    <col min="7505" max="7505" width="10.75" style="326" bestFit="1" customWidth="1"/>
    <col min="7506" max="7506" width="13.875" style="326" customWidth="1"/>
    <col min="7507" max="7509" width="9" style="326"/>
    <col min="7510" max="7510" width="14.125" style="326" customWidth="1"/>
    <col min="7511" max="7511" width="9" style="326"/>
    <col min="7512" max="7512" width="10.75" style="326" bestFit="1" customWidth="1"/>
    <col min="7513" max="7513" width="13.25" style="326" customWidth="1"/>
    <col min="7514" max="7516" width="9" style="326"/>
    <col min="7517" max="7517" width="13.25" style="326" customWidth="1"/>
    <col min="7518" max="7518" width="9" style="326"/>
    <col min="7519" max="7519" width="10.75" style="326" bestFit="1" customWidth="1"/>
    <col min="7520" max="7520" width="13.875" style="326" customWidth="1"/>
    <col min="7521" max="7523" width="9" style="326"/>
    <col min="7524" max="7524" width="13.625" style="326" customWidth="1"/>
    <col min="7525" max="7525" width="9" style="326"/>
    <col min="7526" max="7526" width="10.75" style="326" bestFit="1" customWidth="1"/>
    <col min="7527" max="7527" width="13" style="326" customWidth="1"/>
    <col min="7528" max="7674" width="9" style="326"/>
    <col min="7675" max="7676" width="12.125" style="326" customWidth="1"/>
    <col min="7677" max="7679" width="13" style="326" customWidth="1"/>
    <col min="7680" max="7680" width="12.875" style="326" customWidth="1"/>
    <col min="7681" max="7681" width="13" style="326" customWidth="1"/>
    <col min="7682" max="7682" width="13.125" style="326" customWidth="1"/>
    <col min="7683" max="7684" width="12.125" style="326" customWidth="1"/>
    <col min="7685" max="7685" width="14.375" style="326" bestFit="1" customWidth="1"/>
    <col min="7686" max="7686" width="11" style="326" customWidth="1"/>
    <col min="7687" max="7687" width="10" style="326" customWidth="1"/>
    <col min="7688" max="7688" width="10.875" style="326" customWidth="1"/>
    <col min="7689" max="7689" width="13.75" style="326" customWidth="1"/>
    <col min="7690" max="7690" width="10" style="326" customWidth="1"/>
    <col min="7691" max="7691" width="13.25" style="326" customWidth="1"/>
    <col min="7692" max="7692" width="14.375" style="326" customWidth="1"/>
    <col min="7693" max="7693" width="10" style="326" customWidth="1"/>
    <col min="7694" max="7694" width="10.875" style="326" customWidth="1"/>
    <col min="7695" max="7695" width="11.375" style="326" customWidth="1"/>
    <col min="7696" max="7696" width="15.375" style="326" customWidth="1"/>
    <col min="7697" max="7698" width="10.75" style="326" customWidth="1"/>
    <col min="7699" max="7699" width="14.375" style="326" customWidth="1"/>
    <col min="7700" max="7700" width="10.75" style="326" customWidth="1"/>
    <col min="7701" max="7701" width="11.75" style="326" customWidth="1"/>
    <col min="7702" max="7702" width="10" style="326" customWidth="1"/>
    <col min="7703" max="7703" width="15.375" style="326" customWidth="1"/>
    <col min="7704" max="7704" width="10" style="326" customWidth="1"/>
    <col min="7705" max="7705" width="10.75" style="326" customWidth="1"/>
    <col min="7706" max="7706" width="14.875" style="326" customWidth="1"/>
    <col min="7707" max="7707" width="11.5" style="326" customWidth="1"/>
    <col min="7708" max="7708" width="10" style="326" customWidth="1"/>
    <col min="7709" max="7709" width="10.75" style="326" customWidth="1"/>
    <col min="7710" max="7710" width="13.5" style="326" customWidth="1"/>
    <col min="7711" max="7711" width="9" style="326"/>
    <col min="7712" max="7712" width="10.75" style="326" bestFit="1" customWidth="1"/>
    <col min="7713" max="7713" width="13.75" style="326" customWidth="1"/>
    <col min="7714" max="7714" width="9" style="326"/>
    <col min="7715" max="7715" width="10.625" style="326" customWidth="1"/>
    <col min="7716" max="7716" width="9" style="326"/>
    <col min="7717" max="7717" width="14.25" style="326" customWidth="1"/>
    <col min="7718" max="7718" width="10.75" style="326" bestFit="1" customWidth="1"/>
    <col min="7719" max="7719" width="11.625" style="326" customWidth="1"/>
    <col min="7720" max="7720" width="13.75" style="326" customWidth="1"/>
    <col min="7721" max="7721" width="10.625" style="326" customWidth="1"/>
    <col min="7722" max="7723" width="9" style="326"/>
    <col min="7724" max="7724" width="14.125" style="326" customWidth="1"/>
    <col min="7725" max="7725" width="11" style="326" customWidth="1"/>
    <col min="7726" max="7726" width="10.75" style="326" bestFit="1" customWidth="1"/>
    <col min="7727" max="7727" width="13.5" style="326" customWidth="1"/>
    <col min="7728" max="7729" width="9" style="326"/>
    <col min="7730" max="7730" width="10.75" style="326" bestFit="1" customWidth="1"/>
    <col min="7731" max="7731" width="14" style="326" customWidth="1"/>
    <col min="7732" max="7732" width="9" style="326"/>
    <col min="7733" max="7733" width="10.75" style="326" customWidth="1"/>
    <col min="7734" max="7734" width="12.75" style="326" customWidth="1"/>
    <col min="7735" max="7735" width="9" style="326"/>
    <col min="7736" max="7736" width="10.75" style="326" bestFit="1" customWidth="1"/>
    <col min="7737" max="7737" width="11.5" style="326" customWidth="1"/>
    <col min="7738" max="7738" width="13.625" style="326" customWidth="1"/>
    <col min="7739" max="7739" width="10.625" style="326" customWidth="1"/>
    <col min="7740" max="7740" width="10.75" style="326" bestFit="1" customWidth="1"/>
    <col min="7741" max="7741" width="12.375" style="326" customWidth="1"/>
    <col min="7742" max="7744" width="9" style="326"/>
    <col min="7745" max="7745" width="15.75" style="326" customWidth="1"/>
    <col min="7746" max="7746" width="9" style="326"/>
    <col min="7747" max="7747" width="10.75" style="326" bestFit="1" customWidth="1"/>
    <col min="7748" max="7748" width="12.625" style="326" customWidth="1"/>
    <col min="7749" max="7751" width="9" style="326"/>
    <col min="7752" max="7752" width="13.625" style="326" customWidth="1"/>
    <col min="7753" max="7753" width="9" style="326"/>
    <col min="7754" max="7754" width="10.75" style="326" bestFit="1" customWidth="1"/>
    <col min="7755" max="7755" width="12.5" style="326" customWidth="1"/>
    <col min="7756" max="7758" width="9" style="326"/>
    <col min="7759" max="7759" width="12.875" style="326" customWidth="1"/>
    <col min="7760" max="7760" width="9" style="326"/>
    <col min="7761" max="7761" width="10.75" style="326" bestFit="1" customWidth="1"/>
    <col min="7762" max="7762" width="13.875" style="326" customWidth="1"/>
    <col min="7763" max="7765" width="9" style="326"/>
    <col min="7766" max="7766" width="14.125" style="326" customWidth="1"/>
    <col min="7767" max="7767" width="9" style="326"/>
    <col min="7768" max="7768" width="10.75" style="326" bestFit="1" customWidth="1"/>
    <col min="7769" max="7769" width="13.25" style="326" customWidth="1"/>
    <col min="7770" max="7772" width="9" style="326"/>
    <col min="7773" max="7773" width="13.25" style="326" customWidth="1"/>
    <col min="7774" max="7774" width="9" style="326"/>
    <col min="7775" max="7775" width="10.75" style="326" bestFit="1" customWidth="1"/>
    <col min="7776" max="7776" width="13.875" style="326" customWidth="1"/>
    <col min="7777" max="7779" width="9" style="326"/>
    <col min="7780" max="7780" width="13.625" style="326" customWidth="1"/>
    <col min="7781" max="7781" width="9" style="326"/>
    <col min="7782" max="7782" width="10.75" style="326" bestFit="1" customWidth="1"/>
    <col min="7783" max="7783" width="13" style="326" customWidth="1"/>
    <col min="7784" max="7930" width="9" style="326"/>
    <col min="7931" max="7932" width="12.125" style="326" customWidth="1"/>
    <col min="7933" max="7935" width="13" style="326" customWidth="1"/>
    <col min="7936" max="7936" width="12.875" style="326" customWidth="1"/>
    <col min="7937" max="7937" width="13" style="326" customWidth="1"/>
    <col min="7938" max="7938" width="13.125" style="326" customWidth="1"/>
    <col min="7939" max="7940" width="12.125" style="326" customWidth="1"/>
    <col min="7941" max="7941" width="14.375" style="326" bestFit="1" customWidth="1"/>
    <col min="7942" max="7942" width="11" style="326" customWidth="1"/>
    <col min="7943" max="7943" width="10" style="326" customWidth="1"/>
    <col min="7944" max="7944" width="10.875" style="326" customWidth="1"/>
    <col min="7945" max="7945" width="13.75" style="326" customWidth="1"/>
    <col min="7946" max="7946" width="10" style="326" customWidth="1"/>
    <col min="7947" max="7947" width="13.25" style="326" customWidth="1"/>
    <col min="7948" max="7948" width="14.375" style="326" customWidth="1"/>
    <col min="7949" max="7949" width="10" style="326" customWidth="1"/>
    <col min="7950" max="7950" width="10.875" style="326" customWidth="1"/>
    <col min="7951" max="7951" width="11.375" style="326" customWidth="1"/>
    <col min="7952" max="7952" width="15.375" style="326" customWidth="1"/>
    <col min="7953" max="7954" width="10.75" style="326" customWidth="1"/>
    <col min="7955" max="7955" width="14.375" style="326" customWidth="1"/>
    <col min="7956" max="7956" width="10.75" style="326" customWidth="1"/>
    <col min="7957" max="7957" width="11.75" style="326" customWidth="1"/>
    <col min="7958" max="7958" width="10" style="326" customWidth="1"/>
    <col min="7959" max="7959" width="15.375" style="326" customWidth="1"/>
    <col min="7960" max="7960" width="10" style="326" customWidth="1"/>
    <col min="7961" max="7961" width="10.75" style="326" customWidth="1"/>
    <col min="7962" max="7962" width="14.875" style="326" customWidth="1"/>
    <col min="7963" max="7963" width="11.5" style="326" customWidth="1"/>
    <col min="7964" max="7964" width="10" style="326" customWidth="1"/>
    <col min="7965" max="7965" width="10.75" style="326" customWidth="1"/>
    <col min="7966" max="7966" width="13.5" style="326" customWidth="1"/>
    <col min="7967" max="7967" width="9" style="326"/>
    <col min="7968" max="7968" width="10.75" style="326" bestFit="1" customWidth="1"/>
    <col min="7969" max="7969" width="13.75" style="326" customWidth="1"/>
    <col min="7970" max="7970" width="9" style="326"/>
    <col min="7971" max="7971" width="10.625" style="326" customWidth="1"/>
    <col min="7972" max="7972" width="9" style="326"/>
    <col min="7973" max="7973" width="14.25" style="326" customWidth="1"/>
    <col min="7974" max="7974" width="10.75" style="326" bestFit="1" customWidth="1"/>
    <col min="7975" max="7975" width="11.625" style="326" customWidth="1"/>
    <col min="7976" max="7976" width="13.75" style="326" customWidth="1"/>
    <col min="7977" max="7977" width="10.625" style="326" customWidth="1"/>
    <col min="7978" max="7979" width="9" style="326"/>
    <col min="7980" max="7980" width="14.125" style="326" customWidth="1"/>
    <col min="7981" max="7981" width="11" style="326" customWidth="1"/>
    <col min="7982" max="7982" width="10.75" style="326" bestFit="1" customWidth="1"/>
    <col min="7983" max="7983" width="13.5" style="326" customWidth="1"/>
    <col min="7984" max="7985" width="9" style="326"/>
    <col min="7986" max="7986" width="10.75" style="326" bestFit="1" customWidth="1"/>
    <col min="7987" max="7987" width="14" style="326" customWidth="1"/>
    <col min="7988" max="7988" width="9" style="326"/>
    <col min="7989" max="7989" width="10.75" style="326" customWidth="1"/>
    <col min="7990" max="7990" width="12.75" style="326" customWidth="1"/>
    <col min="7991" max="7991" width="9" style="326"/>
    <col min="7992" max="7992" width="10.75" style="326" bestFit="1" customWidth="1"/>
    <col min="7993" max="7993" width="11.5" style="326" customWidth="1"/>
    <col min="7994" max="7994" width="13.625" style="326" customWidth="1"/>
    <col min="7995" max="7995" width="10.625" style="326" customWidth="1"/>
    <col min="7996" max="7996" width="10.75" style="326" bestFit="1" customWidth="1"/>
    <col min="7997" max="7997" width="12.375" style="326" customWidth="1"/>
    <col min="7998" max="8000" width="9" style="326"/>
    <col min="8001" max="8001" width="15.75" style="326" customWidth="1"/>
    <col min="8002" max="8002" width="9" style="326"/>
    <col min="8003" max="8003" width="10.75" style="326" bestFit="1" customWidth="1"/>
    <col min="8004" max="8004" width="12.625" style="326" customWidth="1"/>
    <col min="8005" max="8007" width="9" style="326"/>
    <col min="8008" max="8008" width="13.625" style="326" customWidth="1"/>
    <col min="8009" max="8009" width="9" style="326"/>
    <col min="8010" max="8010" width="10.75" style="326" bestFit="1" customWidth="1"/>
    <col min="8011" max="8011" width="12.5" style="326" customWidth="1"/>
    <col min="8012" max="8014" width="9" style="326"/>
    <col min="8015" max="8015" width="12.875" style="326" customWidth="1"/>
    <col min="8016" max="8016" width="9" style="326"/>
    <col min="8017" max="8017" width="10.75" style="326" bestFit="1" customWidth="1"/>
    <col min="8018" max="8018" width="13.875" style="326" customWidth="1"/>
    <col min="8019" max="8021" width="9" style="326"/>
    <col min="8022" max="8022" width="14.125" style="326" customWidth="1"/>
    <col min="8023" max="8023" width="9" style="326"/>
    <col min="8024" max="8024" width="10.75" style="326" bestFit="1" customWidth="1"/>
    <col min="8025" max="8025" width="13.25" style="326" customWidth="1"/>
    <col min="8026" max="8028" width="9" style="326"/>
    <col min="8029" max="8029" width="13.25" style="326" customWidth="1"/>
    <col min="8030" max="8030" width="9" style="326"/>
    <col min="8031" max="8031" width="10.75" style="326" bestFit="1" customWidth="1"/>
    <col min="8032" max="8032" width="13.875" style="326" customWidth="1"/>
    <col min="8033" max="8035" width="9" style="326"/>
    <col min="8036" max="8036" width="13.625" style="326" customWidth="1"/>
    <col min="8037" max="8037" width="9" style="326"/>
    <col min="8038" max="8038" width="10.75" style="326" bestFit="1" customWidth="1"/>
    <col min="8039" max="8039" width="13" style="326" customWidth="1"/>
    <col min="8040" max="8186" width="9" style="326"/>
    <col min="8187" max="8188" width="12.125" style="326" customWidth="1"/>
    <col min="8189" max="8191" width="13" style="326" customWidth="1"/>
    <col min="8192" max="8192" width="12.875" style="326" customWidth="1"/>
    <col min="8193" max="8193" width="13" style="326" customWidth="1"/>
    <col min="8194" max="8194" width="13.125" style="326" customWidth="1"/>
    <col min="8195" max="8196" width="12.125" style="326" customWidth="1"/>
    <col min="8197" max="8197" width="14.375" style="326" bestFit="1" customWidth="1"/>
    <col min="8198" max="8198" width="11" style="326" customWidth="1"/>
    <col min="8199" max="8199" width="10" style="326" customWidth="1"/>
    <col min="8200" max="8200" width="10.875" style="326" customWidth="1"/>
    <col min="8201" max="8201" width="13.75" style="326" customWidth="1"/>
    <col min="8202" max="8202" width="10" style="326" customWidth="1"/>
    <col min="8203" max="8203" width="13.25" style="326" customWidth="1"/>
    <col min="8204" max="8204" width="14.375" style="326" customWidth="1"/>
    <col min="8205" max="8205" width="10" style="326" customWidth="1"/>
    <col min="8206" max="8206" width="10.875" style="326" customWidth="1"/>
    <col min="8207" max="8207" width="11.375" style="326" customWidth="1"/>
    <col min="8208" max="8208" width="15.375" style="326" customWidth="1"/>
    <col min="8209" max="8210" width="10.75" style="326" customWidth="1"/>
    <col min="8211" max="8211" width="14.375" style="326" customWidth="1"/>
    <col min="8212" max="8212" width="10.75" style="326" customWidth="1"/>
    <col min="8213" max="8213" width="11.75" style="326" customWidth="1"/>
    <col min="8214" max="8214" width="10" style="326" customWidth="1"/>
    <col min="8215" max="8215" width="15.375" style="326" customWidth="1"/>
    <col min="8216" max="8216" width="10" style="326" customWidth="1"/>
    <col min="8217" max="8217" width="10.75" style="326" customWidth="1"/>
    <col min="8218" max="8218" width="14.875" style="326" customWidth="1"/>
    <col min="8219" max="8219" width="11.5" style="326" customWidth="1"/>
    <col min="8220" max="8220" width="10" style="326" customWidth="1"/>
    <col min="8221" max="8221" width="10.75" style="326" customWidth="1"/>
    <col min="8222" max="8222" width="13.5" style="326" customWidth="1"/>
    <col min="8223" max="8223" width="9" style="326"/>
    <col min="8224" max="8224" width="10.75" style="326" bestFit="1" customWidth="1"/>
    <col min="8225" max="8225" width="13.75" style="326" customWidth="1"/>
    <col min="8226" max="8226" width="9" style="326"/>
    <col min="8227" max="8227" width="10.625" style="326" customWidth="1"/>
    <col min="8228" max="8228" width="9" style="326"/>
    <col min="8229" max="8229" width="14.25" style="326" customWidth="1"/>
    <col min="8230" max="8230" width="10.75" style="326" bestFit="1" customWidth="1"/>
    <col min="8231" max="8231" width="11.625" style="326" customWidth="1"/>
    <col min="8232" max="8232" width="13.75" style="326" customWidth="1"/>
    <col min="8233" max="8233" width="10.625" style="326" customWidth="1"/>
    <col min="8234" max="8235" width="9" style="326"/>
    <col min="8236" max="8236" width="14.125" style="326" customWidth="1"/>
    <col min="8237" max="8237" width="11" style="326" customWidth="1"/>
    <col min="8238" max="8238" width="10.75" style="326" bestFit="1" customWidth="1"/>
    <col min="8239" max="8239" width="13.5" style="326" customWidth="1"/>
    <col min="8240" max="8241" width="9" style="326"/>
    <col min="8242" max="8242" width="10.75" style="326" bestFit="1" customWidth="1"/>
    <col min="8243" max="8243" width="14" style="326" customWidth="1"/>
    <col min="8244" max="8244" width="9" style="326"/>
    <col min="8245" max="8245" width="10.75" style="326" customWidth="1"/>
    <col min="8246" max="8246" width="12.75" style="326" customWidth="1"/>
    <col min="8247" max="8247" width="9" style="326"/>
    <col min="8248" max="8248" width="10.75" style="326" bestFit="1" customWidth="1"/>
    <col min="8249" max="8249" width="11.5" style="326" customWidth="1"/>
    <col min="8250" max="8250" width="13.625" style="326" customWidth="1"/>
    <col min="8251" max="8251" width="10.625" style="326" customWidth="1"/>
    <col min="8252" max="8252" width="10.75" style="326" bestFit="1" customWidth="1"/>
    <col min="8253" max="8253" width="12.375" style="326" customWidth="1"/>
    <col min="8254" max="8256" width="9" style="326"/>
    <col min="8257" max="8257" width="15.75" style="326" customWidth="1"/>
    <col min="8258" max="8258" width="9" style="326"/>
    <col min="8259" max="8259" width="10.75" style="326" bestFit="1" customWidth="1"/>
    <col min="8260" max="8260" width="12.625" style="326" customWidth="1"/>
    <col min="8261" max="8263" width="9" style="326"/>
    <col min="8264" max="8264" width="13.625" style="326" customWidth="1"/>
    <col min="8265" max="8265" width="9" style="326"/>
    <col min="8266" max="8266" width="10.75" style="326" bestFit="1" customWidth="1"/>
    <col min="8267" max="8267" width="12.5" style="326" customWidth="1"/>
    <col min="8268" max="8270" width="9" style="326"/>
    <col min="8271" max="8271" width="12.875" style="326" customWidth="1"/>
    <col min="8272" max="8272" width="9" style="326"/>
    <col min="8273" max="8273" width="10.75" style="326" bestFit="1" customWidth="1"/>
    <col min="8274" max="8274" width="13.875" style="326" customWidth="1"/>
    <col min="8275" max="8277" width="9" style="326"/>
    <col min="8278" max="8278" width="14.125" style="326" customWidth="1"/>
    <col min="8279" max="8279" width="9" style="326"/>
    <col min="8280" max="8280" width="10.75" style="326" bestFit="1" customWidth="1"/>
    <col min="8281" max="8281" width="13.25" style="326" customWidth="1"/>
    <col min="8282" max="8284" width="9" style="326"/>
    <col min="8285" max="8285" width="13.25" style="326" customWidth="1"/>
    <col min="8286" max="8286" width="9" style="326"/>
    <col min="8287" max="8287" width="10.75" style="326" bestFit="1" customWidth="1"/>
    <col min="8288" max="8288" width="13.875" style="326" customWidth="1"/>
    <col min="8289" max="8291" width="9" style="326"/>
    <col min="8292" max="8292" width="13.625" style="326" customWidth="1"/>
    <col min="8293" max="8293" width="9" style="326"/>
    <col min="8294" max="8294" width="10.75" style="326" bestFit="1" customWidth="1"/>
    <col min="8295" max="8295" width="13" style="326" customWidth="1"/>
    <col min="8296" max="8442" width="9" style="326"/>
    <col min="8443" max="8444" width="12.125" style="326" customWidth="1"/>
    <col min="8445" max="8447" width="13" style="326" customWidth="1"/>
    <col min="8448" max="8448" width="12.875" style="326" customWidth="1"/>
    <col min="8449" max="8449" width="13" style="326" customWidth="1"/>
    <col min="8450" max="8450" width="13.125" style="326" customWidth="1"/>
    <col min="8451" max="8452" width="12.125" style="326" customWidth="1"/>
    <col min="8453" max="8453" width="14.375" style="326" bestFit="1" customWidth="1"/>
    <col min="8454" max="8454" width="11" style="326" customWidth="1"/>
    <col min="8455" max="8455" width="10" style="326" customWidth="1"/>
    <col min="8456" max="8456" width="10.875" style="326" customWidth="1"/>
    <col min="8457" max="8457" width="13.75" style="326" customWidth="1"/>
    <col min="8458" max="8458" width="10" style="326" customWidth="1"/>
    <col min="8459" max="8459" width="13.25" style="326" customWidth="1"/>
    <col min="8460" max="8460" width="14.375" style="326" customWidth="1"/>
    <col min="8461" max="8461" width="10" style="326" customWidth="1"/>
    <col min="8462" max="8462" width="10.875" style="326" customWidth="1"/>
    <col min="8463" max="8463" width="11.375" style="326" customWidth="1"/>
    <col min="8464" max="8464" width="15.375" style="326" customWidth="1"/>
    <col min="8465" max="8466" width="10.75" style="326" customWidth="1"/>
    <col min="8467" max="8467" width="14.375" style="326" customWidth="1"/>
    <col min="8468" max="8468" width="10.75" style="326" customWidth="1"/>
    <col min="8469" max="8469" width="11.75" style="326" customWidth="1"/>
    <col min="8470" max="8470" width="10" style="326" customWidth="1"/>
    <col min="8471" max="8471" width="15.375" style="326" customWidth="1"/>
    <col min="8472" max="8472" width="10" style="326" customWidth="1"/>
    <col min="8473" max="8473" width="10.75" style="326" customWidth="1"/>
    <col min="8474" max="8474" width="14.875" style="326" customWidth="1"/>
    <col min="8475" max="8475" width="11.5" style="326" customWidth="1"/>
    <col min="8476" max="8476" width="10" style="326" customWidth="1"/>
    <col min="8477" max="8477" width="10.75" style="326" customWidth="1"/>
    <col min="8478" max="8478" width="13.5" style="326" customWidth="1"/>
    <col min="8479" max="8479" width="9" style="326"/>
    <col min="8480" max="8480" width="10.75" style="326" bestFit="1" customWidth="1"/>
    <col min="8481" max="8481" width="13.75" style="326" customWidth="1"/>
    <col min="8482" max="8482" width="9" style="326"/>
    <col min="8483" max="8483" width="10.625" style="326" customWidth="1"/>
    <col min="8484" max="8484" width="9" style="326"/>
    <col min="8485" max="8485" width="14.25" style="326" customWidth="1"/>
    <col min="8486" max="8486" width="10.75" style="326" bestFit="1" customWidth="1"/>
    <col min="8487" max="8487" width="11.625" style="326" customWidth="1"/>
    <col min="8488" max="8488" width="13.75" style="326" customWidth="1"/>
    <col min="8489" max="8489" width="10.625" style="326" customWidth="1"/>
    <col min="8490" max="8491" width="9" style="326"/>
    <col min="8492" max="8492" width="14.125" style="326" customWidth="1"/>
    <col min="8493" max="8493" width="11" style="326" customWidth="1"/>
    <col min="8494" max="8494" width="10.75" style="326" bestFit="1" customWidth="1"/>
    <col min="8495" max="8495" width="13.5" style="326" customWidth="1"/>
    <col min="8496" max="8497" width="9" style="326"/>
    <col min="8498" max="8498" width="10.75" style="326" bestFit="1" customWidth="1"/>
    <col min="8499" max="8499" width="14" style="326" customWidth="1"/>
    <col min="8500" max="8500" width="9" style="326"/>
    <col min="8501" max="8501" width="10.75" style="326" customWidth="1"/>
    <col min="8502" max="8502" width="12.75" style="326" customWidth="1"/>
    <col min="8503" max="8503" width="9" style="326"/>
    <col min="8504" max="8504" width="10.75" style="326" bestFit="1" customWidth="1"/>
    <col min="8505" max="8505" width="11.5" style="326" customWidth="1"/>
    <col min="8506" max="8506" width="13.625" style="326" customWidth="1"/>
    <col min="8507" max="8507" width="10.625" style="326" customWidth="1"/>
    <col min="8508" max="8508" width="10.75" style="326" bestFit="1" customWidth="1"/>
    <col min="8509" max="8509" width="12.375" style="326" customWidth="1"/>
    <col min="8510" max="8512" width="9" style="326"/>
    <col min="8513" max="8513" width="15.75" style="326" customWidth="1"/>
    <col min="8514" max="8514" width="9" style="326"/>
    <col min="8515" max="8515" width="10.75" style="326" bestFit="1" customWidth="1"/>
    <col min="8516" max="8516" width="12.625" style="326" customWidth="1"/>
    <col min="8517" max="8519" width="9" style="326"/>
    <col min="8520" max="8520" width="13.625" style="326" customWidth="1"/>
    <col min="8521" max="8521" width="9" style="326"/>
    <col min="8522" max="8522" width="10.75" style="326" bestFit="1" customWidth="1"/>
    <col min="8523" max="8523" width="12.5" style="326" customWidth="1"/>
    <col min="8524" max="8526" width="9" style="326"/>
    <col min="8527" max="8527" width="12.875" style="326" customWidth="1"/>
    <col min="8528" max="8528" width="9" style="326"/>
    <col min="8529" max="8529" width="10.75" style="326" bestFit="1" customWidth="1"/>
    <col min="8530" max="8530" width="13.875" style="326" customWidth="1"/>
    <col min="8531" max="8533" width="9" style="326"/>
    <col min="8534" max="8534" width="14.125" style="326" customWidth="1"/>
    <col min="8535" max="8535" width="9" style="326"/>
    <col min="8536" max="8536" width="10.75" style="326" bestFit="1" customWidth="1"/>
    <col min="8537" max="8537" width="13.25" style="326" customWidth="1"/>
    <col min="8538" max="8540" width="9" style="326"/>
    <col min="8541" max="8541" width="13.25" style="326" customWidth="1"/>
    <col min="8542" max="8542" width="9" style="326"/>
    <col min="8543" max="8543" width="10.75" style="326" bestFit="1" customWidth="1"/>
    <col min="8544" max="8544" width="13.875" style="326" customWidth="1"/>
    <col min="8545" max="8547" width="9" style="326"/>
    <col min="8548" max="8548" width="13.625" style="326" customWidth="1"/>
    <col min="8549" max="8549" width="9" style="326"/>
    <col min="8550" max="8550" width="10.75" style="326" bestFit="1" customWidth="1"/>
    <col min="8551" max="8551" width="13" style="326" customWidth="1"/>
    <col min="8552" max="8698" width="9" style="326"/>
    <col min="8699" max="8700" width="12.125" style="326" customWidth="1"/>
    <col min="8701" max="8703" width="13" style="326" customWidth="1"/>
    <col min="8704" max="8704" width="12.875" style="326" customWidth="1"/>
    <col min="8705" max="8705" width="13" style="326" customWidth="1"/>
    <col min="8706" max="8706" width="13.125" style="326" customWidth="1"/>
    <col min="8707" max="8708" width="12.125" style="326" customWidth="1"/>
    <col min="8709" max="8709" width="14.375" style="326" bestFit="1" customWidth="1"/>
    <col min="8710" max="8710" width="11" style="326" customWidth="1"/>
    <col min="8711" max="8711" width="10" style="326" customWidth="1"/>
    <col min="8712" max="8712" width="10.875" style="326" customWidth="1"/>
    <col min="8713" max="8713" width="13.75" style="326" customWidth="1"/>
    <col min="8714" max="8714" width="10" style="326" customWidth="1"/>
    <col min="8715" max="8715" width="13.25" style="326" customWidth="1"/>
    <col min="8716" max="8716" width="14.375" style="326" customWidth="1"/>
    <col min="8717" max="8717" width="10" style="326" customWidth="1"/>
    <col min="8718" max="8718" width="10.875" style="326" customWidth="1"/>
    <col min="8719" max="8719" width="11.375" style="326" customWidth="1"/>
    <col min="8720" max="8720" width="15.375" style="326" customWidth="1"/>
    <col min="8721" max="8722" width="10.75" style="326" customWidth="1"/>
    <col min="8723" max="8723" width="14.375" style="326" customWidth="1"/>
    <col min="8724" max="8724" width="10.75" style="326" customWidth="1"/>
    <col min="8725" max="8725" width="11.75" style="326" customWidth="1"/>
    <col min="8726" max="8726" width="10" style="326" customWidth="1"/>
    <col min="8727" max="8727" width="15.375" style="326" customWidth="1"/>
    <col min="8728" max="8728" width="10" style="326" customWidth="1"/>
    <col min="8729" max="8729" width="10.75" style="326" customWidth="1"/>
    <col min="8730" max="8730" width="14.875" style="326" customWidth="1"/>
    <col min="8731" max="8731" width="11.5" style="326" customWidth="1"/>
    <col min="8732" max="8732" width="10" style="326" customWidth="1"/>
    <col min="8733" max="8733" width="10.75" style="326" customWidth="1"/>
    <col min="8734" max="8734" width="13.5" style="326" customWidth="1"/>
    <col min="8735" max="8735" width="9" style="326"/>
    <col min="8736" max="8736" width="10.75" style="326" bestFit="1" customWidth="1"/>
    <col min="8737" max="8737" width="13.75" style="326" customWidth="1"/>
    <col min="8738" max="8738" width="9" style="326"/>
    <col min="8739" max="8739" width="10.625" style="326" customWidth="1"/>
    <col min="8740" max="8740" width="9" style="326"/>
    <col min="8741" max="8741" width="14.25" style="326" customWidth="1"/>
    <col min="8742" max="8742" width="10.75" style="326" bestFit="1" customWidth="1"/>
    <col min="8743" max="8743" width="11.625" style="326" customWidth="1"/>
    <col min="8744" max="8744" width="13.75" style="326" customWidth="1"/>
    <col min="8745" max="8745" width="10.625" style="326" customWidth="1"/>
    <col min="8746" max="8747" width="9" style="326"/>
    <col min="8748" max="8748" width="14.125" style="326" customWidth="1"/>
    <col min="8749" max="8749" width="11" style="326" customWidth="1"/>
    <col min="8750" max="8750" width="10.75" style="326" bestFit="1" customWidth="1"/>
    <col min="8751" max="8751" width="13.5" style="326" customWidth="1"/>
    <col min="8752" max="8753" width="9" style="326"/>
    <col min="8754" max="8754" width="10.75" style="326" bestFit="1" customWidth="1"/>
    <col min="8755" max="8755" width="14" style="326" customWidth="1"/>
    <col min="8756" max="8756" width="9" style="326"/>
    <col min="8757" max="8757" width="10.75" style="326" customWidth="1"/>
    <col min="8758" max="8758" width="12.75" style="326" customWidth="1"/>
    <col min="8759" max="8759" width="9" style="326"/>
    <col min="8760" max="8760" width="10.75" style="326" bestFit="1" customWidth="1"/>
    <col min="8761" max="8761" width="11.5" style="326" customWidth="1"/>
    <col min="8762" max="8762" width="13.625" style="326" customWidth="1"/>
    <col min="8763" max="8763" width="10.625" style="326" customWidth="1"/>
    <col min="8764" max="8764" width="10.75" style="326" bestFit="1" customWidth="1"/>
    <col min="8765" max="8765" width="12.375" style="326" customWidth="1"/>
    <col min="8766" max="8768" width="9" style="326"/>
    <col min="8769" max="8769" width="15.75" style="326" customWidth="1"/>
    <col min="8770" max="8770" width="9" style="326"/>
    <col min="8771" max="8771" width="10.75" style="326" bestFit="1" customWidth="1"/>
    <col min="8772" max="8772" width="12.625" style="326" customWidth="1"/>
    <col min="8773" max="8775" width="9" style="326"/>
    <col min="8776" max="8776" width="13.625" style="326" customWidth="1"/>
    <col min="8777" max="8777" width="9" style="326"/>
    <col min="8778" max="8778" width="10.75" style="326" bestFit="1" customWidth="1"/>
    <col min="8779" max="8779" width="12.5" style="326" customWidth="1"/>
    <col min="8780" max="8782" width="9" style="326"/>
    <col min="8783" max="8783" width="12.875" style="326" customWidth="1"/>
    <col min="8784" max="8784" width="9" style="326"/>
    <col min="8785" max="8785" width="10.75" style="326" bestFit="1" customWidth="1"/>
    <col min="8786" max="8786" width="13.875" style="326" customWidth="1"/>
    <col min="8787" max="8789" width="9" style="326"/>
    <col min="8790" max="8790" width="14.125" style="326" customWidth="1"/>
    <col min="8791" max="8791" width="9" style="326"/>
    <col min="8792" max="8792" width="10.75" style="326" bestFit="1" customWidth="1"/>
    <col min="8793" max="8793" width="13.25" style="326" customWidth="1"/>
    <col min="8794" max="8796" width="9" style="326"/>
    <col min="8797" max="8797" width="13.25" style="326" customWidth="1"/>
    <col min="8798" max="8798" width="9" style="326"/>
    <col min="8799" max="8799" width="10.75" style="326" bestFit="1" customWidth="1"/>
    <col min="8800" max="8800" width="13.875" style="326" customWidth="1"/>
    <col min="8801" max="8803" width="9" style="326"/>
    <col min="8804" max="8804" width="13.625" style="326" customWidth="1"/>
    <col min="8805" max="8805" width="9" style="326"/>
    <col min="8806" max="8806" width="10.75" style="326" bestFit="1" customWidth="1"/>
    <col min="8807" max="8807" width="13" style="326" customWidth="1"/>
    <col min="8808" max="8954" width="9" style="326"/>
    <col min="8955" max="8956" width="12.125" style="326" customWidth="1"/>
    <col min="8957" max="8959" width="13" style="326" customWidth="1"/>
    <col min="8960" max="8960" width="12.875" style="326" customWidth="1"/>
    <col min="8961" max="8961" width="13" style="326" customWidth="1"/>
    <col min="8962" max="8962" width="13.125" style="326" customWidth="1"/>
    <col min="8963" max="8964" width="12.125" style="326" customWidth="1"/>
    <col min="8965" max="8965" width="14.375" style="326" bestFit="1" customWidth="1"/>
    <col min="8966" max="8966" width="11" style="326" customWidth="1"/>
    <col min="8967" max="8967" width="10" style="326" customWidth="1"/>
    <col min="8968" max="8968" width="10.875" style="326" customWidth="1"/>
    <col min="8969" max="8969" width="13.75" style="326" customWidth="1"/>
    <col min="8970" max="8970" width="10" style="326" customWidth="1"/>
    <col min="8971" max="8971" width="13.25" style="326" customWidth="1"/>
    <col min="8972" max="8972" width="14.375" style="326" customWidth="1"/>
    <col min="8973" max="8973" width="10" style="326" customWidth="1"/>
    <col min="8974" max="8974" width="10.875" style="326" customWidth="1"/>
    <col min="8975" max="8975" width="11.375" style="326" customWidth="1"/>
    <col min="8976" max="8976" width="15.375" style="326" customWidth="1"/>
    <col min="8977" max="8978" width="10.75" style="326" customWidth="1"/>
    <col min="8979" max="8979" width="14.375" style="326" customWidth="1"/>
    <col min="8980" max="8980" width="10.75" style="326" customWidth="1"/>
    <col min="8981" max="8981" width="11.75" style="326" customWidth="1"/>
    <col min="8982" max="8982" width="10" style="326" customWidth="1"/>
    <col min="8983" max="8983" width="15.375" style="326" customWidth="1"/>
    <col min="8984" max="8984" width="10" style="326" customWidth="1"/>
    <col min="8985" max="8985" width="10.75" style="326" customWidth="1"/>
    <col min="8986" max="8986" width="14.875" style="326" customWidth="1"/>
    <col min="8987" max="8987" width="11.5" style="326" customWidth="1"/>
    <col min="8988" max="8988" width="10" style="326" customWidth="1"/>
    <col min="8989" max="8989" width="10.75" style="326" customWidth="1"/>
    <col min="8990" max="8990" width="13.5" style="326" customWidth="1"/>
    <col min="8991" max="8991" width="9" style="326"/>
    <col min="8992" max="8992" width="10.75" style="326" bestFit="1" customWidth="1"/>
    <col min="8993" max="8993" width="13.75" style="326" customWidth="1"/>
    <col min="8994" max="8994" width="9" style="326"/>
    <col min="8995" max="8995" width="10.625" style="326" customWidth="1"/>
    <col min="8996" max="8996" width="9" style="326"/>
    <col min="8997" max="8997" width="14.25" style="326" customWidth="1"/>
    <col min="8998" max="8998" width="10.75" style="326" bestFit="1" customWidth="1"/>
    <col min="8999" max="8999" width="11.625" style="326" customWidth="1"/>
    <col min="9000" max="9000" width="13.75" style="326" customWidth="1"/>
    <col min="9001" max="9001" width="10.625" style="326" customWidth="1"/>
    <col min="9002" max="9003" width="9" style="326"/>
    <col min="9004" max="9004" width="14.125" style="326" customWidth="1"/>
    <col min="9005" max="9005" width="11" style="326" customWidth="1"/>
    <col min="9006" max="9006" width="10.75" style="326" bestFit="1" customWidth="1"/>
    <col min="9007" max="9007" width="13.5" style="326" customWidth="1"/>
    <col min="9008" max="9009" width="9" style="326"/>
    <col min="9010" max="9010" width="10.75" style="326" bestFit="1" customWidth="1"/>
    <col min="9011" max="9011" width="14" style="326" customWidth="1"/>
    <col min="9012" max="9012" width="9" style="326"/>
    <col min="9013" max="9013" width="10.75" style="326" customWidth="1"/>
    <col min="9014" max="9014" width="12.75" style="326" customWidth="1"/>
    <col min="9015" max="9015" width="9" style="326"/>
    <col min="9016" max="9016" width="10.75" style="326" bestFit="1" customWidth="1"/>
    <col min="9017" max="9017" width="11.5" style="326" customWidth="1"/>
    <col min="9018" max="9018" width="13.625" style="326" customWidth="1"/>
    <col min="9019" max="9019" width="10.625" style="326" customWidth="1"/>
    <col min="9020" max="9020" width="10.75" style="326" bestFit="1" customWidth="1"/>
    <col min="9021" max="9021" width="12.375" style="326" customWidth="1"/>
    <col min="9022" max="9024" width="9" style="326"/>
    <col min="9025" max="9025" width="15.75" style="326" customWidth="1"/>
    <col min="9026" max="9026" width="9" style="326"/>
    <col min="9027" max="9027" width="10.75" style="326" bestFit="1" customWidth="1"/>
    <col min="9028" max="9028" width="12.625" style="326" customWidth="1"/>
    <col min="9029" max="9031" width="9" style="326"/>
    <col min="9032" max="9032" width="13.625" style="326" customWidth="1"/>
    <col min="9033" max="9033" width="9" style="326"/>
    <col min="9034" max="9034" width="10.75" style="326" bestFit="1" customWidth="1"/>
    <col min="9035" max="9035" width="12.5" style="326" customWidth="1"/>
    <col min="9036" max="9038" width="9" style="326"/>
    <col min="9039" max="9039" width="12.875" style="326" customWidth="1"/>
    <col min="9040" max="9040" width="9" style="326"/>
    <col min="9041" max="9041" width="10.75" style="326" bestFit="1" customWidth="1"/>
    <col min="9042" max="9042" width="13.875" style="326" customWidth="1"/>
    <col min="9043" max="9045" width="9" style="326"/>
    <col min="9046" max="9046" width="14.125" style="326" customWidth="1"/>
    <col min="9047" max="9047" width="9" style="326"/>
    <col min="9048" max="9048" width="10.75" style="326" bestFit="1" customWidth="1"/>
    <col min="9049" max="9049" width="13.25" style="326" customWidth="1"/>
    <col min="9050" max="9052" width="9" style="326"/>
    <col min="9053" max="9053" width="13.25" style="326" customWidth="1"/>
    <col min="9054" max="9054" width="9" style="326"/>
    <col min="9055" max="9055" width="10.75" style="326" bestFit="1" customWidth="1"/>
    <col min="9056" max="9056" width="13.875" style="326" customWidth="1"/>
    <col min="9057" max="9059" width="9" style="326"/>
    <col min="9060" max="9060" width="13.625" style="326" customWidth="1"/>
    <col min="9061" max="9061" width="9" style="326"/>
    <col min="9062" max="9062" width="10.75" style="326" bestFit="1" customWidth="1"/>
    <col min="9063" max="9063" width="13" style="326" customWidth="1"/>
    <col min="9064" max="9210" width="9" style="326"/>
    <col min="9211" max="9212" width="12.125" style="326" customWidth="1"/>
    <col min="9213" max="9215" width="13" style="326" customWidth="1"/>
    <col min="9216" max="9216" width="12.875" style="326" customWidth="1"/>
    <col min="9217" max="9217" width="13" style="326" customWidth="1"/>
    <col min="9218" max="9218" width="13.125" style="326" customWidth="1"/>
    <col min="9219" max="9220" width="12.125" style="326" customWidth="1"/>
    <col min="9221" max="9221" width="14.375" style="326" bestFit="1" customWidth="1"/>
    <col min="9222" max="9222" width="11" style="326" customWidth="1"/>
    <col min="9223" max="9223" width="10" style="326" customWidth="1"/>
    <col min="9224" max="9224" width="10.875" style="326" customWidth="1"/>
    <col min="9225" max="9225" width="13.75" style="326" customWidth="1"/>
    <col min="9226" max="9226" width="10" style="326" customWidth="1"/>
    <col min="9227" max="9227" width="13.25" style="326" customWidth="1"/>
    <col min="9228" max="9228" width="14.375" style="326" customWidth="1"/>
    <col min="9229" max="9229" width="10" style="326" customWidth="1"/>
    <col min="9230" max="9230" width="10.875" style="326" customWidth="1"/>
    <col min="9231" max="9231" width="11.375" style="326" customWidth="1"/>
    <col min="9232" max="9232" width="15.375" style="326" customWidth="1"/>
    <col min="9233" max="9234" width="10.75" style="326" customWidth="1"/>
    <col min="9235" max="9235" width="14.375" style="326" customWidth="1"/>
    <col min="9236" max="9236" width="10.75" style="326" customWidth="1"/>
    <col min="9237" max="9237" width="11.75" style="326" customWidth="1"/>
    <col min="9238" max="9238" width="10" style="326" customWidth="1"/>
    <col min="9239" max="9239" width="15.375" style="326" customWidth="1"/>
    <col min="9240" max="9240" width="10" style="326" customWidth="1"/>
    <col min="9241" max="9241" width="10.75" style="326" customWidth="1"/>
    <col min="9242" max="9242" width="14.875" style="326" customWidth="1"/>
    <col min="9243" max="9243" width="11.5" style="326" customWidth="1"/>
    <col min="9244" max="9244" width="10" style="326" customWidth="1"/>
    <col min="9245" max="9245" width="10.75" style="326" customWidth="1"/>
    <col min="9246" max="9246" width="13.5" style="326" customWidth="1"/>
    <col min="9247" max="9247" width="9" style="326"/>
    <col min="9248" max="9248" width="10.75" style="326" bestFit="1" customWidth="1"/>
    <col min="9249" max="9249" width="13.75" style="326" customWidth="1"/>
    <col min="9250" max="9250" width="9" style="326"/>
    <col min="9251" max="9251" width="10.625" style="326" customWidth="1"/>
    <col min="9252" max="9252" width="9" style="326"/>
    <col min="9253" max="9253" width="14.25" style="326" customWidth="1"/>
    <col min="9254" max="9254" width="10.75" style="326" bestFit="1" customWidth="1"/>
    <col min="9255" max="9255" width="11.625" style="326" customWidth="1"/>
    <col min="9256" max="9256" width="13.75" style="326" customWidth="1"/>
    <col min="9257" max="9257" width="10.625" style="326" customWidth="1"/>
    <col min="9258" max="9259" width="9" style="326"/>
    <col min="9260" max="9260" width="14.125" style="326" customWidth="1"/>
    <col min="9261" max="9261" width="11" style="326" customWidth="1"/>
    <col min="9262" max="9262" width="10.75" style="326" bestFit="1" customWidth="1"/>
    <col min="9263" max="9263" width="13.5" style="326" customWidth="1"/>
    <col min="9264" max="9265" width="9" style="326"/>
    <col min="9266" max="9266" width="10.75" style="326" bestFit="1" customWidth="1"/>
    <col min="9267" max="9267" width="14" style="326" customWidth="1"/>
    <col min="9268" max="9268" width="9" style="326"/>
    <col min="9269" max="9269" width="10.75" style="326" customWidth="1"/>
    <col min="9270" max="9270" width="12.75" style="326" customWidth="1"/>
    <col min="9271" max="9271" width="9" style="326"/>
    <col min="9272" max="9272" width="10.75" style="326" bestFit="1" customWidth="1"/>
    <col min="9273" max="9273" width="11.5" style="326" customWidth="1"/>
    <col min="9274" max="9274" width="13.625" style="326" customWidth="1"/>
    <col min="9275" max="9275" width="10.625" style="326" customWidth="1"/>
    <col min="9276" max="9276" width="10.75" style="326" bestFit="1" customWidth="1"/>
    <col min="9277" max="9277" width="12.375" style="326" customWidth="1"/>
    <col min="9278" max="9280" width="9" style="326"/>
    <col min="9281" max="9281" width="15.75" style="326" customWidth="1"/>
    <col min="9282" max="9282" width="9" style="326"/>
    <col min="9283" max="9283" width="10.75" style="326" bestFit="1" customWidth="1"/>
    <col min="9284" max="9284" width="12.625" style="326" customWidth="1"/>
    <col min="9285" max="9287" width="9" style="326"/>
    <col min="9288" max="9288" width="13.625" style="326" customWidth="1"/>
    <col min="9289" max="9289" width="9" style="326"/>
    <col min="9290" max="9290" width="10.75" style="326" bestFit="1" customWidth="1"/>
    <col min="9291" max="9291" width="12.5" style="326" customWidth="1"/>
    <col min="9292" max="9294" width="9" style="326"/>
    <col min="9295" max="9295" width="12.875" style="326" customWidth="1"/>
    <col min="9296" max="9296" width="9" style="326"/>
    <col min="9297" max="9297" width="10.75" style="326" bestFit="1" customWidth="1"/>
    <col min="9298" max="9298" width="13.875" style="326" customWidth="1"/>
    <col min="9299" max="9301" width="9" style="326"/>
    <col min="9302" max="9302" width="14.125" style="326" customWidth="1"/>
    <col min="9303" max="9303" width="9" style="326"/>
    <col min="9304" max="9304" width="10.75" style="326" bestFit="1" customWidth="1"/>
    <col min="9305" max="9305" width="13.25" style="326" customWidth="1"/>
    <col min="9306" max="9308" width="9" style="326"/>
    <col min="9309" max="9309" width="13.25" style="326" customWidth="1"/>
    <col min="9310" max="9310" width="9" style="326"/>
    <col min="9311" max="9311" width="10.75" style="326" bestFit="1" customWidth="1"/>
    <col min="9312" max="9312" width="13.875" style="326" customWidth="1"/>
    <col min="9313" max="9315" width="9" style="326"/>
    <col min="9316" max="9316" width="13.625" style="326" customWidth="1"/>
    <col min="9317" max="9317" width="9" style="326"/>
    <col min="9318" max="9318" width="10.75" style="326" bestFit="1" customWidth="1"/>
    <col min="9319" max="9319" width="13" style="326" customWidth="1"/>
    <col min="9320" max="9466" width="9" style="326"/>
    <col min="9467" max="9468" width="12.125" style="326" customWidth="1"/>
    <col min="9469" max="9471" width="13" style="326" customWidth="1"/>
    <col min="9472" max="9472" width="12.875" style="326" customWidth="1"/>
    <col min="9473" max="9473" width="13" style="326" customWidth="1"/>
    <col min="9474" max="9474" width="13.125" style="326" customWidth="1"/>
    <col min="9475" max="9476" width="12.125" style="326" customWidth="1"/>
    <col min="9477" max="9477" width="14.375" style="326" bestFit="1" customWidth="1"/>
    <col min="9478" max="9478" width="11" style="326" customWidth="1"/>
    <col min="9479" max="9479" width="10" style="326" customWidth="1"/>
    <col min="9480" max="9480" width="10.875" style="326" customWidth="1"/>
    <col min="9481" max="9481" width="13.75" style="326" customWidth="1"/>
    <col min="9482" max="9482" width="10" style="326" customWidth="1"/>
    <col min="9483" max="9483" width="13.25" style="326" customWidth="1"/>
    <col min="9484" max="9484" width="14.375" style="326" customWidth="1"/>
    <col min="9485" max="9485" width="10" style="326" customWidth="1"/>
    <col min="9486" max="9486" width="10.875" style="326" customWidth="1"/>
    <col min="9487" max="9487" width="11.375" style="326" customWidth="1"/>
    <col min="9488" max="9488" width="15.375" style="326" customWidth="1"/>
    <col min="9489" max="9490" width="10.75" style="326" customWidth="1"/>
    <col min="9491" max="9491" width="14.375" style="326" customWidth="1"/>
    <col min="9492" max="9492" width="10.75" style="326" customWidth="1"/>
    <col min="9493" max="9493" width="11.75" style="326" customWidth="1"/>
    <col min="9494" max="9494" width="10" style="326" customWidth="1"/>
    <col min="9495" max="9495" width="15.375" style="326" customWidth="1"/>
    <col min="9496" max="9496" width="10" style="326" customWidth="1"/>
    <col min="9497" max="9497" width="10.75" style="326" customWidth="1"/>
    <col min="9498" max="9498" width="14.875" style="326" customWidth="1"/>
    <col min="9499" max="9499" width="11.5" style="326" customWidth="1"/>
    <col min="9500" max="9500" width="10" style="326" customWidth="1"/>
    <col min="9501" max="9501" width="10.75" style="326" customWidth="1"/>
    <col min="9502" max="9502" width="13.5" style="326" customWidth="1"/>
    <col min="9503" max="9503" width="9" style="326"/>
    <col min="9504" max="9504" width="10.75" style="326" bestFit="1" customWidth="1"/>
    <col min="9505" max="9505" width="13.75" style="326" customWidth="1"/>
    <col min="9506" max="9506" width="9" style="326"/>
    <col min="9507" max="9507" width="10.625" style="326" customWidth="1"/>
    <col min="9508" max="9508" width="9" style="326"/>
    <col min="9509" max="9509" width="14.25" style="326" customWidth="1"/>
    <col min="9510" max="9510" width="10.75" style="326" bestFit="1" customWidth="1"/>
    <col min="9511" max="9511" width="11.625" style="326" customWidth="1"/>
    <col min="9512" max="9512" width="13.75" style="326" customWidth="1"/>
    <col min="9513" max="9513" width="10.625" style="326" customWidth="1"/>
    <col min="9514" max="9515" width="9" style="326"/>
    <col min="9516" max="9516" width="14.125" style="326" customWidth="1"/>
    <col min="9517" max="9517" width="11" style="326" customWidth="1"/>
    <col min="9518" max="9518" width="10.75" style="326" bestFit="1" customWidth="1"/>
    <col min="9519" max="9519" width="13.5" style="326" customWidth="1"/>
    <col min="9520" max="9521" width="9" style="326"/>
    <col min="9522" max="9522" width="10.75" style="326" bestFit="1" customWidth="1"/>
    <col min="9523" max="9523" width="14" style="326" customWidth="1"/>
    <col min="9524" max="9524" width="9" style="326"/>
    <col min="9525" max="9525" width="10.75" style="326" customWidth="1"/>
    <col min="9526" max="9526" width="12.75" style="326" customWidth="1"/>
    <col min="9527" max="9527" width="9" style="326"/>
    <col min="9528" max="9528" width="10.75" style="326" bestFit="1" customWidth="1"/>
    <col min="9529" max="9529" width="11.5" style="326" customWidth="1"/>
    <col min="9530" max="9530" width="13.625" style="326" customWidth="1"/>
    <col min="9531" max="9531" width="10.625" style="326" customWidth="1"/>
    <col min="9532" max="9532" width="10.75" style="326" bestFit="1" customWidth="1"/>
    <col min="9533" max="9533" width="12.375" style="326" customWidth="1"/>
    <col min="9534" max="9536" width="9" style="326"/>
    <col min="9537" max="9537" width="15.75" style="326" customWidth="1"/>
    <col min="9538" max="9538" width="9" style="326"/>
    <col min="9539" max="9539" width="10.75" style="326" bestFit="1" customWidth="1"/>
    <col min="9540" max="9540" width="12.625" style="326" customWidth="1"/>
    <col min="9541" max="9543" width="9" style="326"/>
    <col min="9544" max="9544" width="13.625" style="326" customWidth="1"/>
    <col min="9545" max="9545" width="9" style="326"/>
    <col min="9546" max="9546" width="10.75" style="326" bestFit="1" customWidth="1"/>
    <col min="9547" max="9547" width="12.5" style="326" customWidth="1"/>
    <col min="9548" max="9550" width="9" style="326"/>
    <col min="9551" max="9551" width="12.875" style="326" customWidth="1"/>
    <col min="9552" max="9552" width="9" style="326"/>
    <col min="9553" max="9553" width="10.75" style="326" bestFit="1" customWidth="1"/>
    <col min="9554" max="9554" width="13.875" style="326" customWidth="1"/>
    <col min="9555" max="9557" width="9" style="326"/>
    <col min="9558" max="9558" width="14.125" style="326" customWidth="1"/>
    <col min="9559" max="9559" width="9" style="326"/>
    <col min="9560" max="9560" width="10.75" style="326" bestFit="1" customWidth="1"/>
    <col min="9561" max="9561" width="13.25" style="326" customWidth="1"/>
    <col min="9562" max="9564" width="9" style="326"/>
    <col min="9565" max="9565" width="13.25" style="326" customWidth="1"/>
    <col min="9566" max="9566" width="9" style="326"/>
    <col min="9567" max="9567" width="10.75" style="326" bestFit="1" customWidth="1"/>
    <col min="9568" max="9568" width="13.875" style="326" customWidth="1"/>
    <col min="9569" max="9571" width="9" style="326"/>
    <col min="9572" max="9572" width="13.625" style="326" customWidth="1"/>
    <col min="9573" max="9573" width="9" style="326"/>
    <col min="9574" max="9574" width="10.75" style="326" bestFit="1" customWidth="1"/>
    <col min="9575" max="9575" width="13" style="326" customWidth="1"/>
    <col min="9576" max="9722" width="9" style="326"/>
    <col min="9723" max="9724" width="12.125" style="326" customWidth="1"/>
    <col min="9725" max="9727" width="13" style="326" customWidth="1"/>
    <col min="9728" max="9728" width="12.875" style="326" customWidth="1"/>
    <col min="9729" max="9729" width="13" style="326" customWidth="1"/>
    <col min="9730" max="9730" width="13.125" style="326" customWidth="1"/>
    <col min="9731" max="9732" width="12.125" style="326" customWidth="1"/>
    <col min="9733" max="9733" width="14.375" style="326" bestFit="1" customWidth="1"/>
    <col min="9734" max="9734" width="11" style="326" customWidth="1"/>
    <col min="9735" max="9735" width="10" style="326" customWidth="1"/>
    <col min="9736" max="9736" width="10.875" style="326" customWidth="1"/>
    <col min="9737" max="9737" width="13.75" style="326" customWidth="1"/>
    <col min="9738" max="9738" width="10" style="326" customWidth="1"/>
    <col min="9739" max="9739" width="13.25" style="326" customWidth="1"/>
    <col min="9740" max="9740" width="14.375" style="326" customWidth="1"/>
    <col min="9741" max="9741" width="10" style="326" customWidth="1"/>
    <col min="9742" max="9742" width="10.875" style="326" customWidth="1"/>
    <col min="9743" max="9743" width="11.375" style="326" customWidth="1"/>
    <col min="9744" max="9744" width="15.375" style="326" customWidth="1"/>
    <col min="9745" max="9746" width="10.75" style="326" customWidth="1"/>
    <col min="9747" max="9747" width="14.375" style="326" customWidth="1"/>
    <col min="9748" max="9748" width="10.75" style="326" customWidth="1"/>
    <col min="9749" max="9749" width="11.75" style="326" customWidth="1"/>
    <col min="9750" max="9750" width="10" style="326" customWidth="1"/>
    <col min="9751" max="9751" width="15.375" style="326" customWidth="1"/>
    <col min="9752" max="9752" width="10" style="326" customWidth="1"/>
    <col min="9753" max="9753" width="10.75" style="326" customWidth="1"/>
    <col min="9754" max="9754" width="14.875" style="326" customWidth="1"/>
    <col min="9755" max="9755" width="11.5" style="326" customWidth="1"/>
    <col min="9756" max="9756" width="10" style="326" customWidth="1"/>
    <col min="9757" max="9757" width="10.75" style="326" customWidth="1"/>
    <col min="9758" max="9758" width="13.5" style="326" customWidth="1"/>
    <col min="9759" max="9759" width="9" style="326"/>
    <col min="9760" max="9760" width="10.75" style="326" bestFit="1" customWidth="1"/>
    <col min="9761" max="9761" width="13.75" style="326" customWidth="1"/>
    <col min="9762" max="9762" width="9" style="326"/>
    <col min="9763" max="9763" width="10.625" style="326" customWidth="1"/>
    <col min="9764" max="9764" width="9" style="326"/>
    <col min="9765" max="9765" width="14.25" style="326" customWidth="1"/>
    <col min="9766" max="9766" width="10.75" style="326" bestFit="1" customWidth="1"/>
    <col min="9767" max="9767" width="11.625" style="326" customWidth="1"/>
    <col min="9768" max="9768" width="13.75" style="326" customWidth="1"/>
    <col min="9769" max="9769" width="10.625" style="326" customWidth="1"/>
    <col min="9770" max="9771" width="9" style="326"/>
    <col min="9772" max="9772" width="14.125" style="326" customWidth="1"/>
    <col min="9773" max="9773" width="11" style="326" customWidth="1"/>
    <col min="9774" max="9774" width="10.75" style="326" bestFit="1" customWidth="1"/>
    <col min="9775" max="9775" width="13.5" style="326" customWidth="1"/>
    <col min="9776" max="9777" width="9" style="326"/>
    <col min="9778" max="9778" width="10.75" style="326" bestFit="1" customWidth="1"/>
    <col min="9779" max="9779" width="14" style="326" customWidth="1"/>
    <col min="9780" max="9780" width="9" style="326"/>
    <col min="9781" max="9781" width="10.75" style="326" customWidth="1"/>
    <col min="9782" max="9782" width="12.75" style="326" customWidth="1"/>
    <col min="9783" max="9783" width="9" style="326"/>
    <col min="9784" max="9784" width="10.75" style="326" bestFit="1" customWidth="1"/>
    <col min="9785" max="9785" width="11.5" style="326" customWidth="1"/>
    <col min="9786" max="9786" width="13.625" style="326" customWidth="1"/>
    <col min="9787" max="9787" width="10.625" style="326" customWidth="1"/>
    <col min="9788" max="9788" width="10.75" style="326" bestFit="1" customWidth="1"/>
    <col min="9789" max="9789" width="12.375" style="326" customWidth="1"/>
    <col min="9790" max="9792" width="9" style="326"/>
    <col min="9793" max="9793" width="15.75" style="326" customWidth="1"/>
    <col min="9794" max="9794" width="9" style="326"/>
    <col min="9795" max="9795" width="10.75" style="326" bestFit="1" customWidth="1"/>
    <col min="9796" max="9796" width="12.625" style="326" customWidth="1"/>
    <col min="9797" max="9799" width="9" style="326"/>
    <col min="9800" max="9800" width="13.625" style="326" customWidth="1"/>
    <col min="9801" max="9801" width="9" style="326"/>
    <col min="9802" max="9802" width="10.75" style="326" bestFit="1" customWidth="1"/>
    <col min="9803" max="9803" width="12.5" style="326" customWidth="1"/>
    <col min="9804" max="9806" width="9" style="326"/>
    <col min="9807" max="9807" width="12.875" style="326" customWidth="1"/>
    <col min="9808" max="9808" width="9" style="326"/>
    <col min="9809" max="9809" width="10.75" style="326" bestFit="1" customWidth="1"/>
    <col min="9810" max="9810" width="13.875" style="326" customWidth="1"/>
    <col min="9811" max="9813" width="9" style="326"/>
    <col min="9814" max="9814" width="14.125" style="326" customWidth="1"/>
    <col min="9815" max="9815" width="9" style="326"/>
    <col min="9816" max="9816" width="10.75" style="326" bestFit="1" customWidth="1"/>
    <col min="9817" max="9817" width="13.25" style="326" customWidth="1"/>
    <col min="9818" max="9820" width="9" style="326"/>
    <col min="9821" max="9821" width="13.25" style="326" customWidth="1"/>
    <col min="9822" max="9822" width="9" style="326"/>
    <col min="9823" max="9823" width="10.75" style="326" bestFit="1" customWidth="1"/>
    <col min="9824" max="9824" width="13.875" style="326" customWidth="1"/>
    <col min="9825" max="9827" width="9" style="326"/>
    <col min="9828" max="9828" width="13.625" style="326" customWidth="1"/>
    <col min="9829" max="9829" width="9" style="326"/>
    <col min="9830" max="9830" width="10.75" style="326" bestFit="1" customWidth="1"/>
    <col min="9831" max="9831" width="13" style="326" customWidth="1"/>
    <col min="9832" max="9978" width="9" style="326"/>
    <col min="9979" max="9980" width="12.125" style="326" customWidth="1"/>
    <col min="9981" max="9983" width="13" style="326" customWidth="1"/>
    <col min="9984" max="9984" width="12.875" style="326" customWidth="1"/>
    <col min="9985" max="9985" width="13" style="326" customWidth="1"/>
    <col min="9986" max="9986" width="13.125" style="326" customWidth="1"/>
    <col min="9987" max="9988" width="12.125" style="326" customWidth="1"/>
    <col min="9989" max="9989" width="14.375" style="326" bestFit="1" customWidth="1"/>
    <col min="9990" max="9990" width="11" style="326" customWidth="1"/>
    <col min="9991" max="9991" width="10" style="326" customWidth="1"/>
    <col min="9992" max="9992" width="10.875" style="326" customWidth="1"/>
    <col min="9993" max="9993" width="13.75" style="326" customWidth="1"/>
    <col min="9994" max="9994" width="10" style="326" customWidth="1"/>
    <col min="9995" max="9995" width="13.25" style="326" customWidth="1"/>
    <col min="9996" max="9996" width="14.375" style="326" customWidth="1"/>
    <col min="9997" max="9997" width="10" style="326" customWidth="1"/>
    <col min="9998" max="9998" width="10.875" style="326" customWidth="1"/>
    <col min="9999" max="9999" width="11.375" style="326" customWidth="1"/>
    <col min="10000" max="10000" width="15.375" style="326" customWidth="1"/>
    <col min="10001" max="10002" width="10.75" style="326" customWidth="1"/>
    <col min="10003" max="10003" width="14.375" style="326" customWidth="1"/>
    <col min="10004" max="10004" width="10.75" style="326" customWidth="1"/>
    <col min="10005" max="10005" width="11.75" style="326" customWidth="1"/>
    <col min="10006" max="10006" width="10" style="326" customWidth="1"/>
    <col min="10007" max="10007" width="15.375" style="326" customWidth="1"/>
    <col min="10008" max="10008" width="10" style="326" customWidth="1"/>
    <col min="10009" max="10009" width="10.75" style="326" customWidth="1"/>
    <col min="10010" max="10010" width="14.875" style="326" customWidth="1"/>
    <col min="10011" max="10011" width="11.5" style="326" customWidth="1"/>
    <col min="10012" max="10012" width="10" style="326" customWidth="1"/>
    <col min="10013" max="10013" width="10.75" style="326" customWidth="1"/>
    <col min="10014" max="10014" width="13.5" style="326" customWidth="1"/>
    <col min="10015" max="10015" width="9" style="326"/>
    <col min="10016" max="10016" width="10.75" style="326" bestFit="1" customWidth="1"/>
    <col min="10017" max="10017" width="13.75" style="326" customWidth="1"/>
    <col min="10018" max="10018" width="9" style="326"/>
    <col min="10019" max="10019" width="10.625" style="326" customWidth="1"/>
    <col min="10020" max="10020" width="9" style="326"/>
    <col min="10021" max="10021" width="14.25" style="326" customWidth="1"/>
    <col min="10022" max="10022" width="10.75" style="326" bestFit="1" customWidth="1"/>
    <col min="10023" max="10023" width="11.625" style="326" customWidth="1"/>
    <col min="10024" max="10024" width="13.75" style="326" customWidth="1"/>
    <col min="10025" max="10025" width="10.625" style="326" customWidth="1"/>
    <col min="10026" max="10027" width="9" style="326"/>
    <col min="10028" max="10028" width="14.125" style="326" customWidth="1"/>
    <col min="10029" max="10029" width="11" style="326" customWidth="1"/>
    <col min="10030" max="10030" width="10.75" style="326" bestFit="1" customWidth="1"/>
    <col min="10031" max="10031" width="13.5" style="326" customWidth="1"/>
    <col min="10032" max="10033" width="9" style="326"/>
    <col min="10034" max="10034" width="10.75" style="326" bestFit="1" customWidth="1"/>
    <col min="10035" max="10035" width="14" style="326" customWidth="1"/>
    <col min="10036" max="10036" width="9" style="326"/>
    <col min="10037" max="10037" width="10.75" style="326" customWidth="1"/>
    <col min="10038" max="10038" width="12.75" style="326" customWidth="1"/>
    <col min="10039" max="10039" width="9" style="326"/>
    <col min="10040" max="10040" width="10.75" style="326" bestFit="1" customWidth="1"/>
    <col min="10041" max="10041" width="11.5" style="326" customWidth="1"/>
    <col min="10042" max="10042" width="13.625" style="326" customWidth="1"/>
    <col min="10043" max="10043" width="10.625" style="326" customWidth="1"/>
    <col min="10044" max="10044" width="10.75" style="326" bestFit="1" customWidth="1"/>
    <col min="10045" max="10045" width="12.375" style="326" customWidth="1"/>
    <col min="10046" max="10048" width="9" style="326"/>
    <col min="10049" max="10049" width="15.75" style="326" customWidth="1"/>
    <col min="10050" max="10050" width="9" style="326"/>
    <col min="10051" max="10051" width="10.75" style="326" bestFit="1" customWidth="1"/>
    <col min="10052" max="10052" width="12.625" style="326" customWidth="1"/>
    <col min="10053" max="10055" width="9" style="326"/>
    <col min="10056" max="10056" width="13.625" style="326" customWidth="1"/>
    <col min="10057" max="10057" width="9" style="326"/>
    <col min="10058" max="10058" width="10.75" style="326" bestFit="1" customWidth="1"/>
    <col min="10059" max="10059" width="12.5" style="326" customWidth="1"/>
    <col min="10060" max="10062" width="9" style="326"/>
    <col min="10063" max="10063" width="12.875" style="326" customWidth="1"/>
    <col min="10064" max="10064" width="9" style="326"/>
    <col min="10065" max="10065" width="10.75" style="326" bestFit="1" customWidth="1"/>
    <col min="10066" max="10066" width="13.875" style="326" customWidth="1"/>
    <col min="10067" max="10069" width="9" style="326"/>
    <col min="10070" max="10070" width="14.125" style="326" customWidth="1"/>
    <col min="10071" max="10071" width="9" style="326"/>
    <col min="10072" max="10072" width="10.75" style="326" bestFit="1" customWidth="1"/>
    <col min="10073" max="10073" width="13.25" style="326" customWidth="1"/>
    <col min="10074" max="10076" width="9" style="326"/>
    <col min="10077" max="10077" width="13.25" style="326" customWidth="1"/>
    <col min="10078" max="10078" width="9" style="326"/>
    <col min="10079" max="10079" width="10.75" style="326" bestFit="1" customWidth="1"/>
    <col min="10080" max="10080" width="13.875" style="326" customWidth="1"/>
    <col min="10081" max="10083" width="9" style="326"/>
    <col min="10084" max="10084" width="13.625" style="326" customWidth="1"/>
    <col min="10085" max="10085" width="9" style="326"/>
    <col min="10086" max="10086" width="10.75" style="326" bestFit="1" customWidth="1"/>
    <col min="10087" max="10087" width="13" style="326" customWidth="1"/>
    <col min="10088" max="10234" width="9" style="326"/>
    <col min="10235" max="10236" width="12.125" style="326" customWidth="1"/>
    <col min="10237" max="10239" width="13" style="326" customWidth="1"/>
    <col min="10240" max="10240" width="12.875" style="326" customWidth="1"/>
    <col min="10241" max="10241" width="13" style="326" customWidth="1"/>
    <col min="10242" max="10242" width="13.125" style="326" customWidth="1"/>
    <col min="10243" max="10244" width="12.125" style="326" customWidth="1"/>
    <col min="10245" max="10245" width="14.375" style="326" bestFit="1" customWidth="1"/>
    <col min="10246" max="10246" width="11" style="326" customWidth="1"/>
    <col min="10247" max="10247" width="10" style="326" customWidth="1"/>
    <col min="10248" max="10248" width="10.875" style="326" customWidth="1"/>
    <col min="10249" max="10249" width="13.75" style="326" customWidth="1"/>
    <col min="10250" max="10250" width="10" style="326" customWidth="1"/>
    <col min="10251" max="10251" width="13.25" style="326" customWidth="1"/>
    <col min="10252" max="10252" width="14.375" style="326" customWidth="1"/>
    <col min="10253" max="10253" width="10" style="326" customWidth="1"/>
    <col min="10254" max="10254" width="10.875" style="326" customWidth="1"/>
    <col min="10255" max="10255" width="11.375" style="326" customWidth="1"/>
    <col min="10256" max="10256" width="15.375" style="326" customWidth="1"/>
    <col min="10257" max="10258" width="10.75" style="326" customWidth="1"/>
    <col min="10259" max="10259" width="14.375" style="326" customWidth="1"/>
    <col min="10260" max="10260" width="10.75" style="326" customWidth="1"/>
    <col min="10261" max="10261" width="11.75" style="326" customWidth="1"/>
    <col min="10262" max="10262" width="10" style="326" customWidth="1"/>
    <col min="10263" max="10263" width="15.375" style="326" customWidth="1"/>
    <col min="10264" max="10264" width="10" style="326" customWidth="1"/>
    <col min="10265" max="10265" width="10.75" style="326" customWidth="1"/>
    <col min="10266" max="10266" width="14.875" style="326" customWidth="1"/>
    <col min="10267" max="10267" width="11.5" style="326" customWidth="1"/>
    <col min="10268" max="10268" width="10" style="326" customWidth="1"/>
    <col min="10269" max="10269" width="10.75" style="326" customWidth="1"/>
    <col min="10270" max="10270" width="13.5" style="326" customWidth="1"/>
    <col min="10271" max="10271" width="9" style="326"/>
    <col min="10272" max="10272" width="10.75" style="326" bestFit="1" customWidth="1"/>
    <col min="10273" max="10273" width="13.75" style="326" customWidth="1"/>
    <col min="10274" max="10274" width="9" style="326"/>
    <col min="10275" max="10275" width="10.625" style="326" customWidth="1"/>
    <col min="10276" max="10276" width="9" style="326"/>
    <col min="10277" max="10277" width="14.25" style="326" customWidth="1"/>
    <col min="10278" max="10278" width="10.75" style="326" bestFit="1" customWidth="1"/>
    <col min="10279" max="10279" width="11.625" style="326" customWidth="1"/>
    <col min="10280" max="10280" width="13.75" style="326" customWidth="1"/>
    <col min="10281" max="10281" width="10.625" style="326" customWidth="1"/>
    <col min="10282" max="10283" width="9" style="326"/>
    <col min="10284" max="10284" width="14.125" style="326" customWidth="1"/>
    <col min="10285" max="10285" width="11" style="326" customWidth="1"/>
    <col min="10286" max="10286" width="10.75" style="326" bestFit="1" customWidth="1"/>
    <col min="10287" max="10287" width="13.5" style="326" customWidth="1"/>
    <col min="10288" max="10289" width="9" style="326"/>
    <col min="10290" max="10290" width="10.75" style="326" bestFit="1" customWidth="1"/>
    <col min="10291" max="10291" width="14" style="326" customWidth="1"/>
    <col min="10292" max="10292" width="9" style="326"/>
    <col min="10293" max="10293" width="10.75" style="326" customWidth="1"/>
    <col min="10294" max="10294" width="12.75" style="326" customWidth="1"/>
    <col min="10295" max="10295" width="9" style="326"/>
    <col min="10296" max="10296" width="10.75" style="326" bestFit="1" customWidth="1"/>
    <col min="10297" max="10297" width="11.5" style="326" customWidth="1"/>
    <col min="10298" max="10298" width="13.625" style="326" customWidth="1"/>
    <col min="10299" max="10299" width="10.625" style="326" customWidth="1"/>
    <col min="10300" max="10300" width="10.75" style="326" bestFit="1" customWidth="1"/>
    <col min="10301" max="10301" width="12.375" style="326" customWidth="1"/>
    <col min="10302" max="10304" width="9" style="326"/>
    <col min="10305" max="10305" width="15.75" style="326" customWidth="1"/>
    <col min="10306" max="10306" width="9" style="326"/>
    <col min="10307" max="10307" width="10.75" style="326" bestFit="1" customWidth="1"/>
    <col min="10308" max="10308" width="12.625" style="326" customWidth="1"/>
    <col min="10309" max="10311" width="9" style="326"/>
    <col min="10312" max="10312" width="13.625" style="326" customWidth="1"/>
    <col min="10313" max="10313" width="9" style="326"/>
    <col min="10314" max="10314" width="10.75" style="326" bestFit="1" customWidth="1"/>
    <col min="10315" max="10315" width="12.5" style="326" customWidth="1"/>
    <col min="10316" max="10318" width="9" style="326"/>
    <col min="10319" max="10319" width="12.875" style="326" customWidth="1"/>
    <col min="10320" max="10320" width="9" style="326"/>
    <col min="10321" max="10321" width="10.75" style="326" bestFit="1" customWidth="1"/>
    <col min="10322" max="10322" width="13.875" style="326" customWidth="1"/>
    <col min="10323" max="10325" width="9" style="326"/>
    <col min="10326" max="10326" width="14.125" style="326" customWidth="1"/>
    <col min="10327" max="10327" width="9" style="326"/>
    <col min="10328" max="10328" width="10.75" style="326" bestFit="1" customWidth="1"/>
    <col min="10329" max="10329" width="13.25" style="326" customWidth="1"/>
    <col min="10330" max="10332" width="9" style="326"/>
    <col min="10333" max="10333" width="13.25" style="326" customWidth="1"/>
    <col min="10334" max="10334" width="9" style="326"/>
    <col min="10335" max="10335" width="10.75" style="326" bestFit="1" customWidth="1"/>
    <col min="10336" max="10336" width="13.875" style="326" customWidth="1"/>
    <col min="10337" max="10339" width="9" style="326"/>
    <col min="10340" max="10340" width="13.625" style="326" customWidth="1"/>
    <col min="10341" max="10341" width="9" style="326"/>
    <col min="10342" max="10342" width="10.75" style="326" bestFit="1" customWidth="1"/>
    <col min="10343" max="10343" width="13" style="326" customWidth="1"/>
    <col min="10344" max="10490" width="9" style="326"/>
    <col min="10491" max="10492" width="12.125" style="326" customWidth="1"/>
    <col min="10493" max="10495" width="13" style="326" customWidth="1"/>
    <col min="10496" max="10496" width="12.875" style="326" customWidth="1"/>
    <col min="10497" max="10497" width="13" style="326" customWidth="1"/>
    <col min="10498" max="10498" width="13.125" style="326" customWidth="1"/>
    <col min="10499" max="10500" width="12.125" style="326" customWidth="1"/>
    <col min="10501" max="10501" width="14.375" style="326" bestFit="1" customWidth="1"/>
    <col min="10502" max="10502" width="11" style="326" customWidth="1"/>
    <col min="10503" max="10503" width="10" style="326" customWidth="1"/>
    <col min="10504" max="10504" width="10.875" style="326" customWidth="1"/>
    <col min="10505" max="10505" width="13.75" style="326" customWidth="1"/>
    <col min="10506" max="10506" width="10" style="326" customWidth="1"/>
    <col min="10507" max="10507" width="13.25" style="326" customWidth="1"/>
    <col min="10508" max="10508" width="14.375" style="326" customWidth="1"/>
    <col min="10509" max="10509" width="10" style="326" customWidth="1"/>
    <col min="10510" max="10510" width="10.875" style="326" customWidth="1"/>
    <col min="10511" max="10511" width="11.375" style="326" customWidth="1"/>
    <col min="10512" max="10512" width="15.375" style="326" customWidth="1"/>
    <col min="10513" max="10514" width="10.75" style="326" customWidth="1"/>
    <col min="10515" max="10515" width="14.375" style="326" customWidth="1"/>
    <col min="10516" max="10516" width="10.75" style="326" customWidth="1"/>
    <col min="10517" max="10517" width="11.75" style="326" customWidth="1"/>
    <col min="10518" max="10518" width="10" style="326" customWidth="1"/>
    <col min="10519" max="10519" width="15.375" style="326" customWidth="1"/>
    <col min="10520" max="10520" width="10" style="326" customWidth="1"/>
    <col min="10521" max="10521" width="10.75" style="326" customWidth="1"/>
    <col min="10522" max="10522" width="14.875" style="326" customWidth="1"/>
    <col min="10523" max="10523" width="11.5" style="326" customWidth="1"/>
    <col min="10524" max="10524" width="10" style="326" customWidth="1"/>
    <col min="10525" max="10525" width="10.75" style="326" customWidth="1"/>
    <col min="10526" max="10526" width="13.5" style="326" customWidth="1"/>
    <col min="10527" max="10527" width="9" style="326"/>
    <col min="10528" max="10528" width="10.75" style="326" bestFit="1" customWidth="1"/>
    <col min="10529" max="10529" width="13.75" style="326" customWidth="1"/>
    <col min="10530" max="10530" width="9" style="326"/>
    <col min="10531" max="10531" width="10.625" style="326" customWidth="1"/>
    <col min="10532" max="10532" width="9" style="326"/>
    <col min="10533" max="10533" width="14.25" style="326" customWidth="1"/>
    <col min="10534" max="10534" width="10.75" style="326" bestFit="1" customWidth="1"/>
    <col min="10535" max="10535" width="11.625" style="326" customWidth="1"/>
    <col min="10536" max="10536" width="13.75" style="326" customWidth="1"/>
    <col min="10537" max="10537" width="10.625" style="326" customWidth="1"/>
    <col min="10538" max="10539" width="9" style="326"/>
    <col min="10540" max="10540" width="14.125" style="326" customWidth="1"/>
    <col min="10541" max="10541" width="11" style="326" customWidth="1"/>
    <col min="10542" max="10542" width="10.75" style="326" bestFit="1" customWidth="1"/>
    <col min="10543" max="10543" width="13.5" style="326" customWidth="1"/>
    <col min="10544" max="10545" width="9" style="326"/>
    <col min="10546" max="10546" width="10.75" style="326" bestFit="1" customWidth="1"/>
    <col min="10547" max="10547" width="14" style="326" customWidth="1"/>
    <col min="10548" max="10548" width="9" style="326"/>
    <col min="10549" max="10549" width="10.75" style="326" customWidth="1"/>
    <col min="10550" max="10550" width="12.75" style="326" customWidth="1"/>
    <col min="10551" max="10551" width="9" style="326"/>
    <col min="10552" max="10552" width="10.75" style="326" bestFit="1" customWidth="1"/>
    <col min="10553" max="10553" width="11.5" style="326" customWidth="1"/>
    <col min="10554" max="10554" width="13.625" style="326" customWidth="1"/>
    <col min="10555" max="10555" width="10.625" style="326" customWidth="1"/>
    <col min="10556" max="10556" width="10.75" style="326" bestFit="1" customWidth="1"/>
    <col min="10557" max="10557" width="12.375" style="326" customWidth="1"/>
    <col min="10558" max="10560" width="9" style="326"/>
    <col min="10561" max="10561" width="15.75" style="326" customWidth="1"/>
    <col min="10562" max="10562" width="9" style="326"/>
    <col min="10563" max="10563" width="10.75" style="326" bestFit="1" customWidth="1"/>
    <col min="10564" max="10564" width="12.625" style="326" customWidth="1"/>
    <col min="10565" max="10567" width="9" style="326"/>
    <col min="10568" max="10568" width="13.625" style="326" customWidth="1"/>
    <col min="10569" max="10569" width="9" style="326"/>
    <col min="10570" max="10570" width="10.75" style="326" bestFit="1" customWidth="1"/>
    <col min="10571" max="10571" width="12.5" style="326" customWidth="1"/>
    <col min="10572" max="10574" width="9" style="326"/>
    <col min="10575" max="10575" width="12.875" style="326" customWidth="1"/>
    <col min="10576" max="10576" width="9" style="326"/>
    <col min="10577" max="10577" width="10.75" style="326" bestFit="1" customWidth="1"/>
    <col min="10578" max="10578" width="13.875" style="326" customWidth="1"/>
    <col min="10579" max="10581" width="9" style="326"/>
    <col min="10582" max="10582" width="14.125" style="326" customWidth="1"/>
    <col min="10583" max="10583" width="9" style="326"/>
    <col min="10584" max="10584" width="10.75" style="326" bestFit="1" customWidth="1"/>
    <col min="10585" max="10585" width="13.25" style="326" customWidth="1"/>
    <col min="10586" max="10588" width="9" style="326"/>
    <col min="10589" max="10589" width="13.25" style="326" customWidth="1"/>
    <col min="10590" max="10590" width="9" style="326"/>
    <col min="10591" max="10591" width="10.75" style="326" bestFit="1" customWidth="1"/>
    <col min="10592" max="10592" width="13.875" style="326" customWidth="1"/>
    <col min="10593" max="10595" width="9" style="326"/>
    <col min="10596" max="10596" width="13.625" style="326" customWidth="1"/>
    <col min="10597" max="10597" width="9" style="326"/>
    <col min="10598" max="10598" width="10.75" style="326" bestFit="1" customWidth="1"/>
    <col min="10599" max="10599" width="13" style="326" customWidth="1"/>
    <col min="10600" max="10746" width="9" style="326"/>
    <col min="10747" max="10748" width="12.125" style="326" customWidth="1"/>
    <col min="10749" max="10751" width="13" style="326" customWidth="1"/>
    <col min="10752" max="10752" width="12.875" style="326" customWidth="1"/>
    <col min="10753" max="10753" width="13" style="326" customWidth="1"/>
    <col min="10754" max="10754" width="13.125" style="326" customWidth="1"/>
    <col min="10755" max="10756" width="12.125" style="326" customWidth="1"/>
    <col min="10757" max="10757" width="14.375" style="326" bestFit="1" customWidth="1"/>
    <col min="10758" max="10758" width="11" style="326" customWidth="1"/>
    <col min="10759" max="10759" width="10" style="326" customWidth="1"/>
    <col min="10760" max="10760" width="10.875" style="326" customWidth="1"/>
    <col min="10761" max="10761" width="13.75" style="326" customWidth="1"/>
    <col min="10762" max="10762" width="10" style="326" customWidth="1"/>
    <col min="10763" max="10763" width="13.25" style="326" customWidth="1"/>
    <col min="10764" max="10764" width="14.375" style="326" customWidth="1"/>
    <col min="10765" max="10765" width="10" style="326" customWidth="1"/>
    <col min="10766" max="10766" width="10.875" style="326" customWidth="1"/>
    <col min="10767" max="10767" width="11.375" style="326" customWidth="1"/>
    <col min="10768" max="10768" width="15.375" style="326" customWidth="1"/>
    <col min="10769" max="10770" width="10.75" style="326" customWidth="1"/>
    <col min="10771" max="10771" width="14.375" style="326" customWidth="1"/>
    <col min="10772" max="10772" width="10.75" style="326" customWidth="1"/>
    <col min="10773" max="10773" width="11.75" style="326" customWidth="1"/>
    <col min="10774" max="10774" width="10" style="326" customWidth="1"/>
    <col min="10775" max="10775" width="15.375" style="326" customWidth="1"/>
    <col min="10776" max="10776" width="10" style="326" customWidth="1"/>
    <col min="10777" max="10777" width="10.75" style="326" customWidth="1"/>
    <col min="10778" max="10778" width="14.875" style="326" customWidth="1"/>
    <col min="10779" max="10779" width="11.5" style="326" customWidth="1"/>
    <col min="10780" max="10780" width="10" style="326" customWidth="1"/>
    <col min="10781" max="10781" width="10.75" style="326" customWidth="1"/>
    <col min="10782" max="10782" width="13.5" style="326" customWidth="1"/>
    <col min="10783" max="10783" width="9" style="326"/>
    <col min="10784" max="10784" width="10.75" style="326" bestFit="1" customWidth="1"/>
    <col min="10785" max="10785" width="13.75" style="326" customWidth="1"/>
    <col min="10786" max="10786" width="9" style="326"/>
    <col min="10787" max="10787" width="10.625" style="326" customWidth="1"/>
    <col min="10788" max="10788" width="9" style="326"/>
    <col min="10789" max="10789" width="14.25" style="326" customWidth="1"/>
    <col min="10790" max="10790" width="10.75" style="326" bestFit="1" customWidth="1"/>
    <col min="10791" max="10791" width="11.625" style="326" customWidth="1"/>
    <col min="10792" max="10792" width="13.75" style="326" customWidth="1"/>
    <col min="10793" max="10793" width="10.625" style="326" customWidth="1"/>
    <col min="10794" max="10795" width="9" style="326"/>
    <col min="10796" max="10796" width="14.125" style="326" customWidth="1"/>
    <col min="10797" max="10797" width="11" style="326" customWidth="1"/>
    <col min="10798" max="10798" width="10.75" style="326" bestFit="1" customWidth="1"/>
    <col min="10799" max="10799" width="13.5" style="326" customWidth="1"/>
    <col min="10800" max="10801" width="9" style="326"/>
    <col min="10802" max="10802" width="10.75" style="326" bestFit="1" customWidth="1"/>
    <col min="10803" max="10803" width="14" style="326" customWidth="1"/>
    <col min="10804" max="10804" width="9" style="326"/>
    <col min="10805" max="10805" width="10.75" style="326" customWidth="1"/>
    <col min="10806" max="10806" width="12.75" style="326" customWidth="1"/>
    <col min="10807" max="10807" width="9" style="326"/>
    <col min="10808" max="10808" width="10.75" style="326" bestFit="1" customWidth="1"/>
    <col min="10809" max="10809" width="11.5" style="326" customWidth="1"/>
    <col min="10810" max="10810" width="13.625" style="326" customWidth="1"/>
    <col min="10811" max="10811" width="10.625" style="326" customWidth="1"/>
    <col min="10812" max="10812" width="10.75" style="326" bestFit="1" customWidth="1"/>
    <col min="10813" max="10813" width="12.375" style="326" customWidth="1"/>
    <col min="10814" max="10816" width="9" style="326"/>
    <col min="10817" max="10817" width="15.75" style="326" customWidth="1"/>
    <col min="10818" max="10818" width="9" style="326"/>
    <col min="10819" max="10819" width="10.75" style="326" bestFit="1" customWidth="1"/>
    <col min="10820" max="10820" width="12.625" style="326" customWidth="1"/>
    <col min="10821" max="10823" width="9" style="326"/>
    <col min="10824" max="10824" width="13.625" style="326" customWidth="1"/>
    <col min="10825" max="10825" width="9" style="326"/>
    <col min="10826" max="10826" width="10.75" style="326" bestFit="1" customWidth="1"/>
    <col min="10827" max="10827" width="12.5" style="326" customWidth="1"/>
    <col min="10828" max="10830" width="9" style="326"/>
    <col min="10831" max="10831" width="12.875" style="326" customWidth="1"/>
    <col min="10832" max="10832" width="9" style="326"/>
    <col min="10833" max="10833" width="10.75" style="326" bestFit="1" customWidth="1"/>
    <col min="10834" max="10834" width="13.875" style="326" customWidth="1"/>
    <col min="10835" max="10837" width="9" style="326"/>
    <col min="10838" max="10838" width="14.125" style="326" customWidth="1"/>
    <col min="10839" max="10839" width="9" style="326"/>
    <col min="10840" max="10840" width="10.75" style="326" bestFit="1" customWidth="1"/>
    <col min="10841" max="10841" width="13.25" style="326" customWidth="1"/>
    <col min="10842" max="10844" width="9" style="326"/>
    <col min="10845" max="10845" width="13.25" style="326" customWidth="1"/>
    <col min="10846" max="10846" width="9" style="326"/>
    <col min="10847" max="10847" width="10.75" style="326" bestFit="1" customWidth="1"/>
    <col min="10848" max="10848" width="13.875" style="326" customWidth="1"/>
    <col min="10849" max="10851" width="9" style="326"/>
    <col min="10852" max="10852" width="13.625" style="326" customWidth="1"/>
    <col min="10853" max="10853" width="9" style="326"/>
    <col min="10854" max="10854" width="10.75" style="326" bestFit="1" customWidth="1"/>
    <col min="10855" max="10855" width="13" style="326" customWidth="1"/>
    <col min="10856" max="11002" width="9" style="326"/>
    <col min="11003" max="11004" width="12.125" style="326" customWidth="1"/>
    <col min="11005" max="11007" width="13" style="326" customWidth="1"/>
    <col min="11008" max="11008" width="12.875" style="326" customWidth="1"/>
    <col min="11009" max="11009" width="13" style="326" customWidth="1"/>
    <col min="11010" max="11010" width="13.125" style="326" customWidth="1"/>
    <col min="11011" max="11012" width="12.125" style="326" customWidth="1"/>
    <col min="11013" max="11013" width="14.375" style="326" bestFit="1" customWidth="1"/>
    <col min="11014" max="11014" width="11" style="326" customWidth="1"/>
    <col min="11015" max="11015" width="10" style="326" customWidth="1"/>
    <col min="11016" max="11016" width="10.875" style="326" customWidth="1"/>
    <col min="11017" max="11017" width="13.75" style="326" customWidth="1"/>
    <col min="11018" max="11018" width="10" style="326" customWidth="1"/>
    <col min="11019" max="11019" width="13.25" style="326" customWidth="1"/>
    <col min="11020" max="11020" width="14.375" style="326" customWidth="1"/>
    <col min="11021" max="11021" width="10" style="326" customWidth="1"/>
    <col min="11022" max="11022" width="10.875" style="326" customWidth="1"/>
    <col min="11023" max="11023" width="11.375" style="326" customWidth="1"/>
    <col min="11024" max="11024" width="15.375" style="326" customWidth="1"/>
    <col min="11025" max="11026" width="10.75" style="326" customWidth="1"/>
    <col min="11027" max="11027" width="14.375" style="326" customWidth="1"/>
    <col min="11028" max="11028" width="10.75" style="326" customWidth="1"/>
    <col min="11029" max="11029" width="11.75" style="326" customWidth="1"/>
    <col min="11030" max="11030" width="10" style="326" customWidth="1"/>
    <col min="11031" max="11031" width="15.375" style="326" customWidth="1"/>
    <col min="11032" max="11032" width="10" style="326" customWidth="1"/>
    <col min="11033" max="11033" width="10.75" style="326" customWidth="1"/>
    <col min="11034" max="11034" width="14.875" style="326" customWidth="1"/>
    <col min="11035" max="11035" width="11.5" style="326" customWidth="1"/>
    <col min="11036" max="11036" width="10" style="326" customWidth="1"/>
    <col min="11037" max="11037" width="10.75" style="326" customWidth="1"/>
    <col min="11038" max="11038" width="13.5" style="326" customWidth="1"/>
    <col min="11039" max="11039" width="9" style="326"/>
    <col min="11040" max="11040" width="10.75" style="326" bestFit="1" customWidth="1"/>
    <col min="11041" max="11041" width="13.75" style="326" customWidth="1"/>
    <col min="11042" max="11042" width="9" style="326"/>
    <col min="11043" max="11043" width="10.625" style="326" customWidth="1"/>
    <col min="11044" max="11044" width="9" style="326"/>
    <col min="11045" max="11045" width="14.25" style="326" customWidth="1"/>
    <col min="11046" max="11046" width="10.75" style="326" bestFit="1" customWidth="1"/>
    <col min="11047" max="11047" width="11.625" style="326" customWidth="1"/>
    <col min="11048" max="11048" width="13.75" style="326" customWidth="1"/>
    <col min="11049" max="11049" width="10.625" style="326" customWidth="1"/>
    <col min="11050" max="11051" width="9" style="326"/>
    <col min="11052" max="11052" width="14.125" style="326" customWidth="1"/>
    <col min="11053" max="11053" width="11" style="326" customWidth="1"/>
    <col min="11054" max="11054" width="10.75" style="326" bestFit="1" customWidth="1"/>
    <col min="11055" max="11055" width="13.5" style="326" customWidth="1"/>
    <col min="11056" max="11057" width="9" style="326"/>
    <col min="11058" max="11058" width="10.75" style="326" bestFit="1" customWidth="1"/>
    <col min="11059" max="11059" width="14" style="326" customWidth="1"/>
    <col min="11060" max="11060" width="9" style="326"/>
    <col min="11061" max="11061" width="10.75" style="326" customWidth="1"/>
    <col min="11062" max="11062" width="12.75" style="326" customWidth="1"/>
    <col min="11063" max="11063" width="9" style="326"/>
    <col min="11064" max="11064" width="10.75" style="326" bestFit="1" customWidth="1"/>
    <col min="11065" max="11065" width="11.5" style="326" customWidth="1"/>
    <col min="11066" max="11066" width="13.625" style="326" customWidth="1"/>
    <col min="11067" max="11067" width="10.625" style="326" customWidth="1"/>
    <col min="11068" max="11068" width="10.75" style="326" bestFit="1" customWidth="1"/>
    <col min="11069" max="11069" width="12.375" style="326" customWidth="1"/>
    <col min="11070" max="11072" width="9" style="326"/>
    <col min="11073" max="11073" width="15.75" style="326" customWidth="1"/>
    <col min="11074" max="11074" width="9" style="326"/>
    <col min="11075" max="11075" width="10.75" style="326" bestFit="1" customWidth="1"/>
    <col min="11076" max="11076" width="12.625" style="326" customWidth="1"/>
    <col min="11077" max="11079" width="9" style="326"/>
    <col min="11080" max="11080" width="13.625" style="326" customWidth="1"/>
    <col min="11081" max="11081" width="9" style="326"/>
    <col min="11082" max="11082" width="10.75" style="326" bestFit="1" customWidth="1"/>
    <col min="11083" max="11083" width="12.5" style="326" customWidth="1"/>
    <col min="11084" max="11086" width="9" style="326"/>
    <col min="11087" max="11087" width="12.875" style="326" customWidth="1"/>
    <col min="11088" max="11088" width="9" style="326"/>
    <col min="11089" max="11089" width="10.75" style="326" bestFit="1" customWidth="1"/>
    <col min="11090" max="11090" width="13.875" style="326" customWidth="1"/>
    <col min="11091" max="11093" width="9" style="326"/>
    <col min="11094" max="11094" width="14.125" style="326" customWidth="1"/>
    <col min="11095" max="11095" width="9" style="326"/>
    <col min="11096" max="11096" width="10.75" style="326" bestFit="1" customWidth="1"/>
    <col min="11097" max="11097" width="13.25" style="326" customWidth="1"/>
    <col min="11098" max="11100" width="9" style="326"/>
    <col min="11101" max="11101" width="13.25" style="326" customWidth="1"/>
    <col min="11102" max="11102" width="9" style="326"/>
    <col min="11103" max="11103" width="10.75" style="326" bestFit="1" customWidth="1"/>
    <col min="11104" max="11104" width="13.875" style="326" customWidth="1"/>
    <col min="11105" max="11107" width="9" style="326"/>
    <col min="11108" max="11108" width="13.625" style="326" customWidth="1"/>
    <col min="11109" max="11109" width="9" style="326"/>
    <col min="11110" max="11110" width="10.75" style="326" bestFit="1" customWidth="1"/>
    <col min="11111" max="11111" width="13" style="326" customWidth="1"/>
    <col min="11112" max="11258" width="9" style="326"/>
    <col min="11259" max="11260" width="12.125" style="326" customWidth="1"/>
    <col min="11261" max="11263" width="13" style="326" customWidth="1"/>
    <col min="11264" max="11264" width="12.875" style="326" customWidth="1"/>
    <col min="11265" max="11265" width="13" style="326" customWidth="1"/>
    <col min="11266" max="11266" width="13.125" style="326" customWidth="1"/>
    <col min="11267" max="11268" width="12.125" style="326" customWidth="1"/>
    <col min="11269" max="11269" width="14.375" style="326" bestFit="1" customWidth="1"/>
    <col min="11270" max="11270" width="11" style="326" customWidth="1"/>
    <col min="11271" max="11271" width="10" style="326" customWidth="1"/>
    <col min="11272" max="11272" width="10.875" style="326" customWidth="1"/>
    <col min="11273" max="11273" width="13.75" style="326" customWidth="1"/>
    <col min="11274" max="11274" width="10" style="326" customWidth="1"/>
    <col min="11275" max="11275" width="13.25" style="326" customWidth="1"/>
    <col min="11276" max="11276" width="14.375" style="326" customWidth="1"/>
    <col min="11277" max="11277" width="10" style="326" customWidth="1"/>
    <col min="11278" max="11278" width="10.875" style="326" customWidth="1"/>
    <col min="11279" max="11279" width="11.375" style="326" customWidth="1"/>
    <col min="11280" max="11280" width="15.375" style="326" customWidth="1"/>
    <col min="11281" max="11282" width="10.75" style="326" customWidth="1"/>
    <col min="11283" max="11283" width="14.375" style="326" customWidth="1"/>
    <col min="11284" max="11284" width="10.75" style="326" customWidth="1"/>
    <col min="11285" max="11285" width="11.75" style="326" customWidth="1"/>
    <col min="11286" max="11286" width="10" style="326" customWidth="1"/>
    <col min="11287" max="11287" width="15.375" style="326" customWidth="1"/>
    <col min="11288" max="11288" width="10" style="326" customWidth="1"/>
    <col min="11289" max="11289" width="10.75" style="326" customWidth="1"/>
    <col min="11290" max="11290" width="14.875" style="326" customWidth="1"/>
    <col min="11291" max="11291" width="11.5" style="326" customWidth="1"/>
    <col min="11292" max="11292" width="10" style="326" customWidth="1"/>
    <col min="11293" max="11293" width="10.75" style="326" customWidth="1"/>
    <col min="11294" max="11294" width="13.5" style="326" customWidth="1"/>
    <col min="11295" max="11295" width="9" style="326"/>
    <col min="11296" max="11296" width="10.75" style="326" bestFit="1" customWidth="1"/>
    <col min="11297" max="11297" width="13.75" style="326" customWidth="1"/>
    <col min="11298" max="11298" width="9" style="326"/>
    <col min="11299" max="11299" width="10.625" style="326" customWidth="1"/>
    <col min="11300" max="11300" width="9" style="326"/>
    <col min="11301" max="11301" width="14.25" style="326" customWidth="1"/>
    <col min="11302" max="11302" width="10.75" style="326" bestFit="1" customWidth="1"/>
    <col min="11303" max="11303" width="11.625" style="326" customWidth="1"/>
    <col min="11304" max="11304" width="13.75" style="326" customWidth="1"/>
    <col min="11305" max="11305" width="10.625" style="326" customWidth="1"/>
    <col min="11306" max="11307" width="9" style="326"/>
    <col min="11308" max="11308" width="14.125" style="326" customWidth="1"/>
    <col min="11309" max="11309" width="11" style="326" customWidth="1"/>
    <col min="11310" max="11310" width="10.75" style="326" bestFit="1" customWidth="1"/>
    <col min="11311" max="11311" width="13.5" style="326" customWidth="1"/>
    <col min="11312" max="11313" width="9" style="326"/>
    <col min="11314" max="11314" width="10.75" style="326" bestFit="1" customWidth="1"/>
    <col min="11315" max="11315" width="14" style="326" customWidth="1"/>
    <col min="11316" max="11316" width="9" style="326"/>
    <col min="11317" max="11317" width="10.75" style="326" customWidth="1"/>
    <col min="11318" max="11318" width="12.75" style="326" customWidth="1"/>
    <col min="11319" max="11319" width="9" style="326"/>
    <col min="11320" max="11320" width="10.75" style="326" bestFit="1" customWidth="1"/>
    <col min="11321" max="11321" width="11.5" style="326" customWidth="1"/>
    <col min="11322" max="11322" width="13.625" style="326" customWidth="1"/>
    <col min="11323" max="11323" width="10.625" style="326" customWidth="1"/>
    <col min="11324" max="11324" width="10.75" style="326" bestFit="1" customWidth="1"/>
    <col min="11325" max="11325" width="12.375" style="326" customWidth="1"/>
    <col min="11326" max="11328" width="9" style="326"/>
    <col min="11329" max="11329" width="15.75" style="326" customWidth="1"/>
    <col min="11330" max="11330" width="9" style="326"/>
    <col min="11331" max="11331" width="10.75" style="326" bestFit="1" customWidth="1"/>
    <col min="11332" max="11332" width="12.625" style="326" customWidth="1"/>
    <col min="11333" max="11335" width="9" style="326"/>
    <col min="11336" max="11336" width="13.625" style="326" customWidth="1"/>
    <col min="11337" max="11337" width="9" style="326"/>
    <col min="11338" max="11338" width="10.75" style="326" bestFit="1" customWidth="1"/>
    <col min="11339" max="11339" width="12.5" style="326" customWidth="1"/>
    <col min="11340" max="11342" width="9" style="326"/>
    <col min="11343" max="11343" width="12.875" style="326" customWidth="1"/>
    <col min="11344" max="11344" width="9" style="326"/>
    <col min="11345" max="11345" width="10.75" style="326" bestFit="1" customWidth="1"/>
    <col min="11346" max="11346" width="13.875" style="326" customWidth="1"/>
    <col min="11347" max="11349" width="9" style="326"/>
    <col min="11350" max="11350" width="14.125" style="326" customWidth="1"/>
    <col min="11351" max="11351" width="9" style="326"/>
    <col min="11352" max="11352" width="10.75" style="326" bestFit="1" customWidth="1"/>
    <col min="11353" max="11353" width="13.25" style="326" customWidth="1"/>
    <col min="11354" max="11356" width="9" style="326"/>
    <col min="11357" max="11357" width="13.25" style="326" customWidth="1"/>
    <col min="11358" max="11358" width="9" style="326"/>
    <col min="11359" max="11359" width="10.75" style="326" bestFit="1" customWidth="1"/>
    <col min="11360" max="11360" width="13.875" style="326" customWidth="1"/>
    <col min="11361" max="11363" width="9" style="326"/>
    <col min="11364" max="11364" width="13.625" style="326" customWidth="1"/>
    <col min="11365" max="11365" width="9" style="326"/>
    <col min="11366" max="11366" width="10.75" style="326" bestFit="1" customWidth="1"/>
    <col min="11367" max="11367" width="13" style="326" customWidth="1"/>
    <col min="11368" max="11514" width="9" style="326"/>
    <col min="11515" max="11516" width="12.125" style="326" customWidth="1"/>
    <col min="11517" max="11519" width="13" style="326" customWidth="1"/>
    <col min="11520" max="11520" width="12.875" style="326" customWidth="1"/>
    <col min="11521" max="11521" width="13" style="326" customWidth="1"/>
    <col min="11522" max="11522" width="13.125" style="326" customWidth="1"/>
    <col min="11523" max="11524" width="12.125" style="326" customWidth="1"/>
    <col min="11525" max="11525" width="14.375" style="326" bestFit="1" customWidth="1"/>
    <col min="11526" max="11526" width="11" style="326" customWidth="1"/>
    <col min="11527" max="11527" width="10" style="326" customWidth="1"/>
    <col min="11528" max="11528" width="10.875" style="326" customWidth="1"/>
    <col min="11529" max="11529" width="13.75" style="326" customWidth="1"/>
    <col min="11530" max="11530" width="10" style="326" customWidth="1"/>
    <col min="11531" max="11531" width="13.25" style="326" customWidth="1"/>
    <col min="11532" max="11532" width="14.375" style="326" customWidth="1"/>
    <col min="11533" max="11533" width="10" style="326" customWidth="1"/>
    <col min="11534" max="11534" width="10.875" style="326" customWidth="1"/>
    <col min="11535" max="11535" width="11.375" style="326" customWidth="1"/>
    <col min="11536" max="11536" width="15.375" style="326" customWidth="1"/>
    <col min="11537" max="11538" width="10.75" style="326" customWidth="1"/>
    <col min="11539" max="11539" width="14.375" style="326" customWidth="1"/>
    <col min="11540" max="11540" width="10.75" style="326" customWidth="1"/>
    <col min="11541" max="11541" width="11.75" style="326" customWidth="1"/>
    <col min="11542" max="11542" width="10" style="326" customWidth="1"/>
    <col min="11543" max="11543" width="15.375" style="326" customWidth="1"/>
    <col min="11544" max="11544" width="10" style="326" customWidth="1"/>
    <col min="11545" max="11545" width="10.75" style="326" customWidth="1"/>
    <col min="11546" max="11546" width="14.875" style="326" customWidth="1"/>
    <col min="11547" max="11547" width="11.5" style="326" customWidth="1"/>
    <col min="11548" max="11548" width="10" style="326" customWidth="1"/>
    <col min="11549" max="11549" width="10.75" style="326" customWidth="1"/>
    <col min="11550" max="11550" width="13.5" style="326" customWidth="1"/>
    <col min="11551" max="11551" width="9" style="326"/>
    <col min="11552" max="11552" width="10.75" style="326" bestFit="1" customWidth="1"/>
    <col min="11553" max="11553" width="13.75" style="326" customWidth="1"/>
    <col min="11554" max="11554" width="9" style="326"/>
    <col min="11555" max="11555" width="10.625" style="326" customWidth="1"/>
    <col min="11556" max="11556" width="9" style="326"/>
    <col min="11557" max="11557" width="14.25" style="326" customWidth="1"/>
    <col min="11558" max="11558" width="10.75" style="326" bestFit="1" customWidth="1"/>
    <col min="11559" max="11559" width="11.625" style="326" customWidth="1"/>
    <col min="11560" max="11560" width="13.75" style="326" customWidth="1"/>
    <col min="11561" max="11561" width="10.625" style="326" customWidth="1"/>
    <col min="11562" max="11563" width="9" style="326"/>
    <col min="11564" max="11564" width="14.125" style="326" customWidth="1"/>
    <col min="11565" max="11565" width="11" style="326" customWidth="1"/>
    <col min="11566" max="11566" width="10.75" style="326" bestFit="1" customWidth="1"/>
    <col min="11567" max="11567" width="13.5" style="326" customWidth="1"/>
    <col min="11568" max="11569" width="9" style="326"/>
    <col min="11570" max="11570" width="10.75" style="326" bestFit="1" customWidth="1"/>
    <col min="11571" max="11571" width="14" style="326" customWidth="1"/>
    <col min="11572" max="11572" width="9" style="326"/>
    <col min="11573" max="11573" width="10.75" style="326" customWidth="1"/>
    <col min="11574" max="11574" width="12.75" style="326" customWidth="1"/>
    <col min="11575" max="11575" width="9" style="326"/>
    <col min="11576" max="11576" width="10.75" style="326" bestFit="1" customWidth="1"/>
    <col min="11577" max="11577" width="11.5" style="326" customWidth="1"/>
    <col min="11578" max="11578" width="13.625" style="326" customWidth="1"/>
    <col min="11579" max="11579" width="10.625" style="326" customWidth="1"/>
    <col min="11580" max="11580" width="10.75" style="326" bestFit="1" customWidth="1"/>
    <col min="11581" max="11581" width="12.375" style="326" customWidth="1"/>
    <col min="11582" max="11584" width="9" style="326"/>
    <col min="11585" max="11585" width="15.75" style="326" customWidth="1"/>
    <col min="11586" max="11586" width="9" style="326"/>
    <col min="11587" max="11587" width="10.75" style="326" bestFit="1" customWidth="1"/>
    <col min="11588" max="11588" width="12.625" style="326" customWidth="1"/>
    <col min="11589" max="11591" width="9" style="326"/>
    <col min="11592" max="11592" width="13.625" style="326" customWidth="1"/>
    <col min="11593" max="11593" width="9" style="326"/>
    <col min="11594" max="11594" width="10.75" style="326" bestFit="1" customWidth="1"/>
    <col min="11595" max="11595" width="12.5" style="326" customWidth="1"/>
    <col min="11596" max="11598" width="9" style="326"/>
    <col min="11599" max="11599" width="12.875" style="326" customWidth="1"/>
    <col min="11600" max="11600" width="9" style="326"/>
    <col min="11601" max="11601" width="10.75" style="326" bestFit="1" customWidth="1"/>
    <col min="11602" max="11602" width="13.875" style="326" customWidth="1"/>
    <col min="11603" max="11605" width="9" style="326"/>
    <col min="11606" max="11606" width="14.125" style="326" customWidth="1"/>
    <col min="11607" max="11607" width="9" style="326"/>
    <col min="11608" max="11608" width="10.75" style="326" bestFit="1" customWidth="1"/>
    <col min="11609" max="11609" width="13.25" style="326" customWidth="1"/>
    <col min="11610" max="11612" width="9" style="326"/>
    <col min="11613" max="11613" width="13.25" style="326" customWidth="1"/>
    <col min="11614" max="11614" width="9" style="326"/>
    <col min="11615" max="11615" width="10.75" style="326" bestFit="1" customWidth="1"/>
    <col min="11616" max="11616" width="13.875" style="326" customWidth="1"/>
    <col min="11617" max="11619" width="9" style="326"/>
    <col min="11620" max="11620" width="13.625" style="326" customWidth="1"/>
    <col min="11621" max="11621" width="9" style="326"/>
    <col min="11622" max="11622" width="10.75" style="326" bestFit="1" customWidth="1"/>
    <col min="11623" max="11623" width="13" style="326" customWidth="1"/>
    <col min="11624" max="11770" width="9" style="326"/>
    <col min="11771" max="11772" width="12.125" style="326" customWidth="1"/>
    <col min="11773" max="11775" width="13" style="326" customWidth="1"/>
    <col min="11776" max="11776" width="12.875" style="326" customWidth="1"/>
    <col min="11777" max="11777" width="13" style="326" customWidth="1"/>
    <col min="11778" max="11778" width="13.125" style="326" customWidth="1"/>
    <col min="11779" max="11780" width="12.125" style="326" customWidth="1"/>
    <col min="11781" max="11781" width="14.375" style="326" bestFit="1" customWidth="1"/>
    <col min="11782" max="11782" width="11" style="326" customWidth="1"/>
    <col min="11783" max="11783" width="10" style="326" customWidth="1"/>
    <col min="11784" max="11784" width="10.875" style="326" customWidth="1"/>
    <col min="11785" max="11785" width="13.75" style="326" customWidth="1"/>
    <col min="11786" max="11786" width="10" style="326" customWidth="1"/>
    <col min="11787" max="11787" width="13.25" style="326" customWidth="1"/>
    <col min="11788" max="11788" width="14.375" style="326" customWidth="1"/>
    <col min="11789" max="11789" width="10" style="326" customWidth="1"/>
    <col min="11790" max="11790" width="10.875" style="326" customWidth="1"/>
    <col min="11791" max="11791" width="11.375" style="326" customWidth="1"/>
    <col min="11792" max="11792" width="15.375" style="326" customWidth="1"/>
    <col min="11793" max="11794" width="10.75" style="326" customWidth="1"/>
    <col min="11795" max="11795" width="14.375" style="326" customWidth="1"/>
    <col min="11796" max="11796" width="10.75" style="326" customWidth="1"/>
    <col min="11797" max="11797" width="11.75" style="326" customWidth="1"/>
    <col min="11798" max="11798" width="10" style="326" customWidth="1"/>
    <col min="11799" max="11799" width="15.375" style="326" customWidth="1"/>
    <col min="11800" max="11800" width="10" style="326" customWidth="1"/>
    <col min="11801" max="11801" width="10.75" style="326" customWidth="1"/>
    <col min="11802" max="11802" width="14.875" style="326" customWidth="1"/>
    <col min="11803" max="11803" width="11.5" style="326" customWidth="1"/>
    <col min="11804" max="11804" width="10" style="326" customWidth="1"/>
    <col min="11805" max="11805" width="10.75" style="326" customWidth="1"/>
    <col min="11806" max="11806" width="13.5" style="326" customWidth="1"/>
    <col min="11807" max="11807" width="9" style="326"/>
    <col min="11808" max="11808" width="10.75" style="326" bestFit="1" customWidth="1"/>
    <col min="11809" max="11809" width="13.75" style="326" customWidth="1"/>
    <col min="11810" max="11810" width="9" style="326"/>
    <col min="11811" max="11811" width="10.625" style="326" customWidth="1"/>
    <col min="11812" max="11812" width="9" style="326"/>
    <col min="11813" max="11813" width="14.25" style="326" customWidth="1"/>
    <col min="11814" max="11814" width="10.75" style="326" bestFit="1" customWidth="1"/>
    <col min="11815" max="11815" width="11.625" style="326" customWidth="1"/>
    <col min="11816" max="11816" width="13.75" style="326" customWidth="1"/>
    <col min="11817" max="11817" width="10.625" style="326" customWidth="1"/>
    <col min="11818" max="11819" width="9" style="326"/>
    <col min="11820" max="11820" width="14.125" style="326" customWidth="1"/>
    <col min="11821" max="11821" width="11" style="326" customWidth="1"/>
    <col min="11822" max="11822" width="10.75" style="326" bestFit="1" customWidth="1"/>
    <col min="11823" max="11823" width="13.5" style="326" customWidth="1"/>
    <col min="11824" max="11825" width="9" style="326"/>
    <col min="11826" max="11826" width="10.75" style="326" bestFit="1" customWidth="1"/>
    <col min="11827" max="11827" width="14" style="326" customWidth="1"/>
    <col min="11828" max="11828" width="9" style="326"/>
    <col min="11829" max="11829" width="10.75" style="326" customWidth="1"/>
    <col min="11830" max="11830" width="12.75" style="326" customWidth="1"/>
    <col min="11831" max="11831" width="9" style="326"/>
    <col min="11832" max="11832" width="10.75" style="326" bestFit="1" customWidth="1"/>
    <col min="11833" max="11833" width="11.5" style="326" customWidth="1"/>
    <col min="11834" max="11834" width="13.625" style="326" customWidth="1"/>
    <col min="11835" max="11835" width="10.625" style="326" customWidth="1"/>
    <col min="11836" max="11836" width="10.75" style="326" bestFit="1" customWidth="1"/>
    <col min="11837" max="11837" width="12.375" style="326" customWidth="1"/>
    <col min="11838" max="11840" width="9" style="326"/>
    <col min="11841" max="11841" width="15.75" style="326" customWidth="1"/>
    <col min="11842" max="11842" width="9" style="326"/>
    <col min="11843" max="11843" width="10.75" style="326" bestFit="1" customWidth="1"/>
    <col min="11844" max="11844" width="12.625" style="326" customWidth="1"/>
    <col min="11845" max="11847" width="9" style="326"/>
    <col min="11848" max="11848" width="13.625" style="326" customWidth="1"/>
    <col min="11849" max="11849" width="9" style="326"/>
    <col min="11850" max="11850" width="10.75" style="326" bestFit="1" customWidth="1"/>
    <col min="11851" max="11851" width="12.5" style="326" customWidth="1"/>
    <col min="11852" max="11854" width="9" style="326"/>
    <col min="11855" max="11855" width="12.875" style="326" customWidth="1"/>
    <col min="11856" max="11856" width="9" style="326"/>
    <col min="11857" max="11857" width="10.75" style="326" bestFit="1" customWidth="1"/>
    <col min="11858" max="11858" width="13.875" style="326" customWidth="1"/>
    <col min="11859" max="11861" width="9" style="326"/>
    <col min="11862" max="11862" width="14.125" style="326" customWidth="1"/>
    <col min="11863" max="11863" width="9" style="326"/>
    <col min="11864" max="11864" width="10.75" style="326" bestFit="1" customWidth="1"/>
    <col min="11865" max="11865" width="13.25" style="326" customWidth="1"/>
    <col min="11866" max="11868" width="9" style="326"/>
    <col min="11869" max="11869" width="13.25" style="326" customWidth="1"/>
    <col min="11870" max="11870" width="9" style="326"/>
    <col min="11871" max="11871" width="10.75" style="326" bestFit="1" customWidth="1"/>
    <col min="11872" max="11872" width="13.875" style="326" customWidth="1"/>
    <col min="11873" max="11875" width="9" style="326"/>
    <col min="11876" max="11876" width="13.625" style="326" customWidth="1"/>
    <col min="11877" max="11877" width="9" style="326"/>
    <col min="11878" max="11878" width="10.75" style="326" bestFit="1" customWidth="1"/>
    <col min="11879" max="11879" width="13" style="326" customWidth="1"/>
    <col min="11880" max="12026" width="9" style="326"/>
    <col min="12027" max="12028" width="12.125" style="326" customWidth="1"/>
    <col min="12029" max="12031" width="13" style="326" customWidth="1"/>
    <col min="12032" max="12032" width="12.875" style="326" customWidth="1"/>
    <col min="12033" max="12033" width="13" style="326" customWidth="1"/>
    <col min="12034" max="12034" width="13.125" style="326" customWidth="1"/>
    <col min="12035" max="12036" width="12.125" style="326" customWidth="1"/>
    <col min="12037" max="12037" width="14.375" style="326" bestFit="1" customWidth="1"/>
    <col min="12038" max="12038" width="11" style="326" customWidth="1"/>
    <col min="12039" max="12039" width="10" style="326" customWidth="1"/>
    <col min="12040" max="12040" width="10.875" style="326" customWidth="1"/>
    <col min="12041" max="12041" width="13.75" style="326" customWidth="1"/>
    <col min="12042" max="12042" width="10" style="326" customWidth="1"/>
    <col min="12043" max="12043" width="13.25" style="326" customWidth="1"/>
    <col min="12044" max="12044" width="14.375" style="326" customWidth="1"/>
    <col min="12045" max="12045" width="10" style="326" customWidth="1"/>
    <col min="12046" max="12046" width="10.875" style="326" customWidth="1"/>
    <col min="12047" max="12047" width="11.375" style="326" customWidth="1"/>
    <col min="12048" max="12048" width="15.375" style="326" customWidth="1"/>
    <col min="12049" max="12050" width="10.75" style="326" customWidth="1"/>
    <col min="12051" max="12051" width="14.375" style="326" customWidth="1"/>
    <col min="12052" max="12052" width="10.75" style="326" customWidth="1"/>
    <col min="12053" max="12053" width="11.75" style="326" customWidth="1"/>
    <col min="12054" max="12054" width="10" style="326" customWidth="1"/>
    <col min="12055" max="12055" width="15.375" style="326" customWidth="1"/>
    <col min="12056" max="12056" width="10" style="326" customWidth="1"/>
    <col min="12057" max="12057" width="10.75" style="326" customWidth="1"/>
    <col min="12058" max="12058" width="14.875" style="326" customWidth="1"/>
    <col min="12059" max="12059" width="11.5" style="326" customWidth="1"/>
    <col min="12060" max="12060" width="10" style="326" customWidth="1"/>
    <col min="12061" max="12061" width="10.75" style="326" customWidth="1"/>
    <col min="12062" max="12062" width="13.5" style="326" customWidth="1"/>
    <col min="12063" max="12063" width="9" style="326"/>
    <col min="12064" max="12064" width="10.75" style="326" bestFit="1" customWidth="1"/>
    <col min="12065" max="12065" width="13.75" style="326" customWidth="1"/>
    <col min="12066" max="12066" width="9" style="326"/>
    <col min="12067" max="12067" width="10.625" style="326" customWidth="1"/>
    <col min="12068" max="12068" width="9" style="326"/>
    <col min="12069" max="12069" width="14.25" style="326" customWidth="1"/>
    <col min="12070" max="12070" width="10.75" style="326" bestFit="1" customWidth="1"/>
    <col min="12071" max="12071" width="11.625" style="326" customWidth="1"/>
    <col min="12072" max="12072" width="13.75" style="326" customWidth="1"/>
    <col min="12073" max="12073" width="10.625" style="326" customWidth="1"/>
    <col min="12074" max="12075" width="9" style="326"/>
    <col min="12076" max="12076" width="14.125" style="326" customWidth="1"/>
    <col min="12077" max="12077" width="11" style="326" customWidth="1"/>
    <col min="12078" max="12078" width="10.75" style="326" bestFit="1" customWidth="1"/>
    <col min="12079" max="12079" width="13.5" style="326" customWidth="1"/>
    <col min="12080" max="12081" width="9" style="326"/>
    <col min="12082" max="12082" width="10.75" style="326" bestFit="1" customWidth="1"/>
    <col min="12083" max="12083" width="14" style="326" customWidth="1"/>
    <col min="12084" max="12084" width="9" style="326"/>
    <col min="12085" max="12085" width="10.75" style="326" customWidth="1"/>
    <col min="12086" max="12086" width="12.75" style="326" customWidth="1"/>
    <col min="12087" max="12087" width="9" style="326"/>
    <col min="12088" max="12088" width="10.75" style="326" bestFit="1" customWidth="1"/>
    <col min="12089" max="12089" width="11.5" style="326" customWidth="1"/>
    <col min="12090" max="12090" width="13.625" style="326" customWidth="1"/>
    <col min="12091" max="12091" width="10.625" style="326" customWidth="1"/>
    <col min="12092" max="12092" width="10.75" style="326" bestFit="1" customWidth="1"/>
    <col min="12093" max="12093" width="12.375" style="326" customWidth="1"/>
    <col min="12094" max="12096" width="9" style="326"/>
    <col min="12097" max="12097" width="15.75" style="326" customWidth="1"/>
    <col min="12098" max="12098" width="9" style="326"/>
    <col min="12099" max="12099" width="10.75" style="326" bestFit="1" customWidth="1"/>
    <col min="12100" max="12100" width="12.625" style="326" customWidth="1"/>
    <col min="12101" max="12103" width="9" style="326"/>
    <col min="12104" max="12104" width="13.625" style="326" customWidth="1"/>
    <col min="12105" max="12105" width="9" style="326"/>
    <col min="12106" max="12106" width="10.75" style="326" bestFit="1" customWidth="1"/>
    <col min="12107" max="12107" width="12.5" style="326" customWidth="1"/>
    <col min="12108" max="12110" width="9" style="326"/>
    <col min="12111" max="12111" width="12.875" style="326" customWidth="1"/>
    <col min="12112" max="12112" width="9" style="326"/>
    <col min="12113" max="12113" width="10.75" style="326" bestFit="1" customWidth="1"/>
    <col min="12114" max="12114" width="13.875" style="326" customWidth="1"/>
    <col min="12115" max="12117" width="9" style="326"/>
    <col min="12118" max="12118" width="14.125" style="326" customWidth="1"/>
    <col min="12119" max="12119" width="9" style="326"/>
    <col min="12120" max="12120" width="10.75" style="326" bestFit="1" customWidth="1"/>
    <col min="12121" max="12121" width="13.25" style="326" customWidth="1"/>
    <col min="12122" max="12124" width="9" style="326"/>
    <col min="12125" max="12125" width="13.25" style="326" customWidth="1"/>
    <col min="12126" max="12126" width="9" style="326"/>
    <col min="12127" max="12127" width="10.75" style="326" bestFit="1" customWidth="1"/>
    <col min="12128" max="12128" width="13.875" style="326" customWidth="1"/>
    <col min="12129" max="12131" width="9" style="326"/>
    <col min="12132" max="12132" width="13.625" style="326" customWidth="1"/>
    <col min="12133" max="12133" width="9" style="326"/>
    <col min="12134" max="12134" width="10.75" style="326" bestFit="1" customWidth="1"/>
    <col min="12135" max="12135" width="13" style="326" customWidth="1"/>
    <col min="12136" max="12282" width="9" style="326"/>
    <col min="12283" max="12284" width="12.125" style="326" customWidth="1"/>
    <col min="12285" max="12287" width="13" style="326" customWidth="1"/>
    <col min="12288" max="12288" width="12.875" style="326" customWidth="1"/>
    <col min="12289" max="12289" width="13" style="326" customWidth="1"/>
    <col min="12290" max="12290" width="13.125" style="326" customWidth="1"/>
    <col min="12291" max="12292" width="12.125" style="326" customWidth="1"/>
    <col min="12293" max="12293" width="14.375" style="326" bestFit="1" customWidth="1"/>
    <col min="12294" max="12294" width="11" style="326" customWidth="1"/>
    <col min="12295" max="12295" width="10" style="326" customWidth="1"/>
    <col min="12296" max="12296" width="10.875" style="326" customWidth="1"/>
    <col min="12297" max="12297" width="13.75" style="326" customWidth="1"/>
    <col min="12298" max="12298" width="10" style="326" customWidth="1"/>
    <col min="12299" max="12299" width="13.25" style="326" customWidth="1"/>
    <col min="12300" max="12300" width="14.375" style="326" customWidth="1"/>
    <col min="12301" max="12301" width="10" style="326" customWidth="1"/>
    <col min="12302" max="12302" width="10.875" style="326" customWidth="1"/>
    <col min="12303" max="12303" width="11.375" style="326" customWidth="1"/>
    <col min="12304" max="12304" width="15.375" style="326" customWidth="1"/>
    <col min="12305" max="12306" width="10.75" style="326" customWidth="1"/>
    <col min="12307" max="12307" width="14.375" style="326" customWidth="1"/>
    <col min="12308" max="12308" width="10.75" style="326" customWidth="1"/>
    <col min="12309" max="12309" width="11.75" style="326" customWidth="1"/>
    <col min="12310" max="12310" width="10" style="326" customWidth="1"/>
    <col min="12311" max="12311" width="15.375" style="326" customWidth="1"/>
    <col min="12312" max="12312" width="10" style="326" customWidth="1"/>
    <col min="12313" max="12313" width="10.75" style="326" customWidth="1"/>
    <col min="12314" max="12314" width="14.875" style="326" customWidth="1"/>
    <col min="12315" max="12315" width="11.5" style="326" customWidth="1"/>
    <col min="12316" max="12316" width="10" style="326" customWidth="1"/>
    <col min="12317" max="12317" width="10.75" style="326" customWidth="1"/>
    <col min="12318" max="12318" width="13.5" style="326" customWidth="1"/>
    <col min="12319" max="12319" width="9" style="326"/>
    <col min="12320" max="12320" width="10.75" style="326" bestFit="1" customWidth="1"/>
    <col min="12321" max="12321" width="13.75" style="326" customWidth="1"/>
    <col min="12322" max="12322" width="9" style="326"/>
    <col min="12323" max="12323" width="10.625" style="326" customWidth="1"/>
    <col min="12324" max="12324" width="9" style="326"/>
    <col min="12325" max="12325" width="14.25" style="326" customWidth="1"/>
    <col min="12326" max="12326" width="10.75" style="326" bestFit="1" customWidth="1"/>
    <col min="12327" max="12327" width="11.625" style="326" customWidth="1"/>
    <col min="12328" max="12328" width="13.75" style="326" customWidth="1"/>
    <col min="12329" max="12329" width="10.625" style="326" customWidth="1"/>
    <col min="12330" max="12331" width="9" style="326"/>
    <col min="12332" max="12332" width="14.125" style="326" customWidth="1"/>
    <col min="12333" max="12333" width="11" style="326" customWidth="1"/>
    <col min="12334" max="12334" width="10.75" style="326" bestFit="1" customWidth="1"/>
    <col min="12335" max="12335" width="13.5" style="326" customWidth="1"/>
    <col min="12336" max="12337" width="9" style="326"/>
    <col min="12338" max="12338" width="10.75" style="326" bestFit="1" customWidth="1"/>
    <col min="12339" max="12339" width="14" style="326" customWidth="1"/>
    <col min="12340" max="12340" width="9" style="326"/>
    <col min="12341" max="12341" width="10.75" style="326" customWidth="1"/>
    <col min="12342" max="12342" width="12.75" style="326" customWidth="1"/>
    <col min="12343" max="12343" width="9" style="326"/>
    <col min="12344" max="12344" width="10.75" style="326" bestFit="1" customWidth="1"/>
    <col min="12345" max="12345" width="11.5" style="326" customWidth="1"/>
    <col min="12346" max="12346" width="13.625" style="326" customWidth="1"/>
    <col min="12347" max="12347" width="10.625" style="326" customWidth="1"/>
    <col min="12348" max="12348" width="10.75" style="326" bestFit="1" customWidth="1"/>
    <col min="12349" max="12349" width="12.375" style="326" customWidth="1"/>
    <col min="12350" max="12352" width="9" style="326"/>
    <col min="12353" max="12353" width="15.75" style="326" customWidth="1"/>
    <col min="12354" max="12354" width="9" style="326"/>
    <col min="12355" max="12355" width="10.75" style="326" bestFit="1" customWidth="1"/>
    <col min="12356" max="12356" width="12.625" style="326" customWidth="1"/>
    <col min="12357" max="12359" width="9" style="326"/>
    <col min="12360" max="12360" width="13.625" style="326" customWidth="1"/>
    <col min="12361" max="12361" width="9" style="326"/>
    <col min="12362" max="12362" width="10.75" style="326" bestFit="1" customWidth="1"/>
    <col min="12363" max="12363" width="12.5" style="326" customWidth="1"/>
    <col min="12364" max="12366" width="9" style="326"/>
    <col min="12367" max="12367" width="12.875" style="326" customWidth="1"/>
    <col min="12368" max="12368" width="9" style="326"/>
    <col min="12369" max="12369" width="10.75" style="326" bestFit="1" customWidth="1"/>
    <col min="12370" max="12370" width="13.875" style="326" customWidth="1"/>
    <col min="12371" max="12373" width="9" style="326"/>
    <col min="12374" max="12374" width="14.125" style="326" customWidth="1"/>
    <col min="12375" max="12375" width="9" style="326"/>
    <col min="12376" max="12376" width="10.75" style="326" bestFit="1" customWidth="1"/>
    <col min="12377" max="12377" width="13.25" style="326" customWidth="1"/>
    <col min="12378" max="12380" width="9" style="326"/>
    <col min="12381" max="12381" width="13.25" style="326" customWidth="1"/>
    <col min="12382" max="12382" width="9" style="326"/>
    <col min="12383" max="12383" width="10.75" style="326" bestFit="1" customWidth="1"/>
    <col min="12384" max="12384" width="13.875" style="326" customWidth="1"/>
    <col min="12385" max="12387" width="9" style="326"/>
    <col min="12388" max="12388" width="13.625" style="326" customWidth="1"/>
    <col min="12389" max="12389" width="9" style="326"/>
    <col min="12390" max="12390" width="10.75" style="326" bestFit="1" customWidth="1"/>
    <col min="12391" max="12391" width="13" style="326" customWidth="1"/>
    <col min="12392" max="12538" width="9" style="326"/>
    <col min="12539" max="12540" width="12.125" style="326" customWidth="1"/>
    <col min="12541" max="12543" width="13" style="326" customWidth="1"/>
    <col min="12544" max="12544" width="12.875" style="326" customWidth="1"/>
    <col min="12545" max="12545" width="13" style="326" customWidth="1"/>
    <col min="12546" max="12546" width="13.125" style="326" customWidth="1"/>
    <col min="12547" max="12548" width="12.125" style="326" customWidth="1"/>
    <col min="12549" max="12549" width="14.375" style="326" bestFit="1" customWidth="1"/>
    <col min="12550" max="12550" width="11" style="326" customWidth="1"/>
    <col min="12551" max="12551" width="10" style="326" customWidth="1"/>
    <col min="12552" max="12552" width="10.875" style="326" customWidth="1"/>
    <col min="12553" max="12553" width="13.75" style="326" customWidth="1"/>
    <col min="12554" max="12554" width="10" style="326" customWidth="1"/>
    <col min="12555" max="12555" width="13.25" style="326" customWidth="1"/>
    <col min="12556" max="12556" width="14.375" style="326" customWidth="1"/>
    <col min="12557" max="12557" width="10" style="326" customWidth="1"/>
    <col min="12558" max="12558" width="10.875" style="326" customWidth="1"/>
    <col min="12559" max="12559" width="11.375" style="326" customWidth="1"/>
    <col min="12560" max="12560" width="15.375" style="326" customWidth="1"/>
    <col min="12561" max="12562" width="10.75" style="326" customWidth="1"/>
    <col min="12563" max="12563" width="14.375" style="326" customWidth="1"/>
    <col min="12564" max="12564" width="10.75" style="326" customWidth="1"/>
    <col min="12565" max="12565" width="11.75" style="326" customWidth="1"/>
    <col min="12566" max="12566" width="10" style="326" customWidth="1"/>
    <col min="12567" max="12567" width="15.375" style="326" customWidth="1"/>
    <col min="12568" max="12568" width="10" style="326" customWidth="1"/>
    <col min="12569" max="12569" width="10.75" style="326" customWidth="1"/>
    <col min="12570" max="12570" width="14.875" style="326" customWidth="1"/>
    <col min="12571" max="12571" width="11.5" style="326" customWidth="1"/>
    <col min="12572" max="12572" width="10" style="326" customWidth="1"/>
    <col min="12573" max="12573" width="10.75" style="326" customWidth="1"/>
    <col min="12574" max="12574" width="13.5" style="326" customWidth="1"/>
    <col min="12575" max="12575" width="9" style="326"/>
    <col min="12576" max="12576" width="10.75" style="326" bestFit="1" customWidth="1"/>
    <col min="12577" max="12577" width="13.75" style="326" customWidth="1"/>
    <col min="12578" max="12578" width="9" style="326"/>
    <col min="12579" max="12579" width="10.625" style="326" customWidth="1"/>
    <col min="12580" max="12580" width="9" style="326"/>
    <col min="12581" max="12581" width="14.25" style="326" customWidth="1"/>
    <col min="12582" max="12582" width="10.75" style="326" bestFit="1" customWidth="1"/>
    <col min="12583" max="12583" width="11.625" style="326" customWidth="1"/>
    <col min="12584" max="12584" width="13.75" style="326" customWidth="1"/>
    <col min="12585" max="12585" width="10.625" style="326" customWidth="1"/>
    <col min="12586" max="12587" width="9" style="326"/>
    <col min="12588" max="12588" width="14.125" style="326" customWidth="1"/>
    <col min="12589" max="12589" width="11" style="326" customWidth="1"/>
    <col min="12590" max="12590" width="10.75" style="326" bestFit="1" customWidth="1"/>
    <col min="12591" max="12591" width="13.5" style="326" customWidth="1"/>
    <col min="12592" max="12593" width="9" style="326"/>
    <col min="12594" max="12594" width="10.75" style="326" bestFit="1" customWidth="1"/>
    <col min="12595" max="12595" width="14" style="326" customWidth="1"/>
    <col min="12596" max="12596" width="9" style="326"/>
    <col min="12597" max="12597" width="10.75" style="326" customWidth="1"/>
    <col min="12598" max="12598" width="12.75" style="326" customWidth="1"/>
    <col min="12599" max="12599" width="9" style="326"/>
    <col min="12600" max="12600" width="10.75" style="326" bestFit="1" customWidth="1"/>
    <col min="12601" max="12601" width="11.5" style="326" customWidth="1"/>
    <col min="12602" max="12602" width="13.625" style="326" customWidth="1"/>
    <col min="12603" max="12603" width="10.625" style="326" customWidth="1"/>
    <col min="12604" max="12604" width="10.75" style="326" bestFit="1" customWidth="1"/>
    <col min="12605" max="12605" width="12.375" style="326" customWidth="1"/>
    <col min="12606" max="12608" width="9" style="326"/>
    <col min="12609" max="12609" width="15.75" style="326" customWidth="1"/>
    <col min="12610" max="12610" width="9" style="326"/>
    <col min="12611" max="12611" width="10.75" style="326" bestFit="1" customWidth="1"/>
    <col min="12612" max="12612" width="12.625" style="326" customWidth="1"/>
    <col min="12613" max="12615" width="9" style="326"/>
    <col min="12616" max="12616" width="13.625" style="326" customWidth="1"/>
    <col min="12617" max="12617" width="9" style="326"/>
    <col min="12618" max="12618" width="10.75" style="326" bestFit="1" customWidth="1"/>
    <col min="12619" max="12619" width="12.5" style="326" customWidth="1"/>
    <col min="12620" max="12622" width="9" style="326"/>
    <col min="12623" max="12623" width="12.875" style="326" customWidth="1"/>
    <col min="12624" max="12624" width="9" style="326"/>
    <col min="12625" max="12625" width="10.75" style="326" bestFit="1" customWidth="1"/>
    <col min="12626" max="12626" width="13.875" style="326" customWidth="1"/>
    <col min="12627" max="12629" width="9" style="326"/>
    <col min="12630" max="12630" width="14.125" style="326" customWidth="1"/>
    <col min="12631" max="12631" width="9" style="326"/>
    <col min="12632" max="12632" width="10.75" style="326" bestFit="1" customWidth="1"/>
    <col min="12633" max="12633" width="13.25" style="326" customWidth="1"/>
    <col min="12634" max="12636" width="9" style="326"/>
    <col min="12637" max="12637" width="13.25" style="326" customWidth="1"/>
    <col min="12638" max="12638" width="9" style="326"/>
    <col min="12639" max="12639" width="10.75" style="326" bestFit="1" customWidth="1"/>
    <col min="12640" max="12640" width="13.875" style="326" customWidth="1"/>
    <col min="12641" max="12643" width="9" style="326"/>
    <col min="12644" max="12644" width="13.625" style="326" customWidth="1"/>
    <col min="12645" max="12645" width="9" style="326"/>
    <col min="12646" max="12646" width="10.75" style="326" bestFit="1" customWidth="1"/>
    <col min="12647" max="12647" width="13" style="326" customWidth="1"/>
    <col min="12648" max="12794" width="9" style="326"/>
    <col min="12795" max="12796" width="12.125" style="326" customWidth="1"/>
    <col min="12797" max="12799" width="13" style="326" customWidth="1"/>
    <col min="12800" max="12800" width="12.875" style="326" customWidth="1"/>
    <col min="12801" max="12801" width="13" style="326" customWidth="1"/>
    <col min="12802" max="12802" width="13.125" style="326" customWidth="1"/>
    <col min="12803" max="12804" width="12.125" style="326" customWidth="1"/>
    <col min="12805" max="12805" width="14.375" style="326" bestFit="1" customWidth="1"/>
    <col min="12806" max="12806" width="11" style="326" customWidth="1"/>
    <col min="12807" max="12807" width="10" style="326" customWidth="1"/>
    <col min="12808" max="12808" width="10.875" style="326" customWidth="1"/>
    <col min="12809" max="12809" width="13.75" style="326" customWidth="1"/>
    <col min="12810" max="12810" width="10" style="326" customWidth="1"/>
    <col min="12811" max="12811" width="13.25" style="326" customWidth="1"/>
    <col min="12812" max="12812" width="14.375" style="326" customWidth="1"/>
    <col min="12813" max="12813" width="10" style="326" customWidth="1"/>
    <col min="12814" max="12814" width="10.875" style="326" customWidth="1"/>
    <col min="12815" max="12815" width="11.375" style="326" customWidth="1"/>
    <col min="12816" max="12816" width="15.375" style="326" customWidth="1"/>
    <col min="12817" max="12818" width="10.75" style="326" customWidth="1"/>
    <col min="12819" max="12819" width="14.375" style="326" customWidth="1"/>
    <col min="12820" max="12820" width="10.75" style="326" customWidth="1"/>
    <col min="12821" max="12821" width="11.75" style="326" customWidth="1"/>
    <col min="12822" max="12822" width="10" style="326" customWidth="1"/>
    <col min="12823" max="12823" width="15.375" style="326" customWidth="1"/>
    <col min="12824" max="12824" width="10" style="326" customWidth="1"/>
    <col min="12825" max="12825" width="10.75" style="326" customWidth="1"/>
    <col min="12826" max="12826" width="14.875" style="326" customWidth="1"/>
    <col min="12827" max="12827" width="11.5" style="326" customWidth="1"/>
    <col min="12828" max="12828" width="10" style="326" customWidth="1"/>
    <col min="12829" max="12829" width="10.75" style="326" customWidth="1"/>
    <col min="12830" max="12830" width="13.5" style="326" customWidth="1"/>
    <col min="12831" max="12831" width="9" style="326"/>
    <col min="12832" max="12832" width="10.75" style="326" bestFit="1" customWidth="1"/>
    <col min="12833" max="12833" width="13.75" style="326" customWidth="1"/>
    <col min="12834" max="12834" width="9" style="326"/>
    <col min="12835" max="12835" width="10.625" style="326" customWidth="1"/>
    <col min="12836" max="12836" width="9" style="326"/>
    <col min="12837" max="12837" width="14.25" style="326" customWidth="1"/>
    <col min="12838" max="12838" width="10.75" style="326" bestFit="1" customWidth="1"/>
    <col min="12839" max="12839" width="11.625" style="326" customWidth="1"/>
    <col min="12840" max="12840" width="13.75" style="326" customWidth="1"/>
    <col min="12841" max="12841" width="10.625" style="326" customWidth="1"/>
    <col min="12842" max="12843" width="9" style="326"/>
    <col min="12844" max="12844" width="14.125" style="326" customWidth="1"/>
    <col min="12845" max="12845" width="11" style="326" customWidth="1"/>
    <col min="12846" max="12846" width="10.75" style="326" bestFit="1" customWidth="1"/>
    <col min="12847" max="12847" width="13.5" style="326" customWidth="1"/>
    <col min="12848" max="12849" width="9" style="326"/>
    <col min="12850" max="12850" width="10.75" style="326" bestFit="1" customWidth="1"/>
    <col min="12851" max="12851" width="14" style="326" customWidth="1"/>
    <col min="12852" max="12852" width="9" style="326"/>
    <col min="12853" max="12853" width="10.75" style="326" customWidth="1"/>
    <col min="12854" max="12854" width="12.75" style="326" customWidth="1"/>
    <col min="12855" max="12855" width="9" style="326"/>
    <col min="12856" max="12856" width="10.75" style="326" bestFit="1" customWidth="1"/>
    <col min="12857" max="12857" width="11.5" style="326" customWidth="1"/>
    <col min="12858" max="12858" width="13.625" style="326" customWidth="1"/>
    <col min="12859" max="12859" width="10.625" style="326" customWidth="1"/>
    <col min="12860" max="12860" width="10.75" style="326" bestFit="1" customWidth="1"/>
    <col min="12861" max="12861" width="12.375" style="326" customWidth="1"/>
    <col min="12862" max="12864" width="9" style="326"/>
    <col min="12865" max="12865" width="15.75" style="326" customWidth="1"/>
    <col min="12866" max="12866" width="9" style="326"/>
    <col min="12867" max="12867" width="10.75" style="326" bestFit="1" customWidth="1"/>
    <col min="12868" max="12868" width="12.625" style="326" customWidth="1"/>
    <col min="12869" max="12871" width="9" style="326"/>
    <col min="12872" max="12872" width="13.625" style="326" customWidth="1"/>
    <col min="12873" max="12873" width="9" style="326"/>
    <col min="12874" max="12874" width="10.75" style="326" bestFit="1" customWidth="1"/>
    <col min="12875" max="12875" width="12.5" style="326" customWidth="1"/>
    <col min="12876" max="12878" width="9" style="326"/>
    <col min="12879" max="12879" width="12.875" style="326" customWidth="1"/>
    <col min="12880" max="12880" width="9" style="326"/>
    <col min="12881" max="12881" width="10.75" style="326" bestFit="1" customWidth="1"/>
    <col min="12882" max="12882" width="13.875" style="326" customWidth="1"/>
    <col min="12883" max="12885" width="9" style="326"/>
    <col min="12886" max="12886" width="14.125" style="326" customWidth="1"/>
    <col min="12887" max="12887" width="9" style="326"/>
    <col min="12888" max="12888" width="10.75" style="326" bestFit="1" customWidth="1"/>
    <col min="12889" max="12889" width="13.25" style="326" customWidth="1"/>
    <col min="12890" max="12892" width="9" style="326"/>
    <col min="12893" max="12893" width="13.25" style="326" customWidth="1"/>
    <col min="12894" max="12894" width="9" style="326"/>
    <col min="12895" max="12895" width="10.75" style="326" bestFit="1" customWidth="1"/>
    <col min="12896" max="12896" width="13.875" style="326" customWidth="1"/>
    <col min="12897" max="12899" width="9" style="326"/>
    <col min="12900" max="12900" width="13.625" style="326" customWidth="1"/>
    <col min="12901" max="12901" width="9" style="326"/>
    <col min="12902" max="12902" width="10.75" style="326" bestFit="1" customWidth="1"/>
    <col min="12903" max="12903" width="13" style="326" customWidth="1"/>
    <col min="12904" max="13050" width="9" style="326"/>
    <col min="13051" max="13052" width="12.125" style="326" customWidth="1"/>
    <col min="13053" max="13055" width="13" style="326" customWidth="1"/>
    <col min="13056" max="13056" width="12.875" style="326" customWidth="1"/>
    <col min="13057" max="13057" width="13" style="326" customWidth="1"/>
    <col min="13058" max="13058" width="13.125" style="326" customWidth="1"/>
    <col min="13059" max="13060" width="12.125" style="326" customWidth="1"/>
    <col min="13061" max="13061" width="14.375" style="326" bestFit="1" customWidth="1"/>
    <col min="13062" max="13062" width="11" style="326" customWidth="1"/>
    <col min="13063" max="13063" width="10" style="326" customWidth="1"/>
    <col min="13064" max="13064" width="10.875" style="326" customWidth="1"/>
    <col min="13065" max="13065" width="13.75" style="326" customWidth="1"/>
    <col min="13066" max="13066" width="10" style="326" customWidth="1"/>
    <col min="13067" max="13067" width="13.25" style="326" customWidth="1"/>
    <col min="13068" max="13068" width="14.375" style="326" customWidth="1"/>
    <col min="13069" max="13069" width="10" style="326" customWidth="1"/>
    <col min="13070" max="13070" width="10.875" style="326" customWidth="1"/>
    <col min="13071" max="13071" width="11.375" style="326" customWidth="1"/>
    <col min="13072" max="13072" width="15.375" style="326" customWidth="1"/>
    <col min="13073" max="13074" width="10.75" style="326" customWidth="1"/>
    <col min="13075" max="13075" width="14.375" style="326" customWidth="1"/>
    <col min="13076" max="13076" width="10.75" style="326" customWidth="1"/>
    <col min="13077" max="13077" width="11.75" style="326" customWidth="1"/>
    <col min="13078" max="13078" width="10" style="326" customWidth="1"/>
    <col min="13079" max="13079" width="15.375" style="326" customWidth="1"/>
    <col min="13080" max="13080" width="10" style="326" customWidth="1"/>
    <col min="13081" max="13081" width="10.75" style="326" customWidth="1"/>
    <col min="13082" max="13082" width="14.875" style="326" customWidth="1"/>
    <col min="13083" max="13083" width="11.5" style="326" customWidth="1"/>
    <col min="13084" max="13084" width="10" style="326" customWidth="1"/>
    <col min="13085" max="13085" width="10.75" style="326" customWidth="1"/>
    <col min="13086" max="13086" width="13.5" style="326" customWidth="1"/>
    <col min="13087" max="13087" width="9" style="326"/>
    <col min="13088" max="13088" width="10.75" style="326" bestFit="1" customWidth="1"/>
    <col min="13089" max="13089" width="13.75" style="326" customWidth="1"/>
    <col min="13090" max="13090" width="9" style="326"/>
    <col min="13091" max="13091" width="10.625" style="326" customWidth="1"/>
    <col min="13092" max="13092" width="9" style="326"/>
    <col min="13093" max="13093" width="14.25" style="326" customWidth="1"/>
    <col min="13094" max="13094" width="10.75" style="326" bestFit="1" customWidth="1"/>
    <col min="13095" max="13095" width="11.625" style="326" customWidth="1"/>
    <col min="13096" max="13096" width="13.75" style="326" customWidth="1"/>
    <col min="13097" max="13097" width="10.625" style="326" customWidth="1"/>
    <col min="13098" max="13099" width="9" style="326"/>
    <col min="13100" max="13100" width="14.125" style="326" customWidth="1"/>
    <col min="13101" max="13101" width="11" style="326" customWidth="1"/>
    <col min="13102" max="13102" width="10.75" style="326" bestFit="1" customWidth="1"/>
    <col min="13103" max="13103" width="13.5" style="326" customWidth="1"/>
    <col min="13104" max="13105" width="9" style="326"/>
    <col min="13106" max="13106" width="10.75" style="326" bestFit="1" customWidth="1"/>
    <col min="13107" max="13107" width="14" style="326" customWidth="1"/>
    <col min="13108" max="13108" width="9" style="326"/>
    <col min="13109" max="13109" width="10.75" style="326" customWidth="1"/>
    <col min="13110" max="13110" width="12.75" style="326" customWidth="1"/>
    <col min="13111" max="13111" width="9" style="326"/>
    <col min="13112" max="13112" width="10.75" style="326" bestFit="1" customWidth="1"/>
    <col min="13113" max="13113" width="11.5" style="326" customWidth="1"/>
    <col min="13114" max="13114" width="13.625" style="326" customWidth="1"/>
    <col min="13115" max="13115" width="10.625" style="326" customWidth="1"/>
    <col min="13116" max="13116" width="10.75" style="326" bestFit="1" customWidth="1"/>
    <col min="13117" max="13117" width="12.375" style="326" customWidth="1"/>
    <col min="13118" max="13120" width="9" style="326"/>
    <col min="13121" max="13121" width="15.75" style="326" customWidth="1"/>
    <col min="13122" max="13122" width="9" style="326"/>
    <col min="13123" max="13123" width="10.75" style="326" bestFit="1" customWidth="1"/>
    <col min="13124" max="13124" width="12.625" style="326" customWidth="1"/>
    <col min="13125" max="13127" width="9" style="326"/>
    <col min="13128" max="13128" width="13.625" style="326" customWidth="1"/>
    <col min="13129" max="13129" width="9" style="326"/>
    <col min="13130" max="13130" width="10.75" style="326" bestFit="1" customWidth="1"/>
    <col min="13131" max="13131" width="12.5" style="326" customWidth="1"/>
    <col min="13132" max="13134" width="9" style="326"/>
    <col min="13135" max="13135" width="12.875" style="326" customWidth="1"/>
    <col min="13136" max="13136" width="9" style="326"/>
    <col min="13137" max="13137" width="10.75" style="326" bestFit="1" customWidth="1"/>
    <col min="13138" max="13138" width="13.875" style="326" customWidth="1"/>
    <col min="13139" max="13141" width="9" style="326"/>
    <col min="13142" max="13142" width="14.125" style="326" customWidth="1"/>
    <col min="13143" max="13143" width="9" style="326"/>
    <col min="13144" max="13144" width="10.75" style="326" bestFit="1" customWidth="1"/>
    <col min="13145" max="13145" width="13.25" style="326" customWidth="1"/>
    <col min="13146" max="13148" width="9" style="326"/>
    <col min="13149" max="13149" width="13.25" style="326" customWidth="1"/>
    <col min="13150" max="13150" width="9" style="326"/>
    <col min="13151" max="13151" width="10.75" style="326" bestFit="1" customWidth="1"/>
    <col min="13152" max="13152" width="13.875" style="326" customWidth="1"/>
    <col min="13153" max="13155" width="9" style="326"/>
    <col min="13156" max="13156" width="13.625" style="326" customWidth="1"/>
    <col min="13157" max="13157" width="9" style="326"/>
    <col min="13158" max="13158" width="10.75" style="326" bestFit="1" customWidth="1"/>
    <col min="13159" max="13159" width="13" style="326" customWidth="1"/>
    <col min="13160" max="13306" width="9" style="326"/>
    <col min="13307" max="13308" width="12.125" style="326" customWidth="1"/>
    <col min="13309" max="13311" width="13" style="326" customWidth="1"/>
    <col min="13312" max="13312" width="12.875" style="326" customWidth="1"/>
    <col min="13313" max="13313" width="13" style="326" customWidth="1"/>
    <col min="13314" max="13314" width="13.125" style="326" customWidth="1"/>
    <col min="13315" max="13316" width="12.125" style="326" customWidth="1"/>
    <col min="13317" max="13317" width="14.375" style="326" bestFit="1" customWidth="1"/>
    <col min="13318" max="13318" width="11" style="326" customWidth="1"/>
    <col min="13319" max="13319" width="10" style="326" customWidth="1"/>
    <col min="13320" max="13320" width="10.875" style="326" customWidth="1"/>
    <col min="13321" max="13321" width="13.75" style="326" customWidth="1"/>
    <col min="13322" max="13322" width="10" style="326" customWidth="1"/>
    <col min="13323" max="13323" width="13.25" style="326" customWidth="1"/>
    <col min="13324" max="13324" width="14.375" style="326" customWidth="1"/>
    <col min="13325" max="13325" width="10" style="326" customWidth="1"/>
    <col min="13326" max="13326" width="10.875" style="326" customWidth="1"/>
    <col min="13327" max="13327" width="11.375" style="326" customWidth="1"/>
    <col min="13328" max="13328" width="15.375" style="326" customWidth="1"/>
    <col min="13329" max="13330" width="10.75" style="326" customWidth="1"/>
    <col min="13331" max="13331" width="14.375" style="326" customWidth="1"/>
    <col min="13332" max="13332" width="10.75" style="326" customWidth="1"/>
    <col min="13333" max="13333" width="11.75" style="326" customWidth="1"/>
    <col min="13334" max="13334" width="10" style="326" customWidth="1"/>
    <col min="13335" max="13335" width="15.375" style="326" customWidth="1"/>
    <col min="13336" max="13336" width="10" style="326" customWidth="1"/>
    <col min="13337" max="13337" width="10.75" style="326" customWidth="1"/>
    <col min="13338" max="13338" width="14.875" style="326" customWidth="1"/>
    <col min="13339" max="13339" width="11.5" style="326" customWidth="1"/>
    <col min="13340" max="13340" width="10" style="326" customWidth="1"/>
    <col min="13341" max="13341" width="10.75" style="326" customWidth="1"/>
    <col min="13342" max="13342" width="13.5" style="326" customWidth="1"/>
    <col min="13343" max="13343" width="9" style="326"/>
    <col min="13344" max="13344" width="10.75" style="326" bestFit="1" customWidth="1"/>
    <col min="13345" max="13345" width="13.75" style="326" customWidth="1"/>
    <col min="13346" max="13346" width="9" style="326"/>
    <col min="13347" max="13347" width="10.625" style="326" customWidth="1"/>
    <col min="13348" max="13348" width="9" style="326"/>
    <col min="13349" max="13349" width="14.25" style="326" customWidth="1"/>
    <col min="13350" max="13350" width="10.75" style="326" bestFit="1" customWidth="1"/>
    <col min="13351" max="13351" width="11.625" style="326" customWidth="1"/>
    <col min="13352" max="13352" width="13.75" style="326" customWidth="1"/>
    <col min="13353" max="13353" width="10.625" style="326" customWidth="1"/>
    <col min="13354" max="13355" width="9" style="326"/>
    <col min="13356" max="13356" width="14.125" style="326" customWidth="1"/>
    <col min="13357" max="13357" width="11" style="326" customWidth="1"/>
    <col min="13358" max="13358" width="10.75" style="326" bestFit="1" customWidth="1"/>
    <col min="13359" max="13359" width="13.5" style="326" customWidth="1"/>
    <col min="13360" max="13361" width="9" style="326"/>
    <col min="13362" max="13362" width="10.75" style="326" bestFit="1" customWidth="1"/>
    <col min="13363" max="13363" width="14" style="326" customWidth="1"/>
    <col min="13364" max="13364" width="9" style="326"/>
    <col min="13365" max="13365" width="10.75" style="326" customWidth="1"/>
    <col min="13366" max="13366" width="12.75" style="326" customWidth="1"/>
    <col min="13367" max="13367" width="9" style="326"/>
    <col min="13368" max="13368" width="10.75" style="326" bestFit="1" customWidth="1"/>
    <col min="13369" max="13369" width="11.5" style="326" customWidth="1"/>
    <col min="13370" max="13370" width="13.625" style="326" customWidth="1"/>
    <col min="13371" max="13371" width="10.625" style="326" customWidth="1"/>
    <col min="13372" max="13372" width="10.75" style="326" bestFit="1" customWidth="1"/>
    <col min="13373" max="13373" width="12.375" style="326" customWidth="1"/>
    <col min="13374" max="13376" width="9" style="326"/>
    <col min="13377" max="13377" width="15.75" style="326" customWidth="1"/>
    <col min="13378" max="13378" width="9" style="326"/>
    <col min="13379" max="13379" width="10.75" style="326" bestFit="1" customWidth="1"/>
    <col min="13380" max="13380" width="12.625" style="326" customWidth="1"/>
    <col min="13381" max="13383" width="9" style="326"/>
    <col min="13384" max="13384" width="13.625" style="326" customWidth="1"/>
    <col min="13385" max="13385" width="9" style="326"/>
    <col min="13386" max="13386" width="10.75" style="326" bestFit="1" customWidth="1"/>
    <col min="13387" max="13387" width="12.5" style="326" customWidth="1"/>
    <col min="13388" max="13390" width="9" style="326"/>
    <col min="13391" max="13391" width="12.875" style="326" customWidth="1"/>
    <col min="13392" max="13392" width="9" style="326"/>
    <col min="13393" max="13393" width="10.75" style="326" bestFit="1" customWidth="1"/>
    <col min="13394" max="13394" width="13.875" style="326" customWidth="1"/>
    <col min="13395" max="13397" width="9" style="326"/>
    <col min="13398" max="13398" width="14.125" style="326" customWidth="1"/>
    <col min="13399" max="13399" width="9" style="326"/>
    <col min="13400" max="13400" width="10.75" style="326" bestFit="1" customWidth="1"/>
    <col min="13401" max="13401" width="13.25" style="326" customWidth="1"/>
    <col min="13402" max="13404" width="9" style="326"/>
    <col min="13405" max="13405" width="13.25" style="326" customWidth="1"/>
    <col min="13406" max="13406" width="9" style="326"/>
    <col min="13407" max="13407" width="10.75" style="326" bestFit="1" customWidth="1"/>
    <col min="13408" max="13408" width="13.875" style="326" customWidth="1"/>
    <col min="13409" max="13411" width="9" style="326"/>
    <col min="13412" max="13412" width="13.625" style="326" customWidth="1"/>
    <col min="13413" max="13413" width="9" style="326"/>
    <col min="13414" max="13414" width="10.75" style="326" bestFit="1" customWidth="1"/>
    <col min="13415" max="13415" width="13" style="326" customWidth="1"/>
    <col min="13416" max="13562" width="9" style="326"/>
    <col min="13563" max="13564" width="12.125" style="326" customWidth="1"/>
    <col min="13565" max="13567" width="13" style="326" customWidth="1"/>
    <col min="13568" max="13568" width="12.875" style="326" customWidth="1"/>
    <col min="13569" max="13569" width="13" style="326" customWidth="1"/>
    <col min="13570" max="13570" width="13.125" style="326" customWidth="1"/>
    <col min="13571" max="13572" width="12.125" style="326" customWidth="1"/>
    <col min="13573" max="13573" width="14.375" style="326" bestFit="1" customWidth="1"/>
    <col min="13574" max="13574" width="11" style="326" customWidth="1"/>
    <col min="13575" max="13575" width="10" style="326" customWidth="1"/>
    <col min="13576" max="13576" width="10.875" style="326" customWidth="1"/>
    <col min="13577" max="13577" width="13.75" style="326" customWidth="1"/>
    <col min="13578" max="13578" width="10" style="326" customWidth="1"/>
    <col min="13579" max="13579" width="13.25" style="326" customWidth="1"/>
    <col min="13580" max="13580" width="14.375" style="326" customWidth="1"/>
    <col min="13581" max="13581" width="10" style="326" customWidth="1"/>
    <col min="13582" max="13582" width="10.875" style="326" customWidth="1"/>
    <col min="13583" max="13583" width="11.375" style="326" customWidth="1"/>
    <col min="13584" max="13584" width="15.375" style="326" customWidth="1"/>
    <col min="13585" max="13586" width="10.75" style="326" customWidth="1"/>
    <col min="13587" max="13587" width="14.375" style="326" customWidth="1"/>
    <col min="13588" max="13588" width="10.75" style="326" customWidth="1"/>
    <col min="13589" max="13589" width="11.75" style="326" customWidth="1"/>
    <col min="13590" max="13590" width="10" style="326" customWidth="1"/>
    <col min="13591" max="13591" width="15.375" style="326" customWidth="1"/>
    <col min="13592" max="13592" width="10" style="326" customWidth="1"/>
    <col min="13593" max="13593" width="10.75" style="326" customWidth="1"/>
    <col min="13594" max="13594" width="14.875" style="326" customWidth="1"/>
    <col min="13595" max="13595" width="11.5" style="326" customWidth="1"/>
    <col min="13596" max="13596" width="10" style="326" customWidth="1"/>
    <col min="13597" max="13597" width="10.75" style="326" customWidth="1"/>
    <col min="13598" max="13598" width="13.5" style="326" customWidth="1"/>
    <col min="13599" max="13599" width="9" style="326"/>
    <col min="13600" max="13600" width="10.75" style="326" bestFit="1" customWidth="1"/>
    <col min="13601" max="13601" width="13.75" style="326" customWidth="1"/>
    <col min="13602" max="13602" width="9" style="326"/>
    <col min="13603" max="13603" width="10.625" style="326" customWidth="1"/>
    <col min="13604" max="13604" width="9" style="326"/>
    <col min="13605" max="13605" width="14.25" style="326" customWidth="1"/>
    <col min="13606" max="13606" width="10.75" style="326" bestFit="1" customWidth="1"/>
    <col min="13607" max="13607" width="11.625" style="326" customWidth="1"/>
    <col min="13608" max="13608" width="13.75" style="326" customWidth="1"/>
    <col min="13609" max="13609" width="10.625" style="326" customWidth="1"/>
    <col min="13610" max="13611" width="9" style="326"/>
    <col min="13612" max="13612" width="14.125" style="326" customWidth="1"/>
    <col min="13613" max="13613" width="11" style="326" customWidth="1"/>
    <col min="13614" max="13614" width="10.75" style="326" bestFit="1" customWidth="1"/>
    <col min="13615" max="13615" width="13.5" style="326" customWidth="1"/>
    <col min="13616" max="13617" width="9" style="326"/>
    <col min="13618" max="13618" width="10.75" style="326" bestFit="1" customWidth="1"/>
    <col min="13619" max="13619" width="14" style="326" customWidth="1"/>
    <col min="13620" max="13620" width="9" style="326"/>
    <col min="13621" max="13621" width="10.75" style="326" customWidth="1"/>
    <col min="13622" max="13622" width="12.75" style="326" customWidth="1"/>
    <col min="13623" max="13623" width="9" style="326"/>
    <col min="13624" max="13624" width="10.75" style="326" bestFit="1" customWidth="1"/>
    <col min="13625" max="13625" width="11.5" style="326" customWidth="1"/>
    <col min="13626" max="13626" width="13.625" style="326" customWidth="1"/>
    <col min="13627" max="13627" width="10.625" style="326" customWidth="1"/>
    <col min="13628" max="13628" width="10.75" style="326" bestFit="1" customWidth="1"/>
    <col min="13629" max="13629" width="12.375" style="326" customWidth="1"/>
    <col min="13630" max="13632" width="9" style="326"/>
    <col min="13633" max="13633" width="15.75" style="326" customWidth="1"/>
    <col min="13634" max="13634" width="9" style="326"/>
    <col min="13635" max="13635" width="10.75" style="326" bestFit="1" customWidth="1"/>
    <col min="13636" max="13636" width="12.625" style="326" customWidth="1"/>
    <col min="13637" max="13639" width="9" style="326"/>
    <col min="13640" max="13640" width="13.625" style="326" customWidth="1"/>
    <col min="13641" max="13641" width="9" style="326"/>
    <col min="13642" max="13642" width="10.75" style="326" bestFit="1" customWidth="1"/>
    <col min="13643" max="13643" width="12.5" style="326" customWidth="1"/>
    <col min="13644" max="13646" width="9" style="326"/>
    <col min="13647" max="13647" width="12.875" style="326" customWidth="1"/>
    <col min="13648" max="13648" width="9" style="326"/>
    <col min="13649" max="13649" width="10.75" style="326" bestFit="1" customWidth="1"/>
    <col min="13650" max="13650" width="13.875" style="326" customWidth="1"/>
    <col min="13651" max="13653" width="9" style="326"/>
    <col min="13654" max="13654" width="14.125" style="326" customWidth="1"/>
    <col min="13655" max="13655" width="9" style="326"/>
    <col min="13656" max="13656" width="10.75" style="326" bestFit="1" customWidth="1"/>
    <col min="13657" max="13657" width="13.25" style="326" customWidth="1"/>
    <col min="13658" max="13660" width="9" style="326"/>
    <col min="13661" max="13661" width="13.25" style="326" customWidth="1"/>
    <col min="13662" max="13662" width="9" style="326"/>
    <col min="13663" max="13663" width="10.75" style="326" bestFit="1" customWidth="1"/>
    <col min="13664" max="13664" width="13.875" style="326" customWidth="1"/>
    <col min="13665" max="13667" width="9" style="326"/>
    <col min="13668" max="13668" width="13.625" style="326" customWidth="1"/>
    <col min="13669" max="13669" width="9" style="326"/>
    <col min="13670" max="13670" width="10.75" style="326" bestFit="1" customWidth="1"/>
    <col min="13671" max="13671" width="13" style="326" customWidth="1"/>
    <col min="13672" max="13818" width="9" style="326"/>
    <col min="13819" max="13820" width="12.125" style="326" customWidth="1"/>
    <col min="13821" max="13823" width="13" style="326" customWidth="1"/>
    <col min="13824" max="13824" width="12.875" style="326" customWidth="1"/>
    <col min="13825" max="13825" width="13" style="326" customWidth="1"/>
    <col min="13826" max="13826" width="13.125" style="326" customWidth="1"/>
    <col min="13827" max="13828" width="12.125" style="326" customWidth="1"/>
    <col min="13829" max="13829" width="14.375" style="326" bestFit="1" customWidth="1"/>
    <col min="13830" max="13830" width="11" style="326" customWidth="1"/>
    <col min="13831" max="13831" width="10" style="326" customWidth="1"/>
    <col min="13832" max="13832" width="10.875" style="326" customWidth="1"/>
    <col min="13833" max="13833" width="13.75" style="326" customWidth="1"/>
    <col min="13834" max="13834" width="10" style="326" customWidth="1"/>
    <col min="13835" max="13835" width="13.25" style="326" customWidth="1"/>
    <col min="13836" max="13836" width="14.375" style="326" customWidth="1"/>
    <col min="13837" max="13837" width="10" style="326" customWidth="1"/>
    <col min="13838" max="13838" width="10.875" style="326" customWidth="1"/>
    <col min="13839" max="13839" width="11.375" style="326" customWidth="1"/>
    <col min="13840" max="13840" width="15.375" style="326" customWidth="1"/>
    <col min="13841" max="13842" width="10.75" style="326" customWidth="1"/>
    <col min="13843" max="13843" width="14.375" style="326" customWidth="1"/>
    <col min="13844" max="13844" width="10.75" style="326" customWidth="1"/>
    <col min="13845" max="13845" width="11.75" style="326" customWidth="1"/>
    <col min="13846" max="13846" width="10" style="326" customWidth="1"/>
    <col min="13847" max="13847" width="15.375" style="326" customWidth="1"/>
    <col min="13848" max="13848" width="10" style="326" customWidth="1"/>
    <col min="13849" max="13849" width="10.75" style="326" customWidth="1"/>
    <col min="13850" max="13850" width="14.875" style="326" customWidth="1"/>
    <col min="13851" max="13851" width="11.5" style="326" customWidth="1"/>
    <col min="13852" max="13852" width="10" style="326" customWidth="1"/>
    <col min="13853" max="13853" width="10.75" style="326" customWidth="1"/>
    <col min="13854" max="13854" width="13.5" style="326" customWidth="1"/>
    <col min="13855" max="13855" width="9" style="326"/>
    <col min="13856" max="13856" width="10.75" style="326" bestFit="1" customWidth="1"/>
    <col min="13857" max="13857" width="13.75" style="326" customWidth="1"/>
    <col min="13858" max="13858" width="9" style="326"/>
    <col min="13859" max="13859" width="10.625" style="326" customWidth="1"/>
    <col min="13860" max="13860" width="9" style="326"/>
    <col min="13861" max="13861" width="14.25" style="326" customWidth="1"/>
    <col min="13862" max="13862" width="10.75" style="326" bestFit="1" customWidth="1"/>
    <col min="13863" max="13863" width="11.625" style="326" customWidth="1"/>
    <col min="13864" max="13864" width="13.75" style="326" customWidth="1"/>
    <col min="13865" max="13865" width="10.625" style="326" customWidth="1"/>
    <col min="13866" max="13867" width="9" style="326"/>
    <col min="13868" max="13868" width="14.125" style="326" customWidth="1"/>
    <col min="13869" max="13869" width="11" style="326" customWidth="1"/>
    <col min="13870" max="13870" width="10.75" style="326" bestFit="1" customWidth="1"/>
    <col min="13871" max="13871" width="13.5" style="326" customWidth="1"/>
    <col min="13872" max="13873" width="9" style="326"/>
    <col min="13874" max="13874" width="10.75" style="326" bestFit="1" customWidth="1"/>
    <col min="13875" max="13875" width="14" style="326" customWidth="1"/>
    <col min="13876" max="13876" width="9" style="326"/>
    <col min="13877" max="13877" width="10.75" style="326" customWidth="1"/>
    <col min="13878" max="13878" width="12.75" style="326" customWidth="1"/>
    <col min="13879" max="13879" width="9" style="326"/>
    <col min="13880" max="13880" width="10.75" style="326" bestFit="1" customWidth="1"/>
    <col min="13881" max="13881" width="11.5" style="326" customWidth="1"/>
    <col min="13882" max="13882" width="13.625" style="326" customWidth="1"/>
    <col min="13883" max="13883" width="10.625" style="326" customWidth="1"/>
    <col min="13884" max="13884" width="10.75" style="326" bestFit="1" customWidth="1"/>
    <col min="13885" max="13885" width="12.375" style="326" customWidth="1"/>
    <col min="13886" max="13888" width="9" style="326"/>
    <col min="13889" max="13889" width="15.75" style="326" customWidth="1"/>
    <col min="13890" max="13890" width="9" style="326"/>
    <col min="13891" max="13891" width="10.75" style="326" bestFit="1" customWidth="1"/>
    <col min="13892" max="13892" width="12.625" style="326" customWidth="1"/>
    <col min="13893" max="13895" width="9" style="326"/>
    <col min="13896" max="13896" width="13.625" style="326" customWidth="1"/>
    <col min="13897" max="13897" width="9" style="326"/>
    <col min="13898" max="13898" width="10.75" style="326" bestFit="1" customWidth="1"/>
    <col min="13899" max="13899" width="12.5" style="326" customWidth="1"/>
    <col min="13900" max="13902" width="9" style="326"/>
    <col min="13903" max="13903" width="12.875" style="326" customWidth="1"/>
    <col min="13904" max="13904" width="9" style="326"/>
    <col min="13905" max="13905" width="10.75" style="326" bestFit="1" customWidth="1"/>
    <col min="13906" max="13906" width="13.875" style="326" customWidth="1"/>
    <col min="13907" max="13909" width="9" style="326"/>
    <col min="13910" max="13910" width="14.125" style="326" customWidth="1"/>
    <col min="13911" max="13911" width="9" style="326"/>
    <col min="13912" max="13912" width="10.75" style="326" bestFit="1" customWidth="1"/>
    <col min="13913" max="13913" width="13.25" style="326" customWidth="1"/>
    <col min="13914" max="13916" width="9" style="326"/>
    <col min="13917" max="13917" width="13.25" style="326" customWidth="1"/>
    <col min="13918" max="13918" width="9" style="326"/>
    <col min="13919" max="13919" width="10.75" style="326" bestFit="1" customWidth="1"/>
    <col min="13920" max="13920" width="13.875" style="326" customWidth="1"/>
    <col min="13921" max="13923" width="9" style="326"/>
    <col min="13924" max="13924" width="13.625" style="326" customWidth="1"/>
    <col min="13925" max="13925" width="9" style="326"/>
    <col min="13926" max="13926" width="10.75" style="326" bestFit="1" customWidth="1"/>
    <col min="13927" max="13927" width="13" style="326" customWidth="1"/>
    <col min="13928" max="14074" width="9" style="326"/>
    <col min="14075" max="14076" width="12.125" style="326" customWidth="1"/>
    <col min="14077" max="14079" width="13" style="326" customWidth="1"/>
    <col min="14080" max="14080" width="12.875" style="326" customWidth="1"/>
    <col min="14081" max="14081" width="13" style="326" customWidth="1"/>
    <col min="14082" max="14082" width="13.125" style="326" customWidth="1"/>
    <col min="14083" max="14084" width="12.125" style="326" customWidth="1"/>
    <col min="14085" max="14085" width="14.375" style="326" bestFit="1" customWidth="1"/>
    <col min="14086" max="14086" width="11" style="326" customWidth="1"/>
    <col min="14087" max="14087" width="10" style="326" customWidth="1"/>
    <col min="14088" max="14088" width="10.875" style="326" customWidth="1"/>
    <col min="14089" max="14089" width="13.75" style="326" customWidth="1"/>
    <col min="14090" max="14090" width="10" style="326" customWidth="1"/>
    <col min="14091" max="14091" width="13.25" style="326" customWidth="1"/>
    <col min="14092" max="14092" width="14.375" style="326" customWidth="1"/>
    <col min="14093" max="14093" width="10" style="326" customWidth="1"/>
    <col min="14094" max="14094" width="10.875" style="326" customWidth="1"/>
    <col min="14095" max="14095" width="11.375" style="326" customWidth="1"/>
    <col min="14096" max="14096" width="15.375" style="326" customWidth="1"/>
    <col min="14097" max="14098" width="10.75" style="326" customWidth="1"/>
    <col min="14099" max="14099" width="14.375" style="326" customWidth="1"/>
    <col min="14100" max="14100" width="10.75" style="326" customWidth="1"/>
    <col min="14101" max="14101" width="11.75" style="326" customWidth="1"/>
    <col min="14102" max="14102" width="10" style="326" customWidth="1"/>
    <col min="14103" max="14103" width="15.375" style="326" customWidth="1"/>
    <col min="14104" max="14104" width="10" style="326" customWidth="1"/>
    <col min="14105" max="14105" width="10.75" style="326" customWidth="1"/>
    <col min="14106" max="14106" width="14.875" style="326" customWidth="1"/>
    <col min="14107" max="14107" width="11.5" style="326" customWidth="1"/>
    <col min="14108" max="14108" width="10" style="326" customWidth="1"/>
    <col min="14109" max="14109" width="10.75" style="326" customWidth="1"/>
    <col min="14110" max="14110" width="13.5" style="326" customWidth="1"/>
    <col min="14111" max="14111" width="9" style="326"/>
    <col min="14112" max="14112" width="10.75" style="326" bestFit="1" customWidth="1"/>
    <col min="14113" max="14113" width="13.75" style="326" customWidth="1"/>
    <col min="14114" max="14114" width="9" style="326"/>
    <col min="14115" max="14115" width="10.625" style="326" customWidth="1"/>
    <col min="14116" max="14116" width="9" style="326"/>
    <col min="14117" max="14117" width="14.25" style="326" customWidth="1"/>
    <col min="14118" max="14118" width="10.75" style="326" bestFit="1" customWidth="1"/>
    <col min="14119" max="14119" width="11.625" style="326" customWidth="1"/>
    <col min="14120" max="14120" width="13.75" style="326" customWidth="1"/>
    <col min="14121" max="14121" width="10.625" style="326" customWidth="1"/>
    <col min="14122" max="14123" width="9" style="326"/>
    <col min="14124" max="14124" width="14.125" style="326" customWidth="1"/>
    <col min="14125" max="14125" width="11" style="326" customWidth="1"/>
    <col min="14126" max="14126" width="10.75" style="326" bestFit="1" customWidth="1"/>
    <col min="14127" max="14127" width="13.5" style="326" customWidth="1"/>
    <col min="14128" max="14129" width="9" style="326"/>
    <col min="14130" max="14130" width="10.75" style="326" bestFit="1" customWidth="1"/>
    <col min="14131" max="14131" width="14" style="326" customWidth="1"/>
    <col min="14132" max="14132" width="9" style="326"/>
    <col min="14133" max="14133" width="10.75" style="326" customWidth="1"/>
    <col min="14134" max="14134" width="12.75" style="326" customWidth="1"/>
    <col min="14135" max="14135" width="9" style="326"/>
    <col min="14136" max="14136" width="10.75" style="326" bestFit="1" customWidth="1"/>
    <col min="14137" max="14137" width="11.5" style="326" customWidth="1"/>
    <col min="14138" max="14138" width="13.625" style="326" customWidth="1"/>
    <col min="14139" max="14139" width="10.625" style="326" customWidth="1"/>
    <col min="14140" max="14140" width="10.75" style="326" bestFit="1" customWidth="1"/>
    <col min="14141" max="14141" width="12.375" style="326" customWidth="1"/>
    <col min="14142" max="14144" width="9" style="326"/>
    <col min="14145" max="14145" width="15.75" style="326" customWidth="1"/>
    <col min="14146" max="14146" width="9" style="326"/>
    <col min="14147" max="14147" width="10.75" style="326" bestFit="1" customWidth="1"/>
    <col min="14148" max="14148" width="12.625" style="326" customWidth="1"/>
    <col min="14149" max="14151" width="9" style="326"/>
    <col min="14152" max="14152" width="13.625" style="326" customWidth="1"/>
    <col min="14153" max="14153" width="9" style="326"/>
    <col min="14154" max="14154" width="10.75" style="326" bestFit="1" customWidth="1"/>
    <col min="14155" max="14155" width="12.5" style="326" customWidth="1"/>
    <col min="14156" max="14158" width="9" style="326"/>
    <col min="14159" max="14159" width="12.875" style="326" customWidth="1"/>
    <col min="14160" max="14160" width="9" style="326"/>
    <col min="14161" max="14161" width="10.75" style="326" bestFit="1" customWidth="1"/>
    <col min="14162" max="14162" width="13.875" style="326" customWidth="1"/>
    <col min="14163" max="14165" width="9" style="326"/>
    <col min="14166" max="14166" width="14.125" style="326" customWidth="1"/>
    <col min="14167" max="14167" width="9" style="326"/>
    <col min="14168" max="14168" width="10.75" style="326" bestFit="1" customWidth="1"/>
    <col min="14169" max="14169" width="13.25" style="326" customWidth="1"/>
    <col min="14170" max="14172" width="9" style="326"/>
    <col min="14173" max="14173" width="13.25" style="326" customWidth="1"/>
    <col min="14174" max="14174" width="9" style="326"/>
    <col min="14175" max="14175" width="10.75" style="326" bestFit="1" customWidth="1"/>
    <col min="14176" max="14176" width="13.875" style="326" customWidth="1"/>
    <col min="14177" max="14179" width="9" style="326"/>
    <col min="14180" max="14180" width="13.625" style="326" customWidth="1"/>
    <col min="14181" max="14181" width="9" style="326"/>
    <col min="14182" max="14182" width="10.75" style="326" bestFit="1" customWidth="1"/>
    <col min="14183" max="14183" width="13" style="326" customWidth="1"/>
    <col min="14184" max="14330" width="9" style="326"/>
    <col min="14331" max="14332" width="12.125" style="326" customWidth="1"/>
    <col min="14333" max="14335" width="13" style="326" customWidth="1"/>
    <col min="14336" max="14336" width="12.875" style="326" customWidth="1"/>
    <col min="14337" max="14337" width="13" style="326" customWidth="1"/>
    <col min="14338" max="14338" width="13.125" style="326" customWidth="1"/>
    <col min="14339" max="14340" width="12.125" style="326" customWidth="1"/>
    <col min="14341" max="14341" width="14.375" style="326" bestFit="1" customWidth="1"/>
    <col min="14342" max="14342" width="11" style="326" customWidth="1"/>
    <col min="14343" max="14343" width="10" style="326" customWidth="1"/>
    <col min="14344" max="14344" width="10.875" style="326" customWidth="1"/>
    <col min="14345" max="14345" width="13.75" style="326" customWidth="1"/>
    <col min="14346" max="14346" width="10" style="326" customWidth="1"/>
    <col min="14347" max="14347" width="13.25" style="326" customWidth="1"/>
    <col min="14348" max="14348" width="14.375" style="326" customWidth="1"/>
    <col min="14349" max="14349" width="10" style="326" customWidth="1"/>
    <col min="14350" max="14350" width="10.875" style="326" customWidth="1"/>
    <col min="14351" max="14351" width="11.375" style="326" customWidth="1"/>
    <col min="14352" max="14352" width="15.375" style="326" customWidth="1"/>
    <col min="14353" max="14354" width="10.75" style="326" customWidth="1"/>
    <col min="14355" max="14355" width="14.375" style="326" customWidth="1"/>
    <col min="14356" max="14356" width="10.75" style="326" customWidth="1"/>
    <col min="14357" max="14357" width="11.75" style="326" customWidth="1"/>
    <col min="14358" max="14358" width="10" style="326" customWidth="1"/>
    <col min="14359" max="14359" width="15.375" style="326" customWidth="1"/>
    <col min="14360" max="14360" width="10" style="326" customWidth="1"/>
    <col min="14361" max="14361" width="10.75" style="326" customWidth="1"/>
    <col min="14362" max="14362" width="14.875" style="326" customWidth="1"/>
    <col min="14363" max="14363" width="11.5" style="326" customWidth="1"/>
    <col min="14364" max="14364" width="10" style="326" customWidth="1"/>
    <col min="14365" max="14365" width="10.75" style="326" customWidth="1"/>
    <col min="14366" max="14366" width="13.5" style="326" customWidth="1"/>
    <col min="14367" max="14367" width="9" style="326"/>
    <col min="14368" max="14368" width="10.75" style="326" bestFit="1" customWidth="1"/>
    <col min="14369" max="14369" width="13.75" style="326" customWidth="1"/>
    <col min="14370" max="14370" width="9" style="326"/>
    <col min="14371" max="14371" width="10.625" style="326" customWidth="1"/>
    <col min="14372" max="14372" width="9" style="326"/>
    <col min="14373" max="14373" width="14.25" style="326" customWidth="1"/>
    <col min="14374" max="14374" width="10.75" style="326" bestFit="1" customWidth="1"/>
    <col min="14375" max="14375" width="11.625" style="326" customWidth="1"/>
    <col min="14376" max="14376" width="13.75" style="326" customWidth="1"/>
    <col min="14377" max="14377" width="10.625" style="326" customWidth="1"/>
    <col min="14378" max="14379" width="9" style="326"/>
    <col min="14380" max="14380" width="14.125" style="326" customWidth="1"/>
    <col min="14381" max="14381" width="11" style="326" customWidth="1"/>
    <col min="14382" max="14382" width="10.75" style="326" bestFit="1" customWidth="1"/>
    <col min="14383" max="14383" width="13.5" style="326" customWidth="1"/>
    <col min="14384" max="14385" width="9" style="326"/>
    <col min="14386" max="14386" width="10.75" style="326" bestFit="1" customWidth="1"/>
    <col min="14387" max="14387" width="14" style="326" customWidth="1"/>
    <col min="14388" max="14388" width="9" style="326"/>
    <col min="14389" max="14389" width="10.75" style="326" customWidth="1"/>
    <col min="14390" max="14390" width="12.75" style="326" customWidth="1"/>
    <col min="14391" max="14391" width="9" style="326"/>
    <col min="14392" max="14392" width="10.75" style="326" bestFit="1" customWidth="1"/>
    <col min="14393" max="14393" width="11.5" style="326" customWidth="1"/>
    <col min="14394" max="14394" width="13.625" style="326" customWidth="1"/>
    <col min="14395" max="14395" width="10.625" style="326" customWidth="1"/>
    <col min="14396" max="14396" width="10.75" style="326" bestFit="1" customWidth="1"/>
    <col min="14397" max="14397" width="12.375" style="326" customWidth="1"/>
    <col min="14398" max="14400" width="9" style="326"/>
    <col min="14401" max="14401" width="15.75" style="326" customWidth="1"/>
    <col min="14402" max="14402" width="9" style="326"/>
    <col min="14403" max="14403" width="10.75" style="326" bestFit="1" customWidth="1"/>
    <col min="14404" max="14404" width="12.625" style="326" customWidth="1"/>
    <col min="14405" max="14407" width="9" style="326"/>
    <col min="14408" max="14408" width="13.625" style="326" customWidth="1"/>
    <col min="14409" max="14409" width="9" style="326"/>
    <col min="14410" max="14410" width="10.75" style="326" bestFit="1" customWidth="1"/>
    <col min="14411" max="14411" width="12.5" style="326" customWidth="1"/>
    <col min="14412" max="14414" width="9" style="326"/>
    <col min="14415" max="14415" width="12.875" style="326" customWidth="1"/>
    <col min="14416" max="14416" width="9" style="326"/>
    <col min="14417" max="14417" width="10.75" style="326" bestFit="1" customWidth="1"/>
    <col min="14418" max="14418" width="13.875" style="326" customWidth="1"/>
    <col min="14419" max="14421" width="9" style="326"/>
    <col min="14422" max="14422" width="14.125" style="326" customWidth="1"/>
    <col min="14423" max="14423" width="9" style="326"/>
    <col min="14424" max="14424" width="10.75" style="326" bestFit="1" customWidth="1"/>
    <col min="14425" max="14425" width="13.25" style="326" customWidth="1"/>
    <col min="14426" max="14428" width="9" style="326"/>
    <col min="14429" max="14429" width="13.25" style="326" customWidth="1"/>
    <col min="14430" max="14430" width="9" style="326"/>
    <col min="14431" max="14431" width="10.75" style="326" bestFit="1" customWidth="1"/>
    <col min="14432" max="14432" width="13.875" style="326" customWidth="1"/>
    <col min="14433" max="14435" width="9" style="326"/>
    <col min="14436" max="14436" width="13.625" style="326" customWidth="1"/>
    <col min="14437" max="14437" width="9" style="326"/>
    <col min="14438" max="14438" width="10.75" style="326" bestFit="1" customWidth="1"/>
    <col min="14439" max="14439" width="13" style="326" customWidth="1"/>
    <col min="14440" max="14586" width="9" style="326"/>
    <col min="14587" max="14588" width="12.125" style="326" customWidth="1"/>
    <col min="14589" max="14591" width="13" style="326" customWidth="1"/>
    <col min="14592" max="14592" width="12.875" style="326" customWidth="1"/>
    <col min="14593" max="14593" width="13" style="326" customWidth="1"/>
    <col min="14594" max="14594" width="13.125" style="326" customWidth="1"/>
    <col min="14595" max="14596" width="12.125" style="326" customWidth="1"/>
    <col min="14597" max="14597" width="14.375" style="326" bestFit="1" customWidth="1"/>
    <col min="14598" max="14598" width="11" style="326" customWidth="1"/>
    <col min="14599" max="14599" width="10" style="326" customWidth="1"/>
    <col min="14600" max="14600" width="10.875" style="326" customWidth="1"/>
    <col min="14601" max="14601" width="13.75" style="326" customWidth="1"/>
    <col min="14602" max="14602" width="10" style="326" customWidth="1"/>
    <col min="14603" max="14603" width="13.25" style="326" customWidth="1"/>
    <col min="14604" max="14604" width="14.375" style="326" customWidth="1"/>
    <col min="14605" max="14605" width="10" style="326" customWidth="1"/>
    <col min="14606" max="14606" width="10.875" style="326" customWidth="1"/>
    <col min="14607" max="14607" width="11.375" style="326" customWidth="1"/>
    <col min="14608" max="14608" width="15.375" style="326" customWidth="1"/>
    <col min="14609" max="14610" width="10.75" style="326" customWidth="1"/>
    <col min="14611" max="14611" width="14.375" style="326" customWidth="1"/>
    <col min="14612" max="14612" width="10.75" style="326" customWidth="1"/>
    <col min="14613" max="14613" width="11.75" style="326" customWidth="1"/>
    <col min="14614" max="14614" width="10" style="326" customWidth="1"/>
    <col min="14615" max="14615" width="15.375" style="326" customWidth="1"/>
    <col min="14616" max="14616" width="10" style="326" customWidth="1"/>
    <col min="14617" max="14617" width="10.75" style="326" customWidth="1"/>
    <col min="14618" max="14618" width="14.875" style="326" customWidth="1"/>
    <col min="14619" max="14619" width="11.5" style="326" customWidth="1"/>
    <col min="14620" max="14620" width="10" style="326" customWidth="1"/>
    <col min="14621" max="14621" width="10.75" style="326" customWidth="1"/>
    <col min="14622" max="14622" width="13.5" style="326" customWidth="1"/>
    <col min="14623" max="14623" width="9" style="326"/>
    <col min="14624" max="14624" width="10.75" style="326" bestFit="1" customWidth="1"/>
    <col min="14625" max="14625" width="13.75" style="326" customWidth="1"/>
    <col min="14626" max="14626" width="9" style="326"/>
    <col min="14627" max="14627" width="10.625" style="326" customWidth="1"/>
    <col min="14628" max="14628" width="9" style="326"/>
    <col min="14629" max="14629" width="14.25" style="326" customWidth="1"/>
    <col min="14630" max="14630" width="10.75" style="326" bestFit="1" customWidth="1"/>
    <col min="14631" max="14631" width="11.625" style="326" customWidth="1"/>
    <col min="14632" max="14632" width="13.75" style="326" customWidth="1"/>
    <col min="14633" max="14633" width="10.625" style="326" customWidth="1"/>
    <col min="14634" max="14635" width="9" style="326"/>
    <col min="14636" max="14636" width="14.125" style="326" customWidth="1"/>
    <col min="14637" max="14637" width="11" style="326" customWidth="1"/>
    <col min="14638" max="14638" width="10.75" style="326" bestFit="1" customWidth="1"/>
    <col min="14639" max="14639" width="13.5" style="326" customWidth="1"/>
    <col min="14640" max="14641" width="9" style="326"/>
    <col min="14642" max="14642" width="10.75" style="326" bestFit="1" customWidth="1"/>
    <col min="14643" max="14643" width="14" style="326" customWidth="1"/>
    <col min="14644" max="14644" width="9" style="326"/>
    <col min="14645" max="14645" width="10.75" style="326" customWidth="1"/>
    <col min="14646" max="14646" width="12.75" style="326" customWidth="1"/>
    <col min="14647" max="14647" width="9" style="326"/>
    <col min="14648" max="14648" width="10.75" style="326" bestFit="1" customWidth="1"/>
    <col min="14649" max="14649" width="11.5" style="326" customWidth="1"/>
    <col min="14650" max="14650" width="13.625" style="326" customWidth="1"/>
    <col min="14651" max="14651" width="10.625" style="326" customWidth="1"/>
    <col min="14652" max="14652" width="10.75" style="326" bestFit="1" customWidth="1"/>
    <col min="14653" max="14653" width="12.375" style="326" customWidth="1"/>
    <col min="14654" max="14656" width="9" style="326"/>
    <col min="14657" max="14657" width="15.75" style="326" customWidth="1"/>
    <col min="14658" max="14658" width="9" style="326"/>
    <col min="14659" max="14659" width="10.75" style="326" bestFit="1" customWidth="1"/>
    <col min="14660" max="14660" width="12.625" style="326" customWidth="1"/>
    <col min="14661" max="14663" width="9" style="326"/>
    <col min="14664" max="14664" width="13.625" style="326" customWidth="1"/>
    <col min="14665" max="14665" width="9" style="326"/>
    <col min="14666" max="14666" width="10.75" style="326" bestFit="1" customWidth="1"/>
    <col min="14667" max="14667" width="12.5" style="326" customWidth="1"/>
    <col min="14668" max="14670" width="9" style="326"/>
    <col min="14671" max="14671" width="12.875" style="326" customWidth="1"/>
    <col min="14672" max="14672" width="9" style="326"/>
    <col min="14673" max="14673" width="10.75" style="326" bestFit="1" customWidth="1"/>
    <col min="14674" max="14674" width="13.875" style="326" customWidth="1"/>
    <col min="14675" max="14677" width="9" style="326"/>
    <col min="14678" max="14678" width="14.125" style="326" customWidth="1"/>
    <col min="14679" max="14679" width="9" style="326"/>
    <col min="14680" max="14680" width="10.75" style="326" bestFit="1" customWidth="1"/>
    <col min="14681" max="14681" width="13.25" style="326" customWidth="1"/>
    <col min="14682" max="14684" width="9" style="326"/>
    <col min="14685" max="14685" width="13.25" style="326" customWidth="1"/>
    <col min="14686" max="14686" width="9" style="326"/>
    <col min="14687" max="14687" width="10.75" style="326" bestFit="1" customWidth="1"/>
    <col min="14688" max="14688" width="13.875" style="326" customWidth="1"/>
    <col min="14689" max="14691" width="9" style="326"/>
    <col min="14692" max="14692" width="13.625" style="326" customWidth="1"/>
    <col min="14693" max="14693" width="9" style="326"/>
    <col min="14694" max="14694" width="10.75" style="326" bestFit="1" customWidth="1"/>
    <col min="14695" max="14695" width="13" style="326" customWidth="1"/>
    <col min="14696" max="14842" width="9" style="326"/>
    <col min="14843" max="14844" width="12.125" style="326" customWidth="1"/>
    <col min="14845" max="14847" width="13" style="326" customWidth="1"/>
    <col min="14848" max="14848" width="12.875" style="326" customWidth="1"/>
    <col min="14849" max="14849" width="13" style="326" customWidth="1"/>
    <col min="14850" max="14850" width="13.125" style="326" customWidth="1"/>
    <col min="14851" max="14852" width="12.125" style="326" customWidth="1"/>
    <col min="14853" max="14853" width="14.375" style="326" bestFit="1" customWidth="1"/>
    <col min="14854" max="14854" width="11" style="326" customWidth="1"/>
    <col min="14855" max="14855" width="10" style="326" customWidth="1"/>
    <col min="14856" max="14856" width="10.875" style="326" customWidth="1"/>
    <col min="14857" max="14857" width="13.75" style="326" customWidth="1"/>
    <col min="14858" max="14858" width="10" style="326" customWidth="1"/>
    <col min="14859" max="14859" width="13.25" style="326" customWidth="1"/>
    <col min="14860" max="14860" width="14.375" style="326" customWidth="1"/>
    <col min="14861" max="14861" width="10" style="326" customWidth="1"/>
    <col min="14862" max="14862" width="10.875" style="326" customWidth="1"/>
    <col min="14863" max="14863" width="11.375" style="326" customWidth="1"/>
    <col min="14864" max="14864" width="15.375" style="326" customWidth="1"/>
    <col min="14865" max="14866" width="10.75" style="326" customWidth="1"/>
    <col min="14867" max="14867" width="14.375" style="326" customWidth="1"/>
    <col min="14868" max="14868" width="10.75" style="326" customWidth="1"/>
    <col min="14869" max="14869" width="11.75" style="326" customWidth="1"/>
    <col min="14870" max="14870" width="10" style="326" customWidth="1"/>
    <col min="14871" max="14871" width="15.375" style="326" customWidth="1"/>
    <col min="14872" max="14872" width="10" style="326" customWidth="1"/>
    <col min="14873" max="14873" width="10.75" style="326" customWidth="1"/>
    <col min="14874" max="14874" width="14.875" style="326" customWidth="1"/>
    <col min="14875" max="14875" width="11.5" style="326" customWidth="1"/>
    <col min="14876" max="14876" width="10" style="326" customWidth="1"/>
    <col min="14877" max="14877" width="10.75" style="326" customWidth="1"/>
    <col min="14878" max="14878" width="13.5" style="326" customWidth="1"/>
    <col min="14879" max="14879" width="9" style="326"/>
    <col min="14880" max="14880" width="10.75" style="326" bestFit="1" customWidth="1"/>
    <col min="14881" max="14881" width="13.75" style="326" customWidth="1"/>
    <col min="14882" max="14882" width="9" style="326"/>
    <col min="14883" max="14883" width="10.625" style="326" customWidth="1"/>
    <col min="14884" max="14884" width="9" style="326"/>
    <col min="14885" max="14885" width="14.25" style="326" customWidth="1"/>
    <col min="14886" max="14886" width="10.75" style="326" bestFit="1" customWidth="1"/>
    <col min="14887" max="14887" width="11.625" style="326" customWidth="1"/>
    <col min="14888" max="14888" width="13.75" style="326" customWidth="1"/>
    <col min="14889" max="14889" width="10.625" style="326" customWidth="1"/>
    <col min="14890" max="14891" width="9" style="326"/>
    <col min="14892" max="14892" width="14.125" style="326" customWidth="1"/>
    <col min="14893" max="14893" width="11" style="326" customWidth="1"/>
    <col min="14894" max="14894" width="10.75" style="326" bestFit="1" customWidth="1"/>
    <col min="14895" max="14895" width="13.5" style="326" customWidth="1"/>
    <col min="14896" max="14897" width="9" style="326"/>
    <col min="14898" max="14898" width="10.75" style="326" bestFit="1" customWidth="1"/>
    <col min="14899" max="14899" width="14" style="326" customWidth="1"/>
    <col min="14900" max="14900" width="9" style="326"/>
    <col min="14901" max="14901" width="10.75" style="326" customWidth="1"/>
    <col min="14902" max="14902" width="12.75" style="326" customWidth="1"/>
    <col min="14903" max="14903" width="9" style="326"/>
    <col min="14904" max="14904" width="10.75" style="326" bestFit="1" customWidth="1"/>
    <col min="14905" max="14905" width="11.5" style="326" customWidth="1"/>
    <col min="14906" max="14906" width="13.625" style="326" customWidth="1"/>
    <col min="14907" max="14907" width="10.625" style="326" customWidth="1"/>
    <col min="14908" max="14908" width="10.75" style="326" bestFit="1" customWidth="1"/>
    <col min="14909" max="14909" width="12.375" style="326" customWidth="1"/>
    <col min="14910" max="14912" width="9" style="326"/>
    <col min="14913" max="14913" width="15.75" style="326" customWidth="1"/>
    <col min="14914" max="14914" width="9" style="326"/>
    <col min="14915" max="14915" width="10.75" style="326" bestFit="1" customWidth="1"/>
    <col min="14916" max="14916" width="12.625" style="326" customWidth="1"/>
    <col min="14917" max="14919" width="9" style="326"/>
    <col min="14920" max="14920" width="13.625" style="326" customWidth="1"/>
    <col min="14921" max="14921" width="9" style="326"/>
    <col min="14922" max="14922" width="10.75" style="326" bestFit="1" customWidth="1"/>
    <col min="14923" max="14923" width="12.5" style="326" customWidth="1"/>
    <col min="14924" max="14926" width="9" style="326"/>
    <col min="14927" max="14927" width="12.875" style="326" customWidth="1"/>
    <col min="14928" max="14928" width="9" style="326"/>
    <col min="14929" max="14929" width="10.75" style="326" bestFit="1" customWidth="1"/>
    <col min="14930" max="14930" width="13.875" style="326" customWidth="1"/>
    <col min="14931" max="14933" width="9" style="326"/>
    <col min="14934" max="14934" width="14.125" style="326" customWidth="1"/>
    <col min="14935" max="14935" width="9" style="326"/>
    <col min="14936" max="14936" width="10.75" style="326" bestFit="1" customWidth="1"/>
    <col min="14937" max="14937" width="13.25" style="326" customWidth="1"/>
    <col min="14938" max="14940" width="9" style="326"/>
    <col min="14941" max="14941" width="13.25" style="326" customWidth="1"/>
    <col min="14942" max="14942" width="9" style="326"/>
    <col min="14943" max="14943" width="10.75" style="326" bestFit="1" customWidth="1"/>
    <col min="14944" max="14944" width="13.875" style="326" customWidth="1"/>
    <col min="14945" max="14947" width="9" style="326"/>
    <col min="14948" max="14948" width="13.625" style="326" customWidth="1"/>
    <col min="14949" max="14949" width="9" style="326"/>
    <col min="14950" max="14950" width="10.75" style="326" bestFit="1" customWidth="1"/>
    <col min="14951" max="14951" width="13" style="326" customWidth="1"/>
    <col min="14952" max="15098" width="9" style="326"/>
    <col min="15099" max="15100" width="12.125" style="326" customWidth="1"/>
    <col min="15101" max="15103" width="13" style="326" customWidth="1"/>
    <col min="15104" max="15104" width="12.875" style="326" customWidth="1"/>
    <col min="15105" max="15105" width="13" style="326" customWidth="1"/>
    <col min="15106" max="15106" width="13.125" style="326" customWidth="1"/>
    <col min="15107" max="15108" width="12.125" style="326" customWidth="1"/>
    <col min="15109" max="15109" width="14.375" style="326" bestFit="1" customWidth="1"/>
    <col min="15110" max="15110" width="11" style="326" customWidth="1"/>
    <col min="15111" max="15111" width="10" style="326" customWidth="1"/>
    <col min="15112" max="15112" width="10.875" style="326" customWidth="1"/>
    <col min="15113" max="15113" width="13.75" style="326" customWidth="1"/>
    <col min="15114" max="15114" width="10" style="326" customWidth="1"/>
    <col min="15115" max="15115" width="13.25" style="326" customWidth="1"/>
    <col min="15116" max="15116" width="14.375" style="326" customWidth="1"/>
    <col min="15117" max="15117" width="10" style="326" customWidth="1"/>
    <col min="15118" max="15118" width="10.875" style="326" customWidth="1"/>
    <col min="15119" max="15119" width="11.375" style="326" customWidth="1"/>
    <col min="15120" max="15120" width="15.375" style="326" customWidth="1"/>
    <col min="15121" max="15122" width="10.75" style="326" customWidth="1"/>
    <col min="15123" max="15123" width="14.375" style="326" customWidth="1"/>
    <col min="15124" max="15124" width="10.75" style="326" customWidth="1"/>
    <col min="15125" max="15125" width="11.75" style="326" customWidth="1"/>
    <col min="15126" max="15126" width="10" style="326" customWidth="1"/>
    <col min="15127" max="15127" width="15.375" style="326" customWidth="1"/>
    <col min="15128" max="15128" width="10" style="326" customWidth="1"/>
    <col min="15129" max="15129" width="10.75" style="326" customWidth="1"/>
    <col min="15130" max="15130" width="14.875" style="326" customWidth="1"/>
    <col min="15131" max="15131" width="11.5" style="326" customWidth="1"/>
    <col min="15132" max="15132" width="10" style="326" customWidth="1"/>
    <col min="15133" max="15133" width="10.75" style="326" customWidth="1"/>
    <col min="15134" max="15134" width="13.5" style="326" customWidth="1"/>
    <col min="15135" max="15135" width="9" style="326"/>
    <col min="15136" max="15136" width="10.75" style="326" bestFit="1" customWidth="1"/>
    <col min="15137" max="15137" width="13.75" style="326" customWidth="1"/>
    <col min="15138" max="15138" width="9" style="326"/>
    <col min="15139" max="15139" width="10.625" style="326" customWidth="1"/>
    <col min="15140" max="15140" width="9" style="326"/>
    <col min="15141" max="15141" width="14.25" style="326" customWidth="1"/>
    <col min="15142" max="15142" width="10.75" style="326" bestFit="1" customWidth="1"/>
    <col min="15143" max="15143" width="11.625" style="326" customWidth="1"/>
    <col min="15144" max="15144" width="13.75" style="326" customWidth="1"/>
    <col min="15145" max="15145" width="10.625" style="326" customWidth="1"/>
    <col min="15146" max="15147" width="9" style="326"/>
    <col min="15148" max="15148" width="14.125" style="326" customWidth="1"/>
    <col min="15149" max="15149" width="11" style="326" customWidth="1"/>
    <col min="15150" max="15150" width="10.75" style="326" bestFit="1" customWidth="1"/>
    <col min="15151" max="15151" width="13.5" style="326" customWidth="1"/>
    <col min="15152" max="15153" width="9" style="326"/>
    <col min="15154" max="15154" width="10.75" style="326" bestFit="1" customWidth="1"/>
    <col min="15155" max="15155" width="14" style="326" customWidth="1"/>
    <col min="15156" max="15156" width="9" style="326"/>
    <col min="15157" max="15157" width="10.75" style="326" customWidth="1"/>
    <col min="15158" max="15158" width="12.75" style="326" customWidth="1"/>
    <col min="15159" max="15159" width="9" style="326"/>
    <col min="15160" max="15160" width="10.75" style="326" bestFit="1" customWidth="1"/>
    <col min="15161" max="15161" width="11.5" style="326" customWidth="1"/>
    <col min="15162" max="15162" width="13.625" style="326" customWidth="1"/>
    <col min="15163" max="15163" width="10.625" style="326" customWidth="1"/>
    <col min="15164" max="15164" width="10.75" style="326" bestFit="1" customWidth="1"/>
    <col min="15165" max="15165" width="12.375" style="326" customWidth="1"/>
    <col min="15166" max="15168" width="9" style="326"/>
    <col min="15169" max="15169" width="15.75" style="326" customWidth="1"/>
    <col min="15170" max="15170" width="9" style="326"/>
    <col min="15171" max="15171" width="10.75" style="326" bestFit="1" customWidth="1"/>
    <col min="15172" max="15172" width="12.625" style="326" customWidth="1"/>
    <col min="15173" max="15175" width="9" style="326"/>
    <col min="15176" max="15176" width="13.625" style="326" customWidth="1"/>
    <col min="15177" max="15177" width="9" style="326"/>
    <col min="15178" max="15178" width="10.75" style="326" bestFit="1" customWidth="1"/>
    <col min="15179" max="15179" width="12.5" style="326" customWidth="1"/>
    <col min="15180" max="15182" width="9" style="326"/>
    <col min="15183" max="15183" width="12.875" style="326" customWidth="1"/>
    <col min="15184" max="15184" width="9" style="326"/>
    <col min="15185" max="15185" width="10.75" style="326" bestFit="1" customWidth="1"/>
    <col min="15186" max="15186" width="13.875" style="326" customWidth="1"/>
    <col min="15187" max="15189" width="9" style="326"/>
    <col min="15190" max="15190" width="14.125" style="326" customWidth="1"/>
    <col min="15191" max="15191" width="9" style="326"/>
    <col min="15192" max="15192" width="10.75" style="326" bestFit="1" customWidth="1"/>
    <col min="15193" max="15193" width="13.25" style="326" customWidth="1"/>
    <col min="15194" max="15196" width="9" style="326"/>
    <col min="15197" max="15197" width="13.25" style="326" customWidth="1"/>
    <col min="15198" max="15198" width="9" style="326"/>
    <col min="15199" max="15199" width="10.75" style="326" bestFit="1" customWidth="1"/>
    <col min="15200" max="15200" width="13.875" style="326" customWidth="1"/>
    <col min="15201" max="15203" width="9" style="326"/>
    <col min="15204" max="15204" width="13.625" style="326" customWidth="1"/>
    <col min="15205" max="15205" width="9" style="326"/>
    <col min="15206" max="15206" width="10.75" style="326" bestFit="1" customWidth="1"/>
    <col min="15207" max="15207" width="13" style="326" customWidth="1"/>
    <col min="15208" max="15354" width="9" style="326"/>
    <col min="15355" max="15356" width="12.125" style="326" customWidth="1"/>
    <col min="15357" max="15359" width="13" style="326" customWidth="1"/>
    <col min="15360" max="15360" width="12.875" style="326" customWidth="1"/>
    <col min="15361" max="15361" width="13" style="326" customWidth="1"/>
    <col min="15362" max="15362" width="13.125" style="326" customWidth="1"/>
    <col min="15363" max="15364" width="12.125" style="326" customWidth="1"/>
    <col min="15365" max="15365" width="14.375" style="326" bestFit="1" customWidth="1"/>
    <col min="15366" max="15366" width="11" style="326" customWidth="1"/>
    <col min="15367" max="15367" width="10" style="326" customWidth="1"/>
    <col min="15368" max="15368" width="10.875" style="326" customWidth="1"/>
    <col min="15369" max="15369" width="13.75" style="326" customWidth="1"/>
    <col min="15370" max="15370" width="10" style="326" customWidth="1"/>
    <col min="15371" max="15371" width="13.25" style="326" customWidth="1"/>
    <col min="15372" max="15372" width="14.375" style="326" customWidth="1"/>
    <col min="15373" max="15373" width="10" style="326" customWidth="1"/>
    <col min="15374" max="15374" width="10.875" style="326" customWidth="1"/>
    <col min="15375" max="15375" width="11.375" style="326" customWidth="1"/>
    <col min="15376" max="15376" width="15.375" style="326" customWidth="1"/>
    <col min="15377" max="15378" width="10.75" style="326" customWidth="1"/>
    <col min="15379" max="15379" width="14.375" style="326" customWidth="1"/>
    <col min="15380" max="15380" width="10.75" style="326" customWidth="1"/>
    <col min="15381" max="15381" width="11.75" style="326" customWidth="1"/>
    <col min="15382" max="15382" width="10" style="326" customWidth="1"/>
    <col min="15383" max="15383" width="15.375" style="326" customWidth="1"/>
    <col min="15384" max="15384" width="10" style="326" customWidth="1"/>
    <col min="15385" max="15385" width="10.75" style="326" customWidth="1"/>
    <col min="15386" max="15386" width="14.875" style="326" customWidth="1"/>
    <col min="15387" max="15387" width="11.5" style="326" customWidth="1"/>
    <col min="15388" max="15388" width="10" style="326" customWidth="1"/>
    <col min="15389" max="15389" width="10.75" style="326" customWidth="1"/>
    <col min="15390" max="15390" width="13.5" style="326" customWidth="1"/>
    <col min="15391" max="15391" width="9" style="326"/>
    <col min="15392" max="15392" width="10.75" style="326" bestFit="1" customWidth="1"/>
    <col min="15393" max="15393" width="13.75" style="326" customWidth="1"/>
    <col min="15394" max="15394" width="9" style="326"/>
    <col min="15395" max="15395" width="10.625" style="326" customWidth="1"/>
    <col min="15396" max="15396" width="9" style="326"/>
    <col min="15397" max="15397" width="14.25" style="326" customWidth="1"/>
    <col min="15398" max="15398" width="10.75" style="326" bestFit="1" customWidth="1"/>
    <col min="15399" max="15399" width="11.625" style="326" customWidth="1"/>
    <col min="15400" max="15400" width="13.75" style="326" customWidth="1"/>
    <col min="15401" max="15401" width="10.625" style="326" customWidth="1"/>
    <col min="15402" max="15403" width="9" style="326"/>
    <col min="15404" max="15404" width="14.125" style="326" customWidth="1"/>
    <col min="15405" max="15405" width="11" style="326" customWidth="1"/>
    <col min="15406" max="15406" width="10.75" style="326" bestFit="1" customWidth="1"/>
    <col min="15407" max="15407" width="13.5" style="326" customWidth="1"/>
    <col min="15408" max="15409" width="9" style="326"/>
    <col min="15410" max="15410" width="10.75" style="326" bestFit="1" customWidth="1"/>
    <col min="15411" max="15411" width="14" style="326" customWidth="1"/>
    <col min="15412" max="15412" width="9" style="326"/>
    <col min="15413" max="15413" width="10.75" style="326" customWidth="1"/>
    <col min="15414" max="15414" width="12.75" style="326" customWidth="1"/>
    <col min="15415" max="15415" width="9" style="326"/>
    <col min="15416" max="15416" width="10.75" style="326" bestFit="1" customWidth="1"/>
    <col min="15417" max="15417" width="11.5" style="326" customWidth="1"/>
    <col min="15418" max="15418" width="13.625" style="326" customWidth="1"/>
    <col min="15419" max="15419" width="10.625" style="326" customWidth="1"/>
    <col min="15420" max="15420" width="10.75" style="326" bestFit="1" customWidth="1"/>
    <col min="15421" max="15421" width="12.375" style="326" customWidth="1"/>
    <col min="15422" max="15424" width="9" style="326"/>
    <col min="15425" max="15425" width="15.75" style="326" customWidth="1"/>
    <col min="15426" max="15426" width="9" style="326"/>
    <col min="15427" max="15427" width="10.75" style="326" bestFit="1" customWidth="1"/>
    <col min="15428" max="15428" width="12.625" style="326" customWidth="1"/>
    <col min="15429" max="15431" width="9" style="326"/>
    <col min="15432" max="15432" width="13.625" style="326" customWidth="1"/>
    <col min="15433" max="15433" width="9" style="326"/>
    <col min="15434" max="15434" width="10.75" style="326" bestFit="1" customWidth="1"/>
    <col min="15435" max="15435" width="12.5" style="326" customWidth="1"/>
    <col min="15436" max="15438" width="9" style="326"/>
    <col min="15439" max="15439" width="12.875" style="326" customWidth="1"/>
    <col min="15440" max="15440" width="9" style="326"/>
    <col min="15441" max="15441" width="10.75" style="326" bestFit="1" customWidth="1"/>
    <col min="15442" max="15442" width="13.875" style="326" customWidth="1"/>
    <col min="15443" max="15445" width="9" style="326"/>
    <col min="15446" max="15446" width="14.125" style="326" customWidth="1"/>
    <col min="15447" max="15447" width="9" style="326"/>
    <col min="15448" max="15448" width="10.75" style="326" bestFit="1" customWidth="1"/>
    <col min="15449" max="15449" width="13.25" style="326" customWidth="1"/>
    <col min="15450" max="15452" width="9" style="326"/>
    <col min="15453" max="15453" width="13.25" style="326" customWidth="1"/>
    <col min="15454" max="15454" width="9" style="326"/>
    <col min="15455" max="15455" width="10.75" style="326" bestFit="1" customWidth="1"/>
    <col min="15456" max="15456" width="13.875" style="326" customWidth="1"/>
    <col min="15457" max="15459" width="9" style="326"/>
    <col min="15460" max="15460" width="13.625" style="326" customWidth="1"/>
    <col min="15461" max="15461" width="9" style="326"/>
    <col min="15462" max="15462" width="10.75" style="326" bestFit="1" customWidth="1"/>
    <col min="15463" max="15463" width="13" style="326" customWidth="1"/>
    <col min="15464" max="15610" width="9" style="326"/>
    <col min="15611" max="15612" width="12.125" style="326" customWidth="1"/>
    <col min="15613" max="15615" width="13" style="326" customWidth="1"/>
    <col min="15616" max="15616" width="12.875" style="326" customWidth="1"/>
    <col min="15617" max="15617" width="13" style="326" customWidth="1"/>
    <col min="15618" max="15618" width="13.125" style="326" customWidth="1"/>
    <col min="15619" max="15620" width="12.125" style="326" customWidth="1"/>
    <col min="15621" max="15621" width="14.375" style="326" bestFit="1" customWidth="1"/>
    <col min="15622" max="15622" width="11" style="326" customWidth="1"/>
    <col min="15623" max="15623" width="10" style="326" customWidth="1"/>
    <col min="15624" max="15624" width="10.875" style="326" customWidth="1"/>
    <col min="15625" max="15625" width="13.75" style="326" customWidth="1"/>
    <col min="15626" max="15626" width="10" style="326" customWidth="1"/>
    <col min="15627" max="15627" width="13.25" style="326" customWidth="1"/>
    <col min="15628" max="15628" width="14.375" style="326" customWidth="1"/>
    <col min="15629" max="15629" width="10" style="326" customWidth="1"/>
    <col min="15630" max="15630" width="10.875" style="326" customWidth="1"/>
    <col min="15631" max="15631" width="11.375" style="326" customWidth="1"/>
    <col min="15632" max="15632" width="15.375" style="326" customWidth="1"/>
    <col min="15633" max="15634" width="10.75" style="326" customWidth="1"/>
    <col min="15635" max="15635" width="14.375" style="326" customWidth="1"/>
    <col min="15636" max="15636" width="10.75" style="326" customWidth="1"/>
    <col min="15637" max="15637" width="11.75" style="326" customWidth="1"/>
    <col min="15638" max="15638" width="10" style="326" customWidth="1"/>
    <col min="15639" max="15639" width="15.375" style="326" customWidth="1"/>
    <col min="15640" max="15640" width="10" style="326" customWidth="1"/>
    <col min="15641" max="15641" width="10.75" style="326" customWidth="1"/>
    <col min="15642" max="15642" width="14.875" style="326" customWidth="1"/>
    <col min="15643" max="15643" width="11.5" style="326" customWidth="1"/>
    <col min="15644" max="15644" width="10" style="326" customWidth="1"/>
    <col min="15645" max="15645" width="10.75" style="326" customWidth="1"/>
    <col min="15646" max="15646" width="13.5" style="326" customWidth="1"/>
    <col min="15647" max="15647" width="9" style="326"/>
    <col min="15648" max="15648" width="10.75" style="326" bestFit="1" customWidth="1"/>
    <col min="15649" max="15649" width="13.75" style="326" customWidth="1"/>
    <col min="15650" max="15650" width="9" style="326"/>
    <col min="15651" max="15651" width="10.625" style="326" customWidth="1"/>
    <col min="15652" max="15652" width="9" style="326"/>
    <col min="15653" max="15653" width="14.25" style="326" customWidth="1"/>
    <col min="15654" max="15654" width="10.75" style="326" bestFit="1" customWidth="1"/>
    <col min="15655" max="15655" width="11.625" style="326" customWidth="1"/>
    <col min="15656" max="15656" width="13.75" style="326" customWidth="1"/>
    <col min="15657" max="15657" width="10.625" style="326" customWidth="1"/>
    <col min="15658" max="15659" width="9" style="326"/>
    <col min="15660" max="15660" width="14.125" style="326" customWidth="1"/>
    <col min="15661" max="15661" width="11" style="326" customWidth="1"/>
    <col min="15662" max="15662" width="10.75" style="326" bestFit="1" customWidth="1"/>
    <col min="15663" max="15663" width="13.5" style="326" customWidth="1"/>
    <col min="15664" max="15665" width="9" style="326"/>
    <col min="15666" max="15666" width="10.75" style="326" bestFit="1" customWidth="1"/>
    <col min="15667" max="15667" width="14" style="326" customWidth="1"/>
    <col min="15668" max="15668" width="9" style="326"/>
    <col min="15669" max="15669" width="10.75" style="326" customWidth="1"/>
    <col min="15670" max="15670" width="12.75" style="326" customWidth="1"/>
    <col min="15671" max="15671" width="9" style="326"/>
    <col min="15672" max="15672" width="10.75" style="326" bestFit="1" customWidth="1"/>
    <col min="15673" max="15673" width="11.5" style="326" customWidth="1"/>
    <col min="15674" max="15674" width="13.625" style="326" customWidth="1"/>
    <col min="15675" max="15675" width="10.625" style="326" customWidth="1"/>
    <col min="15676" max="15676" width="10.75" style="326" bestFit="1" customWidth="1"/>
    <col min="15677" max="15677" width="12.375" style="326" customWidth="1"/>
    <col min="15678" max="15680" width="9" style="326"/>
    <col min="15681" max="15681" width="15.75" style="326" customWidth="1"/>
    <col min="15682" max="15682" width="9" style="326"/>
    <col min="15683" max="15683" width="10.75" style="326" bestFit="1" customWidth="1"/>
    <col min="15684" max="15684" width="12.625" style="326" customWidth="1"/>
    <col min="15685" max="15687" width="9" style="326"/>
    <col min="15688" max="15688" width="13.625" style="326" customWidth="1"/>
    <col min="15689" max="15689" width="9" style="326"/>
    <col min="15690" max="15690" width="10.75" style="326" bestFit="1" customWidth="1"/>
    <col min="15691" max="15691" width="12.5" style="326" customWidth="1"/>
    <col min="15692" max="15694" width="9" style="326"/>
    <col min="15695" max="15695" width="12.875" style="326" customWidth="1"/>
    <col min="15696" max="15696" width="9" style="326"/>
    <col min="15697" max="15697" width="10.75" style="326" bestFit="1" customWidth="1"/>
    <col min="15698" max="15698" width="13.875" style="326" customWidth="1"/>
    <col min="15699" max="15701" width="9" style="326"/>
    <col min="15702" max="15702" width="14.125" style="326" customWidth="1"/>
    <col min="15703" max="15703" width="9" style="326"/>
    <col min="15704" max="15704" width="10.75" style="326" bestFit="1" customWidth="1"/>
    <col min="15705" max="15705" width="13.25" style="326" customWidth="1"/>
    <col min="15706" max="15708" width="9" style="326"/>
    <col min="15709" max="15709" width="13.25" style="326" customWidth="1"/>
    <col min="15710" max="15710" width="9" style="326"/>
    <col min="15711" max="15711" width="10.75" style="326" bestFit="1" customWidth="1"/>
    <col min="15712" max="15712" width="13.875" style="326" customWidth="1"/>
    <col min="15713" max="15715" width="9" style="326"/>
    <col min="15716" max="15716" width="13.625" style="326" customWidth="1"/>
    <col min="15717" max="15717" width="9" style="326"/>
    <col min="15718" max="15718" width="10.75" style="326" bestFit="1" customWidth="1"/>
    <col min="15719" max="15719" width="13" style="326" customWidth="1"/>
    <col min="15720" max="15866" width="9" style="326"/>
    <col min="15867" max="15868" width="12.125" style="326" customWidth="1"/>
    <col min="15869" max="15871" width="13" style="326" customWidth="1"/>
    <col min="15872" max="15872" width="12.875" style="326" customWidth="1"/>
    <col min="15873" max="15873" width="13" style="326" customWidth="1"/>
    <col min="15874" max="15874" width="13.125" style="326" customWidth="1"/>
    <col min="15875" max="15876" width="12.125" style="326" customWidth="1"/>
    <col min="15877" max="15877" width="14.375" style="326" bestFit="1" customWidth="1"/>
    <col min="15878" max="15878" width="11" style="326" customWidth="1"/>
    <col min="15879" max="15879" width="10" style="326" customWidth="1"/>
    <col min="15880" max="15880" width="10.875" style="326" customWidth="1"/>
    <col min="15881" max="15881" width="13.75" style="326" customWidth="1"/>
    <col min="15882" max="15882" width="10" style="326" customWidth="1"/>
    <col min="15883" max="15883" width="13.25" style="326" customWidth="1"/>
    <col min="15884" max="15884" width="14.375" style="326" customWidth="1"/>
    <col min="15885" max="15885" width="10" style="326" customWidth="1"/>
    <col min="15886" max="15886" width="10.875" style="326" customWidth="1"/>
    <col min="15887" max="15887" width="11.375" style="326" customWidth="1"/>
    <col min="15888" max="15888" width="15.375" style="326" customWidth="1"/>
    <col min="15889" max="15890" width="10.75" style="326" customWidth="1"/>
    <col min="15891" max="15891" width="14.375" style="326" customWidth="1"/>
    <col min="15892" max="15892" width="10.75" style="326" customWidth="1"/>
    <col min="15893" max="15893" width="11.75" style="326" customWidth="1"/>
    <col min="15894" max="15894" width="10" style="326" customWidth="1"/>
    <col min="15895" max="15895" width="15.375" style="326" customWidth="1"/>
    <col min="15896" max="15896" width="10" style="326" customWidth="1"/>
    <col min="15897" max="15897" width="10.75" style="326" customWidth="1"/>
    <col min="15898" max="15898" width="14.875" style="326" customWidth="1"/>
    <col min="15899" max="15899" width="11.5" style="326" customWidth="1"/>
    <col min="15900" max="15900" width="10" style="326" customWidth="1"/>
    <col min="15901" max="15901" width="10.75" style="326" customWidth="1"/>
    <col min="15902" max="15902" width="13.5" style="326" customWidth="1"/>
    <col min="15903" max="15903" width="9" style="326"/>
    <col min="15904" max="15904" width="10.75" style="326" bestFit="1" customWidth="1"/>
    <col min="15905" max="15905" width="13.75" style="326" customWidth="1"/>
    <col min="15906" max="15906" width="9" style="326"/>
    <col min="15907" max="15907" width="10.625" style="326" customWidth="1"/>
    <col min="15908" max="15908" width="9" style="326"/>
    <col min="15909" max="15909" width="14.25" style="326" customWidth="1"/>
    <col min="15910" max="15910" width="10.75" style="326" bestFit="1" customWidth="1"/>
    <col min="15911" max="15911" width="11.625" style="326" customWidth="1"/>
    <col min="15912" max="15912" width="13.75" style="326" customWidth="1"/>
    <col min="15913" max="15913" width="10.625" style="326" customWidth="1"/>
    <col min="15914" max="15915" width="9" style="326"/>
    <col min="15916" max="15916" width="14.125" style="326" customWidth="1"/>
    <col min="15917" max="15917" width="11" style="326" customWidth="1"/>
    <col min="15918" max="15918" width="10.75" style="326" bestFit="1" customWidth="1"/>
    <col min="15919" max="15919" width="13.5" style="326" customWidth="1"/>
    <col min="15920" max="15921" width="9" style="326"/>
    <col min="15922" max="15922" width="10.75" style="326" bestFit="1" customWidth="1"/>
    <col min="15923" max="15923" width="14" style="326" customWidth="1"/>
    <col min="15924" max="15924" width="9" style="326"/>
    <col min="15925" max="15925" width="10.75" style="326" customWidth="1"/>
    <col min="15926" max="15926" width="12.75" style="326" customWidth="1"/>
    <col min="15927" max="15927" width="9" style="326"/>
    <col min="15928" max="15928" width="10.75" style="326" bestFit="1" customWidth="1"/>
    <col min="15929" max="15929" width="11.5" style="326" customWidth="1"/>
    <col min="15930" max="15930" width="13.625" style="326" customWidth="1"/>
    <col min="15931" max="15931" width="10.625" style="326" customWidth="1"/>
    <col min="15932" max="15932" width="10.75" style="326" bestFit="1" customWidth="1"/>
    <col min="15933" max="15933" width="12.375" style="326" customWidth="1"/>
    <col min="15934" max="15936" width="9" style="326"/>
    <col min="15937" max="15937" width="15.75" style="326" customWidth="1"/>
    <col min="15938" max="15938" width="9" style="326"/>
    <col min="15939" max="15939" width="10.75" style="326" bestFit="1" customWidth="1"/>
    <col min="15940" max="15940" width="12.625" style="326" customWidth="1"/>
    <col min="15941" max="15943" width="9" style="326"/>
    <col min="15944" max="15944" width="13.625" style="326" customWidth="1"/>
    <col min="15945" max="15945" width="9" style="326"/>
    <col min="15946" max="15946" width="10.75" style="326" bestFit="1" customWidth="1"/>
    <col min="15947" max="15947" width="12.5" style="326" customWidth="1"/>
    <col min="15948" max="15950" width="9" style="326"/>
    <col min="15951" max="15951" width="12.875" style="326" customWidth="1"/>
    <col min="15952" max="15952" width="9" style="326"/>
    <col min="15953" max="15953" width="10.75" style="326" bestFit="1" customWidth="1"/>
    <col min="15954" max="15954" width="13.875" style="326" customWidth="1"/>
    <col min="15955" max="15957" width="9" style="326"/>
    <col min="15958" max="15958" width="14.125" style="326" customWidth="1"/>
    <col min="15959" max="15959" width="9" style="326"/>
    <col min="15960" max="15960" width="10.75" style="326" bestFit="1" customWidth="1"/>
    <col min="15961" max="15961" width="13.25" style="326" customWidth="1"/>
    <col min="15962" max="15964" width="9" style="326"/>
    <col min="15965" max="15965" width="13.25" style="326" customWidth="1"/>
    <col min="15966" max="15966" width="9" style="326"/>
    <col min="15967" max="15967" width="10.75" style="326" bestFit="1" customWidth="1"/>
    <col min="15968" max="15968" width="13.875" style="326" customWidth="1"/>
    <col min="15969" max="15971" width="9" style="326"/>
    <col min="15972" max="15972" width="13.625" style="326" customWidth="1"/>
    <col min="15973" max="15973" width="9" style="326"/>
    <col min="15974" max="15974" width="10.75" style="326" bestFit="1" customWidth="1"/>
    <col min="15975" max="15975" width="13" style="326" customWidth="1"/>
    <col min="15976" max="16122" width="9" style="326"/>
    <col min="16123" max="16124" width="12.125" style="326" customWidth="1"/>
    <col min="16125" max="16127" width="13" style="326" customWidth="1"/>
    <col min="16128" max="16128" width="12.875" style="326" customWidth="1"/>
    <col min="16129" max="16129" width="13" style="326" customWidth="1"/>
    <col min="16130" max="16130" width="13.125" style="326" customWidth="1"/>
    <col min="16131" max="16132" width="12.125" style="326" customWidth="1"/>
    <col min="16133" max="16133" width="14.375" style="326" bestFit="1" customWidth="1"/>
    <col min="16134" max="16134" width="11" style="326" customWidth="1"/>
    <col min="16135" max="16135" width="10" style="326" customWidth="1"/>
    <col min="16136" max="16136" width="10.875" style="326" customWidth="1"/>
    <col min="16137" max="16137" width="13.75" style="326" customWidth="1"/>
    <col min="16138" max="16138" width="10" style="326" customWidth="1"/>
    <col min="16139" max="16139" width="13.25" style="326" customWidth="1"/>
    <col min="16140" max="16140" width="14.375" style="326" customWidth="1"/>
    <col min="16141" max="16141" width="10" style="326" customWidth="1"/>
    <col min="16142" max="16142" width="10.875" style="326" customWidth="1"/>
    <col min="16143" max="16143" width="11.375" style="326" customWidth="1"/>
    <col min="16144" max="16144" width="15.375" style="326" customWidth="1"/>
    <col min="16145" max="16146" width="10.75" style="326" customWidth="1"/>
    <col min="16147" max="16147" width="14.375" style="326" customWidth="1"/>
    <col min="16148" max="16148" width="10.75" style="326" customWidth="1"/>
    <col min="16149" max="16149" width="11.75" style="326" customWidth="1"/>
    <col min="16150" max="16150" width="10" style="326" customWidth="1"/>
    <col min="16151" max="16151" width="15.375" style="326" customWidth="1"/>
    <col min="16152" max="16152" width="10" style="326" customWidth="1"/>
    <col min="16153" max="16153" width="10.75" style="326" customWidth="1"/>
    <col min="16154" max="16154" width="14.875" style="326" customWidth="1"/>
    <col min="16155" max="16155" width="11.5" style="326" customWidth="1"/>
    <col min="16156" max="16156" width="10" style="326" customWidth="1"/>
    <col min="16157" max="16157" width="10.75" style="326" customWidth="1"/>
    <col min="16158" max="16158" width="13.5" style="326" customWidth="1"/>
    <col min="16159" max="16159" width="9" style="326"/>
    <col min="16160" max="16160" width="10.75" style="326" bestFit="1" customWidth="1"/>
    <col min="16161" max="16161" width="13.75" style="326" customWidth="1"/>
    <col min="16162" max="16162" width="9" style="326"/>
    <col min="16163" max="16163" width="10.625" style="326" customWidth="1"/>
    <col min="16164" max="16164" width="9" style="326"/>
    <col min="16165" max="16165" width="14.25" style="326" customWidth="1"/>
    <col min="16166" max="16166" width="10.75" style="326" bestFit="1" customWidth="1"/>
    <col min="16167" max="16167" width="11.625" style="326" customWidth="1"/>
    <col min="16168" max="16168" width="13.75" style="326" customWidth="1"/>
    <col min="16169" max="16169" width="10.625" style="326" customWidth="1"/>
    <col min="16170" max="16171" width="9" style="326"/>
    <col min="16172" max="16172" width="14.125" style="326" customWidth="1"/>
    <col min="16173" max="16173" width="11" style="326" customWidth="1"/>
    <col min="16174" max="16174" width="10.75" style="326" bestFit="1" customWidth="1"/>
    <col min="16175" max="16175" width="13.5" style="326" customWidth="1"/>
    <col min="16176" max="16177" width="9" style="326"/>
    <col min="16178" max="16178" width="10.75" style="326" bestFit="1" customWidth="1"/>
    <col min="16179" max="16179" width="14" style="326" customWidth="1"/>
    <col min="16180" max="16180" width="9" style="326"/>
    <col min="16181" max="16181" width="10.75" style="326" customWidth="1"/>
    <col min="16182" max="16182" width="12.75" style="326" customWidth="1"/>
    <col min="16183" max="16183" width="9" style="326"/>
    <col min="16184" max="16184" width="10.75" style="326" bestFit="1" customWidth="1"/>
    <col min="16185" max="16185" width="11.5" style="326" customWidth="1"/>
    <col min="16186" max="16186" width="13.625" style="326" customWidth="1"/>
    <col min="16187" max="16187" width="10.625" style="326" customWidth="1"/>
    <col min="16188" max="16188" width="10.75" style="326" bestFit="1" customWidth="1"/>
    <col min="16189" max="16189" width="12.375" style="326" customWidth="1"/>
    <col min="16190" max="16192" width="9" style="326"/>
    <col min="16193" max="16193" width="15.75" style="326" customWidth="1"/>
    <col min="16194" max="16194" width="9" style="326"/>
    <col min="16195" max="16195" width="10.75" style="326" bestFit="1" customWidth="1"/>
    <col min="16196" max="16196" width="12.625" style="326" customWidth="1"/>
    <col min="16197" max="16199" width="9" style="326"/>
    <col min="16200" max="16200" width="13.625" style="326" customWidth="1"/>
    <col min="16201" max="16201" width="9" style="326"/>
    <col min="16202" max="16202" width="10.75" style="326" bestFit="1" customWidth="1"/>
    <col min="16203" max="16203" width="12.5" style="326" customWidth="1"/>
    <col min="16204" max="16206" width="9" style="326"/>
    <col min="16207" max="16207" width="12.875" style="326" customWidth="1"/>
    <col min="16208" max="16208" width="9" style="326"/>
    <col min="16209" max="16209" width="10.75" style="326" bestFit="1" customWidth="1"/>
    <col min="16210" max="16210" width="13.875" style="326" customWidth="1"/>
    <col min="16211" max="16213" width="9" style="326"/>
    <col min="16214" max="16214" width="14.125" style="326" customWidth="1"/>
    <col min="16215" max="16215" width="9" style="326"/>
    <col min="16216" max="16216" width="10.75" style="326" bestFit="1" customWidth="1"/>
    <col min="16217" max="16217" width="13.25" style="326" customWidth="1"/>
    <col min="16218" max="16220" width="9" style="326"/>
    <col min="16221" max="16221" width="13.25" style="326" customWidth="1"/>
    <col min="16222" max="16222" width="9" style="326"/>
    <col min="16223" max="16223" width="10.75" style="326" bestFit="1" customWidth="1"/>
    <col min="16224" max="16224" width="13.875" style="326" customWidth="1"/>
    <col min="16225" max="16227" width="9" style="326"/>
    <col min="16228" max="16228" width="13.625" style="326" customWidth="1"/>
    <col min="16229" max="16229" width="9" style="326"/>
    <col min="16230" max="16230" width="10.75" style="326" bestFit="1" customWidth="1"/>
    <col min="16231" max="16231" width="13" style="326" customWidth="1"/>
    <col min="16232" max="16384" width="9" style="326"/>
  </cols>
  <sheetData>
    <row r="1" spans="1:41" ht="18.75" customHeight="1">
      <c r="D1" s="325" t="s">
        <v>262</v>
      </c>
      <c r="E1" s="327">
        <f>A5</f>
        <v>2006</v>
      </c>
      <c r="F1" s="326" t="s">
        <v>263</v>
      </c>
      <c r="G1" s="328">
        <v>0</v>
      </c>
      <c r="H1" s="329"/>
      <c r="I1" s="328"/>
    </row>
    <row r="2" spans="1:41" ht="24.95" customHeight="1">
      <c r="A2" s="330" t="s">
        <v>2247</v>
      </c>
      <c r="C2" s="330"/>
    </row>
    <row r="3" spans="1:41" ht="9.9499999999999993" customHeight="1">
      <c r="A3" s="2262"/>
      <c r="B3" s="425"/>
      <c r="C3" s="426"/>
      <c r="D3" s="426"/>
      <c r="E3" s="426"/>
      <c r="F3" s="426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2"/>
      <c r="Z3" s="331"/>
      <c r="AA3" s="332"/>
      <c r="AB3" s="333"/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1"/>
      <c r="AN3" s="331"/>
      <c r="AO3" s="332"/>
    </row>
    <row r="4" spans="1:41" s="344" customFormat="1" ht="14.1" customHeight="1">
      <c r="A4" s="334" t="s">
        <v>264</v>
      </c>
      <c r="B4" s="335" t="s">
        <v>265</v>
      </c>
      <c r="C4" s="336" t="s">
        <v>266</v>
      </c>
      <c r="D4" s="337" t="s">
        <v>267</v>
      </c>
      <c r="E4" s="337" t="s">
        <v>268</v>
      </c>
      <c r="F4" s="338" t="s">
        <v>269</v>
      </c>
      <c r="G4" s="339" t="s">
        <v>270</v>
      </c>
      <c r="H4" s="340" t="s">
        <v>271</v>
      </c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41"/>
      <c r="W4" s="341"/>
      <c r="X4" s="341"/>
      <c r="Y4" s="342"/>
      <c r="Z4" s="341"/>
      <c r="AA4" s="342"/>
      <c r="AB4" s="343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341"/>
      <c r="AN4" s="341"/>
      <c r="AO4" s="342"/>
    </row>
    <row r="5" spans="1:41" s="344" customFormat="1" ht="14.1" customHeight="1">
      <c r="A5" s="345">
        <v>2006</v>
      </c>
      <c r="B5" s="346">
        <f>+'1.1.2 인구분석'!E132</f>
        <v>8346</v>
      </c>
      <c r="C5" s="347">
        <f>I65</f>
        <v>8402</v>
      </c>
      <c r="D5" s="348">
        <f>I104</f>
        <v>8413</v>
      </c>
      <c r="E5" s="349">
        <f>I142</f>
        <v>8306</v>
      </c>
      <c r="F5" s="350">
        <f>I178</f>
        <v>8306</v>
      </c>
      <c r="G5" s="351">
        <f t="shared" ref="G5:G34" si="0">ROUND(SUMIF(C$38:H$38,"○",C5:H5),$G$1)</f>
        <v>16612</v>
      </c>
      <c r="H5" s="352">
        <f>B5</f>
        <v>8346</v>
      </c>
      <c r="I5" s="2316" t="s">
        <v>272</v>
      </c>
      <c r="J5" s="2317"/>
      <c r="K5" s="353"/>
      <c r="L5" s="341"/>
      <c r="M5" s="341"/>
      <c r="N5" s="341"/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2"/>
      <c r="Z5" s="341"/>
      <c r="AA5" s="342"/>
      <c r="AB5" s="343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2"/>
    </row>
    <row r="6" spans="1:41" s="344" customFormat="1" ht="14.1" customHeight="1">
      <c r="A6" s="354">
        <v>2007</v>
      </c>
      <c r="B6" s="355">
        <f>+'1.1.2 인구분석'!E133</f>
        <v>8527</v>
      </c>
      <c r="C6" s="356">
        <f t="shared" ref="C6:C37" si="1">I66</f>
        <v>8546</v>
      </c>
      <c r="D6" s="357">
        <f t="shared" ref="D6:D37" si="2">I105</f>
        <v>8549</v>
      </c>
      <c r="E6" s="358">
        <f t="shared" ref="E6:E37" si="3">I143</f>
        <v>8535</v>
      </c>
      <c r="F6" s="359">
        <f t="shared" ref="F6:F37" si="4">I179</f>
        <v>8519</v>
      </c>
      <c r="G6" s="351">
        <f t="shared" si="0"/>
        <v>17054</v>
      </c>
      <c r="H6" s="352">
        <f>B6</f>
        <v>8527</v>
      </c>
      <c r="I6" s="360" t="s">
        <v>273</v>
      </c>
      <c r="J6" s="361">
        <f>ROUND(((B15/B10)^(1/(A15-A10))-1)*100,2)</f>
        <v>0.65</v>
      </c>
      <c r="K6" s="353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2"/>
      <c r="Z6" s="341"/>
      <c r="AA6" s="342"/>
      <c r="AB6" s="343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2"/>
    </row>
    <row r="7" spans="1:41" s="344" customFormat="1" ht="14.1" customHeight="1">
      <c r="A7" s="354">
        <v>2008</v>
      </c>
      <c r="B7" s="355">
        <f>+'1.1.2 인구분석'!E134</f>
        <v>8679</v>
      </c>
      <c r="C7" s="356">
        <f t="shared" si="1"/>
        <v>8691</v>
      </c>
      <c r="D7" s="357">
        <f t="shared" si="2"/>
        <v>8686</v>
      </c>
      <c r="E7" s="358">
        <f t="shared" si="3"/>
        <v>8722</v>
      </c>
      <c r="F7" s="359">
        <f t="shared" si="4"/>
        <v>8715</v>
      </c>
      <c r="G7" s="351">
        <f t="shared" si="0"/>
        <v>17437</v>
      </c>
      <c r="H7" s="352">
        <f t="shared" ref="H7:H15" si="5">B7</f>
        <v>8679</v>
      </c>
      <c r="I7" s="360" t="s">
        <v>274</v>
      </c>
      <c r="J7" s="360">
        <f>ROUND(((B15/B5)^(1/(A15-A5))-1)*100,2)</f>
        <v>1.42</v>
      </c>
      <c r="K7" s="353"/>
      <c r="L7" s="362"/>
      <c r="M7" s="363"/>
      <c r="N7" s="341"/>
      <c r="O7" s="341"/>
      <c r="P7" s="341"/>
      <c r="Q7" s="341"/>
      <c r="R7" s="341"/>
      <c r="S7" s="341"/>
      <c r="T7" s="341"/>
      <c r="U7" s="341"/>
      <c r="V7" s="341"/>
      <c r="W7" s="341"/>
      <c r="X7" s="341"/>
      <c r="Y7" s="342"/>
      <c r="Z7" s="341"/>
      <c r="AA7" s="342"/>
      <c r="AB7" s="343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2"/>
    </row>
    <row r="8" spans="1:41" s="344" customFormat="1" ht="14.1" customHeight="1">
      <c r="A8" s="354">
        <v>2009</v>
      </c>
      <c r="B8" s="355">
        <f>+'1.1.2 인구분석'!E135</f>
        <v>8768</v>
      </c>
      <c r="C8" s="356">
        <f t="shared" si="1"/>
        <v>8835</v>
      </c>
      <c r="D8" s="357">
        <f t="shared" si="2"/>
        <v>8825</v>
      </c>
      <c r="E8" s="358">
        <f t="shared" si="3"/>
        <v>8884</v>
      </c>
      <c r="F8" s="359">
        <f t="shared" si="4"/>
        <v>8893</v>
      </c>
      <c r="G8" s="351">
        <f t="shared" si="0"/>
        <v>17777</v>
      </c>
      <c r="H8" s="352">
        <f t="shared" si="5"/>
        <v>8768</v>
      </c>
      <c r="I8" s="341"/>
      <c r="J8" s="341"/>
      <c r="K8" s="341"/>
      <c r="L8" s="341"/>
      <c r="M8" s="341"/>
      <c r="N8" s="341"/>
      <c r="O8" s="341"/>
      <c r="P8" s="341"/>
      <c r="Q8" s="341"/>
      <c r="R8" s="341"/>
      <c r="S8" s="341"/>
      <c r="T8" s="341"/>
      <c r="U8" s="341"/>
      <c r="V8" s="341"/>
      <c r="W8" s="341"/>
      <c r="X8" s="341"/>
      <c r="Y8" s="342"/>
      <c r="Z8" s="341"/>
      <c r="AA8" s="342"/>
      <c r="AB8" s="343"/>
      <c r="AC8" s="341"/>
      <c r="AD8" s="341"/>
      <c r="AE8" s="341"/>
      <c r="AF8" s="341"/>
      <c r="AG8" s="341"/>
      <c r="AH8" s="341"/>
      <c r="AI8" s="341"/>
      <c r="AJ8" s="341"/>
      <c r="AK8" s="341"/>
      <c r="AL8" s="341"/>
      <c r="AM8" s="341"/>
      <c r="AN8" s="341"/>
      <c r="AO8" s="342"/>
    </row>
    <row r="9" spans="1:41" s="344" customFormat="1" ht="14.1" customHeight="1">
      <c r="A9" s="354">
        <v>2010</v>
      </c>
      <c r="B9" s="355">
        <f>+'1.1.2 인구분석'!E136</f>
        <v>8838</v>
      </c>
      <c r="C9" s="356">
        <f t="shared" si="1"/>
        <v>8979</v>
      </c>
      <c r="D9" s="357">
        <f t="shared" si="2"/>
        <v>8967</v>
      </c>
      <c r="E9" s="358">
        <f t="shared" si="3"/>
        <v>9031</v>
      </c>
      <c r="F9" s="359">
        <f t="shared" si="4"/>
        <v>9055</v>
      </c>
      <c r="G9" s="351">
        <f t="shared" si="0"/>
        <v>18086</v>
      </c>
      <c r="H9" s="352">
        <f t="shared" si="5"/>
        <v>8838</v>
      </c>
      <c r="I9" s="341"/>
      <c r="J9" s="341"/>
      <c r="K9" s="353"/>
      <c r="L9" s="341"/>
      <c r="M9" s="341"/>
      <c r="N9" s="341"/>
      <c r="O9" s="341"/>
      <c r="P9" s="341"/>
      <c r="Q9" s="341"/>
      <c r="R9" s="341"/>
      <c r="S9" s="341"/>
      <c r="T9" s="341"/>
      <c r="U9" s="341"/>
      <c r="V9" s="341"/>
      <c r="W9" s="341"/>
      <c r="X9" s="341"/>
      <c r="Y9" s="342"/>
      <c r="Z9" s="341"/>
      <c r="AA9" s="342"/>
      <c r="AB9" s="343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2"/>
    </row>
    <row r="10" spans="1:41" s="344" customFormat="1" ht="14.1" customHeight="1">
      <c r="A10" s="354">
        <v>2011</v>
      </c>
      <c r="B10" s="355">
        <f>+'1.1.2 인구분석'!E137</f>
        <v>9306</v>
      </c>
      <c r="C10" s="356">
        <f t="shared" si="1"/>
        <v>9123</v>
      </c>
      <c r="D10" s="357">
        <f t="shared" si="2"/>
        <v>9111</v>
      </c>
      <c r="E10" s="358">
        <f t="shared" si="3"/>
        <v>9167</v>
      </c>
      <c r="F10" s="359">
        <f t="shared" si="4"/>
        <v>9202</v>
      </c>
      <c r="G10" s="351">
        <f t="shared" si="0"/>
        <v>18369</v>
      </c>
      <c r="H10" s="352">
        <f t="shared" si="5"/>
        <v>9306</v>
      </c>
      <c r="I10" s="341"/>
      <c r="J10" s="341"/>
      <c r="K10" s="353"/>
      <c r="L10" s="341"/>
      <c r="M10" s="341"/>
      <c r="N10" s="341"/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2"/>
      <c r="Z10" s="341"/>
      <c r="AA10" s="342"/>
      <c r="AB10" s="343"/>
      <c r="AC10" s="341"/>
      <c r="AD10" s="341"/>
      <c r="AE10" s="341"/>
      <c r="AF10" s="341"/>
      <c r="AG10" s="341"/>
      <c r="AH10" s="341"/>
      <c r="AI10" s="341"/>
      <c r="AJ10" s="341"/>
      <c r="AK10" s="341"/>
      <c r="AL10" s="341"/>
      <c r="AM10" s="341"/>
      <c r="AN10" s="341"/>
      <c r="AO10" s="342"/>
    </row>
    <row r="11" spans="1:41" s="344" customFormat="1" ht="14.1" customHeight="1">
      <c r="A11" s="354">
        <v>2012</v>
      </c>
      <c r="B11" s="355">
        <f>+'1.1.2 인구분석'!E138</f>
        <v>9393</v>
      </c>
      <c r="C11" s="356">
        <f t="shared" si="1"/>
        <v>9267</v>
      </c>
      <c r="D11" s="357">
        <f t="shared" si="2"/>
        <v>9257</v>
      </c>
      <c r="E11" s="358">
        <f t="shared" si="3"/>
        <v>9294</v>
      </c>
      <c r="F11" s="359">
        <f t="shared" si="4"/>
        <v>9335</v>
      </c>
      <c r="G11" s="351">
        <f t="shared" si="0"/>
        <v>18629</v>
      </c>
      <c r="H11" s="352">
        <f t="shared" si="5"/>
        <v>9393</v>
      </c>
      <c r="I11" s="341"/>
      <c r="J11" s="341"/>
      <c r="K11" s="353"/>
      <c r="L11" s="341"/>
      <c r="M11" s="341"/>
      <c r="N11" s="341"/>
      <c r="O11" s="341"/>
      <c r="P11" s="341"/>
      <c r="Q11" s="341"/>
      <c r="R11" s="341"/>
      <c r="S11" s="341"/>
      <c r="T11" s="341"/>
      <c r="U11" s="341"/>
      <c r="V11" s="341"/>
      <c r="W11" s="341"/>
      <c r="X11" s="341"/>
      <c r="Y11" s="342"/>
      <c r="Z11" s="341"/>
      <c r="AA11" s="342"/>
      <c r="AB11" s="343"/>
      <c r="AC11" s="341"/>
      <c r="AD11" s="341"/>
      <c r="AE11" s="341"/>
      <c r="AF11" s="341"/>
      <c r="AG11" s="341"/>
      <c r="AH11" s="341"/>
      <c r="AI11" s="341"/>
      <c r="AJ11" s="341"/>
      <c r="AK11" s="341"/>
      <c r="AL11" s="341"/>
      <c r="AM11" s="341"/>
      <c r="AN11" s="341"/>
      <c r="AO11" s="342"/>
    </row>
    <row r="12" spans="1:41" s="344" customFormat="1" ht="14.1" customHeight="1">
      <c r="A12" s="354">
        <v>2013</v>
      </c>
      <c r="B12" s="355">
        <f>+'1.1.2 인구분석'!E139</f>
        <v>9575</v>
      </c>
      <c r="C12" s="356">
        <f t="shared" si="1"/>
        <v>9412</v>
      </c>
      <c r="D12" s="357">
        <f t="shared" si="2"/>
        <v>9405</v>
      </c>
      <c r="E12" s="358">
        <f t="shared" si="3"/>
        <v>9414</v>
      </c>
      <c r="F12" s="359">
        <f t="shared" si="4"/>
        <v>9454</v>
      </c>
      <c r="G12" s="351">
        <f t="shared" si="0"/>
        <v>18868</v>
      </c>
      <c r="H12" s="352">
        <f t="shared" si="5"/>
        <v>9575</v>
      </c>
      <c r="I12" s="341"/>
      <c r="J12" s="341"/>
      <c r="K12" s="353"/>
      <c r="L12" s="341"/>
      <c r="M12" s="341"/>
      <c r="N12" s="341"/>
      <c r="O12" s="341"/>
      <c r="P12" s="341"/>
      <c r="Q12" s="341"/>
      <c r="R12" s="341"/>
      <c r="S12" s="341"/>
      <c r="T12" s="341"/>
      <c r="U12" s="341"/>
      <c r="V12" s="341"/>
      <c r="W12" s="341"/>
      <c r="X12" s="341"/>
      <c r="Y12" s="342"/>
      <c r="Z12" s="341"/>
      <c r="AA12" s="342"/>
      <c r="AB12" s="343"/>
      <c r="AC12" s="341"/>
      <c r="AD12" s="341"/>
      <c r="AE12" s="341"/>
      <c r="AF12" s="341"/>
      <c r="AG12" s="341"/>
      <c r="AH12" s="341"/>
      <c r="AI12" s="341"/>
      <c r="AJ12" s="341"/>
      <c r="AK12" s="341"/>
      <c r="AL12" s="341"/>
      <c r="AM12" s="341"/>
      <c r="AN12" s="341"/>
      <c r="AO12" s="342"/>
    </row>
    <row r="13" spans="1:41" s="344" customFormat="1" ht="14.1" customHeight="1">
      <c r="A13" s="354">
        <v>2014</v>
      </c>
      <c r="B13" s="355">
        <f>+'1.1.2 인구분석'!E140</f>
        <v>9739</v>
      </c>
      <c r="C13" s="356">
        <f t="shared" si="1"/>
        <v>9556</v>
      </c>
      <c r="D13" s="357">
        <f t="shared" si="2"/>
        <v>9556</v>
      </c>
      <c r="E13" s="358">
        <f t="shared" si="3"/>
        <v>9528</v>
      </c>
      <c r="F13" s="359">
        <f t="shared" si="4"/>
        <v>9561</v>
      </c>
      <c r="G13" s="351">
        <f t="shared" si="0"/>
        <v>19089</v>
      </c>
      <c r="H13" s="352">
        <f t="shared" si="5"/>
        <v>9739</v>
      </c>
      <c r="I13" s="341"/>
      <c r="J13" s="341"/>
      <c r="K13" s="353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2"/>
      <c r="Z13" s="341"/>
      <c r="AA13" s="342"/>
      <c r="AB13" s="343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2"/>
    </row>
    <row r="14" spans="1:41" s="344" customFormat="1" ht="14.1" customHeight="1">
      <c r="A14" s="386">
        <v>2015</v>
      </c>
      <c r="B14" s="2071">
        <f>+'1.1.2 인구분석'!E141</f>
        <v>9571</v>
      </c>
      <c r="C14" s="2072">
        <f t="shared" si="1"/>
        <v>9700</v>
      </c>
      <c r="D14" s="2073">
        <f t="shared" si="2"/>
        <v>9710</v>
      </c>
      <c r="E14" s="2074">
        <f t="shared" si="3"/>
        <v>9637</v>
      </c>
      <c r="F14" s="2075">
        <f t="shared" si="4"/>
        <v>9656</v>
      </c>
      <c r="G14" s="2076">
        <f t="shared" si="0"/>
        <v>19293</v>
      </c>
      <c r="H14" s="2077">
        <f t="shared" si="5"/>
        <v>9571</v>
      </c>
      <c r="I14" s="383"/>
      <c r="J14" s="383"/>
      <c r="K14" s="2078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2079"/>
      <c r="Z14" s="341"/>
      <c r="AA14" s="342"/>
      <c r="AB14" s="343"/>
      <c r="AC14" s="341"/>
      <c r="AD14" s="341"/>
      <c r="AE14" s="341"/>
      <c r="AF14" s="341"/>
      <c r="AG14" s="341"/>
      <c r="AH14" s="341"/>
      <c r="AI14" s="341"/>
      <c r="AJ14" s="341"/>
      <c r="AK14" s="341"/>
      <c r="AL14" s="341"/>
      <c r="AM14" s="341"/>
      <c r="AN14" s="341"/>
      <c r="AO14" s="342"/>
    </row>
    <row r="15" spans="1:41" s="344" customFormat="1" ht="14.1" customHeight="1" thickBot="1">
      <c r="A15" s="2010">
        <v>2016</v>
      </c>
      <c r="B15" s="2014">
        <f>+'1.1.2 인구분석'!E142</f>
        <v>9613</v>
      </c>
      <c r="C15" s="2011">
        <f t="shared" si="1"/>
        <v>9844</v>
      </c>
      <c r="D15" s="2012">
        <f t="shared" si="2"/>
        <v>9866</v>
      </c>
      <c r="E15" s="2011">
        <f t="shared" si="3"/>
        <v>9741</v>
      </c>
      <c r="F15" s="2013">
        <f t="shared" si="4"/>
        <v>9741</v>
      </c>
      <c r="G15" s="351">
        <f t="shared" si="0"/>
        <v>19482</v>
      </c>
      <c r="H15" s="352">
        <f t="shared" si="5"/>
        <v>9613</v>
      </c>
      <c r="I15" s="341"/>
      <c r="J15" s="341"/>
      <c r="K15" s="353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2"/>
      <c r="AB15" s="343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  <c r="AN15" s="341"/>
      <c r="AO15" s="342"/>
    </row>
    <row r="16" spans="1:41" s="344" customFormat="1" ht="14.1" customHeight="1" thickTop="1">
      <c r="A16" s="2114">
        <v>2017</v>
      </c>
      <c r="B16" s="2115"/>
      <c r="C16" s="2116">
        <f t="shared" si="1"/>
        <v>9988</v>
      </c>
      <c r="D16" s="2117">
        <f t="shared" si="2"/>
        <v>10024</v>
      </c>
      <c r="E16" s="2116">
        <f t="shared" si="3"/>
        <v>9843</v>
      </c>
      <c r="F16" s="2118">
        <f t="shared" si="4"/>
        <v>9817</v>
      </c>
      <c r="G16" s="364">
        <f t="shared" si="0"/>
        <v>19660</v>
      </c>
      <c r="H16" s="365"/>
      <c r="I16" s="341"/>
      <c r="J16" s="341"/>
      <c r="K16" s="353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2"/>
      <c r="AB16" s="343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  <c r="AM16" s="341"/>
      <c r="AN16" s="341"/>
      <c r="AO16" s="342"/>
    </row>
    <row r="17" spans="1:41" s="381" customFormat="1" ht="14.1" customHeight="1">
      <c r="A17" s="345">
        <v>2018</v>
      </c>
      <c r="B17" s="346"/>
      <c r="C17" s="347">
        <f t="shared" si="1"/>
        <v>10132</v>
      </c>
      <c r="D17" s="2168">
        <f t="shared" si="2"/>
        <v>10185</v>
      </c>
      <c r="E17" s="347">
        <f t="shared" si="3"/>
        <v>9940</v>
      </c>
      <c r="F17" s="2169">
        <f t="shared" si="4"/>
        <v>9884</v>
      </c>
      <c r="G17" s="2170">
        <f t="shared" si="0"/>
        <v>19824</v>
      </c>
      <c r="H17" s="2171"/>
      <c r="I17" s="2172"/>
      <c r="J17" s="2172"/>
      <c r="K17" s="2173"/>
      <c r="L17" s="2172"/>
      <c r="M17" s="2172"/>
      <c r="N17" s="2172"/>
      <c r="O17" s="2172"/>
      <c r="P17" s="2172"/>
      <c r="Q17" s="2172"/>
      <c r="R17" s="2172"/>
      <c r="S17" s="2172"/>
      <c r="T17" s="2172"/>
      <c r="U17" s="2172"/>
      <c r="V17" s="2172"/>
      <c r="W17" s="2172"/>
      <c r="X17" s="2172"/>
      <c r="Y17" s="2174"/>
      <c r="Z17" s="378"/>
      <c r="AA17" s="379"/>
      <c r="AB17" s="380"/>
      <c r="AC17" s="378"/>
      <c r="AD17" s="378"/>
      <c r="AE17" s="378"/>
      <c r="AF17" s="378"/>
      <c r="AG17" s="378"/>
      <c r="AH17" s="378"/>
      <c r="AI17" s="378"/>
      <c r="AJ17" s="378"/>
      <c r="AK17" s="378"/>
      <c r="AL17" s="378"/>
      <c r="AM17" s="378"/>
      <c r="AN17" s="378"/>
      <c r="AO17" s="379"/>
    </row>
    <row r="18" spans="1:41" s="381" customFormat="1" ht="14.1" customHeight="1">
      <c r="A18" s="354">
        <v>2019</v>
      </c>
      <c r="B18" s="355"/>
      <c r="C18" s="356">
        <f t="shared" si="1"/>
        <v>10277</v>
      </c>
      <c r="D18" s="371">
        <f t="shared" si="2"/>
        <v>10348</v>
      </c>
      <c r="E18" s="356">
        <f t="shared" si="3"/>
        <v>10035</v>
      </c>
      <c r="F18" s="372">
        <f t="shared" si="4"/>
        <v>9943</v>
      </c>
      <c r="G18" s="376">
        <f t="shared" si="0"/>
        <v>19978</v>
      </c>
      <c r="H18" s="377"/>
      <c r="I18" s="378"/>
      <c r="J18" s="378"/>
      <c r="K18" s="1912"/>
      <c r="L18" s="378"/>
      <c r="M18" s="378"/>
      <c r="N18" s="378"/>
      <c r="O18" s="378"/>
      <c r="P18" s="378"/>
      <c r="Q18" s="378"/>
      <c r="R18" s="378"/>
      <c r="S18" s="378"/>
      <c r="T18" s="378"/>
      <c r="U18" s="378"/>
      <c r="V18" s="378"/>
      <c r="W18" s="378"/>
      <c r="X18" s="378"/>
      <c r="Y18" s="379"/>
      <c r="Z18" s="378"/>
      <c r="AA18" s="379"/>
      <c r="AB18" s="380"/>
      <c r="AC18" s="378"/>
      <c r="AD18" s="378"/>
      <c r="AE18" s="378"/>
      <c r="AF18" s="378"/>
      <c r="AG18" s="378"/>
      <c r="AH18" s="378"/>
      <c r="AI18" s="378"/>
      <c r="AJ18" s="378"/>
      <c r="AK18" s="378"/>
      <c r="AL18" s="378"/>
      <c r="AM18" s="378"/>
      <c r="AN18" s="378"/>
      <c r="AO18" s="379"/>
    </row>
    <row r="19" spans="1:41" s="1929" customFormat="1" ht="14.1" customHeight="1">
      <c r="A19" s="366">
        <v>2020</v>
      </c>
      <c r="B19" s="367"/>
      <c r="C19" s="368">
        <f t="shared" si="1"/>
        <v>10421</v>
      </c>
      <c r="D19" s="369">
        <f t="shared" si="2"/>
        <v>10514</v>
      </c>
      <c r="E19" s="368">
        <f t="shared" si="3"/>
        <v>10127</v>
      </c>
      <c r="F19" s="370">
        <f t="shared" si="4"/>
        <v>9996</v>
      </c>
      <c r="G19" s="374">
        <f t="shared" si="0"/>
        <v>20123</v>
      </c>
      <c r="H19" s="373"/>
      <c r="I19" s="1925"/>
      <c r="J19" s="1925"/>
      <c r="K19" s="1926"/>
      <c r="L19" s="1925"/>
      <c r="M19" s="1925"/>
      <c r="N19" s="1925"/>
      <c r="O19" s="1925"/>
      <c r="P19" s="1925"/>
      <c r="Q19" s="1925"/>
      <c r="R19" s="1925"/>
      <c r="S19" s="1925"/>
      <c r="T19" s="1925"/>
      <c r="U19" s="1925"/>
      <c r="V19" s="1925"/>
      <c r="W19" s="1925"/>
      <c r="X19" s="1925"/>
      <c r="Y19" s="1927"/>
      <c r="Z19" s="1925"/>
      <c r="AA19" s="1927"/>
      <c r="AB19" s="1928"/>
      <c r="AC19" s="1925"/>
      <c r="AD19" s="1925"/>
      <c r="AE19" s="1925"/>
      <c r="AF19" s="1925"/>
      <c r="AG19" s="1925"/>
      <c r="AH19" s="1925"/>
      <c r="AI19" s="1925"/>
      <c r="AJ19" s="1925"/>
      <c r="AK19" s="1925"/>
      <c r="AL19" s="1925"/>
      <c r="AM19" s="1925"/>
      <c r="AN19" s="1925"/>
      <c r="AO19" s="1927"/>
    </row>
    <row r="20" spans="1:41" s="381" customFormat="1" ht="14.1" customHeight="1">
      <c r="A20" s="354">
        <v>2021</v>
      </c>
      <c r="B20" s="355"/>
      <c r="C20" s="356">
        <f t="shared" si="1"/>
        <v>10565</v>
      </c>
      <c r="D20" s="371">
        <f t="shared" si="2"/>
        <v>10683</v>
      </c>
      <c r="E20" s="356">
        <f t="shared" si="3"/>
        <v>10217</v>
      </c>
      <c r="F20" s="372">
        <f t="shared" si="4"/>
        <v>10042</v>
      </c>
      <c r="G20" s="376">
        <f t="shared" si="0"/>
        <v>20259</v>
      </c>
      <c r="H20" s="1913"/>
      <c r="I20" s="378"/>
      <c r="J20" s="378"/>
      <c r="K20" s="1912"/>
      <c r="L20" s="378"/>
      <c r="M20" s="378"/>
      <c r="N20" s="378"/>
      <c r="O20" s="378"/>
      <c r="P20" s="378"/>
      <c r="Q20" s="378"/>
      <c r="R20" s="378"/>
      <c r="S20" s="378"/>
      <c r="T20" s="378"/>
      <c r="U20" s="378"/>
      <c r="V20" s="378"/>
      <c r="W20" s="378"/>
      <c r="X20" s="378"/>
      <c r="Y20" s="379"/>
      <c r="Z20" s="378"/>
      <c r="AA20" s="379"/>
      <c r="AB20" s="380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9"/>
    </row>
    <row r="21" spans="1:41" s="381" customFormat="1" ht="14.1" customHeight="1">
      <c r="A21" s="354">
        <v>2022</v>
      </c>
      <c r="B21" s="355"/>
      <c r="C21" s="356">
        <f t="shared" si="1"/>
        <v>10709</v>
      </c>
      <c r="D21" s="371">
        <f t="shared" si="2"/>
        <v>10854</v>
      </c>
      <c r="E21" s="356">
        <f t="shared" si="3"/>
        <v>10304</v>
      </c>
      <c r="F21" s="372">
        <f t="shared" si="4"/>
        <v>10083</v>
      </c>
      <c r="G21" s="376">
        <f t="shared" si="0"/>
        <v>20387</v>
      </c>
      <c r="H21" s="377"/>
      <c r="I21" s="378"/>
      <c r="J21" s="378"/>
      <c r="K21" s="1912"/>
      <c r="L21" s="378"/>
      <c r="M21" s="378"/>
      <c r="N21" s="378"/>
      <c r="O21" s="378"/>
      <c r="P21" s="378"/>
      <c r="Q21" s="378"/>
      <c r="R21" s="378"/>
      <c r="S21" s="378"/>
      <c r="T21" s="378"/>
      <c r="U21" s="378"/>
      <c r="V21" s="378"/>
      <c r="W21" s="378"/>
      <c r="X21" s="378"/>
      <c r="Y21" s="379"/>
      <c r="Z21" s="378"/>
      <c r="AA21" s="379"/>
      <c r="AB21" s="380"/>
      <c r="AC21" s="378"/>
      <c r="AD21" s="378"/>
      <c r="AE21" s="378"/>
      <c r="AF21" s="378"/>
      <c r="AG21" s="378"/>
      <c r="AH21" s="378"/>
      <c r="AI21" s="378"/>
      <c r="AJ21" s="378"/>
      <c r="AK21" s="378"/>
      <c r="AL21" s="378"/>
      <c r="AM21" s="378"/>
      <c r="AN21" s="378"/>
      <c r="AO21" s="379"/>
    </row>
    <row r="22" spans="1:41" s="381" customFormat="1" ht="14.1" customHeight="1">
      <c r="A22" s="354">
        <v>2023</v>
      </c>
      <c r="B22" s="355"/>
      <c r="C22" s="356">
        <f t="shared" si="1"/>
        <v>10853</v>
      </c>
      <c r="D22" s="371">
        <f t="shared" si="2"/>
        <v>11029</v>
      </c>
      <c r="E22" s="356">
        <f t="shared" si="3"/>
        <v>10390</v>
      </c>
      <c r="F22" s="372">
        <f t="shared" si="4"/>
        <v>10120</v>
      </c>
      <c r="G22" s="376">
        <f t="shared" si="0"/>
        <v>20510</v>
      </c>
      <c r="H22" s="377"/>
      <c r="I22" s="378"/>
      <c r="J22" s="378"/>
      <c r="K22" s="1912"/>
      <c r="L22" s="378"/>
      <c r="M22" s="378"/>
      <c r="N22" s="378"/>
      <c r="O22" s="378"/>
      <c r="P22" s="378"/>
      <c r="Q22" s="378"/>
      <c r="R22" s="378"/>
      <c r="S22" s="378"/>
      <c r="T22" s="378"/>
      <c r="U22" s="378"/>
      <c r="V22" s="378"/>
      <c r="W22" s="378"/>
      <c r="X22" s="378"/>
      <c r="Y22" s="379"/>
      <c r="Z22" s="378"/>
      <c r="AA22" s="379"/>
      <c r="AB22" s="380"/>
      <c r="AC22" s="378"/>
      <c r="AD22" s="378"/>
      <c r="AE22" s="378"/>
      <c r="AF22" s="378"/>
      <c r="AG22" s="378"/>
      <c r="AH22" s="378"/>
      <c r="AI22" s="378"/>
      <c r="AJ22" s="378"/>
      <c r="AK22" s="378"/>
      <c r="AL22" s="378"/>
      <c r="AM22" s="378"/>
      <c r="AN22" s="378"/>
      <c r="AO22" s="379"/>
    </row>
    <row r="23" spans="1:41" s="381" customFormat="1" ht="14.1" customHeight="1">
      <c r="A23" s="354">
        <v>2024</v>
      </c>
      <c r="B23" s="355"/>
      <c r="C23" s="356">
        <f t="shared" si="1"/>
        <v>10998</v>
      </c>
      <c r="D23" s="371">
        <f t="shared" si="2"/>
        <v>11206</v>
      </c>
      <c r="E23" s="356">
        <f t="shared" si="3"/>
        <v>10473</v>
      </c>
      <c r="F23" s="372">
        <f t="shared" si="4"/>
        <v>10152</v>
      </c>
      <c r="G23" s="376">
        <f t="shared" si="0"/>
        <v>20625</v>
      </c>
      <c r="H23" s="377"/>
      <c r="I23" s="378"/>
      <c r="J23" s="378"/>
      <c r="K23" s="1912"/>
      <c r="L23" s="378"/>
      <c r="M23" s="378"/>
      <c r="N23" s="378"/>
      <c r="O23" s="378"/>
      <c r="P23" s="378"/>
      <c r="Q23" s="378"/>
      <c r="R23" s="378"/>
      <c r="S23" s="378"/>
      <c r="T23" s="378"/>
      <c r="U23" s="378"/>
      <c r="V23" s="378"/>
      <c r="W23" s="378"/>
      <c r="X23" s="378"/>
      <c r="Y23" s="379"/>
      <c r="Z23" s="378"/>
      <c r="AA23" s="379"/>
      <c r="AB23" s="380"/>
      <c r="AC23" s="378"/>
      <c r="AD23" s="378"/>
      <c r="AE23" s="378"/>
      <c r="AF23" s="378"/>
      <c r="AG23" s="378"/>
      <c r="AH23" s="378"/>
      <c r="AI23" s="378"/>
      <c r="AJ23" s="378"/>
      <c r="AK23" s="378"/>
      <c r="AL23" s="378"/>
      <c r="AM23" s="378"/>
      <c r="AN23" s="378"/>
      <c r="AO23" s="379"/>
    </row>
    <row r="24" spans="1:41" s="1929" customFormat="1" ht="14.1" customHeight="1">
      <c r="A24" s="366">
        <v>2025</v>
      </c>
      <c r="B24" s="367"/>
      <c r="C24" s="368">
        <f t="shared" si="1"/>
        <v>11142</v>
      </c>
      <c r="D24" s="369">
        <f t="shared" si="2"/>
        <v>11386</v>
      </c>
      <c r="E24" s="368">
        <f t="shared" si="3"/>
        <v>10555</v>
      </c>
      <c r="F24" s="370">
        <f t="shared" si="4"/>
        <v>10180</v>
      </c>
      <c r="G24" s="374">
        <f t="shared" si="0"/>
        <v>20735</v>
      </c>
      <c r="H24" s="373"/>
      <c r="I24" s="1925"/>
      <c r="J24" s="1925"/>
      <c r="K24" s="1926"/>
      <c r="L24" s="1925"/>
      <c r="M24" s="1925"/>
      <c r="N24" s="1925"/>
      <c r="O24" s="1925"/>
      <c r="P24" s="1925"/>
      <c r="Q24" s="1925"/>
      <c r="R24" s="1925"/>
      <c r="S24" s="1925"/>
      <c r="T24" s="1925"/>
      <c r="U24" s="1925"/>
      <c r="V24" s="1925"/>
      <c r="W24" s="1925"/>
      <c r="X24" s="1925"/>
      <c r="Y24" s="1927"/>
      <c r="Z24" s="1925"/>
      <c r="AA24" s="1927"/>
      <c r="AB24" s="1928"/>
      <c r="AC24" s="1925"/>
      <c r="AD24" s="1925"/>
      <c r="AE24" s="1925"/>
      <c r="AF24" s="1925"/>
      <c r="AG24" s="1925"/>
      <c r="AH24" s="1925"/>
      <c r="AI24" s="1925"/>
      <c r="AJ24" s="1925"/>
      <c r="AK24" s="1925"/>
      <c r="AL24" s="1925"/>
      <c r="AM24" s="1925"/>
      <c r="AN24" s="1925"/>
      <c r="AO24" s="1927"/>
    </row>
    <row r="25" spans="1:41" s="381" customFormat="1" ht="14.1" customHeight="1">
      <c r="A25" s="354">
        <v>2026</v>
      </c>
      <c r="B25" s="355"/>
      <c r="C25" s="356">
        <f t="shared" si="1"/>
        <v>11286</v>
      </c>
      <c r="D25" s="371">
        <f t="shared" si="2"/>
        <v>11568</v>
      </c>
      <c r="E25" s="356">
        <f t="shared" si="3"/>
        <v>10635</v>
      </c>
      <c r="F25" s="372">
        <f t="shared" si="4"/>
        <v>10204</v>
      </c>
      <c r="G25" s="376">
        <f t="shared" si="0"/>
        <v>20839</v>
      </c>
      <c r="H25" s="1913"/>
      <c r="I25" s="378"/>
      <c r="J25" s="378"/>
      <c r="K25" s="1912"/>
      <c r="L25" s="378"/>
      <c r="M25" s="378"/>
      <c r="N25" s="378"/>
      <c r="O25" s="378"/>
      <c r="P25" s="378"/>
      <c r="Q25" s="378"/>
      <c r="R25" s="378"/>
      <c r="S25" s="378"/>
      <c r="T25" s="378"/>
      <c r="U25" s="378"/>
      <c r="V25" s="378"/>
      <c r="W25" s="378"/>
      <c r="X25" s="378"/>
      <c r="Y25" s="379"/>
      <c r="Z25" s="378"/>
      <c r="AA25" s="379"/>
      <c r="AB25" s="380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9"/>
    </row>
    <row r="26" spans="1:41" s="381" customFormat="1" ht="14.1" customHeight="1">
      <c r="A26" s="354">
        <v>2027</v>
      </c>
      <c r="B26" s="355"/>
      <c r="C26" s="356">
        <f t="shared" si="1"/>
        <v>11430</v>
      </c>
      <c r="D26" s="371">
        <f t="shared" si="2"/>
        <v>11754</v>
      </c>
      <c r="E26" s="356">
        <f t="shared" si="3"/>
        <v>10714</v>
      </c>
      <c r="F26" s="372">
        <f t="shared" si="4"/>
        <v>10226</v>
      </c>
      <c r="G26" s="376">
        <f t="shared" si="0"/>
        <v>20940</v>
      </c>
      <c r="H26" s="375"/>
      <c r="I26" s="378"/>
      <c r="J26" s="378"/>
      <c r="K26" s="1914"/>
      <c r="L26" s="378"/>
      <c r="M26" s="378"/>
      <c r="N26" s="378"/>
      <c r="O26" s="378"/>
      <c r="P26" s="378"/>
      <c r="Q26" s="378"/>
      <c r="R26" s="378"/>
      <c r="S26" s="378"/>
      <c r="T26" s="378"/>
      <c r="U26" s="378"/>
      <c r="V26" s="378"/>
      <c r="W26" s="378"/>
      <c r="X26" s="378"/>
      <c r="Y26" s="379"/>
      <c r="Z26" s="378"/>
      <c r="AA26" s="379"/>
      <c r="AB26" s="380"/>
      <c r="AC26" s="378"/>
      <c r="AD26" s="378"/>
      <c r="AE26" s="378"/>
      <c r="AF26" s="378"/>
      <c r="AG26" s="378"/>
      <c r="AH26" s="378"/>
      <c r="AI26" s="378"/>
      <c r="AJ26" s="378"/>
      <c r="AK26" s="378"/>
      <c r="AL26" s="378"/>
      <c r="AM26" s="378"/>
      <c r="AN26" s="378"/>
      <c r="AO26" s="379"/>
    </row>
    <row r="27" spans="1:41" s="381" customFormat="1" ht="14.1" customHeight="1">
      <c r="A27" s="354">
        <v>2028</v>
      </c>
      <c r="B27" s="382"/>
      <c r="C27" s="356">
        <f t="shared" si="1"/>
        <v>11574</v>
      </c>
      <c r="D27" s="371">
        <f t="shared" si="2"/>
        <v>11943</v>
      </c>
      <c r="E27" s="356">
        <f t="shared" si="3"/>
        <v>10791</v>
      </c>
      <c r="F27" s="372">
        <f t="shared" si="4"/>
        <v>10245</v>
      </c>
      <c r="G27" s="376">
        <f t="shared" si="0"/>
        <v>21036</v>
      </c>
      <c r="H27" s="377"/>
      <c r="I27" s="378"/>
      <c r="J27" s="378"/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9"/>
      <c r="Z27" s="378"/>
      <c r="AA27" s="379"/>
      <c r="AB27" s="380"/>
      <c r="AC27" s="378"/>
      <c r="AD27" s="378"/>
      <c r="AE27" s="378"/>
      <c r="AF27" s="378"/>
      <c r="AG27" s="378"/>
      <c r="AH27" s="378"/>
      <c r="AI27" s="378"/>
      <c r="AJ27" s="378"/>
      <c r="AK27" s="378"/>
      <c r="AL27" s="378"/>
      <c r="AM27" s="378"/>
      <c r="AN27" s="378"/>
      <c r="AO27" s="379"/>
    </row>
    <row r="28" spans="1:41" s="381" customFormat="1" ht="14.1" customHeight="1">
      <c r="A28" s="386">
        <v>2029</v>
      </c>
      <c r="B28" s="387"/>
      <c r="C28" s="2072">
        <f t="shared" si="1"/>
        <v>11718</v>
      </c>
      <c r="D28" s="2175">
        <f t="shared" si="2"/>
        <v>12134</v>
      </c>
      <c r="E28" s="2072">
        <f t="shared" si="3"/>
        <v>10867</v>
      </c>
      <c r="F28" s="2176">
        <f t="shared" si="4"/>
        <v>10262</v>
      </c>
      <c r="G28" s="2177">
        <f t="shared" si="0"/>
        <v>21129</v>
      </c>
      <c r="H28" s="2178"/>
      <c r="I28" s="1916"/>
      <c r="J28" s="1916"/>
      <c r="K28" s="1916"/>
      <c r="L28" s="1916"/>
      <c r="M28" s="1916"/>
      <c r="N28" s="1916"/>
      <c r="O28" s="1916"/>
      <c r="P28" s="1916"/>
      <c r="Q28" s="1916"/>
      <c r="R28" s="1916"/>
      <c r="S28" s="1916"/>
      <c r="T28" s="1916"/>
      <c r="U28" s="1916"/>
      <c r="V28" s="1916"/>
      <c r="W28" s="1916"/>
      <c r="X28" s="1916"/>
      <c r="Y28" s="1917"/>
      <c r="Z28" s="378"/>
      <c r="AA28" s="379"/>
      <c r="AB28" s="1915"/>
      <c r="AC28" s="1916"/>
      <c r="AD28" s="1916"/>
      <c r="AE28" s="1916"/>
      <c r="AF28" s="1916"/>
      <c r="AG28" s="1916"/>
      <c r="AH28" s="1916"/>
      <c r="AI28" s="1916"/>
      <c r="AJ28" s="1916"/>
      <c r="AK28" s="1916"/>
      <c r="AL28" s="1916"/>
      <c r="AM28" s="1916"/>
      <c r="AN28" s="1916"/>
      <c r="AO28" s="1917"/>
    </row>
    <row r="29" spans="1:41" s="1929" customFormat="1" ht="14.1" customHeight="1">
      <c r="A29" s="2135">
        <v>2030</v>
      </c>
      <c r="B29" s="1911"/>
      <c r="C29" s="2136">
        <f t="shared" si="1"/>
        <v>11863</v>
      </c>
      <c r="D29" s="2137">
        <f t="shared" si="2"/>
        <v>12329</v>
      </c>
      <c r="E29" s="2136">
        <f t="shared" si="3"/>
        <v>10942</v>
      </c>
      <c r="F29" s="2138">
        <f t="shared" si="4"/>
        <v>10276</v>
      </c>
      <c r="G29" s="374">
        <f t="shared" si="0"/>
        <v>21218</v>
      </c>
      <c r="H29" s="373"/>
      <c r="I29" s="1925"/>
      <c r="J29" s="1925"/>
      <c r="K29" s="1925"/>
      <c r="L29" s="1925"/>
      <c r="M29" s="1925"/>
      <c r="N29" s="1925"/>
      <c r="O29" s="1925"/>
      <c r="P29" s="1925"/>
      <c r="Q29" s="1925"/>
      <c r="R29" s="1925"/>
      <c r="S29" s="1925"/>
      <c r="T29" s="1925"/>
      <c r="U29" s="1925"/>
      <c r="V29" s="1925"/>
      <c r="W29" s="1925"/>
      <c r="X29" s="1925"/>
      <c r="Y29" s="1925"/>
      <c r="Z29" s="1925"/>
      <c r="AA29" s="1927"/>
    </row>
    <row r="30" spans="1:41" s="381" customFormat="1" ht="14.1" customHeight="1">
      <c r="A30" s="354">
        <v>2031</v>
      </c>
      <c r="B30" s="355"/>
      <c r="C30" s="356">
        <f t="shared" si="1"/>
        <v>12007</v>
      </c>
      <c r="D30" s="371">
        <f t="shared" si="2"/>
        <v>12527</v>
      </c>
      <c r="E30" s="356">
        <f t="shared" si="3"/>
        <v>11016</v>
      </c>
      <c r="F30" s="372">
        <f t="shared" si="4"/>
        <v>10289</v>
      </c>
      <c r="G30" s="376">
        <f t="shared" si="0"/>
        <v>21305</v>
      </c>
      <c r="H30" s="1913"/>
      <c r="I30" s="378"/>
      <c r="J30" s="378"/>
      <c r="K30" s="378"/>
      <c r="L30" s="378"/>
      <c r="M30" s="378"/>
      <c r="N30" s="378"/>
      <c r="O30" s="378"/>
      <c r="P30" s="378"/>
      <c r="Q30" s="378"/>
      <c r="R30" s="378"/>
      <c r="S30" s="378"/>
      <c r="T30" s="378"/>
      <c r="U30" s="378"/>
      <c r="V30" s="378"/>
      <c r="W30" s="378"/>
      <c r="X30" s="378"/>
      <c r="Y30" s="378"/>
      <c r="Z30" s="378"/>
      <c r="AA30" s="379"/>
    </row>
    <row r="31" spans="1:41" s="381" customFormat="1" ht="14.1" customHeight="1">
      <c r="A31" s="354">
        <v>2032</v>
      </c>
      <c r="B31" s="382"/>
      <c r="C31" s="356">
        <f t="shared" si="1"/>
        <v>12151</v>
      </c>
      <c r="D31" s="371">
        <f t="shared" si="2"/>
        <v>12728</v>
      </c>
      <c r="E31" s="356">
        <f t="shared" si="3"/>
        <v>11088</v>
      </c>
      <c r="F31" s="372">
        <f t="shared" si="4"/>
        <v>10300</v>
      </c>
      <c r="G31" s="376">
        <f t="shared" si="0"/>
        <v>21388</v>
      </c>
      <c r="H31" s="377"/>
      <c r="I31" s="378"/>
      <c r="J31" s="378"/>
      <c r="K31" s="378"/>
      <c r="L31" s="378"/>
      <c r="M31" s="378"/>
      <c r="N31" s="378"/>
      <c r="O31" s="378"/>
      <c r="P31" s="378"/>
      <c r="Q31" s="378"/>
      <c r="R31" s="378"/>
      <c r="S31" s="378"/>
      <c r="T31" s="378"/>
      <c r="U31" s="378"/>
      <c r="V31" s="378"/>
      <c r="W31" s="378"/>
      <c r="X31" s="378"/>
      <c r="Y31" s="378"/>
      <c r="Z31" s="378"/>
      <c r="AA31" s="379"/>
    </row>
    <row r="32" spans="1:41" s="381" customFormat="1" ht="14.1" customHeight="1">
      <c r="A32" s="354">
        <v>2033</v>
      </c>
      <c r="B32" s="382"/>
      <c r="C32" s="356">
        <f t="shared" si="1"/>
        <v>12295</v>
      </c>
      <c r="D32" s="371">
        <f t="shared" si="2"/>
        <v>12932</v>
      </c>
      <c r="E32" s="356">
        <f t="shared" si="3"/>
        <v>11160</v>
      </c>
      <c r="F32" s="372">
        <f t="shared" si="4"/>
        <v>10310</v>
      </c>
      <c r="G32" s="376">
        <f t="shared" si="0"/>
        <v>21470</v>
      </c>
      <c r="H32" s="377"/>
      <c r="I32" s="378"/>
      <c r="J32" s="378"/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  <c r="Y32" s="378"/>
      <c r="Z32" s="378"/>
      <c r="AA32" s="379"/>
    </row>
    <row r="33" spans="1:40" s="381" customFormat="1" ht="14.1" customHeight="1">
      <c r="A33" s="354">
        <v>2034</v>
      </c>
      <c r="B33" s="382"/>
      <c r="C33" s="356">
        <f t="shared" si="1"/>
        <v>12439</v>
      </c>
      <c r="D33" s="371">
        <f t="shared" si="2"/>
        <v>13140</v>
      </c>
      <c r="E33" s="356">
        <f t="shared" si="3"/>
        <v>11230</v>
      </c>
      <c r="F33" s="372">
        <f t="shared" si="4"/>
        <v>10319</v>
      </c>
      <c r="G33" s="376">
        <f t="shared" si="0"/>
        <v>21549</v>
      </c>
      <c r="H33" s="377"/>
      <c r="I33" s="378"/>
      <c r="J33" s="378"/>
      <c r="K33" s="378"/>
      <c r="L33" s="378"/>
      <c r="M33" s="378"/>
      <c r="N33" s="378"/>
      <c r="O33" s="378"/>
      <c r="P33" s="378"/>
      <c r="Q33" s="378"/>
      <c r="R33" s="378"/>
      <c r="S33" s="378"/>
      <c r="T33" s="378"/>
      <c r="U33" s="378"/>
      <c r="V33" s="378"/>
      <c r="W33" s="378"/>
      <c r="X33" s="378"/>
      <c r="Y33" s="378"/>
      <c r="Z33" s="378"/>
      <c r="AA33" s="379"/>
    </row>
    <row r="34" spans="1:40" s="1929" customFormat="1" ht="14.1" customHeight="1">
      <c r="A34" s="366">
        <v>2035</v>
      </c>
      <c r="B34" s="367"/>
      <c r="C34" s="368">
        <f t="shared" si="1"/>
        <v>12584</v>
      </c>
      <c r="D34" s="369">
        <f t="shared" si="2"/>
        <v>13351</v>
      </c>
      <c r="E34" s="368">
        <f t="shared" si="3"/>
        <v>11299</v>
      </c>
      <c r="F34" s="370">
        <f t="shared" si="4"/>
        <v>10327</v>
      </c>
      <c r="G34" s="374">
        <f t="shared" si="0"/>
        <v>21626</v>
      </c>
      <c r="H34" s="384"/>
      <c r="I34" s="1925"/>
      <c r="J34" s="1925"/>
      <c r="K34" s="1925"/>
      <c r="L34" s="1930"/>
      <c r="M34" s="1925"/>
      <c r="N34" s="1925"/>
      <c r="O34" s="1925"/>
      <c r="P34" s="1925"/>
      <c r="Q34" s="1925"/>
      <c r="R34" s="1925"/>
      <c r="S34" s="1925"/>
      <c r="T34" s="1925"/>
      <c r="U34" s="1925"/>
      <c r="V34" s="1925"/>
      <c r="W34" s="1925"/>
      <c r="X34" s="1925"/>
      <c r="Y34" s="1925"/>
      <c r="Z34" s="1925"/>
      <c r="AA34" s="1927"/>
    </row>
    <row r="35" spans="1:40" s="381" customFormat="1" ht="14.1" customHeight="1">
      <c r="A35" s="354">
        <v>2036</v>
      </c>
      <c r="B35" s="385"/>
      <c r="C35" s="356">
        <f t="shared" si="1"/>
        <v>12728</v>
      </c>
      <c r="D35" s="371">
        <f t="shared" si="2"/>
        <v>13565</v>
      </c>
      <c r="E35" s="356">
        <f t="shared" si="3"/>
        <v>11368</v>
      </c>
      <c r="F35" s="372">
        <f t="shared" si="4"/>
        <v>10333</v>
      </c>
      <c r="G35" s="376"/>
      <c r="H35" s="377"/>
      <c r="I35" s="378"/>
      <c r="J35" s="378"/>
      <c r="K35" s="378"/>
      <c r="L35" s="410"/>
      <c r="M35" s="378"/>
      <c r="N35" s="378"/>
      <c r="O35" s="378"/>
      <c r="P35" s="378"/>
      <c r="Q35" s="378"/>
      <c r="R35" s="378"/>
      <c r="S35" s="378"/>
      <c r="T35" s="378"/>
      <c r="U35" s="378"/>
      <c r="V35" s="378"/>
      <c r="W35" s="378"/>
      <c r="X35" s="378"/>
      <c r="Y35" s="378"/>
      <c r="Z35" s="378"/>
      <c r="AA35" s="379"/>
    </row>
    <row r="36" spans="1:40" s="381" customFormat="1" ht="14.1" customHeight="1">
      <c r="A36" s="354">
        <v>2037</v>
      </c>
      <c r="B36" s="385"/>
      <c r="C36" s="356">
        <f t="shared" si="1"/>
        <v>12872</v>
      </c>
      <c r="D36" s="371">
        <f t="shared" si="2"/>
        <v>13783</v>
      </c>
      <c r="E36" s="356">
        <f t="shared" si="3"/>
        <v>11435</v>
      </c>
      <c r="F36" s="372">
        <f t="shared" si="4"/>
        <v>10339</v>
      </c>
      <c r="G36" s="376"/>
      <c r="H36" s="377"/>
      <c r="I36" s="378"/>
      <c r="J36" s="378"/>
      <c r="K36" s="378"/>
      <c r="L36" s="410"/>
      <c r="M36" s="378"/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9"/>
    </row>
    <row r="37" spans="1:40" s="381" customFormat="1" ht="14.1" customHeight="1">
      <c r="A37" s="354">
        <f t="shared" ref="A37" si="6">A36+1</f>
        <v>2038</v>
      </c>
      <c r="B37" s="385"/>
      <c r="C37" s="356">
        <f t="shared" si="1"/>
        <v>13016</v>
      </c>
      <c r="D37" s="371">
        <f t="shared" si="2"/>
        <v>14004</v>
      </c>
      <c r="E37" s="356">
        <f t="shared" si="3"/>
        <v>11502</v>
      </c>
      <c r="F37" s="372">
        <f t="shared" si="4"/>
        <v>10344</v>
      </c>
      <c r="G37" s="376"/>
      <c r="H37" s="377"/>
      <c r="I37" s="378"/>
      <c r="J37" s="378"/>
      <c r="K37" s="378"/>
      <c r="L37" s="410"/>
      <c r="M37" s="378"/>
      <c r="N37" s="378"/>
      <c r="O37" s="378"/>
      <c r="P37" s="378"/>
      <c r="Q37" s="378"/>
      <c r="R37" s="378"/>
      <c r="S37" s="378"/>
      <c r="T37" s="378"/>
      <c r="U37" s="378"/>
      <c r="V37" s="378"/>
      <c r="W37" s="378"/>
      <c r="X37" s="378"/>
      <c r="Y37" s="378"/>
      <c r="Z37" s="378"/>
      <c r="AA37" s="379"/>
    </row>
    <row r="38" spans="1:40" s="381" customFormat="1" ht="14.1" customHeight="1">
      <c r="A38" s="386" t="s">
        <v>275</v>
      </c>
      <c r="B38" s="387"/>
      <c r="C38" s="387" t="str">
        <f>IF(OR(C42=1,C42=2),"○","")</f>
        <v/>
      </c>
      <c r="D38" s="387" t="str">
        <f>IF(OR(D42=1,D42=2),"○","")</f>
        <v/>
      </c>
      <c r="E38" s="387" t="str">
        <f>IF(OR(E42=1,E42=2),"○","")</f>
        <v>○</v>
      </c>
      <c r="F38" s="1918" t="str">
        <f>IF(OR(F42=1,F42=2),"○","")</f>
        <v>○</v>
      </c>
      <c r="G38" s="1919"/>
      <c r="H38" s="1920"/>
      <c r="I38" s="378"/>
      <c r="J38" s="378"/>
      <c r="K38" s="1921"/>
      <c r="L38" s="1921"/>
      <c r="M38" s="1921"/>
      <c r="N38" s="1921"/>
      <c r="O38" s="1921"/>
      <c r="P38" s="1921"/>
      <c r="Q38" s="1921"/>
      <c r="R38" s="1921"/>
      <c r="S38" s="1921"/>
      <c r="T38" s="1922"/>
      <c r="U38" s="1922"/>
      <c r="V38" s="410"/>
      <c r="W38" s="410"/>
      <c r="X38" s="410"/>
      <c r="Y38" s="410"/>
      <c r="Z38" s="410"/>
      <c r="AA38" s="1923"/>
      <c r="AB38" s="1924"/>
      <c r="AC38" s="1924"/>
      <c r="AD38" s="1924"/>
      <c r="AE38" s="1924"/>
      <c r="AF38" s="1924"/>
      <c r="AG38" s="1924"/>
      <c r="AH38" s="1924"/>
      <c r="AI38" s="1924"/>
      <c r="AJ38" s="1924"/>
      <c r="AK38" s="1924"/>
      <c r="AL38" s="1924"/>
      <c r="AM38" s="1924"/>
      <c r="AN38" s="1924"/>
    </row>
    <row r="39" spans="1:40" s="344" customFormat="1" ht="14.1" customHeight="1">
      <c r="A39" s="2318" t="s">
        <v>276</v>
      </c>
      <c r="B39" s="2319"/>
      <c r="C39" s="392">
        <f>F70</f>
        <v>0.91683546457697795</v>
      </c>
      <c r="D39" s="393">
        <f>G115</f>
        <v>0.90905267386852107</v>
      </c>
      <c r="E39" s="393">
        <f>H153</f>
        <v>0.93149067838270272</v>
      </c>
      <c r="F39" s="394">
        <f>G190</f>
        <v>0.9404137967223184</v>
      </c>
      <c r="G39" s="395"/>
      <c r="H39" s="396"/>
      <c r="I39" s="341"/>
      <c r="J39" s="341"/>
      <c r="K39" s="362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90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</row>
    <row r="40" spans="1:40" s="344" customFormat="1" ht="14.1" customHeight="1">
      <c r="A40" s="2318" t="s">
        <v>277</v>
      </c>
      <c r="B40" s="2319"/>
      <c r="C40" s="397">
        <f>F71</f>
        <v>207.43599999999998</v>
      </c>
      <c r="D40" s="398">
        <f>G116</f>
        <v>227.15199999999999</v>
      </c>
      <c r="E40" s="398">
        <f>H154</f>
        <v>174.52199999999999</v>
      </c>
      <c r="F40" s="399">
        <f>G191</f>
        <v>149.78800000000001</v>
      </c>
      <c r="G40" s="400"/>
      <c r="H40" s="401"/>
      <c r="I40" s="341"/>
      <c r="J40" s="341"/>
      <c r="K40" s="388"/>
      <c r="L40" s="388"/>
      <c r="M40" s="388"/>
      <c r="N40" s="388"/>
      <c r="O40" s="388"/>
      <c r="P40" s="388"/>
      <c r="Q40" s="388"/>
      <c r="R40" s="388"/>
      <c r="S40" s="388"/>
      <c r="T40" s="389"/>
      <c r="U40" s="389"/>
      <c r="V40" s="362"/>
      <c r="W40" s="362"/>
      <c r="X40" s="362"/>
      <c r="Y40" s="362"/>
      <c r="Z40" s="362"/>
      <c r="AA40" s="390"/>
      <c r="AB40" s="391"/>
      <c r="AC40" s="391"/>
      <c r="AD40" s="391"/>
      <c r="AE40" s="391"/>
      <c r="AF40" s="391"/>
      <c r="AG40" s="391"/>
      <c r="AH40" s="391"/>
      <c r="AI40" s="391"/>
      <c r="AJ40" s="391"/>
      <c r="AK40" s="391"/>
      <c r="AL40" s="391"/>
      <c r="AM40" s="391"/>
      <c r="AN40" s="391"/>
    </row>
    <row r="41" spans="1:40" s="344" customFormat="1" ht="14.1" customHeight="1">
      <c r="A41" s="2318" t="s">
        <v>278</v>
      </c>
      <c r="B41" s="2319"/>
      <c r="C41" s="402">
        <f>F72</f>
        <v>1.2756091370093876</v>
      </c>
      <c r="D41" s="403">
        <f>G117</f>
        <v>1.3211910191144902</v>
      </c>
      <c r="E41" s="403">
        <f>H155</f>
        <v>1.1810948475932566</v>
      </c>
      <c r="F41" s="404">
        <f>G192</f>
        <v>0.54158685282493446</v>
      </c>
      <c r="G41" s="405"/>
      <c r="H41" s="401"/>
      <c r="I41" s="383"/>
      <c r="J41" s="383"/>
      <c r="K41" s="406"/>
      <c r="L41" s="406"/>
      <c r="M41" s="406"/>
      <c r="N41" s="406"/>
      <c r="O41" s="406"/>
      <c r="P41" s="406"/>
      <c r="Q41" s="406"/>
      <c r="R41" s="406"/>
      <c r="S41" s="406"/>
      <c r="T41" s="407"/>
      <c r="U41" s="407"/>
      <c r="V41" s="408"/>
      <c r="W41" s="408"/>
      <c r="X41" s="408"/>
      <c r="Y41" s="408"/>
      <c r="Z41" s="408"/>
      <c r="AA41" s="409"/>
      <c r="AB41" s="391"/>
      <c r="AC41" s="391"/>
      <c r="AD41" s="391"/>
      <c r="AE41" s="391"/>
      <c r="AF41" s="391"/>
      <c r="AG41" s="391"/>
      <c r="AH41" s="391"/>
      <c r="AI41" s="391"/>
      <c r="AJ41" s="391"/>
      <c r="AK41" s="391"/>
      <c r="AL41" s="391"/>
      <c r="AM41" s="391"/>
      <c r="AN41" s="391"/>
    </row>
    <row r="42" spans="1:40" s="344" customFormat="1" ht="20.100000000000001" customHeight="1">
      <c r="A42" s="410"/>
      <c r="B42" s="411"/>
      <c r="C42" s="1007">
        <f>RANK(C39,$C$39:$F$39)</f>
        <v>3</v>
      </c>
      <c r="D42" s="1007">
        <f>RANK(D39,$C$39:$F$39)</f>
        <v>4</v>
      </c>
      <c r="E42" s="1007">
        <f>RANK(E39,$C$39:$F$39)</f>
        <v>2</v>
      </c>
      <c r="F42" s="1007">
        <f>RANK(F39,$C$39:$F$39)</f>
        <v>1</v>
      </c>
      <c r="G42" s="341"/>
      <c r="H42" s="341"/>
      <c r="I42" s="341"/>
      <c r="J42" s="413"/>
      <c r="K42" s="391"/>
      <c r="L42" s="391"/>
      <c r="M42" s="391"/>
      <c r="N42" s="391"/>
      <c r="O42" s="391"/>
      <c r="P42" s="391"/>
      <c r="Q42" s="391"/>
      <c r="R42" s="391"/>
      <c r="S42" s="391"/>
      <c r="T42" s="391"/>
      <c r="U42" s="391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391"/>
      <c r="AG42" s="391"/>
      <c r="AH42" s="391"/>
      <c r="AI42" s="391"/>
      <c r="AJ42" s="391"/>
      <c r="AK42" s="391"/>
      <c r="AL42" s="391"/>
      <c r="AM42" s="391"/>
    </row>
    <row r="43" spans="1:40" s="344" customFormat="1" ht="18.95" customHeight="1">
      <c r="A43" s="414" t="s">
        <v>85</v>
      </c>
      <c r="B43" s="415" t="s">
        <v>279</v>
      </c>
      <c r="C43" s="415" t="s">
        <v>280</v>
      </c>
      <c r="D43" s="415" t="s">
        <v>281</v>
      </c>
      <c r="E43" s="415" t="s">
        <v>282</v>
      </c>
      <c r="F43" s="360" t="s">
        <v>5</v>
      </c>
      <c r="G43" s="341"/>
      <c r="H43" s="341"/>
      <c r="I43" s="341"/>
      <c r="J43" s="413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  <c r="AM43" s="391"/>
    </row>
    <row r="44" spans="1:40" s="344" customFormat="1" ht="18.95" customHeight="1">
      <c r="A44" s="416" t="s">
        <v>251</v>
      </c>
      <c r="B44" s="417">
        <f>+C19</f>
        <v>10421</v>
      </c>
      <c r="C44" s="417">
        <f>+C24</f>
        <v>11142</v>
      </c>
      <c r="D44" s="417">
        <f>+C29</f>
        <v>11863</v>
      </c>
      <c r="E44" s="418">
        <f>+C34</f>
        <v>12584</v>
      </c>
      <c r="F44" s="419" t="str">
        <f>IF(C38="","제외","")</f>
        <v>제외</v>
      </c>
      <c r="G44" s="341"/>
      <c r="H44" s="341"/>
      <c r="I44" s="341"/>
      <c r="J44" s="413"/>
      <c r="K44" s="391"/>
      <c r="L44" s="391"/>
      <c r="M44" s="391"/>
      <c r="N44" s="391"/>
      <c r="O44" s="391"/>
      <c r="P44" s="391"/>
      <c r="Q44" s="391"/>
      <c r="R44" s="391"/>
      <c r="S44" s="391"/>
      <c r="T44" s="391"/>
      <c r="U44" s="391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391"/>
      <c r="AG44" s="391"/>
      <c r="AH44" s="391"/>
      <c r="AI44" s="391"/>
      <c r="AJ44" s="391"/>
      <c r="AK44" s="391"/>
      <c r="AL44" s="391"/>
      <c r="AM44" s="391"/>
    </row>
    <row r="45" spans="1:40" s="344" customFormat="1" ht="18.95" customHeight="1">
      <c r="A45" s="416" t="s">
        <v>253</v>
      </c>
      <c r="B45" s="417">
        <f>+D19</f>
        <v>10514</v>
      </c>
      <c r="C45" s="417">
        <f>+D24</f>
        <v>11386</v>
      </c>
      <c r="D45" s="417">
        <f>+D29</f>
        <v>12329</v>
      </c>
      <c r="E45" s="418">
        <f>+D34</f>
        <v>13351</v>
      </c>
      <c r="F45" s="419" t="str">
        <f>IF(D38="","제외","")</f>
        <v>제외</v>
      </c>
      <c r="G45" s="341"/>
      <c r="H45" s="341"/>
      <c r="I45" s="341"/>
      <c r="J45" s="413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1"/>
    </row>
    <row r="46" spans="1:40" s="344" customFormat="1" ht="18.95" customHeight="1">
      <c r="A46" s="416" t="s">
        <v>254</v>
      </c>
      <c r="B46" s="417">
        <f>+E19</f>
        <v>10127</v>
      </c>
      <c r="C46" s="417">
        <f>+E24</f>
        <v>10555</v>
      </c>
      <c r="D46" s="417">
        <f>+E29</f>
        <v>10942</v>
      </c>
      <c r="E46" s="418">
        <f>+E34</f>
        <v>11299</v>
      </c>
      <c r="F46" s="419" t="str">
        <f>IF(E38="","제외","")</f>
        <v/>
      </c>
      <c r="G46" s="341"/>
      <c r="H46" s="341"/>
      <c r="I46" s="341"/>
      <c r="J46" s="413"/>
      <c r="K46" s="391"/>
      <c r="L46" s="391"/>
      <c r="M46" s="391"/>
      <c r="N46" s="391"/>
      <c r="O46" s="391"/>
      <c r="P46" s="391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  <c r="AM46" s="391"/>
    </row>
    <row r="47" spans="1:40" s="344" customFormat="1" ht="18.95" customHeight="1">
      <c r="A47" s="416" t="s">
        <v>256</v>
      </c>
      <c r="B47" s="417">
        <f>+F19</f>
        <v>9996</v>
      </c>
      <c r="C47" s="417">
        <f>+F24</f>
        <v>10180</v>
      </c>
      <c r="D47" s="417">
        <f>+F29</f>
        <v>10276</v>
      </c>
      <c r="E47" s="418">
        <f>+F34</f>
        <v>10327</v>
      </c>
      <c r="F47" s="419" t="str">
        <f>IF(F38="","제외","")</f>
        <v/>
      </c>
      <c r="G47" s="341"/>
      <c r="H47" s="341"/>
      <c r="I47" s="341"/>
      <c r="J47" s="413"/>
      <c r="K47" s="391"/>
      <c r="L47" s="391"/>
      <c r="M47" s="391"/>
      <c r="N47" s="391"/>
      <c r="O47" s="391"/>
      <c r="P47" s="391"/>
      <c r="Q47" s="391"/>
      <c r="R47" s="391"/>
      <c r="S47" s="391"/>
      <c r="T47" s="391"/>
      <c r="U47" s="391"/>
      <c r="V47" s="391"/>
      <c r="W47" s="391"/>
      <c r="X47" s="391"/>
      <c r="Y47" s="391"/>
      <c r="Z47" s="391"/>
      <c r="AA47" s="391"/>
      <c r="AB47" s="391"/>
      <c r="AC47" s="391"/>
      <c r="AD47" s="391"/>
      <c r="AE47" s="391"/>
      <c r="AF47" s="391"/>
      <c r="AG47" s="391"/>
      <c r="AH47" s="391"/>
      <c r="AI47" s="391"/>
      <c r="AJ47" s="391"/>
      <c r="AK47" s="391"/>
      <c r="AL47" s="391"/>
      <c r="AM47" s="391"/>
    </row>
    <row r="48" spans="1:40" s="344" customFormat="1" ht="18.95" customHeight="1">
      <c r="A48" s="416" t="s">
        <v>283</v>
      </c>
      <c r="B48" s="420">
        <f>ROUND(AVERAGE(B46,B47),0)</f>
        <v>10062</v>
      </c>
      <c r="C48" s="420">
        <f t="shared" ref="C48:E48" si="7">ROUND(AVERAGE(C46,C47),0)</f>
        <v>10368</v>
      </c>
      <c r="D48" s="420">
        <f t="shared" si="7"/>
        <v>10609</v>
      </c>
      <c r="E48" s="420">
        <f t="shared" si="7"/>
        <v>10813</v>
      </c>
      <c r="F48" s="419"/>
      <c r="G48" s="341"/>
      <c r="H48" s="341"/>
      <c r="I48" s="341"/>
      <c r="J48" s="413"/>
      <c r="K48" s="391"/>
      <c r="L48" s="391"/>
      <c r="M48" s="391"/>
      <c r="N48" s="391"/>
      <c r="O48" s="391"/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  <c r="AM48" s="391"/>
    </row>
    <row r="49" spans="1:40" s="344" customFormat="1" ht="18.95" customHeight="1">
      <c r="A49" s="416" t="s">
        <v>284</v>
      </c>
      <c r="B49" s="420">
        <f>B48</f>
        <v>10062</v>
      </c>
      <c r="C49" s="420">
        <f>C48</f>
        <v>10368</v>
      </c>
      <c r="D49" s="420">
        <f>D48</f>
        <v>10609</v>
      </c>
      <c r="E49" s="420">
        <f>E48</f>
        <v>10813</v>
      </c>
      <c r="F49" s="419"/>
      <c r="G49" s="341"/>
      <c r="H49" s="341"/>
      <c r="I49" s="341"/>
      <c r="J49" s="413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391"/>
      <c r="AG49" s="391"/>
      <c r="AH49" s="391"/>
      <c r="AI49" s="391"/>
      <c r="AJ49" s="391"/>
      <c r="AK49" s="391"/>
      <c r="AL49" s="391"/>
      <c r="AM49" s="391"/>
    </row>
    <row r="50" spans="1:40" s="344" customFormat="1" ht="20.100000000000001" customHeight="1">
      <c r="A50" s="410"/>
      <c r="B50" s="411"/>
      <c r="C50" s="421">
        <f>C48-B48</f>
        <v>306</v>
      </c>
      <c r="D50" s="421">
        <f>D48-C48</f>
        <v>241</v>
      </c>
      <c r="E50" s="421">
        <f>E48-D48</f>
        <v>204</v>
      </c>
      <c r="F50" s="341"/>
      <c r="G50" s="341"/>
      <c r="H50" s="341"/>
      <c r="I50" s="341"/>
      <c r="J50" s="413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391"/>
      <c r="AG50" s="391"/>
      <c r="AH50" s="391"/>
      <c r="AI50" s="391"/>
      <c r="AJ50" s="391"/>
      <c r="AK50" s="391"/>
      <c r="AL50" s="391"/>
      <c r="AM50" s="391"/>
    </row>
    <row r="51" spans="1:40" s="344" customFormat="1" ht="20.100000000000001" customHeight="1">
      <c r="A51" s="410"/>
      <c r="B51" s="422"/>
      <c r="C51" s="423">
        <f>ROUND((C48/B48)^(1/5)-1,4)</f>
        <v>6.0000000000000001E-3</v>
      </c>
      <c r="D51" s="423">
        <f>ROUND((D48/C48)^(1/5)-1,4)</f>
        <v>4.5999999999999999E-3</v>
      </c>
      <c r="E51" s="423">
        <f>ROUND((E48/D48)^(1/5)-1,4)</f>
        <v>3.8E-3</v>
      </c>
      <c r="F51" s="341"/>
      <c r="G51" s="341"/>
      <c r="H51" s="341"/>
      <c r="I51" s="341"/>
      <c r="J51" s="413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391"/>
      <c r="AG51" s="391"/>
      <c r="AH51" s="391"/>
      <c r="AI51" s="391"/>
      <c r="AJ51" s="391"/>
      <c r="AK51" s="391"/>
      <c r="AL51" s="391"/>
      <c r="AM51" s="391"/>
    </row>
    <row r="52" spans="1:40" s="344" customFormat="1" ht="20.100000000000001" customHeight="1">
      <c r="A52" s="410"/>
      <c r="B52" s="411"/>
      <c r="C52" s="423"/>
      <c r="D52" s="423"/>
      <c r="E52" s="423"/>
      <c r="F52" s="341"/>
      <c r="G52" s="341"/>
      <c r="H52" s="341"/>
      <c r="I52" s="341"/>
      <c r="J52" s="413"/>
      <c r="K52" s="391"/>
      <c r="L52" s="391"/>
      <c r="M52" s="391"/>
      <c r="N52" s="391"/>
      <c r="O52" s="391"/>
      <c r="P52" s="391"/>
      <c r="Q52" s="391"/>
      <c r="R52" s="391"/>
      <c r="S52" s="391"/>
      <c r="T52" s="391"/>
      <c r="U52" s="391"/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391"/>
      <c r="AG52" s="391"/>
      <c r="AH52" s="391"/>
      <c r="AI52" s="391"/>
      <c r="AJ52" s="391"/>
      <c r="AK52" s="391"/>
      <c r="AL52" s="391"/>
      <c r="AM52" s="391"/>
    </row>
    <row r="53" spans="1:40" s="344" customFormat="1" ht="20.100000000000001" customHeight="1">
      <c r="A53" s="410"/>
      <c r="B53" s="411"/>
      <c r="C53" s="412"/>
      <c r="D53" s="412"/>
      <c r="E53" s="412"/>
      <c r="F53" s="341"/>
      <c r="G53" s="341"/>
      <c r="H53" s="341"/>
      <c r="I53" s="341"/>
      <c r="J53" s="413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  <c r="AF53" s="391"/>
      <c r="AG53" s="391"/>
      <c r="AH53" s="391"/>
      <c r="AI53" s="391"/>
      <c r="AJ53" s="391"/>
      <c r="AK53" s="391"/>
      <c r="AL53" s="391"/>
      <c r="AM53" s="391"/>
    </row>
    <row r="54" spans="1:40" s="344" customFormat="1" ht="20.100000000000001" customHeight="1">
      <c r="A54" s="410"/>
      <c r="B54" s="411"/>
      <c r="C54" s="412"/>
      <c r="D54" s="412"/>
      <c r="E54" s="412"/>
      <c r="F54" s="341"/>
      <c r="G54" s="341"/>
      <c r="H54" s="341"/>
      <c r="I54" s="341"/>
      <c r="J54" s="413"/>
      <c r="K54" s="391"/>
      <c r="L54" s="391"/>
      <c r="M54" s="391"/>
      <c r="N54" s="391"/>
      <c r="O54" s="391"/>
      <c r="P54" s="391"/>
      <c r="Q54" s="391"/>
      <c r="R54" s="391"/>
      <c r="S54" s="391"/>
      <c r="T54" s="391"/>
      <c r="U54" s="391"/>
      <c r="V54" s="391"/>
      <c r="W54" s="391"/>
      <c r="X54" s="391"/>
      <c r="Y54" s="391"/>
      <c r="Z54" s="391"/>
      <c r="AA54" s="391"/>
      <c r="AB54" s="391"/>
      <c r="AC54" s="391"/>
      <c r="AD54" s="391"/>
      <c r="AE54" s="391"/>
      <c r="AF54" s="391"/>
      <c r="AG54" s="391"/>
      <c r="AH54" s="391"/>
      <c r="AI54" s="391"/>
      <c r="AJ54" s="391"/>
      <c r="AK54" s="391"/>
      <c r="AL54" s="391"/>
      <c r="AM54" s="391"/>
    </row>
    <row r="55" spans="1:40" s="344" customFormat="1" ht="20.100000000000001" customHeight="1">
      <c r="A55" s="410"/>
      <c r="B55" s="411"/>
      <c r="C55" s="412"/>
      <c r="D55" s="412"/>
      <c r="E55" s="412"/>
      <c r="F55" s="341"/>
      <c r="G55" s="341"/>
      <c r="H55" s="341"/>
      <c r="I55" s="341"/>
      <c r="J55" s="413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1"/>
    </row>
    <row r="56" spans="1:40" s="344" customFormat="1" ht="20.100000000000001" customHeight="1">
      <c r="A56" s="410"/>
      <c r="B56" s="411"/>
      <c r="C56" s="412"/>
      <c r="D56" s="412"/>
      <c r="E56" s="412"/>
      <c r="F56" s="341"/>
      <c r="G56" s="341"/>
      <c r="H56" s="341"/>
      <c r="I56" s="341"/>
      <c r="J56" s="413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  <c r="AF56" s="391"/>
      <c r="AG56" s="391"/>
      <c r="AH56" s="391"/>
      <c r="AI56" s="391"/>
      <c r="AJ56" s="391"/>
      <c r="AK56" s="391"/>
      <c r="AL56" s="391"/>
      <c r="AM56" s="391"/>
    </row>
    <row r="57" spans="1:40" s="344" customFormat="1" ht="20.100000000000001" customHeight="1">
      <c r="A57" s="410"/>
      <c r="B57" s="411"/>
      <c r="C57" s="412"/>
      <c r="D57" s="412"/>
      <c r="E57" s="412"/>
      <c r="F57" s="341"/>
      <c r="G57" s="341"/>
      <c r="H57" s="341"/>
      <c r="I57" s="341"/>
      <c r="J57" s="413"/>
      <c r="K57" s="391"/>
      <c r="L57" s="391"/>
      <c r="M57" s="391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91"/>
      <c r="Y57" s="391"/>
      <c r="Z57" s="391"/>
      <c r="AA57" s="391"/>
      <c r="AB57" s="391"/>
      <c r="AC57" s="391"/>
      <c r="AD57" s="391"/>
      <c r="AE57" s="391"/>
      <c r="AF57" s="391"/>
      <c r="AG57" s="391"/>
      <c r="AH57" s="391"/>
      <c r="AI57" s="391"/>
      <c r="AJ57" s="391"/>
      <c r="AK57" s="391"/>
      <c r="AL57" s="391"/>
      <c r="AM57" s="391"/>
    </row>
    <row r="58" spans="1:40" s="344" customFormat="1" ht="20.100000000000001" customHeight="1">
      <c r="A58" s="410"/>
      <c r="B58" s="411"/>
      <c r="C58" s="412"/>
      <c r="D58" s="412"/>
      <c r="E58" s="412"/>
      <c r="F58" s="341"/>
      <c r="G58" s="341"/>
      <c r="H58" s="341"/>
      <c r="I58" s="341"/>
      <c r="J58" s="413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1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  <c r="AF58" s="391"/>
      <c r="AG58" s="391"/>
      <c r="AH58" s="391"/>
      <c r="AI58" s="391"/>
      <c r="AJ58" s="391"/>
      <c r="AK58" s="391"/>
      <c r="AL58" s="391"/>
      <c r="AM58" s="391"/>
    </row>
    <row r="59" spans="1:40" s="344" customFormat="1" ht="20.100000000000001" customHeight="1">
      <c r="A59" s="410"/>
      <c r="B59" s="411"/>
      <c r="C59" s="412"/>
      <c r="D59" s="412"/>
      <c r="E59" s="412"/>
      <c r="F59" s="341"/>
      <c r="G59" s="341"/>
      <c r="H59" s="341"/>
      <c r="I59" s="341"/>
      <c r="J59" s="413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  <c r="AF59" s="391"/>
      <c r="AG59" s="391"/>
      <c r="AH59" s="391"/>
      <c r="AI59" s="391"/>
      <c r="AJ59" s="391"/>
      <c r="AK59" s="391"/>
      <c r="AL59" s="391"/>
      <c r="AM59" s="391"/>
    </row>
    <row r="60" spans="1:40" s="344" customFormat="1" ht="20.100000000000001" customHeight="1">
      <c r="A60" s="410"/>
      <c r="B60" s="411"/>
      <c r="C60" s="412"/>
      <c r="D60" s="412"/>
      <c r="E60" s="412"/>
      <c r="F60" s="341"/>
      <c r="G60" s="341"/>
      <c r="H60" s="341"/>
      <c r="I60" s="341"/>
      <c r="J60" s="413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  <c r="Z60" s="391"/>
      <c r="AA60" s="391"/>
      <c r="AB60" s="391"/>
      <c r="AC60" s="391"/>
      <c r="AD60" s="391"/>
      <c r="AE60" s="391"/>
      <c r="AF60" s="391"/>
      <c r="AG60" s="391"/>
      <c r="AH60" s="391"/>
      <c r="AI60" s="391"/>
      <c r="AJ60" s="391"/>
      <c r="AK60" s="391"/>
      <c r="AL60" s="391"/>
      <c r="AM60" s="391"/>
    </row>
    <row r="61" spans="1:40" s="344" customFormat="1" ht="20.100000000000001" customHeight="1">
      <c r="A61" s="410"/>
      <c r="B61" s="411"/>
      <c r="C61" s="412"/>
      <c r="D61" s="412"/>
      <c r="E61" s="412"/>
      <c r="F61" s="341"/>
      <c r="G61" s="341"/>
      <c r="H61" s="341"/>
      <c r="I61" s="341"/>
      <c r="J61" s="413"/>
      <c r="K61" s="391"/>
      <c r="L61" s="391"/>
      <c r="M61" s="391"/>
      <c r="N61" s="391"/>
      <c r="O61" s="391"/>
      <c r="P61" s="391"/>
      <c r="Q61" s="391"/>
      <c r="R61" s="391"/>
      <c r="S61" s="391"/>
      <c r="T61" s="391"/>
      <c r="U61" s="391"/>
      <c r="V61" s="391"/>
      <c r="W61" s="391"/>
      <c r="X61" s="391"/>
      <c r="Y61" s="391"/>
      <c r="Z61" s="391"/>
      <c r="AA61" s="391"/>
      <c r="AB61" s="391"/>
      <c r="AC61" s="391"/>
      <c r="AD61" s="391"/>
      <c r="AE61" s="391"/>
      <c r="AF61" s="391"/>
      <c r="AG61" s="391"/>
      <c r="AH61" s="391"/>
      <c r="AI61" s="391"/>
      <c r="AJ61" s="391"/>
      <c r="AK61" s="391"/>
      <c r="AL61" s="391"/>
      <c r="AM61" s="391"/>
    </row>
    <row r="62" spans="1:40" s="344" customFormat="1" ht="20.100000000000001" customHeight="1">
      <c r="A62" s="410"/>
      <c r="B62" s="411"/>
      <c r="C62" s="412"/>
      <c r="D62" s="412"/>
      <c r="E62" s="412"/>
      <c r="F62" s="341"/>
      <c r="G62" s="341"/>
      <c r="H62" s="341"/>
      <c r="I62" s="341"/>
      <c r="J62" s="413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  <c r="Z62" s="391"/>
      <c r="AA62" s="391"/>
      <c r="AB62" s="391"/>
      <c r="AC62" s="391"/>
      <c r="AD62" s="391"/>
      <c r="AE62" s="391"/>
      <c r="AF62" s="391"/>
      <c r="AG62" s="391"/>
      <c r="AH62" s="391"/>
      <c r="AI62" s="391"/>
      <c r="AJ62" s="391"/>
      <c r="AK62" s="391"/>
      <c r="AL62" s="391"/>
      <c r="AM62" s="391"/>
      <c r="AN62" s="391"/>
    </row>
    <row r="63" spans="1:40" ht="15" customHeight="1">
      <c r="A63" s="424" t="s">
        <v>285</v>
      </c>
      <c r="B63" s="425"/>
      <c r="I63" s="426"/>
    </row>
    <row r="64" spans="1:40" ht="15" customHeight="1">
      <c r="A64" s="427" t="s">
        <v>264</v>
      </c>
      <c r="B64" s="428" t="s">
        <v>286</v>
      </c>
      <c r="C64" s="429" t="s">
        <v>287</v>
      </c>
      <c r="D64" s="430"/>
      <c r="E64" s="430"/>
      <c r="F64" s="431"/>
      <c r="G64" s="432"/>
      <c r="H64" s="432" t="s">
        <v>288</v>
      </c>
      <c r="I64" s="433">
        <f>RSQ(I65:I75,B65:B75)</f>
        <v>0.91683546457697795</v>
      </c>
      <c r="J64" s="434" t="s">
        <v>289</v>
      </c>
      <c r="K64" s="435" t="s">
        <v>290</v>
      </c>
    </row>
    <row r="65" spans="1:14" ht="15" customHeight="1">
      <c r="A65" s="436">
        <f>A5</f>
        <v>2006</v>
      </c>
      <c r="B65" s="437">
        <f>B5</f>
        <v>8346</v>
      </c>
      <c r="C65" s="438">
        <v>1</v>
      </c>
      <c r="D65" s="439" t="s">
        <v>291</v>
      </c>
      <c r="E65" s="440"/>
      <c r="F65" s="440"/>
      <c r="G65" s="441"/>
      <c r="H65" s="442"/>
      <c r="I65" s="443">
        <f t="shared" ref="I65:I97" si="8">ROUND($E$66*C65+$E$67,$G$1)</f>
        <v>8402</v>
      </c>
      <c r="J65" s="444">
        <f t="shared" ref="J65:J75" si="9">ABS(B65-I65)/B65*100</f>
        <v>0.67098011023244675</v>
      </c>
      <c r="K65" s="443">
        <f t="shared" ref="K65:K75" si="10">(B65-I65)^2/1000</f>
        <v>3.1360000000000001</v>
      </c>
      <c r="L65" s="445"/>
    </row>
    <row r="66" spans="1:14" ht="15" customHeight="1">
      <c r="A66" s="436">
        <f t="shared" ref="A66:A97" si="11">A65+1</f>
        <v>2007</v>
      </c>
      <c r="B66" s="437">
        <f t="shared" ref="B66:B75" si="12">B6</f>
        <v>8527</v>
      </c>
      <c r="C66" s="438">
        <f t="shared" ref="C66:C75" si="13">C65+1</f>
        <v>2</v>
      </c>
      <c r="D66" s="439" t="s">
        <v>292</v>
      </c>
      <c r="E66" s="363">
        <f>INDEX(LINEST(B65:B75,C65:C75),1)</f>
        <v>144.18181818181819</v>
      </c>
      <c r="F66" s="440"/>
      <c r="G66" s="441"/>
      <c r="H66" s="442"/>
      <c r="I66" s="443">
        <f t="shared" si="8"/>
        <v>8546</v>
      </c>
      <c r="J66" s="446">
        <f t="shared" si="9"/>
        <v>0.22282162542512021</v>
      </c>
      <c r="K66" s="443">
        <f>(B66-I66)^2/1000</f>
        <v>0.36099999999999999</v>
      </c>
      <c r="L66" s="445">
        <f t="shared" ref="L66:L97" si="14">+I66-I65</f>
        <v>144</v>
      </c>
      <c r="M66" s="445"/>
    </row>
    <row r="67" spans="1:14" ht="15" customHeight="1">
      <c r="A67" s="436">
        <f t="shared" si="11"/>
        <v>2008</v>
      </c>
      <c r="B67" s="437">
        <f t="shared" si="12"/>
        <v>8679</v>
      </c>
      <c r="C67" s="438">
        <f t="shared" si="13"/>
        <v>3</v>
      </c>
      <c r="D67" s="439" t="s">
        <v>293</v>
      </c>
      <c r="E67" s="363">
        <f>INDEX(LINEST(B65:B75,C65:C75),2)</f>
        <v>8258.0909090909081</v>
      </c>
      <c r="G67" s="441"/>
      <c r="H67" s="442"/>
      <c r="I67" s="443">
        <f t="shared" si="8"/>
        <v>8691</v>
      </c>
      <c r="J67" s="446">
        <f t="shared" si="9"/>
        <v>0.13826477704804702</v>
      </c>
      <c r="K67" s="443">
        <f>(B67-I67)^2/1000</f>
        <v>0.14399999999999999</v>
      </c>
      <c r="L67" s="445">
        <f t="shared" si="14"/>
        <v>145</v>
      </c>
      <c r="M67" s="445"/>
    </row>
    <row r="68" spans="1:14" ht="15" customHeight="1">
      <c r="A68" s="436">
        <f t="shared" si="11"/>
        <v>2009</v>
      </c>
      <c r="B68" s="437">
        <f t="shared" si="12"/>
        <v>8768</v>
      </c>
      <c r="C68" s="438">
        <f t="shared" si="13"/>
        <v>4</v>
      </c>
      <c r="G68" s="442"/>
      <c r="H68" s="442"/>
      <c r="I68" s="443">
        <f t="shared" si="8"/>
        <v>8835</v>
      </c>
      <c r="J68" s="446">
        <f t="shared" si="9"/>
        <v>0.76414233576642343</v>
      </c>
      <c r="K68" s="443">
        <f t="shared" si="10"/>
        <v>4.4889999999999999</v>
      </c>
      <c r="L68" s="445">
        <f t="shared" si="14"/>
        <v>144</v>
      </c>
      <c r="M68" s="445"/>
    </row>
    <row r="69" spans="1:14" ht="15" customHeight="1">
      <c r="A69" s="436">
        <f t="shared" si="11"/>
        <v>2010</v>
      </c>
      <c r="B69" s="437">
        <f t="shared" si="12"/>
        <v>8838</v>
      </c>
      <c r="C69" s="438">
        <f t="shared" si="13"/>
        <v>5</v>
      </c>
      <c r="G69" s="442"/>
      <c r="H69" s="442"/>
      <c r="I69" s="443">
        <f t="shared" si="8"/>
        <v>8979</v>
      </c>
      <c r="J69" s="446">
        <f t="shared" si="9"/>
        <v>1.5953835709436524</v>
      </c>
      <c r="K69" s="443">
        <f t="shared" si="10"/>
        <v>19.881</v>
      </c>
      <c r="L69" s="445">
        <f t="shared" si="14"/>
        <v>144</v>
      </c>
      <c r="M69" s="445"/>
    </row>
    <row r="70" spans="1:14" ht="15" customHeight="1">
      <c r="A70" s="436">
        <f t="shared" si="11"/>
        <v>2011</v>
      </c>
      <c r="B70" s="437">
        <f t="shared" si="12"/>
        <v>9306</v>
      </c>
      <c r="C70" s="438">
        <f t="shared" si="13"/>
        <v>6</v>
      </c>
      <c r="D70" s="2318" t="s">
        <v>276</v>
      </c>
      <c r="E70" s="2320"/>
      <c r="F70" s="447">
        <f>I64</f>
        <v>0.91683546457697795</v>
      </c>
      <c r="G70" s="442"/>
      <c r="H70" s="442"/>
      <c r="I70" s="443">
        <f t="shared" si="8"/>
        <v>9123</v>
      </c>
      <c r="J70" s="446">
        <f t="shared" si="9"/>
        <v>1.9664732430689877</v>
      </c>
      <c r="K70" s="443">
        <f t="shared" si="10"/>
        <v>33.488999999999997</v>
      </c>
      <c r="L70" s="445">
        <f t="shared" si="14"/>
        <v>144</v>
      </c>
      <c r="M70" s="445"/>
    </row>
    <row r="71" spans="1:14" ht="15" customHeight="1">
      <c r="A71" s="436">
        <f t="shared" si="11"/>
        <v>2012</v>
      </c>
      <c r="B71" s="437">
        <f t="shared" si="12"/>
        <v>9393</v>
      </c>
      <c r="C71" s="438">
        <f t="shared" si="13"/>
        <v>7</v>
      </c>
      <c r="D71" s="2318" t="s">
        <v>277</v>
      </c>
      <c r="E71" s="2320"/>
      <c r="F71" s="448">
        <f>SUM(K65:K75)</f>
        <v>207.43599999999998</v>
      </c>
      <c r="G71" s="442"/>
      <c r="H71" s="442"/>
      <c r="I71" s="443">
        <f t="shared" si="8"/>
        <v>9267</v>
      </c>
      <c r="J71" s="446">
        <f t="shared" si="9"/>
        <v>1.3414244650271478</v>
      </c>
      <c r="K71" s="443">
        <f t="shared" si="10"/>
        <v>15.875999999999999</v>
      </c>
      <c r="L71" s="445">
        <f t="shared" si="14"/>
        <v>144</v>
      </c>
      <c r="M71" s="445"/>
    </row>
    <row r="72" spans="1:14" ht="15" customHeight="1">
      <c r="A72" s="436">
        <f t="shared" si="11"/>
        <v>2013</v>
      </c>
      <c r="B72" s="437">
        <f t="shared" si="12"/>
        <v>9575</v>
      </c>
      <c r="C72" s="438">
        <f t="shared" si="13"/>
        <v>8</v>
      </c>
      <c r="D72" s="2318" t="s">
        <v>295</v>
      </c>
      <c r="E72" s="2321"/>
      <c r="F72" s="449">
        <f>SUM(J65:J75)/C75</f>
        <v>1.2756091370093876</v>
      </c>
      <c r="G72" s="442"/>
      <c r="H72" s="442"/>
      <c r="I72" s="443">
        <f t="shared" si="8"/>
        <v>9412</v>
      </c>
      <c r="J72" s="446">
        <f t="shared" si="9"/>
        <v>1.702349869451697</v>
      </c>
      <c r="K72" s="443">
        <f t="shared" si="10"/>
        <v>26.568999999999999</v>
      </c>
      <c r="L72" s="445">
        <f t="shared" si="14"/>
        <v>145</v>
      </c>
      <c r="M72" s="445"/>
    </row>
    <row r="73" spans="1:14" ht="15" customHeight="1">
      <c r="A73" s="436">
        <f t="shared" si="11"/>
        <v>2014</v>
      </c>
      <c r="B73" s="437">
        <f t="shared" si="12"/>
        <v>9739</v>
      </c>
      <c r="C73" s="438">
        <f t="shared" si="13"/>
        <v>9</v>
      </c>
      <c r="D73" s="2322"/>
      <c r="E73" s="2322"/>
      <c r="F73" s="450"/>
      <c r="G73" s="442"/>
      <c r="H73" s="442"/>
      <c r="I73" s="443">
        <f t="shared" si="8"/>
        <v>9556</v>
      </c>
      <c r="J73" s="446">
        <f t="shared" si="9"/>
        <v>1.879043022897628</v>
      </c>
      <c r="K73" s="443">
        <f t="shared" si="10"/>
        <v>33.488999999999997</v>
      </c>
      <c r="L73" s="445">
        <f t="shared" si="14"/>
        <v>144</v>
      </c>
      <c r="M73" s="445"/>
    </row>
    <row r="74" spans="1:14" ht="15" customHeight="1">
      <c r="A74" s="436">
        <f t="shared" si="11"/>
        <v>2015</v>
      </c>
      <c r="B74" s="437">
        <f t="shared" si="12"/>
        <v>9571</v>
      </c>
      <c r="C74" s="438">
        <f t="shared" si="13"/>
        <v>10</v>
      </c>
      <c r="G74" s="439"/>
      <c r="H74" s="451"/>
      <c r="I74" s="443">
        <f t="shared" si="8"/>
        <v>9700</v>
      </c>
      <c r="J74" s="446">
        <f t="shared" si="9"/>
        <v>1.34782154424825</v>
      </c>
      <c r="K74" s="443">
        <f t="shared" si="10"/>
        <v>16.640999999999998</v>
      </c>
      <c r="L74" s="445">
        <f t="shared" si="14"/>
        <v>144</v>
      </c>
      <c r="M74" s="445"/>
    </row>
    <row r="75" spans="1:14" ht="15" customHeight="1" thickBot="1">
      <c r="A75" s="452">
        <f t="shared" si="11"/>
        <v>2016</v>
      </c>
      <c r="B75" s="453">
        <f t="shared" si="12"/>
        <v>9613</v>
      </c>
      <c r="C75" s="438">
        <f t="shared" si="13"/>
        <v>11</v>
      </c>
      <c r="D75" s="454"/>
      <c r="E75" s="454"/>
      <c r="F75" s="454"/>
      <c r="G75" s="455"/>
      <c r="H75" s="454"/>
      <c r="I75" s="456">
        <f t="shared" si="8"/>
        <v>9844</v>
      </c>
      <c r="J75" s="457">
        <f t="shared" si="9"/>
        <v>2.4029959429938628</v>
      </c>
      <c r="K75" s="456">
        <f t="shared" si="10"/>
        <v>53.360999999999997</v>
      </c>
      <c r="L75" s="445">
        <f t="shared" si="14"/>
        <v>144</v>
      </c>
      <c r="M75" s="445"/>
    </row>
    <row r="76" spans="1:14" ht="15" customHeight="1" thickTop="1">
      <c r="A76" s="458">
        <f t="shared" si="11"/>
        <v>2017</v>
      </c>
      <c r="B76" s="459">
        <f t="shared" ref="B76:B97" si="15">ROUND($E$66*C76+$E$67,$G$1)</f>
        <v>9988</v>
      </c>
      <c r="C76" s="460">
        <f>C75+1</f>
        <v>12</v>
      </c>
      <c r="D76" s="461"/>
      <c r="E76" s="461"/>
      <c r="F76" s="461"/>
      <c r="G76" s="462"/>
      <c r="H76" s="461"/>
      <c r="I76" s="443">
        <f t="shared" si="8"/>
        <v>9988</v>
      </c>
      <c r="J76" s="463"/>
      <c r="K76" s="464"/>
      <c r="L76" s="445">
        <f t="shared" si="14"/>
        <v>144</v>
      </c>
    </row>
    <row r="77" spans="1:14" ht="15" customHeight="1">
      <c r="A77" s="465">
        <f t="shared" si="11"/>
        <v>2018</v>
      </c>
      <c r="B77" s="437">
        <f t="shared" si="15"/>
        <v>10132</v>
      </c>
      <c r="C77" s="466">
        <f>C76+1</f>
        <v>13</v>
      </c>
      <c r="F77" s="451"/>
      <c r="G77" s="439"/>
      <c r="H77" s="451"/>
      <c r="I77" s="443">
        <f t="shared" si="8"/>
        <v>10132</v>
      </c>
      <c r="J77" s="467"/>
      <c r="K77" s="443"/>
      <c r="L77" s="445">
        <f t="shared" si="14"/>
        <v>144</v>
      </c>
    </row>
    <row r="78" spans="1:14" ht="15" customHeight="1">
      <c r="A78" s="465">
        <f t="shared" si="11"/>
        <v>2019</v>
      </c>
      <c r="B78" s="437">
        <f t="shared" si="15"/>
        <v>10277</v>
      </c>
      <c r="C78" s="466">
        <f t="shared" ref="C78:C94" si="16">C77+1</f>
        <v>14</v>
      </c>
      <c r="F78" s="451"/>
      <c r="G78" s="439"/>
      <c r="H78" s="451"/>
      <c r="I78" s="443">
        <f t="shared" si="8"/>
        <v>10277</v>
      </c>
      <c r="J78" s="467"/>
      <c r="K78" s="443"/>
      <c r="L78" s="445">
        <f t="shared" si="14"/>
        <v>145</v>
      </c>
    </row>
    <row r="79" spans="1:14" ht="15" customHeight="1">
      <c r="A79" s="465">
        <f t="shared" si="11"/>
        <v>2020</v>
      </c>
      <c r="B79" s="437">
        <f t="shared" si="15"/>
        <v>10421</v>
      </c>
      <c r="C79" s="466">
        <f t="shared" si="16"/>
        <v>15</v>
      </c>
      <c r="F79" s="451"/>
      <c r="G79" s="439"/>
      <c r="H79" s="451"/>
      <c r="I79" s="443">
        <f t="shared" si="8"/>
        <v>10421</v>
      </c>
      <c r="J79" s="467"/>
      <c r="K79" s="443"/>
      <c r="L79" s="445">
        <f t="shared" si="14"/>
        <v>144</v>
      </c>
      <c r="N79" s="326">
        <f>1/0.75</f>
        <v>1.3333333333333333</v>
      </c>
    </row>
    <row r="80" spans="1:14" ht="15" customHeight="1">
      <c r="A80" s="465">
        <f t="shared" si="11"/>
        <v>2021</v>
      </c>
      <c r="B80" s="437">
        <f t="shared" si="15"/>
        <v>10565</v>
      </c>
      <c r="C80" s="466">
        <f t="shared" si="16"/>
        <v>16</v>
      </c>
      <c r="F80" s="451"/>
      <c r="G80" s="439"/>
      <c r="H80" s="451"/>
      <c r="I80" s="443">
        <f t="shared" si="8"/>
        <v>10565</v>
      </c>
      <c r="J80" s="467"/>
      <c r="K80" s="443"/>
      <c r="L80" s="445">
        <f t="shared" si="14"/>
        <v>144</v>
      </c>
    </row>
    <row r="81" spans="1:12" ht="15" customHeight="1">
      <c r="A81" s="465">
        <f t="shared" si="11"/>
        <v>2022</v>
      </c>
      <c r="B81" s="437">
        <f t="shared" si="15"/>
        <v>10709</v>
      </c>
      <c r="C81" s="466">
        <f t="shared" si="16"/>
        <v>17</v>
      </c>
      <c r="D81" s="439"/>
      <c r="E81" s="439"/>
      <c r="F81" s="451"/>
      <c r="G81" s="439"/>
      <c r="H81" s="451"/>
      <c r="I81" s="443">
        <f t="shared" si="8"/>
        <v>10709</v>
      </c>
      <c r="J81" s="467"/>
      <c r="K81" s="443"/>
      <c r="L81" s="445">
        <f t="shared" si="14"/>
        <v>144</v>
      </c>
    </row>
    <row r="82" spans="1:12" ht="15" customHeight="1">
      <c r="A82" s="465">
        <f t="shared" si="11"/>
        <v>2023</v>
      </c>
      <c r="B82" s="437">
        <f t="shared" si="15"/>
        <v>10853</v>
      </c>
      <c r="C82" s="466">
        <f t="shared" si="16"/>
        <v>18</v>
      </c>
      <c r="D82" s="439"/>
      <c r="E82" s="439"/>
      <c r="F82" s="451"/>
      <c r="G82" s="439"/>
      <c r="H82" s="451"/>
      <c r="I82" s="443">
        <f t="shared" si="8"/>
        <v>10853</v>
      </c>
      <c r="J82" s="467"/>
      <c r="K82" s="443"/>
      <c r="L82" s="445">
        <f t="shared" si="14"/>
        <v>144</v>
      </c>
    </row>
    <row r="83" spans="1:12" s="451" customFormat="1" ht="15" customHeight="1">
      <c r="A83" s="465">
        <f t="shared" si="11"/>
        <v>2024</v>
      </c>
      <c r="B83" s="437">
        <f t="shared" si="15"/>
        <v>10998</v>
      </c>
      <c r="C83" s="466">
        <f t="shared" si="16"/>
        <v>19</v>
      </c>
      <c r="G83" s="439"/>
      <c r="H83" s="439"/>
      <c r="I83" s="443">
        <f t="shared" si="8"/>
        <v>10998</v>
      </c>
      <c r="J83" s="467"/>
      <c r="K83" s="443"/>
      <c r="L83" s="445">
        <f t="shared" si="14"/>
        <v>145</v>
      </c>
    </row>
    <row r="84" spans="1:12" ht="15" customHeight="1">
      <c r="A84" s="465">
        <f t="shared" si="11"/>
        <v>2025</v>
      </c>
      <c r="B84" s="437">
        <f t="shared" si="15"/>
        <v>11142</v>
      </c>
      <c r="C84" s="466">
        <f t="shared" si="16"/>
        <v>20</v>
      </c>
      <c r="D84" s="451"/>
      <c r="E84" s="451"/>
      <c r="F84" s="451"/>
      <c r="G84" s="439"/>
      <c r="H84" s="451"/>
      <c r="I84" s="443">
        <f t="shared" si="8"/>
        <v>11142</v>
      </c>
      <c r="J84" s="467"/>
      <c r="K84" s="443"/>
      <c r="L84" s="445">
        <f t="shared" si="14"/>
        <v>144</v>
      </c>
    </row>
    <row r="85" spans="1:12" s="451" customFormat="1" ht="15" customHeight="1">
      <c r="A85" s="465">
        <f t="shared" si="11"/>
        <v>2026</v>
      </c>
      <c r="B85" s="437">
        <f t="shared" si="15"/>
        <v>11286</v>
      </c>
      <c r="C85" s="466">
        <f t="shared" si="16"/>
        <v>21</v>
      </c>
      <c r="G85" s="439"/>
      <c r="I85" s="443">
        <f t="shared" si="8"/>
        <v>11286</v>
      </c>
      <c r="J85" s="467"/>
      <c r="K85" s="443"/>
      <c r="L85" s="445">
        <f t="shared" si="14"/>
        <v>144</v>
      </c>
    </row>
    <row r="86" spans="1:12" s="451" customFormat="1" ht="15" customHeight="1">
      <c r="A86" s="465">
        <f t="shared" si="11"/>
        <v>2027</v>
      </c>
      <c r="B86" s="437">
        <f t="shared" si="15"/>
        <v>11430</v>
      </c>
      <c r="C86" s="466">
        <f t="shared" si="16"/>
        <v>22</v>
      </c>
      <c r="G86" s="439"/>
      <c r="I86" s="443">
        <f t="shared" si="8"/>
        <v>11430</v>
      </c>
      <c r="J86" s="467"/>
      <c r="K86" s="443"/>
      <c r="L86" s="445">
        <f t="shared" si="14"/>
        <v>144</v>
      </c>
    </row>
    <row r="87" spans="1:12" s="451" customFormat="1" ht="15" customHeight="1">
      <c r="A87" s="465">
        <f t="shared" si="11"/>
        <v>2028</v>
      </c>
      <c r="B87" s="437">
        <f t="shared" si="15"/>
        <v>11574</v>
      </c>
      <c r="C87" s="466">
        <f t="shared" si="16"/>
        <v>23</v>
      </c>
      <c r="D87" s="468"/>
      <c r="E87" s="468"/>
      <c r="I87" s="443">
        <f t="shared" si="8"/>
        <v>11574</v>
      </c>
      <c r="J87" s="469"/>
      <c r="K87" s="469"/>
      <c r="L87" s="445">
        <f t="shared" si="14"/>
        <v>144</v>
      </c>
    </row>
    <row r="88" spans="1:12" ht="15" customHeight="1">
      <c r="A88" s="465">
        <f t="shared" si="11"/>
        <v>2029</v>
      </c>
      <c r="B88" s="437">
        <f t="shared" si="15"/>
        <v>11718</v>
      </c>
      <c r="C88" s="466">
        <f t="shared" si="16"/>
        <v>24</v>
      </c>
      <c r="D88" s="468"/>
      <c r="E88" s="468"/>
      <c r="F88" s="451"/>
      <c r="G88" s="451"/>
      <c r="H88" s="451"/>
      <c r="I88" s="443">
        <f t="shared" si="8"/>
        <v>11718</v>
      </c>
      <c r="J88" s="469"/>
      <c r="K88" s="469"/>
      <c r="L88" s="445">
        <f t="shared" si="14"/>
        <v>144</v>
      </c>
    </row>
    <row r="89" spans="1:12" ht="15" customHeight="1">
      <c r="A89" s="465">
        <f t="shared" si="11"/>
        <v>2030</v>
      </c>
      <c r="B89" s="437">
        <f t="shared" si="15"/>
        <v>11863</v>
      </c>
      <c r="C89" s="466">
        <f t="shared" si="16"/>
        <v>25</v>
      </c>
      <c r="D89" s="468"/>
      <c r="E89" s="468"/>
      <c r="F89" s="451"/>
      <c r="G89" s="451"/>
      <c r="H89" s="451"/>
      <c r="I89" s="443">
        <f t="shared" si="8"/>
        <v>11863</v>
      </c>
      <c r="J89" s="469"/>
      <c r="K89" s="469"/>
      <c r="L89" s="445">
        <f t="shared" si="14"/>
        <v>145</v>
      </c>
    </row>
    <row r="90" spans="1:12" ht="15" customHeight="1">
      <c r="A90" s="465">
        <f t="shared" si="11"/>
        <v>2031</v>
      </c>
      <c r="B90" s="437">
        <f t="shared" si="15"/>
        <v>12007</v>
      </c>
      <c r="C90" s="466">
        <f t="shared" si="16"/>
        <v>26</v>
      </c>
      <c r="D90" s="468"/>
      <c r="E90" s="468"/>
      <c r="F90" s="451"/>
      <c r="G90" s="451"/>
      <c r="H90" s="451"/>
      <c r="I90" s="443">
        <f t="shared" si="8"/>
        <v>12007</v>
      </c>
      <c r="J90" s="469"/>
      <c r="K90" s="469"/>
      <c r="L90" s="445">
        <f t="shared" si="14"/>
        <v>144</v>
      </c>
    </row>
    <row r="91" spans="1:12" ht="15" customHeight="1">
      <c r="A91" s="465">
        <f t="shared" si="11"/>
        <v>2032</v>
      </c>
      <c r="B91" s="437">
        <f t="shared" si="15"/>
        <v>12151</v>
      </c>
      <c r="C91" s="466">
        <f t="shared" si="16"/>
        <v>27</v>
      </c>
      <c r="D91" s="468"/>
      <c r="E91" s="468"/>
      <c r="F91" s="451"/>
      <c r="G91" s="451"/>
      <c r="H91" s="451"/>
      <c r="I91" s="443">
        <f t="shared" si="8"/>
        <v>12151</v>
      </c>
      <c r="J91" s="469"/>
      <c r="K91" s="469"/>
      <c r="L91" s="445">
        <f t="shared" si="14"/>
        <v>144</v>
      </c>
    </row>
    <row r="92" spans="1:12" ht="15" customHeight="1">
      <c r="A92" s="465">
        <f t="shared" si="11"/>
        <v>2033</v>
      </c>
      <c r="B92" s="437">
        <f t="shared" si="15"/>
        <v>12295</v>
      </c>
      <c r="C92" s="466">
        <f t="shared" si="16"/>
        <v>28</v>
      </c>
      <c r="D92" s="468"/>
      <c r="E92" s="468"/>
      <c r="F92" s="451"/>
      <c r="G92" s="451"/>
      <c r="H92" s="451"/>
      <c r="I92" s="443">
        <f t="shared" si="8"/>
        <v>12295</v>
      </c>
      <c r="J92" s="469"/>
      <c r="K92" s="469"/>
      <c r="L92" s="445">
        <f t="shared" si="14"/>
        <v>144</v>
      </c>
    </row>
    <row r="93" spans="1:12" ht="15" customHeight="1">
      <c r="A93" s="465">
        <f t="shared" si="11"/>
        <v>2034</v>
      </c>
      <c r="B93" s="437">
        <f t="shared" si="15"/>
        <v>12439</v>
      </c>
      <c r="C93" s="466">
        <f t="shared" si="16"/>
        <v>29</v>
      </c>
      <c r="D93" s="468"/>
      <c r="E93" s="468"/>
      <c r="F93" s="451"/>
      <c r="G93" s="451"/>
      <c r="H93" s="451"/>
      <c r="I93" s="443">
        <f t="shared" si="8"/>
        <v>12439</v>
      </c>
      <c r="J93" s="469"/>
      <c r="K93" s="469"/>
      <c r="L93" s="445">
        <f t="shared" si="14"/>
        <v>144</v>
      </c>
    </row>
    <row r="94" spans="1:12" ht="15" customHeight="1">
      <c r="A94" s="470">
        <f t="shared" si="11"/>
        <v>2035</v>
      </c>
      <c r="B94" s="471">
        <f t="shared" si="15"/>
        <v>12584</v>
      </c>
      <c r="C94" s="472">
        <f t="shared" si="16"/>
        <v>30</v>
      </c>
      <c r="D94" s="473"/>
      <c r="E94" s="473"/>
      <c r="F94" s="474"/>
      <c r="G94" s="474"/>
      <c r="H94" s="474"/>
      <c r="I94" s="471">
        <f t="shared" si="8"/>
        <v>12584</v>
      </c>
      <c r="J94" s="475"/>
      <c r="K94" s="476"/>
      <c r="L94" s="445">
        <f t="shared" si="14"/>
        <v>145</v>
      </c>
    </row>
    <row r="95" spans="1:12" ht="15" customHeight="1">
      <c r="A95" s="477">
        <f t="shared" si="11"/>
        <v>2036</v>
      </c>
      <c r="B95" s="478">
        <f t="shared" si="15"/>
        <v>12728</v>
      </c>
      <c r="C95" s="479">
        <v>31</v>
      </c>
      <c r="D95" s="480"/>
      <c r="E95" s="480"/>
      <c r="F95" s="481"/>
      <c r="G95" s="481"/>
      <c r="H95" s="481"/>
      <c r="I95" s="478">
        <f t="shared" si="8"/>
        <v>12728</v>
      </c>
      <c r="J95" s="482"/>
      <c r="K95" s="483"/>
      <c r="L95" s="445">
        <f t="shared" si="14"/>
        <v>144</v>
      </c>
    </row>
    <row r="96" spans="1:12" ht="15" customHeight="1">
      <c r="A96" s="477">
        <f t="shared" si="11"/>
        <v>2037</v>
      </c>
      <c r="B96" s="478">
        <f t="shared" si="15"/>
        <v>12872</v>
      </c>
      <c r="C96" s="479">
        <v>32</v>
      </c>
      <c r="D96" s="480"/>
      <c r="E96" s="480"/>
      <c r="F96" s="481"/>
      <c r="G96" s="481"/>
      <c r="H96" s="481"/>
      <c r="I96" s="478">
        <f t="shared" si="8"/>
        <v>12872</v>
      </c>
      <c r="J96" s="482"/>
      <c r="K96" s="483"/>
      <c r="L96" s="445">
        <f t="shared" si="14"/>
        <v>144</v>
      </c>
    </row>
    <row r="97" spans="1:13" ht="15" customHeight="1">
      <c r="A97" s="484">
        <f t="shared" si="11"/>
        <v>2038</v>
      </c>
      <c r="B97" s="485">
        <f t="shared" si="15"/>
        <v>13016</v>
      </c>
      <c r="C97" s="486">
        <v>33</v>
      </c>
      <c r="D97" s="487"/>
      <c r="E97" s="487"/>
      <c r="F97" s="488"/>
      <c r="G97" s="488"/>
      <c r="H97" s="488"/>
      <c r="I97" s="485">
        <f t="shared" si="8"/>
        <v>13016</v>
      </c>
      <c r="J97" s="489"/>
      <c r="K97" s="490"/>
      <c r="L97" s="445">
        <f t="shared" si="14"/>
        <v>144</v>
      </c>
    </row>
    <row r="98" spans="1:13" ht="15" customHeight="1">
      <c r="A98" s="491"/>
      <c r="B98" s="492"/>
      <c r="C98" s="439"/>
      <c r="D98" s="468"/>
      <c r="E98" s="468"/>
      <c r="F98" s="451"/>
      <c r="G98" s="451"/>
      <c r="H98" s="451"/>
      <c r="I98" s="492"/>
      <c r="J98" s="493"/>
      <c r="K98" s="493"/>
      <c r="L98" s="445"/>
    </row>
    <row r="99" spans="1:13" ht="15" customHeight="1">
      <c r="A99" s="491"/>
      <c r="B99" s="492"/>
      <c r="C99" s="439"/>
      <c r="D99" s="468"/>
      <c r="E99" s="468"/>
      <c r="F99" s="451"/>
      <c r="G99" s="451"/>
      <c r="H99" s="451"/>
      <c r="I99" s="492"/>
      <c r="J99" s="493"/>
      <c r="K99" s="493"/>
      <c r="L99" s="445"/>
    </row>
    <row r="100" spans="1:13" ht="15" customHeight="1">
      <c r="A100" s="491"/>
      <c r="B100" s="492"/>
      <c r="C100" s="439"/>
      <c r="D100" s="468"/>
      <c r="E100" s="468"/>
      <c r="F100" s="451"/>
      <c r="G100" s="451"/>
      <c r="H100" s="451"/>
      <c r="I100" s="492"/>
      <c r="J100" s="493"/>
      <c r="K100" s="493"/>
      <c r="L100" s="445"/>
    </row>
    <row r="101" spans="1:13" ht="15" customHeight="1">
      <c r="A101" s="491"/>
      <c r="B101" s="494"/>
      <c r="C101" s="439"/>
      <c r="D101" s="468"/>
      <c r="E101" s="468"/>
      <c r="F101" s="451"/>
      <c r="G101" s="451"/>
      <c r="H101" s="451"/>
      <c r="I101" s="495"/>
      <c r="J101" s="495"/>
    </row>
    <row r="102" spans="1:13" ht="15" customHeight="1">
      <c r="A102" s="424" t="s">
        <v>296</v>
      </c>
    </row>
    <row r="103" spans="1:13" ht="15" customHeight="1">
      <c r="A103" s="427" t="s">
        <v>264</v>
      </c>
      <c r="B103" s="428" t="s">
        <v>286</v>
      </c>
      <c r="C103" s="429" t="s">
        <v>297</v>
      </c>
      <c r="D103" s="429" t="s">
        <v>287</v>
      </c>
      <c r="E103" s="496"/>
      <c r="F103" s="430"/>
      <c r="G103" s="431"/>
      <c r="H103" s="432" t="s">
        <v>288</v>
      </c>
      <c r="I103" s="433">
        <f>RSQ(I104:I114,B104:B114)</f>
        <v>0.90905267386852107</v>
      </c>
      <c r="J103" s="434" t="s">
        <v>289</v>
      </c>
      <c r="K103" s="435" t="s">
        <v>290</v>
      </c>
    </row>
    <row r="104" spans="1:13" ht="15" customHeight="1">
      <c r="A104" s="436">
        <f t="shared" ref="A104:B119" si="17">A65</f>
        <v>2006</v>
      </c>
      <c r="B104" s="437">
        <f t="shared" si="17"/>
        <v>8346</v>
      </c>
      <c r="C104" s="497">
        <f t="shared" ref="C104:C114" si="18">LN(B104)</f>
        <v>9.0295376611514975</v>
      </c>
      <c r="D104" s="438">
        <f>C65</f>
        <v>1</v>
      </c>
      <c r="E104" s="498" t="s">
        <v>298</v>
      </c>
      <c r="F104" s="499"/>
      <c r="G104" s="500"/>
      <c r="H104" s="501"/>
      <c r="I104" s="502">
        <f t="shared" ref="I104:I136" si="19">ROUND($F$111*(1+$F$112)^D104,$G$1)</f>
        <v>8413</v>
      </c>
      <c r="J104" s="444">
        <f t="shared" ref="J104:J114" si="20">ABS(B104-I104)/B104*100</f>
        <v>0.80277977474239159</v>
      </c>
      <c r="K104" s="443">
        <f t="shared" ref="K104:K114" si="21">(B104-I104)^2/1000</f>
        <v>4.4889999999999999</v>
      </c>
      <c r="L104" s="503"/>
    </row>
    <row r="105" spans="1:13" ht="15" customHeight="1">
      <c r="A105" s="436">
        <f t="shared" si="17"/>
        <v>2007</v>
      </c>
      <c r="B105" s="437">
        <f t="shared" si="17"/>
        <v>8527</v>
      </c>
      <c r="C105" s="497">
        <f>LN(B105)</f>
        <v>9.0509928787420488</v>
      </c>
      <c r="D105" s="438">
        <f t="shared" ref="D105:D136" si="22">D104+1</f>
        <v>2</v>
      </c>
      <c r="E105" s="498" t="s">
        <v>299</v>
      </c>
      <c r="F105" s="439"/>
      <c r="G105" s="500"/>
      <c r="H105" s="501"/>
      <c r="I105" s="443">
        <f t="shared" si="19"/>
        <v>8549</v>
      </c>
      <c r="J105" s="446">
        <f t="shared" si="20"/>
        <v>0.2580039873343497</v>
      </c>
      <c r="K105" s="443">
        <f t="shared" si="21"/>
        <v>0.48399999999999999</v>
      </c>
      <c r="L105" s="503">
        <f>ROUND((I105/I104)^(1/1)-1,4)</f>
        <v>1.6199999999999999E-2</v>
      </c>
    </row>
    <row r="106" spans="1:13" ht="15" customHeight="1">
      <c r="A106" s="436">
        <f t="shared" si="17"/>
        <v>2008</v>
      </c>
      <c r="B106" s="437">
        <f t="shared" si="17"/>
        <v>8679</v>
      </c>
      <c r="C106" s="497">
        <f>LN(B106)</f>
        <v>9.0686615936442454</v>
      </c>
      <c r="D106" s="438">
        <f t="shared" si="22"/>
        <v>3</v>
      </c>
      <c r="E106" s="326" t="s">
        <v>300</v>
      </c>
      <c r="G106" s="451"/>
      <c r="H106" s="442"/>
      <c r="I106" s="443">
        <f t="shared" si="19"/>
        <v>8686</v>
      </c>
      <c r="J106" s="446">
        <f t="shared" si="20"/>
        <v>8.0654453278027421E-2</v>
      </c>
      <c r="K106" s="443">
        <f t="shared" si="21"/>
        <v>4.9000000000000002E-2</v>
      </c>
      <c r="L106" s="503">
        <f t="shared" ref="L106:L136" si="23">ROUND((I106/I105)^(1/1)-1,4)</f>
        <v>1.6E-2</v>
      </c>
      <c r="M106" s="503"/>
    </row>
    <row r="107" spans="1:13" ht="15" customHeight="1">
      <c r="A107" s="436">
        <f t="shared" si="17"/>
        <v>2009</v>
      </c>
      <c r="B107" s="437">
        <f t="shared" si="17"/>
        <v>8768</v>
      </c>
      <c r="C107" s="497">
        <f t="shared" si="18"/>
        <v>9.0788640091877966</v>
      </c>
      <c r="D107" s="438">
        <f t="shared" si="22"/>
        <v>4</v>
      </c>
      <c r="G107" s="451"/>
      <c r="H107" s="442"/>
      <c r="I107" s="443">
        <f t="shared" si="19"/>
        <v>8825</v>
      </c>
      <c r="J107" s="446">
        <f t="shared" si="20"/>
        <v>0.65009124087591241</v>
      </c>
      <c r="K107" s="443">
        <f t="shared" si="21"/>
        <v>3.2490000000000001</v>
      </c>
      <c r="L107" s="503">
        <f t="shared" si="23"/>
        <v>1.6E-2</v>
      </c>
      <c r="M107" s="503"/>
    </row>
    <row r="108" spans="1:13" ht="15" customHeight="1">
      <c r="A108" s="436">
        <f t="shared" si="17"/>
        <v>2010</v>
      </c>
      <c r="B108" s="437">
        <f t="shared" si="17"/>
        <v>8838</v>
      </c>
      <c r="C108" s="497">
        <f t="shared" si="18"/>
        <v>9.0868158856906849</v>
      </c>
      <c r="D108" s="438">
        <f t="shared" si="22"/>
        <v>5</v>
      </c>
      <c r="E108" s="329" t="s">
        <v>301</v>
      </c>
      <c r="F108" s="442" t="s">
        <v>302</v>
      </c>
      <c r="G108" s="504">
        <f>INDEX(LINEST(C104:C114,D104:D114),2)</f>
        <v>9.0216688373335323</v>
      </c>
      <c r="H108" s="442"/>
      <c r="I108" s="443">
        <f t="shared" si="19"/>
        <v>8967</v>
      </c>
      <c r="J108" s="446">
        <f t="shared" si="20"/>
        <v>1.4596062457569587</v>
      </c>
      <c r="K108" s="443">
        <f t="shared" si="21"/>
        <v>16.640999999999998</v>
      </c>
      <c r="L108" s="503">
        <f t="shared" si="23"/>
        <v>1.61E-2</v>
      </c>
      <c r="M108" s="503"/>
    </row>
    <row r="109" spans="1:13" ht="15" customHeight="1">
      <c r="A109" s="436">
        <f t="shared" si="17"/>
        <v>2011</v>
      </c>
      <c r="B109" s="437">
        <f t="shared" si="17"/>
        <v>9306</v>
      </c>
      <c r="C109" s="497">
        <f t="shared" si="18"/>
        <v>9.1384146324045936</v>
      </c>
      <c r="D109" s="438">
        <f t="shared" si="22"/>
        <v>6</v>
      </c>
      <c r="E109" s="329" t="s">
        <v>303</v>
      </c>
      <c r="F109" s="442" t="s">
        <v>304</v>
      </c>
      <c r="G109" s="504">
        <f>INDEX(LINEST(C104:C114,D104:D114),1)</f>
        <v>1.592149388512561E-2</v>
      </c>
      <c r="H109" s="442"/>
      <c r="I109" s="443">
        <f t="shared" si="19"/>
        <v>9111</v>
      </c>
      <c r="J109" s="446">
        <f t="shared" si="20"/>
        <v>2.0954223081882657</v>
      </c>
      <c r="K109" s="443">
        <f t="shared" si="21"/>
        <v>38.024999999999999</v>
      </c>
      <c r="L109" s="503">
        <f t="shared" si="23"/>
        <v>1.61E-2</v>
      </c>
      <c r="M109" s="503"/>
    </row>
    <row r="110" spans="1:13" ht="15" customHeight="1">
      <c r="A110" s="436">
        <f t="shared" si="17"/>
        <v>2012</v>
      </c>
      <c r="B110" s="437">
        <f t="shared" si="17"/>
        <v>9393</v>
      </c>
      <c r="C110" s="497">
        <f t="shared" si="18"/>
        <v>9.1477200099945151</v>
      </c>
      <c r="D110" s="438">
        <f t="shared" si="22"/>
        <v>7</v>
      </c>
      <c r="H110" s="442"/>
      <c r="I110" s="443">
        <f t="shared" si="19"/>
        <v>9257</v>
      </c>
      <c r="J110" s="446">
        <f t="shared" si="20"/>
        <v>1.4478867241562867</v>
      </c>
      <c r="K110" s="443">
        <f t="shared" si="21"/>
        <v>18.495999999999999</v>
      </c>
      <c r="L110" s="503">
        <f t="shared" si="23"/>
        <v>1.6E-2</v>
      </c>
      <c r="M110" s="503"/>
    </row>
    <row r="111" spans="1:13" ht="15" customHeight="1">
      <c r="A111" s="436">
        <f t="shared" si="17"/>
        <v>2013</v>
      </c>
      <c r="B111" s="437">
        <f t="shared" si="17"/>
        <v>9575</v>
      </c>
      <c r="C111" s="497">
        <f t="shared" si="18"/>
        <v>9.1669108140488476</v>
      </c>
      <c r="D111" s="438">
        <f t="shared" si="22"/>
        <v>8</v>
      </c>
      <c r="E111" s="329" t="s">
        <v>305</v>
      </c>
      <c r="F111" s="505">
        <f>EXP(G108)</f>
        <v>8280.5845054508627</v>
      </c>
      <c r="G111" s="451"/>
      <c r="H111" s="442"/>
      <c r="I111" s="443">
        <f t="shared" si="19"/>
        <v>9405</v>
      </c>
      <c r="J111" s="446">
        <f t="shared" si="20"/>
        <v>1.7754569190600522</v>
      </c>
      <c r="K111" s="443">
        <f t="shared" si="21"/>
        <v>28.9</v>
      </c>
      <c r="L111" s="503">
        <f t="shared" si="23"/>
        <v>1.6E-2</v>
      </c>
      <c r="M111" s="503"/>
    </row>
    <row r="112" spans="1:13" ht="15" customHeight="1">
      <c r="A112" s="436">
        <f t="shared" si="17"/>
        <v>2014</v>
      </c>
      <c r="B112" s="437">
        <f t="shared" si="17"/>
        <v>9739</v>
      </c>
      <c r="C112" s="506">
        <f t="shared" si="18"/>
        <v>9.1838937219611996</v>
      </c>
      <c r="D112" s="438">
        <f t="shared" si="22"/>
        <v>9</v>
      </c>
      <c r="E112" s="329" t="s">
        <v>306</v>
      </c>
      <c r="F112" s="507">
        <f>EXP(G109)-1</f>
        <v>1.604891622201654E-2</v>
      </c>
      <c r="G112" s="451"/>
      <c r="H112" s="442"/>
      <c r="I112" s="443">
        <f t="shared" si="19"/>
        <v>9556</v>
      </c>
      <c r="J112" s="467">
        <f t="shared" si="20"/>
        <v>1.879043022897628</v>
      </c>
      <c r="K112" s="443">
        <f t="shared" si="21"/>
        <v>33.488999999999997</v>
      </c>
      <c r="L112" s="503">
        <f t="shared" si="23"/>
        <v>1.61E-2</v>
      </c>
      <c r="M112" s="503"/>
    </row>
    <row r="113" spans="1:13" ht="15" customHeight="1">
      <c r="A113" s="436">
        <f t="shared" si="17"/>
        <v>2015</v>
      </c>
      <c r="B113" s="437">
        <f t="shared" si="17"/>
        <v>9571</v>
      </c>
      <c r="C113" s="506">
        <f t="shared" si="18"/>
        <v>9.1664929721959059</v>
      </c>
      <c r="D113" s="508">
        <f t="shared" si="22"/>
        <v>10</v>
      </c>
      <c r="H113" s="509"/>
      <c r="I113" s="443">
        <f t="shared" si="19"/>
        <v>9710</v>
      </c>
      <c r="J113" s="467">
        <f t="shared" si="20"/>
        <v>1.4523038345000523</v>
      </c>
      <c r="K113" s="443">
        <f t="shared" si="21"/>
        <v>19.321000000000002</v>
      </c>
      <c r="L113" s="503">
        <f t="shared" si="23"/>
        <v>1.61E-2</v>
      </c>
      <c r="M113" s="503"/>
    </row>
    <row r="114" spans="1:13" ht="15" customHeight="1" thickBot="1">
      <c r="A114" s="436">
        <f t="shared" si="17"/>
        <v>2016</v>
      </c>
      <c r="B114" s="437">
        <f t="shared" si="17"/>
        <v>9613</v>
      </c>
      <c r="C114" s="506">
        <f t="shared" si="18"/>
        <v>9.1708716280658162</v>
      </c>
      <c r="D114" s="508">
        <f t="shared" si="22"/>
        <v>11</v>
      </c>
      <c r="G114" s="510"/>
      <c r="H114" s="509"/>
      <c r="I114" s="443">
        <f t="shared" si="19"/>
        <v>9866</v>
      </c>
      <c r="J114" s="467">
        <f t="shared" si="20"/>
        <v>2.6318526994694684</v>
      </c>
      <c r="K114" s="443">
        <f t="shared" si="21"/>
        <v>64.009</v>
      </c>
      <c r="L114" s="503">
        <f t="shared" si="23"/>
        <v>1.61E-2</v>
      </c>
      <c r="M114" s="503"/>
    </row>
    <row r="115" spans="1:13" ht="15" customHeight="1" thickTop="1">
      <c r="A115" s="511">
        <f t="shared" si="17"/>
        <v>2017</v>
      </c>
      <c r="B115" s="459">
        <f t="shared" ref="B115:B136" si="24">ROUND($F$111*(1+$F$112)^D115,$G$1)</f>
        <v>10024</v>
      </c>
      <c r="C115" s="512"/>
      <c r="D115" s="513">
        <f t="shared" si="22"/>
        <v>12</v>
      </c>
      <c r="E115" s="2314" t="s">
        <v>276</v>
      </c>
      <c r="F115" s="2315"/>
      <c r="G115" s="514">
        <f>I103</f>
        <v>0.90905267386852107</v>
      </c>
      <c r="H115" s="515"/>
      <c r="I115" s="464">
        <f t="shared" si="19"/>
        <v>10024</v>
      </c>
      <c r="J115" s="463"/>
      <c r="K115" s="464"/>
      <c r="L115" s="503">
        <f t="shared" si="23"/>
        <v>1.6E-2</v>
      </c>
      <c r="M115" s="503"/>
    </row>
    <row r="116" spans="1:13" ht="15" customHeight="1">
      <c r="A116" s="436">
        <f t="shared" si="17"/>
        <v>2018</v>
      </c>
      <c r="B116" s="437">
        <f t="shared" si="24"/>
        <v>10185</v>
      </c>
      <c r="C116" s="506"/>
      <c r="D116" s="508">
        <f t="shared" si="22"/>
        <v>13</v>
      </c>
      <c r="E116" s="2318" t="s">
        <v>277</v>
      </c>
      <c r="F116" s="2320"/>
      <c r="G116" s="448">
        <f>SUM(K104:K114)</f>
        <v>227.15199999999999</v>
      </c>
      <c r="H116" s="509"/>
      <c r="I116" s="443">
        <f t="shared" si="19"/>
        <v>10185</v>
      </c>
      <c r="J116" s="467"/>
      <c r="K116" s="443"/>
      <c r="L116" s="503">
        <f t="shared" si="23"/>
        <v>1.61E-2</v>
      </c>
      <c r="M116" s="503"/>
    </row>
    <row r="117" spans="1:13" ht="15" customHeight="1">
      <c r="A117" s="436">
        <f t="shared" si="17"/>
        <v>2019</v>
      </c>
      <c r="B117" s="437">
        <f t="shared" si="24"/>
        <v>10348</v>
      </c>
      <c r="C117" s="506"/>
      <c r="D117" s="508">
        <f t="shared" si="22"/>
        <v>14</v>
      </c>
      <c r="E117" s="2318" t="s">
        <v>278</v>
      </c>
      <c r="F117" s="2320"/>
      <c r="G117" s="449">
        <f>SUM(J104:J114)/D114</f>
        <v>1.3211910191144902</v>
      </c>
      <c r="H117" s="509"/>
      <c r="I117" s="443">
        <f t="shared" si="19"/>
        <v>10348</v>
      </c>
      <c r="J117" s="467"/>
      <c r="K117" s="443"/>
      <c r="L117" s="503">
        <f t="shared" si="23"/>
        <v>1.6E-2</v>
      </c>
      <c r="M117" s="503"/>
    </row>
    <row r="118" spans="1:13" ht="15" customHeight="1">
      <c r="A118" s="436">
        <f t="shared" si="17"/>
        <v>2020</v>
      </c>
      <c r="B118" s="437">
        <f t="shared" si="24"/>
        <v>10514</v>
      </c>
      <c r="C118" s="506"/>
      <c r="D118" s="508">
        <f t="shared" si="22"/>
        <v>15</v>
      </c>
      <c r="H118" s="509"/>
      <c r="I118" s="443">
        <f t="shared" si="19"/>
        <v>10514</v>
      </c>
      <c r="J118" s="467"/>
      <c r="K118" s="443"/>
      <c r="L118" s="503">
        <f t="shared" si="23"/>
        <v>1.6E-2</v>
      </c>
      <c r="M118" s="503"/>
    </row>
    <row r="119" spans="1:13" ht="15" customHeight="1">
      <c r="A119" s="436">
        <f t="shared" si="17"/>
        <v>2021</v>
      </c>
      <c r="B119" s="437">
        <f t="shared" si="24"/>
        <v>10683</v>
      </c>
      <c r="C119" s="506"/>
      <c r="D119" s="508">
        <f t="shared" si="22"/>
        <v>16</v>
      </c>
      <c r="E119" s="451"/>
      <c r="F119" s="451"/>
      <c r="G119" s="451"/>
      <c r="H119" s="509"/>
      <c r="I119" s="443">
        <f t="shared" si="19"/>
        <v>10683</v>
      </c>
      <c r="J119" s="467"/>
      <c r="K119" s="443"/>
      <c r="L119" s="503">
        <f t="shared" si="23"/>
        <v>1.61E-2</v>
      </c>
      <c r="M119" s="503"/>
    </row>
    <row r="120" spans="1:13" ht="15" customHeight="1">
      <c r="A120" s="436">
        <f t="shared" ref="A120:A136" si="25">A81</f>
        <v>2022</v>
      </c>
      <c r="B120" s="437">
        <f t="shared" si="24"/>
        <v>10854</v>
      </c>
      <c r="C120" s="506"/>
      <c r="D120" s="508">
        <f t="shared" si="22"/>
        <v>17</v>
      </c>
      <c r="E120" s="516"/>
      <c r="F120" s="517"/>
      <c r="G120" s="509"/>
      <c r="H120" s="509"/>
      <c r="I120" s="443">
        <f t="shared" si="19"/>
        <v>10854</v>
      </c>
      <c r="J120" s="467"/>
      <c r="K120" s="443"/>
      <c r="L120" s="503">
        <f t="shared" si="23"/>
        <v>1.6E-2</v>
      </c>
      <c r="M120" s="503"/>
    </row>
    <row r="121" spans="1:13" ht="15" customHeight="1">
      <c r="A121" s="436">
        <f t="shared" si="25"/>
        <v>2023</v>
      </c>
      <c r="B121" s="437">
        <f t="shared" si="24"/>
        <v>11029</v>
      </c>
      <c r="C121" s="506"/>
      <c r="D121" s="508">
        <f t="shared" si="22"/>
        <v>18</v>
      </c>
      <c r="E121" s="509"/>
      <c r="F121" s="509"/>
      <c r="G121" s="518"/>
      <c r="H121" s="509"/>
      <c r="I121" s="443">
        <f t="shared" si="19"/>
        <v>11029</v>
      </c>
      <c r="J121" s="467"/>
      <c r="K121" s="443"/>
      <c r="L121" s="503">
        <f t="shared" si="23"/>
        <v>1.61E-2</v>
      </c>
      <c r="M121" s="503"/>
    </row>
    <row r="122" spans="1:13" s="451" customFormat="1" ht="15" customHeight="1">
      <c r="A122" s="436">
        <f t="shared" si="25"/>
        <v>2024</v>
      </c>
      <c r="B122" s="437">
        <f t="shared" si="24"/>
        <v>11206</v>
      </c>
      <c r="C122" s="506"/>
      <c r="D122" s="508">
        <f t="shared" si="22"/>
        <v>19</v>
      </c>
      <c r="G122" s="518"/>
      <c r="H122" s="509"/>
      <c r="I122" s="443">
        <f t="shared" si="19"/>
        <v>11206</v>
      </c>
      <c r="J122" s="467"/>
      <c r="K122" s="443"/>
      <c r="L122" s="503">
        <f t="shared" si="23"/>
        <v>1.6E-2</v>
      </c>
      <c r="M122" s="503"/>
    </row>
    <row r="123" spans="1:13" ht="15" customHeight="1">
      <c r="A123" s="436">
        <f t="shared" si="25"/>
        <v>2025</v>
      </c>
      <c r="B123" s="437">
        <f t="shared" si="24"/>
        <v>11386</v>
      </c>
      <c r="C123" s="506"/>
      <c r="D123" s="508">
        <f t="shared" si="22"/>
        <v>20</v>
      </c>
      <c r="E123" s="519"/>
      <c r="F123" s="451"/>
      <c r="G123" s="451"/>
      <c r="H123" s="451"/>
      <c r="I123" s="443">
        <f t="shared" si="19"/>
        <v>11386</v>
      </c>
      <c r="J123" s="467"/>
      <c r="K123" s="443"/>
      <c r="L123" s="503">
        <f t="shared" si="23"/>
        <v>1.61E-2</v>
      </c>
      <c r="M123" s="503"/>
    </row>
    <row r="124" spans="1:13" s="451" customFormat="1" ht="15" customHeight="1">
      <c r="A124" s="436">
        <f t="shared" si="25"/>
        <v>2026</v>
      </c>
      <c r="B124" s="437">
        <f t="shared" si="24"/>
        <v>11568</v>
      </c>
      <c r="C124" s="506"/>
      <c r="D124" s="508">
        <f t="shared" si="22"/>
        <v>21</v>
      </c>
      <c r="E124" s="519"/>
      <c r="I124" s="443">
        <f t="shared" si="19"/>
        <v>11568</v>
      </c>
      <c r="J124" s="467"/>
      <c r="K124" s="443"/>
      <c r="L124" s="503">
        <f t="shared" si="23"/>
        <v>1.6E-2</v>
      </c>
      <c r="M124" s="503"/>
    </row>
    <row r="125" spans="1:13" s="451" customFormat="1" ht="15" customHeight="1">
      <c r="A125" s="436">
        <f t="shared" si="25"/>
        <v>2027</v>
      </c>
      <c r="B125" s="437">
        <f t="shared" si="24"/>
        <v>11754</v>
      </c>
      <c r="C125" s="506"/>
      <c r="D125" s="508">
        <f t="shared" si="22"/>
        <v>22</v>
      </c>
      <c r="E125" s="519"/>
      <c r="I125" s="443">
        <f t="shared" si="19"/>
        <v>11754</v>
      </c>
      <c r="J125" s="467"/>
      <c r="K125" s="443"/>
      <c r="L125" s="503">
        <f t="shared" si="23"/>
        <v>1.61E-2</v>
      </c>
      <c r="M125" s="503"/>
    </row>
    <row r="126" spans="1:13" ht="15" customHeight="1">
      <c r="A126" s="436">
        <f t="shared" si="25"/>
        <v>2028</v>
      </c>
      <c r="B126" s="437">
        <f t="shared" si="24"/>
        <v>11943</v>
      </c>
      <c r="C126" s="520"/>
      <c r="D126" s="508">
        <f t="shared" si="22"/>
        <v>23</v>
      </c>
      <c r="E126" s="521"/>
      <c r="F126" s="468"/>
      <c r="G126" s="451"/>
      <c r="H126" s="451"/>
      <c r="I126" s="443">
        <f t="shared" si="19"/>
        <v>11943</v>
      </c>
      <c r="J126" s="469"/>
      <c r="K126" s="469"/>
      <c r="L126" s="503">
        <f t="shared" si="23"/>
        <v>1.61E-2</v>
      </c>
      <c r="M126" s="503"/>
    </row>
    <row r="127" spans="1:13" ht="15" customHeight="1">
      <c r="A127" s="436">
        <f t="shared" si="25"/>
        <v>2029</v>
      </c>
      <c r="B127" s="437">
        <f t="shared" si="24"/>
        <v>12134</v>
      </c>
      <c r="C127" s="520"/>
      <c r="D127" s="508">
        <f t="shared" si="22"/>
        <v>24</v>
      </c>
      <c r="E127" s="521"/>
      <c r="F127" s="468"/>
      <c r="G127" s="451"/>
      <c r="H127" s="451"/>
      <c r="I127" s="443">
        <f t="shared" si="19"/>
        <v>12134</v>
      </c>
      <c r="J127" s="469"/>
      <c r="K127" s="469"/>
      <c r="L127" s="503">
        <f t="shared" si="23"/>
        <v>1.6E-2</v>
      </c>
      <c r="M127" s="503"/>
    </row>
    <row r="128" spans="1:13" ht="15" customHeight="1">
      <c r="A128" s="436">
        <f t="shared" si="25"/>
        <v>2030</v>
      </c>
      <c r="B128" s="437">
        <f t="shared" si="24"/>
        <v>12329</v>
      </c>
      <c r="C128" s="520"/>
      <c r="D128" s="508">
        <f t="shared" si="22"/>
        <v>25</v>
      </c>
      <c r="E128" s="521"/>
      <c r="F128" s="468"/>
      <c r="G128" s="451"/>
      <c r="H128" s="451"/>
      <c r="I128" s="443">
        <f t="shared" si="19"/>
        <v>12329</v>
      </c>
      <c r="J128" s="469"/>
      <c r="K128" s="469"/>
      <c r="L128" s="503">
        <f t="shared" si="23"/>
        <v>1.61E-2</v>
      </c>
      <c r="M128" s="503"/>
    </row>
    <row r="129" spans="1:102" ht="15" customHeight="1">
      <c r="A129" s="436">
        <f t="shared" si="25"/>
        <v>2031</v>
      </c>
      <c r="B129" s="437">
        <f t="shared" si="24"/>
        <v>12527</v>
      </c>
      <c r="C129" s="520"/>
      <c r="D129" s="508">
        <f t="shared" si="22"/>
        <v>26</v>
      </c>
      <c r="E129" s="521"/>
      <c r="F129" s="468"/>
      <c r="G129" s="451"/>
      <c r="H129" s="451"/>
      <c r="I129" s="443">
        <f t="shared" si="19"/>
        <v>12527</v>
      </c>
      <c r="J129" s="469"/>
      <c r="K129" s="469"/>
      <c r="L129" s="503">
        <f t="shared" si="23"/>
        <v>1.61E-2</v>
      </c>
      <c r="M129" s="503"/>
    </row>
    <row r="130" spans="1:102" ht="15" customHeight="1">
      <c r="A130" s="436">
        <f t="shared" si="25"/>
        <v>2032</v>
      </c>
      <c r="B130" s="437">
        <f t="shared" si="24"/>
        <v>12728</v>
      </c>
      <c r="C130" s="520"/>
      <c r="D130" s="508">
        <f t="shared" si="22"/>
        <v>27</v>
      </c>
      <c r="E130" s="521"/>
      <c r="F130" s="468"/>
      <c r="G130" s="451"/>
      <c r="H130" s="451"/>
      <c r="I130" s="443">
        <f t="shared" si="19"/>
        <v>12728</v>
      </c>
      <c r="J130" s="469"/>
      <c r="K130" s="469"/>
      <c r="L130" s="503">
        <f t="shared" si="23"/>
        <v>1.6E-2</v>
      </c>
      <c r="M130" s="503"/>
    </row>
    <row r="131" spans="1:102" ht="15" customHeight="1">
      <c r="A131" s="436">
        <f t="shared" si="25"/>
        <v>2033</v>
      </c>
      <c r="B131" s="437">
        <f t="shared" si="24"/>
        <v>12932</v>
      </c>
      <c r="C131" s="520"/>
      <c r="D131" s="508">
        <f t="shared" si="22"/>
        <v>28</v>
      </c>
      <c r="E131" s="521"/>
      <c r="F131" s="468"/>
      <c r="G131" s="451"/>
      <c r="H131" s="451"/>
      <c r="I131" s="443">
        <f t="shared" si="19"/>
        <v>12932</v>
      </c>
      <c r="J131" s="469"/>
      <c r="K131" s="469"/>
      <c r="L131" s="503">
        <f t="shared" si="23"/>
        <v>1.6E-2</v>
      </c>
      <c r="M131" s="503"/>
    </row>
    <row r="132" spans="1:102" ht="15" customHeight="1">
      <c r="A132" s="436">
        <f t="shared" si="25"/>
        <v>2034</v>
      </c>
      <c r="B132" s="437">
        <f t="shared" si="24"/>
        <v>13140</v>
      </c>
      <c r="C132" s="520"/>
      <c r="D132" s="508">
        <f t="shared" si="22"/>
        <v>29</v>
      </c>
      <c r="E132" s="521"/>
      <c r="F132" s="468"/>
      <c r="G132" s="451"/>
      <c r="H132" s="451"/>
      <c r="I132" s="443">
        <f t="shared" si="19"/>
        <v>13140</v>
      </c>
      <c r="J132" s="469"/>
      <c r="K132" s="469"/>
      <c r="L132" s="503">
        <f t="shared" si="23"/>
        <v>1.61E-2</v>
      </c>
      <c r="M132" s="503"/>
    </row>
    <row r="133" spans="1:102" ht="15" customHeight="1">
      <c r="A133" s="522">
        <f t="shared" si="25"/>
        <v>2035</v>
      </c>
      <c r="B133" s="523">
        <f t="shared" si="24"/>
        <v>13351</v>
      </c>
      <c r="C133" s="524"/>
      <c r="D133" s="525">
        <f t="shared" si="22"/>
        <v>30</v>
      </c>
      <c r="E133" s="526"/>
      <c r="F133" s="527"/>
      <c r="G133" s="426"/>
      <c r="H133" s="426"/>
      <c r="I133" s="528">
        <f t="shared" si="19"/>
        <v>13351</v>
      </c>
      <c r="J133" s="529"/>
      <c r="K133" s="529"/>
      <c r="L133" s="503">
        <f t="shared" si="23"/>
        <v>1.61E-2</v>
      </c>
      <c r="M133" s="503"/>
    </row>
    <row r="134" spans="1:102" ht="15" customHeight="1">
      <c r="A134" s="522">
        <f t="shared" si="25"/>
        <v>2036</v>
      </c>
      <c r="B134" s="523">
        <f t="shared" si="24"/>
        <v>13565</v>
      </c>
      <c r="C134" s="524"/>
      <c r="D134" s="525">
        <f t="shared" si="22"/>
        <v>31</v>
      </c>
      <c r="E134" s="526"/>
      <c r="F134" s="527"/>
      <c r="G134" s="426"/>
      <c r="H134" s="426"/>
      <c r="I134" s="528">
        <f t="shared" si="19"/>
        <v>13565</v>
      </c>
      <c r="J134" s="529"/>
      <c r="K134" s="529"/>
      <c r="L134" s="503">
        <f t="shared" si="23"/>
        <v>1.6E-2</v>
      </c>
      <c r="M134" s="503"/>
    </row>
    <row r="135" spans="1:102" ht="15" customHeight="1">
      <c r="A135" s="522">
        <f t="shared" si="25"/>
        <v>2037</v>
      </c>
      <c r="B135" s="523">
        <f t="shared" si="24"/>
        <v>13783</v>
      </c>
      <c r="C135" s="524"/>
      <c r="D135" s="525">
        <f t="shared" si="22"/>
        <v>32</v>
      </c>
      <c r="E135" s="526"/>
      <c r="F135" s="527"/>
      <c r="G135" s="426"/>
      <c r="H135" s="426"/>
      <c r="I135" s="528">
        <f t="shared" si="19"/>
        <v>13783</v>
      </c>
      <c r="J135" s="529"/>
      <c r="K135" s="529"/>
      <c r="L135" s="503">
        <f t="shared" si="23"/>
        <v>1.61E-2</v>
      </c>
      <c r="M135" s="503"/>
    </row>
    <row r="136" spans="1:102" ht="15" customHeight="1">
      <c r="A136" s="522">
        <f t="shared" si="25"/>
        <v>2038</v>
      </c>
      <c r="B136" s="523">
        <f t="shared" si="24"/>
        <v>14004</v>
      </c>
      <c r="C136" s="524"/>
      <c r="D136" s="525">
        <f t="shared" si="22"/>
        <v>33</v>
      </c>
      <c r="E136" s="526"/>
      <c r="F136" s="527"/>
      <c r="G136" s="426"/>
      <c r="H136" s="426"/>
      <c r="I136" s="528">
        <f t="shared" si="19"/>
        <v>14004</v>
      </c>
      <c r="J136" s="529"/>
      <c r="K136" s="529"/>
      <c r="L136" s="503">
        <f t="shared" si="23"/>
        <v>1.6E-2</v>
      </c>
      <c r="M136" s="503"/>
    </row>
    <row r="137" spans="1:102" ht="15" customHeight="1">
      <c r="A137" s="491"/>
      <c r="B137" s="492"/>
      <c r="C137" s="451"/>
      <c r="D137" s="439"/>
      <c r="E137" s="530"/>
      <c r="F137" s="468"/>
      <c r="G137" s="451"/>
      <c r="H137" s="451"/>
      <c r="I137" s="492"/>
      <c r="J137" s="493"/>
      <c r="K137" s="493"/>
      <c r="L137" s="503"/>
      <c r="M137" s="503"/>
    </row>
    <row r="138" spans="1:102" ht="15" customHeight="1">
      <c r="A138" s="491"/>
      <c r="B138" s="492"/>
      <c r="C138" s="451"/>
      <c r="D138" s="439"/>
      <c r="E138" s="530"/>
      <c r="F138" s="468"/>
      <c r="G138" s="451"/>
      <c r="H138" s="451"/>
      <c r="I138" s="492"/>
      <c r="J138" s="493"/>
      <c r="K138" s="493"/>
      <c r="L138" s="503"/>
      <c r="M138" s="503"/>
    </row>
    <row r="139" spans="1:102" ht="15" customHeight="1">
      <c r="A139" s="491"/>
      <c r="B139" s="493"/>
      <c r="C139" s="451"/>
      <c r="D139" s="439"/>
      <c r="E139" s="530"/>
      <c r="F139" s="468"/>
      <c r="G139" s="451"/>
      <c r="H139" s="451"/>
      <c r="I139" s="531"/>
      <c r="J139" s="531"/>
    </row>
    <row r="140" spans="1:102" ht="15" customHeight="1">
      <c r="A140" s="424" t="s">
        <v>307</v>
      </c>
    </row>
    <row r="141" spans="1:102" ht="15" customHeight="1">
      <c r="A141" s="427" t="s">
        <v>264</v>
      </c>
      <c r="B141" s="428" t="s">
        <v>286</v>
      </c>
      <c r="C141" s="429" t="s">
        <v>308</v>
      </c>
      <c r="D141" s="429" t="s">
        <v>287</v>
      </c>
      <c r="E141" s="429" t="s">
        <v>309</v>
      </c>
      <c r="F141" s="496"/>
      <c r="G141" s="430"/>
      <c r="H141" s="432" t="s">
        <v>288</v>
      </c>
      <c r="I141" s="433">
        <f>RSQ(I142:I152,B142:B152)</f>
        <v>0.93149067838270272</v>
      </c>
      <c r="J141" s="434" t="s">
        <v>289</v>
      </c>
      <c r="K141" s="435" t="s">
        <v>290</v>
      </c>
      <c r="M141" s="532" t="s">
        <v>308</v>
      </c>
      <c r="N141" s="431"/>
      <c r="O141" s="432" t="s">
        <v>288</v>
      </c>
      <c r="P141" s="433">
        <f>RSQ($B142:$B152,Q142:Q152)</f>
        <v>0.9311398963869093</v>
      </c>
      <c r="Q141" s="434" t="s">
        <v>310</v>
      </c>
      <c r="R141" s="435" t="s">
        <v>290</v>
      </c>
      <c r="T141" s="532" t="s">
        <v>308</v>
      </c>
      <c r="U141" s="431"/>
      <c r="V141" s="432" t="s">
        <v>288</v>
      </c>
      <c r="W141" s="433">
        <f>RSQ($B142:$B152,X142:X152)</f>
        <v>0.9312060752107697</v>
      </c>
      <c r="X141" s="434" t="s">
        <v>310</v>
      </c>
      <c r="Y141" s="435" t="s">
        <v>290</v>
      </c>
      <c r="AA141" s="532" t="s">
        <v>308</v>
      </c>
      <c r="AB141" s="431"/>
      <c r="AC141" s="432" t="s">
        <v>288</v>
      </c>
      <c r="AD141" s="433">
        <f>RSQ($B142:$B152,AE142:AE152)</f>
        <v>0.93026373859508571</v>
      </c>
      <c r="AE141" s="434" t="s">
        <v>310</v>
      </c>
      <c r="AF141" s="435" t="s">
        <v>290</v>
      </c>
      <c r="AH141" s="532" t="s">
        <v>308</v>
      </c>
      <c r="AI141" s="431"/>
      <c r="AJ141" s="432" t="s">
        <v>288</v>
      </c>
      <c r="AK141" s="433">
        <f>RSQ($B142:$B152,AL142:AL152)</f>
        <v>0.93106911331781739</v>
      </c>
      <c r="AL141" s="434" t="s">
        <v>310</v>
      </c>
      <c r="AM141" s="435" t="s">
        <v>290</v>
      </c>
      <c r="AO141" s="532" t="s">
        <v>308</v>
      </c>
      <c r="AP141" s="431"/>
      <c r="AQ141" s="432" t="s">
        <v>288</v>
      </c>
      <c r="AR141" s="433">
        <f>RSQ($B142:$B152,AS142:AS152)</f>
        <v>0.93144311681214564</v>
      </c>
      <c r="AS141" s="434" t="s">
        <v>310</v>
      </c>
      <c r="AT141" s="435" t="s">
        <v>290</v>
      </c>
      <c r="AV141" s="532" t="s">
        <v>308</v>
      </c>
      <c r="AW141" s="431"/>
      <c r="AX141" s="432" t="s">
        <v>288</v>
      </c>
      <c r="AY141" s="433">
        <f>RSQ($B142:$B152,AZ142:AZ152)</f>
        <v>0.93131114130907333</v>
      </c>
      <c r="AZ141" s="434" t="s">
        <v>310</v>
      </c>
      <c r="BA141" s="435" t="s">
        <v>290</v>
      </c>
      <c r="BC141" s="532" t="s">
        <v>308</v>
      </c>
      <c r="BD141" s="431"/>
      <c r="BE141" s="432" t="s">
        <v>288</v>
      </c>
      <c r="BF141" s="433">
        <f>RSQ($B142:$B152,BG142:BG152)</f>
        <v>0.93134977722363965</v>
      </c>
      <c r="BG141" s="434" t="s">
        <v>310</v>
      </c>
      <c r="BH141" s="435" t="s">
        <v>290</v>
      </c>
      <c r="BJ141" s="532" t="s">
        <v>308</v>
      </c>
      <c r="BK141" s="431"/>
      <c r="BL141" s="432" t="s">
        <v>288</v>
      </c>
      <c r="BM141" s="433">
        <f>RSQ($B142:$B152,BN142:BN152)</f>
        <v>0.93133181660899322</v>
      </c>
      <c r="BN141" s="434" t="s">
        <v>310</v>
      </c>
      <c r="BO141" s="435" t="s">
        <v>290</v>
      </c>
      <c r="BQ141" s="532" t="s">
        <v>308</v>
      </c>
      <c r="BR141" s="431"/>
      <c r="BS141" s="432" t="s">
        <v>288</v>
      </c>
      <c r="BT141" s="433">
        <f>RSQ($B142:$B152,BU142:BU152)</f>
        <v>0.93138901114373984</v>
      </c>
      <c r="BU141" s="434" t="s">
        <v>310</v>
      </c>
      <c r="BV141" s="435" t="s">
        <v>290</v>
      </c>
      <c r="BX141" s="532" t="s">
        <v>308</v>
      </c>
      <c r="BY141" s="431"/>
      <c r="BZ141" s="432" t="s">
        <v>288</v>
      </c>
      <c r="CA141" s="433">
        <f>RSQ($B142:$B152,CB142:CB152)</f>
        <v>0.93138901114373984</v>
      </c>
      <c r="CB141" s="434" t="s">
        <v>310</v>
      </c>
      <c r="CC141" s="435" t="s">
        <v>290</v>
      </c>
      <c r="CE141" s="532" t="s">
        <v>308</v>
      </c>
      <c r="CF141" s="431"/>
      <c r="CG141" s="432" t="s">
        <v>288</v>
      </c>
      <c r="CH141" s="433">
        <f>RSQ($B142:$B152,CI142:CI152)</f>
        <v>0.93135810512715278</v>
      </c>
      <c r="CI141" s="434" t="s">
        <v>310</v>
      </c>
      <c r="CJ141" s="435" t="s">
        <v>290</v>
      </c>
      <c r="CL141" s="532" t="s">
        <v>308</v>
      </c>
      <c r="CM141" s="431"/>
      <c r="CN141" s="432" t="s">
        <v>288</v>
      </c>
      <c r="CO141" s="433">
        <f>RSQ($B142:$B152,CP142:CP152)</f>
        <v>0.93135810512715278</v>
      </c>
      <c r="CP141" s="434" t="s">
        <v>310</v>
      </c>
      <c r="CQ141" s="435" t="s">
        <v>290</v>
      </c>
      <c r="CS141" s="532" t="s">
        <v>308</v>
      </c>
      <c r="CT141" s="431"/>
      <c r="CU141" s="432" t="s">
        <v>288</v>
      </c>
      <c r="CV141" s="433">
        <f>RSQ($B142:$B152,CW142:CW152)</f>
        <v>0.93149067838270272</v>
      </c>
      <c r="CW141" s="434" t="s">
        <v>310</v>
      </c>
      <c r="CX141" s="435" t="s">
        <v>290</v>
      </c>
    </row>
    <row r="142" spans="1:102" ht="15" customHeight="1">
      <c r="A142" s="436">
        <f t="shared" ref="A142:B157" si="26">A104</f>
        <v>2006</v>
      </c>
      <c r="B142" s="437">
        <f t="shared" si="26"/>
        <v>8346</v>
      </c>
      <c r="C142" s="533">
        <f>LN(B142-$G$147)</f>
        <v>6.1841488909374833</v>
      </c>
      <c r="D142" s="438">
        <f t="shared" ref="D142:D174" si="27">C65</f>
        <v>1</v>
      </c>
      <c r="E142" s="534">
        <f>LN(D142)</f>
        <v>0</v>
      </c>
      <c r="F142" s="498" t="s">
        <v>311</v>
      </c>
      <c r="I142" s="502">
        <f t="shared" ref="I142:I174" si="28">ROUND($G$147+$G$150*D142^$G$148,$G$1)</f>
        <v>8306</v>
      </c>
      <c r="J142" s="444">
        <f t="shared" ref="J142:J152" si="29">ABS(B142-I142)/B142*100</f>
        <v>0.47927150730889051</v>
      </c>
      <c r="K142" s="535">
        <f>(B142-I142)^2/1000</f>
        <v>1.6</v>
      </c>
      <c r="M142" s="536">
        <f>LN($B142-$O$144)</f>
        <v>6.3026189757449051</v>
      </c>
      <c r="N142" s="331"/>
      <c r="O142" s="331"/>
      <c r="P142" s="331"/>
      <c r="Q142" s="443">
        <f t="shared" ref="Q142:Q152" si="30">ROUND($O$147*D142^$O$145+$O$144,$G$1)</f>
        <v>8299</v>
      </c>
      <c r="R142" s="502">
        <f t="shared" ref="R142:R152" si="31">($B142-Q142)^2/1000</f>
        <v>2.2090000000000001</v>
      </c>
      <c r="T142" s="536">
        <f>LN($B142-$V$144)</f>
        <v>6.1003189520200642</v>
      </c>
      <c r="U142" s="331"/>
      <c r="V142" s="331"/>
      <c r="W142" s="331"/>
      <c r="X142" s="443">
        <f t="shared" ref="X142:X152" si="32">ROUND($V$147*D142^$V$145+$V$144,$G$1)</f>
        <v>8310</v>
      </c>
      <c r="Y142" s="502">
        <f t="shared" ref="Y142:Y152" si="33">($B142-X142)^2/1000</f>
        <v>1.296</v>
      </c>
      <c r="AA142" s="536">
        <f>LN($B142-$AC$144)</f>
        <v>5.8464387750577247</v>
      </c>
      <c r="AB142" s="331"/>
      <c r="AC142" s="331"/>
      <c r="AD142" s="331"/>
      <c r="AE142" s="443">
        <f t="shared" ref="AE142:AE152" si="34">ROUND($AC$147*$D142^$AC$145+$AC$144,$G$1)</f>
        <v>8323</v>
      </c>
      <c r="AF142" s="502">
        <f t="shared" ref="AF142:AF152" si="35">($B142-AE142)^2/1000</f>
        <v>0.52900000000000003</v>
      </c>
      <c r="AH142" s="536">
        <f>LN($B142-$AJ$144)</f>
        <v>6.2065759267249279</v>
      </c>
      <c r="AI142" s="331"/>
      <c r="AJ142" s="331"/>
      <c r="AK142" s="331"/>
      <c r="AL142" s="443">
        <f t="shared" ref="AL142:AL152" si="36">ROUND($AJ$147*$D142^$AJ$145+$AJ$144,$G$1)</f>
        <v>8304</v>
      </c>
      <c r="AM142" s="502">
        <f t="shared" ref="AM142:AM152" si="37">($B142-AL142)^2/1000</f>
        <v>1.764</v>
      </c>
      <c r="AO142" s="536">
        <f>LN($B142-$AQ$144)</f>
        <v>6.1862086239004936</v>
      </c>
      <c r="AP142" s="331"/>
      <c r="AQ142" s="331"/>
      <c r="AR142" s="331"/>
      <c r="AS142" s="443">
        <f t="shared" ref="AS142:AS152" si="38">ROUND($AQ$147*$D142^$AQ$145+$AQ$144,$G$1)</f>
        <v>8305</v>
      </c>
      <c r="AT142" s="502">
        <f t="shared" ref="AT142:AT152" si="39">($B142-AS142)^2/1000</f>
        <v>1.681</v>
      </c>
      <c r="AV142" s="536">
        <f>LN($B142-$AX$144)</f>
        <v>6.1654178542314204</v>
      </c>
      <c r="AW142" s="331"/>
      <c r="AX142" s="331"/>
      <c r="AY142" s="331"/>
      <c r="AZ142" s="443">
        <f t="shared" ref="AZ142:AZ152" si="40">ROUND($AX$147*$D142^$AX$145+$AX$144,$G$1)</f>
        <v>8307</v>
      </c>
      <c r="BA142" s="502">
        <f t="shared" ref="BA142:BA152" si="41">($B142-AZ142)^2/1000</f>
        <v>1.5209999999999999</v>
      </c>
      <c r="BC142" s="536">
        <f>LN($B142-$BE$144)</f>
        <v>6.1441856341256456</v>
      </c>
      <c r="BD142" s="331"/>
      <c r="BE142" s="331"/>
      <c r="BF142" s="331"/>
      <c r="BG142" s="443">
        <f t="shared" ref="BG142:BG152" si="42">ROUND($BE$147*$D142^$BE$145+$BE$144,$G$1)</f>
        <v>8308</v>
      </c>
      <c r="BH142" s="502">
        <f t="shared" ref="BH142:BH152" si="43">($B142-BG142)^2/1000</f>
        <v>1.444</v>
      </c>
      <c r="BJ142" s="536">
        <f>LN($B142-$BL$144)</f>
        <v>6.1224928095143865</v>
      </c>
      <c r="BK142" s="331"/>
      <c r="BL142" s="331"/>
      <c r="BM142" s="331"/>
      <c r="BN142" s="443">
        <f t="shared" ref="BN142:BN152" si="44">ROUND($BL$147*$D142^$BL$145+$BL$144,$G$1)</f>
        <v>8309</v>
      </c>
      <c r="BO142" s="502">
        <f t="shared" ref="BO142:BO152" si="45">($B142-BN142)^2/1000</f>
        <v>1.369</v>
      </c>
      <c r="BQ142" s="536">
        <f>LN($B142-$BS$144)</f>
        <v>6.1758672701057611</v>
      </c>
      <c r="BR142" s="331"/>
      <c r="BS142" s="331"/>
      <c r="BT142" s="331"/>
      <c r="BU142" s="443">
        <f t="shared" ref="BU142:BU152" si="46">ROUND($BS$147*$D142^$BS$145+$BS$144,$G$1)</f>
        <v>8306</v>
      </c>
      <c r="BV142" s="502">
        <f t="shared" ref="BV142:BV152" si="47">($B142-BU142)^2/1000</f>
        <v>1.6</v>
      </c>
      <c r="BX142" s="536">
        <f>LN($B142-$BZ$144)</f>
        <v>6.1779441140506002</v>
      </c>
      <c r="BY142" s="331"/>
      <c r="BZ142" s="331"/>
      <c r="CA142" s="331"/>
      <c r="CB142" s="443">
        <f t="shared" ref="CB142:CB152" si="48">ROUND($BZ$147*$D142^$BZ$145+$BZ$144,$G$1)</f>
        <v>8306</v>
      </c>
      <c r="CC142" s="502">
        <f t="shared" ref="CC142:CC152" si="49">($B142-CB142)^2/1000</f>
        <v>1.6</v>
      </c>
      <c r="CE142" s="536">
        <f>LN($B142-$CG$144)</f>
        <v>6.1800166536525722</v>
      </c>
      <c r="CF142" s="331"/>
      <c r="CG142" s="331"/>
      <c r="CH142" s="331"/>
      <c r="CI142" s="443">
        <f t="shared" ref="CI142:CI152" si="50">ROUND($CG$147*$D142^$CG$145+$CG$144,$G$1)</f>
        <v>8306</v>
      </c>
      <c r="CJ142" s="502">
        <f t="shared" ref="CJ142:CJ152" si="51">($B142-CI142)^2/1000</f>
        <v>1.6</v>
      </c>
      <c r="CL142" s="536">
        <f>LN($B142-$CN$144)</f>
        <v>6.1820849067166321</v>
      </c>
      <c r="CM142" s="331"/>
      <c r="CN142" s="331"/>
      <c r="CO142" s="331"/>
      <c r="CP142" s="443">
        <f t="shared" ref="CP142:CP152" si="52">ROUND($CN$147*$D142^$CN$145+$CN$144,$G$1)</f>
        <v>8306</v>
      </c>
      <c r="CQ142" s="502">
        <f t="shared" ref="CQ142:CQ152" si="53">($B142-CP142)^2/1000</f>
        <v>1.6</v>
      </c>
      <c r="CS142" s="536">
        <f>LN($B142-$CU$144)</f>
        <v>6.1841488909374833</v>
      </c>
      <c r="CT142" s="331"/>
      <c r="CU142" s="331"/>
      <c r="CV142" s="331"/>
      <c r="CW142" s="443">
        <f t="shared" ref="CW142:CW152" si="54">ROUND($CU$147*$D142^$CU$145+$CU$144,$G$1)</f>
        <v>8306</v>
      </c>
      <c r="CX142" s="502">
        <f t="shared" ref="CX142:CX152" si="55">($B142-CW142)^2/1000</f>
        <v>1.6</v>
      </c>
    </row>
    <row r="143" spans="1:102" ht="15" customHeight="1">
      <c r="A143" s="436">
        <f t="shared" si="26"/>
        <v>2007</v>
      </c>
      <c r="B143" s="437">
        <f t="shared" si="26"/>
        <v>8527</v>
      </c>
      <c r="C143" s="533">
        <f>LN(B143-$G$147)</f>
        <v>6.5012896705403893</v>
      </c>
      <c r="D143" s="438">
        <f t="shared" si="27"/>
        <v>2</v>
      </c>
      <c r="E143" s="534">
        <f>LN(D143)</f>
        <v>0.69314718055994529</v>
      </c>
      <c r="F143" s="498"/>
      <c r="I143" s="443">
        <f t="shared" si="28"/>
        <v>8535</v>
      </c>
      <c r="J143" s="446">
        <f>ABS(B143-I143)/B143*100</f>
        <v>9.3819631757945346E-2</v>
      </c>
      <c r="K143" s="535">
        <f>(B143-I143)^2/1000</f>
        <v>6.4000000000000001E-2</v>
      </c>
      <c r="M143" s="536">
        <f t="shared" ref="M143:M152" si="56">LN($B143-$O$144)</f>
        <v>6.5889264775335192</v>
      </c>
      <c r="N143" s="451"/>
      <c r="O143" s="451"/>
      <c r="P143" s="451"/>
      <c r="Q143" s="443">
        <f t="shared" si="30"/>
        <v>8538</v>
      </c>
      <c r="R143" s="443">
        <f t="shared" si="31"/>
        <v>0.121</v>
      </c>
      <c r="T143" s="536">
        <f t="shared" ref="T143:T152" si="57">LN($B143-$V$144)</f>
        <v>6.4409465406329209</v>
      </c>
      <c r="U143" s="451"/>
      <c r="V143" s="451"/>
      <c r="W143" s="451"/>
      <c r="X143" s="443">
        <f t="shared" si="32"/>
        <v>8534</v>
      </c>
      <c r="Y143" s="443">
        <f t="shared" si="33"/>
        <v>4.9000000000000002E-2</v>
      </c>
      <c r="AA143" s="536">
        <f t="shared" ref="AA143:AA152" si="58">LN($B143-$AC$144)</f>
        <v>6.2672005485413624</v>
      </c>
      <c r="AB143" s="451"/>
      <c r="AC143" s="451"/>
      <c r="AD143" s="451"/>
      <c r="AE143" s="443">
        <f t="shared" si="34"/>
        <v>8529</v>
      </c>
      <c r="AF143" s="443">
        <f t="shared" si="35"/>
        <v>4.0000000000000001E-3</v>
      </c>
      <c r="AH143" s="536">
        <f t="shared" ref="AH143:AH152" si="59">LN($B143-$AJ$144)</f>
        <v>6.517671272912275</v>
      </c>
      <c r="AI143" s="451"/>
      <c r="AJ143" s="451"/>
      <c r="AK143" s="451"/>
      <c r="AL143" s="443">
        <f t="shared" si="36"/>
        <v>8536</v>
      </c>
      <c r="AM143" s="443">
        <f t="shared" si="37"/>
        <v>8.1000000000000003E-2</v>
      </c>
      <c r="AO143" s="536">
        <f t="shared" ref="AO143:AO152" si="60">LN($B143-$AQ$144)</f>
        <v>6.5027900459156234</v>
      </c>
      <c r="AP143" s="451"/>
      <c r="AQ143" s="451"/>
      <c r="AR143" s="451"/>
      <c r="AS143" s="443">
        <f t="shared" si="38"/>
        <v>8536</v>
      </c>
      <c r="AT143" s="443">
        <f t="shared" si="39"/>
        <v>8.1000000000000003E-2</v>
      </c>
      <c r="AV143" s="536">
        <f t="shared" ref="AV143:AV152" si="61">LN($B143-$AX$144)</f>
        <v>6.4876840184846101</v>
      </c>
      <c r="AW143" s="451"/>
      <c r="AX143" s="451"/>
      <c r="AY143" s="451"/>
      <c r="AZ143" s="443">
        <f t="shared" si="40"/>
        <v>8535</v>
      </c>
      <c r="BA143" s="443">
        <f t="shared" si="41"/>
        <v>6.4000000000000001E-2</v>
      </c>
      <c r="BC143" s="536">
        <f t="shared" ref="BC143:BC152" si="62">LN($B143-$BE$144)</f>
        <v>6.4723462945009009</v>
      </c>
      <c r="BD143" s="451"/>
      <c r="BE143" s="451"/>
      <c r="BF143" s="451"/>
      <c r="BG143" s="443">
        <f t="shared" si="42"/>
        <v>8535</v>
      </c>
      <c r="BH143" s="443">
        <f t="shared" si="43"/>
        <v>6.4000000000000001E-2</v>
      </c>
      <c r="BJ143" s="536">
        <f t="shared" ref="BJ143:BJ152" si="63">LN($B143-$BL$144)</f>
        <v>6.4567696555721632</v>
      </c>
      <c r="BK143" s="451"/>
      <c r="BL143" s="451"/>
      <c r="BM143" s="451"/>
      <c r="BN143" s="443">
        <f t="shared" si="44"/>
        <v>8534</v>
      </c>
      <c r="BO143" s="443">
        <f t="shared" si="45"/>
        <v>4.9000000000000002E-2</v>
      </c>
      <c r="BQ143" s="536">
        <f t="shared" ref="BQ143:BQ152" si="64">LN($B143-$BS$144)</f>
        <v>6.4952655559370083</v>
      </c>
      <c r="BR143" s="451"/>
      <c r="BS143" s="451"/>
      <c r="BT143" s="451"/>
      <c r="BU143" s="443">
        <f t="shared" si="46"/>
        <v>8535</v>
      </c>
      <c r="BV143" s="443">
        <f t="shared" si="47"/>
        <v>6.4000000000000001E-2</v>
      </c>
      <c r="BX143" s="536">
        <f t="shared" ref="BX143:BX152" si="65">LN($B143-$BZ$144)</f>
        <v>6.4967749901858625</v>
      </c>
      <c r="BY143" s="451"/>
      <c r="BZ143" s="451"/>
      <c r="CA143" s="451"/>
      <c r="CB143" s="443">
        <f t="shared" si="48"/>
        <v>8535</v>
      </c>
      <c r="CC143" s="443">
        <f t="shared" si="49"/>
        <v>6.4000000000000001E-2</v>
      </c>
      <c r="CE143" s="536">
        <f t="shared" ref="CE143:CE152" si="66">LN($B143-$CG$144)</f>
        <v>6.4982821494764336</v>
      </c>
      <c r="CF143" s="451"/>
      <c r="CG143" s="451"/>
      <c r="CH143" s="451"/>
      <c r="CI143" s="443">
        <f t="shared" si="50"/>
        <v>8535</v>
      </c>
      <c r="CJ143" s="443">
        <f t="shared" si="51"/>
        <v>6.4000000000000001E-2</v>
      </c>
      <c r="CL143" s="536">
        <f t="shared" ref="CL143:CL152" si="67">LN($B143-$CN$144)</f>
        <v>6.4997870406558542</v>
      </c>
      <c r="CM143" s="451"/>
      <c r="CN143" s="451"/>
      <c r="CO143" s="451"/>
      <c r="CP143" s="443">
        <f t="shared" si="52"/>
        <v>8535</v>
      </c>
      <c r="CQ143" s="443">
        <f t="shared" si="53"/>
        <v>6.4000000000000001E-2</v>
      </c>
      <c r="CS143" s="536">
        <f t="shared" ref="CS143:CS152" si="68">LN($B143-$CU$144)</f>
        <v>6.5012896705403893</v>
      </c>
      <c r="CT143" s="451"/>
      <c r="CU143" s="451"/>
      <c r="CV143" s="451"/>
      <c r="CW143" s="443">
        <f t="shared" si="54"/>
        <v>8535</v>
      </c>
      <c r="CX143" s="443">
        <f t="shared" si="55"/>
        <v>6.4000000000000001E-2</v>
      </c>
    </row>
    <row r="144" spans="1:102" ht="15" customHeight="1">
      <c r="A144" s="436">
        <f t="shared" si="26"/>
        <v>2008</v>
      </c>
      <c r="B144" s="437">
        <f t="shared" si="26"/>
        <v>8679</v>
      </c>
      <c r="C144" s="533">
        <f>LN(B144-$G$147)</f>
        <v>6.7068623366027467</v>
      </c>
      <c r="D144" s="438">
        <f t="shared" si="27"/>
        <v>3</v>
      </c>
      <c r="E144" s="534">
        <f>LN(D144)</f>
        <v>1.0986122886681098</v>
      </c>
      <c r="F144" s="498" t="s">
        <v>312</v>
      </c>
      <c r="I144" s="443">
        <f t="shared" si="28"/>
        <v>8722</v>
      </c>
      <c r="J144" s="446">
        <f>ABS(B144-I144)/B144*100</f>
        <v>0.49544878442216844</v>
      </c>
      <c r="K144" s="535">
        <f>(B144-I144)^2/1000</f>
        <v>1.849</v>
      </c>
      <c r="M144" s="536">
        <f t="shared" si="56"/>
        <v>6.7787848976851768</v>
      </c>
      <c r="N144" s="442" t="s">
        <v>313</v>
      </c>
      <c r="O144" s="537">
        <f>F159</f>
        <v>7800</v>
      </c>
      <c r="P144" s="451"/>
      <c r="Q144" s="443">
        <f t="shared" si="30"/>
        <v>8727</v>
      </c>
      <c r="R144" s="443">
        <f t="shared" si="31"/>
        <v>2.3039999999999998</v>
      </c>
      <c r="T144" s="536">
        <f t="shared" si="57"/>
        <v>6.6580110458707482</v>
      </c>
      <c r="U144" s="442" t="s">
        <v>313</v>
      </c>
      <c r="V144" s="538">
        <f>F160</f>
        <v>7900</v>
      </c>
      <c r="W144" s="451"/>
      <c r="X144" s="443">
        <f t="shared" si="32"/>
        <v>8718</v>
      </c>
      <c r="Y144" s="443">
        <f t="shared" si="33"/>
        <v>1.5209999999999999</v>
      </c>
      <c r="AA144" s="536">
        <f t="shared" si="58"/>
        <v>6.5206211275586963</v>
      </c>
      <c r="AB144" s="442" t="s">
        <v>313</v>
      </c>
      <c r="AC144" s="538">
        <f>F161</f>
        <v>8000</v>
      </c>
      <c r="AD144" s="451"/>
      <c r="AE144" s="443">
        <f t="shared" si="34"/>
        <v>8705</v>
      </c>
      <c r="AF144" s="443">
        <f t="shared" si="35"/>
        <v>0.67600000000000005</v>
      </c>
      <c r="AH144" s="536">
        <f t="shared" si="59"/>
        <v>6.7202201551352951</v>
      </c>
      <c r="AI144" s="442" t="s">
        <v>313</v>
      </c>
      <c r="AJ144" s="538">
        <f>F162</f>
        <v>7850</v>
      </c>
      <c r="AK144" s="451"/>
      <c r="AL144" s="443">
        <f t="shared" si="36"/>
        <v>8723</v>
      </c>
      <c r="AM144" s="443">
        <f t="shared" si="37"/>
        <v>1.9359999999999999</v>
      </c>
      <c r="AO144" s="536">
        <f t="shared" si="60"/>
        <v>6.7080840838530698</v>
      </c>
      <c r="AP144" s="442" t="s">
        <v>313</v>
      </c>
      <c r="AQ144" s="538">
        <f>F163</f>
        <v>7860</v>
      </c>
      <c r="AR144" s="451"/>
      <c r="AS144" s="443">
        <f t="shared" si="38"/>
        <v>8722</v>
      </c>
      <c r="AT144" s="443">
        <f t="shared" si="39"/>
        <v>1.849</v>
      </c>
      <c r="AV144" s="536">
        <f t="shared" si="61"/>
        <v>6.6957989170584913</v>
      </c>
      <c r="AW144" s="442" t="s">
        <v>313</v>
      </c>
      <c r="AX144" s="538">
        <f>F164</f>
        <v>7870</v>
      </c>
      <c r="AY144" s="538"/>
      <c r="AZ144" s="443">
        <f t="shared" si="40"/>
        <v>8721</v>
      </c>
      <c r="BA144" s="443">
        <f t="shared" si="41"/>
        <v>1.764</v>
      </c>
      <c r="BC144" s="536">
        <f t="shared" si="62"/>
        <v>6.6833609457662746</v>
      </c>
      <c r="BD144" s="442" t="s">
        <v>313</v>
      </c>
      <c r="BE144" s="538">
        <f>F165</f>
        <v>7880</v>
      </c>
      <c r="BF144" s="451"/>
      <c r="BG144" s="443">
        <f t="shared" si="42"/>
        <v>8720</v>
      </c>
      <c r="BH144" s="443">
        <f t="shared" si="43"/>
        <v>1.681</v>
      </c>
      <c r="BJ144" s="536">
        <f t="shared" si="63"/>
        <v>6.6707663208458738</v>
      </c>
      <c r="BK144" s="442" t="s">
        <v>313</v>
      </c>
      <c r="BL144" s="538">
        <f>F166</f>
        <v>7890</v>
      </c>
      <c r="BM144" s="451"/>
      <c r="BN144" s="443">
        <f t="shared" si="44"/>
        <v>8719</v>
      </c>
      <c r="BO144" s="443">
        <f t="shared" si="45"/>
        <v>1.6</v>
      </c>
      <c r="BQ144" s="536">
        <f t="shared" si="64"/>
        <v>6.70196036600254</v>
      </c>
      <c r="BR144" s="442" t="s">
        <v>313</v>
      </c>
      <c r="BS144" s="538">
        <f>F167</f>
        <v>7865</v>
      </c>
      <c r="BT144" s="451"/>
      <c r="BU144" s="443">
        <f t="shared" si="46"/>
        <v>8721</v>
      </c>
      <c r="BV144" s="443">
        <f t="shared" si="47"/>
        <v>1.764</v>
      </c>
      <c r="BX144" s="536">
        <f t="shared" si="65"/>
        <v>6.7031881132408628</v>
      </c>
      <c r="BY144" s="442" t="s">
        <v>313</v>
      </c>
      <c r="BZ144" s="538">
        <f>F168</f>
        <v>7864</v>
      </c>
      <c r="CA144" s="451"/>
      <c r="CB144" s="443">
        <f t="shared" si="48"/>
        <v>8721</v>
      </c>
      <c r="CC144" s="443">
        <f t="shared" si="49"/>
        <v>1.764</v>
      </c>
      <c r="CE144" s="536">
        <f t="shared" si="66"/>
        <v>6.7044143549641069</v>
      </c>
      <c r="CF144" s="442" t="s">
        <v>313</v>
      </c>
      <c r="CG144" s="538">
        <f>F169</f>
        <v>7863</v>
      </c>
      <c r="CH144" s="451"/>
      <c r="CI144" s="443">
        <f t="shared" si="50"/>
        <v>8722</v>
      </c>
      <c r="CJ144" s="443">
        <f t="shared" si="51"/>
        <v>1.849</v>
      </c>
      <c r="CL144" s="536">
        <f t="shared" si="67"/>
        <v>6.7056390948600031</v>
      </c>
      <c r="CM144" s="442" t="s">
        <v>313</v>
      </c>
      <c r="CN144" s="538">
        <f>F170</f>
        <v>7862</v>
      </c>
      <c r="CO144" s="451"/>
      <c r="CP144" s="443">
        <f t="shared" si="52"/>
        <v>8722</v>
      </c>
      <c r="CQ144" s="443">
        <f t="shared" si="53"/>
        <v>1.849</v>
      </c>
      <c r="CS144" s="536">
        <f t="shared" si="68"/>
        <v>6.7068623366027467</v>
      </c>
      <c r="CT144" s="442" t="s">
        <v>313</v>
      </c>
      <c r="CU144" s="538">
        <f>F171</f>
        <v>7861</v>
      </c>
      <c r="CV144" s="451"/>
      <c r="CW144" s="443">
        <f t="shared" si="54"/>
        <v>8722</v>
      </c>
      <c r="CX144" s="443">
        <f t="shared" si="55"/>
        <v>1.849</v>
      </c>
    </row>
    <row r="145" spans="1:102" ht="15" customHeight="1">
      <c r="A145" s="436">
        <f t="shared" si="26"/>
        <v>2009</v>
      </c>
      <c r="B145" s="437">
        <f t="shared" si="26"/>
        <v>8768</v>
      </c>
      <c r="C145" s="533">
        <f t="shared" ref="C145:C152" si="69">LN(B145-$G$147)</f>
        <v>6.8101424501151362</v>
      </c>
      <c r="D145" s="438">
        <f t="shared" si="27"/>
        <v>4</v>
      </c>
      <c r="E145" s="534">
        <f t="shared" ref="E145:E152" si="70">LN(D145)</f>
        <v>1.3862943611198906</v>
      </c>
      <c r="F145" s="451" t="s">
        <v>315</v>
      </c>
      <c r="G145" s="539"/>
      <c r="H145" s="439"/>
      <c r="I145" s="443">
        <f t="shared" si="28"/>
        <v>8884</v>
      </c>
      <c r="J145" s="446">
        <f>ABS(B145-I145)/B145*100</f>
        <v>1.3229927007299269</v>
      </c>
      <c r="K145" s="535">
        <f t="shared" ref="K145:K152" si="71">(B145-I145)^2/1000</f>
        <v>13.456</v>
      </c>
      <c r="M145" s="536">
        <f t="shared" si="56"/>
        <v>6.8752320872765766</v>
      </c>
      <c r="N145" s="442" t="s">
        <v>306</v>
      </c>
      <c r="O145" s="504">
        <f>INDEX(LINEST(M142:M152,$E142:$E152),1)</f>
        <v>0.56477255696675244</v>
      </c>
      <c r="Q145" s="443">
        <f t="shared" si="30"/>
        <v>8891</v>
      </c>
      <c r="R145" s="443">
        <f t="shared" si="31"/>
        <v>15.129</v>
      </c>
      <c r="T145" s="536">
        <f t="shared" si="57"/>
        <v>6.7661917146603505</v>
      </c>
      <c r="U145" s="442" t="s">
        <v>306</v>
      </c>
      <c r="V145" s="504">
        <f>INDEX(LINEST(T142:T152,$E142:$E152),1)</f>
        <v>0.62788659545427861</v>
      </c>
      <c r="X145" s="443">
        <f t="shared" si="32"/>
        <v>8880</v>
      </c>
      <c r="Y145" s="443">
        <f t="shared" si="33"/>
        <v>12.544</v>
      </c>
      <c r="AA145" s="536">
        <f t="shared" si="58"/>
        <v>6.6437897331476723</v>
      </c>
      <c r="AB145" s="442" t="s">
        <v>306</v>
      </c>
      <c r="AC145" s="504">
        <f>INDEX(LINEST(AA142:AA152,$E142:$E152),1)</f>
        <v>0.70981589502482367</v>
      </c>
      <c r="AE145" s="443">
        <f t="shared" si="34"/>
        <v>8865</v>
      </c>
      <c r="AF145" s="443">
        <f t="shared" si="35"/>
        <v>9.4090000000000007</v>
      </c>
      <c r="AH145" s="536">
        <f t="shared" si="59"/>
        <v>6.8221973906204907</v>
      </c>
      <c r="AI145" s="442" t="s">
        <v>306</v>
      </c>
      <c r="AJ145" s="504">
        <f>INDEX(LINEST(AH142:AH152,$E142:$E152),1)</f>
        <v>0.59445410836284518</v>
      </c>
      <c r="AL145" s="443">
        <f t="shared" si="36"/>
        <v>8886</v>
      </c>
      <c r="AM145" s="443">
        <f t="shared" si="37"/>
        <v>13.923999999999999</v>
      </c>
      <c r="AO145" s="536">
        <f t="shared" si="60"/>
        <v>6.8112443786012937</v>
      </c>
      <c r="AP145" s="442" t="s">
        <v>306</v>
      </c>
      <c r="AQ145" s="504">
        <f>INDEX(LINEST(AO142:AO152,$E142:$E152),1)</f>
        <v>0.60081640475199438</v>
      </c>
      <c r="AS145" s="443">
        <f t="shared" si="38"/>
        <v>8884</v>
      </c>
      <c r="AT145" s="443">
        <f t="shared" si="39"/>
        <v>13.456</v>
      </c>
      <c r="AV145" s="536">
        <f t="shared" si="61"/>
        <v>6.8001700683021999</v>
      </c>
      <c r="AW145" s="442" t="s">
        <v>306</v>
      </c>
      <c r="AX145" s="504">
        <f>INDEX(LINEST(AV142:AV152,$E142:$E152),1)</f>
        <v>0.60733414180000489</v>
      </c>
      <c r="AZ145" s="443">
        <f t="shared" si="40"/>
        <v>8883</v>
      </c>
      <c r="BA145" s="443">
        <f t="shared" si="41"/>
        <v>13.225</v>
      </c>
      <c r="BC145" s="536">
        <f t="shared" si="62"/>
        <v>6.7889717429921701</v>
      </c>
      <c r="BD145" s="442" t="s">
        <v>306</v>
      </c>
      <c r="BE145" s="504">
        <f>INDEX(LINEST(BC142:BC152,$E142:$E152),1)</f>
        <v>0.61401377652073019</v>
      </c>
      <c r="BG145" s="443">
        <f t="shared" si="42"/>
        <v>8882</v>
      </c>
      <c r="BH145" s="443">
        <f t="shared" si="43"/>
        <v>12.996</v>
      </c>
      <c r="BJ145" s="536">
        <f t="shared" si="63"/>
        <v>6.7776465936351169</v>
      </c>
      <c r="BK145" s="442" t="s">
        <v>306</v>
      </c>
      <c r="BL145" s="504">
        <f>INDEX(LINEST(BJ142:BJ152,$E142:$E152),1)</f>
        <v>0.62086216486502332</v>
      </c>
      <c r="BN145" s="443">
        <f t="shared" si="44"/>
        <v>8881</v>
      </c>
      <c r="BO145" s="443">
        <f t="shared" si="45"/>
        <v>12.769</v>
      </c>
      <c r="BQ145" s="536">
        <f t="shared" si="64"/>
        <v>6.8057225534169854</v>
      </c>
      <c r="BR145" s="442" t="s">
        <v>306</v>
      </c>
      <c r="BS145" s="504">
        <f>INDEX(LINEST(BQ142:BQ152,$E142:$E152),1)</f>
        <v>0.6040554486082671</v>
      </c>
      <c r="BU145" s="443">
        <f t="shared" si="46"/>
        <v>8884</v>
      </c>
      <c r="BV145" s="443">
        <f t="shared" si="47"/>
        <v>13.456</v>
      </c>
      <c r="BX145" s="536">
        <f t="shared" si="65"/>
        <v>6.8068293603921761</v>
      </c>
      <c r="BY145" s="442" t="s">
        <v>306</v>
      </c>
      <c r="BZ145" s="504">
        <f>INDEX(LINEST(BX142:BX152,$E142:$E152),1)</f>
        <v>0.60340449366631788</v>
      </c>
      <c r="CB145" s="443">
        <f t="shared" si="48"/>
        <v>8884</v>
      </c>
      <c r="CC145" s="443">
        <f t="shared" si="49"/>
        <v>13.456</v>
      </c>
      <c r="CE145" s="536">
        <f t="shared" si="66"/>
        <v>6.8079349436999257</v>
      </c>
      <c r="CF145" s="442" t="s">
        <v>306</v>
      </c>
      <c r="CG145" s="504">
        <f>INDEX(LINEST(CE142:CE152,$E142:$E152),1)</f>
        <v>0.60275511818707406</v>
      </c>
      <c r="CI145" s="443">
        <f t="shared" si="50"/>
        <v>8884</v>
      </c>
      <c r="CJ145" s="443">
        <f t="shared" si="51"/>
        <v>13.456</v>
      </c>
      <c r="CL145" s="536">
        <f t="shared" si="67"/>
        <v>6.8090393060429797</v>
      </c>
      <c r="CM145" s="442" t="s">
        <v>306</v>
      </c>
      <c r="CN145" s="504">
        <f>INDEX(LINEST(CL142:CL152,$E142:$E152),1)</f>
        <v>0.6021073157743676</v>
      </c>
      <c r="CP145" s="443">
        <f t="shared" si="52"/>
        <v>8884</v>
      </c>
      <c r="CQ145" s="443">
        <f t="shared" si="53"/>
        <v>13.456</v>
      </c>
      <c r="CS145" s="536">
        <f t="shared" si="68"/>
        <v>6.8101424501151362</v>
      </c>
      <c r="CT145" s="442" t="s">
        <v>306</v>
      </c>
      <c r="CU145" s="504">
        <f>INDEX(LINEST(CS142:CS152,$E142:$E152),1)</f>
        <v>0.60146108006970989</v>
      </c>
      <c r="CW145" s="443">
        <f t="shared" si="54"/>
        <v>8884</v>
      </c>
      <c r="CX145" s="443">
        <f t="shared" si="55"/>
        <v>13.456</v>
      </c>
    </row>
    <row r="146" spans="1:102" ht="15" customHeight="1">
      <c r="A146" s="436">
        <f t="shared" si="26"/>
        <v>2010</v>
      </c>
      <c r="B146" s="437">
        <f t="shared" si="26"/>
        <v>8838</v>
      </c>
      <c r="C146" s="533">
        <f t="shared" si="69"/>
        <v>6.8844866520427823</v>
      </c>
      <c r="D146" s="438">
        <f t="shared" si="27"/>
        <v>5</v>
      </c>
      <c r="E146" s="534">
        <f t="shared" si="70"/>
        <v>1.6094379124341003</v>
      </c>
      <c r="I146" s="443">
        <f t="shared" si="28"/>
        <v>9031</v>
      </c>
      <c r="J146" s="446">
        <f>ABS(B146-I146)/B146*100</f>
        <v>2.1837519800859924</v>
      </c>
      <c r="K146" s="443">
        <f t="shared" si="71"/>
        <v>37.249000000000002</v>
      </c>
      <c r="M146" s="536">
        <f t="shared" si="56"/>
        <v>6.9450510637258338</v>
      </c>
      <c r="N146" s="442" t="s">
        <v>301</v>
      </c>
      <c r="O146" s="442" t="s">
        <v>318</v>
      </c>
      <c r="P146" s="504">
        <f>INDEX(LINEST(M142:M152,$E142:$E152),2)</f>
        <v>6.2118089337265729</v>
      </c>
      <c r="Q146" s="443">
        <f t="shared" si="30"/>
        <v>9037</v>
      </c>
      <c r="R146" s="443">
        <f t="shared" si="31"/>
        <v>39.600999999999999</v>
      </c>
      <c r="T146" s="536">
        <f t="shared" si="57"/>
        <v>6.8437499490062246</v>
      </c>
      <c r="U146" s="442" t="s">
        <v>301</v>
      </c>
      <c r="V146" s="442" t="s">
        <v>318</v>
      </c>
      <c r="W146" s="504">
        <f>INDEX(LINEST(T142:T152,$E142:$E152),2)</f>
        <v>6.0167750256313308</v>
      </c>
      <c r="X146" s="443">
        <f t="shared" si="32"/>
        <v>9027</v>
      </c>
      <c r="Y146" s="443">
        <f t="shared" si="33"/>
        <v>35.720999999999997</v>
      </c>
      <c r="AA146" s="536">
        <f t="shared" si="58"/>
        <v>6.7310181004820828</v>
      </c>
      <c r="AB146" s="442" t="s">
        <v>301</v>
      </c>
      <c r="AC146" s="442" t="s">
        <v>318</v>
      </c>
      <c r="AD146" s="504">
        <f>INDEX(LINEST(AA142:AA152,$E142:$E152),2)</f>
        <v>5.7789078219799643</v>
      </c>
      <c r="AE146" s="443">
        <f t="shared" si="34"/>
        <v>9014</v>
      </c>
      <c r="AF146" s="443">
        <f t="shared" si="35"/>
        <v>30.975999999999999</v>
      </c>
      <c r="AH146" s="536">
        <f t="shared" si="59"/>
        <v>6.8956826977478682</v>
      </c>
      <c r="AI146" s="442" t="s">
        <v>301</v>
      </c>
      <c r="AJ146" s="442" t="s">
        <v>318</v>
      </c>
      <c r="AK146" s="504">
        <f>INDEX(LINEST(AH142:AH152,$E142:$E152),2)</f>
        <v>6.1186526268205483</v>
      </c>
      <c r="AL146" s="443">
        <f t="shared" si="36"/>
        <v>9033</v>
      </c>
      <c r="AM146" s="443">
        <f t="shared" si="37"/>
        <v>38.024999999999999</v>
      </c>
      <c r="AO146" s="536">
        <f t="shared" si="60"/>
        <v>6.8855096700348177</v>
      </c>
      <c r="AP146" s="442" t="s">
        <v>301</v>
      </c>
      <c r="AQ146" s="442" t="s">
        <v>318</v>
      </c>
      <c r="AR146" s="504">
        <f>INDEX(LINEST(AO142:AO152,$E142:$E152),2)</f>
        <v>6.0990256297183816</v>
      </c>
      <c r="AS146" s="443">
        <f t="shared" si="38"/>
        <v>9031</v>
      </c>
      <c r="AT146" s="443">
        <f t="shared" si="39"/>
        <v>37.249000000000002</v>
      </c>
      <c r="AV146" s="536">
        <f t="shared" si="61"/>
        <v>6.8752320872765766</v>
      </c>
      <c r="AW146" s="442" t="s">
        <v>301</v>
      </c>
      <c r="AX146" s="442" t="s">
        <v>318</v>
      </c>
      <c r="AY146" s="504">
        <f>INDEX(LINEST(AV142:AV152,$E142:$E152),2)</f>
        <v>6.0790383425320353</v>
      </c>
      <c r="AZ146" s="443">
        <f t="shared" si="40"/>
        <v>9030</v>
      </c>
      <c r="BA146" s="443">
        <f t="shared" si="41"/>
        <v>36.863999999999997</v>
      </c>
      <c r="BC146" s="536">
        <f t="shared" si="62"/>
        <v>6.8648477779708603</v>
      </c>
      <c r="BD146" s="442" t="s">
        <v>301</v>
      </c>
      <c r="BE146" s="442" t="s">
        <v>318</v>
      </c>
      <c r="BF146" s="504">
        <f>INDEX(LINEST(BC142:BC152,$E142:$E152),2)</f>
        <v>6.0586772016359269</v>
      </c>
      <c r="BG146" s="443">
        <f t="shared" si="42"/>
        <v>9029</v>
      </c>
      <c r="BH146" s="443">
        <f t="shared" si="43"/>
        <v>36.481000000000002</v>
      </c>
      <c r="BJ146" s="536">
        <f t="shared" si="63"/>
        <v>6.8543545022550214</v>
      </c>
      <c r="BK146" s="442" t="s">
        <v>301</v>
      </c>
      <c r="BL146" s="442" t="s">
        <v>318</v>
      </c>
      <c r="BM146" s="504">
        <f>INDEX(LINEST(BJ142:BJ152,$E142:$E152),2)</f>
        <v>6.0379278409650903</v>
      </c>
      <c r="BN146" s="443">
        <f t="shared" si="44"/>
        <v>9028</v>
      </c>
      <c r="BO146" s="443">
        <f t="shared" si="45"/>
        <v>36.1</v>
      </c>
      <c r="BQ146" s="536">
        <f t="shared" si="64"/>
        <v>6.8803840821860049</v>
      </c>
      <c r="BR146" s="442" t="s">
        <v>301</v>
      </c>
      <c r="BS146" s="442" t="s">
        <v>318</v>
      </c>
      <c r="BT146" s="504">
        <f>INDEX(LINEST(BQ142:BQ152,$E142:$E152),2)</f>
        <v>6.0890778520379207</v>
      </c>
      <c r="BU146" s="443">
        <f t="shared" si="46"/>
        <v>9031</v>
      </c>
      <c r="BV146" s="443">
        <f t="shared" si="47"/>
        <v>37.249000000000002</v>
      </c>
      <c r="BX146" s="536">
        <f t="shared" si="65"/>
        <v>6.8814113036425351</v>
      </c>
      <c r="BY146" s="442" t="s">
        <v>301</v>
      </c>
      <c r="BZ146" s="442" t="s">
        <v>318</v>
      </c>
      <c r="CA146" s="504">
        <f>INDEX(LINEST(BX142:BX152,$E142:$E152),2)</f>
        <v>6.0910746919694709</v>
      </c>
      <c r="CB146" s="443">
        <f t="shared" si="48"/>
        <v>9031</v>
      </c>
      <c r="CC146" s="443">
        <f t="shared" si="49"/>
        <v>37.249000000000002</v>
      </c>
      <c r="CE146" s="536">
        <f t="shared" si="66"/>
        <v>6.8824374709978473</v>
      </c>
      <c r="CF146" s="442" t="s">
        <v>301</v>
      </c>
      <c r="CG146" s="442" t="s">
        <v>318</v>
      </c>
      <c r="CH146" s="504">
        <f>INDEX(LINEST(CE142:CE152,$E142:$E152),2)</f>
        <v>6.0930678762998998</v>
      </c>
      <c r="CI146" s="443">
        <f t="shared" si="50"/>
        <v>9031</v>
      </c>
      <c r="CJ146" s="443">
        <f t="shared" si="51"/>
        <v>37.249000000000002</v>
      </c>
      <c r="CL146" s="536">
        <f t="shared" si="67"/>
        <v>6.8834625864130921</v>
      </c>
      <c r="CM146" s="442" t="s">
        <v>301</v>
      </c>
      <c r="CN146" s="442" t="s">
        <v>318</v>
      </c>
      <c r="CO146" s="504">
        <f>INDEX(LINEST(CL142:CL152,$E142:$E152),2)</f>
        <v>6.0950574184704829</v>
      </c>
      <c r="CP146" s="443">
        <f t="shared" si="52"/>
        <v>9031</v>
      </c>
      <c r="CQ146" s="443">
        <f t="shared" si="53"/>
        <v>37.249000000000002</v>
      </c>
      <c r="CS146" s="536">
        <f t="shared" si="68"/>
        <v>6.8844866520427823</v>
      </c>
      <c r="CT146" s="442" t="s">
        <v>301</v>
      </c>
      <c r="CU146" s="442" t="s">
        <v>318</v>
      </c>
      <c r="CV146" s="504">
        <f>INDEX(LINEST(CS142:CS152,$E142:$E152),2)</f>
        <v>6.09704333184661</v>
      </c>
      <c r="CW146" s="443">
        <f t="shared" si="54"/>
        <v>9031</v>
      </c>
      <c r="CX146" s="443">
        <f t="shared" si="55"/>
        <v>37.249000000000002</v>
      </c>
    </row>
    <row r="147" spans="1:102" ht="15" customHeight="1">
      <c r="A147" s="436">
        <f t="shared" si="26"/>
        <v>2011</v>
      </c>
      <c r="B147" s="437">
        <f t="shared" si="26"/>
        <v>9306</v>
      </c>
      <c r="C147" s="533">
        <f t="shared" si="69"/>
        <v>7.2758646005465328</v>
      </c>
      <c r="D147" s="438">
        <f t="shared" si="27"/>
        <v>6</v>
      </c>
      <c r="E147" s="534">
        <f t="shared" si="70"/>
        <v>1.791759469228055</v>
      </c>
      <c r="F147" s="540" t="s">
        <v>313</v>
      </c>
      <c r="G147" s="541">
        <f>INDEX(F159:L171,MATCH(1,L159:L171,0),1)</f>
        <v>7861</v>
      </c>
      <c r="H147" s="439"/>
      <c r="I147" s="443">
        <f t="shared" si="28"/>
        <v>9167</v>
      </c>
      <c r="J147" s="446">
        <f t="shared" si="29"/>
        <v>1.4936600042983021</v>
      </c>
      <c r="K147" s="443">
        <f t="shared" si="71"/>
        <v>19.321000000000002</v>
      </c>
      <c r="M147" s="536">
        <f t="shared" si="56"/>
        <v>7.3172124083598389</v>
      </c>
      <c r="N147" s="442" t="s">
        <v>305</v>
      </c>
      <c r="O147" s="542">
        <f>EXP(P146)</f>
        <v>498.60237465652057</v>
      </c>
      <c r="P147" s="451"/>
      <c r="Q147" s="443">
        <f t="shared" si="30"/>
        <v>9172</v>
      </c>
      <c r="R147" s="443">
        <f t="shared" si="31"/>
        <v>17.956</v>
      </c>
      <c r="T147" s="536">
        <f t="shared" si="57"/>
        <v>7.2485040723706105</v>
      </c>
      <c r="U147" s="442" t="s">
        <v>305</v>
      </c>
      <c r="V147" s="542">
        <f>EXP(W146)</f>
        <v>410.25340330909512</v>
      </c>
      <c r="W147" s="504"/>
      <c r="X147" s="443">
        <f t="shared" si="32"/>
        <v>9164</v>
      </c>
      <c r="Y147" s="443">
        <f t="shared" si="33"/>
        <v>20.164000000000001</v>
      </c>
      <c r="AA147" s="536">
        <f t="shared" si="58"/>
        <v>7.1747243098363764</v>
      </c>
      <c r="AB147" s="442" t="s">
        <v>305</v>
      </c>
      <c r="AC147" s="542">
        <f>EXP(AD146)</f>
        <v>323.40578077393724</v>
      </c>
      <c r="AD147" s="451"/>
      <c r="AE147" s="443">
        <f t="shared" si="34"/>
        <v>9154</v>
      </c>
      <c r="AF147" s="443">
        <f t="shared" si="35"/>
        <v>23.103999999999999</v>
      </c>
      <c r="AH147" s="536">
        <f t="shared" si="59"/>
        <v>7.2834482287566313</v>
      </c>
      <c r="AI147" s="442" t="s">
        <v>305</v>
      </c>
      <c r="AJ147" s="542">
        <f>EXP(AK146)</f>
        <v>454.2522347084805</v>
      </c>
      <c r="AK147" s="451"/>
      <c r="AL147" s="443">
        <f t="shared" si="36"/>
        <v>9168</v>
      </c>
      <c r="AM147" s="443">
        <f t="shared" si="37"/>
        <v>19.044</v>
      </c>
      <c r="AO147" s="536">
        <f t="shared" si="60"/>
        <v>7.2765564027187102</v>
      </c>
      <c r="AP147" s="442" t="s">
        <v>305</v>
      </c>
      <c r="AQ147" s="542">
        <f>EXP(AR146)</f>
        <v>445.42355110090944</v>
      </c>
      <c r="AR147" s="451"/>
      <c r="AS147" s="443">
        <f t="shared" si="38"/>
        <v>9167</v>
      </c>
      <c r="AT147" s="443">
        <f t="shared" si="39"/>
        <v>19.321000000000002</v>
      </c>
      <c r="AV147" s="536">
        <f t="shared" si="61"/>
        <v>7.2696167496081694</v>
      </c>
      <c r="AW147" s="442" t="s">
        <v>305</v>
      </c>
      <c r="AX147" s="542">
        <f>EXP(AY146)</f>
        <v>436.60912434385119</v>
      </c>
      <c r="AY147" s="451"/>
      <c r="AZ147" s="443">
        <f t="shared" si="40"/>
        <v>9166</v>
      </c>
      <c r="BA147" s="443">
        <f t="shared" si="41"/>
        <v>19.600000000000001</v>
      </c>
      <c r="BC147" s="536">
        <f t="shared" si="62"/>
        <v>7.2626286009742413</v>
      </c>
      <c r="BD147" s="442" t="s">
        <v>305</v>
      </c>
      <c r="BE147" s="542">
        <f>EXP(BF146)</f>
        <v>427.80915715170858</v>
      </c>
      <c r="BF147" s="451"/>
      <c r="BG147" s="443">
        <f t="shared" si="42"/>
        <v>9165</v>
      </c>
      <c r="BH147" s="443">
        <f t="shared" si="43"/>
        <v>19.881</v>
      </c>
      <c r="BJ147" s="536">
        <f t="shared" si="63"/>
        <v>7.255591274253665</v>
      </c>
      <c r="BK147" s="442" t="s">
        <v>305</v>
      </c>
      <c r="BL147" s="542">
        <f>EXP(BM146)</f>
        <v>419.02385059579109</v>
      </c>
      <c r="BM147" s="451"/>
      <c r="BN147" s="443">
        <f t="shared" si="44"/>
        <v>9165</v>
      </c>
      <c r="BO147" s="443">
        <f t="shared" si="45"/>
        <v>19.881</v>
      </c>
      <c r="BQ147" s="536">
        <f t="shared" si="64"/>
        <v>7.2730925959995218</v>
      </c>
      <c r="BR147" s="442" t="s">
        <v>305</v>
      </c>
      <c r="BS147" s="542">
        <f>EXP(BT146)</f>
        <v>441.01454291645052</v>
      </c>
      <c r="BT147" s="451"/>
      <c r="BU147" s="443">
        <f t="shared" si="46"/>
        <v>9167</v>
      </c>
      <c r="BV147" s="443">
        <f t="shared" si="47"/>
        <v>19.321000000000002</v>
      </c>
      <c r="BX147" s="536">
        <f t="shared" si="65"/>
        <v>7.2737863178448947</v>
      </c>
      <c r="BY147" s="442" t="s">
        <v>305</v>
      </c>
      <c r="BZ147" s="542">
        <f>EXP(CA146)</f>
        <v>441.89605819568482</v>
      </c>
      <c r="CA147" s="451"/>
      <c r="CB147" s="443">
        <f t="shared" si="48"/>
        <v>9167</v>
      </c>
      <c r="CC147" s="443">
        <f t="shared" si="49"/>
        <v>19.321000000000002</v>
      </c>
      <c r="CE147" s="536">
        <f t="shared" si="66"/>
        <v>7.2744795587738711</v>
      </c>
      <c r="CF147" s="442" t="s">
        <v>305</v>
      </c>
      <c r="CG147" s="542">
        <f>EXP(CH146)</f>
        <v>442.77771685678618</v>
      </c>
      <c r="CH147" s="451"/>
      <c r="CI147" s="443">
        <f t="shared" si="50"/>
        <v>9167</v>
      </c>
      <c r="CJ147" s="443">
        <f t="shared" si="51"/>
        <v>19.321000000000002</v>
      </c>
      <c r="CL147" s="536">
        <f t="shared" si="67"/>
        <v>7.2751723194527713</v>
      </c>
      <c r="CM147" s="442" t="s">
        <v>305</v>
      </c>
      <c r="CN147" s="542">
        <f>EXP(CO146)</f>
        <v>443.65951869677258</v>
      </c>
      <c r="CO147" s="451"/>
      <c r="CP147" s="443">
        <f t="shared" si="52"/>
        <v>9167</v>
      </c>
      <c r="CQ147" s="443">
        <f t="shared" si="53"/>
        <v>19.321000000000002</v>
      </c>
      <c r="CS147" s="536">
        <f t="shared" si="68"/>
        <v>7.2758646005465328</v>
      </c>
      <c r="CT147" s="442" t="s">
        <v>305</v>
      </c>
      <c r="CU147" s="542">
        <f>EXP(CV146)</f>
        <v>444.54146351254695</v>
      </c>
      <c r="CV147" s="451"/>
      <c r="CW147" s="443">
        <f t="shared" si="54"/>
        <v>9167</v>
      </c>
      <c r="CX147" s="443">
        <f t="shared" si="55"/>
        <v>19.321000000000002</v>
      </c>
    </row>
    <row r="148" spans="1:102" ht="15" customHeight="1">
      <c r="A148" s="436">
        <f t="shared" si="26"/>
        <v>2012</v>
      </c>
      <c r="B148" s="437">
        <f t="shared" si="26"/>
        <v>9393</v>
      </c>
      <c r="C148" s="533">
        <f t="shared" si="69"/>
        <v>7.3343293503005365</v>
      </c>
      <c r="D148" s="438">
        <f t="shared" si="27"/>
        <v>7</v>
      </c>
      <c r="E148" s="534">
        <f t="shared" si="70"/>
        <v>1.9459101490553132</v>
      </c>
      <c r="F148" s="540" t="s">
        <v>306</v>
      </c>
      <c r="G148" s="504">
        <f>INDEX(LINEST(C142:C152,E142:E152),1)</f>
        <v>0.60146108006970989</v>
      </c>
      <c r="H148" s="439"/>
      <c r="I148" s="443">
        <f t="shared" si="28"/>
        <v>9294</v>
      </c>
      <c r="J148" s="446">
        <f t="shared" si="29"/>
        <v>1.0539763653784733</v>
      </c>
      <c r="K148" s="443">
        <f t="shared" si="71"/>
        <v>9.8010000000000002</v>
      </c>
      <c r="M148" s="536">
        <f t="shared" si="56"/>
        <v>7.3733743099100488</v>
      </c>
      <c r="Q148" s="443">
        <f t="shared" si="30"/>
        <v>9296</v>
      </c>
      <c r="R148" s="443">
        <f t="shared" si="31"/>
        <v>9.4090000000000007</v>
      </c>
      <c r="T148" s="536">
        <f t="shared" si="57"/>
        <v>7.3085427975391903</v>
      </c>
      <c r="W148" s="451"/>
      <c r="X148" s="443">
        <f t="shared" si="32"/>
        <v>9292</v>
      </c>
      <c r="Y148" s="443">
        <f t="shared" si="33"/>
        <v>10.201000000000001</v>
      </c>
      <c r="AA148" s="536">
        <f t="shared" si="58"/>
        <v>7.2392149737798057</v>
      </c>
      <c r="AD148" s="451"/>
      <c r="AE148" s="443">
        <f t="shared" si="34"/>
        <v>9287</v>
      </c>
      <c r="AF148" s="443">
        <f t="shared" si="35"/>
        <v>11.236000000000001</v>
      </c>
      <c r="AH148" s="536">
        <f t="shared" si="59"/>
        <v>7.3414838523631607</v>
      </c>
      <c r="AK148" s="451"/>
      <c r="AL148" s="443">
        <f t="shared" si="36"/>
        <v>9294</v>
      </c>
      <c r="AM148" s="443">
        <f t="shared" si="37"/>
        <v>9.8010000000000002</v>
      </c>
      <c r="AO148" s="536">
        <f t="shared" si="60"/>
        <v>7.3349818788718144</v>
      </c>
      <c r="AR148" s="451"/>
      <c r="AS148" s="443">
        <f t="shared" si="38"/>
        <v>9294</v>
      </c>
      <c r="AT148" s="443">
        <f t="shared" si="39"/>
        <v>9.8010000000000002</v>
      </c>
      <c r="AV148" s="536">
        <f t="shared" si="61"/>
        <v>7.3284373528951621</v>
      </c>
      <c r="AY148" s="451"/>
      <c r="AZ148" s="443">
        <f t="shared" si="40"/>
        <v>9293</v>
      </c>
      <c r="BA148" s="443">
        <f t="shared" si="41"/>
        <v>10</v>
      </c>
      <c r="BC148" s="536">
        <f t="shared" si="62"/>
        <v>7.3218497137883558</v>
      </c>
      <c r="BF148" s="451"/>
      <c r="BG148" s="443">
        <f t="shared" si="42"/>
        <v>9293</v>
      </c>
      <c r="BH148" s="443">
        <f t="shared" si="43"/>
        <v>10</v>
      </c>
      <c r="BJ148" s="536">
        <f t="shared" si="63"/>
        <v>7.3152183897529746</v>
      </c>
      <c r="BM148" s="451"/>
      <c r="BN148" s="443">
        <f t="shared" si="44"/>
        <v>9293</v>
      </c>
      <c r="BO148" s="443">
        <f t="shared" si="45"/>
        <v>10</v>
      </c>
      <c r="BQ148" s="536">
        <f t="shared" si="64"/>
        <v>7.3317149697264661</v>
      </c>
      <c r="BT148" s="451"/>
      <c r="BU148" s="443">
        <f t="shared" si="46"/>
        <v>9294</v>
      </c>
      <c r="BV148" s="443">
        <f t="shared" si="47"/>
        <v>9.8010000000000002</v>
      </c>
      <c r="BX148" s="536">
        <f t="shared" si="65"/>
        <v>7.3323692059290622</v>
      </c>
      <c r="CA148" s="451"/>
      <c r="CB148" s="443">
        <f t="shared" si="48"/>
        <v>9294</v>
      </c>
      <c r="CC148" s="443">
        <f t="shared" si="49"/>
        <v>9.8010000000000002</v>
      </c>
      <c r="CE148" s="536">
        <f t="shared" si="66"/>
        <v>7.3330230143864812</v>
      </c>
      <c r="CH148" s="451"/>
      <c r="CI148" s="443">
        <f t="shared" si="50"/>
        <v>9294</v>
      </c>
      <c r="CJ148" s="443">
        <f t="shared" si="51"/>
        <v>9.8010000000000002</v>
      </c>
      <c r="CL148" s="536">
        <f t="shared" si="67"/>
        <v>7.333676395657684</v>
      </c>
      <c r="CO148" s="451"/>
      <c r="CP148" s="443">
        <f t="shared" si="52"/>
        <v>9294</v>
      </c>
      <c r="CQ148" s="443">
        <f t="shared" si="53"/>
        <v>9.8010000000000002</v>
      </c>
      <c r="CS148" s="536">
        <f t="shared" si="68"/>
        <v>7.3343293503005365</v>
      </c>
      <c r="CV148" s="451"/>
      <c r="CW148" s="443">
        <f t="shared" si="54"/>
        <v>9294</v>
      </c>
      <c r="CX148" s="443">
        <f t="shared" si="55"/>
        <v>9.8010000000000002</v>
      </c>
    </row>
    <row r="149" spans="1:102" ht="15" customHeight="1">
      <c r="A149" s="436">
        <f t="shared" si="26"/>
        <v>2013</v>
      </c>
      <c r="B149" s="437">
        <f t="shared" si="26"/>
        <v>9575</v>
      </c>
      <c r="C149" s="533">
        <f t="shared" si="69"/>
        <v>7.4465850991577254</v>
      </c>
      <c r="D149" s="438">
        <f t="shared" si="27"/>
        <v>8</v>
      </c>
      <c r="E149" s="543">
        <f t="shared" si="70"/>
        <v>2.0794415416798357</v>
      </c>
      <c r="F149" s="540" t="s">
        <v>301</v>
      </c>
      <c r="G149" s="504">
        <f>INDEX(LINEST(C142:C152,E142:E152),2)</f>
        <v>6.09704333184661</v>
      </c>
      <c r="H149" s="544" t="s">
        <v>320</v>
      </c>
      <c r="I149" s="443">
        <f t="shared" si="28"/>
        <v>9414</v>
      </c>
      <c r="J149" s="446">
        <f t="shared" si="29"/>
        <v>1.6814621409921671</v>
      </c>
      <c r="K149" s="443">
        <f t="shared" si="71"/>
        <v>25.920999999999999</v>
      </c>
      <c r="M149" s="536">
        <f t="shared" si="56"/>
        <v>7.4815557019095165</v>
      </c>
      <c r="P149" s="451"/>
      <c r="Q149" s="443">
        <f t="shared" si="30"/>
        <v>9414</v>
      </c>
      <c r="R149" s="443">
        <f t="shared" si="31"/>
        <v>25.920999999999999</v>
      </c>
      <c r="T149" s="536">
        <f t="shared" si="57"/>
        <v>7.4235684442591667</v>
      </c>
      <c r="W149" s="451"/>
      <c r="X149" s="443">
        <f t="shared" si="32"/>
        <v>9414</v>
      </c>
      <c r="Y149" s="443">
        <f t="shared" si="33"/>
        <v>25.920999999999999</v>
      </c>
      <c r="AA149" s="536">
        <f t="shared" si="58"/>
        <v>7.3620105512597336</v>
      </c>
      <c r="AD149" s="451"/>
      <c r="AE149" s="443">
        <f t="shared" si="34"/>
        <v>9415</v>
      </c>
      <c r="AF149" s="443">
        <f t="shared" si="35"/>
        <v>25.6</v>
      </c>
      <c r="AH149" s="536">
        <f t="shared" si="59"/>
        <v>7.4529823294654598</v>
      </c>
      <c r="AK149" s="451"/>
      <c r="AL149" s="443">
        <f t="shared" si="36"/>
        <v>9414</v>
      </c>
      <c r="AM149" s="443">
        <f t="shared" si="37"/>
        <v>25.920999999999999</v>
      </c>
      <c r="AO149" s="536">
        <f t="shared" si="60"/>
        <v>7.44716835960004</v>
      </c>
      <c r="AR149" s="451"/>
      <c r="AS149" s="443">
        <f t="shared" si="38"/>
        <v>9414</v>
      </c>
      <c r="AT149" s="443">
        <f t="shared" si="39"/>
        <v>25.920999999999999</v>
      </c>
      <c r="AV149" s="536">
        <f t="shared" si="61"/>
        <v>7.4413203897176174</v>
      </c>
      <c r="AY149" s="451"/>
      <c r="AZ149" s="443">
        <f t="shared" si="40"/>
        <v>9414</v>
      </c>
      <c r="BA149" s="443">
        <f t="shared" si="41"/>
        <v>25.920999999999999</v>
      </c>
      <c r="BC149" s="536">
        <f t="shared" si="62"/>
        <v>7.4354380198145504</v>
      </c>
      <c r="BF149" s="451"/>
      <c r="BG149" s="443">
        <f t="shared" si="42"/>
        <v>9414</v>
      </c>
      <c r="BH149" s="443">
        <f t="shared" si="43"/>
        <v>25.920999999999999</v>
      </c>
      <c r="BJ149" s="536">
        <f t="shared" si="63"/>
        <v>7.4295208427864621</v>
      </c>
      <c r="BM149" s="451"/>
      <c r="BN149" s="443">
        <f t="shared" si="44"/>
        <v>9414</v>
      </c>
      <c r="BO149" s="443">
        <f t="shared" si="45"/>
        <v>25.920999999999999</v>
      </c>
      <c r="BQ149" s="536">
        <f t="shared" si="64"/>
        <v>7.4442486494967053</v>
      </c>
      <c r="BT149" s="451"/>
      <c r="BU149" s="443">
        <f t="shared" si="46"/>
        <v>9414</v>
      </c>
      <c r="BV149" s="443">
        <f t="shared" si="47"/>
        <v>25.920999999999999</v>
      </c>
      <c r="BX149" s="536">
        <f t="shared" si="65"/>
        <v>7.4448332738921934</v>
      </c>
      <c r="CA149" s="451"/>
      <c r="CB149" s="443">
        <f t="shared" si="48"/>
        <v>9414</v>
      </c>
      <c r="CC149" s="443">
        <f t="shared" si="49"/>
        <v>25.920999999999999</v>
      </c>
      <c r="CE149" s="536">
        <f t="shared" si="66"/>
        <v>7.4454175567016874</v>
      </c>
      <c r="CH149" s="451"/>
      <c r="CI149" s="443">
        <f t="shared" si="50"/>
        <v>9414</v>
      </c>
      <c r="CJ149" s="443">
        <f t="shared" si="51"/>
        <v>25.920999999999999</v>
      </c>
      <c r="CL149" s="536">
        <f t="shared" si="67"/>
        <v>7.4460014983241196</v>
      </c>
      <c r="CO149" s="451"/>
      <c r="CP149" s="443">
        <f t="shared" si="52"/>
        <v>9414</v>
      </c>
      <c r="CQ149" s="443">
        <f t="shared" si="53"/>
        <v>25.920999999999999</v>
      </c>
      <c r="CS149" s="536">
        <f t="shared" si="68"/>
        <v>7.4465850991577254</v>
      </c>
      <c r="CV149" s="451"/>
      <c r="CW149" s="443">
        <f t="shared" si="54"/>
        <v>9414</v>
      </c>
      <c r="CX149" s="443">
        <f t="shared" si="55"/>
        <v>25.920999999999999</v>
      </c>
    </row>
    <row r="150" spans="1:102" ht="15" customHeight="1">
      <c r="A150" s="436">
        <f t="shared" si="26"/>
        <v>2014</v>
      </c>
      <c r="B150" s="437">
        <f t="shared" si="26"/>
        <v>9739</v>
      </c>
      <c r="C150" s="545">
        <f t="shared" si="69"/>
        <v>7.5379626597682083</v>
      </c>
      <c r="D150" s="438">
        <f t="shared" si="27"/>
        <v>9</v>
      </c>
      <c r="E150" s="546">
        <f t="shared" si="70"/>
        <v>2.1972245773362196</v>
      </c>
      <c r="F150" s="540" t="s">
        <v>305</v>
      </c>
      <c r="G150" s="547">
        <f>EXP(G149)</f>
        <v>444.54146351254695</v>
      </c>
      <c r="I150" s="443">
        <f t="shared" si="28"/>
        <v>9528</v>
      </c>
      <c r="J150" s="467">
        <f t="shared" si="29"/>
        <v>2.1665468733956259</v>
      </c>
      <c r="K150" s="443">
        <f t="shared" si="71"/>
        <v>44.521000000000001</v>
      </c>
      <c r="M150" s="536">
        <f t="shared" si="56"/>
        <v>7.569927655242652</v>
      </c>
      <c r="N150" s="451"/>
      <c r="O150" s="451"/>
      <c r="P150" s="510"/>
      <c r="Q150" s="443">
        <f t="shared" si="30"/>
        <v>9525</v>
      </c>
      <c r="R150" s="443">
        <f t="shared" si="31"/>
        <v>45.795999999999999</v>
      </c>
      <c r="T150" s="536">
        <f t="shared" si="57"/>
        <v>7.5169772246043207</v>
      </c>
      <c r="U150" s="451"/>
      <c r="V150" s="451"/>
      <c r="W150" s="510"/>
      <c r="X150" s="443">
        <f t="shared" si="32"/>
        <v>9530</v>
      </c>
      <c r="Y150" s="443">
        <f t="shared" si="33"/>
        <v>43.680999999999997</v>
      </c>
      <c r="AA150" s="536">
        <f t="shared" si="58"/>
        <v>7.4610655143542832</v>
      </c>
      <c r="AB150" s="451"/>
      <c r="AC150" s="451"/>
      <c r="AD150" s="510"/>
      <c r="AE150" s="443">
        <f t="shared" si="34"/>
        <v>9538</v>
      </c>
      <c r="AF150" s="443">
        <f t="shared" si="35"/>
        <v>40.401000000000003</v>
      </c>
      <c r="AH150" s="536">
        <f t="shared" si="59"/>
        <v>7.5438028675015092</v>
      </c>
      <c r="AI150" s="451"/>
      <c r="AJ150" s="451"/>
      <c r="AK150" s="510"/>
      <c r="AL150" s="443">
        <f t="shared" si="36"/>
        <v>9527</v>
      </c>
      <c r="AM150" s="443">
        <f t="shared" si="37"/>
        <v>44.944000000000003</v>
      </c>
      <c r="AO150" s="536">
        <f t="shared" si="60"/>
        <v>7.5384949994134649</v>
      </c>
      <c r="AP150" s="451"/>
      <c r="AQ150" s="451"/>
      <c r="AR150" s="510"/>
      <c r="AS150" s="443">
        <f t="shared" si="38"/>
        <v>9528</v>
      </c>
      <c r="AT150" s="443">
        <f t="shared" si="39"/>
        <v>44.521000000000001</v>
      </c>
      <c r="AV150" s="536">
        <f t="shared" si="61"/>
        <v>7.5331588074555631</v>
      </c>
      <c r="AW150" s="451"/>
      <c r="AX150" s="451"/>
      <c r="AY150" s="510"/>
      <c r="AZ150" s="443">
        <f t="shared" si="40"/>
        <v>9528</v>
      </c>
      <c r="BA150" s="443">
        <f t="shared" si="41"/>
        <v>44.521000000000001</v>
      </c>
      <c r="BC150" s="536">
        <f t="shared" si="62"/>
        <v>7.5277939877214441</v>
      </c>
      <c r="BD150" s="451"/>
      <c r="BE150" s="451"/>
      <c r="BF150" s="510"/>
      <c r="BG150" s="443">
        <f t="shared" si="42"/>
        <v>9529</v>
      </c>
      <c r="BH150" s="443">
        <f t="shared" si="43"/>
        <v>44.1</v>
      </c>
      <c r="BJ150" s="536">
        <f t="shared" si="63"/>
        <v>7.5224002313871248</v>
      </c>
      <c r="BK150" s="451"/>
      <c r="BL150" s="451"/>
      <c r="BM150" s="510"/>
      <c r="BN150" s="443">
        <f t="shared" si="44"/>
        <v>9529</v>
      </c>
      <c r="BO150" s="443">
        <f t="shared" si="45"/>
        <v>44.1</v>
      </c>
      <c r="BQ150" s="536">
        <f t="shared" si="64"/>
        <v>7.5358304627983674</v>
      </c>
      <c r="BR150" s="451"/>
      <c r="BS150" s="451"/>
      <c r="BT150" s="510"/>
      <c r="BU150" s="443">
        <f t="shared" si="46"/>
        <v>9528</v>
      </c>
      <c r="BV150" s="443">
        <f t="shared" si="47"/>
        <v>44.521000000000001</v>
      </c>
      <c r="BX150" s="536">
        <f t="shared" si="65"/>
        <v>7.5363639384045111</v>
      </c>
      <c r="BY150" s="451"/>
      <c r="BZ150" s="451"/>
      <c r="CA150" s="510"/>
      <c r="CB150" s="443">
        <f t="shared" si="48"/>
        <v>9528</v>
      </c>
      <c r="CC150" s="443">
        <f t="shared" si="49"/>
        <v>44.521000000000001</v>
      </c>
      <c r="CE150" s="536">
        <f t="shared" si="66"/>
        <v>7.53689712956617</v>
      </c>
      <c r="CF150" s="451"/>
      <c r="CG150" s="451"/>
      <c r="CH150" s="510"/>
      <c r="CI150" s="443">
        <f t="shared" si="50"/>
        <v>9528</v>
      </c>
      <c r="CJ150" s="443">
        <f t="shared" si="51"/>
        <v>44.521000000000001</v>
      </c>
      <c r="CL150" s="536">
        <f t="shared" si="67"/>
        <v>7.5374300365865086</v>
      </c>
      <c r="CM150" s="451"/>
      <c r="CN150" s="451"/>
      <c r="CO150" s="510"/>
      <c r="CP150" s="443">
        <f t="shared" si="52"/>
        <v>9528</v>
      </c>
      <c r="CQ150" s="443">
        <f t="shared" si="53"/>
        <v>44.521000000000001</v>
      </c>
      <c r="CS150" s="536">
        <f t="shared" si="68"/>
        <v>7.5379626597682083</v>
      </c>
      <c r="CT150" s="451"/>
      <c r="CU150" s="451"/>
      <c r="CV150" s="510"/>
      <c r="CW150" s="443">
        <f t="shared" si="54"/>
        <v>9528</v>
      </c>
      <c r="CX150" s="443">
        <f t="shared" si="55"/>
        <v>44.521000000000001</v>
      </c>
    </row>
    <row r="151" spans="1:102" ht="15" customHeight="1">
      <c r="A151" s="436">
        <f t="shared" si="26"/>
        <v>2015</v>
      </c>
      <c r="B151" s="437">
        <f t="shared" si="26"/>
        <v>9571</v>
      </c>
      <c r="C151" s="545">
        <f t="shared" si="69"/>
        <v>7.4442486494967053</v>
      </c>
      <c r="D151" s="438">
        <f t="shared" si="27"/>
        <v>10</v>
      </c>
      <c r="E151" s="546">
        <f t="shared" si="70"/>
        <v>2.3025850929940459</v>
      </c>
      <c r="H151" s="439"/>
      <c r="I151" s="443">
        <f t="shared" si="28"/>
        <v>9637</v>
      </c>
      <c r="J151" s="467">
        <f t="shared" si="29"/>
        <v>0.68958311566189534</v>
      </c>
      <c r="K151" s="443">
        <f t="shared" si="71"/>
        <v>4.3559999999999999</v>
      </c>
      <c r="M151" s="536">
        <f t="shared" si="56"/>
        <v>7.4792996377828338</v>
      </c>
      <c r="N151" s="439" t="s">
        <v>321</v>
      </c>
      <c r="O151" s="504">
        <f>P141</f>
        <v>0.9311398963869093</v>
      </c>
      <c r="P151" s="510"/>
      <c r="Q151" s="443">
        <f t="shared" si="30"/>
        <v>9630</v>
      </c>
      <c r="R151" s="443">
        <f t="shared" si="31"/>
        <v>3.4809999999999999</v>
      </c>
      <c r="T151" s="536">
        <f t="shared" si="57"/>
        <v>7.4211775285953934</v>
      </c>
      <c r="U151" s="439" t="s">
        <v>321</v>
      </c>
      <c r="V151" s="504">
        <f>W141</f>
        <v>0.9312060752107697</v>
      </c>
      <c r="W151" s="510"/>
      <c r="X151" s="443">
        <f t="shared" si="32"/>
        <v>9642</v>
      </c>
      <c r="Y151" s="443">
        <f t="shared" si="33"/>
        <v>5.0410000000000004</v>
      </c>
      <c r="AA151" s="536">
        <f t="shared" si="58"/>
        <v>7.3594676382556212</v>
      </c>
      <c r="AB151" s="439" t="s">
        <v>321</v>
      </c>
      <c r="AC151" s="504">
        <f>AD141</f>
        <v>0.93026373859508571</v>
      </c>
      <c r="AD151" s="510"/>
      <c r="AE151" s="443">
        <f t="shared" si="34"/>
        <v>9658</v>
      </c>
      <c r="AF151" s="443">
        <f t="shared" si="35"/>
        <v>7.569</v>
      </c>
      <c r="AH151" s="536">
        <f t="shared" si="59"/>
        <v>7.4506607962115394</v>
      </c>
      <c r="AI151" s="439" t="s">
        <v>321</v>
      </c>
      <c r="AJ151" s="504">
        <f>AK141</f>
        <v>0.93106911331781739</v>
      </c>
      <c r="AK151" s="510"/>
      <c r="AL151" s="443">
        <f t="shared" si="36"/>
        <v>9635</v>
      </c>
      <c r="AM151" s="443">
        <f t="shared" si="37"/>
        <v>4.0960000000000001</v>
      </c>
      <c r="AO151" s="536">
        <f t="shared" si="60"/>
        <v>7.4448332738921934</v>
      </c>
      <c r="AP151" s="439" t="s">
        <v>321</v>
      </c>
      <c r="AQ151" s="504">
        <f>AR141</f>
        <v>0.93144311681214564</v>
      </c>
      <c r="AR151" s="510"/>
      <c r="AS151" s="443">
        <f t="shared" si="38"/>
        <v>9637</v>
      </c>
      <c r="AT151" s="443">
        <f t="shared" si="39"/>
        <v>4.3559999999999999</v>
      </c>
      <c r="AV151" s="536">
        <f t="shared" si="61"/>
        <v>7.4389715923958617</v>
      </c>
      <c r="AW151" s="439" t="s">
        <v>321</v>
      </c>
      <c r="AX151" s="504">
        <f>AY141</f>
        <v>0.93131114130907333</v>
      </c>
      <c r="AY151" s="510"/>
      <c r="AZ151" s="443">
        <f t="shared" si="40"/>
        <v>9638</v>
      </c>
      <c r="BA151" s="443">
        <f t="shared" si="41"/>
        <v>4.4889999999999999</v>
      </c>
      <c r="BC151" s="536">
        <f t="shared" si="62"/>
        <v>7.4330753488985799</v>
      </c>
      <c r="BD151" s="439" t="s">
        <v>321</v>
      </c>
      <c r="BE151" s="504">
        <f>BF141</f>
        <v>0.93134977722363965</v>
      </c>
      <c r="BF151" s="510"/>
      <c r="BG151" s="443">
        <f t="shared" si="42"/>
        <v>9639</v>
      </c>
      <c r="BH151" s="443">
        <f t="shared" si="43"/>
        <v>4.6239999999999997</v>
      </c>
      <c r="BJ151" s="536">
        <f t="shared" si="63"/>
        <v>7.4271441334086159</v>
      </c>
      <c r="BK151" s="439" t="s">
        <v>321</v>
      </c>
      <c r="BL151" s="504">
        <f>BM141</f>
        <v>0.93133181660899322</v>
      </c>
      <c r="BM151" s="510"/>
      <c r="BN151" s="443">
        <f t="shared" si="44"/>
        <v>9640</v>
      </c>
      <c r="BO151" s="443">
        <f t="shared" si="45"/>
        <v>4.7610000000000001</v>
      </c>
      <c r="BQ151" s="536">
        <f t="shared" si="64"/>
        <v>7.4419067280516247</v>
      </c>
      <c r="BR151" s="439" t="s">
        <v>321</v>
      </c>
      <c r="BS151" s="504">
        <f>BT141</f>
        <v>0.93138901114373984</v>
      </c>
      <c r="BT151" s="510"/>
      <c r="BU151" s="443">
        <f t="shared" si="46"/>
        <v>9637</v>
      </c>
      <c r="BV151" s="443">
        <f t="shared" si="47"/>
        <v>4.3559999999999999</v>
      </c>
      <c r="BX151" s="536">
        <f t="shared" si="65"/>
        <v>7.4424927227944409</v>
      </c>
      <c r="BY151" s="439" t="s">
        <v>321</v>
      </c>
      <c r="BZ151" s="504">
        <f>CA141</f>
        <v>0.93138901114373984</v>
      </c>
      <c r="CA151" s="510"/>
      <c r="CB151" s="443">
        <f t="shared" si="48"/>
        <v>9637</v>
      </c>
      <c r="CC151" s="443">
        <f t="shared" si="49"/>
        <v>4.3559999999999999</v>
      </c>
      <c r="CE151" s="536">
        <f t="shared" si="66"/>
        <v>7.4430783743485156</v>
      </c>
      <c r="CF151" s="439" t="s">
        <v>321</v>
      </c>
      <c r="CG151" s="504">
        <f>CH141</f>
        <v>0.93135810512715278</v>
      </c>
      <c r="CH151" s="510"/>
      <c r="CI151" s="443">
        <f t="shared" si="50"/>
        <v>9637</v>
      </c>
      <c r="CJ151" s="443">
        <f t="shared" si="51"/>
        <v>4.3559999999999999</v>
      </c>
      <c r="CL151" s="536">
        <f t="shared" si="67"/>
        <v>7.4436636831155907</v>
      </c>
      <c r="CM151" s="439" t="s">
        <v>321</v>
      </c>
      <c r="CN151" s="504">
        <f>CO141</f>
        <v>0.93135810512715278</v>
      </c>
      <c r="CO151" s="510"/>
      <c r="CP151" s="443">
        <f t="shared" si="52"/>
        <v>9637</v>
      </c>
      <c r="CQ151" s="443">
        <f t="shared" si="53"/>
        <v>4.3559999999999999</v>
      </c>
      <c r="CS151" s="536">
        <f t="shared" si="68"/>
        <v>7.4442486494967053</v>
      </c>
      <c r="CT151" s="439" t="s">
        <v>321</v>
      </c>
      <c r="CU151" s="504">
        <f>CV141</f>
        <v>0.93149067838270272</v>
      </c>
      <c r="CV151" s="510"/>
      <c r="CW151" s="443">
        <f t="shared" si="54"/>
        <v>9637</v>
      </c>
      <c r="CX151" s="443">
        <f t="shared" si="55"/>
        <v>4.3559999999999999</v>
      </c>
    </row>
    <row r="152" spans="1:102" ht="15" customHeight="1" thickBot="1">
      <c r="A152" s="436">
        <f t="shared" si="26"/>
        <v>2016</v>
      </c>
      <c r="B152" s="437">
        <f t="shared" si="26"/>
        <v>9613</v>
      </c>
      <c r="C152" s="545">
        <f t="shared" si="69"/>
        <v>7.4685132714963371</v>
      </c>
      <c r="D152" s="438">
        <f t="shared" si="27"/>
        <v>11</v>
      </c>
      <c r="E152" s="546">
        <f t="shared" si="70"/>
        <v>2.3978952727983707</v>
      </c>
      <c r="I152" s="443">
        <f t="shared" si="28"/>
        <v>9741</v>
      </c>
      <c r="J152" s="467">
        <f t="shared" si="29"/>
        <v>1.3315302194944347</v>
      </c>
      <c r="K152" s="443">
        <f t="shared" si="71"/>
        <v>16.384</v>
      </c>
      <c r="M152" s="536">
        <f t="shared" si="56"/>
        <v>7.5027382107548508</v>
      </c>
      <c r="N152" s="439" t="s">
        <v>322</v>
      </c>
      <c r="O152" s="548">
        <f>SUM(R142:R152)</f>
        <v>176.08799999999999</v>
      </c>
      <c r="P152" s="509"/>
      <c r="Q152" s="443">
        <f t="shared" si="30"/>
        <v>9732</v>
      </c>
      <c r="R152" s="443">
        <f t="shared" si="31"/>
        <v>14.161</v>
      </c>
      <c r="T152" s="536">
        <f t="shared" si="57"/>
        <v>7.4460014983241196</v>
      </c>
      <c r="U152" s="439" t="s">
        <v>322</v>
      </c>
      <c r="V152" s="548">
        <f>SUM(Y142:Y152)</f>
        <v>174.63500000000002</v>
      </c>
      <c r="W152" s="509"/>
      <c r="X152" s="443">
        <f t="shared" si="32"/>
        <v>9749</v>
      </c>
      <c r="Y152" s="443">
        <f t="shared" si="33"/>
        <v>18.495999999999999</v>
      </c>
      <c r="AA152" s="536">
        <f t="shared" si="58"/>
        <v>7.3858510781252091</v>
      </c>
      <c r="AB152" s="439" t="s">
        <v>322</v>
      </c>
      <c r="AC152" s="548">
        <f>SUM(AF142:AF152)</f>
        <v>175.42500000000001</v>
      </c>
      <c r="AD152" s="509"/>
      <c r="AE152" s="443">
        <f t="shared" si="34"/>
        <v>9774</v>
      </c>
      <c r="AF152" s="443">
        <f t="shared" si="35"/>
        <v>25.920999999999999</v>
      </c>
      <c r="AH152" s="536">
        <f t="shared" si="59"/>
        <v>7.4747721823978699</v>
      </c>
      <c r="AI152" s="439" t="s">
        <v>322</v>
      </c>
      <c r="AJ152" s="548">
        <f>SUM(AM142:AM152)</f>
        <v>175.66499999999999</v>
      </c>
      <c r="AK152" s="509"/>
      <c r="AL152" s="443">
        <f t="shared" si="36"/>
        <v>9740</v>
      </c>
      <c r="AM152" s="443">
        <f t="shared" si="37"/>
        <v>16.129000000000001</v>
      </c>
      <c r="AO152" s="536">
        <f t="shared" si="60"/>
        <v>7.4690838849212344</v>
      </c>
      <c r="AP152" s="439" t="s">
        <v>322</v>
      </c>
      <c r="AQ152" s="548">
        <f>SUM(AT142:AT152)</f>
        <v>174.62</v>
      </c>
      <c r="AR152" s="509"/>
      <c r="AS152" s="443">
        <f t="shared" si="38"/>
        <v>9741</v>
      </c>
      <c r="AT152" s="443">
        <f t="shared" si="39"/>
        <v>16.384</v>
      </c>
      <c r="AV152" s="536">
        <f t="shared" si="61"/>
        <v>7.4633630455200208</v>
      </c>
      <c r="AW152" s="439" t="s">
        <v>322</v>
      </c>
      <c r="AX152" s="548">
        <f>SUM(BA142:BA152)</f>
        <v>174.86900000000003</v>
      </c>
      <c r="AY152" s="509"/>
      <c r="AZ152" s="443">
        <f t="shared" si="40"/>
        <v>9743</v>
      </c>
      <c r="BA152" s="443">
        <f t="shared" si="41"/>
        <v>16.899999999999999</v>
      </c>
      <c r="BC152" s="536">
        <f t="shared" si="62"/>
        <v>7.4576092897156059</v>
      </c>
      <c r="BD152" s="439" t="s">
        <v>322</v>
      </c>
      <c r="BE152" s="548">
        <f>SUM(BH142:BH152)</f>
        <v>174.61599999999999</v>
      </c>
      <c r="BF152" s="509"/>
      <c r="BG152" s="443">
        <f t="shared" si="42"/>
        <v>9745</v>
      </c>
      <c r="BH152" s="443">
        <f t="shared" si="43"/>
        <v>17.423999999999999</v>
      </c>
      <c r="BJ152" s="536">
        <f t="shared" si="63"/>
        <v>7.4518222365279296</v>
      </c>
      <c r="BK152" s="439" t="s">
        <v>322</v>
      </c>
      <c r="BL152" s="548">
        <f>SUM(BO142:BO152)</f>
        <v>174.50599999999997</v>
      </c>
      <c r="BM152" s="509"/>
      <c r="BN152" s="443">
        <f t="shared" si="44"/>
        <v>9747</v>
      </c>
      <c r="BO152" s="443">
        <f t="shared" si="45"/>
        <v>17.956</v>
      </c>
      <c r="BQ152" s="536">
        <f t="shared" si="64"/>
        <v>7.4662275562154807</v>
      </c>
      <c r="BR152" s="439" t="s">
        <v>322</v>
      </c>
      <c r="BS152" s="548">
        <f>SUM(BV142:BV152)</f>
        <v>174.69399999999999</v>
      </c>
      <c r="BT152" s="509"/>
      <c r="BU152" s="443">
        <f t="shared" si="46"/>
        <v>9742</v>
      </c>
      <c r="BV152" s="443">
        <f t="shared" si="47"/>
        <v>16.640999999999998</v>
      </c>
      <c r="BX152" s="536">
        <f t="shared" si="65"/>
        <v>7.4667994750186022</v>
      </c>
      <c r="BY152" s="439" t="s">
        <v>322</v>
      </c>
      <c r="BZ152" s="548">
        <f>SUM(CC142:CC152)</f>
        <v>174.69399999999999</v>
      </c>
      <c r="CA152" s="509"/>
      <c r="CB152" s="443">
        <f t="shared" si="48"/>
        <v>9742</v>
      </c>
      <c r="CC152" s="443">
        <f t="shared" si="49"/>
        <v>16.640999999999998</v>
      </c>
      <c r="CE152" s="536">
        <f t="shared" si="66"/>
        <v>7.4673710669175595</v>
      </c>
      <c r="CF152" s="439" t="s">
        <v>322</v>
      </c>
      <c r="CG152" s="548">
        <f>SUM(CJ142:CJ152)</f>
        <v>174.77899999999997</v>
      </c>
      <c r="CH152" s="509"/>
      <c r="CI152" s="443">
        <f t="shared" si="50"/>
        <v>9742</v>
      </c>
      <c r="CJ152" s="443">
        <f t="shared" si="51"/>
        <v>16.640999999999998</v>
      </c>
      <c r="CL152" s="536">
        <f t="shared" si="67"/>
        <v>7.467942332285852</v>
      </c>
      <c r="CM152" s="439" t="s">
        <v>322</v>
      </c>
      <c r="CN152" s="548">
        <f>SUM(CQ142:CQ152)</f>
        <v>174.77899999999997</v>
      </c>
      <c r="CO152" s="509"/>
      <c r="CP152" s="443">
        <f t="shared" si="52"/>
        <v>9742</v>
      </c>
      <c r="CQ152" s="443">
        <f t="shared" si="53"/>
        <v>16.640999999999998</v>
      </c>
      <c r="CS152" s="536">
        <f t="shared" si="68"/>
        <v>7.4685132714963371</v>
      </c>
      <c r="CT152" s="439" t="s">
        <v>322</v>
      </c>
      <c r="CU152" s="548">
        <f>SUM(CX142:CX152)</f>
        <v>174.52199999999999</v>
      </c>
      <c r="CV152" s="509"/>
      <c r="CW152" s="443">
        <f t="shared" si="54"/>
        <v>9741</v>
      </c>
      <c r="CX152" s="443">
        <f t="shared" si="55"/>
        <v>16.384</v>
      </c>
    </row>
    <row r="153" spans="1:102" ht="15" customHeight="1" thickTop="1">
      <c r="A153" s="458">
        <f t="shared" si="26"/>
        <v>2017</v>
      </c>
      <c r="B153" s="459">
        <f>ROUND($G$147+$G$150*D153^$G$148,$G$1)</f>
        <v>9843</v>
      </c>
      <c r="C153" s="549"/>
      <c r="D153" s="550">
        <f t="shared" si="27"/>
        <v>12</v>
      </c>
      <c r="E153" s="551"/>
      <c r="F153" s="2314" t="s">
        <v>276</v>
      </c>
      <c r="G153" s="2315"/>
      <c r="H153" s="514">
        <f>I141</f>
        <v>0.93149067838270272</v>
      </c>
      <c r="I153" s="464">
        <f t="shared" si="28"/>
        <v>9843</v>
      </c>
      <c r="J153" s="463"/>
      <c r="K153" s="464"/>
      <c r="M153" s="552"/>
      <c r="N153" s="553"/>
      <c r="O153" s="554"/>
      <c r="P153" s="331"/>
      <c r="Q153" s="555"/>
      <c r="R153" s="556"/>
      <c r="T153" s="552"/>
      <c r="U153" s="553"/>
      <c r="V153" s="554"/>
      <c r="W153" s="331"/>
      <c r="X153" s="555"/>
      <c r="Y153" s="556"/>
      <c r="AA153" s="552"/>
      <c r="AB153" s="553"/>
      <c r="AC153" s="554"/>
      <c r="AD153" s="331"/>
      <c r="AE153" s="555"/>
      <c r="AF153" s="556"/>
      <c r="AH153" s="552"/>
      <c r="AI153" s="553"/>
      <c r="AJ153" s="554"/>
      <c r="AK153" s="331"/>
      <c r="AL153" s="555"/>
      <c r="AM153" s="556"/>
      <c r="AO153" s="552"/>
      <c r="AP153" s="553"/>
      <c r="AQ153" s="554"/>
      <c r="AR153" s="331"/>
      <c r="AS153" s="555"/>
      <c r="AT153" s="556"/>
      <c r="AV153" s="552"/>
      <c r="AW153" s="553"/>
      <c r="AX153" s="554"/>
      <c r="AY153" s="331"/>
      <c r="AZ153" s="555"/>
      <c r="BA153" s="556"/>
      <c r="BC153" s="552"/>
      <c r="BD153" s="553"/>
      <c r="BE153" s="554"/>
      <c r="BF153" s="331"/>
      <c r="BG153" s="555"/>
      <c r="BH153" s="556"/>
      <c r="BJ153" s="552"/>
      <c r="BK153" s="553"/>
      <c r="BL153" s="554"/>
      <c r="BM153" s="331"/>
      <c r="BN153" s="555"/>
      <c r="BO153" s="556"/>
      <c r="BQ153" s="552"/>
      <c r="BR153" s="553"/>
      <c r="BS153" s="554"/>
      <c r="BT153" s="331"/>
      <c r="BU153" s="555"/>
      <c r="BV153" s="556"/>
      <c r="BX153" s="552"/>
      <c r="BY153" s="553"/>
      <c r="BZ153" s="554"/>
      <c r="CA153" s="331"/>
      <c r="CB153" s="555"/>
      <c r="CC153" s="556"/>
      <c r="CE153" s="552"/>
      <c r="CF153" s="553"/>
      <c r="CG153" s="554"/>
      <c r="CH153" s="331"/>
      <c r="CI153" s="555"/>
      <c r="CJ153" s="556"/>
      <c r="CL153" s="552"/>
      <c r="CM153" s="553"/>
      <c r="CN153" s="554"/>
      <c r="CO153" s="331"/>
      <c r="CP153" s="555"/>
      <c r="CQ153" s="556"/>
      <c r="CS153" s="552"/>
      <c r="CT153" s="553"/>
      <c r="CU153" s="554"/>
      <c r="CV153" s="331"/>
      <c r="CW153" s="555"/>
      <c r="CX153" s="556"/>
    </row>
    <row r="154" spans="1:102" ht="15" customHeight="1">
      <c r="A154" s="436">
        <f t="shared" si="26"/>
        <v>2018</v>
      </c>
      <c r="B154" s="437">
        <f>ROUND($G$147+$G$150*D154^$G$148,$G$1)</f>
        <v>9940</v>
      </c>
      <c r="C154" s="545"/>
      <c r="D154" s="438">
        <f t="shared" si="27"/>
        <v>13</v>
      </c>
      <c r="E154" s="546"/>
      <c r="F154" s="2318" t="s">
        <v>323</v>
      </c>
      <c r="G154" s="2320"/>
      <c r="H154" s="448">
        <f>SUM(K142:K152)</f>
        <v>174.52199999999999</v>
      </c>
      <c r="I154" s="443">
        <f t="shared" si="28"/>
        <v>9940</v>
      </c>
      <c r="J154" s="467"/>
      <c r="K154" s="443"/>
      <c r="M154" s="557"/>
      <c r="N154" s="439"/>
      <c r="O154" s="548"/>
      <c r="P154" s="451"/>
      <c r="Q154" s="493"/>
      <c r="R154" s="492"/>
      <c r="T154" s="557"/>
      <c r="U154" s="439"/>
      <c r="V154" s="548"/>
      <c r="W154" s="451"/>
      <c r="X154" s="493"/>
      <c r="Y154" s="492"/>
      <c r="AA154" s="557"/>
      <c r="AB154" s="439"/>
      <c r="AC154" s="548"/>
      <c r="AD154" s="451"/>
      <c r="AE154" s="493"/>
      <c r="AF154" s="492"/>
      <c r="AH154" s="557"/>
      <c r="AI154" s="439"/>
      <c r="AJ154" s="548"/>
      <c r="AK154" s="451"/>
      <c r="AL154" s="493"/>
      <c r="AM154" s="492"/>
      <c r="AO154" s="557"/>
      <c r="AP154" s="439"/>
      <c r="AQ154" s="548"/>
      <c r="AR154" s="451"/>
      <c r="AS154" s="493"/>
      <c r="AT154" s="492"/>
      <c r="AV154" s="557"/>
      <c r="AW154" s="439"/>
      <c r="AX154" s="548"/>
      <c r="AY154" s="451"/>
      <c r="AZ154" s="493"/>
      <c r="BA154" s="492"/>
      <c r="BC154" s="557"/>
      <c r="BD154" s="439"/>
      <c r="BE154" s="548"/>
      <c r="BF154" s="451"/>
      <c r="BG154" s="493"/>
      <c r="BH154" s="492"/>
      <c r="BJ154" s="557"/>
      <c r="BK154" s="439"/>
      <c r="BL154" s="548"/>
      <c r="BM154" s="451"/>
      <c r="BN154" s="493"/>
      <c r="BO154" s="492"/>
      <c r="BQ154" s="557"/>
      <c r="BR154" s="439"/>
      <c r="BS154" s="548"/>
      <c r="BT154" s="451"/>
      <c r="BU154" s="493"/>
      <c r="BV154" s="492"/>
      <c r="BX154" s="557"/>
      <c r="BY154" s="439"/>
      <c r="BZ154" s="548"/>
      <c r="CA154" s="451"/>
      <c r="CB154" s="493"/>
      <c r="CC154" s="492"/>
      <c r="CE154" s="557"/>
      <c r="CF154" s="439"/>
      <c r="CG154" s="548"/>
      <c r="CH154" s="451"/>
      <c r="CI154" s="493"/>
      <c r="CJ154" s="492"/>
      <c r="CL154" s="557"/>
      <c r="CM154" s="439"/>
      <c r="CN154" s="548"/>
      <c r="CO154" s="451"/>
      <c r="CP154" s="493"/>
      <c r="CQ154" s="492"/>
      <c r="CS154" s="557"/>
      <c r="CT154" s="439"/>
      <c r="CU154" s="548"/>
      <c r="CV154" s="451"/>
      <c r="CW154" s="493"/>
      <c r="CX154" s="492"/>
    </row>
    <row r="155" spans="1:102" ht="15" customHeight="1">
      <c r="A155" s="436">
        <f t="shared" si="26"/>
        <v>2019</v>
      </c>
      <c r="B155" s="437">
        <f t="shared" ref="B155:B174" si="72">ROUND($G$147+$G$150*D155^$G$148,$G$1)</f>
        <v>10035</v>
      </c>
      <c r="C155" s="545"/>
      <c r="D155" s="438">
        <f t="shared" si="27"/>
        <v>14</v>
      </c>
      <c r="E155" s="546"/>
      <c r="F155" s="2318" t="s">
        <v>324</v>
      </c>
      <c r="G155" s="2320"/>
      <c r="H155" s="449">
        <f>SUM(J142:J152)/D152</f>
        <v>1.1810948475932566</v>
      </c>
      <c r="I155" s="443">
        <f t="shared" si="28"/>
        <v>10035</v>
      </c>
      <c r="J155" s="467"/>
      <c r="K155" s="443"/>
      <c r="M155" s="505" t="s">
        <v>325</v>
      </c>
      <c r="N155" s="505">
        <f>MIN(B142:B152)</f>
        <v>8346</v>
      </c>
      <c r="O155" s="505"/>
      <c r="P155" s="505"/>
      <c r="Q155" s="505"/>
      <c r="R155" s="505"/>
      <c r="S155" s="505"/>
      <c r="T155" s="505" t="s">
        <v>325</v>
      </c>
      <c r="U155" s="505">
        <f>N155</f>
        <v>8346</v>
      </c>
      <c r="V155" s="505"/>
      <c r="W155" s="505"/>
      <c r="X155" s="505"/>
      <c r="Y155" s="505"/>
      <c r="Z155" s="505"/>
      <c r="AA155" s="505" t="s">
        <v>325</v>
      </c>
      <c r="AB155" s="505">
        <f>U155</f>
        <v>8346</v>
      </c>
      <c r="AH155" s="505" t="s">
        <v>325</v>
      </c>
      <c r="AI155" s="505">
        <f>AB155</f>
        <v>8346</v>
      </c>
      <c r="AO155" s="505" t="s">
        <v>325</v>
      </c>
      <c r="AP155" s="505">
        <f>AI155</f>
        <v>8346</v>
      </c>
      <c r="AV155" s="505" t="s">
        <v>325</v>
      </c>
      <c r="AW155" s="505">
        <f>AP155</f>
        <v>8346</v>
      </c>
      <c r="BC155" s="505" t="s">
        <v>325</v>
      </c>
      <c r="BD155" s="505">
        <f>AW155</f>
        <v>8346</v>
      </c>
      <c r="BJ155" s="505" t="s">
        <v>325</v>
      </c>
      <c r="BK155" s="505">
        <f>BD155</f>
        <v>8346</v>
      </c>
      <c r="BQ155" s="505" t="s">
        <v>325</v>
      </c>
      <c r="BR155" s="505">
        <f>BK155</f>
        <v>8346</v>
      </c>
      <c r="BX155" s="505" t="s">
        <v>325</v>
      </c>
      <c r="BY155" s="505">
        <f>BR155</f>
        <v>8346</v>
      </c>
      <c r="CE155" s="505" t="s">
        <v>325</v>
      </c>
      <c r="CF155" s="505">
        <f>BY155</f>
        <v>8346</v>
      </c>
      <c r="CL155" s="505" t="s">
        <v>325</v>
      </c>
      <c r="CM155" s="505">
        <f>CF155</f>
        <v>8346</v>
      </c>
      <c r="CS155" s="505" t="s">
        <v>325</v>
      </c>
      <c r="CT155" s="505">
        <f>CM155</f>
        <v>8346</v>
      </c>
    </row>
    <row r="156" spans="1:102" ht="15" customHeight="1">
      <c r="A156" s="436">
        <f t="shared" si="26"/>
        <v>2020</v>
      </c>
      <c r="B156" s="437">
        <f t="shared" si="72"/>
        <v>10127</v>
      </c>
      <c r="C156" s="545"/>
      <c r="D156" s="438">
        <f t="shared" si="27"/>
        <v>15</v>
      </c>
      <c r="E156" s="546"/>
      <c r="I156" s="443">
        <f t="shared" si="28"/>
        <v>10127</v>
      </c>
      <c r="J156" s="467"/>
      <c r="K156" s="443"/>
      <c r="M156" s="505" t="s">
        <v>326</v>
      </c>
      <c r="N156" s="505">
        <v>3</v>
      </c>
      <c r="O156" s="505"/>
      <c r="P156" s="505"/>
      <c r="Q156" s="505"/>
      <c r="R156" s="505"/>
      <c r="S156" s="505"/>
      <c r="T156" s="505" t="s">
        <v>326</v>
      </c>
      <c r="U156" s="505">
        <f>N156</f>
        <v>3</v>
      </c>
      <c r="V156" s="505"/>
      <c r="W156" s="505"/>
      <c r="X156" s="505"/>
      <c r="Y156" s="505"/>
      <c r="Z156" s="505"/>
      <c r="AA156" s="505" t="s">
        <v>326</v>
      </c>
      <c r="AB156" s="505">
        <f>U156</f>
        <v>3</v>
      </c>
      <c r="AH156" s="505" t="s">
        <v>326</v>
      </c>
      <c r="AI156" s="505">
        <f>AB156</f>
        <v>3</v>
      </c>
      <c r="AO156" s="505" t="s">
        <v>326</v>
      </c>
      <c r="AP156" s="505">
        <f>AI156</f>
        <v>3</v>
      </c>
      <c r="AV156" s="505" t="s">
        <v>326</v>
      </c>
      <c r="AW156" s="505">
        <f>AP156</f>
        <v>3</v>
      </c>
      <c r="BC156" s="505" t="s">
        <v>326</v>
      </c>
      <c r="BD156" s="505">
        <f>AW156</f>
        <v>3</v>
      </c>
      <c r="BJ156" s="505" t="s">
        <v>326</v>
      </c>
      <c r="BK156" s="505">
        <f>BD156</f>
        <v>3</v>
      </c>
      <c r="BQ156" s="505" t="s">
        <v>326</v>
      </c>
      <c r="BR156" s="505">
        <f>BK156</f>
        <v>3</v>
      </c>
      <c r="BX156" s="505" t="s">
        <v>326</v>
      </c>
      <c r="BY156" s="505">
        <f>BR156</f>
        <v>3</v>
      </c>
      <c r="CE156" s="505" t="s">
        <v>326</v>
      </c>
      <c r="CF156" s="505">
        <f>BY156</f>
        <v>3</v>
      </c>
      <c r="CL156" s="505" t="s">
        <v>326</v>
      </c>
      <c r="CM156" s="505">
        <f>CF156</f>
        <v>3</v>
      </c>
      <c r="CS156" s="505" t="s">
        <v>326</v>
      </c>
      <c r="CT156" s="505">
        <f>CM156</f>
        <v>3</v>
      </c>
    </row>
    <row r="157" spans="1:102" ht="15" customHeight="1">
      <c r="A157" s="436">
        <f t="shared" si="26"/>
        <v>2021</v>
      </c>
      <c r="B157" s="437">
        <f t="shared" si="72"/>
        <v>10217</v>
      </c>
      <c r="C157" s="545"/>
      <c r="D157" s="438">
        <f t="shared" si="27"/>
        <v>16</v>
      </c>
      <c r="E157" s="546"/>
      <c r="F157" s="519"/>
      <c r="G157" s="451"/>
      <c r="H157" s="558"/>
      <c r="I157" s="443">
        <f t="shared" si="28"/>
        <v>10217</v>
      </c>
      <c r="J157" s="467"/>
      <c r="K157" s="443"/>
      <c r="M157" s="505" t="s">
        <v>328</v>
      </c>
      <c r="N157" s="559">
        <v>150</v>
      </c>
      <c r="O157" s="505"/>
      <c r="P157" s="505"/>
      <c r="Q157" s="505"/>
      <c r="R157" s="505"/>
      <c r="S157" s="505"/>
      <c r="T157" s="505" t="s">
        <v>328</v>
      </c>
      <c r="U157" s="505">
        <f>N157</f>
        <v>150</v>
      </c>
      <c r="V157" s="505"/>
      <c r="W157" s="505"/>
      <c r="X157" s="505"/>
      <c r="Y157" s="505"/>
      <c r="Z157" s="505"/>
      <c r="AA157" s="505" t="s">
        <v>328</v>
      </c>
      <c r="AB157" s="505">
        <f>U157</f>
        <v>150</v>
      </c>
      <c r="AH157" s="505" t="s">
        <v>328</v>
      </c>
      <c r="AI157" s="505">
        <v>500</v>
      </c>
      <c r="AO157" s="505" t="s">
        <v>328</v>
      </c>
      <c r="AP157" s="505">
        <f>AI157</f>
        <v>500</v>
      </c>
      <c r="AV157" s="505" t="s">
        <v>328</v>
      </c>
      <c r="AW157" s="505">
        <f>AP157</f>
        <v>500</v>
      </c>
      <c r="BC157" s="505" t="s">
        <v>328</v>
      </c>
      <c r="BD157" s="505">
        <f>AW157</f>
        <v>500</v>
      </c>
      <c r="BJ157" s="505" t="s">
        <v>328</v>
      </c>
      <c r="BK157" s="505">
        <f>BD157</f>
        <v>500</v>
      </c>
      <c r="BQ157" s="505" t="s">
        <v>328</v>
      </c>
      <c r="BR157" s="505">
        <f>BK157</f>
        <v>500</v>
      </c>
      <c r="BX157" s="505" t="s">
        <v>328</v>
      </c>
      <c r="BY157" s="505">
        <f>BR157</f>
        <v>500</v>
      </c>
      <c r="CE157" s="505" t="s">
        <v>328</v>
      </c>
      <c r="CF157" s="505">
        <f>BY157</f>
        <v>500</v>
      </c>
      <c r="CL157" s="505" t="s">
        <v>328</v>
      </c>
      <c r="CM157" s="505">
        <f>CF157</f>
        <v>500</v>
      </c>
      <c r="CS157" s="505" t="s">
        <v>328</v>
      </c>
      <c r="CT157" s="505">
        <f>CM157</f>
        <v>500</v>
      </c>
    </row>
    <row r="158" spans="1:102" ht="15" customHeight="1" thickBot="1">
      <c r="A158" s="436">
        <f t="shared" ref="A158:A174" si="73">A120</f>
        <v>2022</v>
      </c>
      <c r="B158" s="437">
        <f t="shared" si="72"/>
        <v>10304</v>
      </c>
      <c r="C158" s="545"/>
      <c r="D158" s="438">
        <f t="shared" si="27"/>
        <v>17</v>
      </c>
      <c r="E158" s="546"/>
      <c r="F158" s="560" t="s">
        <v>331</v>
      </c>
      <c r="G158" s="561" t="s">
        <v>332</v>
      </c>
      <c r="H158" s="562" t="s">
        <v>277</v>
      </c>
      <c r="I158" s="443">
        <f t="shared" si="28"/>
        <v>10304</v>
      </c>
      <c r="J158" s="467"/>
      <c r="K158" s="443"/>
      <c r="M158" s="557"/>
      <c r="N158" s="451"/>
      <c r="O158" s="451"/>
      <c r="P158" s="451"/>
      <c r="Q158" s="493"/>
      <c r="R158" s="492"/>
      <c r="T158" s="557"/>
      <c r="U158" s="451"/>
      <c r="V158" s="451"/>
      <c r="W158" s="451"/>
      <c r="X158" s="493"/>
      <c r="Y158" s="492"/>
      <c r="AA158" s="557"/>
      <c r="AB158" s="451"/>
      <c r="AC158" s="451"/>
      <c r="AD158" s="451"/>
      <c r="AE158" s="493"/>
      <c r="AF158" s="492"/>
      <c r="AH158" s="557"/>
      <c r="AI158" s="451"/>
      <c r="AJ158" s="451"/>
      <c r="AK158" s="451"/>
      <c r="AL158" s="493"/>
      <c r="AM158" s="492"/>
      <c r="AO158" s="557"/>
      <c r="AP158" s="451"/>
      <c r="AQ158" s="451"/>
      <c r="AR158" s="451"/>
      <c r="AS158" s="493"/>
      <c r="AT158" s="492"/>
      <c r="AV158" s="557"/>
      <c r="AW158" s="451"/>
      <c r="AX158" s="451"/>
      <c r="AY158" s="451"/>
      <c r="AZ158" s="493"/>
      <c r="BA158" s="492"/>
      <c r="BC158" s="557"/>
      <c r="BD158" s="451"/>
      <c r="BE158" s="451"/>
      <c r="BF158" s="451"/>
      <c r="BG158" s="493"/>
      <c r="BH158" s="492"/>
      <c r="BJ158" s="557"/>
      <c r="BK158" s="451"/>
      <c r="BL158" s="451"/>
      <c r="BM158" s="451"/>
      <c r="BN158" s="493"/>
      <c r="BO158" s="492"/>
      <c r="BQ158" s="557"/>
      <c r="BR158" s="451"/>
      <c r="BS158" s="451"/>
      <c r="BT158" s="451"/>
      <c r="BU158" s="493"/>
      <c r="BV158" s="492"/>
      <c r="BX158" s="557"/>
      <c r="BY158" s="451"/>
      <c r="BZ158" s="451"/>
      <c r="CA158" s="451"/>
      <c r="CB158" s="493"/>
      <c r="CC158" s="492"/>
      <c r="CE158" s="557"/>
      <c r="CF158" s="451"/>
      <c r="CG158" s="451"/>
      <c r="CH158" s="451"/>
      <c r="CI158" s="493"/>
      <c r="CJ158" s="492"/>
      <c r="CL158" s="557"/>
      <c r="CM158" s="451"/>
      <c r="CN158" s="451"/>
      <c r="CO158" s="451"/>
      <c r="CP158" s="493"/>
      <c r="CQ158" s="492"/>
      <c r="CS158" s="557"/>
      <c r="CT158" s="451"/>
      <c r="CU158" s="451"/>
      <c r="CV158" s="451"/>
      <c r="CW158" s="493"/>
      <c r="CX158" s="492"/>
    </row>
    <row r="159" spans="1:102" ht="15" customHeight="1" thickTop="1">
      <c r="A159" s="436">
        <f t="shared" si="73"/>
        <v>2023</v>
      </c>
      <c r="B159" s="437">
        <f t="shared" si="72"/>
        <v>10390</v>
      </c>
      <c r="C159" s="545"/>
      <c r="D159" s="438">
        <f t="shared" si="27"/>
        <v>18</v>
      </c>
      <c r="E159" s="546"/>
      <c r="F159" s="505">
        <v>7800</v>
      </c>
      <c r="G159" s="563">
        <f>IFERROR(O151,0)</f>
        <v>0.9311398963869093</v>
      </c>
      <c r="H159" s="564">
        <f>O152</f>
        <v>176.08799999999999</v>
      </c>
      <c r="I159" s="443">
        <f t="shared" si="28"/>
        <v>10390</v>
      </c>
      <c r="J159" s="467"/>
      <c r="K159" s="443"/>
      <c r="L159" s="326">
        <f>RANK(G159,$G$159:$G$171)</f>
        <v>11</v>
      </c>
      <c r="M159" s="557"/>
      <c r="N159" s="451"/>
      <c r="O159" s="451"/>
      <c r="P159" s="451"/>
      <c r="Q159" s="493"/>
      <c r="R159" s="492"/>
      <c r="T159" s="557"/>
      <c r="U159" s="451"/>
      <c r="V159" s="451"/>
      <c r="W159" s="451"/>
      <c r="X159" s="493"/>
      <c r="Y159" s="492"/>
      <c r="AA159" s="557"/>
      <c r="AB159" s="451"/>
      <c r="AC159" s="451"/>
      <c r="AD159" s="451"/>
      <c r="AE159" s="493"/>
      <c r="AF159" s="492"/>
      <c r="AH159" s="557"/>
      <c r="AI159" s="451"/>
      <c r="AJ159" s="451"/>
      <c r="AK159" s="451"/>
      <c r="AL159" s="493"/>
      <c r="AM159" s="492"/>
      <c r="AO159" s="557"/>
      <c r="AP159" s="451"/>
      <c r="AQ159" s="451"/>
      <c r="AR159" s="451"/>
      <c r="AS159" s="493"/>
      <c r="AT159" s="492"/>
      <c r="AV159" s="557"/>
      <c r="AW159" s="451"/>
      <c r="AX159" s="451"/>
      <c r="AY159" s="451"/>
      <c r="AZ159" s="493"/>
      <c r="BA159" s="492"/>
      <c r="BC159" s="557"/>
      <c r="BD159" s="451"/>
      <c r="BE159" s="451"/>
      <c r="BF159" s="451"/>
      <c r="BG159" s="493"/>
      <c r="BH159" s="492"/>
      <c r="BJ159" s="557"/>
      <c r="BK159" s="451"/>
      <c r="BL159" s="451"/>
      <c r="BM159" s="451"/>
      <c r="BN159" s="493"/>
      <c r="BO159" s="492"/>
      <c r="BQ159" s="557"/>
      <c r="BR159" s="451"/>
      <c r="BS159" s="451"/>
      <c r="BT159" s="451"/>
      <c r="BU159" s="493"/>
      <c r="BV159" s="492"/>
      <c r="BX159" s="557"/>
      <c r="BY159" s="451"/>
      <c r="BZ159" s="451"/>
      <c r="CA159" s="451"/>
      <c r="CB159" s="493"/>
      <c r="CC159" s="492"/>
      <c r="CE159" s="557"/>
      <c r="CF159" s="451"/>
      <c r="CG159" s="451"/>
      <c r="CH159" s="451"/>
      <c r="CI159" s="493"/>
      <c r="CJ159" s="492"/>
      <c r="CL159" s="557"/>
      <c r="CM159" s="451"/>
      <c r="CN159" s="451"/>
      <c r="CO159" s="451"/>
      <c r="CP159" s="493"/>
      <c r="CQ159" s="492"/>
      <c r="CS159" s="557"/>
      <c r="CT159" s="451"/>
      <c r="CU159" s="451"/>
      <c r="CV159" s="451"/>
      <c r="CW159" s="493"/>
      <c r="CX159" s="492"/>
    </row>
    <row r="160" spans="1:102" s="451" customFormat="1" ht="15" customHeight="1">
      <c r="A160" s="436">
        <f t="shared" si="73"/>
        <v>2024</v>
      </c>
      <c r="B160" s="437">
        <f t="shared" si="72"/>
        <v>10473</v>
      </c>
      <c r="C160" s="545"/>
      <c r="D160" s="438">
        <f t="shared" si="27"/>
        <v>19</v>
      </c>
      <c r="E160" s="546"/>
      <c r="F160" s="505">
        <v>7900</v>
      </c>
      <c r="G160" s="565">
        <f>IFERROR(V151,0)</f>
        <v>0.9312060752107697</v>
      </c>
      <c r="H160" s="564">
        <f>V152</f>
        <v>174.63500000000002</v>
      </c>
      <c r="I160" s="443">
        <f t="shared" si="28"/>
        <v>10473</v>
      </c>
      <c r="J160" s="467"/>
      <c r="K160" s="443"/>
      <c r="L160" s="326">
        <f t="shared" ref="L160:L171" si="74">RANK(G160,$G$159:$G$171)</f>
        <v>10</v>
      </c>
      <c r="M160" s="557"/>
      <c r="P160" s="439"/>
      <c r="Q160" s="493"/>
      <c r="R160" s="492"/>
      <c r="T160" s="557"/>
      <c r="W160" s="439"/>
      <c r="X160" s="493"/>
      <c r="Y160" s="492"/>
      <c r="AA160" s="557"/>
      <c r="AD160" s="439"/>
      <c r="AE160" s="493"/>
      <c r="AF160" s="492"/>
      <c r="AH160" s="557"/>
      <c r="AK160" s="439"/>
      <c r="AL160" s="493"/>
      <c r="AM160" s="492"/>
      <c r="AO160" s="557"/>
      <c r="AR160" s="439"/>
      <c r="AS160" s="493"/>
      <c r="AT160" s="492"/>
      <c r="AV160" s="557"/>
      <c r="AY160" s="439"/>
      <c r="AZ160" s="493"/>
      <c r="BA160" s="492"/>
      <c r="BC160" s="557"/>
      <c r="BF160" s="439"/>
      <c r="BG160" s="493"/>
      <c r="BH160" s="492"/>
      <c r="BJ160" s="557"/>
      <c r="BM160" s="439"/>
      <c r="BN160" s="493"/>
      <c r="BO160" s="492"/>
      <c r="BQ160" s="557"/>
      <c r="BT160" s="439"/>
      <c r="BU160" s="493"/>
      <c r="BV160" s="492"/>
      <c r="BX160" s="557"/>
      <c r="CA160" s="439"/>
      <c r="CB160" s="493"/>
      <c r="CC160" s="492"/>
      <c r="CE160" s="557"/>
      <c r="CH160" s="439"/>
      <c r="CI160" s="493"/>
      <c r="CJ160" s="492"/>
      <c r="CL160" s="557"/>
      <c r="CO160" s="439"/>
      <c r="CP160" s="493"/>
      <c r="CQ160" s="492"/>
      <c r="CS160" s="557"/>
      <c r="CV160" s="439"/>
      <c r="CW160" s="493"/>
      <c r="CX160" s="492"/>
    </row>
    <row r="161" spans="1:102" ht="15" customHeight="1">
      <c r="A161" s="436">
        <f t="shared" si="73"/>
        <v>2025</v>
      </c>
      <c r="B161" s="437">
        <f t="shared" si="72"/>
        <v>10555</v>
      </c>
      <c r="C161" s="545"/>
      <c r="D161" s="438">
        <f t="shared" si="27"/>
        <v>20</v>
      </c>
      <c r="E161" s="546"/>
      <c r="F161" s="505">
        <v>8000</v>
      </c>
      <c r="G161" s="565">
        <f>IFERROR(AC151,0)</f>
        <v>0.93026373859508571</v>
      </c>
      <c r="H161" s="505">
        <f>AC152</f>
        <v>175.42500000000001</v>
      </c>
      <c r="I161" s="443">
        <f t="shared" si="28"/>
        <v>10555</v>
      </c>
      <c r="J161" s="467"/>
      <c r="K161" s="443"/>
      <c r="L161" s="326">
        <f t="shared" si="74"/>
        <v>13</v>
      </c>
      <c r="M161" s="557"/>
      <c r="N161" s="451"/>
      <c r="O161" s="451"/>
      <c r="P161" s="439"/>
      <c r="Q161" s="493"/>
      <c r="R161" s="492"/>
      <c r="T161" s="557"/>
      <c r="U161" s="451"/>
      <c r="V161" s="451"/>
      <c r="W161" s="439"/>
      <c r="X161" s="493"/>
      <c r="Y161" s="492"/>
      <c r="AA161" s="557"/>
      <c r="AB161" s="451"/>
      <c r="AC161" s="451"/>
      <c r="AD161" s="439"/>
      <c r="AE161" s="493"/>
      <c r="AF161" s="492"/>
      <c r="AH161" s="557"/>
      <c r="AI161" s="451"/>
      <c r="AJ161" s="451"/>
      <c r="AK161" s="439"/>
      <c r="AL161" s="493"/>
      <c r="AM161" s="492"/>
      <c r="AO161" s="557"/>
      <c r="AP161" s="451"/>
      <c r="AQ161" s="451"/>
      <c r="AR161" s="439"/>
      <c r="AS161" s="493"/>
      <c r="AT161" s="492"/>
      <c r="AV161" s="557"/>
      <c r="AW161" s="451"/>
      <c r="AX161" s="451"/>
      <c r="AY161" s="439"/>
      <c r="AZ161" s="493"/>
      <c r="BA161" s="492"/>
      <c r="BC161" s="557"/>
      <c r="BD161" s="451"/>
      <c r="BE161" s="451"/>
      <c r="BF161" s="439"/>
      <c r="BG161" s="493"/>
      <c r="BH161" s="492"/>
      <c r="BJ161" s="557"/>
      <c r="BK161" s="451"/>
      <c r="BL161" s="451"/>
      <c r="BM161" s="439"/>
      <c r="BN161" s="493"/>
      <c r="BO161" s="492"/>
      <c r="BQ161" s="557"/>
      <c r="BR161" s="451"/>
      <c r="BS161" s="451"/>
      <c r="BT161" s="439"/>
      <c r="BU161" s="493"/>
      <c r="BV161" s="492"/>
      <c r="BX161" s="557"/>
      <c r="BY161" s="451"/>
      <c r="BZ161" s="451"/>
      <c r="CA161" s="439"/>
      <c r="CB161" s="493"/>
      <c r="CC161" s="492"/>
      <c r="CE161" s="557"/>
      <c r="CF161" s="451"/>
      <c r="CG161" s="451"/>
      <c r="CH161" s="439"/>
      <c r="CI161" s="493"/>
      <c r="CJ161" s="492"/>
      <c r="CL161" s="557"/>
      <c r="CM161" s="451"/>
      <c r="CN161" s="451"/>
      <c r="CO161" s="439"/>
      <c r="CP161" s="493"/>
      <c r="CQ161" s="492"/>
      <c r="CS161" s="557"/>
      <c r="CT161" s="451"/>
      <c r="CU161" s="451"/>
      <c r="CV161" s="439"/>
      <c r="CW161" s="493"/>
      <c r="CX161" s="492"/>
    </row>
    <row r="162" spans="1:102" s="451" customFormat="1" ht="15" customHeight="1">
      <c r="A162" s="436">
        <f t="shared" si="73"/>
        <v>2026</v>
      </c>
      <c r="B162" s="437">
        <f t="shared" si="72"/>
        <v>10635</v>
      </c>
      <c r="C162" s="545"/>
      <c r="D162" s="438">
        <f t="shared" si="27"/>
        <v>21</v>
      </c>
      <c r="E162" s="546"/>
      <c r="F162" s="505">
        <v>7850</v>
      </c>
      <c r="G162" s="565">
        <f>IFERROR(AJ151,0)</f>
        <v>0.93106911331781739</v>
      </c>
      <c r="H162" s="505">
        <f>AJ152</f>
        <v>175.66499999999999</v>
      </c>
      <c r="I162" s="443">
        <f t="shared" si="28"/>
        <v>10635</v>
      </c>
      <c r="J162" s="467"/>
      <c r="K162" s="443"/>
      <c r="L162" s="326">
        <f t="shared" si="74"/>
        <v>12</v>
      </c>
      <c r="M162" s="557"/>
      <c r="Q162" s="493"/>
      <c r="R162" s="492"/>
      <c r="T162" s="557"/>
      <c r="X162" s="493"/>
      <c r="Y162" s="492"/>
      <c r="AA162" s="557"/>
      <c r="AE162" s="493"/>
      <c r="AF162" s="492"/>
      <c r="AH162" s="557"/>
      <c r="AL162" s="493"/>
      <c r="AM162" s="492"/>
      <c r="AO162" s="557"/>
      <c r="AS162" s="493"/>
      <c r="AT162" s="492"/>
      <c r="AV162" s="557"/>
      <c r="AZ162" s="493"/>
      <c r="BA162" s="492"/>
      <c r="BC162" s="557"/>
      <c r="BG162" s="493"/>
      <c r="BH162" s="492"/>
      <c r="BJ162" s="557"/>
      <c r="BN162" s="493"/>
      <c r="BO162" s="492"/>
      <c r="BQ162" s="557"/>
      <c r="BU162" s="493"/>
      <c r="BV162" s="492"/>
      <c r="BX162" s="557"/>
      <c r="CB162" s="493"/>
      <c r="CC162" s="492"/>
      <c r="CE162" s="557"/>
      <c r="CI162" s="493"/>
      <c r="CJ162" s="492"/>
      <c r="CL162" s="557"/>
      <c r="CP162" s="493"/>
      <c r="CQ162" s="492"/>
      <c r="CS162" s="557"/>
      <c r="CW162" s="493"/>
      <c r="CX162" s="492"/>
    </row>
    <row r="163" spans="1:102" s="451" customFormat="1" ht="15" customHeight="1">
      <c r="A163" s="436">
        <f t="shared" si="73"/>
        <v>2027</v>
      </c>
      <c r="B163" s="437">
        <f t="shared" si="72"/>
        <v>10714</v>
      </c>
      <c r="C163" s="545"/>
      <c r="D163" s="438">
        <f t="shared" si="27"/>
        <v>22</v>
      </c>
      <c r="E163" s="546"/>
      <c r="F163" s="505">
        <v>7860</v>
      </c>
      <c r="G163" s="565">
        <f>IFERROR(AQ151,0)</f>
        <v>0.93144311681214564</v>
      </c>
      <c r="H163" s="505">
        <f>AQ152</f>
        <v>174.62</v>
      </c>
      <c r="I163" s="443">
        <f t="shared" si="28"/>
        <v>10714</v>
      </c>
      <c r="J163" s="467"/>
      <c r="K163" s="443"/>
      <c r="L163" s="326">
        <f t="shared" si="74"/>
        <v>2</v>
      </c>
      <c r="M163" s="557"/>
      <c r="N163" s="538"/>
      <c r="O163" s="538"/>
      <c r="P163" s="566"/>
      <c r="Q163" s="493"/>
      <c r="R163" s="492"/>
      <c r="T163" s="557"/>
      <c r="X163" s="493"/>
      <c r="Y163" s="492"/>
      <c r="AA163" s="557"/>
      <c r="AE163" s="493"/>
      <c r="AF163" s="492"/>
      <c r="AH163" s="557"/>
      <c r="AL163" s="493"/>
      <c r="AM163" s="492"/>
      <c r="AO163" s="557"/>
      <c r="AS163" s="493"/>
      <c r="AT163" s="492"/>
      <c r="AV163" s="557"/>
      <c r="AZ163" s="493"/>
      <c r="BA163" s="492"/>
      <c r="BC163" s="557"/>
      <c r="BG163" s="493"/>
      <c r="BH163" s="492"/>
      <c r="BJ163" s="557"/>
      <c r="BN163" s="493"/>
      <c r="BO163" s="492"/>
      <c r="BQ163" s="557"/>
      <c r="BU163" s="493"/>
      <c r="BV163" s="492"/>
      <c r="BX163" s="557"/>
      <c r="CB163" s="493"/>
      <c r="CC163" s="492"/>
      <c r="CE163" s="557"/>
      <c r="CI163" s="493"/>
      <c r="CJ163" s="492"/>
      <c r="CL163" s="557"/>
      <c r="CP163" s="493"/>
      <c r="CQ163" s="492"/>
      <c r="CS163" s="557"/>
      <c r="CW163" s="493"/>
      <c r="CX163" s="492"/>
    </row>
    <row r="164" spans="1:102" ht="15" customHeight="1">
      <c r="A164" s="436">
        <f t="shared" si="73"/>
        <v>2028</v>
      </c>
      <c r="B164" s="437">
        <f t="shared" si="72"/>
        <v>10791</v>
      </c>
      <c r="C164" s="520"/>
      <c r="D164" s="438">
        <f t="shared" si="27"/>
        <v>23</v>
      </c>
      <c r="E164" s="508"/>
      <c r="F164" s="548">
        <v>7870</v>
      </c>
      <c r="G164" s="565">
        <f>IFERROR(AX151,0)</f>
        <v>0.93131114130907333</v>
      </c>
      <c r="H164" s="548">
        <f>AX152</f>
        <v>174.86900000000003</v>
      </c>
      <c r="I164" s="443">
        <f t="shared" si="28"/>
        <v>10791</v>
      </c>
      <c r="J164" s="469"/>
      <c r="K164" s="469"/>
      <c r="L164" s="326">
        <f t="shared" si="74"/>
        <v>9</v>
      </c>
    </row>
    <row r="165" spans="1:102" ht="15" customHeight="1">
      <c r="A165" s="436">
        <f t="shared" si="73"/>
        <v>2029</v>
      </c>
      <c r="B165" s="437">
        <f t="shared" si="72"/>
        <v>10867</v>
      </c>
      <c r="C165" s="520"/>
      <c r="D165" s="438">
        <f t="shared" si="27"/>
        <v>24</v>
      </c>
      <c r="E165" s="508"/>
      <c r="F165" s="548">
        <v>7880</v>
      </c>
      <c r="G165" s="565">
        <f>IFERROR(BE151,0)</f>
        <v>0.93134977722363965</v>
      </c>
      <c r="H165" s="548">
        <f>BE152</f>
        <v>174.61599999999999</v>
      </c>
      <c r="I165" s="443">
        <f t="shared" si="28"/>
        <v>10867</v>
      </c>
      <c r="J165" s="469"/>
      <c r="K165" s="469"/>
      <c r="L165" s="326">
        <f t="shared" si="74"/>
        <v>7</v>
      </c>
    </row>
    <row r="166" spans="1:102" ht="15" customHeight="1">
      <c r="A166" s="436">
        <f t="shared" si="73"/>
        <v>2030</v>
      </c>
      <c r="B166" s="437">
        <f t="shared" si="72"/>
        <v>10942</v>
      </c>
      <c r="C166" s="520"/>
      <c r="D166" s="438">
        <f t="shared" si="27"/>
        <v>25</v>
      </c>
      <c r="E166" s="508"/>
      <c r="F166" s="567">
        <v>7890</v>
      </c>
      <c r="G166" s="568">
        <f>IFERROR(BL151,0)</f>
        <v>0.93133181660899322</v>
      </c>
      <c r="H166" s="567">
        <f>BL152</f>
        <v>174.50599999999997</v>
      </c>
      <c r="I166" s="443">
        <f t="shared" si="28"/>
        <v>10942</v>
      </c>
      <c r="J166" s="469"/>
      <c r="K166" s="469"/>
      <c r="L166" s="326">
        <f t="shared" si="74"/>
        <v>8</v>
      </c>
    </row>
    <row r="167" spans="1:102" ht="15" customHeight="1">
      <c r="A167" s="436">
        <f t="shared" si="73"/>
        <v>2031</v>
      </c>
      <c r="B167" s="437">
        <f t="shared" si="72"/>
        <v>11016</v>
      </c>
      <c r="C167" s="520"/>
      <c r="D167" s="438">
        <f t="shared" si="27"/>
        <v>26</v>
      </c>
      <c r="E167" s="508"/>
      <c r="F167" s="567">
        <v>7865</v>
      </c>
      <c r="G167" s="568">
        <f>IFERROR(BS151,0)</f>
        <v>0.93138901114373984</v>
      </c>
      <c r="H167" s="567">
        <f>BS152</f>
        <v>174.69399999999999</v>
      </c>
      <c r="I167" s="443">
        <f t="shared" si="28"/>
        <v>11016</v>
      </c>
      <c r="J167" s="469"/>
      <c r="K167" s="469"/>
      <c r="L167" s="326">
        <f t="shared" si="74"/>
        <v>3</v>
      </c>
    </row>
    <row r="168" spans="1:102" ht="15" customHeight="1">
      <c r="A168" s="436">
        <f t="shared" si="73"/>
        <v>2032</v>
      </c>
      <c r="B168" s="437">
        <f t="shared" si="72"/>
        <v>11088</v>
      </c>
      <c r="C168" s="520"/>
      <c r="D168" s="438">
        <f t="shared" si="27"/>
        <v>27</v>
      </c>
      <c r="E168" s="508"/>
      <c r="F168" s="567">
        <v>7864</v>
      </c>
      <c r="G168" s="568">
        <f>IFERROR(BZ151,0)</f>
        <v>0.93138901114373984</v>
      </c>
      <c r="H168" s="567">
        <f>BZ152</f>
        <v>174.69399999999999</v>
      </c>
      <c r="I168" s="443">
        <f t="shared" si="28"/>
        <v>11088</v>
      </c>
      <c r="J168" s="469"/>
      <c r="K168" s="469"/>
      <c r="L168" s="326">
        <f t="shared" si="74"/>
        <v>3</v>
      </c>
    </row>
    <row r="169" spans="1:102" ht="15" customHeight="1">
      <c r="A169" s="436">
        <f t="shared" si="73"/>
        <v>2033</v>
      </c>
      <c r="B169" s="437">
        <f t="shared" si="72"/>
        <v>11160</v>
      </c>
      <c r="C169" s="520"/>
      <c r="D169" s="438">
        <f t="shared" si="27"/>
        <v>28</v>
      </c>
      <c r="E169" s="508"/>
      <c r="F169" s="567">
        <v>7863</v>
      </c>
      <c r="G169" s="568">
        <f>IFERROR(CG151,0)</f>
        <v>0.93135810512715278</v>
      </c>
      <c r="H169" s="567">
        <f>CG152</f>
        <v>174.77899999999997</v>
      </c>
      <c r="I169" s="443">
        <f t="shared" si="28"/>
        <v>11160</v>
      </c>
      <c r="J169" s="469"/>
      <c r="K169" s="469"/>
      <c r="L169" s="326">
        <f t="shared" si="74"/>
        <v>5</v>
      </c>
    </row>
    <row r="170" spans="1:102" ht="15" customHeight="1">
      <c r="A170" s="436">
        <f t="shared" si="73"/>
        <v>2034</v>
      </c>
      <c r="B170" s="437">
        <f t="shared" si="72"/>
        <v>11230</v>
      </c>
      <c r="C170" s="520"/>
      <c r="D170" s="438">
        <f t="shared" si="27"/>
        <v>29</v>
      </c>
      <c r="E170" s="508"/>
      <c r="F170" s="567">
        <v>7862</v>
      </c>
      <c r="G170" s="568">
        <f>IFERROR(CN151,0)</f>
        <v>0.93135810512715278</v>
      </c>
      <c r="H170" s="567">
        <f>CN152</f>
        <v>174.77899999999997</v>
      </c>
      <c r="I170" s="443">
        <f t="shared" si="28"/>
        <v>11230</v>
      </c>
      <c r="J170" s="469"/>
      <c r="K170" s="469"/>
      <c r="L170" s="326">
        <f t="shared" si="74"/>
        <v>5</v>
      </c>
    </row>
    <row r="171" spans="1:102" ht="15" customHeight="1">
      <c r="A171" s="522">
        <f t="shared" si="73"/>
        <v>2035</v>
      </c>
      <c r="B171" s="523">
        <f t="shared" si="72"/>
        <v>11299</v>
      </c>
      <c r="C171" s="524"/>
      <c r="D171" s="569">
        <f t="shared" si="27"/>
        <v>30</v>
      </c>
      <c r="E171" s="525"/>
      <c r="F171" s="570">
        <v>7861</v>
      </c>
      <c r="G171" s="571">
        <f>IFERROR(CU151,0)</f>
        <v>0.93149067838270272</v>
      </c>
      <c r="H171" s="570">
        <f>CU152</f>
        <v>174.52199999999999</v>
      </c>
      <c r="I171" s="528">
        <f t="shared" si="28"/>
        <v>11299</v>
      </c>
      <c r="J171" s="529"/>
      <c r="K171" s="529"/>
      <c r="L171" s="326">
        <f t="shared" si="74"/>
        <v>1</v>
      </c>
    </row>
    <row r="172" spans="1:102" ht="15" customHeight="1">
      <c r="A172" s="522">
        <f t="shared" si="73"/>
        <v>2036</v>
      </c>
      <c r="B172" s="523">
        <f t="shared" si="72"/>
        <v>11368</v>
      </c>
      <c r="C172" s="524"/>
      <c r="D172" s="569">
        <f t="shared" si="27"/>
        <v>31</v>
      </c>
      <c r="E172" s="525"/>
      <c r="F172" s="570"/>
      <c r="G172" s="571"/>
      <c r="H172" s="570"/>
      <c r="I172" s="528">
        <f t="shared" si="28"/>
        <v>11368</v>
      </c>
      <c r="J172" s="529"/>
      <c r="K172" s="529"/>
    </row>
    <row r="173" spans="1:102" ht="15" customHeight="1">
      <c r="A173" s="522">
        <f t="shared" si="73"/>
        <v>2037</v>
      </c>
      <c r="B173" s="523">
        <f t="shared" si="72"/>
        <v>11435</v>
      </c>
      <c r="C173" s="524"/>
      <c r="D173" s="569">
        <f t="shared" si="27"/>
        <v>32</v>
      </c>
      <c r="E173" s="525"/>
      <c r="F173" s="570"/>
      <c r="G173" s="571"/>
      <c r="H173" s="570"/>
      <c r="I173" s="528">
        <f t="shared" si="28"/>
        <v>11435</v>
      </c>
      <c r="J173" s="529"/>
      <c r="K173" s="529"/>
    </row>
    <row r="174" spans="1:102" ht="15" customHeight="1">
      <c r="A174" s="522">
        <f t="shared" si="73"/>
        <v>2038</v>
      </c>
      <c r="B174" s="523">
        <f t="shared" si="72"/>
        <v>11502</v>
      </c>
      <c r="C174" s="524"/>
      <c r="D174" s="569">
        <f t="shared" si="27"/>
        <v>33</v>
      </c>
      <c r="E174" s="525"/>
      <c r="F174" s="570"/>
      <c r="G174" s="571"/>
      <c r="H174" s="570"/>
      <c r="I174" s="528">
        <f t="shared" si="28"/>
        <v>11502</v>
      </c>
      <c r="J174" s="529"/>
      <c r="K174" s="529"/>
    </row>
    <row r="175" spans="1:102" ht="15" customHeight="1">
      <c r="A175" s="491"/>
      <c r="B175" s="494"/>
      <c r="C175" s="451"/>
      <c r="D175" s="439"/>
      <c r="E175" s="439"/>
      <c r="F175" s="530"/>
      <c r="G175" s="572"/>
      <c r="H175" s="451"/>
      <c r="I175" s="538"/>
      <c r="J175" s="538"/>
      <c r="O175" s="573"/>
    </row>
    <row r="176" spans="1:102" ht="15" customHeight="1">
      <c r="A176" s="424" t="s">
        <v>333</v>
      </c>
    </row>
    <row r="177" spans="1:60" ht="15" customHeight="1">
      <c r="A177" s="427" t="s">
        <v>264</v>
      </c>
      <c r="B177" s="428" t="s">
        <v>286</v>
      </c>
      <c r="C177" s="429" t="s">
        <v>334</v>
      </c>
      <c r="D177" s="429" t="s">
        <v>287</v>
      </c>
      <c r="E177" s="496"/>
      <c r="F177" s="430"/>
      <c r="G177" s="431"/>
      <c r="H177" s="432" t="s">
        <v>288</v>
      </c>
      <c r="I177" s="433">
        <f>RSQ(I178:I188,B178:B188)</f>
        <v>0.9404137967223184</v>
      </c>
      <c r="J177" s="434" t="s">
        <v>289</v>
      </c>
      <c r="K177" s="435" t="s">
        <v>290</v>
      </c>
      <c r="M177" s="532" t="s">
        <v>334</v>
      </c>
      <c r="N177" s="430"/>
      <c r="O177" s="432" t="s">
        <v>288</v>
      </c>
      <c r="P177" s="433">
        <f>RSQ($B178:$B188,P178:P188)</f>
        <v>0.93320148788688484</v>
      </c>
      <c r="Q177" s="435" t="s">
        <v>290</v>
      </c>
      <c r="S177" s="532" t="s">
        <v>334</v>
      </c>
      <c r="T177" s="430"/>
      <c r="U177" s="432" t="s">
        <v>288</v>
      </c>
      <c r="V177" s="433">
        <f>RSQ($B178:$B188,V178:V188)</f>
        <v>0.93641542340561401</v>
      </c>
      <c r="W177" s="435" t="s">
        <v>290</v>
      </c>
      <c r="Y177" s="532" t="s">
        <v>334</v>
      </c>
      <c r="Z177" s="430"/>
      <c r="AA177" s="432" t="s">
        <v>288</v>
      </c>
      <c r="AB177" s="433">
        <f>RSQ($B178:$B188,AB178:AB188)</f>
        <v>0.92993122683455631</v>
      </c>
      <c r="AC177" s="435" t="s">
        <v>290</v>
      </c>
      <c r="AE177" s="532" t="s">
        <v>334</v>
      </c>
      <c r="AF177" s="430"/>
      <c r="AG177" s="432" t="s">
        <v>288</v>
      </c>
      <c r="AH177" s="433">
        <f>RSQ($B178:$B188,AH178:AH188)</f>
        <v>0.94012571722958949</v>
      </c>
      <c r="AI177" s="435" t="s">
        <v>290</v>
      </c>
      <c r="AK177" s="532" t="s">
        <v>334</v>
      </c>
      <c r="AL177" s="430"/>
      <c r="AM177" s="432" t="s">
        <v>288</v>
      </c>
      <c r="AN177" s="433">
        <f>RSQ($B178:$B188,AN178:AN188)</f>
        <v>0.94028340990428239</v>
      </c>
      <c r="AO177" s="435" t="s">
        <v>290</v>
      </c>
      <c r="AQ177" s="532" t="s">
        <v>334</v>
      </c>
      <c r="AR177" s="430"/>
      <c r="AS177" s="432" t="s">
        <v>288</v>
      </c>
      <c r="AT177" s="433">
        <f>RSQ($B178:$B188,AT178:AT188)</f>
        <v>0.9402699703015418</v>
      </c>
      <c r="AU177" s="435" t="s">
        <v>290</v>
      </c>
      <c r="AW177" s="532" t="s">
        <v>334</v>
      </c>
      <c r="AX177" s="430"/>
      <c r="AY177" s="432" t="s">
        <v>288</v>
      </c>
      <c r="AZ177" s="433">
        <f>RSQ($B178:$B188,AZ178:AZ188)</f>
        <v>0.9404137967223184</v>
      </c>
      <c r="BA177" s="435" t="s">
        <v>290</v>
      </c>
      <c r="BC177" s="532" t="s">
        <v>334</v>
      </c>
      <c r="BD177" s="430"/>
      <c r="BE177" s="432" t="s">
        <v>288</v>
      </c>
      <c r="BF177" s="433">
        <f>RSQ($B178:$B188,BF178:BF188)</f>
        <v>0.94034645975219899</v>
      </c>
      <c r="BG177" s="435" t="s">
        <v>290</v>
      </c>
    </row>
    <row r="178" spans="1:60" ht="15" customHeight="1">
      <c r="A178" s="436">
        <f t="shared" ref="A178:B189" si="75">A142</f>
        <v>2006</v>
      </c>
      <c r="B178" s="437">
        <f t="shared" si="75"/>
        <v>8346</v>
      </c>
      <c r="C178" s="533">
        <f t="shared" ref="C178:C188" si="76">LN(F$182/B178-1)</f>
        <v>-1.411778084542993</v>
      </c>
      <c r="D178" s="438">
        <f t="shared" ref="D178:D184" si="77">D142</f>
        <v>1</v>
      </c>
      <c r="E178" s="498" t="s">
        <v>335</v>
      </c>
      <c r="F178" s="439"/>
      <c r="H178" s="574"/>
      <c r="I178" s="502">
        <f t="shared" ref="I178:I210" si="78">ROUND($F$182/(1+EXP($F$187+$F$186*D178)),$G$1)</f>
        <v>8306</v>
      </c>
      <c r="J178" s="444">
        <f t="shared" ref="J178:J188" si="79">ABS(B178-I178)/B178*100</f>
        <v>0.47927150730889051</v>
      </c>
      <c r="K178" s="443">
        <f t="shared" ref="K178:K188" si="80">(B178-I178)^2/1000</f>
        <v>1.6</v>
      </c>
      <c r="M178" s="575">
        <f t="shared" ref="M178:M188" si="81">LN($O$181/B178-1)</f>
        <v>-1.6185857855678611</v>
      </c>
      <c r="N178" s="539" t="s">
        <v>335</v>
      </c>
      <c r="O178" s="439"/>
      <c r="P178" s="469">
        <f t="shared" ref="P178:P188" si="82">ROUND(O$181/(1+EXP(O$185+O$184*$D178)),$G$1)</f>
        <v>8221</v>
      </c>
      <c r="Q178" s="502">
        <f t="shared" ref="Q178:Q183" si="83">($B178-P178)^2/1000</f>
        <v>15.625</v>
      </c>
      <c r="S178" s="575">
        <f>LN($U$181/$B178-1)</f>
        <v>-1.1457144462593449</v>
      </c>
      <c r="T178" s="539" t="s">
        <v>335</v>
      </c>
      <c r="U178" s="439"/>
      <c r="V178" s="469">
        <f t="shared" ref="V178:V188" si="84">ROUND(U$181/(1+EXP(U$185+U$184*$D178)),$G$1)</f>
        <v>8351</v>
      </c>
      <c r="W178" s="502">
        <f t="shared" ref="W178:W183" si="85">($B178-V178)^2/1000</f>
        <v>2.5000000000000001E-2</v>
      </c>
      <c r="Y178" s="575">
        <f>LN($AA$181/$B178-1)</f>
        <v>-0.82595992421354614</v>
      </c>
      <c r="Z178" s="539" t="s">
        <v>335</v>
      </c>
      <c r="AA178" s="439"/>
      <c r="AB178" s="469">
        <f t="shared" ref="AB178:AB188" si="86">ROUND(AA$181/(1+EXP(AA$185+AA$184*$D178)),$G$1)</f>
        <v>8376</v>
      </c>
      <c r="AC178" s="502">
        <f t="shared" ref="AC178:AC185" si="87">($B178-AB178)^2/1000</f>
        <v>0.9</v>
      </c>
      <c r="AE178" s="575">
        <f>LN($AG$181/$B178-1)</f>
        <v>-1.3544558034351639</v>
      </c>
      <c r="AF178" s="539" t="s">
        <v>335</v>
      </c>
      <c r="AG178" s="439"/>
      <c r="AH178" s="469">
        <f t="shared" ref="AH178:AH188" si="88">ROUND(AG$181/(1+EXP(AG$185+AG$184*$D178)),$G$1)</f>
        <v>8319</v>
      </c>
      <c r="AI178" s="502">
        <f t="shared" ref="AI178:AI185" si="89">($B178-AH178)^2/1000</f>
        <v>0.72899999999999998</v>
      </c>
      <c r="AK178" s="575">
        <f>LN($AM$181/$B178-1)</f>
        <v>-1.4019932706629947</v>
      </c>
      <c r="AL178" s="539" t="s">
        <v>335</v>
      </c>
      <c r="AM178" s="439"/>
      <c r="AN178" s="469">
        <f t="shared" ref="AN178:AN188" si="90">ROUND(AM$181/(1+EXP(AM$185+AM$184*$D178)),$G$1)</f>
        <v>8308</v>
      </c>
      <c r="AO178" s="502">
        <f t="shared" ref="AO178:AO187" si="91">($B178-AN178)^2/1000</f>
        <v>1.444</v>
      </c>
      <c r="AQ178" s="575">
        <f>LN($AS$181/$B178-1)</f>
        <v>-1.4519038285487698</v>
      </c>
      <c r="AR178" s="539" t="s">
        <v>335</v>
      </c>
      <c r="AS178" s="439"/>
      <c r="AT178" s="469">
        <f t="shared" ref="AT178:AT188" si="92">ROUND(AS$181/(1+EXP(AS$185+AS$184*$D178)),$G$1)</f>
        <v>8295</v>
      </c>
      <c r="AU178" s="502">
        <f t="shared" ref="AU178:AU185" si="93">($B178-AT178)^2/1000</f>
        <v>2.601</v>
      </c>
      <c r="AW178" s="575">
        <f>LN($AY$181/$B178-1)</f>
        <v>-1.411778084542993</v>
      </c>
      <c r="AX178" s="539" t="s">
        <v>335</v>
      </c>
      <c r="AY178" s="439"/>
      <c r="AZ178" s="469">
        <f t="shared" ref="AZ178:AZ188" si="94">ROUND(AY$181/(1+EXP(AY$185+AY$184*$D178)),$G$1)</f>
        <v>8306</v>
      </c>
      <c r="BA178" s="502">
        <f t="shared" ref="BA178:BA185" si="95">($B178-AZ178)^2/1000</f>
        <v>1.6</v>
      </c>
      <c r="BC178" s="575">
        <f>LN($BE$181/$B178-1)</f>
        <v>-1.416706630744142</v>
      </c>
      <c r="BD178" s="539" t="s">
        <v>335</v>
      </c>
      <c r="BE178" s="439"/>
      <c r="BF178" s="469">
        <f t="shared" ref="BF178:BF188" si="96">ROUND(BE$181/(1+EXP(BE$185+BE$184*$D178)),$G$1)</f>
        <v>8305</v>
      </c>
      <c r="BG178" s="502">
        <f t="shared" ref="BG178:BG185" si="97">($B178-BF178)^2/1000</f>
        <v>1.681</v>
      </c>
    </row>
    <row r="179" spans="1:60" ht="15" customHeight="1">
      <c r="A179" s="436">
        <f t="shared" si="75"/>
        <v>2007</v>
      </c>
      <c r="B179" s="437">
        <f t="shared" si="75"/>
        <v>8527</v>
      </c>
      <c r="C179" s="533">
        <f t="shared" si="76"/>
        <v>-1.5264316524566897</v>
      </c>
      <c r="D179" s="438">
        <f t="shared" si="77"/>
        <v>2</v>
      </c>
      <c r="E179" s="498" t="s">
        <v>336</v>
      </c>
      <c r="F179" s="439"/>
      <c r="H179" s="574"/>
      <c r="I179" s="443">
        <f t="shared" si="78"/>
        <v>8519</v>
      </c>
      <c r="J179" s="446">
        <f t="shared" si="79"/>
        <v>9.3819631757945346E-2</v>
      </c>
      <c r="K179" s="443">
        <f t="shared" si="80"/>
        <v>6.4000000000000001E-2</v>
      </c>
      <c r="M179" s="576">
        <f t="shared" si="81"/>
        <v>-1.7559364622794191</v>
      </c>
      <c r="N179" s="539"/>
      <c r="O179" s="439"/>
      <c r="P179" s="469">
        <f t="shared" si="82"/>
        <v>8490</v>
      </c>
      <c r="Q179" s="443">
        <f t="shared" si="83"/>
        <v>1.369</v>
      </c>
      <c r="S179" s="576">
        <f t="shared" ref="S179:S188" si="98">LN($U$181/$B179-1)</f>
        <v>-1.237805611220633</v>
      </c>
      <c r="T179" s="539"/>
      <c r="U179" s="439"/>
      <c r="V179" s="469">
        <f t="shared" si="84"/>
        <v>8533</v>
      </c>
      <c r="W179" s="443">
        <f t="shared" si="85"/>
        <v>3.5999999999999997E-2</v>
      </c>
      <c r="Y179" s="576">
        <f t="shared" ref="Y179:Y188" si="99">LN($AA$181/$B179-1)</f>
        <v>-0.89821882599797587</v>
      </c>
      <c r="Z179" s="539"/>
      <c r="AA179" s="439"/>
      <c r="AB179" s="469">
        <f t="shared" si="86"/>
        <v>8540</v>
      </c>
      <c r="AC179" s="443">
        <f t="shared" si="87"/>
        <v>0.16900000000000001</v>
      </c>
      <c r="AE179" s="576">
        <f t="shared" ref="AE179:AE188" si="100">LN($AG$181/$B179-1)</f>
        <v>-1.4636823727194341</v>
      </c>
      <c r="AF179" s="539"/>
      <c r="AG179" s="439"/>
      <c r="AH179" s="469">
        <f t="shared" si="88"/>
        <v>8523</v>
      </c>
      <c r="AI179" s="443">
        <f t="shared" si="89"/>
        <v>1.6E-2</v>
      </c>
      <c r="AK179" s="576">
        <f t="shared" ref="AK179:AK188" si="101">LN($AM$181/$B179-1)</f>
        <v>-1.5156961762979608</v>
      </c>
      <c r="AL179" s="539"/>
      <c r="AM179" s="439"/>
      <c r="AN179" s="469">
        <f t="shared" si="90"/>
        <v>8520</v>
      </c>
      <c r="AO179" s="443">
        <f t="shared" si="91"/>
        <v>4.9000000000000002E-2</v>
      </c>
      <c r="AQ179" s="576">
        <f t="shared" ref="AQ179:AQ188" si="102">LN($AS$181/$B179-1)</f>
        <v>-1.5705645726678414</v>
      </c>
      <c r="AR179" s="539"/>
      <c r="AS179" s="439"/>
      <c r="AT179" s="469">
        <f t="shared" si="92"/>
        <v>8516</v>
      </c>
      <c r="AU179" s="443">
        <f t="shared" si="93"/>
        <v>0.121</v>
      </c>
      <c r="AW179" s="576">
        <f t="shared" ref="AW179:AW188" si="103">LN($AY$181/$B179-1)</f>
        <v>-1.5264316524566897</v>
      </c>
      <c r="AX179" s="539"/>
      <c r="AY179" s="439"/>
      <c r="AZ179" s="469">
        <f t="shared" si="94"/>
        <v>8519</v>
      </c>
      <c r="BA179" s="443">
        <f t="shared" si="95"/>
        <v>6.4000000000000001E-2</v>
      </c>
      <c r="BC179" s="576">
        <f t="shared" ref="BC179:BC188" si="104">LN($BE$181/$B179-1)</f>
        <v>-1.5318429210722262</v>
      </c>
      <c r="BD179" s="539"/>
      <c r="BE179" s="439"/>
      <c r="BF179" s="469">
        <f t="shared" si="96"/>
        <v>8519</v>
      </c>
      <c r="BG179" s="443">
        <f t="shared" si="97"/>
        <v>6.4000000000000001E-2</v>
      </c>
    </row>
    <row r="180" spans="1:60" ht="15" customHeight="1">
      <c r="A180" s="436">
        <f t="shared" si="75"/>
        <v>2008</v>
      </c>
      <c r="B180" s="437">
        <f t="shared" si="75"/>
        <v>8679</v>
      </c>
      <c r="C180" s="533">
        <f t="shared" si="76"/>
        <v>-1.6296900012483828</v>
      </c>
      <c r="D180" s="438">
        <f t="shared" si="77"/>
        <v>3</v>
      </c>
      <c r="H180" s="574"/>
      <c r="I180" s="443">
        <f t="shared" si="78"/>
        <v>8715</v>
      </c>
      <c r="J180" s="446">
        <f t="shared" si="79"/>
        <v>0.41479433114414105</v>
      </c>
      <c r="K180" s="443">
        <f t="shared" si="80"/>
        <v>1.296</v>
      </c>
      <c r="M180" s="576">
        <f t="shared" si="81"/>
        <v>-1.8825172891219193</v>
      </c>
      <c r="N180" s="539" t="s">
        <v>336</v>
      </c>
      <c r="O180" s="439"/>
      <c r="P180" s="469">
        <f t="shared" si="82"/>
        <v>8725</v>
      </c>
      <c r="Q180" s="443">
        <f t="shared" si="83"/>
        <v>2.1160000000000001</v>
      </c>
      <c r="S180" s="576">
        <f t="shared" si="98"/>
        <v>-1.3189081873698074</v>
      </c>
      <c r="T180" s="539" t="s">
        <v>336</v>
      </c>
      <c r="U180" s="439"/>
      <c r="V180" s="469">
        <f t="shared" si="84"/>
        <v>8706</v>
      </c>
      <c r="W180" s="443">
        <f t="shared" si="85"/>
        <v>0.72899999999999998</v>
      </c>
      <c r="Y180" s="576">
        <f t="shared" si="99"/>
        <v>-0.96064037226749832</v>
      </c>
      <c r="Z180" s="539" t="s">
        <v>336</v>
      </c>
      <c r="AA180" s="439"/>
      <c r="AB180" s="469">
        <f t="shared" si="86"/>
        <v>8699</v>
      </c>
      <c r="AC180" s="443">
        <f t="shared" si="87"/>
        <v>0.4</v>
      </c>
      <c r="AE180" s="576">
        <f t="shared" si="100"/>
        <v>-1.5615205139166366</v>
      </c>
      <c r="AF180" s="539" t="s">
        <v>336</v>
      </c>
      <c r="AG180" s="439"/>
      <c r="AH180" s="469">
        <f t="shared" si="88"/>
        <v>8712</v>
      </c>
      <c r="AI180" s="443">
        <f t="shared" si="89"/>
        <v>1.089</v>
      </c>
      <c r="AK180" s="576">
        <f t="shared" si="101"/>
        <v>-1.6180007974327053</v>
      </c>
      <c r="AL180" s="539" t="s">
        <v>336</v>
      </c>
      <c r="AM180" s="439"/>
      <c r="AN180" s="469">
        <f t="shared" si="90"/>
        <v>8714</v>
      </c>
      <c r="AO180" s="443">
        <f t="shared" si="91"/>
        <v>1.2250000000000001</v>
      </c>
      <c r="AQ180" s="576">
        <f t="shared" si="102"/>
        <v>-1.677863071908569</v>
      </c>
      <c r="AR180" s="539" t="s">
        <v>336</v>
      </c>
      <c r="AS180" s="439"/>
      <c r="AT180" s="469">
        <f t="shared" si="92"/>
        <v>8716</v>
      </c>
      <c r="AU180" s="443">
        <f t="shared" si="93"/>
        <v>1.369</v>
      </c>
      <c r="AW180" s="576">
        <f t="shared" si="103"/>
        <v>-1.6296900012483828</v>
      </c>
      <c r="AX180" s="539" t="s">
        <v>336</v>
      </c>
      <c r="AY180" s="439"/>
      <c r="AZ180" s="469">
        <f t="shared" si="94"/>
        <v>8715</v>
      </c>
      <c r="BA180" s="443">
        <f t="shared" si="95"/>
        <v>1.296</v>
      </c>
      <c r="BC180" s="576">
        <f t="shared" si="104"/>
        <v>-1.6355862447456642</v>
      </c>
      <c r="BD180" s="539" t="s">
        <v>336</v>
      </c>
      <c r="BE180" s="439"/>
      <c r="BF180" s="469">
        <f t="shared" si="96"/>
        <v>8715</v>
      </c>
      <c r="BG180" s="443">
        <f t="shared" si="97"/>
        <v>1.296</v>
      </c>
    </row>
    <row r="181" spans="1:60" ht="15" customHeight="1">
      <c r="A181" s="436">
        <f t="shared" si="75"/>
        <v>2009</v>
      </c>
      <c r="B181" s="437">
        <f t="shared" si="75"/>
        <v>8768</v>
      </c>
      <c r="C181" s="533">
        <f t="shared" si="76"/>
        <v>-1.6936330861212228</v>
      </c>
      <c r="D181" s="438">
        <f t="shared" si="77"/>
        <v>4</v>
      </c>
      <c r="E181" s="540"/>
      <c r="G181" s="451"/>
      <c r="H181" s="442"/>
      <c r="I181" s="443">
        <f t="shared" si="78"/>
        <v>8893</v>
      </c>
      <c r="J181" s="446">
        <f t="shared" si="79"/>
        <v>1.4256386861313868</v>
      </c>
      <c r="K181" s="443">
        <f t="shared" si="80"/>
        <v>15.625</v>
      </c>
      <c r="M181" s="576">
        <f t="shared" si="81"/>
        <v>-1.9624698650943315</v>
      </c>
      <c r="N181" s="439" t="s">
        <v>337</v>
      </c>
      <c r="O181" s="577">
        <f>E200</f>
        <v>10000</v>
      </c>
      <c r="P181" s="469">
        <f t="shared" si="82"/>
        <v>8928</v>
      </c>
      <c r="Q181" s="443">
        <f t="shared" si="83"/>
        <v>25.6</v>
      </c>
      <c r="S181" s="576">
        <f t="shared" si="98"/>
        <v>-1.3682106856865952</v>
      </c>
      <c r="T181" s="439" t="s">
        <v>337</v>
      </c>
      <c r="U181" s="363">
        <f>E201</f>
        <v>11000</v>
      </c>
      <c r="V181" s="469">
        <f t="shared" si="84"/>
        <v>8870</v>
      </c>
      <c r="W181" s="443">
        <f t="shared" si="85"/>
        <v>10.404</v>
      </c>
      <c r="Y181" s="576">
        <f t="shared" si="99"/>
        <v>-0.9980075895468109</v>
      </c>
      <c r="Z181" s="439" t="s">
        <v>337</v>
      </c>
      <c r="AA181" s="363">
        <f>E202</f>
        <v>12000</v>
      </c>
      <c r="AB181" s="469">
        <f t="shared" si="86"/>
        <v>8854</v>
      </c>
      <c r="AC181" s="443">
        <f t="shared" si="87"/>
        <v>7.3959999999999999</v>
      </c>
      <c r="AE181" s="576">
        <f t="shared" si="100"/>
        <v>-1.6218319200654163</v>
      </c>
      <c r="AF181" s="439" t="s">
        <v>337</v>
      </c>
      <c r="AG181" s="363">
        <f>E203</f>
        <v>10500</v>
      </c>
      <c r="AH181" s="469">
        <f t="shared" si="88"/>
        <v>8887</v>
      </c>
      <c r="AI181" s="443">
        <f t="shared" si="89"/>
        <v>14.161</v>
      </c>
      <c r="AK181" s="576">
        <f t="shared" si="101"/>
        <v>-1.6813024736637441</v>
      </c>
      <c r="AL181" s="439" t="s">
        <v>337</v>
      </c>
      <c r="AM181" s="363">
        <f>E204</f>
        <v>10400</v>
      </c>
      <c r="AN181" s="469">
        <f t="shared" si="90"/>
        <v>8892</v>
      </c>
      <c r="AO181" s="443">
        <f t="shared" si="91"/>
        <v>15.375999999999999</v>
      </c>
      <c r="AQ181" s="576">
        <f t="shared" si="102"/>
        <v>-1.7445346588872597</v>
      </c>
      <c r="AR181" s="439" t="s">
        <v>337</v>
      </c>
      <c r="AS181" s="363">
        <f>E205</f>
        <v>10300</v>
      </c>
      <c r="AT181" s="469">
        <f t="shared" si="92"/>
        <v>8898</v>
      </c>
      <c r="AU181" s="443">
        <f t="shared" si="93"/>
        <v>16.899999999999999</v>
      </c>
      <c r="AW181" s="576">
        <f t="shared" si="103"/>
        <v>-1.6936330861212228</v>
      </c>
      <c r="AX181" s="439" t="s">
        <v>337</v>
      </c>
      <c r="AY181" s="363">
        <f>E206</f>
        <v>10380</v>
      </c>
      <c r="AZ181" s="469">
        <f t="shared" si="94"/>
        <v>8893</v>
      </c>
      <c r="BA181" s="443">
        <f t="shared" si="95"/>
        <v>15.625</v>
      </c>
      <c r="BC181" s="576">
        <f t="shared" si="104"/>
        <v>-1.699855881559492</v>
      </c>
      <c r="BD181" s="439" t="s">
        <v>337</v>
      </c>
      <c r="BE181" s="363">
        <f>E207</f>
        <v>10370</v>
      </c>
      <c r="BF181" s="469">
        <f t="shared" si="96"/>
        <v>8894</v>
      </c>
      <c r="BG181" s="443">
        <f t="shared" si="97"/>
        <v>15.875999999999999</v>
      </c>
    </row>
    <row r="182" spans="1:60" ht="15" customHeight="1">
      <c r="A182" s="436">
        <f t="shared" si="75"/>
        <v>2010</v>
      </c>
      <c r="B182" s="437">
        <f t="shared" si="75"/>
        <v>8838</v>
      </c>
      <c r="C182" s="533">
        <f t="shared" si="76"/>
        <v>-1.7459803315674101</v>
      </c>
      <c r="D182" s="438">
        <f t="shared" si="77"/>
        <v>5</v>
      </c>
      <c r="E182" s="540" t="s">
        <v>337</v>
      </c>
      <c r="F182" s="577">
        <f>INDEX(E200:L207,MATCH(1,L200:L207,0),1)</f>
        <v>10380</v>
      </c>
      <c r="G182" s="451"/>
      <c r="I182" s="443">
        <f t="shared" si="78"/>
        <v>9055</v>
      </c>
      <c r="J182" s="446">
        <f t="shared" si="79"/>
        <v>2.45530663045938</v>
      </c>
      <c r="K182" s="443">
        <f t="shared" si="80"/>
        <v>47.088999999999999</v>
      </c>
      <c r="M182" s="576">
        <f t="shared" si="81"/>
        <v>-2.0289179482788291</v>
      </c>
      <c r="N182" s="578" t="s">
        <v>338</v>
      </c>
      <c r="O182" s="505">
        <f>MAX($B178:$B188)</f>
        <v>9739</v>
      </c>
      <c r="P182" s="469">
        <f t="shared" si="82"/>
        <v>9102</v>
      </c>
      <c r="Q182" s="443">
        <f t="shared" si="83"/>
        <v>69.695999999999998</v>
      </c>
      <c r="S182" s="576">
        <f t="shared" si="98"/>
        <v>-1.408026887491532</v>
      </c>
      <c r="T182" s="578" t="s">
        <v>338</v>
      </c>
      <c r="U182" s="505">
        <f>MAX($B178:$B188)</f>
        <v>9739</v>
      </c>
      <c r="V182" s="469">
        <f t="shared" si="84"/>
        <v>9025</v>
      </c>
      <c r="W182" s="443">
        <f t="shared" si="85"/>
        <v>34.969000000000001</v>
      </c>
      <c r="Y182" s="576">
        <f t="shared" si="99"/>
        <v>-1.0278558679212677</v>
      </c>
      <c r="Z182" s="578" t="s">
        <v>338</v>
      </c>
      <c r="AA182" s="505">
        <f>MAX($B178:$B188)</f>
        <v>9739</v>
      </c>
      <c r="AB182" s="469">
        <f t="shared" si="86"/>
        <v>9005</v>
      </c>
      <c r="AC182" s="443">
        <f t="shared" si="87"/>
        <v>27.888999999999999</v>
      </c>
      <c r="AE182" s="576">
        <f t="shared" si="100"/>
        <v>-1.6710389102752923</v>
      </c>
      <c r="AF182" s="578" t="s">
        <v>338</v>
      </c>
      <c r="AG182" s="505">
        <f>MAX($B178:$B188)</f>
        <v>9739</v>
      </c>
      <c r="AH182" s="469">
        <f t="shared" si="88"/>
        <v>9047</v>
      </c>
      <c r="AI182" s="443">
        <f t="shared" si="89"/>
        <v>43.680999999999997</v>
      </c>
      <c r="AK182" s="576">
        <f t="shared" si="101"/>
        <v>-1.733093555291054</v>
      </c>
      <c r="AL182" s="578" t="s">
        <v>338</v>
      </c>
      <c r="AM182" s="505">
        <f>MAX($B178:$B188)</f>
        <v>9739</v>
      </c>
      <c r="AN182" s="469">
        <f t="shared" si="90"/>
        <v>9054</v>
      </c>
      <c r="AO182" s="443">
        <f t="shared" si="91"/>
        <v>46.655999999999999</v>
      </c>
      <c r="AQ182" s="576">
        <f t="shared" si="102"/>
        <v>-1.7992552453809609</v>
      </c>
      <c r="AR182" s="578" t="s">
        <v>338</v>
      </c>
      <c r="AS182" s="505">
        <f>MAX($B178:$B188)</f>
        <v>9739</v>
      </c>
      <c r="AT182" s="469">
        <f t="shared" si="92"/>
        <v>9062</v>
      </c>
      <c r="AU182" s="443">
        <f t="shared" si="93"/>
        <v>50.176000000000002</v>
      </c>
      <c r="AW182" s="576">
        <f t="shared" si="103"/>
        <v>-1.7459803315674101</v>
      </c>
      <c r="AX182" s="578" t="s">
        <v>338</v>
      </c>
      <c r="AY182" s="505">
        <f>MAX($B178:$B188)</f>
        <v>9739</v>
      </c>
      <c r="AZ182" s="469">
        <f t="shared" si="94"/>
        <v>9055</v>
      </c>
      <c r="BA182" s="443">
        <f t="shared" si="95"/>
        <v>47.088999999999999</v>
      </c>
      <c r="BC182" s="576">
        <f t="shared" si="104"/>
        <v>-1.7524865353901486</v>
      </c>
      <c r="BD182" s="578" t="s">
        <v>338</v>
      </c>
      <c r="BE182" s="505">
        <f>MAX($B178:$B188)</f>
        <v>9739</v>
      </c>
      <c r="BF182" s="469">
        <f t="shared" si="96"/>
        <v>9056</v>
      </c>
      <c r="BG182" s="443">
        <f t="shared" si="97"/>
        <v>47.524000000000001</v>
      </c>
    </row>
    <row r="183" spans="1:60" ht="15" customHeight="1">
      <c r="A183" s="436">
        <f t="shared" si="75"/>
        <v>2011</v>
      </c>
      <c r="B183" s="437">
        <f t="shared" si="75"/>
        <v>9306</v>
      </c>
      <c r="C183" s="533">
        <f t="shared" si="76"/>
        <v>-2.1592693573357828</v>
      </c>
      <c r="D183" s="438">
        <f t="shared" si="77"/>
        <v>6</v>
      </c>
      <c r="E183" s="578" t="s">
        <v>338</v>
      </c>
      <c r="F183" s="505">
        <f>MAX(B178:B188)</f>
        <v>9739</v>
      </c>
      <c r="G183" s="451"/>
      <c r="H183" s="442"/>
      <c r="I183" s="443">
        <f t="shared" si="78"/>
        <v>9202</v>
      </c>
      <c r="J183" s="446">
        <f t="shared" si="79"/>
        <v>1.1175585643670751</v>
      </c>
      <c r="K183" s="443">
        <f t="shared" si="80"/>
        <v>10.816000000000001</v>
      </c>
      <c r="M183" s="576">
        <f t="shared" si="81"/>
        <v>-2.595942671897788</v>
      </c>
      <c r="N183" s="578" t="s">
        <v>339</v>
      </c>
      <c r="O183" s="505">
        <f>AVERAGE($B184:$B188)</f>
        <v>9578.2000000000007</v>
      </c>
      <c r="P183" s="469">
        <f t="shared" si="82"/>
        <v>9250</v>
      </c>
      <c r="Q183" s="443">
        <f t="shared" si="83"/>
        <v>3.1360000000000001</v>
      </c>
      <c r="S183" s="576">
        <f t="shared" si="98"/>
        <v>-1.7035667571925945</v>
      </c>
      <c r="T183" s="578" t="s">
        <v>339</v>
      </c>
      <c r="U183" s="505">
        <f>AVERAGE($B184:$B188)</f>
        <v>9578.2000000000007</v>
      </c>
      <c r="V183" s="469">
        <f t="shared" si="84"/>
        <v>9171</v>
      </c>
      <c r="W183" s="443">
        <f t="shared" si="85"/>
        <v>18.225000000000001</v>
      </c>
      <c r="Y183" s="576">
        <f t="shared" si="99"/>
        <v>-1.2396322754342846</v>
      </c>
      <c r="Z183" s="578" t="s">
        <v>339</v>
      </c>
      <c r="AA183" s="505">
        <f>AVERAGE($B184:$B188)</f>
        <v>9578.2000000000007</v>
      </c>
      <c r="AB183" s="469">
        <f t="shared" si="86"/>
        <v>9150</v>
      </c>
      <c r="AC183" s="443">
        <f t="shared" si="87"/>
        <v>24.335999999999999</v>
      </c>
      <c r="AE183" s="576">
        <f t="shared" si="100"/>
        <v>-2.0533503384520464</v>
      </c>
      <c r="AF183" s="578" t="s">
        <v>339</v>
      </c>
      <c r="AG183" s="505">
        <f>AVERAGE($B184:$B188)</f>
        <v>9578.2000000000007</v>
      </c>
      <c r="AH183" s="469">
        <f t="shared" si="88"/>
        <v>9194</v>
      </c>
      <c r="AI183" s="443">
        <f t="shared" si="89"/>
        <v>12.544</v>
      </c>
      <c r="AK183" s="576">
        <f t="shared" si="101"/>
        <v>-2.140818649422668</v>
      </c>
      <c r="AL183" s="578" t="s">
        <v>339</v>
      </c>
      <c r="AM183" s="505">
        <f>AVERAGE($B184:$B188)</f>
        <v>9578.2000000000007</v>
      </c>
      <c r="AN183" s="469">
        <f t="shared" si="90"/>
        <v>9201</v>
      </c>
      <c r="AO183" s="443">
        <f t="shared" si="91"/>
        <v>11.025</v>
      </c>
      <c r="AQ183" s="576">
        <f t="shared" si="102"/>
        <v>-2.2366774257480198</v>
      </c>
      <c r="AR183" s="578" t="s">
        <v>339</v>
      </c>
      <c r="AS183" s="505">
        <f>AVERAGE($B184:$B188)</f>
        <v>9578.2000000000007</v>
      </c>
      <c r="AT183" s="469">
        <f t="shared" si="92"/>
        <v>9209</v>
      </c>
      <c r="AU183" s="443">
        <f t="shared" si="93"/>
        <v>9.4090000000000007</v>
      </c>
      <c r="AW183" s="576">
        <f t="shared" si="103"/>
        <v>-2.1592693573357828</v>
      </c>
      <c r="AX183" s="578" t="s">
        <v>339</v>
      </c>
      <c r="AY183" s="505">
        <f>AVERAGE($B184:$B188)</f>
        <v>9578.2000000000007</v>
      </c>
      <c r="AZ183" s="469">
        <f t="shared" si="94"/>
        <v>9202</v>
      </c>
      <c r="BA183" s="443">
        <f t="shared" si="95"/>
        <v>10.816000000000001</v>
      </c>
      <c r="BC183" s="576">
        <f t="shared" si="104"/>
        <v>-2.1686239625030033</v>
      </c>
      <c r="BD183" s="578" t="s">
        <v>339</v>
      </c>
      <c r="BE183" s="505">
        <f>AVERAGE($B184:$B188)</f>
        <v>9578.2000000000007</v>
      </c>
      <c r="BF183" s="469">
        <f t="shared" si="96"/>
        <v>9203</v>
      </c>
      <c r="BG183" s="443">
        <f t="shared" si="97"/>
        <v>10.609</v>
      </c>
    </row>
    <row r="184" spans="1:60" ht="15" customHeight="1">
      <c r="A184" s="436">
        <f t="shared" si="75"/>
        <v>2012</v>
      </c>
      <c r="B184" s="437">
        <f t="shared" si="75"/>
        <v>9393</v>
      </c>
      <c r="C184" s="533">
        <f t="shared" si="76"/>
        <v>-2.2530499705610341</v>
      </c>
      <c r="D184" s="438">
        <f t="shared" si="77"/>
        <v>7</v>
      </c>
      <c r="E184" s="578" t="s">
        <v>339</v>
      </c>
      <c r="F184" s="505">
        <f>AVERAGE(B184:B188)</f>
        <v>9578.2000000000007</v>
      </c>
      <c r="G184" s="451"/>
      <c r="H184" s="442"/>
      <c r="I184" s="443">
        <f t="shared" si="78"/>
        <v>9335</v>
      </c>
      <c r="J184" s="446">
        <f t="shared" si="79"/>
        <v>0.6174811029490046</v>
      </c>
      <c r="K184" s="443">
        <f t="shared" si="80"/>
        <v>3.3639999999999999</v>
      </c>
      <c r="M184" s="576">
        <f t="shared" si="81"/>
        <v>-2.739191218935018</v>
      </c>
      <c r="N184" s="579" t="s">
        <v>340</v>
      </c>
      <c r="O184" s="504">
        <f>INDEX(LINEST(M178:M188,$D178:$D188),1)</f>
        <v>-0.1962840819869173</v>
      </c>
      <c r="P184" s="469">
        <f t="shared" si="82"/>
        <v>9375</v>
      </c>
      <c r="Q184" s="443">
        <f>($B184-P184)^2/1000</f>
        <v>0.32400000000000001</v>
      </c>
      <c r="S184" s="576">
        <f t="shared" si="98"/>
        <v>-1.7655956442570022</v>
      </c>
      <c r="T184" s="579" t="s">
        <v>340</v>
      </c>
      <c r="U184" s="504">
        <f>INDEX(LINEST(S178:S188,$D178:$D188),1)</f>
        <v>-9.2856481487306422E-2</v>
      </c>
      <c r="V184" s="469">
        <f t="shared" si="84"/>
        <v>9308</v>
      </c>
      <c r="W184" s="443">
        <f>($B184-V184)^2/1000</f>
        <v>7.2249999999999996</v>
      </c>
      <c r="Y184" s="576">
        <f t="shared" si="99"/>
        <v>-1.2817645960610136</v>
      </c>
      <c r="Z184" s="579" t="s">
        <v>340</v>
      </c>
      <c r="AA184" s="504">
        <f>INDEX(LINEST(Y178:Y188,$D178:$D188),1)</f>
        <v>-6.5739695081800678E-2</v>
      </c>
      <c r="AB184" s="469">
        <f t="shared" si="86"/>
        <v>9290</v>
      </c>
      <c r="AC184" s="443">
        <f t="shared" si="87"/>
        <v>10.609</v>
      </c>
      <c r="AE184" s="576">
        <f t="shared" si="100"/>
        <v>-2.1383110772858793</v>
      </c>
      <c r="AF184" s="579" t="s">
        <v>340</v>
      </c>
      <c r="AG184" s="504">
        <f>INDEX(LINEST(AE178:AE188,$D178:$D188),1)</f>
        <v>-0.12253385167961024</v>
      </c>
      <c r="AH184" s="469">
        <f t="shared" si="88"/>
        <v>9328</v>
      </c>
      <c r="AI184" s="443">
        <f t="shared" si="89"/>
        <v>4.2249999999999996</v>
      </c>
      <c r="AK184" s="576">
        <f t="shared" si="101"/>
        <v>-2.2329891172759537</v>
      </c>
      <c r="AL184" s="579" t="s">
        <v>340</v>
      </c>
      <c r="AM184" s="504">
        <f>INDEX(LINEST(AK178:AK188,$D178:$D188),1)</f>
        <v>-0.13165745301903498</v>
      </c>
      <c r="AN184" s="469">
        <f t="shared" si="90"/>
        <v>9334</v>
      </c>
      <c r="AO184" s="443">
        <f t="shared" si="91"/>
        <v>3.4809999999999999</v>
      </c>
      <c r="AQ184" s="576">
        <f t="shared" si="102"/>
        <v>-2.3375775598793798</v>
      </c>
      <c r="AR184" s="579" t="s">
        <v>340</v>
      </c>
      <c r="AS184" s="504">
        <f>INDEX(LINEST(AQ178:AQ188,$D178:$D188),1)</f>
        <v>-0.14263497050230148</v>
      </c>
      <c r="AT184" s="469">
        <f t="shared" si="92"/>
        <v>9341</v>
      </c>
      <c r="AU184" s="443">
        <f t="shared" si="93"/>
        <v>2.7040000000000002</v>
      </c>
      <c r="AW184" s="576">
        <f t="shared" si="103"/>
        <v>-2.2530499705610341</v>
      </c>
      <c r="AX184" s="579" t="s">
        <v>340</v>
      </c>
      <c r="AY184" s="504">
        <f>INDEX(LINEST(AW178:AW188,$D178:$D188),1)</f>
        <v>-0.1336867877535356</v>
      </c>
      <c r="AZ184" s="469">
        <f t="shared" si="94"/>
        <v>9335</v>
      </c>
      <c r="BA184" s="443">
        <f t="shared" si="95"/>
        <v>3.3639999999999999</v>
      </c>
      <c r="BC184" s="576">
        <f t="shared" si="104"/>
        <v>-2.2632333579517327</v>
      </c>
      <c r="BD184" s="579" t="s">
        <v>340</v>
      </c>
      <c r="BE184" s="504">
        <f>INDEX(LINEST(BC178:BC188,$D178:$D188),1)</f>
        <v>-0.13473038584641212</v>
      </c>
      <c r="BF184" s="469">
        <f t="shared" si="96"/>
        <v>9336</v>
      </c>
      <c r="BG184" s="443">
        <f t="shared" si="97"/>
        <v>3.2490000000000001</v>
      </c>
    </row>
    <row r="185" spans="1:60" ht="15" customHeight="1">
      <c r="A185" s="436">
        <f t="shared" si="75"/>
        <v>2013</v>
      </c>
      <c r="B185" s="437">
        <f t="shared" si="75"/>
        <v>9575</v>
      </c>
      <c r="C185" s="533">
        <f t="shared" si="76"/>
        <v>-2.4760685366302835</v>
      </c>
      <c r="D185" s="438">
        <f t="shared" ref="D185:D210" si="105">D184+1</f>
        <v>8</v>
      </c>
      <c r="G185" s="451"/>
      <c r="H185" s="442"/>
      <c r="I185" s="443">
        <f t="shared" si="78"/>
        <v>9454</v>
      </c>
      <c r="J185" s="446">
        <f t="shared" si="79"/>
        <v>1.2637075718015665</v>
      </c>
      <c r="K185" s="443">
        <f t="shared" si="80"/>
        <v>14.641</v>
      </c>
      <c r="M185" s="576">
        <f t="shared" si="81"/>
        <v>-3.1148216451244273</v>
      </c>
      <c r="N185" s="439" t="s">
        <v>305</v>
      </c>
      <c r="O185" s="504">
        <f>INDEX(LINEST(M178:M188,$D178:$D188),2)</f>
        <v>-1.3345899798277712</v>
      </c>
      <c r="P185" s="469">
        <f t="shared" si="82"/>
        <v>9481</v>
      </c>
      <c r="Q185" s="443">
        <f>($B185-P185)^2/1000</f>
        <v>8.8360000000000003</v>
      </c>
      <c r="S185" s="576">
        <f t="shared" si="98"/>
        <v>-1.9049837213460961</v>
      </c>
      <c r="T185" s="439" t="s">
        <v>305</v>
      </c>
      <c r="U185" s="504">
        <f>INDEX(LINEST(S178:S188,$D178:$D188),2)</f>
        <v>-1.0551139591522438</v>
      </c>
      <c r="V185" s="469">
        <f t="shared" si="84"/>
        <v>9437</v>
      </c>
      <c r="W185" s="443">
        <f>($B185-V185)^2/1000</f>
        <v>19.044</v>
      </c>
      <c r="Y185" s="576">
        <f t="shared" si="99"/>
        <v>-1.3733240106772631</v>
      </c>
      <c r="Z185" s="439" t="s">
        <v>305</v>
      </c>
      <c r="AA185" s="504">
        <f>INDEX(LINEST(Y178:Y188,$D178:$D188),2)</f>
        <v>-0.77193198921134221</v>
      </c>
      <c r="AB185" s="469">
        <f t="shared" si="86"/>
        <v>9426</v>
      </c>
      <c r="AC185" s="443">
        <f t="shared" si="87"/>
        <v>22.201000000000001</v>
      </c>
      <c r="AE185" s="576">
        <f t="shared" si="100"/>
        <v>-2.3371170765364222</v>
      </c>
      <c r="AF185" s="439" t="s">
        <v>305</v>
      </c>
      <c r="AG185" s="504">
        <f>INDEX(LINEST(AE178:AE188,$D178:$D188),2)</f>
        <v>-1.2162495495518031</v>
      </c>
      <c r="AH185" s="469">
        <f t="shared" si="88"/>
        <v>9449</v>
      </c>
      <c r="AI185" s="443">
        <f t="shared" si="89"/>
        <v>15.875999999999999</v>
      </c>
      <c r="AK185" s="576">
        <f t="shared" si="101"/>
        <v>-2.4515274277141645</v>
      </c>
      <c r="AL185" s="439" t="s">
        <v>305</v>
      </c>
      <c r="AM185" s="504">
        <f>INDEX(LINEST(AK178:AK188,$D178:$D188),2)</f>
        <v>-1.2477350588475884</v>
      </c>
      <c r="AN185" s="469">
        <f t="shared" si="90"/>
        <v>9453</v>
      </c>
      <c r="AO185" s="443">
        <f t="shared" si="91"/>
        <v>14.884</v>
      </c>
      <c r="AQ185" s="576">
        <f t="shared" si="102"/>
        <v>-2.5807391591941715</v>
      </c>
      <c r="AR185" s="439" t="s">
        <v>305</v>
      </c>
      <c r="AS185" s="504">
        <f>INDEX(LINEST(AQ178:AQ188,$D178:$D188),2)</f>
        <v>-1.2775215328665723</v>
      </c>
      <c r="AT185" s="469">
        <f t="shared" si="92"/>
        <v>9458</v>
      </c>
      <c r="AU185" s="443">
        <f t="shared" si="93"/>
        <v>13.689</v>
      </c>
      <c r="AW185" s="576">
        <f t="shared" si="103"/>
        <v>-2.4760685366302835</v>
      </c>
      <c r="AX185" s="439" t="s">
        <v>305</v>
      </c>
      <c r="AY185" s="504">
        <f>INDEX(LINEST(AW178:AW188,$D178:$D188),2)</f>
        <v>-1.2538651068733591</v>
      </c>
      <c r="AZ185" s="469">
        <f t="shared" si="94"/>
        <v>9454</v>
      </c>
      <c r="BA185" s="443">
        <f t="shared" si="95"/>
        <v>14.641</v>
      </c>
      <c r="BC185" s="576">
        <f t="shared" si="104"/>
        <v>-2.4885686993945155</v>
      </c>
      <c r="BD185" s="439" t="s">
        <v>305</v>
      </c>
      <c r="BE185" s="504">
        <f>INDEX(LINEST(BC178:BC188,$D178:$D188),2)</f>
        <v>-1.2569024570887013</v>
      </c>
      <c r="BF185" s="469">
        <f t="shared" si="96"/>
        <v>9454</v>
      </c>
      <c r="BG185" s="443">
        <f t="shared" si="97"/>
        <v>14.641</v>
      </c>
    </row>
    <row r="186" spans="1:60" ht="15" customHeight="1">
      <c r="A186" s="436">
        <f t="shared" si="75"/>
        <v>2014</v>
      </c>
      <c r="B186" s="437">
        <f t="shared" si="75"/>
        <v>9739</v>
      </c>
      <c r="C186" s="580">
        <f t="shared" si="76"/>
        <v>-2.7208642650405279</v>
      </c>
      <c r="D186" s="508">
        <f t="shared" si="105"/>
        <v>9</v>
      </c>
      <c r="E186" s="581" t="s">
        <v>340</v>
      </c>
      <c r="F186" s="504">
        <f>INDEX(LINEST(C178:C188,D178:D188),1)</f>
        <v>-0.1336867877535356</v>
      </c>
      <c r="G186" s="582"/>
      <c r="H186" s="442"/>
      <c r="I186" s="443">
        <f t="shared" si="78"/>
        <v>9561</v>
      </c>
      <c r="J186" s="467">
        <f t="shared" si="79"/>
        <v>1.8277030495944142</v>
      </c>
      <c r="K186" s="443">
        <f t="shared" si="80"/>
        <v>31.684000000000001</v>
      </c>
      <c r="M186" s="576">
        <f t="shared" si="81"/>
        <v>-3.6193733146385063</v>
      </c>
      <c r="N186" s="578" t="s">
        <v>306</v>
      </c>
      <c r="O186" s="583">
        <f>O184*-1</f>
        <v>0.1962840819869173</v>
      </c>
      <c r="P186" s="469">
        <f t="shared" si="82"/>
        <v>9569</v>
      </c>
      <c r="Q186" s="443">
        <f>($B186-P186)^2/1000</f>
        <v>28.9</v>
      </c>
      <c r="S186" s="576">
        <f t="shared" si="98"/>
        <v>-2.0442333859962791</v>
      </c>
      <c r="T186" s="578" t="s">
        <v>306</v>
      </c>
      <c r="U186" s="583">
        <f>U184*-1</f>
        <v>9.2856481487306422E-2</v>
      </c>
      <c r="V186" s="469">
        <f t="shared" si="84"/>
        <v>9557</v>
      </c>
      <c r="W186" s="443">
        <f>($B186-V186)^2/1000</f>
        <v>33.124000000000002</v>
      </c>
      <c r="Y186" s="576">
        <f t="shared" si="99"/>
        <v>-1.4603312496832295</v>
      </c>
      <c r="Z186" s="578" t="s">
        <v>306</v>
      </c>
      <c r="AA186" s="583">
        <f>AA184*-1</f>
        <v>6.5739695081800678E-2</v>
      </c>
      <c r="AB186" s="469">
        <f t="shared" si="86"/>
        <v>9556</v>
      </c>
      <c r="AC186" s="443">
        <f>($B186-AB186)^2/1000</f>
        <v>33.488999999999997</v>
      </c>
      <c r="AE186" s="576">
        <f t="shared" si="100"/>
        <v>-2.5492603640995144</v>
      </c>
      <c r="AF186" s="578" t="s">
        <v>306</v>
      </c>
      <c r="AG186" s="583">
        <f>AG184*-1</f>
        <v>0.12253385167961024</v>
      </c>
      <c r="AH186" s="469">
        <f t="shared" si="88"/>
        <v>9560</v>
      </c>
      <c r="AI186" s="443">
        <f>($B186-AH186)^2/1000</f>
        <v>32.040999999999997</v>
      </c>
      <c r="AK186" s="576">
        <f t="shared" si="101"/>
        <v>-2.6901398821095137</v>
      </c>
      <c r="AL186" s="578" t="s">
        <v>306</v>
      </c>
      <c r="AM186" s="583">
        <f>AM184*-1</f>
        <v>0.13165745301903498</v>
      </c>
      <c r="AN186" s="469">
        <f t="shared" si="90"/>
        <v>9561</v>
      </c>
      <c r="AO186" s="443">
        <f t="shared" si="91"/>
        <v>31.684000000000001</v>
      </c>
      <c r="AQ186" s="576">
        <f t="shared" si="102"/>
        <v>-2.8541728164385036</v>
      </c>
      <c r="AR186" s="578" t="s">
        <v>306</v>
      </c>
      <c r="AS186" s="583">
        <f>AS184*-1</f>
        <v>0.14263497050230148</v>
      </c>
      <c r="AT186" s="469">
        <f t="shared" si="92"/>
        <v>9562</v>
      </c>
      <c r="AU186" s="443">
        <f>($B186-AT186)^2/1000</f>
        <v>31.329000000000001</v>
      </c>
      <c r="AW186" s="576">
        <f t="shared" si="103"/>
        <v>-2.7208642650405279</v>
      </c>
      <c r="AX186" s="578" t="s">
        <v>306</v>
      </c>
      <c r="AY186" s="583">
        <f>AY184*-1</f>
        <v>0.1336867877535356</v>
      </c>
      <c r="AZ186" s="469">
        <f t="shared" si="94"/>
        <v>9561</v>
      </c>
      <c r="BA186" s="443">
        <f>($B186-AZ186)^2/1000</f>
        <v>31.684000000000001</v>
      </c>
      <c r="BC186" s="576">
        <f t="shared" si="104"/>
        <v>-2.7365878594199873</v>
      </c>
      <c r="BD186" s="578" t="s">
        <v>306</v>
      </c>
      <c r="BE186" s="583">
        <f>BE184*-1</f>
        <v>0.13473038584641212</v>
      </c>
      <c r="BF186" s="469">
        <f t="shared" si="96"/>
        <v>9561</v>
      </c>
      <c r="BG186" s="443">
        <f>($B186-BF186)^2/1000</f>
        <v>31.684000000000001</v>
      </c>
    </row>
    <row r="187" spans="1:60" ht="15" customHeight="1">
      <c r="A187" s="436">
        <f t="shared" si="75"/>
        <v>2015</v>
      </c>
      <c r="B187" s="437">
        <f t="shared" si="75"/>
        <v>9571</v>
      </c>
      <c r="C187" s="580">
        <f t="shared" si="76"/>
        <v>-2.4706940551374146</v>
      </c>
      <c r="D187" s="508">
        <f t="shared" si="105"/>
        <v>10</v>
      </c>
      <c r="E187" s="540" t="s">
        <v>305</v>
      </c>
      <c r="F187" s="504">
        <f>INDEX(LINEST(C178:C188,D178:D188),2)</f>
        <v>-1.2538651068733591</v>
      </c>
      <c r="G187" s="451"/>
      <c r="H187" s="439"/>
      <c r="I187" s="443">
        <f t="shared" si="78"/>
        <v>9656</v>
      </c>
      <c r="J187" s="467">
        <f t="shared" si="79"/>
        <v>0.88809946714031962</v>
      </c>
      <c r="K187" s="443">
        <f t="shared" si="80"/>
        <v>7.2249999999999996</v>
      </c>
      <c r="M187" s="576">
        <f t="shared" si="81"/>
        <v>-3.1050360532678911</v>
      </c>
      <c r="N187" s="439" t="s">
        <v>321</v>
      </c>
      <c r="O187" s="504">
        <f>P177</f>
        <v>0.93320148788688484</v>
      </c>
      <c r="P187" s="469">
        <f t="shared" si="82"/>
        <v>9643</v>
      </c>
      <c r="Q187" s="443">
        <f>($B187-P187)^2/1000</f>
        <v>5.1840000000000002</v>
      </c>
      <c r="S187" s="576">
        <f t="shared" si="98"/>
        <v>-1.9017627942660393</v>
      </c>
      <c r="T187" s="439" t="s">
        <v>321</v>
      </c>
      <c r="U187" s="504">
        <f>V177</f>
        <v>0.93641542340561401</v>
      </c>
      <c r="V187" s="469">
        <f t="shared" si="84"/>
        <v>9670</v>
      </c>
      <c r="W187" s="443">
        <f>($B187-V187)^2/1000</f>
        <v>9.8010000000000002</v>
      </c>
      <c r="Y187" s="576">
        <f t="shared" si="99"/>
        <v>-1.3712580431937342</v>
      </c>
      <c r="Z187" s="439" t="s">
        <v>321</v>
      </c>
      <c r="AA187" s="504">
        <f>AB177</f>
        <v>0.92993122683455631</v>
      </c>
      <c r="AB187" s="469">
        <f t="shared" si="86"/>
        <v>9682</v>
      </c>
      <c r="AC187" s="443">
        <f>($B187-AB187)^2/1000</f>
        <v>12.321</v>
      </c>
      <c r="AE187" s="576">
        <f t="shared" si="100"/>
        <v>-2.3323842333820677</v>
      </c>
      <c r="AF187" s="439" t="s">
        <v>321</v>
      </c>
      <c r="AG187" s="504">
        <f>AH177</f>
        <v>0.94012571722958949</v>
      </c>
      <c r="AH187" s="469">
        <f t="shared" si="88"/>
        <v>9659</v>
      </c>
      <c r="AI187" s="443">
        <f>($B187-AH187)^2/1000</f>
        <v>7.7439999999999998</v>
      </c>
      <c r="AK187" s="576">
        <f t="shared" si="101"/>
        <v>-2.4462728170606103</v>
      </c>
      <c r="AL187" s="439" t="s">
        <v>321</v>
      </c>
      <c r="AM187" s="504">
        <f>AN177</f>
        <v>0.94028340990428239</v>
      </c>
      <c r="AN187" s="469">
        <f t="shared" si="90"/>
        <v>9657</v>
      </c>
      <c r="AO187" s="443">
        <f t="shared" si="91"/>
        <v>7.3959999999999999</v>
      </c>
      <c r="AQ187" s="576">
        <f t="shared" si="102"/>
        <v>-2.5748192401872489</v>
      </c>
      <c r="AR187" s="439" t="s">
        <v>321</v>
      </c>
      <c r="AS187" s="504">
        <f>AT177</f>
        <v>0.9402699703015418</v>
      </c>
      <c r="AT187" s="469">
        <f t="shared" si="92"/>
        <v>9654</v>
      </c>
      <c r="AU187" s="443">
        <f>($B187-AT187)^2/1000</f>
        <v>6.8890000000000002</v>
      </c>
      <c r="AW187" s="576">
        <f t="shared" si="103"/>
        <v>-2.4706940551374146</v>
      </c>
      <c r="AX187" s="439" t="s">
        <v>321</v>
      </c>
      <c r="AY187" s="504">
        <f>AZ177</f>
        <v>0.9404137967223184</v>
      </c>
      <c r="AZ187" s="469">
        <f t="shared" si="94"/>
        <v>9656</v>
      </c>
      <c r="BA187" s="443">
        <f>($B187-AZ187)^2/1000</f>
        <v>7.2249999999999996</v>
      </c>
      <c r="BC187" s="576">
        <f t="shared" si="104"/>
        <v>-2.4831320264296304</v>
      </c>
      <c r="BD187" s="439" t="s">
        <v>321</v>
      </c>
      <c r="BE187" s="504">
        <f>BF177</f>
        <v>0.94034645975219899</v>
      </c>
      <c r="BF187" s="469">
        <f t="shared" si="96"/>
        <v>9656</v>
      </c>
      <c r="BG187" s="443">
        <f>($B187-BF187)^2/1000</f>
        <v>7.2249999999999996</v>
      </c>
    </row>
    <row r="188" spans="1:60" ht="15" customHeight="1" thickBot="1">
      <c r="A188" s="436">
        <f t="shared" si="75"/>
        <v>2016</v>
      </c>
      <c r="B188" s="437">
        <f t="shared" si="75"/>
        <v>9613</v>
      </c>
      <c r="C188" s="580">
        <f t="shared" si="76"/>
        <v>-2.5283848266985607</v>
      </c>
      <c r="D188" s="508">
        <f t="shared" si="105"/>
        <v>11</v>
      </c>
      <c r="E188" s="578" t="s">
        <v>306</v>
      </c>
      <c r="F188" s="583">
        <f>F186*-1</f>
        <v>0.1336867877535356</v>
      </c>
      <c r="H188" s="558"/>
      <c r="I188" s="443">
        <f t="shared" si="78"/>
        <v>9741</v>
      </c>
      <c r="J188" s="467">
        <f t="shared" si="79"/>
        <v>1.3315302194944347</v>
      </c>
      <c r="K188" s="443">
        <f t="shared" si="80"/>
        <v>16.384</v>
      </c>
      <c r="M188" s="576">
        <f t="shared" si="81"/>
        <v>-3.2124469350360356</v>
      </c>
      <c r="N188" s="439" t="s">
        <v>322</v>
      </c>
      <c r="O188" s="363">
        <f>SUM(Q178:Q188)</f>
        <v>169.25</v>
      </c>
      <c r="P188" s="469">
        <f t="shared" si="82"/>
        <v>9705</v>
      </c>
      <c r="Q188" s="443">
        <f>($B188-P188)^2/1000</f>
        <v>8.4640000000000004</v>
      </c>
      <c r="S188" s="584">
        <f t="shared" si="98"/>
        <v>-1.9359732077509839</v>
      </c>
      <c r="T188" s="439" t="s">
        <v>322</v>
      </c>
      <c r="U188" s="363">
        <f>SUM(W178:W188)</f>
        <v>159.82599999999999</v>
      </c>
      <c r="V188" s="469">
        <f t="shared" si="84"/>
        <v>9775</v>
      </c>
      <c r="W188" s="443">
        <f>($B188-V188)^2/1000</f>
        <v>26.244</v>
      </c>
      <c r="Y188" s="584">
        <f t="shared" si="99"/>
        <v>-1.3930790017269858</v>
      </c>
      <c r="Z188" s="439" t="s">
        <v>322</v>
      </c>
      <c r="AA188" s="363">
        <f>SUM(AC178:AC188)</f>
        <v>175.43100000000001</v>
      </c>
      <c r="AB188" s="469">
        <f t="shared" si="86"/>
        <v>9802</v>
      </c>
      <c r="AC188" s="443">
        <f>($B188-AB188)^2/1000</f>
        <v>35.720999999999997</v>
      </c>
      <c r="AE188" s="584">
        <f t="shared" si="100"/>
        <v>-2.3830266457562361</v>
      </c>
      <c r="AF188" s="439" t="s">
        <v>322</v>
      </c>
      <c r="AG188" s="363">
        <f>SUM(AI178:AI188)</f>
        <v>150.602</v>
      </c>
      <c r="AH188" s="469">
        <f t="shared" si="88"/>
        <v>9749</v>
      </c>
      <c r="AI188" s="443">
        <f>($B188-AH188)^2/1000</f>
        <v>18.495999999999999</v>
      </c>
      <c r="AK188" s="584">
        <f t="shared" si="101"/>
        <v>-2.5026433796484118</v>
      </c>
      <c r="AL188" s="439" t="s">
        <v>322</v>
      </c>
      <c r="AM188" s="363">
        <f>SUM(AO178:AO188)</f>
        <v>150.12</v>
      </c>
      <c r="AN188" s="469">
        <f t="shared" si="90"/>
        <v>9743</v>
      </c>
      <c r="AO188" s="443">
        <f>($B188-AN188)^2/1000</f>
        <v>16.899999999999999</v>
      </c>
      <c r="AQ188" s="584">
        <f t="shared" si="102"/>
        <v>-2.6385373358434676</v>
      </c>
      <c r="AR188" s="439" t="s">
        <v>322</v>
      </c>
      <c r="AS188" s="363">
        <f>SUM(AU178:AU188)</f>
        <v>150.07100000000003</v>
      </c>
      <c r="AT188" s="469">
        <f t="shared" si="92"/>
        <v>9735</v>
      </c>
      <c r="AU188" s="443">
        <f>($B188-AT188)^2/1000</f>
        <v>14.884</v>
      </c>
      <c r="AW188" s="584">
        <f t="shared" si="103"/>
        <v>-2.5283848266985607</v>
      </c>
      <c r="AX188" s="439" t="s">
        <v>322</v>
      </c>
      <c r="AY188" s="363">
        <f>SUM(BA178:BA188)</f>
        <v>149.78800000000001</v>
      </c>
      <c r="AZ188" s="469">
        <f t="shared" si="94"/>
        <v>9741</v>
      </c>
      <c r="BA188" s="443">
        <f>($B188-AZ188)^2/1000</f>
        <v>16.384</v>
      </c>
      <c r="BC188" s="584">
        <f t="shared" si="104"/>
        <v>-2.5415083746283664</v>
      </c>
      <c r="BD188" s="439" t="s">
        <v>322</v>
      </c>
      <c r="BE188" s="363">
        <f>SUM(BG178:BG188)</f>
        <v>149.97799999999998</v>
      </c>
      <c r="BF188" s="469">
        <f t="shared" si="96"/>
        <v>9740</v>
      </c>
      <c r="BG188" s="443">
        <f>($B188-BF188)^2/1000</f>
        <v>16.129000000000001</v>
      </c>
    </row>
    <row r="189" spans="1:60" ht="15" customHeight="1" thickTop="1">
      <c r="A189" s="511">
        <f t="shared" si="75"/>
        <v>2017</v>
      </c>
      <c r="B189" s="459">
        <f t="shared" si="75"/>
        <v>9843</v>
      </c>
      <c r="C189" s="585"/>
      <c r="D189" s="513">
        <f t="shared" si="105"/>
        <v>12</v>
      </c>
      <c r="E189" s="462"/>
      <c r="F189" s="461"/>
      <c r="G189" s="461"/>
      <c r="H189" s="586"/>
      <c r="I189" s="464">
        <f t="shared" si="78"/>
        <v>9817</v>
      </c>
      <c r="J189" s="463"/>
      <c r="K189" s="464"/>
      <c r="M189" s="587"/>
      <c r="N189" s="461"/>
      <c r="O189" s="461"/>
      <c r="P189" s="588"/>
      <c r="Q189" s="589"/>
      <c r="S189" s="587"/>
      <c r="T189" s="461"/>
      <c r="U189" s="461"/>
      <c r="V189" s="588"/>
      <c r="W189" s="589"/>
      <c r="Y189" s="587"/>
      <c r="Z189" s="461"/>
      <c r="AA189" s="461"/>
      <c r="AB189" s="588"/>
      <c r="AC189" s="589"/>
      <c r="AE189" s="587"/>
      <c r="AF189" s="461"/>
      <c r="AG189" s="461"/>
      <c r="AH189" s="588"/>
      <c r="AI189" s="589"/>
      <c r="AK189" s="587"/>
      <c r="AL189" s="461"/>
      <c r="AM189" s="461"/>
      <c r="AN189" s="588"/>
      <c r="AO189" s="589"/>
      <c r="AQ189" s="587"/>
      <c r="AR189" s="461"/>
      <c r="AS189" s="461"/>
      <c r="AT189" s="588"/>
      <c r="AU189" s="589"/>
      <c r="AW189" s="587"/>
      <c r="AX189" s="461"/>
      <c r="AY189" s="461"/>
      <c r="AZ189" s="588"/>
      <c r="BA189" s="589"/>
      <c r="BC189" s="587"/>
      <c r="BD189" s="461"/>
      <c r="BE189" s="461"/>
      <c r="BF189" s="588"/>
      <c r="BG189" s="589"/>
    </row>
    <row r="190" spans="1:60" ht="15" customHeight="1">
      <c r="A190" s="436">
        <f>A154</f>
        <v>2018</v>
      </c>
      <c r="B190" s="437">
        <f t="shared" ref="B190:B210" si="106">ROUND(F$182/(1+EXP(F$187+F$186*D190)),$G$1)</f>
        <v>9884</v>
      </c>
      <c r="C190" s="580"/>
      <c r="D190" s="508">
        <f t="shared" si="105"/>
        <v>13</v>
      </c>
      <c r="E190" s="2318" t="s">
        <v>276</v>
      </c>
      <c r="F190" s="2320"/>
      <c r="G190" s="447">
        <f>I177</f>
        <v>0.9404137967223184</v>
      </c>
      <c r="H190" s="558"/>
      <c r="I190" s="443">
        <f t="shared" si="78"/>
        <v>9884</v>
      </c>
      <c r="J190" s="467"/>
      <c r="K190" s="443"/>
      <c r="M190" s="590"/>
      <c r="N190" s="451"/>
      <c r="O190" s="451"/>
      <c r="P190" s="493"/>
      <c r="Q190" s="492"/>
      <c r="S190" s="590"/>
      <c r="T190" s="451"/>
      <c r="U190" s="451"/>
      <c r="V190" s="493"/>
      <c r="W190" s="492"/>
      <c r="Y190" s="590"/>
      <c r="Z190" s="451"/>
      <c r="AA190" s="451"/>
      <c r="AB190" s="493"/>
      <c r="AC190" s="492"/>
      <c r="AE190" s="590"/>
      <c r="AF190" s="451"/>
      <c r="AG190" s="451"/>
      <c r="AH190" s="493"/>
      <c r="AI190" s="492"/>
      <c r="AK190" s="590"/>
      <c r="AL190" s="451"/>
      <c r="AM190" s="451"/>
      <c r="AN190" s="493"/>
      <c r="AO190" s="492"/>
      <c r="AQ190" s="590"/>
      <c r="AR190" s="451"/>
      <c r="AS190" s="451"/>
      <c r="AT190" s="493"/>
      <c r="AU190" s="492"/>
      <c r="AW190" s="590"/>
      <c r="AX190" s="451"/>
      <c r="AY190" s="451"/>
      <c r="AZ190" s="493"/>
      <c r="BA190" s="492"/>
      <c r="BC190" s="590"/>
      <c r="BD190" s="451"/>
      <c r="BE190" s="451"/>
      <c r="BF190" s="493"/>
      <c r="BG190" s="492"/>
    </row>
    <row r="191" spans="1:60" ht="15" customHeight="1">
      <c r="A191" s="436">
        <f>A155</f>
        <v>2019</v>
      </c>
      <c r="B191" s="437">
        <f t="shared" si="106"/>
        <v>9943</v>
      </c>
      <c r="C191" s="580"/>
      <c r="D191" s="508">
        <f t="shared" si="105"/>
        <v>14</v>
      </c>
      <c r="E191" s="2318" t="s">
        <v>323</v>
      </c>
      <c r="F191" s="2320"/>
      <c r="G191" s="448">
        <f>SUM(K178:K188)</f>
        <v>149.78800000000001</v>
      </c>
      <c r="H191" s="558"/>
      <c r="I191" s="443">
        <f t="shared" si="78"/>
        <v>9943</v>
      </c>
      <c r="J191" s="467"/>
      <c r="K191" s="443"/>
      <c r="M191" s="505" t="str">
        <f>E183</f>
        <v>max(y) =</v>
      </c>
      <c r="N191" s="505">
        <f>F183</f>
        <v>9739</v>
      </c>
      <c r="O191" s="505"/>
      <c r="P191" s="505"/>
      <c r="Q191" s="505"/>
      <c r="R191" s="505"/>
      <c r="S191" s="505" t="str">
        <f>M191</f>
        <v>max(y) =</v>
      </c>
      <c r="T191" s="505">
        <f>N191</f>
        <v>9739</v>
      </c>
      <c r="U191" s="505"/>
      <c r="V191" s="505"/>
      <c r="W191" s="505"/>
      <c r="X191" s="505"/>
      <c r="Y191" s="505" t="str">
        <f>S191</f>
        <v>max(y) =</v>
      </c>
      <c r="Z191" s="505">
        <f>T191</f>
        <v>9739</v>
      </c>
      <c r="AA191" s="505"/>
      <c r="AB191" s="505"/>
      <c r="AC191" s="505"/>
      <c r="AD191" s="505"/>
      <c r="AE191" s="505" t="str">
        <f>Y191</f>
        <v>max(y) =</v>
      </c>
      <c r="AF191" s="505">
        <f>Z191</f>
        <v>9739</v>
      </c>
      <c r="AG191" s="505"/>
      <c r="AH191" s="505"/>
      <c r="AI191" s="505"/>
      <c r="AJ191" s="505"/>
      <c r="AK191" s="505" t="str">
        <f>AE191</f>
        <v>max(y) =</v>
      </c>
      <c r="AL191" s="505">
        <f>AF191</f>
        <v>9739</v>
      </c>
      <c r="AM191" s="505"/>
      <c r="AN191" s="505"/>
      <c r="AO191" s="505"/>
      <c r="AP191" s="505"/>
      <c r="AQ191" s="505" t="str">
        <f>AK191</f>
        <v>max(y) =</v>
      </c>
      <c r="AR191" s="505">
        <f>AL191</f>
        <v>9739</v>
      </c>
      <c r="AS191" s="505"/>
      <c r="AT191" s="505"/>
      <c r="AU191" s="505"/>
      <c r="AV191" s="505"/>
      <c r="AW191" s="505" t="str">
        <f>AQ191</f>
        <v>max(y) =</v>
      </c>
      <c r="AX191" s="505">
        <f>AR191</f>
        <v>9739</v>
      </c>
      <c r="AY191" s="505"/>
      <c r="AZ191" s="505"/>
      <c r="BA191" s="505"/>
      <c r="BB191" s="505"/>
      <c r="BC191" s="505" t="str">
        <f>AW191</f>
        <v>max(y) =</v>
      </c>
      <c r="BD191" s="505">
        <f>AX191</f>
        <v>9739</v>
      </c>
      <c r="BE191" s="505"/>
      <c r="BF191" s="505"/>
      <c r="BG191" s="505"/>
      <c r="BH191" s="505"/>
    </row>
    <row r="192" spans="1:60" ht="15" customHeight="1">
      <c r="A192" s="436">
        <f>A156</f>
        <v>2020</v>
      </c>
      <c r="B192" s="437">
        <f t="shared" si="106"/>
        <v>9996</v>
      </c>
      <c r="C192" s="580"/>
      <c r="D192" s="508">
        <f t="shared" si="105"/>
        <v>15</v>
      </c>
      <c r="E192" s="2318" t="s">
        <v>324</v>
      </c>
      <c r="F192" s="2320"/>
      <c r="G192" s="449">
        <f>SUM(J178:J188)/D199</f>
        <v>0.54158685282493446</v>
      </c>
      <c r="H192" s="558"/>
      <c r="I192" s="443">
        <f t="shared" si="78"/>
        <v>9996</v>
      </c>
      <c r="J192" s="467"/>
      <c r="K192" s="443"/>
      <c r="M192" s="505" t="s">
        <v>326</v>
      </c>
      <c r="N192" s="505">
        <v>3</v>
      </c>
      <c r="O192" s="505"/>
      <c r="P192" s="505"/>
      <c r="Q192" s="505"/>
      <c r="R192" s="505"/>
      <c r="S192" s="505" t="s">
        <v>326</v>
      </c>
      <c r="T192" s="505">
        <f>N192</f>
        <v>3</v>
      </c>
      <c r="U192" s="505"/>
      <c r="V192" s="505"/>
      <c r="W192" s="505"/>
      <c r="X192" s="505"/>
      <c r="Y192" s="505" t="s">
        <v>326</v>
      </c>
      <c r="Z192" s="505">
        <f>T192</f>
        <v>3</v>
      </c>
      <c r="AA192" s="505"/>
      <c r="AB192" s="505"/>
      <c r="AC192" s="505"/>
      <c r="AD192" s="505"/>
      <c r="AE192" s="505" t="s">
        <v>326</v>
      </c>
      <c r="AF192" s="505">
        <f>Z192</f>
        <v>3</v>
      </c>
      <c r="AG192" s="505"/>
      <c r="AH192" s="505"/>
      <c r="AI192" s="505"/>
      <c r="AJ192" s="505"/>
      <c r="AK192" s="505" t="s">
        <v>326</v>
      </c>
      <c r="AL192" s="505">
        <f>AF192</f>
        <v>3</v>
      </c>
      <c r="AM192" s="505"/>
      <c r="AN192" s="505"/>
      <c r="AO192" s="505"/>
      <c r="AP192" s="505"/>
      <c r="AQ192" s="505" t="s">
        <v>326</v>
      </c>
      <c r="AR192" s="505">
        <f>AL192</f>
        <v>3</v>
      </c>
      <c r="AS192" s="505"/>
      <c r="AT192" s="505"/>
      <c r="AU192" s="505"/>
      <c r="AV192" s="505"/>
      <c r="AW192" s="505" t="s">
        <v>326</v>
      </c>
      <c r="AX192" s="505">
        <f>AR192</f>
        <v>3</v>
      </c>
      <c r="AY192" s="505"/>
      <c r="AZ192" s="505"/>
      <c r="BA192" s="505"/>
      <c r="BB192" s="505"/>
      <c r="BC192" s="505" t="s">
        <v>326</v>
      </c>
      <c r="BD192" s="505">
        <f>AX192</f>
        <v>3</v>
      </c>
      <c r="BE192" s="505"/>
      <c r="BF192" s="505"/>
      <c r="BG192" s="505"/>
      <c r="BH192" s="505"/>
    </row>
    <row r="193" spans="1:70" ht="15" customHeight="1">
      <c r="A193" s="436">
        <f>A157</f>
        <v>2021</v>
      </c>
      <c r="B193" s="437">
        <f t="shared" si="106"/>
        <v>10042</v>
      </c>
      <c r="C193" s="580"/>
      <c r="D193" s="508">
        <f t="shared" si="105"/>
        <v>16</v>
      </c>
      <c r="H193" s="558"/>
      <c r="I193" s="443">
        <f t="shared" si="78"/>
        <v>10042</v>
      </c>
      <c r="J193" s="467"/>
      <c r="K193" s="443"/>
      <c r="M193" s="505" t="s">
        <v>343</v>
      </c>
      <c r="N193" s="559">
        <v>100000</v>
      </c>
      <c r="O193" s="505"/>
      <c r="P193" s="505"/>
      <c r="Q193" s="505"/>
      <c r="R193" s="505"/>
      <c r="S193" s="505" t="s">
        <v>343</v>
      </c>
      <c r="T193" s="505">
        <f>N193</f>
        <v>100000</v>
      </c>
      <c r="U193" s="505"/>
      <c r="V193" s="505"/>
      <c r="W193" s="505"/>
      <c r="X193" s="505"/>
      <c r="Y193" s="505" t="s">
        <v>343</v>
      </c>
      <c r="Z193" s="505">
        <f>T193</f>
        <v>100000</v>
      </c>
      <c r="AA193" s="505"/>
      <c r="AB193" s="505"/>
      <c r="AC193" s="505"/>
      <c r="AD193" s="505"/>
      <c r="AE193" s="505" t="s">
        <v>343</v>
      </c>
      <c r="AF193" s="505">
        <f>Z193</f>
        <v>100000</v>
      </c>
      <c r="AG193" s="505"/>
      <c r="AH193" s="505"/>
      <c r="AI193" s="505"/>
      <c r="AJ193" s="505"/>
      <c r="AK193" s="505" t="s">
        <v>343</v>
      </c>
      <c r="AL193" s="505">
        <f>AF193</f>
        <v>100000</v>
      </c>
      <c r="AM193" s="505"/>
      <c r="AN193" s="505"/>
      <c r="AO193" s="505"/>
      <c r="AP193" s="505"/>
      <c r="AQ193" s="505" t="s">
        <v>343</v>
      </c>
      <c r="AR193" s="505">
        <f>AL193</f>
        <v>100000</v>
      </c>
      <c r="AS193" s="505"/>
      <c r="AT193" s="505"/>
      <c r="AU193" s="505"/>
      <c r="AV193" s="505"/>
      <c r="AW193" s="505" t="s">
        <v>343</v>
      </c>
      <c r="AX193" s="505">
        <f>AR193</f>
        <v>100000</v>
      </c>
      <c r="AY193" s="505"/>
      <c r="AZ193" s="505"/>
      <c r="BA193" s="505"/>
      <c r="BB193" s="505"/>
      <c r="BC193" s="505" t="s">
        <v>343</v>
      </c>
      <c r="BD193" s="505">
        <f>AX193</f>
        <v>100000</v>
      </c>
      <c r="BE193" s="505"/>
      <c r="BF193" s="505"/>
      <c r="BG193" s="505"/>
      <c r="BH193" s="505"/>
    </row>
    <row r="194" spans="1:70" ht="15" customHeight="1">
      <c r="A194" s="436">
        <f>A158</f>
        <v>2022</v>
      </c>
      <c r="B194" s="437">
        <f t="shared" si="106"/>
        <v>10083</v>
      </c>
      <c r="C194" s="580"/>
      <c r="D194" s="508">
        <f t="shared" si="105"/>
        <v>17</v>
      </c>
      <c r="E194" s="451"/>
      <c r="F194" s="451"/>
      <c r="G194" s="451"/>
      <c r="H194" s="558"/>
      <c r="I194" s="443">
        <f t="shared" si="78"/>
        <v>10083</v>
      </c>
      <c r="J194" s="467"/>
      <c r="K194" s="443"/>
      <c r="M194" s="590"/>
      <c r="N194" s="451"/>
      <c r="O194" s="451"/>
      <c r="P194" s="493"/>
      <c r="Q194" s="492"/>
      <c r="S194" s="590"/>
      <c r="T194" s="451"/>
      <c r="U194" s="451"/>
      <c r="V194" s="493"/>
      <c r="W194" s="492"/>
      <c r="Y194" s="590"/>
      <c r="Z194" s="451"/>
      <c r="AA194" s="451"/>
      <c r="AB194" s="493"/>
      <c r="AC194" s="492"/>
      <c r="AE194" s="590"/>
      <c r="AF194" s="451"/>
      <c r="AG194" s="451"/>
      <c r="AH194" s="493"/>
      <c r="AI194" s="492"/>
      <c r="AK194" s="590"/>
      <c r="AL194" s="451"/>
      <c r="AM194" s="451"/>
      <c r="AN194" s="493"/>
      <c r="AO194" s="492"/>
      <c r="AQ194" s="590"/>
      <c r="AR194" s="451"/>
      <c r="AS194" s="451"/>
      <c r="AT194" s="493"/>
      <c r="AU194" s="492"/>
      <c r="AW194" s="590"/>
      <c r="AX194" s="451"/>
      <c r="AY194" s="451"/>
      <c r="AZ194" s="493"/>
      <c r="BA194" s="492"/>
      <c r="BC194" s="590"/>
      <c r="BD194" s="451"/>
      <c r="BE194" s="451"/>
      <c r="BF194" s="493"/>
      <c r="BG194" s="492"/>
    </row>
    <row r="195" spans="1:70" ht="15" customHeight="1">
      <c r="A195" s="436">
        <f t="shared" ref="A195:A210" si="107">A159</f>
        <v>2023</v>
      </c>
      <c r="B195" s="437">
        <f t="shared" si="106"/>
        <v>10120</v>
      </c>
      <c r="C195" s="580"/>
      <c r="D195" s="508">
        <f t="shared" si="105"/>
        <v>18</v>
      </c>
      <c r="E195" s="451"/>
      <c r="F195" s="451"/>
      <c r="G195" s="451"/>
      <c r="H195" s="558"/>
      <c r="I195" s="443">
        <f t="shared" si="78"/>
        <v>10120</v>
      </c>
      <c r="J195" s="467"/>
      <c r="K195" s="443"/>
      <c r="M195" s="590"/>
      <c r="N195" s="451"/>
      <c r="O195" s="451"/>
      <c r="P195" s="493"/>
      <c r="Q195" s="492"/>
      <c r="S195" s="590"/>
      <c r="T195" s="451"/>
      <c r="U195" s="451"/>
      <c r="V195" s="493"/>
      <c r="W195" s="492"/>
      <c r="Y195" s="590"/>
      <c r="Z195" s="451"/>
      <c r="AA195" s="451"/>
      <c r="AB195" s="493"/>
      <c r="AC195" s="492"/>
      <c r="AE195" s="590"/>
      <c r="AF195" s="451"/>
      <c r="AG195" s="451"/>
      <c r="AH195" s="493"/>
      <c r="AI195" s="492"/>
      <c r="AK195" s="590"/>
      <c r="AL195" s="451"/>
      <c r="AM195" s="451"/>
      <c r="AN195" s="493"/>
      <c r="AO195" s="492"/>
      <c r="AQ195" s="590"/>
      <c r="AR195" s="451"/>
      <c r="AS195" s="451"/>
      <c r="AT195" s="493"/>
      <c r="AU195" s="492"/>
      <c r="AW195" s="590"/>
      <c r="AX195" s="451"/>
      <c r="AY195" s="451"/>
      <c r="AZ195" s="493"/>
      <c r="BA195" s="492"/>
      <c r="BC195" s="590"/>
      <c r="BD195" s="451"/>
      <c r="BE195" s="451"/>
      <c r="BF195" s="493"/>
      <c r="BG195" s="492"/>
    </row>
    <row r="196" spans="1:70" s="451" customFormat="1" ht="15" customHeight="1">
      <c r="A196" s="436">
        <f t="shared" si="107"/>
        <v>2024</v>
      </c>
      <c r="B196" s="437">
        <f t="shared" si="106"/>
        <v>10152</v>
      </c>
      <c r="C196" s="580"/>
      <c r="D196" s="508">
        <f t="shared" si="105"/>
        <v>19</v>
      </c>
      <c r="H196" s="558"/>
      <c r="I196" s="443">
        <f t="shared" si="78"/>
        <v>10152</v>
      </c>
      <c r="J196" s="467"/>
      <c r="K196" s="443"/>
      <c r="M196" s="590"/>
      <c r="P196" s="493"/>
      <c r="Q196" s="492"/>
      <c r="S196" s="590"/>
      <c r="V196" s="493"/>
      <c r="W196" s="492"/>
      <c r="Y196" s="590"/>
      <c r="AB196" s="493"/>
      <c r="AC196" s="492"/>
      <c r="AE196" s="590"/>
      <c r="AH196" s="493"/>
      <c r="AI196" s="492"/>
      <c r="AK196" s="590"/>
      <c r="AN196" s="493"/>
      <c r="AO196" s="492"/>
      <c r="AQ196" s="590"/>
      <c r="AT196" s="493"/>
      <c r="AU196" s="492"/>
      <c r="AW196" s="590"/>
      <c r="AZ196" s="493"/>
      <c r="BA196" s="492"/>
      <c r="BC196" s="590"/>
      <c r="BF196" s="493"/>
      <c r="BG196" s="492"/>
    </row>
    <row r="197" spans="1:70" ht="15" customHeight="1">
      <c r="A197" s="436">
        <f t="shared" si="107"/>
        <v>2025</v>
      </c>
      <c r="B197" s="437">
        <f t="shared" si="106"/>
        <v>10180</v>
      </c>
      <c r="C197" s="580"/>
      <c r="D197" s="508">
        <f t="shared" si="105"/>
        <v>20</v>
      </c>
      <c r="E197" s="519"/>
      <c r="F197" s="451"/>
      <c r="G197" s="451"/>
      <c r="H197" s="558"/>
      <c r="I197" s="443">
        <f t="shared" si="78"/>
        <v>10180</v>
      </c>
      <c r="J197" s="467"/>
      <c r="K197" s="443"/>
      <c r="M197" s="590"/>
      <c r="N197" s="451"/>
      <c r="O197" s="451"/>
      <c r="P197" s="493"/>
      <c r="Q197" s="492"/>
      <c r="S197" s="590"/>
      <c r="T197" s="451"/>
      <c r="U197" s="451"/>
      <c r="V197" s="493"/>
      <c r="W197" s="492"/>
      <c r="Y197" s="590"/>
      <c r="Z197" s="451"/>
      <c r="AA197" s="451"/>
      <c r="AB197" s="493"/>
      <c r="AC197" s="492"/>
      <c r="AE197" s="590"/>
      <c r="AF197" s="451"/>
      <c r="AG197" s="451"/>
      <c r="AH197" s="493"/>
      <c r="AI197" s="492"/>
      <c r="AK197" s="590"/>
      <c r="AL197" s="451"/>
      <c r="AM197" s="451"/>
      <c r="AN197" s="493"/>
      <c r="AO197" s="492"/>
      <c r="AQ197" s="590"/>
      <c r="AR197" s="451"/>
      <c r="AS197" s="451"/>
      <c r="AT197" s="493"/>
      <c r="AU197" s="492"/>
      <c r="AW197" s="590"/>
      <c r="AX197" s="451"/>
      <c r="AY197" s="451"/>
      <c r="AZ197" s="493"/>
      <c r="BA197" s="492"/>
      <c r="BC197" s="590"/>
      <c r="BD197" s="451"/>
      <c r="BE197" s="451"/>
      <c r="BF197" s="493"/>
      <c r="BG197" s="492"/>
      <c r="BI197" s="590"/>
      <c r="BJ197" s="451"/>
      <c r="BK197" s="451"/>
      <c r="BL197" s="493"/>
      <c r="BM197" s="492"/>
    </row>
    <row r="198" spans="1:70" s="451" customFormat="1" ht="15" customHeight="1">
      <c r="A198" s="436">
        <f t="shared" si="107"/>
        <v>2026</v>
      </c>
      <c r="B198" s="437">
        <f t="shared" si="106"/>
        <v>10204</v>
      </c>
      <c r="C198" s="580"/>
      <c r="D198" s="508">
        <f t="shared" si="105"/>
        <v>21</v>
      </c>
      <c r="E198" s="519"/>
      <c r="H198" s="591"/>
      <c r="I198" s="443">
        <f t="shared" si="78"/>
        <v>10204</v>
      </c>
      <c r="J198" s="467"/>
      <c r="K198" s="443"/>
      <c r="M198" s="590"/>
      <c r="P198" s="493"/>
      <c r="Q198" s="492"/>
      <c r="S198" s="590"/>
      <c r="V198" s="493"/>
      <c r="W198" s="492"/>
      <c r="Y198" s="590"/>
      <c r="AB198" s="493"/>
      <c r="AC198" s="492"/>
      <c r="AE198" s="590"/>
      <c r="AH198" s="493"/>
      <c r="AI198" s="492"/>
      <c r="AK198" s="590"/>
      <c r="AN198" s="493"/>
      <c r="AO198" s="492"/>
      <c r="AQ198" s="590"/>
      <c r="AT198" s="493"/>
      <c r="AU198" s="492"/>
      <c r="AW198" s="590"/>
      <c r="AZ198" s="493"/>
      <c r="BA198" s="492"/>
      <c r="BC198" s="590"/>
      <c r="BF198" s="493"/>
      <c r="BG198" s="492"/>
      <c r="BI198" s="590"/>
      <c r="BL198" s="493"/>
      <c r="BM198" s="492"/>
    </row>
    <row r="199" spans="1:70" s="451" customFormat="1" ht="15" customHeight="1" thickBot="1">
      <c r="A199" s="436">
        <f t="shared" si="107"/>
        <v>2027</v>
      </c>
      <c r="B199" s="437">
        <f t="shared" si="106"/>
        <v>10226</v>
      </c>
      <c r="C199" s="580"/>
      <c r="D199" s="508">
        <f t="shared" si="105"/>
        <v>22</v>
      </c>
      <c r="E199" s="560" t="s">
        <v>344</v>
      </c>
      <c r="F199" s="561" t="s">
        <v>332</v>
      </c>
      <c r="G199" s="561" t="s">
        <v>277</v>
      </c>
      <c r="H199" s="591"/>
      <c r="I199" s="443">
        <f t="shared" si="78"/>
        <v>10226</v>
      </c>
      <c r="J199" s="467"/>
      <c r="K199" s="443"/>
      <c r="M199" s="590"/>
      <c r="P199" s="493"/>
      <c r="Q199" s="492"/>
      <c r="S199" s="590"/>
      <c r="V199" s="493"/>
      <c r="W199" s="492"/>
      <c r="Y199" s="590"/>
      <c r="AB199" s="493"/>
      <c r="AC199" s="492"/>
      <c r="AE199" s="590"/>
      <c r="AH199" s="493"/>
      <c r="AI199" s="492"/>
      <c r="AK199" s="590"/>
      <c r="AN199" s="493"/>
      <c r="AO199" s="492"/>
      <c r="AQ199" s="590"/>
      <c r="AT199" s="493"/>
      <c r="AU199" s="492"/>
      <c r="AW199" s="590"/>
      <c r="AZ199" s="493"/>
      <c r="BA199" s="492"/>
      <c r="BC199" s="590"/>
      <c r="BF199" s="493"/>
      <c r="BG199" s="492"/>
      <c r="BI199" s="590"/>
      <c r="BL199" s="493"/>
      <c r="BM199" s="492"/>
    </row>
    <row r="200" spans="1:70" ht="15" customHeight="1" thickTop="1">
      <c r="A200" s="436">
        <f t="shared" si="107"/>
        <v>2028</v>
      </c>
      <c r="B200" s="437">
        <f t="shared" si="106"/>
        <v>10245</v>
      </c>
      <c r="C200" s="520"/>
      <c r="D200" s="508">
        <f t="shared" si="105"/>
        <v>23</v>
      </c>
      <c r="E200" s="592">
        <v>10000</v>
      </c>
      <c r="F200" s="563">
        <f>IFERROR(O187,0)</f>
        <v>0.93320148788688484</v>
      </c>
      <c r="G200" s="564">
        <f>O188</f>
        <v>169.25</v>
      </c>
      <c r="H200" s="591"/>
      <c r="I200" s="443">
        <f t="shared" si="78"/>
        <v>10245</v>
      </c>
      <c r="J200" s="469"/>
      <c r="K200" s="469"/>
      <c r="L200" s="326">
        <f>RANK(F200,$F$200:$F$207)</f>
        <v>7</v>
      </c>
    </row>
    <row r="201" spans="1:70" ht="15" customHeight="1">
      <c r="A201" s="436">
        <f t="shared" si="107"/>
        <v>2029</v>
      </c>
      <c r="B201" s="437">
        <f t="shared" si="106"/>
        <v>10262</v>
      </c>
      <c r="C201" s="520"/>
      <c r="D201" s="508">
        <f t="shared" si="105"/>
        <v>24</v>
      </c>
      <c r="E201" s="593">
        <v>11000</v>
      </c>
      <c r="F201" s="565">
        <f>IFERROR(V177,0)</f>
        <v>0.93641542340561401</v>
      </c>
      <c r="G201" s="564">
        <f>U188</f>
        <v>159.82599999999999</v>
      </c>
      <c r="H201" s="591"/>
      <c r="I201" s="443">
        <f t="shared" si="78"/>
        <v>10262</v>
      </c>
      <c r="J201" s="469"/>
      <c r="K201" s="469"/>
      <c r="L201" s="326">
        <f t="shared" ref="L201:L207" si="108">RANK(F201,$F$200:$F$207)</f>
        <v>6</v>
      </c>
    </row>
    <row r="202" spans="1:70" ht="15" customHeight="1">
      <c r="A202" s="436">
        <f t="shared" si="107"/>
        <v>2030</v>
      </c>
      <c r="B202" s="437">
        <f t="shared" si="106"/>
        <v>10276</v>
      </c>
      <c r="C202" s="520"/>
      <c r="D202" s="508">
        <f t="shared" si="105"/>
        <v>25</v>
      </c>
      <c r="E202" s="593">
        <v>12000</v>
      </c>
      <c r="F202" s="565">
        <f>IFERROR(AB177,0)</f>
        <v>0.92993122683455631</v>
      </c>
      <c r="G202" s="564">
        <f>AA188</f>
        <v>175.43100000000001</v>
      </c>
      <c r="H202" s="591"/>
      <c r="I202" s="443">
        <f t="shared" si="78"/>
        <v>10276</v>
      </c>
      <c r="J202" s="469"/>
      <c r="K202" s="469"/>
      <c r="L202" s="326">
        <f t="shared" si="108"/>
        <v>8</v>
      </c>
      <c r="BK202" s="505"/>
      <c r="BL202" s="505"/>
      <c r="BM202" s="505"/>
      <c r="BN202" s="505"/>
      <c r="BO202" s="505"/>
      <c r="BP202" s="505"/>
      <c r="BQ202" s="505"/>
      <c r="BR202" s="505"/>
    </row>
    <row r="203" spans="1:70" ht="15" customHeight="1">
      <c r="A203" s="436">
        <f t="shared" si="107"/>
        <v>2031</v>
      </c>
      <c r="B203" s="437">
        <f t="shared" si="106"/>
        <v>10289</v>
      </c>
      <c r="C203" s="520"/>
      <c r="D203" s="508">
        <f t="shared" si="105"/>
        <v>26</v>
      </c>
      <c r="E203" s="593">
        <v>10500</v>
      </c>
      <c r="F203" s="565">
        <f>IFERROR(AH177,0)</f>
        <v>0.94012571722958949</v>
      </c>
      <c r="G203" s="564">
        <f>AG188</f>
        <v>150.602</v>
      </c>
      <c r="H203" s="591"/>
      <c r="I203" s="443">
        <f t="shared" si="78"/>
        <v>10289</v>
      </c>
      <c r="J203" s="469"/>
      <c r="K203" s="469"/>
      <c r="L203" s="326">
        <f t="shared" si="108"/>
        <v>5</v>
      </c>
    </row>
    <row r="204" spans="1:70" ht="15" customHeight="1">
      <c r="A204" s="436">
        <f t="shared" si="107"/>
        <v>2032</v>
      </c>
      <c r="B204" s="437">
        <f t="shared" si="106"/>
        <v>10300</v>
      </c>
      <c r="C204" s="520"/>
      <c r="D204" s="508">
        <f t="shared" si="105"/>
        <v>27</v>
      </c>
      <c r="E204" s="593">
        <v>10400</v>
      </c>
      <c r="F204" s="565">
        <f>IFERROR(AN177,0)</f>
        <v>0.94028340990428239</v>
      </c>
      <c r="G204" s="564">
        <f>AM188</f>
        <v>150.12</v>
      </c>
      <c r="H204" s="591"/>
      <c r="I204" s="443">
        <f t="shared" si="78"/>
        <v>10300</v>
      </c>
      <c r="J204" s="469"/>
      <c r="K204" s="469"/>
      <c r="L204" s="326">
        <f t="shared" si="108"/>
        <v>3</v>
      </c>
    </row>
    <row r="205" spans="1:70" ht="15" customHeight="1">
      <c r="A205" s="436">
        <f t="shared" si="107"/>
        <v>2033</v>
      </c>
      <c r="B205" s="437">
        <f t="shared" si="106"/>
        <v>10310</v>
      </c>
      <c r="C205" s="520"/>
      <c r="D205" s="508">
        <f t="shared" si="105"/>
        <v>28</v>
      </c>
      <c r="E205" s="593">
        <v>10300</v>
      </c>
      <c r="F205" s="565">
        <f>IFERROR(AT177,0)</f>
        <v>0.9402699703015418</v>
      </c>
      <c r="G205" s="564">
        <f>AS188</f>
        <v>150.07100000000003</v>
      </c>
      <c r="H205" s="591"/>
      <c r="I205" s="443">
        <f t="shared" si="78"/>
        <v>10310</v>
      </c>
      <c r="J205" s="469"/>
      <c r="K205" s="469"/>
      <c r="L205" s="326">
        <f t="shared" si="108"/>
        <v>4</v>
      </c>
    </row>
    <row r="206" spans="1:70" ht="15" customHeight="1">
      <c r="A206" s="436">
        <f t="shared" si="107"/>
        <v>2034</v>
      </c>
      <c r="B206" s="437">
        <f t="shared" si="106"/>
        <v>10319</v>
      </c>
      <c r="C206" s="520"/>
      <c r="D206" s="508">
        <f t="shared" si="105"/>
        <v>29</v>
      </c>
      <c r="E206" s="593">
        <v>10380</v>
      </c>
      <c r="F206" s="565">
        <f>IFERROR(AZ177,0)</f>
        <v>0.9404137967223184</v>
      </c>
      <c r="G206" s="594">
        <f>AY188</f>
        <v>149.78800000000001</v>
      </c>
      <c r="H206" s="591"/>
      <c r="I206" s="443">
        <f t="shared" si="78"/>
        <v>10319</v>
      </c>
      <c r="J206" s="469"/>
      <c r="K206" s="469"/>
      <c r="L206" s="326">
        <f t="shared" si="108"/>
        <v>1</v>
      </c>
    </row>
    <row r="207" spans="1:70" ht="15" customHeight="1">
      <c r="A207" s="522">
        <f t="shared" si="107"/>
        <v>2035</v>
      </c>
      <c r="B207" s="523">
        <f t="shared" si="106"/>
        <v>10327</v>
      </c>
      <c r="C207" s="524"/>
      <c r="D207" s="525">
        <f t="shared" si="105"/>
        <v>30</v>
      </c>
      <c r="E207" s="570">
        <v>10370</v>
      </c>
      <c r="F207" s="571">
        <f>IFERROR(BF177,0)</f>
        <v>0.94034645975219899</v>
      </c>
      <c r="G207" s="595">
        <f>BE188</f>
        <v>149.97799999999998</v>
      </c>
      <c r="H207" s="596"/>
      <c r="I207" s="528">
        <f t="shared" si="78"/>
        <v>10327</v>
      </c>
      <c r="J207" s="529"/>
      <c r="K207" s="529"/>
      <c r="L207" s="326">
        <f t="shared" si="108"/>
        <v>2</v>
      </c>
    </row>
    <row r="208" spans="1:70" ht="15" customHeight="1">
      <c r="A208" s="522">
        <f t="shared" si="107"/>
        <v>2036</v>
      </c>
      <c r="B208" s="523">
        <f t="shared" si="106"/>
        <v>10333</v>
      </c>
      <c r="C208" s="524"/>
      <c r="D208" s="525">
        <f t="shared" si="105"/>
        <v>31</v>
      </c>
      <c r="E208" s="570"/>
      <c r="F208" s="571"/>
      <c r="G208" s="595"/>
      <c r="H208" s="596"/>
      <c r="I208" s="528">
        <f t="shared" si="78"/>
        <v>10333</v>
      </c>
      <c r="J208" s="529"/>
      <c r="K208" s="529"/>
    </row>
    <row r="209" spans="1:41" ht="20.100000000000001" customHeight="1">
      <c r="A209" s="522">
        <f t="shared" si="107"/>
        <v>2037</v>
      </c>
      <c r="B209" s="523">
        <f t="shared" si="106"/>
        <v>10339</v>
      </c>
      <c r="C209" s="524"/>
      <c r="D209" s="525">
        <f t="shared" si="105"/>
        <v>32</v>
      </c>
      <c r="E209" s="570"/>
      <c r="F209" s="571"/>
      <c r="G209" s="595"/>
      <c r="H209" s="596"/>
      <c r="I209" s="528">
        <f t="shared" si="78"/>
        <v>10339</v>
      </c>
      <c r="J209" s="529"/>
      <c r="K209" s="529"/>
      <c r="L209" s="578"/>
      <c r="M209" s="578"/>
      <c r="N209" s="578"/>
      <c r="O209" s="578"/>
      <c r="P209" s="578"/>
      <c r="Q209" s="578"/>
      <c r="R209" s="578"/>
      <c r="S209" s="578"/>
      <c r="T209" s="578"/>
      <c r="U209" s="578"/>
      <c r="V209" s="578"/>
      <c r="W209" s="578"/>
      <c r="X209" s="578"/>
      <c r="Y209" s="578"/>
      <c r="Z209" s="578"/>
      <c r="AA209" s="578"/>
      <c r="AB209" s="578"/>
      <c r="AC209" s="578"/>
      <c r="AD209" s="578"/>
      <c r="AE209" s="578"/>
      <c r="AF209" s="578"/>
      <c r="AG209" s="578"/>
      <c r="AH209" s="578"/>
      <c r="AI209" s="578"/>
      <c r="AJ209" s="578"/>
      <c r="AK209" s="578"/>
      <c r="AL209" s="578"/>
      <c r="AM209" s="578"/>
      <c r="AN209" s="578"/>
      <c r="AO209" s="578"/>
    </row>
    <row r="210" spans="1:41" ht="20.100000000000001" customHeight="1">
      <c r="A210" s="522">
        <f t="shared" si="107"/>
        <v>2038</v>
      </c>
      <c r="B210" s="523">
        <f t="shared" si="106"/>
        <v>10344</v>
      </c>
      <c r="C210" s="524"/>
      <c r="D210" s="525">
        <f t="shared" si="105"/>
        <v>33</v>
      </c>
      <c r="E210" s="570"/>
      <c r="F210" s="571"/>
      <c r="G210" s="595"/>
      <c r="H210" s="596"/>
      <c r="I210" s="528">
        <f t="shared" si="78"/>
        <v>10344</v>
      </c>
      <c r="J210" s="529"/>
      <c r="K210" s="529"/>
      <c r="L210" s="578"/>
      <c r="M210" s="578"/>
      <c r="N210" s="578"/>
      <c r="O210" s="578"/>
      <c r="P210" s="578"/>
      <c r="Q210" s="578"/>
      <c r="R210" s="578"/>
      <c r="S210" s="578"/>
      <c r="T210" s="578"/>
      <c r="U210" s="578"/>
      <c r="V210" s="578"/>
      <c r="W210" s="578"/>
      <c r="X210" s="578"/>
      <c r="Y210" s="578"/>
      <c r="Z210" s="578"/>
      <c r="AA210" s="578"/>
      <c r="AB210" s="578"/>
      <c r="AC210" s="578"/>
      <c r="AD210" s="578"/>
      <c r="AE210" s="578"/>
      <c r="AF210" s="578"/>
      <c r="AG210" s="578"/>
      <c r="AH210" s="578"/>
      <c r="AI210" s="578"/>
      <c r="AJ210" s="578"/>
      <c r="AK210" s="578"/>
      <c r="AL210" s="578"/>
      <c r="AM210" s="578"/>
      <c r="AN210" s="578"/>
      <c r="AO210" s="578"/>
    </row>
    <row r="211" spans="1:41" ht="20.100000000000001" customHeight="1">
      <c r="K211" s="578"/>
      <c r="L211" s="578"/>
      <c r="M211" s="578"/>
      <c r="N211" s="578"/>
      <c r="O211" s="578"/>
      <c r="P211" s="578"/>
      <c r="Q211" s="578"/>
      <c r="R211" s="578"/>
      <c r="S211" s="578"/>
      <c r="T211" s="578"/>
      <c r="U211" s="578"/>
      <c r="V211" s="578"/>
      <c r="W211" s="578"/>
      <c r="X211" s="578"/>
      <c r="Y211" s="578"/>
      <c r="Z211" s="578"/>
      <c r="AA211" s="578"/>
      <c r="AB211" s="578"/>
      <c r="AC211" s="578"/>
      <c r="AD211" s="578"/>
      <c r="AE211" s="578"/>
      <c r="AF211" s="578"/>
      <c r="AG211" s="578"/>
      <c r="AH211" s="578"/>
      <c r="AI211" s="578"/>
      <c r="AJ211" s="578"/>
      <c r="AK211" s="578"/>
      <c r="AL211" s="578"/>
      <c r="AM211" s="578"/>
      <c r="AN211" s="578"/>
      <c r="AO211" s="578"/>
    </row>
    <row r="212" spans="1:41" ht="20.100000000000001" customHeight="1">
      <c r="K212" s="578"/>
      <c r="L212" s="578"/>
      <c r="M212" s="578"/>
      <c r="N212" s="578"/>
      <c r="O212" s="578"/>
      <c r="P212" s="578"/>
      <c r="Q212" s="578"/>
      <c r="R212" s="578"/>
      <c r="S212" s="578"/>
      <c r="T212" s="578"/>
      <c r="U212" s="578"/>
      <c r="V212" s="578"/>
      <c r="W212" s="578"/>
      <c r="X212" s="578"/>
      <c r="Y212" s="578"/>
      <c r="Z212" s="578"/>
      <c r="AA212" s="578"/>
      <c r="AB212" s="578"/>
      <c r="AC212" s="578"/>
      <c r="AD212" s="578"/>
      <c r="AE212" s="578"/>
      <c r="AF212" s="578"/>
      <c r="AG212" s="578"/>
      <c r="AH212" s="578"/>
      <c r="AI212" s="578"/>
      <c r="AJ212" s="578"/>
      <c r="AK212" s="578"/>
      <c r="AL212" s="578"/>
      <c r="AM212" s="578"/>
      <c r="AN212" s="578"/>
      <c r="AO212" s="578"/>
    </row>
    <row r="213" spans="1:41" ht="20.100000000000001" customHeight="1">
      <c r="K213" s="578"/>
      <c r="L213" s="578"/>
      <c r="M213" s="578"/>
      <c r="N213" s="578"/>
      <c r="O213" s="578"/>
      <c r="P213" s="578"/>
      <c r="Q213" s="578"/>
      <c r="R213" s="578"/>
      <c r="S213" s="578"/>
      <c r="T213" s="578"/>
      <c r="U213" s="578"/>
      <c r="V213" s="578"/>
      <c r="W213" s="578"/>
      <c r="X213" s="578"/>
      <c r="Y213" s="578"/>
      <c r="Z213" s="578"/>
      <c r="AA213" s="578"/>
      <c r="AB213" s="578"/>
      <c r="AC213" s="578"/>
      <c r="AD213" s="578"/>
      <c r="AE213" s="578"/>
      <c r="AF213" s="578"/>
      <c r="AG213" s="578"/>
      <c r="AH213" s="578"/>
      <c r="AI213" s="578"/>
      <c r="AJ213" s="578"/>
      <c r="AK213" s="578"/>
      <c r="AL213" s="578"/>
      <c r="AM213" s="578"/>
      <c r="AN213" s="578"/>
      <c r="AO213" s="578"/>
    </row>
    <row r="214" spans="1:41" ht="20.100000000000001" customHeight="1"/>
    <row r="215" spans="1:41" ht="20.100000000000001" customHeight="1"/>
    <row r="216" spans="1:41" ht="20.100000000000001" customHeight="1"/>
    <row r="217" spans="1:41" ht="20.100000000000001" customHeight="1"/>
    <row r="218" spans="1:41" ht="20.100000000000001" customHeight="1"/>
    <row r="219" spans="1:41" ht="20.100000000000001" customHeight="1"/>
    <row r="220" spans="1:41" ht="20.100000000000001" customHeight="1"/>
    <row r="221" spans="1:41" ht="20.100000000000001" customHeight="1"/>
    <row r="222" spans="1:41" ht="20.100000000000001" customHeight="1"/>
    <row r="223" spans="1:41" ht="20.100000000000001" customHeight="1"/>
    <row r="224" spans="1:41" ht="20.100000000000001" customHeight="1"/>
    <row r="225" ht="20.100000000000001" customHeight="1"/>
    <row r="226" s="325" customFormat="1" ht="20.100000000000001" customHeight="1"/>
    <row r="227" s="325" customFormat="1" ht="20.100000000000001" customHeight="1"/>
    <row r="228" s="325" customFormat="1" ht="20.100000000000001" customHeight="1"/>
    <row r="229" s="325" customFormat="1" ht="20.100000000000001" customHeight="1"/>
    <row r="230" s="325" customFormat="1" ht="20.100000000000001" customHeight="1"/>
  </sheetData>
  <mergeCells count="17">
    <mergeCell ref="F154:G154"/>
    <mergeCell ref="F155:G155"/>
    <mergeCell ref="E190:F190"/>
    <mergeCell ref="E191:F191"/>
    <mergeCell ref="E192:F192"/>
    <mergeCell ref="F153:G153"/>
    <mergeCell ref="I5:J5"/>
    <mergeCell ref="A39:B39"/>
    <mergeCell ref="A40:B40"/>
    <mergeCell ref="A41:B41"/>
    <mergeCell ref="D70:E70"/>
    <mergeCell ref="D71:E71"/>
    <mergeCell ref="D72:E72"/>
    <mergeCell ref="D73:E73"/>
    <mergeCell ref="E115:F115"/>
    <mergeCell ref="E116:F116"/>
    <mergeCell ref="E117:F117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CX230"/>
  <sheetViews>
    <sheetView view="pageBreakPreview" zoomScaleNormal="100" zoomScaleSheetLayoutView="100" workbookViewId="0">
      <selection activeCell="A3" sqref="A3:F3"/>
    </sheetView>
  </sheetViews>
  <sheetFormatPr defaultRowHeight="14.85" customHeight="1"/>
  <cols>
    <col min="1" max="2" width="12.125" style="325" customWidth="1"/>
    <col min="3" max="5" width="13" style="326" customWidth="1"/>
    <col min="6" max="6" width="12.875" style="326" customWidth="1"/>
    <col min="7" max="7" width="13" style="326" customWidth="1"/>
    <col min="8" max="8" width="13.125" style="326" customWidth="1"/>
    <col min="9" max="10" width="12.125" style="326" customWidth="1"/>
    <col min="11" max="11" width="14.375" style="326" bestFit="1" customWidth="1"/>
    <col min="12" max="12" width="11" style="326" customWidth="1"/>
    <col min="13" max="13" width="10" style="326" customWidth="1"/>
    <col min="14" max="14" width="10.875" style="326" customWidth="1"/>
    <col min="15" max="15" width="13.75" style="326" customWidth="1"/>
    <col min="16" max="16" width="10" style="326" customWidth="1"/>
    <col min="17" max="17" width="13.25" style="326" customWidth="1"/>
    <col min="18" max="18" width="14.375" style="326" customWidth="1"/>
    <col min="19" max="19" width="10" style="326" customWidth="1"/>
    <col min="20" max="20" width="10.875" style="326" customWidth="1"/>
    <col min="21" max="21" width="11.375" style="326" customWidth="1"/>
    <col min="22" max="22" width="15.375" style="326" customWidth="1"/>
    <col min="23" max="24" width="10.75" style="326" customWidth="1"/>
    <col min="25" max="25" width="14.375" style="326" customWidth="1"/>
    <col min="26" max="26" width="10.75" style="326" customWidth="1"/>
    <col min="27" max="27" width="11.75" style="326" customWidth="1"/>
    <col min="28" max="28" width="10" style="326" customWidth="1"/>
    <col min="29" max="29" width="15.375" style="326" customWidth="1"/>
    <col min="30" max="30" width="10" style="326" customWidth="1"/>
    <col min="31" max="31" width="10.75" style="326" customWidth="1"/>
    <col min="32" max="32" width="14.875" style="326" customWidth="1"/>
    <col min="33" max="33" width="11.5" style="326" customWidth="1"/>
    <col min="34" max="34" width="10" style="326" customWidth="1"/>
    <col min="35" max="35" width="10.75" style="326" customWidth="1"/>
    <col min="36" max="36" width="13.5" style="326" customWidth="1"/>
    <col min="37" max="37" width="9" style="326"/>
    <col min="38" max="38" width="10.75" style="326" bestFit="1" customWidth="1"/>
    <col min="39" max="39" width="13.75" style="326" customWidth="1"/>
    <col min="40" max="40" width="9" style="326"/>
    <col min="41" max="41" width="10.625" style="326" customWidth="1"/>
    <col min="42" max="42" width="9" style="326"/>
    <col min="43" max="43" width="14.25" style="326" customWidth="1"/>
    <col min="44" max="44" width="10.75" style="326" bestFit="1" customWidth="1"/>
    <col min="45" max="45" width="11.625" style="326" customWidth="1"/>
    <col min="46" max="46" width="13.75" style="326" customWidth="1"/>
    <col min="47" max="47" width="10.625" style="326" customWidth="1"/>
    <col min="48" max="49" width="9" style="326"/>
    <col min="50" max="50" width="14.125" style="326" customWidth="1"/>
    <col min="51" max="51" width="11" style="326" customWidth="1"/>
    <col min="52" max="52" width="10.75" style="326" bestFit="1" customWidth="1"/>
    <col min="53" max="53" width="13.5" style="326" customWidth="1"/>
    <col min="54" max="55" width="9" style="326"/>
    <col min="56" max="56" width="10.75" style="326" bestFit="1" customWidth="1"/>
    <col min="57" max="57" width="14" style="326" customWidth="1"/>
    <col min="58" max="58" width="9" style="326"/>
    <col min="59" max="59" width="10.75" style="326" customWidth="1"/>
    <col min="60" max="60" width="12.75" style="326" customWidth="1"/>
    <col min="61" max="61" width="9" style="326"/>
    <col min="62" max="62" width="10.75" style="326" bestFit="1" customWidth="1"/>
    <col min="63" max="63" width="11.5" style="326" customWidth="1"/>
    <col min="64" max="64" width="13.625" style="326" customWidth="1"/>
    <col min="65" max="65" width="10.625" style="326" customWidth="1"/>
    <col min="66" max="66" width="10.75" style="326" bestFit="1" customWidth="1"/>
    <col min="67" max="67" width="12.375" style="326" customWidth="1"/>
    <col min="68" max="70" width="9" style="326"/>
    <col min="71" max="71" width="15.75" style="326" customWidth="1"/>
    <col min="72" max="72" width="9" style="326"/>
    <col min="73" max="73" width="10.75" style="326" bestFit="1" customWidth="1"/>
    <col min="74" max="74" width="12.625" style="326" customWidth="1"/>
    <col min="75" max="77" width="9" style="326"/>
    <col min="78" max="78" width="13.625" style="326" customWidth="1"/>
    <col min="79" max="79" width="9" style="326"/>
    <col min="80" max="80" width="10.75" style="326" bestFit="1" customWidth="1"/>
    <col min="81" max="81" width="12.5" style="326" customWidth="1"/>
    <col min="82" max="84" width="9" style="326"/>
    <col min="85" max="85" width="12.875" style="326" customWidth="1"/>
    <col min="86" max="86" width="9" style="326"/>
    <col min="87" max="87" width="10.75" style="326" bestFit="1" customWidth="1"/>
    <col min="88" max="88" width="13.875" style="326" customWidth="1"/>
    <col min="89" max="91" width="9" style="326"/>
    <col min="92" max="92" width="14.125" style="326" customWidth="1"/>
    <col min="93" max="93" width="9" style="326"/>
    <col min="94" max="94" width="10.75" style="326" bestFit="1" customWidth="1"/>
    <col min="95" max="95" width="13.25" style="326" customWidth="1"/>
    <col min="96" max="98" width="9" style="326"/>
    <col min="99" max="99" width="13.25" style="326" customWidth="1"/>
    <col min="100" max="100" width="9" style="326"/>
    <col min="101" max="101" width="10.75" style="326" bestFit="1" customWidth="1"/>
    <col min="102" max="102" width="13.875" style="326" customWidth="1"/>
    <col min="103" max="250" width="9" style="326"/>
    <col min="251" max="252" width="12.125" style="326" customWidth="1"/>
    <col min="253" max="255" width="13" style="326" customWidth="1"/>
    <col min="256" max="256" width="12.875" style="326" customWidth="1"/>
    <col min="257" max="257" width="13" style="326" customWidth="1"/>
    <col min="258" max="258" width="13.125" style="326" customWidth="1"/>
    <col min="259" max="260" width="12.125" style="326" customWidth="1"/>
    <col min="261" max="261" width="14.375" style="326" bestFit="1" customWidth="1"/>
    <col min="262" max="262" width="11" style="326" customWidth="1"/>
    <col min="263" max="263" width="10" style="326" customWidth="1"/>
    <col min="264" max="264" width="10.875" style="326" customWidth="1"/>
    <col min="265" max="265" width="13.75" style="326" customWidth="1"/>
    <col min="266" max="266" width="10" style="326" customWidth="1"/>
    <col min="267" max="267" width="13.25" style="326" customWidth="1"/>
    <col min="268" max="268" width="14.375" style="326" customWidth="1"/>
    <col min="269" max="269" width="10" style="326" customWidth="1"/>
    <col min="270" max="270" width="10.875" style="326" customWidth="1"/>
    <col min="271" max="271" width="11.375" style="326" customWidth="1"/>
    <col min="272" max="272" width="15.375" style="326" customWidth="1"/>
    <col min="273" max="274" width="10.75" style="326" customWidth="1"/>
    <col min="275" max="275" width="14.375" style="326" customWidth="1"/>
    <col min="276" max="276" width="10.75" style="326" customWidth="1"/>
    <col min="277" max="277" width="11.75" style="326" customWidth="1"/>
    <col min="278" max="278" width="10" style="326" customWidth="1"/>
    <col min="279" max="279" width="15.375" style="326" customWidth="1"/>
    <col min="280" max="280" width="10" style="326" customWidth="1"/>
    <col min="281" max="281" width="10.75" style="326" customWidth="1"/>
    <col min="282" max="282" width="14.875" style="326" customWidth="1"/>
    <col min="283" max="283" width="11.5" style="326" customWidth="1"/>
    <col min="284" max="284" width="10" style="326" customWidth="1"/>
    <col min="285" max="285" width="10.75" style="326" customWidth="1"/>
    <col min="286" max="286" width="13.5" style="326" customWidth="1"/>
    <col min="287" max="287" width="9" style="326"/>
    <col min="288" max="288" width="10.75" style="326" bestFit="1" customWidth="1"/>
    <col min="289" max="289" width="13.75" style="326" customWidth="1"/>
    <col min="290" max="290" width="9" style="326"/>
    <col min="291" max="291" width="10.625" style="326" customWidth="1"/>
    <col min="292" max="292" width="9" style="326"/>
    <col min="293" max="293" width="14.25" style="326" customWidth="1"/>
    <col min="294" max="294" width="10.75" style="326" bestFit="1" customWidth="1"/>
    <col min="295" max="295" width="11.625" style="326" customWidth="1"/>
    <col min="296" max="296" width="13.75" style="326" customWidth="1"/>
    <col min="297" max="297" width="10.625" style="326" customWidth="1"/>
    <col min="298" max="299" width="9" style="326"/>
    <col min="300" max="300" width="14.125" style="326" customWidth="1"/>
    <col min="301" max="301" width="11" style="326" customWidth="1"/>
    <col min="302" max="302" width="10.75" style="326" bestFit="1" customWidth="1"/>
    <col min="303" max="303" width="13.5" style="326" customWidth="1"/>
    <col min="304" max="305" width="9" style="326"/>
    <col min="306" max="306" width="10.75" style="326" bestFit="1" customWidth="1"/>
    <col min="307" max="307" width="14" style="326" customWidth="1"/>
    <col min="308" max="308" width="9" style="326"/>
    <col min="309" max="309" width="10.75" style="326" customWidth="1"/>
    <col min="310" max="310" width="12.75" style="326" customWidth="1"/>
    <col min="311" max="311" width="9" style="326"/>
    <col min="312" max="312" width="10.75" style="326" bestFit="1" customWidth="1"/>
    <col min="313" max="313" width="11.5" style="326" customWidth="1"/>
    <col min="314" max="314" width="13.625" style="326" customWidth="1"/>
    <col min="315" max="315" width="10.625" style="326" customWidth="1"/>
    <col min="316" max="316" width="10.75" style="326" bestFit="1" customWidth="1"/>
    <col min="317" max="317" width="12.375" style="326" customWidth="1"/>
    <col min="318" max="320" width="9" style="326"/>
    <col min="321" max="321" width="15.75" style="326" customWidth="1"/>
    <col min="322" max="322" width="9" style="326"/>
    <col min="323" max="323" width="10.75" style="326" bestFit="1" customWidth="1"/>
    <col min="324" max="324" width="12.625" style="326" customWidth="1"/>
    <col min="325" max="327" width="9" style="326"/>
    <col min="328" max="328" width="13.625" style="326" customWidth="1"/>
    <col min="329" max="329" width="9" style="326"/>
    <col min="330" max="330" width="10.75" style="326" bestFit="1" customWidth="1"/>
    <col min="331" max="331" width="12.5" style="326" customWidth="1"/>
    <col min="332" max="334" width="9" style="326"/>
    <col min="335" max="335" width="12.875" style="326" customWidth="1"/>
    <col min="336" max="336" width="9" style="326"/>
    <col min="337" max="337" width="10.75" style="326" bestFit="1" customWidth="1"/>
    <col min="338" max="338" width="13.875" style="326" customWidth="1"/>
    <col min="339" max="341" width="9" style="326"/>
    <col min="342" max="342" width="14.125" style="326" customWidth="1"/>
    <col min="343" max="343" width="9" style="326"/>
    <col min="344" max="344" width="10.75" style="326" bestFit="1" customWidth="1"/>
    <col min="345" max="345" width="13.25" style="326" customWidth="1"/>
    <col min="346" max="348" width="9" style="326"/>
    <col min="349" max="349" width="13.25" style="326" customWidth="1"/>
    <col min="350" max="350" width="9" style="326"/>
    <col min="351" max="351" width="10.75" style="326" bestFit="1" customWidth="1"/>
    <col min="352" max="352" width="13.875" style="326" customWidth="1"/>
    <col min="353" max="355" width="9" style="326"/>
    <col min="356" max="356" width="13.625" style="326" customWidth="1"/>
    <col min="357" max="357" width="9" style="326"/>
    <col min="358" max="358" width="10.75" style="326" bestFit="1" customWidth="1"/>
    <col min="359" max="359" width="13" style="326" customWidth="1"/>
    <col min="360" max="506" width="9" style="326"/>
    <col min="507" max="508" width="12.125" style="326" customWidth="1"/>
    <col min="509" max="511" width="13" style="326" customWidth="1"/>
    <col min="512" max="512" width="12.875" style="326" customWidth="1"/>
    <col min="513" max="513" width="13" style="326" customWidth="1"/>
    <col min="514" max="514" width="13.125" style="326" customWidth="1"/>
    <col min="515" max="516" width="12.125" style="326" customWidth="1"/>
    <col min="517" max="517" width="14.375" style="326" bestFit="1" customWidth="1"/>
    <col min="518" max="518" width="11" style="326" customWidth="1"/>
    <col min="519" max="519" width="10" style="326" customWidth="1"/>
    <col min="520" max="520" width="10.875" style="326" customWidth="1"/>
    <col min="521" max="521" width="13.75" style="326" customWidth="1"/>
    <col min="522" max="522" width="10" style="326" customWidth="1"/>
    <col min="523" max="523" width="13.25" style="326" customWidth="1"/>
    <col min="524" max="524" width="14.375" style="326" customWidth="1"/>
    <col min="525" max="525" width="10" style="326" customWidth="1"/>
    <col min="526" max="526" width="10.875" style="326" customWidth="1"/>
    <col min="527" max="527" width="11.375" style="326" customWidth="1"/>
    <col min="528" max="528" width="15.375" style="326" customWidth="1"/>
    <col min="529" max="530" width="10.75" style="326" customWidth="1"/>
    <col min="531" max="531" width="14.375" style="326" customWidth="1"/>
    <col min="532" max="532" width="10.75" style="326" customWidth="1"/>
    <col min="533" max="533" width="11.75" style="326" customWidth="1"/>
    <col min="534" max="534" width="10" style="326" customWidth="1"/>
    <col min="535" max="535" width="15.375" style="326" customWidth="1"/>
    <col min="536" max="536" width="10" style="326" customWidth="1"/>
    <col min="537" max="537" width="10.75" style="326" customWidth="1"/>
    <col min="538" max="538" width="14.875" style="326" customWidth="1"/>
    <col min="539" max="539" width="11.5" style="326" customWidth="1"/>
    <col min="540" max="540" width="10" style="326" customWidth="1"/>
    <col min="541" max="541" width="10.75" style="326" customWidth="1"/>
    <col min="542" max="542" width="13.5" style="326" customWidth="1"/>
    <col min="543" max="543" width="9" style="326"/>
    <col min="544" max="544" width="10.75" style="326" bestFit="1" customWidth="1"/>
    <col min="545" max="545" width="13.75" style="326" customWidth="1"/>
    <col min="546" max="546" width="9" style="326"/>
    <col min="547" max="547" width="10.625" style="326" customWidth="1"/>
    <col min="548" max="548" width="9" style="326"/>
    <col min="549" max="549" width="14.25" style="326" customWidth="1"/>
    <col min="550" max="550" width="10.75" style="326" bestFit="1" customWidth="1"/>
    <col min="551" max="551" width="11.625" style="326" customWidth="1"/>
    <col min="552" max="552" width="13.75" style="326" customWidth="1"/>
    <col min="553" max="553" width="10.625" style="326" customWidth="1"/>
    <col min="554" max="555" width="9" style="326"/>
    <col min="556" max="556" width="14.125" style="326" customWidth="1"/>
    <col min="557" max="557" width="11" style="326" customWidth="1"/>
    <col min="558" max="558" width="10.75" style="326" bestFit="1" customWidth="1"/>
    <col min="559" max="559" width="13.5" style="326" customWidth="1"/>
    <col min="560" max="561" width="9" style="326"/>
    <col min="562" max="562" width="10.75" style="326" bestFit="1" customWidth="1"/>
    <col min="563" max="563" width="14" style="326" customWidth="1"/>
    <col min="564" max="564" width="9" style="326"/>
    <col min="565" max="565" width="10.75" style="326" customWidth="1"/>
    <col min="566" max="566" width="12.75" style="326" customWidth="1"/>
    <col min="567" max="567" width="9" style="326"/>
    <col min="568" max="568" width="10.75" style="326" bestFit="1" customWidth="1"/>
    <col min="569" max="569" width="11.5" style="326" customWidth="1"/>
    <col min="570" max="570" width="13.625" style="326" customWidth="1"/>
    <col min="571" max="571" width="10.625" style="326" customWidth="1"/>
    <col min="572" max="572" width="10.75" style="326" bestFit="1" customWidth="1"/>
    <col min="573" max="573" width="12.375" style="326" customWidth="1"/>
    <col min="574" max="576" width="9" style="326"/>
    <col min="577" max="577" width="15.75" style="326" customWidth="1"/>
    <col min="578" max="578" width="9" style="326"/>
    <col min="579" max="579" width="10.75" style="326" bestFit="1" customWidth="1"/>
    <col min="580" max="580" width="12.625" style="326" customWidth="1"/>
    <col min="581" max="583" width="9" style="326"/>
    <col min="584" max="584" width="13.625" style="326" customWidth="1"/>
    <col min="585" max="585" width="9" style="326"/>
    <col min="586" max="586" width="10.75" style="326" bestFit="1" customWidth="1"/>
    <col min="587" max="587" width="12.5" style="326" customWidth="1"/>
    <col min="588" max="590" width="9" style="326"/>
    <col min="591" max="591" width="12.875" style="326" customWidth="1"/>
    <col min="592" max="592" width="9" style="326"/>
    <col min="593" max="593" width="10.75" style="326" bestFit="1" customWidth="1"/>
    <col min="594" max="594" width="13.875" style="326" customWidth="1"/>
    <col min="595" max="597" width="9" style="326"/>
    <col min="598" max="598" width="14.125" style="326" customWidth="1"/>
    <col min="599" max="599" width="9" style="326"/>
    <col min="600" max="600" width="10.75" style="326" bestFit="1" customWidth="1"/>
    <col min="601" max="601" width="13.25" style="326" customWidth="1"/>
    <col min="602" max="604" width="9" style="326"/>
    <col min="605" max="605" width="13.25" style="326" customWidth="1"/>
    <col min="606" max="606" width="9" style="326"/>
    <col min="607" max="607" width="10.75" style="326" bestFit="1" customWidth="1"/>
    <col min="608" max="608" width="13.875" style="326" customWidth="1"/>
    <col min="609" max="611" width="9" style="326"/>
    <col min="612" max="612" width="13.625" style="326" customWidth="1"/>
    <col min="613" max="613" width="9" style="326"/>
    <col min="614" max="614" width="10.75" style="326" bestFit="1" customWidth="1"/>
    <col min="615" max="615" width="13" style="326" customWidth="1"/>
    <col min="616" max="762" width="9" style="326"/>
    <col min="763" max="764" width="12.125" style="326" customWidth="1"/>
    <col min="765" max="767" width="13" style="326" customWidth="1"/>
    <col min="768" max="768" width="12.875" style="326" customWidth="1"/>
    <col min="769" max="769" width="13" style="326" customWidth="1"/>
    <col min="770" max="770" width="13.125" style="326" customWidth="1"/>
    <col min="771" max="772" width="12.125" style="326" customWidth="1"/>
    <col min="773" max="773" width="14.375" style="326" bestFit="1" customWidth="1"/>
    <col min="774" max="774" width="11" style="326" customWidth="1"/>
    <col min="775" max="775" width="10" style="326" customWidth="1"/>
    <col min="776" max="776" width="10.875" style="326" customWidth="1"/>
    <col min="777" max="777" width="13.75" style="326" customWidth="1"/>
    <col min="778" max="778" width="10" style="326" customWidth="1"/>
    <col min="779" max="779" width="13.25" style="326" customWidth="1"/>
    <col min="780" max="780" width="14.375" style="326" customWidth="1"/>
    <col min="781" max="781" width="10" style="326" customWidth="1"/>
    <col min="782" max="782" width="10.875" style="326" customWidth="1"/>
    <col min="783" max="783" width="11.375" style="326" customWidth="1"/>
    <col min="784" max="784" width="15.375" style="326" customWidth="1"/>
    <col min="785" max="786" width="10.75" style="326" customWidth="1"/>
    <col min="787" max="787" width="14.375" style="326" customWidth="1"/>
    <col min="788" max="788" width="10.75" style="326" customWidth="1"/>
    <col min="789" max="789" width="11.75" style="326" customWidth="1"/>
    <col min="790" max="790" width="10" style="326" customWidth="1"/>
    <col min="791" max="791" width="15.375" style="326" customWidth="1"/>
    <col min="792" max="792" width="10" style="326" customWidth="1"/>
    <col min="793" max="793" width="10.75" style="326" customWidth="1"/>
    <col min="794" max="794" width="14.875" style="326" customWidth="1"/>
    <col min="795" max="795" width="11.5" style="326" customWidth="1"/>
    <col min="796" max="796" width="10" style="326" customWidth="1"/>
    <col min="797" max="797" width="10.75" style="326" customWidth="1"/>
    <col min="798" max="798" width="13.5" style="326" customWidth="1"/>
    <col min="799" max="799" width="9" style="326"/>
    <col min="800" max="800" width="10.75" style="326" bestFit="1" customWidth="1"/>
    <col min="801" max="801" width="13.75" style="326" customWidth="1"/>
    <col min="802" max="802" width="9" style="326"/>
    <col min="803" max="803" width="10.625" style="326" customWidth="1"/>
    <col min="804" max="804" width="9" style="326"/>
    <col min="805" max="805" width="14.25" style="326" customWidth="1"/>
    <col min="806" max="806" width="10.75" style="326" bestFit="1" customWidth="1"/>
    <col min="807" max="807" width="11.625" style="326" customWidth="1"/>
    <col min="808" max="808" width="13.75" style="326" customWidth="1"/>
    <col min="809" max="809" width="10.625" style="326" customWidth="1"/>
    <col min="810" max="811" width="9" style="326"/>
    <col min="812" max="812" width="14.125" style="326" customWidth="1"/>
    <col min="813" max="813" width="11" style="326" customWidth="1"/>
    <col min="814" max="814" width="10.75" style="326" bestFit="1" customWidth="1"/>
    <col min="815" max="815" width="13.5" style="326" customWidth="1"/>
    <col min="816" max="817" width="9" style="326"/>
    <col min="818" max="818" width="10.75" style="326" bestFit="1" customWidth="1"/>
    <col min="819" max="819" width="14" style="326" customWidth="1"/>
    <col min="820" max="820" width="9" style="326"/>
    <col min="821" max="821" width="10.75" style="326" customWidth="1"/>
    <col min="822" max="822" width="12.75" style="326" customWidth="1"/>
    <col min="823" max="823" width="9" style="326"/>
    <col min="824" max="824" width="10.75" style="326" bestFit="1" customWidth="1"/>
    <col min="825" max="825" width="11.5" style="326" customWidth="1"/>
    <col min="826" max="826" width="13.625" style="326" customWidth="1"/>
    <col min="827" max="827" width="10.625" style="326" customWidth="1"/>
    <col min="828" max="828" width="10.75" style="326" bestFit="1" customWidth="1"/>
    <col min="829" max="829" width="12.375" style="326" customWidth="1"/>
    <col min="830" max="832" width="9" style="326"/>
    <col min="833" max="833" width="15.75" style="326" customWidth="1"/>
    <col min="834" max="834" width="9" style="326"/>
    <col min="835" max="835" width="10.75" style="326" bestFit="1" customWidth="1"/>
    <col min="836" max="836" width="12.625" style="326" customWidth="1"/>
    <col min="837" max="839" width="9" style="326"/>
    <col min="840" max="840" width="13.625" style="326" customWidth="1"/>
    <col min="841" max="841" width="9" style="326"/>
    <col min="842" max="842" width="10.75" style="326" bestFit="1" customWidth="1"/>
    <col min="843" max="843" width="12.5" style="326" customWidth="1"/>
    <col min="844" max="846" width="9" style="326"/>
    <col min="847" max="847" width="12.875" style="326" customWidth="1"/>
    <col min="848" max="848" width="9" style="326"/>
    <col min="849" max="849" width="10.75" style="326" bestFit="1" customWidth="1"/>
    <col min="850" max="850" width="13.875" style="326" customWidth="1"/>
    <col min="851" max="853" width="9" style="326"/>
    <col min="854" max="854" width="14.125" style="326" customWidth="1"/>
    <col min="855" max="855" width="9" style="326"/>
    <col min="856" max="856" width="10.75" style="326" bestFit="1" customWidth="1"/>
    <col min="857" max="857" width="13.25" style="326" customWidth="1"/>
    <col min="858" max="860" width="9" style="326"/>
    <col min="861" max="861" width="13.25" style="326" customWidth="1"/>
    <col min="862" max="862" width="9" style="326"/>
    <col min="863" max="863" width="10.75" style="326" bestFit="1" customWidth="1"/>
    <col min="864" max="864" width="13.875" style="326" customWidth="1"/>
    <col min="865" max="867" width="9" style="326"/>
    <col min="868" max="868" width="13.625" style="326" customWidth="1"/>
    <col min="869" max="869" width="9" style="326"/>
    <col min="870" max="870" width="10.75" style="326" bestFit="1" customWidth="1"/>
    <col min="871" max="871" width="13" style="326" customWidth="1"/>
    <col min="872" max="1018" width="9" style="326"/>
    <col min="1019" max="1020" width="12.125" style="326" customWidth="1"/>
    <col min="1021" max="1023" width="13" style="326" customWidth="1"/>
    <col min="1024" max="1024" width="12.875" style="326" customWidth="1"/>
    <col min="1025" max="1025" width="13" style="326" customWidth="1"/>
    <col min="1026" max="1026" width="13.125" style="326" customWidth="1"/>
    <col min="1027" max="1028" width="12.125" style="326" customWidth="1"/>
    <col min="1029" max="1029" width="14.375" style="326" bestFit="1" customWidth="1"/>
    <col min="1030" max="1030" width="11" style="326" customWidth="1"/>
    <col min="1031" max="1031" width="10" style="326" customWidth="1"/>
    <col min="1032" max="1032" width="10.875" style="326" customWidth="1"/>
    <col min="1033" max="1033" width="13.75" style="326" customWidth="1"/>
    <col min="1034" max="1034" width="10" style="326" customWidth="1"/>
    <col min="1035" max="1035" width="13.25" style="326" customWidth="1"/>
    <col min="1036" max="1036" width="14.375" style="326" customWidth="1"/>
    <col min="1037" max="1037" width="10" style="326" customWidth="1"/>
    <col min="1038" max="1038" width="10.875" style="326" customWidth="1"/>
    <col min="1039" max="1039" width="11.375" style="326" customWidth="1"/>
    <col min="1040" max="1040" width="15.375" style="326" customWidth="1"/>
    <col min="1041" max="1042" width="10.75" style="326" customWidth="1"/>
    <col min="1043" max="1043" width="14.375" style="326" customWidth="1"/>
    <col min="1044" max="1044" width="10.75" style="326" customWidth="1"/>
    <col min="1045" max="1045" width="11.75" style="326" customWidth="1"/>
    <col min="1046" max="1046" width="10" style="326" customWidth="1"/>
    <col min="1047" max="1047" width="15.375" style="326" customWidth="1"/>
    <col min="1048" max="1048" width="10" style="326" customWidth="1"/>
    <col min="1049" max="1049" width="10.75" style="326" customWidth="1"/>
    <col min="1050" max="1050" width="14.875" style="326" customWidth="1"/>
    <col min="1051" max="1051" width="11.5" style="326" customWidth="1"/>
    <col min="1052" max="1052" width="10" style="326" customWidth="1"/>
    <col min="1053" max="1053" width="10.75" style="326" customWidth="1"/>
    <col min="1054" max="1054" width="13.5" style="326" customWidth="1"/>
    <col min="1055" max="1055" width="9" style="326"/>
    <col min="1056" max="1056" width="10.75" style="326" bestFit="1" customWidth="1"/>
    <col min="1057" max="1057" width="13.75" style="326" customWidth="1"/>
    <col min="1058" max="1058" width="9" style="326"/>
    <col min="1059" max="1059" width="10.625" style="326" customWidth="1"/>
    <col min="1060" max="1060" width="9" style="326"/>
    <col min="1061" max="1061" width="14.25" style="326" customWidth="1"/>
    <col min="1062" max="1062" width="10.75" style="326" bestFit="1" customWidth="1"/>
    <col min="1063" max="1063" width="11.625" style="326" customWidth="1"/>
    <col min="1064" max="1064" width="13.75" style="326" customWidth="1"/>
    <col min="1065" max="1065" width="10.625" style="326" customWidth="1"/>
    <col min="1066" max="1067" width="9" style="326"/>
    <col min="1068" max="1068" width="14.125" style="326" customWidth="1"/>
    <col min="1069" max="1069" width="11" style="326" customWidth="1"/>
    <col min="1070" max="1070" width="10.75" style="326" bestFit="1" customWidth="1"/>
    <col min="1071" max="1071" width="13.5" style="326" customWidth="1"/>
    <col min="1072" max="1073" width="9" style="326"/>
    <col min="1074" max="1074" width="10.75" style="326" bestFit="1" customWidth="1"/>
    <col min="1075" max="1075" width="14" style="326" customWidth="1"/>
    <col min="1076" max="1076" width="9" style="326"/>
    <col min="1077" max="1077" width="10.75" style="326" customWidth="1"/>
    <col min="1078" max="1078" width="12.75" style="326" customWidth="1"/>
    <col min="1079" max="1079" width="9" style="326"/>
    <col min="1080" max="1080" width="10.75" style="326" bestFit="1" customWidth="1"/>
    <col min="1081" max="1081" width="11.5" style="326" customWidth="1"/>
    <col min="1082" max="1082" width="13.625" style="326" customWidth="1"/>
    <col min="1083" max="1083" width="10.625" style="326" customWidth="1"/>
    <col min="1084" max="1084" width="10.75" style="326" bestFit="1" customWidth="1"/>
    <col min="1085" max="1085" width="12.375" style="326" customWidth="1"/>
    <col min="1086" max="1088" width="9" style="326"/>
    <col min="1089" max="1089" width="15.75" style="326" customWidth="1"/>
    <col min="1090" max="1090" width="9" style="326"/>
    <col min="1091" max="1091" width="10.75" style="326" bestFit="1" customWidth="1"/>
    <col min="1092" max="1092" width="12.625" style="326" customWidth="1"/>
    <col min="1093" max="1095" width="9" style="326"/>
    <col min="1096" max="1096" width="13.625" style="326" customWidth="1"/>
    <col min="1097" max="1097" width="9" style="326"/>
    <col min="1098" max="1098" width="10.75" style="326" bestFit="1" customWidth="1"/>
    <col min="1099" max="1099" width="12.5" style="326" customWidth="1"/>
    <col min="1100" max="1102" width="9" style="326"/>
    <col min="1103" max="1103" width="12.875" style="326" customWidth="1"/>
    <col min="1104" max="1104" width="9" style="326"/>
    <col min="1105" max="1105" width="10.75" style="326" bestFit="1" customWidth="1"/>
    <col min="1106" max="1106" width="13.875" style="326" customWidth="1"/>
    <col min="1107" max="1109" width="9" style="326"/>
    <col min="1110" max="1110" width="14.125" style="326" customWidth="1"/>
    <col min="1111" max="1111" width="9" style="326"/>
    <col min="1112" max="1112" width="10.75" style="326" bestFit="1" customWidth="1"/>
    <col min="1113" max="1113" width="13.25" style="326" customWidth="1"/>
    <col min="1114" max="1116" width="9" style="326"/>
    <col min="1117" max="1117" width="13.25" style="326" customWidth="1"/>
    <col min="1118" max="1118" width="9" style="326"/>
    <col min="1119" max="1119" width="10.75" style="326" bestFit="1" customWidth="1"/>
    <col min="1120" max="1120" width="13.875" style="326" customWidth="1"/>
    <col min="1121" max="1123" width="9" style="326"/>
    <col min="1124" max="1124" width="13.625" style="326" customWidth="1"/>
    <col min="1125" max="1125" width="9" style="326"/>
    <col min="1126" max="1126" width="10.75" style="326" bestFit="1" customWidth="1"/>
    <col min="1127" max="1127" width="13" style="326" customWidth="1"/>
    <col min="1128" max="1274" width="9" style="326"/>
    <col min="1275" max="1276" width="12.125" style="326" customWidth="1"/>
    <col min="1277" max="1279" width="13" style="326" customWidth="1"/>
    <col min="1280" max="1280" width="12.875" style="326" customWidth="1"/>
    <col min="1281" max="1281" width="13" style="326" customWidth="1"/>
    <col min="1282" max="1282" width="13.125" style="326" customWidth="1"/>
    <col min="1283" max="1284" width="12.125" style="326" customWidth="1"/>
    <col min="1285" max="1285" width="14.375" style="326" bestFit="1" customWidth="1"/>
    <col min="1286" max="1286" width="11" style="326" customWidth="1"/>
    <col min="1287" max="1287" width="10" style="326" customWidth="1"/>
    <col min="1288" max="1288" width="10.875" style="326" customWidth="1"/>
    <col min="1289" max="1289" width="13.75" style="326" customWidth="1"/>
    <col min="1290" max="1290" width="10" style="326" customWidth="1"/>
    <col min="1291" max="1291" width="13.25" style="326" customWidth="1"/>
    <col min="1292" max="1292" width="14.375" style="326" customWidth="1"/>
    <col min="1293" max="1293" width="10" style="326" customWidth="1"/>
    <col min="1294" max="1294" width="10.875" style="326" customWidth="1"/>
    <col min="1295" max="1295" width="11.375" style="326" customWidth="1"/>
    <col min="1296" max="1296" width="15.375" style="326" customWidth="1"/>
    <col min="1297" max="1298" width="10.75" style="326" customWidth="1"/>
    <col min="1299" max="1299" width="14.375" style="326" customWidth="1"/>
    <col min="1300" max="1300" width="10.75" style="326" customWidth="1"/>
    <col min="1301" max="1301" width="11.75" style="326" customWidth="1"/>
    <col min="1302" max="1302" width="10" style="326" customWidth="1"/>
    <col min="1303" max="1303" width="15.375" style="326" customWidth="1"/>
    <col min="1304" max="1304" width="10" style="326" customWidth="1"/>
    <col min="1305" max="1305" width="10.75" style="326" customWidth="1"/>
    <col min="1306" max="1306" width="14.875" style="326" customWidth="1"/>
    <col min="1307" max="1307" width="11.5" style="326" customWidth="1"/>
    <col min="1308" max="1308" width="10" style="326" customWidth="1"/>
    <col min="1309" max="1309" width="10.75" style="326" customWidth="1"/>
    <col min="1310" max="1310" width="13.5" style="326" customWidth="1"/>
    <col min="1311" max="1311" width="9" style="326"/>
    <col min="1312" max="1312" width="10.75" style="326" bestFit="1" customWidth="1"/>
    <col min="1313" max="1313" width="13.75" style="326" customWidth="1"/>
    <col min="1314" max="1314" width="9" style="326"/>
    <col min="1315" max="1315" width="10.625" style="326" customWidth="1"/>
    <col min="1316" max="1316" width="9" style="326"/>
    <col min="1317" max="1317" width="14.25" style="326" customWidth="1"/>
    <col min="1318" max="1318" width="10.75" style="326" bestFit="1" customWidth="1"/>
    <col min="1319" max="1319" width="11.625" style="326" customWidth="1"/>
    <col min="1320" max="1320" width="13.75" style="326" customWidth="1"/>
    <col min="1321" max="1321" width="10.625" style="326" customWidth="1"/>
    <col min="1322" max="1323" width="9" style="326"/>
    <col min="1324" max="1324" width="14.125" style="326" customWidth="1"/>
    <col min="1325" max="1325" width="11" style="326" customWidth="1"/>
    <col min="1326" max="1326" width="10.75" style="326" bestFit="1" customWidth="1"/>
    <col min="1327" max="1327" width="13.5" style="326" customWidth="1"/>
    <col min="1328" max="1329" width="9" style="326"/>
    <col min="1330" max="1330" width="10.75" style="326" bestFit="1" customWidth="1"/>
    <col min="1331" max="1331" width="14" style="326" customWidth="1"/>
    <col min="1332" max="1332" width="9" style="326"/>
    <col min="1333" max="1333" width="10.75" style="326" customWidth="1"/>
    <col min="1334" max="1334" width="12.75" style="326" customWidth="1"/>
    <col min="1335" max="1335" width="9" style="326"/>
    <col min="1336" max="1336" width="10.75" style="326" bestFit="1" customWidth="1"/>
    <col min="1337" max="1337" width="11.5" style="326" customWidth="1"/>
    <col min="1338" max="1338" width="13.625" style="326" customWidth="1"/>
    <col min="1339" max="1339" width="10.625" style="326" customWidth="1"/>
    <col min="1340" max="1340" width="10.75" style="326" bestFit="1" customWidth="1"/>
    <col min="1341" max="1341" width="12.375" style="326" customWidth="1"/>
    <col min="1342" max="1344" width="9" style="326"/>
    <col min="1345" max="1345" width="15.75" style="326" customWidth="1"/>
    <col min="1346" max="1346" width="9" style="326"/>
    <col min="1347" max="1347" width="10.75" style="326" bestFit="1" customWidth="1"/>
    <col min="1348" max="1348" width="12.625" style="326" customWidth="1"/>
    <col min="1349" max="1351" width="9" style="326"/>
    <col min="1352" max="1352" width="13.625" style="326" customWidth="1"/>
    <col min="1353" max="1353" width="9" style="326"/>
    <col min="1354" max="1354" width="10.75" style="326" bestFit="1" customWidth="1"/>
    <col min="1355" max="1355" width="12.5" style="326" customWidth="1"/>
    <col min="1356" max="1358" width="9" style="326"/>
    <col min="1359" max="1359" width="12.875" style="326" customWidth="1"/>
    <col min="1360" max="1360" width="9" style="326"/>
    <col min="1361" max="1361" width="10.75" style="326" bestFit="1" customWidth="1"/>
    <col min="1362" max="1362" width="13.875" style="326" customWidth="1"/>
    <col min="1363" max="1365" width="9" style="326"/>
    <col min="1366" max="1366" width="14.125" style="326" customWidth="1"/>
    <col min="1367" max="1367" width="9" style="326"/>
    <col min="1368" max="1368" width="10.75" style="326" bestFit="1" customWidth="1"/>
    <col min="1369" max="1369" width="13.25" style="326" customWidth="1"/>
    <col min="1370" max="1372" width="9" style="326"/>
    <col min="1373" max="1373" width="13.25" style="326" customWidth="1"/>
    <col min="1374" max="1374" width="9" style="326"/>
    <col min="1375" max="1375" width="10.75" style="326" bestFit="1" customWidth="1"/>
    <col min="1376" max="1376" width="13.875" style="326" customWidth="1"/>
    <col min="1377" max="1379" width="9" style="326"/>
    <col min="1380" max="1380" width="13.625" style="326" customWidth="1"/>
    <col min="1381" max="1381" width="9" style="326"/>
    <col min="1382" max="1382" width="10.75" style="326" bestFit="1" customWidth="1"/>
    <col min="1383" max="1383" width="13" style="326" customWidth="1"/>
    <col min="1384" max="1530" width="9" style="326"/>
    <col min="1531" max="1532" width="12.125" style="326" customWidth="1"/>
    <col min="1533" max="1535" width="13" style="326" customWidth="1"/>
    <col min="1536" max="1536" width="12.875" style="326" customWidth="1"/>
    <col min="1537" max="1537" width="13" style="326" customWidth="1"/>
    <col min="1538" max="1538" width="13.125" style="326" customWidth="1"/>
    <col min="1539" max="1540" width="12.125" style="326" customWidth="1"/>
    <col min="1541" max="1541" width="14.375" style="326" bestFit="1" customWidth="1"/>
    <col min="1542" max="1542" width="11" style="326" customWidth="1"/>
    <col min="1543" max="1543" width="10" style="326" customWidth="1"/>
    <col min="1544" max="1544" width="10.875" style="326" customWidth="1"/>
    <col min="1545" max="1545" width="13.75" style="326" customWidth="1"/>
    <col min="1546" max="1546" width="10" style="326" customWidth="1"/>
    <col min="1547" max="1547" width="13.25" style="326" customWidth="1"/>
    <col min="1548" max="1548" width="14.375" style="326" customWidth="1"/>
    <col min="1549" max="1549" width="10" style="326" customWidth="1"/>
    <col min="1550" max="1550" width="10.875" style="326" customWidth="1"/>
    <col min="1551" max="1551" width="11.375" style="326" customWidth="1"/>
    <col min="1552" max="1552" width="15.375" style="326" customWidth="1"/>
    <col min="1553" max="1554" width="10.75" style="326" customWidth="1"/>
    <col min="1555" max="1555" width="14.375" style="326" customWidth="1"/>
    <col min="1556" max="1556" width="10.75" style="326" customWidth="1"/>
    <col min="1557" max="1557" width="11.75" style="326" customWidth="1"/>
    <col min="1558" max="1558" width="10" style="326" customWidth="1"/>
    <col min="1559" max="1559" width="15.375" style="326" customWidth="1"/>
    <col min="1560" max="1560" width="10" style="326" customWidth="1"/>
    <col min="1561" max="1561" width="10.75" style="326" customWidth="1"/>
    <col min="1562" max="1562" width="14.875" style="326" customWidth="1"/>
    <col min="1563" max="1563" width="11.5" style="326" customWidth="1"/>
    <col min="1564" max="1564" width="10" style="326" customWidth="1"/>
    <col min="1565" max="1565" width="10.75" style="326" customWidth="1"/>
    <col min="1566" max="1566" width="13.5" style="326" customWidth="1"/>
    <col min="1567" max="1567" width="9" style="326"/>
    <col min="1568" max="1568" width="10.75" style="326" bestFit="1" customWidth="1"/>
    <col min="1569" max="1569" width="13.75" style="326" customWidth="1"/>
    <col min="1570" max="1570" width="9" style="326"/>
    <col min="1571" max="1571" width="10.625" style="326" customWidth="1"/>
    <col min="1572" max="1572" width="9" style="326"/>
    <col min="1573" max="1573" width="14.25" style="326" customWidth="1"/>
    <col min="1574" max="1574" width="10.75" style="326" bestFit="1" customWidth="1"/>
    <col min="1575" max="1575" width="11.625" style="326" customWidth="1"/>
    <col min="1576" max="1576" width="13.75" style="326" customWidth="1"/>
    <col min="1577" max="1577" width="10.625" style="326" customWidth="1"/>
    <col min="1578" max="1579" width="9" style="326"/>
    <col min="1580" max="1580" width="14.125" style="326" customWidth="1"/>
    <col min="1581" max="1581" width="11" style="326" customWidth="1"/>
    <col min="1582" max="1582" width="10.75" style="326" bestFit="1" customWidth="1"/>
    <col min="1583" max="1583" width="13.5" style="326" customWidth="1"/>
    <col min="1584" max="1585" width="9" style="326"/>
    <col min="1586" max="1586" width="10.75" style="326" bestFit="1" customWidth="1"/>
    <col min="1587" max="1587" width="14" style="326" customWidth="1"/>
    <col min="1588" max="1588" width="9" style="326"/>
    <col min="1589" max="1589" width="10.75" style="326" customWidth="1"/>
    <col min="1590" max="1590" width="12.75" style="326" customWidth="1"/>
    <col min="1591" max="1591" width="9" style="326"/>
    <col min="1592" max="1592" width="10.75" style="326" bestFit="1" customWidth="1"/>
    <col min="1593" max="1593" width="11.5" style="326" customWidth="1"/>
    <col min="1594" max="1594" width="13.625" style="326" customWidth="1"/>
    <col min="1595" max="1595" width="10.625" style="326" customWidth="1"/>
    <col min="1596" max="1596" width="10.75" style="326" bestFit="1" customWidth="1"/>
    <col min="1597" max="1597" width="12.375" style="326" customWidth="1"/>
    <col min="1598" max="1600" width="9" style="326"/>
    <col min="1601" max="1601" width="15.75" style="326" customWidth="1"/>
    <col min="1602" max="1602" width="9" style="326"/>
    <col min="1603" max="1603" width="10.75" style="326" bestFit="1" customWidth="1"/>
    <col min="1604" max="1604" width="12.625" style="326" customWidth="1"/>
    <col min="1605" max="1607" width="9" style="326"/>
    <col min="1608" max="1608" width="13.625" style="326" customWidth="1"/>
    <col min="1609" max="1609" width="9" style="326"/>
    <col min="1610" max="1610" width="10.75" style="326" bestFit="1" customWidth="1"/>
    <col min="1611" max="1611" width="12.5" style="326" customWidth="1"/>
    <col min="1612" max="1614" width="9" style="326"/>
    <col min="1615" max="1615" width="12.875" style="326" customWidth="1"/>
    <col min="1616" max="1616" width="9" style="326"/>
    <col min="1617" max="1617" width="10.75" style="326" bestFit="1" customWidth="1"/>
    <col min="1618" max="1618" width="13.875" style="326" customWidth="1"/>
    <col min="1619" max="1621" width="9" style="326"/>
    <col min="1622" max="1622" width="14.125" style="326" customWidth="1"/>
    <col min="1623" max="1623" width="9" style="326"/>
    <col min="1624" max="1624" width="10.75" style="326" bestFit="1" customWidth="1"/>
    <col min="1625" max="1625" width="13.25" style="326" customWidth="1"/>
    <col min="1626" max="1628" width="9" style="326"/>
    <col min="1629" max="1629" width="13.25" style="326" customWidth="1"/>
    <col min="1630" max="1630" width="9" style="326"/>
    <col min="1631" max="1631" width="10.75" style="326" bestFit="1" customWidth="1"/>
    <col min="1632" max="1632" width="13.875" style="326" customWidth="1"/>
    <col min="1633" max="1635" width="9" style="326"/>
    <col min="1636" max="1636" width="13.625" style="326" customWidth="1"/>
    <col min="1637" max="1637" width="9" style="326"/>
    <col min="1638" max="1638" width="10.75" style="326" bestFit="1" customWidth="1"/>
    <col min="1639" max="1639" width="13" style="326" customWidth="1"/>
    <col min="1640" max="1786" width="9" style="326"/>
    <col min="1787" max="1788" width="12.125" style="326" customWidth="1"/>
    <col min="1789" max="1791" width="13" style="326" customWidth="1"/>
    <col min="1792" max="1792" width="12.875" style="326" customWidth="1"/>
    <col min="1793" max="1793" width="13" style="326" customWidth="1"/>
    <col min="1794" max="1794" width="13.125" style="326" customWidth="1"/>
    <col min="1795" max="1796" width="12.125" style="326" customWidth="1"/>
    <col min="1797" max="1797" width="14.375" style="326" bestFit="1" customWidth="1"/>
    <col min="1798" max="1798" width="11" style="326" customWidth="1"/>
    <col min="1799" max="1799" width="10" style="326" customWidth="1"/>
    <col min="1800" max="1800" width="10.875" style="326" customWidth="1"/>
    <col min="1801" max="1801" width="13.75" style="326" customWidth="1"/>
    <col min="1802" max="1802" width="10" style="326" customWidth="1"/>
    <col min="1803" max="1803" width="13.25" style="326" customWidth="1"/>
    <col min="1804" max="1804" width="14.375" style="326" customWidth="1"/>
    <col min="1805" max="1805" width="10" style="326" customWidth="1"/>
    <col min="1806" max="1806" width="10.875" style="326" customWidth="1"/>
    <col min="1807" max="1807" width="11.375" style="326" customWidth="1"/>
    <col min="1808" max="1808" width="15.375" style="326" customWidth="1"/>
    <col min="1809" max="1810" width="10.75" style="326" customWidth="1"/>
    <col min="1811" max="1811" width="14.375" style="326" customWidth="1"/>
    <col min="1812" max="1812" width="10.75" style="326" customWidth="1"/>
    <col min="1813" max="1813" width="11.75" style="326" customWidth="1"/>
    <col min="1814" max="1814" width="10" style="326" customWidth="1"/>
    <col min="1815" max="1815" width="15.375" style="326" customWidth="1"/>
    <col min="1816" max="1816" width="10" style="326" customWidth="1"/>
    <col min="1817" max="1817" width="10.75" style="326" customWidth="1"/>
    <col min="1818" max="1818" width="14.875" style="326" customWidth="1"/>
    <col min="1819" max="1819" width="11.5" style="326" customWidth="1"/>
    <col min="1820" max="1820" width="10" style="326" customWidth="1"/>
    <col min="1821" max="1821" width="10.75" style="326" customWidth="1"/>
    <col min="1822" max="1822" width="13.5" style="326" customWidth="1"/>
    <col min="1823" max="1823" width="9" style="326"/>
    <col min="1824" max="1824" width="10.75" style="326" bestFit="1" customWidth="1"/>
    <col min="1825" max="1825" width="13.75" style="326" customWidth="1"/>
    <col min="1826" max="1826" width="9" style="326"/>
    <col min="1827" max="1827" width="10.625" style="326" customWidth="1"/>
    <col min="1828" max="1828" width="9" style="326"/>
    <col min="1829" max="1829" width="14.25" style="326" customWidth="1"/>
    <col min="1830" max="1830" width="10.75" style="326" bestFit="1" customWidth="1"/>
    <col min="1831" max="1831" width="11.625" style="326" customWidth="1"/>
    <col min="1832" max="1832" width="13.75" style="326" customWidth="1"/>
    <col min="1833" max="1833" width="10.625" style="326" customWidth="1"/>
    <col min="1834" max="1835" width="9" style="326"/>
    <col min="1836" max="1836" width="14.125" style="326" customWidth="1"/>
    <col min="1837" max="1837" width="11" style="326" customWidth="1"/>
    <col min="1838" max="1838" width="10.75" style="326" bestFit="1" customWidth="1"/>
    <col min="1839" max="1839" width="13.5" style="326" customWidth="1"/>
    <col min="1840" max="1841" width="9" style="326"/>
    <col min="1842" max="1842" width="10.75" style="326" bestFit="1" customWidth="1"/>
    <col min="1843" max="1843" width="14" style="326" customWidth="1"/>
    <col min="1844" max="1844" width="9" style="326"/>
    <col min="1845" max="1845" width="10.75" style="326" customWidth="1"/>
    <col min="1846" max="1846" width="12.75" style="326" customWidth="1"/>
    <col min="1847" max="1847" width="9" style="326"/>
    <col min="1848" max="1848" width="10.75" style="326" bestFit="1" customWidth="1"/>
    <col min="1849" max="1849" width="11.5" style="326" customWidth="1"/>
    <col min="1850" max="1850" width="13.625" style="326" customWidth="1"/>
    <col min="1851" max="1851" width="10.625" style="326" customWidth="1"/>
    <col min="1852" max="1852" width="10.75" style="326" bestFit="1" customWidth="1"/>
    <col min="1853" max="1853" width="12.375" style="326" customWidth="1"/>
    <col min="1854" max="1856" width="9" style="326"/>
    <col min="1857" max="1857" width="15.75" style="326" customWidth="1"/>
    <col min="1858" max="1858" width="9" style="326"/>
    <col min="1859" max="1859" width="10.75" style="326" bestFit="1" customWidth="1"/>
    <col min="1860" max="1860" width="12.625" style="326" customWidth="1"/>
    <col min="1861" max="1863" width="9" style="326"/>
    <col min="1864" max="1864" width="13.625" style="326" customWidth="1"/>
    <col min="1865" max="1865" width="9" style="326"/>
    <col min="1866" max="1866" width="10.75" style="326" bestFit="1" customWidth="1"/>
    <col min="1867" max="1867" width="12.5" style="326" customWidth="1"/>
    <col min="1868" max="1870" width="9" style="326"/>
    <col min="1871" max="1871" width="12.875" style="326" customWidth="1"/>
    <col min="1872" max="1872" width="9" style="326"/>
    <col min="1873" max="1873" width="10.75" style="326" bestFit="1" customWidth="1"/>
    <col min="1874" max="1874" width="13.875" style="326" customWidth="1"/>
    <col min="1875" max="1877" width="9" style="326"/>
    <col min="1878" max="1878" width="14.125" style="326" customWidth="1"/>
    <col min="1879" max="1879" width="9" style="326"/>
    <col min="1880" max="1880" width="10.75" style="326" bestFit="1" customWidth="1"/>
    <col min="1881" max="1881" width="13.25" style="326" customWidth="1"/>
    <col min="1882" max="1884" width="9" style="326"/>
    <col min="1885" max="1885" width="13.25" style="326" customWidth="1"/>
    <col min="1886" max="1886" width="9" style="326"/>
    <col min="1887" max="1887" width="10.75" style="326" bestFit="1" customWidth="1"/>
    <col min="1888" max="1888" width="13.875" style="326" customWidth="1"/>
    <col min="1889" max="1891" width="9" style="326"/>
    <col min="1892" max="1892" width="13.625" style="326" customWidth="1"/>
    <col min="1893" max="1893" width="9" style="326"/>
    <col min="1894" max="1894" width="10.75" style="326" bestFit="1" customWidth="1"/>
    <col min="1895" max="1895" width="13" style="326" customWidth="1"/>
    <col min="1896" max="2042" width="9" style="326"/>
    <col min="2043" max="2044" width="12.125" style="326" customWidth="1"/>
    <col min="2045" max="2047" width="13" style="326" customWidth="1"/>
    <col min="2048" max="2048" width="12.875" style="326" customWidth="1"/>
    <col min="2049" max="2049" width="13" style="326" customWidth="1"/>
    <col min="2050" max="2050" width="13.125" style="326" customWidth="1"/>
    <col min="2051" max="2052" width="12.125" style="326" customWidth="1"/>
    <col min="2053" max="2053" width="14.375" style="326" bestFit="1" customWidth="1"/>
    <col min="2054" max="2054" width="11" style="326" customWidth="1"/>
    <col min="2055" max="2055" width="10" style="326" customWidth="1"/>
    <col min="2056" max="2056" width="10.875" style="326" customWidth="1"/>
    <col min="2057" max="2057" width="13.75" style="326" customWidth="1"/>
    <col min="2058" max="2058" width="10" style="326" customWidth="1"/>
    <col min="2059" max="2059" width="13.25" style="326" customWidth="1"/>
    <col min="2060" max="2060" width="14.375" style="326" customWidth="1"/>
    <col min="2061" max="2061" width="10" style="326" customWidth="1"/>
    <col min="2062" max="2062" width="10.875" style="326" customWidth="1"/>
    <col min="2063" max="2063" width="11.375" style="326" customWidth="1"/>
    <col min="2064" max="2064" width="15.375" style="326" customWidth="1"/>
    <col min="2065" max="2066" width="10.75" style="326" customWidth="1"/>
    <col min="2067" max="2067" width="14.375" style="326" customWidth="1"/>
    <col min="2068" max="2068" width="10.75" style="326" customWidth="1"/>
    <col min="2069" max="2069" width="11.75" style="326" customWidth="1"/>
    <col min="2070" max="2070" width="10" style="326" customWidth="1"/>
    <col min="2071" max="2071" width="15.375" style="326" customWidth="1"/>
    <col min="2072" max="2072" width="10" style="326" customWidth="1"/>
    <col min="2073" max="2073" width="10.75" style="326" customWidth="1"/>
    <col min="2074" max="2074" width="14.875" style="326" customWidth="1"/>
    <col min="2075" max="2075" width="11.5" style="326" customWidth="1"/>
    <col min="2076" max="2076" width="10" style="326" customWidth="1"/>
    <col min="2077" max="2077" width="10.75" style="326" customWidth="1"/>
    <col min="2078" max="2078" width="13.5" style="326" customWidth="1"/>
    <col min="2079" max="2079" width="9" style="326"/>
    <col min="2080" max="2080" width="10.75" style="326" bestFit="1" customWidth="1"/>
    <col min="2081" max="2081" width="13.75" style="326" customWidth="1"/>
    <col min="2082" max="2082" width="9" style="326"/>
    <col min="2083" max="2083" width="10.625" style="326" customWidth="1"/>
    <col min="2084" max="2084" width="9" style="326"/>
    <col min="2085" max="2085" width="14.25" style="326" customWidth="1"/>
    <col min="2086" max="2086" width="10.75" style="326" bestFit="1" customWidth="1"/>
    <col min="2087" max="2087" width="11.625" style="326" customWidth="1"/>
    <col min="2088" max="2088" width="13.75" style="326" customWidth="1"/>
    <col min="2089" max="2089" width="10.625" style="326" customWidth="1"/>
    <col min="2090" max="2091" width="9" style="326"/>
    <col min="2092" max="2092" width="14.125" style="326" customWidth="1"/>
    <col min="2093" max="2093" width="11" style="326" customWidth="1"/>
    <col min="2094" max="2094" width="10.75" style="326" bestFit="1" customWidth="1"/>
    <col min="2095" max="2095" width="13.5" style="326" customWidth="1"/>
    <col min="2096" max="2097" width="9" style="326"/>
    <col min="2098" max="2098" width="10.75" style="326" bestFit="1" customWidth="1"/>
    <col min="2099" max="2099" width="14" style="326" customWidth="1"/>
    <col min="2100" max="2100" width="9" style="326"/>
    <col min="2101" max="2101" width="10.75" style="326" customWidth="1"/>
    <col min="2102" max="2102" width="12.75" style="326" customWidth="1"/>
    <col min="2103" max="2103" width="9" style="326"/>
    <col min="2104" max="2104" width="10.75" style="326" bestFit="1" customWidth="1"/>
    <col min="2105" max="2105" width="11.5" style="326" customWidth="1"/>
    <col min="2106" max="2106" width="13.625" style="326" customWidth="1"/>
    <col min="2107" max="2107" width="10.625" style="326" customWidth="1"/>
    <col min="2108" max="2108" width="10.75" style="326" bestFit="1" customWidth="1"/>
    <col min="2109" max="2109" width="12.375" style="326" customWidth="1"/>
    <col min="2110" max="2112" width="9" style="326"/>
    <col min="2113" max="2113" width="15.75" style="326" customWidth="1"/>
    <col min="2114" max="2114" width="9" style="326"/>
    <col min="2115" max="2115" width="10.75" style="326" bestFit="1" customWidth="1"/>
    <col min="2116" max="2116" width="12.625" style="326" customWidth="1"/>
    <col min="2117" max="2119" width="9" style="326"/>
    <col min="2120" max="2120" width="13.625" style="326" customWidth="1"/>
    <col min="2121" max="2121" width="9" style="326"/>
    <col min="2122" max="2122" width="10.75" style="326" bestFit="1" customWidth="1"/>
    <col min="2123" max="2123" width="12.5" style="326" customWidth="1"/>
    <col min="2124" max="2126" width="9" style="326"/>
    <col min="2127" max="2127" width="12.875" style="326" customWidth="1"/>
    <col min="2128" max="2128" width="9" style="326"/>
    <col min="2129" max="2129" width="10.75" style="326" bestFit="1" customWidth="1"/>
    <col min="2130" max="2130" width="13.875" style="326" customWidth="1"/>
    <col min="2131" max="2133" width="9" style="326"/>
    <col min="2134" max="2134" width="14.125" style="326" customWidth="1"/>
    <col min="2135" max="2135" width="9" style="326"/>
    <col min="2136" max="2136" width="10.75" style="326" bestFit="1" customWidth="1"/>
    <col min="2137" max="2137" width="13.25" style="326" customWidth="1"/>
    <col min="2138" max="2140" width="9" style="326"/>
    <col min="2141" max="2141" width="13.25" style="326" customWidth="1"/>
    <col min="2142" max="2142" width="9" style="326"/>
    <col min="2143" max="2143" width="10.75" style="326" bestFit="1" customWidth="1"/>
    <col min="2144" max="2144" width="13.875" style="326" customWidth="1"/>
    <col min="2145" max="2147" width="9" style="326"/>
    <col min="2148" max="2148" width="13.625" style="326" customWidth="1"/>
    <col min="2149" max="2149" width="9" style="326"/>
    <col min="2150" max="2150" width="10.75" style="326" bestFit="1" customWidth="1"/>
    <col min="2151" max="2151" width="13" style="326" customWidth="1"/>
    <col min="2152" max="2298" width="9" style="326"/>
    <col min="2299" max="2300" width="12.125" style="326" customWidth="1"/>
    <col min="2301" max="2303" width="13" style="326" customWidth="1"/>
    <col min="2304" max="2304" width="12.875" style="326" customWidth="1"/>
    <col min="2305" max="2305" width="13" style="326" customWidth="1"/>
    <col min="2306" max="2306" width="13.125" style="326" customWidth="1"/>
    <col min="2307" max="2308" width="12.125" style="326" customWidth="1"/>
    <col min="2309" max="2309" width="14.375" style="326" bestFit="1" customWidth="1"/>
    <col min="2310" max="2310" width="11" style="326" customWidth="1"/>
    <col min="2311" max="2311" width="10" style="326" customWidth="1"/>
    <col min="2312" max="2312" width="10.875" style="326" customWidth="1"/>
    <col min="2313" max="2313" width="13.75" style="326" customWidth="1"/>
    <col min="2314" max="2314" width="10" style="326" customWidth="1"/>
    <col min="2315" max="2315" width="13.25" style="326" customWidth="1"/>
    <col min="2316" max="2316" width="14.375" style="326" customWidth="1"/>
    <col min="2317" max="2317" width="10" style="326" customWidth="1"/>
    <col min="2318" max="2318" width="10.875" style="326" customWidth="1"/>
    <col min="2319" max="2319" width="11.375" style="326" customWidth="1"/>
    <col min="2320" max="2320" width="15.375" style="326" customWidth="1"/>
    <col min="2321" max="2322" width="10.75" style="326" customWidth="1"/>
    <col min="2323" max="2323" width="14.375" style="326" customWidth="1"/>
    <col min="2324" max="2324" width="10.75" style="326" customWidth="1"/>
    <col min="2325" max="2325" width="11.75" style="326" customWidth="1"/>
    <col min="2326" max="2326" width="10" style="326" customWidth="1"/>
    <col min="2327" max="2327" width="15.375" style="326" customWidth="1"/>
    <col min="2328" max="2328" width="10" style="326" customWidth="1"/>
    <col min="2329" max="2329" width="10.75" style="326" customWidth="1"/>
    <col min="2330" max="2330" width="14.875" style="326" customWidth="1"/>
    <col min="2331" max="2331" width="11.5" style="326" customWidth="1"/>
    <col min="2332" max="2332" width="10" style="326" customWidth="1"/>
    <col min="2333" max="2333" width="10.75" style="326" customWidth="1"/>
    <col min="2334" max="2334" width="13.5" style="326" customWidth="1"/>
    <col min="2335" max="2335" width="9" style="326"/>
    <col min="2336" max="2336" width="10.75" style="326" bestFit="1" customWidth="1"/>
    <col min="2337" max="2337" width="13.75" style="326" customWidth="1"/>
    <col min="2338" max="2338" width="9" style="326"/>
    <col min="2339" max="2339" width="10.625" style="326" customWidth="1"/>
    <col min="2340" max="2340" width="9" style="326"/>
    <col min="2341" max="2341" width="14.25" style="326" customWidth="1"/>
    <col min="2342" max="2342" width="10.75" style="326" bestFit="1" customWidth="1"/>
    <col min="2343" max="2343" width="11.625" style="326" customWidth="1"/>
    <col min="2344" max="2344" width="13.75" style="326" customWidth="1"/>
    <col min="2345" max="2345" width="10.625" style="326" customWidth="1"/>
    <col min="2346" max="2347" width="9" style="326"/>
    <col min="2348" max="2348" width="14.125" style="326" customWidth="1"/>
    <col min="2349" max="2349" width="11" style="326" customWidth="1"/>
    <col min="2350" max="2350" width="10.75" style="326" bestFit="1" customWidth="1"/>
    <col min="2351" max="2351" width="13.5" style="326" customWidth="1"/>
    <col min="2352" max="2353" width="9" style="326"/>
    <col min="2354" max="2354" width="10.75" style="326" bestFit="1" customWidth="1"/>
    <col min="2355" max="2355" width="14" style="326" customWidth="1"/>
    <col min="2356" max="2356" width="9" style="326"/>
    <col min="2357" max="2357" width="10.75" style="326" customWidth="1"/>
    <col min="2358" max="2358" width="12.75" style="326" customWidth="1"/>
    <col min="2359" max="2359" width="9" style="326"/>
    <col min="2360" max="2360" width="10.75" style="326" bestFit="1" customWidth="1"/>
    <col min="2361" max="2361" width="11.5" style="326" customWidth="1"/>
    <col min="2362" max="2362" width="13.625" style="326" customWidth="1"/>
    <col min="2363" max="2363" width="10.625" style="326" customWidth="1"/>
    <col min="2364" max="2364" width="10.75" style="326" bestFit="1" customWidth="1"/>
    <col min="2365" max="2365" width="12.375" style="326" customWidth="1"/>
    <col min="2366" max="2368" width="9" style="326"/>
    <col min="2369" max="2369" width="15.75" style="326" customWidth="1"/>
    <col min="2370" max="2370" width="9" style="326"/>
    <col min="2371" max="2371" width="10.75" style="326" bestFit="1" customWidth="1"/>
    <col min="2372" max="2372" width="12.625" style="326" customWidth="1"/>
    <col min="2373" max="2375" width="9" style="326"/>
    <col min="2376" max="2376" width="13.625" style="326" customWidth="1"/>
    <col min="2377" max="2377" width="9" style="326"/>
    <col min="2378" max="2378" width="10.75" style="326" bestFit="1" customWidth="1"/>
    <col min="2379" max="2379" width="12.5" style="326" customWidth="1"/>
    <col min="2380" max="2382" width="9" style="326"/>
    <col min="2383" max="2383" width="12.875" style="326" customWidth="1"/>
    <col min="2384" max="2384" width="9" style="326"/>
    <col min="2385" max="2385" width="10.75" style="326" bestFit="1" customWidth="1"/>
    <col min="2386" max="2386" width="13.875" style="326" customWidth="1"/>
    <col min="2387" max="2389" width="9" style="326"/>
    <col min="2390" max="2390" width="14.125" style="326" customWidth="1"/>
    <col min="2391" max="2391" width="9" style="326"/>
    <col min="2392" max="2392" width="10.75" style="326" bestFit="1" customWidth="1"/>
    <col min="2393" max="2393" width="13.25" style="326" customWidth="1"/>
    <col min="2394" max="2396" width="9" style="326"/>
    <col min="2397" max="2397" width="13.25" style="326" customWidth="1"/>
    <col min="2398" max="2398" width="9" style="326"/>
    <col min="2399" max="2399" width="10.75" style="326" bestFit="1" customWidth="1"/>
    <col min="2400" max="2400" width="13.875" style="326" customWidth="1"/>
    <col min="2401" max="2403" width="9" style="326"/>
    <col min="2404" max="2404" width="13.625" style="326" customWidth="1"/>
    <col min="2405" max="2405" width="9" style="326"/>
    <col min="2406" max="2406" width="10.75" style="326" bestFit="1" customWidth="1"/>
    <col min="2407" max="2407" width="13" style="326" customWidth="1"/>
    <col min="2408" max="2554" width="9" style="326"/>
    <col min="2555" max="2556" width="12.125" style="326" customWidth="1"/>
    <col min="2557" max="2559" width="13" style="326" customWidth="1"/>
    <col min="2560" max="2560" width="12.875" style="326" customWidth="1"/>
    <col min="2561" max="2561" width="13" style="326" customWidth="1"/>
    <col min="2562" max="2562" width="13.125" style="326" customWidth="1"/>
    <col min="2563" max="2564" width="12.125" style="326" customWidth="1"/>
    <col min="2565" max="2565" width="14.375" style="326" bestFit="1" customWidth="1"/>
    <col min="2566" max="2566" width="11" style="326" customWidth="1"/>
    <col min="2567" max="2567" width="10" style="326" customWidth="1"/>
    <col min="2568" max="2568" width="10.875" style="326" customWidth="1"/>
    <col min="2569" max="2569" width="13.75" style="326" customWidth="1"/>
    <col min="2570" max="2570" width="10" style="326" customWidth="1"/>
    <col min="2571" max="2571" width="13.25" style="326" customWidth="1"/>
    <col min="2572" max="2572" width="14.375" style="326" customWidth="1"/>
    <col min="2573" max="2573" width="10" style="326" customWidth="1"/>
    <col min="2574" max="2574" width="10.875" style="326" customWidth="1"/>
    <col min="2575" max="2575" width="11.375" style="326" customWidth="1"/>
    <col min="2576" max="2576" width="15.375" style="326" customWidth="1"/>
    <col min="2577" max="2578" width="10.75" style="326" customWidth="1"/>
    <col min="2579" max="2579" width="14.375" style="326" customWidth="1"/>
    <col min="2580" max="2580" width="10.75" style="326" customWidth="1"/>
    <col min="2581" max="2581" width="11.75" style="326" customWidth="1"/>
    <col min="2582" max="2582" width="10" style="326" customWidth="1"/>
    <col min="2583" max="2583" width="15.375" style="326" customWidth="1"/>
    <col min="2584" max="2584" width="10" style="326" customWidth="1"/>
    <col min="2585" max="2585" width="10.75" style="326" customWidth="1"/>
    <col min="2586" max="2586" width="14.875" style="326" customWidth="1"/>
    <col min="2587" max="2587" width="11.5" style="326" customWidth="1"/>
    <col min="2588" max="2588" width="10" style="326" customWidth="1"/>
    <col min="2589" max="2589" width="10.75" style="326" customWidth="1"/>
    <col min="2590" max="2590" width="13.5" style="326" customWidth="1"/>
    <col min="2591" max="2591" width="9" style="326"/>
    <col min="2592" max="2592" width="10.75" style="326" bestFit="1" customWidth="1"/>
    <col min="2593" max="2593" width="13.75" style="326" customWidth="1"/>
    <col min="2594" max="2594" width="9" style="326"/>
    <col min="2595" max="2595" width="10.625" style="326" customWidth="1"/>
    <col min="2596" max="2596" width="9" style="326"/>
    <col min="2597" max="2597" width="14.25" style="326" customWidth="1"/>
    <col min="2598" max="2598" width="10.75" style="326" bestFit="1" customWidth="1"/>
    <col min="2599" max="2599" width="11.625" style="326" customWidth="1"/>
    <col min="2600" max="2600" width="13.75" style="326" customWidth="1"/>
    <col min="2601" max="2601" width="10.625" style="326" customWidth="1"/>
    <col min="2602" max="2603" width="9" style="326"/>
    <col min="2604" max="2604" width="14.125" style="326" customWidth="1"/>
    <col min="2605" max="2605" width="11" style="326" customWidth="1"/>
    <col min="2606" max="2606" width="10.75" style="326" bestFit="1" customWidth="1"/>
    <col min="2607" max="2607" width="13.5" style="326" customWidth="1"/>
    <col min="2608" max="2609" width="9" style="326"/>
    <col min="2610" max="2610" width="10.75" style="326" bestFit="1" customWidth="1"/>
    <col min="2611" max="2611" width="14" style="326" customWidth="1"/>
    <col min="2612" max="2612" width="9" style="326"/>
    <col min="2613" max="2613" width="10.75" style="326" customWidth="1"/>
    <col min="2614" max="2614" width="12.75" style="326" customWidth="1"/>
    <col min="2615" max="2615" width="9" style="326"/>
    <col min="2616" max="2616" width="10.75" style="326" bestFit="1" customWidth="1"/>
    <col min="2617" max="2617" width="11.5" style="326" customWidth="1"/>
    <col min="2618" max="2618" width="13.625" style="326" customWidth="1"/>
    <col min="2619" max="2619" width="10.625" style="326" customWidth="1"/>
    <col min="2620" max="2620" width="10.75" style="326" bestFit="1" customWidth="1"/>
    <col min="2621" max="2621" width="12.375" style="326" customWidth="1"/>
    <col min="2622" max="2624" width="9" style="326"/>
    <col min="2625" max="2625" width="15.75" style="326" customWidth="1"/>
    <col min="2626" max="2626" width="9" style="326"/>
    <col min="2627" max="2627" width="10.75" style="326" bestFit="1" customWidth="1"/>
    <col min="2628" max="2628" width="12.625" style="326" customWidth="1"/>
    <col min="2629" max="2631" width="9" style="326"/>
    <col min="2632" max="2632" width="13.625" style="326" customWidth="1"/>
    <col min="2633" max="2633" width="9" style="326"/>
    <col min="2634" max="2634" width="10.75" style="326" bestFit="1" customWidth="1"/>
    <col min="2635" max="2635" width="12.5" style="326" customWidth="1"/>
    <col min="2636" max="2638" width="9" style="326"/>
    <col min="2639" max="2639" width="12.875" style="326" customWidth="1"/>
    <col min="2640" max="2640" width="9" style="326"/>
    <col min="2641" max="2641" width="10.75" style="326" bestFit="1" customWidth="1"/>
    <col min="2642" max="2642" width="13.875" style="326" customWidth="1"/>
    <col min="2643" max="2645" width="9" style="326"/>
    <col min="2646" max="2646" width="14.125" style="326" customWidth="1"/>
    <col min="2647" max="2647" width="9" style="326"/>
    <col min="2648" max="2648" width="10.75" style="326" bestFit="1" customWidth="1"/>
    <col min="2649" max="2649" width="13.25" style="326" customWidth="1"/>
    <col min="2650" max="2652" width="9" style="326"/>
    <col min="2653" max="2653" width="13.25" style="326" customWidth="1"/>
    <col min="2654" max="2654" width="9" style="326"/>
    <col min="2655" max="2655" width="10.75" style="326" bestFit="1" customWidth="1"/>
    <col min="2656" max="2656" width="13.875" style="326" customWidth="1"/>
    <col min="2657" max="2659" width="9" style="326"/>
    <col min="2660" max="2660" width="13.625" style="326" customWidth="1"/>
    <col min="2661" max="2661" width="9" style="326"/>
    <col min="2662" max="2662" width="10.75" style="326" bestFit="1" customWidth="1"/>
    <col min="2663" max="2663" width="13" style="326" customWidth="1"/>
    <col min="2664" max="2810" width="9" style="326"/>
    <col min="2811" max="2812" width="12.125" style="326" customWidth="1"/>
    <col min="2813" max="2815" width="13" style="326" customWidth="1"/>
    <col min="2816" max="2816" width="12.875" style="326" customWidth="1"/>
    <col min="2817" max="2817" width="13" style="326" customWidth="1"/>
    <col min="2818" max="2818" width="13.125" style="326" customWidth="1"/>
    <col min="2819" max="2820" width="12.125" style="326" customWidth="1"/>
    <col min="2821" max="2821" width="14.375" style="326" bestFit="1" customWidth="1"/>
    <col min="2822" max="2822" width="11" style="326" customWidth="1"/>
    <col min="2823" max="2823" width="10" style="326" customWidth="1"/>
    <col min="2824" max="2824" width="10.875" style="326" customWidth="1"/>
    <col min="2825" max="2825" width="13.75" style="326" customWidth="1"/>
    <col min="2826" max="2826" width="10" style="326" customWidth="1"/>
    <col min="2827" max="2827" width="13.25" style="326" customWidth="1"/>
    <col min="2828" max="2828" width="14.375" style="326" customWidth="1"/>
    <col min="2829" max="2829" width="10" style="326" customWidth="1"/>
    <col min="2830" max="2830" width="10.875" style="326" customWidth="1"/>
    <col min="2831" max="2831" width="11.375" style="326" customWidth="1"/>
    <col min="2832" max="2832" width="15.375" style="326" customWidth="1"/>
    <col min="2833" max="2834" width="10.75" style="326" customWidth="1"/>
    <col min="2835" max="2835" width="14.375" style="326" customWidth="1"/>
    <col min="2836" max="2836" width="10.75" style="326" customWidth="1"/>
    <col min="2837" max="2837" width="11.75" style="326" customWidth="1"/>
    <col min="2838" max="2838" width="10" style="326" customWidth="1"/>
    <col min="2839" max="2839" width="15.375" style="326" customWidth="1"/>
    <col min="2840" max="2840" width="10" style="326" customWidth="1"/>
    <col min="2841" max="2841" width="10.75" style="326" customWidth="1"/>
    <col min="2842" max="2842" width="14.875" style="326" customWidth="1"/>
    <col min="2843" max="2843" width="11.5" style="326" customWidth="1"/>
    <col min="2844" max="2844" width="10" style="326" customWidth="1"/>
    <col min="2845" max="2845" width="10.75" style="326" customWidth="1"/>
    <col min="2846" max="2846" width="13.5" style="326" customWidth="1"/>
    <col min="2847" max="2847" width="9" style="326"/>
    <col min="2848" max="2848" width="10.75" style="326" bestFit="1" customWidth="1"/>
    <col min="2849" max="2849" width="13.75" style="326" customWidth="1"/>
    <col min="2850" max="2850" width="9" style="326"/>
    <col min="2851" max="2851" width="10.625" style="326" customWidth="1"/>
    <col min="2852" max="2852" width="9" style="326"/>
    <col min="2853" max="2853" width="14.25" style="326" customWidth="1"/>
    <col min="2854" max="2854" width="10.75" style="326" bestFit="1" customWidth="1"/>
    <col min="2855" max="2855" width="11.625" style="326" customWidth="1"/>
    <col min="2856" max="2856" width="13.75" style="326" customWidth="1"/>
    <col min="2857" max="2857" width="10.625" style="326" customWidth="1"/>
    <col min="2858" max="2859" width="9" style="326"/>
    <col min="2860" max="2860" width="14.125" style="326" customWidth="1"/>
    <col min="2861" max="2861" width="11" style="326" customWidth="1"/>
    <col min="2862" max="2862" width="10.75" style="326" bestFit="1" customWidth="1"/>
    <col min="2863" max="2863" width="13.5" style="326" customWidth="1"/>
    <col min="2864" max="2865" width="9" style="326"/>
    <col min="2866" max="2866" width="10.75" style="326" bestFit="1" customWidth="1"/>
    <col min="2867" max="2867" width="14" style="326" customWidth="1"/>
    <col min="2868" max="2868" width="9" style="326"/>
    <col min="2869" max="2869" width="10.75" style="326" customWidth="1"/>
    <col min="2870" max="2870" width="12.75" style="326" customWidth="1"/>
    <col min="2871" max="2871" width="9" style="326"/>
    <col min="2872" max="2872" width="10.75" style="326" bestFit="1" customWidth="1"/>
    <col min="2873" max="2873" width="11.5" style="326" customWidth="1"/>
    <col min="2874" max="2874" width="13.625" style="326" customWidth="1"/>
    <col min="2875" max="2875" width="10.625" style="326" customWidth="1"/>
    <col min="2876" max="2876" width="10.75" style="326" bestFit="1" customWidth="1"/>
    <col min="2877" max="2877" width="12.375" style="326" customWidth="1"/>
    <col min="2878" max="2880" width="9" style="326"/>
    <col min="2881" max="2881" width="15.75" style="326" customWidth="1"/>
    <col min="2882" max="2882" width="9" style="326"/>
    <col min="2883" max="2883" width="10.75" style="326" bestFit="1" customWidth="1"/>
    <col min="2884" max="2884" width="12.625" style="326" customWidth="1"/>
    <col min="2885" max="2887" width="9" style="326"/>
    <col min="2888" max="2888" width="13.625" style="326" customWidth="1"/>
    <col min="2889" max="2889" width="9" style="326"/>
    <col min="2890" max="2890" width="10.75" style="326" bestFit="1" customWidth="1"/>
    <col min="2891" max="2891" width="12.5" style="326" customWidth="1"/>
    <col min="2892" max="2894" width="9" style="326"/>
    <col min="2895" max="2895" width="12.875" style="326" customWidth="1"/>
    <col min="2896" max="2896" width="9" style="326"/>
    <col min="2897" max="2897" width="10.75" style="326" bestFit="1" customWidth="1"/>
    <col min="2898" max="2898" width="13.875" style="326" customWidth="1"/>
    <col min="2899" max="2901" width="9" style="326"/>
    <col min="2902" max="2902" width="14.125" style="326" customWidth="1"/>
    <col min="2903" max="2903" width="9" style="326"/>
    <col min="2904" max="2904" width="10.75" style="326" bestFit="1" customWidth="1"/>
    <col min="2905" max="2905" width="13.25" style="326" customWidth="1"/>
    <col min="2906" max="2908" width="9" style="326"/>
    <col min="2909" max="2909" width="13.25" style="326" customWidth="1"/>
    <col min="2910" max="2910" width="9" style="326"/>
    <col min="2911" max="2911" width="10.75" style="326" bestFit="1" customWidth="1"/>
    <col min="2912" max="2912" width="13.875" style="326" customWidth="1"/>
    <col min="2913" max="2915" width="9" style="326"/>
    <col min="2916" max="2916" width="13.625" style="326" customWidth="1"/>
    <col min="2917" max="2917" width="9" style="326"/>
    <col min="2918" max="2918" width="10.75" style="326" bestFit="1" customWidth="1"/>
    <col min="2919" max="2919" width="13" style="326" customWidth="1"/>
    <col min="2920" max="3066" width="9" style="326"/>
    <col min="3067" max="3068" width="12.125" style="326" customWidth="1"/>
    <col min="3069" max="3071" width="13" style="326" customWidth="1"/>
    <col min="3072" max="3072" width="12.875" style="326" customWidth="1"/>
    <col min="3073" max="3073" width="13" style="326" customWidth="1"/>
    <col min="3074" max="3074" width="13.125" style="326" customWidth="1"/>
    <col min="3075" max="3076" width="12.125" style="326" customWidth="1"/>
    <col min="3077" max="3077" width="14.375" style="326" bestFit="1" customWidth="1"/>
    <col min="3078" max="3078" width="11" style="326" customWidth="1"/>
    <col min="3079" max="3079" width="10" style="326" customWidth="1"/>
    <col min="3080" max="3080" width="10.875" style="326" customWidth="1"/>
    <col min="3081" max="3081" width="13.75" style="326" customWidth="1"/>
    <col min="3082" max="3082" width="10" style="326" customWidth="1"/>
    <col min="3083" max="3083" width="13.25" style="326" customWidth="1"/>
    <col min="3084" max="3084" width="14.375" style="326" customWidth="1"/>
    <col min="3085" max="3085" width="10" style="326" customWidth="1"/>
    <col min="3086" max="3086" width="10.875" style="326" customWidth="1"/>
    <col min="3087" max="3087" width="11.375" style="326" customWidth="1"/>
    <col min="3088" max="3088" width="15.375" style="326" customWidth="1"/>
    <col min="3089" max="3090" width="10.75" style="326" customWidth="1"/>
    <col min="3091" max="3091" width="14.375" style="326" customWidth="1"/>
    <col min="3092" max="3092" width="10.75" style="326" customWidth="1"/>
    <col min="3093" max="3093" width="11.75" style="326" customWidth="1"/>
    <col min="3094" max="3094" width="10" style="326" customWidth="1"/>
    <col min="3095" max="3095" width="15.375" style="326" customWidth="1"/>
    <col min="3096" max="3096" width="10" style="326" customWidth="1"/>
    <col min="3097" max="3097" width="10.75" style="326" customWidth="1"/>
    <col min="3098" max="3098" width="14.875" style="326" customWidth="1"/>
    <col min="3099" max="3099" width="11.5" style="326" customWidth="1"/>
    <col min="3100" max="3100" width="10" style="326" customWidth="1"/>
    <col min="3101" max="3101" width="10.75" style="326" customWidth="1"/>
    <col min="3102" max="3102" width="13.5" style="326" customWidth="1"/>
    <col min="3103" max="3103" width="9" style="326"/>
    <col min="3104" max="3104" width="10.75" style="326" bestFit="1" customWidth="1"/>
    <col min="3105" max="3105" width="13.75" style="326" customWidth="1"/>
    <col min="3106" max="3106" width="9" style="326"/>
    <col min="3107" max="3107" width="10.625" style="326" customWidth="1"/>
    <col min="3108" max="3108" width="9" style="326"/>
    <col min="3109" max="3109" width="14.25" style="326" customWidth="1"/>
    <col min="3110" max="3110" width="10.75" style="326" bestFit="1" customWidth="1"/>
    <col min="3111" max="3111" width="11.625" style="326" customWidth="1"/>
    <col min="3112" max="3112" width="13.75" style="326" customWidth="1"/>
    <col min="3113" max="3113" width="10.625" style="326" customWidth="1"/>
    <col min="3114" max="3115" width="9" style="326"/>
    <col min="3116" max="3116" width="14.125" style="326" customWidth="1"/>
    <col min="3117" max="3117" width="11" style="326" customWidth="1"/>
    <col min="3118" max="3118" width="10.75" style="326" bestFit="1" customWidth="1"/>
    <col min="3119" max="3119" width="13.5" style="326" customWidth="1"/>
    <col min="3120" max="3121" width="9" style="326"/>
    <col min="3122" max="3122" width="10.75" style="326" bestFit="1" customWidth="1"/>
    <col min="3123" max="3123" width="14" style="326" customWidth="1"/>
    <col min="3124" max="3124" width="9" style="326"/>
    <col min="3125" max="3125" width="10.75" style="326" customWidth="1"/>
    <col min="3126" max="3126" width="12.75" style="326" customWidth="1"/>
    <col min="3127" max="3127" width="9" style="326"/>
    <col min="3128" max="3128" width="10.75" style="326" bestFit="1" customWidth="1"/>
    <col min="3129" max="3129" width="11.5" style="326" customWidth="1"/>
    <col min="3130" max="3130" width="13.625" style="326" customWidth="1"/>
    <col min="3131" max="3131" width="10.625" style="326" customWidth="1"/>
    <col min="3132" max="3132" width="10.75" style="326" bestFit="1" customWidth="1"/>
    <col min="3133" max="3133" width="12.375" style="326" customWidth="1"/>
    <col min="3134" max="3136" width="9" style="326"/>
    <col min="3137" max="3137" width="15.75" style="326" customWidth="1"/>
    <col min="3138" max="3138" width="9" style="326"/>
    <col min="3139" max="3139" width="10.75" style="326" bestFit="1" customWidth="1"/>
    <col min="3140" max="3140" width="12.625" style="326" customWidth="1"/>
    <col min="3141" max="3143" width="9" style="326"/>
    <col min="3144" max="3144" width="13.625" style="326" customWidth="1"/>
    <col min="3145" max="3145" width="9" style="326"/>
    <col min="3146" max="3146" width="10.75" style="326" bestFit="1" customWidth="1"/>
    <col min="3147" max="3147" width="12.5" style="326" customWidth="1"/>
    <col min="3148" max="3150" width="9" style="326"/>
    <col min="3151" max="3151" width="12.875" style="326" customWidth="1"/>
    <col min="3152" max="3152" width="9" style="326"/>
    <col min="3153" max="3153" width="10.75" style="326" bestFit="1" customWidth="1"/>
    <col min="3154" max="3154" width="13.875" style="326" customWidth="1"/>
    <col min="3155" max="3157" width="9" style="326"/>
    <col min="3158" max="3158" width="14.125" style="326" customWidth="1"/>
    <col min="3159" max="3159" width="9" style="326"/>
    <col min="3160" max="3160" width="10.75" style="326" bestFit="1" customWidth="1"/>
    <col min="3161" max="3161" width="13.25" style="326" customWidth="1"/>
    <col min="3162" max="3164" width="9" style="326"/>
    <col min="3165" max="3165" width="13.25" style="326" customWidth="1"/>
    <col min="3166" max="3166" width="9" style="326"/>
    <col min="3167" max="3167" width="10.75" style="326" bestFit="1" customWidth="1"/>
    <col min="3168" max="3168" width="13.875" style="326" customWidth="1"/>
    <col min="3169" max="3171" width="9" style="326"/>
    <col min="3172" max="3172" width="13.625" style="326" customWidth="1"/>
    <col min="3173" max="3173" width="9" style="326"/>
    <col min="3174" max="3174" width="10.75" style="326" bestFit="1" customWidth="1"/>
    <col min="3175" max="3175" width="13" style="326" customWidth="1"/>
    <col min="3176" max="3322" width="9" style="326"/>
    <col min="3323" max="3324" width="12.125" style="326" customWidth="1"/>
    <col min="3325" max="3327" width="13" style="326" customWidth="1"/>
    <col min="3328" max="3328" width="12.875" style="326" customWidth="1"/>
    <col min="3329" max="3329" width="13" style="326" customWidth="1"/>
    <col min="3330" max="3330" width="13.125" style="326" customWidth="1"/>
    <col min="3331" max="3332" width="12.125" style="326" customWidth="1"/>
    <col min="3333" max="3333" width="14.375" style="326" bestFit="1" customWidth="1"/>
    <col min="3334" max="3334" width="11" style="326" customWidth="1"/>
    <col min="3335" max="3335" width="10" style="326" customWidth="1"/>
    <col min="3336" max="3336" width="10.875" style="326" customWidth="1"/>
    <col min="3337" max="3337" width="13.75" style="326" customWidth="1"/>
    <col min="3338" max="3338" width="10" style="326" customWidth="1"/>
    <col min="3339" max="3339" width="13.25" style="326" customWidth="1"/>
    <col min="3340" max="3340" width="14.375" style="326" customWidth="1"/>
    <col min="3341" max="3341" width="10" style="326" customWidth="1"/>
    <col min="3342" max="3342" width="10.875" style="326" customWidth="1"/>
    <col min="3343" max="3343" width="11.375" style="326" customWidth="1"/>
    <col min="3344" max="3344" width="15.375" style="326" customWidth="1"/>
    <col min="3345" max="3346" width="10.75" style="326" customWidth="1"/>
    <col min="3347" max="3347" width="14.375" style="326" customWidth="1"/>
    <col min="3348" max="3348" width="10.75" style="326" customWidth="1"/>
    <col min="3349" max="3349" width="11.75" style="326" customWidth="1"/>
    <col min="3350" max="3350" width="10" style="326" customWidth="1"/>
    <col min="3351" max="3351" width="15.375" style="326" customWidth="1"/>
    <col min="3352" max="3352" width="10" style="326" customWidth="1"/>
    <col min="3353" max="3353" width="10.75" style="326" customWidth="1"/>
    <col min="3354" max="3354" width="14.875" style="326" customWidth="1"/>
    <col min="3355" max="3355" width="11.5" style="326" customWidth="1"/>
    <col min="3356" max="3356" width="10" style="326" customWidth="1"/>
    <col min="3357" max="3357" width="10.75" style="326" customWidth="1"/>
    <col min="3358" max="3358" width="13.5" style="326" customWidth="1"/>
    <col min="3359" max="3359" width="9" style="326"/>
    <col min="3360" max="3360" width="10.75" style="326" bestFit="1" customWidth="1"/>
    <col min="3361" max="3361" width="13.75" style="326" customWidth="1"/>
    <col min="3362" max="3362" width="9" style="326"/>
    <col min="3363" max="3363" width="10.625" style="326" customWidth="1"/>
    <col min="3364" max="3364" width="9" style="326"/>
    <col min="3365" max="3365" width="14.25" style="326" customWidth="1"/>
    <col min="3366" max="3366" width="10.75" style="326" bestFit="1" customWidth="1"/>
    <col min="3367" max="3367" width="11.625" style="326" customWidth="1"/>
    <col min="3368" max="3368" width="13.75" style="326" customWidth="1"/>
    <col min="3369" max="3369" width="10.625" style="326" customWidth="1"/>
    <col min="3370" max="3371" width="9" style="326"/>
    <col min="3372" max="3372" width="14.125" style="326" customWidth="1"/>
    <col min="3373" max="3373" width="11" style="326" customWidth="1"/>
    <col min="3374" max="3374" width="10.75" style="326" bestFit="1" customWidth="1"/>
    <col min="3375" max="3375" width="13.5" style="326" customWidth="1"/>
    <col min="3376" max="3377" width="9" style="326"/>
    <col min="3378" max="3378" width="10.75" style="326" bestFit="1" customWidth="1"/>
    <col min="3379" max="3379" width="14" style="326" customWidth="1"/>
    <col min="3380" max="3380" width="9" style="326"/>
    <col min="3381" max="3381" width="10.75" style="326" customWidth="1"/>
    <col min="3382" max="3382" width="12.75" style="326" customWidth="1"/>
    <col min="3383" max="3383" width="9" style="326"/>
    <col min="3384" max="3384" width="10.75" style="326" bestFit="1" customWidth="1"/>
    <col min="3385" max="3385" width="11.5" style="326" customWidth="1"/>
    <col min="3386" max="3386" width="13.625" style="326" customWidth="1"/>
    <col min="3387" max="3387" width="10.625" style="326" customWidth="1"/>
    <col min="3388" max="3388" width="10.75" style="326" bestFit="1" customWidth="1"/>
    <col min="3389" max="3389" width="12.375" style="326" customWidth="1"/>
    <col min="3390" max="3392" width="9" style="326"/>
    <col min="3393" max="3393" width="15.75" style="326" customWidth="1"/>
    <col min="3394" max="3394" width="9" style="326"/>
    <col min="3395" max="3395" width="10.75" style="326" bestFit="1" customWidth="1"/>
    <col min="3396" max="3396" width="12.625" style="326" customWidth="1"/>
    <col min="3397" max="3399" width="9" style="326"/>
    <col min="3400" max="3400" width="13.625" style="326" customWidth="1"/>
    <col min="3401" max="3401" width="9" style="326"/>
    <col min="3402" max="3402" width="10.75" style="326" bestFit="1" customWidth="1"/>
    <col min="3403" max="3403" width="12.5" style="326" customWidth="1"/>
    <col min="3404" max="3406" width="9" style="326"/>
    <col min="3407" max="3407" width="12.875" style="326" customWidth="1"/>
    <col min="3408" max="3408" width="9" style="326"/>
    <col min="3409" max="3409" width="10.75" style="326" bestFit="1" customWidth="1"/>
    <col min="3410" max="3410" width="13.875" style="326" customWidth="1"/>
    <col min="3411" max="3413" width="9" style="326"/>
    <col min="3414" max="3414" width="14.125" style="326" customWidth="1"/>
    <col min="3415" max="3415" width="9" style="326"/>
    <col min="3416" max="3416" width="10.75" style="326" bestFit="1" customWidth="1"/>
    <col min="3417" max="3417" width="13.25" style="326" customWidth="1"/>
    <col min="3418" max="3420" width="9" style="326"/>
    <col min="3421" max="3421" width="13.25" style="326" customWidth="1"/>
    <col min="3422" max="3422" width="9" style="326"/>
    <col min="3423" max="3423" width="10.75" style="326" bestFit="1" customWidth="1"/>
    <col min="3424" max="3424" width="13.875" style="326" customWidth="1"/>
    <col min="3425" max="3427" width="9" style="326"/>
    <col min="3428" max="3428" width="13.625" style="326" customWidth="1"/>
    <col min="3429" max="3429" width="9" style="326"/>
    <col min="3430" max="3430" width="10.75" style="326" bestFit="1" customWidth="1"/>
    <col min="3431" max="3431" width="13" style="326" customWidth="1"/>
    <col min="3432" max="3578" width="9" style="326"/>
    <col min="3579" max="3580" width="12.125" style="326" customWidth="1"/>
    <col min="3581" max="3583" width="13" style="326" customWidth="1"/>
    <col min="3584" max="3584" width="12.875" style="326" customWidth="1"/>
    <col min="3585" max="3585" width="13" style="326" customWidth="1"/>
    <col min="3586" max="3586" width="13.125" style="326" customWidth="1"/>
    <col min="3587" max="3588" width="12.125" style="326" customWidth="1"/>
    <col min="3589" max="3589" width="14.375" style="326" bestFit="1" customWidth="1"/>
    <col min="3590" max="3590" width="11" style="326" customWidth="1"/>
    <col min="3591" max="3591" width="10" style="326" customWidth="1"/>
    <col min="3592" max="3592" width="10.875" style="326" customWidth="1"/>
    <col min="3593" max="3593" width="13.75" style="326" customWidth="1"/>
    <col min="3594" max="3594" width="10" style="326" customWidth="1"/>
    <col min="3595" max="3595" width="13.25" style="326" customWidth="1"/>
    <col min="3596" max="3596" width="14.375" style="326" customWidth="1"/>
    <col min="3597" max="3597" width="10" style="326" customWidth="1"/>
    <col min="3598" max="3598" width="10.875" style="326" customWidth="1"/>
    <col min="3599" max="3599" width="11.375" style="326" customWidth="1"/>
    <col min="3600" max="3600" width="15.375" style="326" customWidth="1"/>
    <col min="3601" max="3602" width="10.75" style="326" customWidth="1"/>
    <col min="3603" max="3603" width="14.375" style="326" customWidth="1"/>
    <col min="3604" max="3604" width="10.75" style="326" customWidth="1"/>
    <col min="3605" max="3605" width="11.75" style="326" customWidth="1"/>
    <col min="3606" max="3606" width="10" style="326" customWidth="1"/>
    <col min="3607" max="3607" width="15.375" style="326" customWidth="1"/>
    <col min="3608" max="3608" width="10" style="326" customWidth="1"/>
    <col min="3609" max="3609" width="10.75" style="326" customWidth="1"/>
    <col min="3610" max="3610" width="14.875" style="326" customWidth="1"/>
    <col min="3611" max="3611" width="11.5" style="326" customWidth="1"/>
    <col min="3612" max="3612" width="10" style="326" customWidth="1"/>
    <col min="3613" max="3613" width="10.75" style="326" customWidth="1"/>
    <col min="3614" max="3614" width="13.5" style="326" customWidth="1"/>
    <col min="3615" max="3615" width="9" style="326"/>
    <col min="3616" max="3616" width="10.75" style="326" bestFit="1" customWidth="1"/>
    <col min="3617" max="3617" width="13.75" style="326" customWidth="1"/>
    <col min="3618" max="3618" width="9" style="326"/>
    <col min="3619" max="3619" width="10.625" style="326" customWidth="1"/>
    <col min="3620" max="3620" width="9" style="326"/>
    <col min="3621" max="3621" width="14.25" style="326" customWidth="1"/>
    <col min="3622" max="3622" width="10.75" style="326" bestFit="1" customWidth="1"/>
    <col min="3623" max="3623" width="11.625" style="326" customWidth="1"/>
    <col min="3624" max="3624" width="13.75" style="326" customWidth="1"/>
    <col min="3625" max="3625" width="10.625" style="326" customWidth="1"/>
    <col min="3626" max="3627" width="9" style="326"/>
    <col min="3628" max="3628" width="14.125" style="326" customWidth="1"/>
    <col min="3629" max="3629" width="11" style="326" customWidth="1"/>
    <col min="3630" max="3630" width="10.75" style="326" bestFit="1" customWidth="1"/>
    <col min="3631" max="3631" width="13.5" style="326" customWidth="1"/>
    <col min="3632" max="3633" width="9" style="326"/>
    <col min="3634" max="3634" width="10.75" style="326" bestFit="1" customWidth="1"/>
    <col min="3635" max="3635" width="14" style="326" customWidth="1"/>
    <col min="3636" max="3636" width="9" style="326"/>
    <col min="3637" max="3637" width="10.75" style="326" customWidth="1"/>
    <col min="3638" max="3638" width="12.75" style="326" customWidth="1"/>
    <col min="3639" max="3639" width="9" style="326"/>
    <col min="3640" max="3640" width="10.75" style="326" bestFit="1" customWidth="1"/>
    <col min="3641" max="3641" width="11.5" style="326" customWidth="1"/>
    <col min="3642" max="3642" width="13.625" style="326" customWidth="1"/>
    <col min="3643" max="3643" width="10.625" style="326" customWidth="1"/>
    <col min="3644" max="3644" width="10.75" style="326" bestFit="1" customWidth="1"/>
    <col min="3645" max="3645" width="12.375" style="326" customWidth="1"/>
    <col min="3646" max="3648" width="9" style="326"/>
    <col min="3649" max="3649" width="15.75" style="326" customWidth="1"/>
    <col min="3650" max="3650" width="9" style="326"/>
    <col min="3651" max="3651" width="10.75" style="326" bestFit="1" customWidth="1"/>
    <col min="3652" max="3652" width="12.625" style="326" customWidth="1"/>
    <col min="3653" max="3655" width="9" style="326"/>
    <col min="3656" max="3656" width="13.625" style="326" customWidth="1"/>
    <col min="3657" max="3657" width="9" style="326"/>
    <col min="3658" max="3658" width="10.75" style="326" bestFit="1" customWidth="1"/>
    <col min="3659" max="3659" width="12.5" style="326" customWidth="1"/>
    <col min="3660" max="3662" width="9" style="326"/>
    <col min="3663" max="3663" width="12.875" style="326" customWidth="1"/>
    <col min="3664" max="3664" width="9" style="326"/>
    <col min="3665" max="3665" width="10.75" style="326" bestFit="1" customWidth="1"/>
    <col min="3666" max="3666" width="13.875" style="326" customWidth="1"/>
    <col min="3667" max="3669" width="9" style="326"/>
    <col min="3670" max="3670" width="14.125" style="326" customWidth="1"/>
    <col min="3671" max="3671" width="9" style="326"/>
    <col min="3672" max="3672" width="10.75" style="326" bestFit="1" customWidth="1"/>
    <col min="3673" max="3673" width="13.25" style="326" customWidth="1"/>
    <col min="3674" max="3676" width="9" style="326"/>
    <col min="3677" max="3677" width="13.25" style="326" customWidth="1"/>
    <col min="3678" max="3678" width="9" style="326"/>
    <col min="3679" max="3679" width="10.75" style="326" bestFit="1" customWidth="1"/>
    <col min="3680" max="3680" width="13.875" style="326" customWidth="1"/>
    <col min="3681" max="3683" width="9" style="326"/>
    <col min="3684" max="3684" width="13.625" style="326" customWidth="1"/>
    <col min="3685" max="3685" width="9" style="326"/>
    <col min="3686" max="3686" width="10.75" style="326" bestFit="1" customWidth="1"/>
    <col min="3687" max="3687" width="13" style="326" customWidth="1"/>
    <col min="3688" max="3834" width="9" style="326"/>
    <col min="3835" max="3836" width="12.125" style="326" customWidth="1"/>
    <col min="3837" max="3839" width="13" style="326" customWidth="1"/>
    <col min="3840" max="3840" width="12.875" style="326" customWidth="1"/>
    <col min="3841" max="3841" width="13" style="326" customWidth="1"/>
    <col min="3842" max="3842" width="13.125" style="326" customWidth="1"/>
    <col min="3843" max="3844" width="12.125" style="326" customWidth="1"/>
    <col min="3845" max="3845" width="14.375" style="326" bestFit="1" customWidth="1"/>
    <col min="3846" max="3846" width="11" style="326" customWidth="1"/>
    <col min="3847" max="3847" width="10" style="326" customWidth="1"/>
    <col min="3848" max="3848" width="10.875" style="326" customWidth="1"/>
    <col min="3849" max="3849" width="13.75" style="326" customWidth="1"/>
    <col min="3850" max="3850" width="10" style="326" customWidth="1"/>
    <col min="3851" max="3851" width="13.25" style="326" customWidth="1"/>
    <col min="3852" max="3852" width="14.375" style="326" customWidth="1"/>
    <col min="3853" max="3853" width="10" style="326" customWidth="1"/>
    <col min="3854" max="3854" width="10.875" style="326" customWidth="1"/>
    <col min="3855" max="3855" width="11.375" style="326" customWidth="1"/>
    <col min="3856" max="3856" width="15.375" style="326" customWidth="1"/>
    <col min="3857" max="3858" width="10.75" style="326" customWidth="1"/>
    <col min="3859" max="3859" width="14.375" style="326" customWidth="1"/>
    <col min="3860" max="3860" width="10.75" style="326" customWidth="1"/>
    <col min="3861" max="3861" width="11.75" style="326" customWidth="1"/>
    <col min="3862" max="3862" width="10" style="326" customWidth="1"/>
    <col min="3863" max="3863" width="15.375" style="326" customWidth="1"/>
    <col min="3864" max="3864" width="10" style="326" customWidth="1"/>
    <col min="3865" max="3865" width="10.75" style="326" customWidth="1"/>
    <col min="3866" max="3866" width="14.875" style="326" customWidth="1"/>
    <col min="3867" max="3867" width="11.5" style="326" customWidth="1"/>
    <col min="3868" max="3868" width="10" style="326" customWidth="1"/>
    <col min="3869" max="3869" width="10.75" style="326" customWidth="1"/>
    <col min="3870" max="3870" width="13.5" style="326" customWidth="1"/>
    <col min="3871" max="3871" width="9" style="326"/>
    <col min="3872" max="3872" width="10.75" style="326" bestFit="1" customWidth="1"/>
    <col min="3873" max="3873" width="13.75" style="326" customWidth="1"/>
    <col min="3874" max="3874" width="9" style="326"/>
    <col min="3875" max="3875" width="10.625" style="326" customWidth="1"/>
    <col min="3876" max="3876" width="9" style="326"/>
    <col min="3877" max="3877" width="14.25" style="326" customWidth="1"/>
    <col min="3878" max="3878" width="10.75" style="326" bestFit="1" customWidth="1"/>
    <col min="3879" max="3879" width="11.625" style="326" customWidth="1"/>
    <col min="3880" max="3880" width="13.75" style="326" customWidth="1"/>
    <col min="3881" max="3881" width="10.625" style="326" customWidth="1"/>
    <col min="3882" max="3883" width="9" style="326"/>
    <col min="3884" max="3884" width="14.125" style="326" customWidth="1"/>
    <col min="3885" max="3885" width="11" style="326" customWidth="1"/>
    <col min="3886" max="3886" width="10.75" style="326" bestFit="1" customWidth="1"/>
    <col min="3887" max="3887" width="13.5" style="326" customWidth="1"/>
    <col min="3888" max="3889" width="9" style="326"/>
    <col min="3890" max="3890" width="10.75" style="326" bestFit="1" customWidth="1"/>
    <col min="3891" max="3891" width="14" style="326" customWidth="1"/>
    <col min="3892" max="3892" width="9" style="326"/>
    <col min="3893" max="3893" width="10.75" style="326" customWidth="1"/>
    <col min="3894" max="3894" width="12.75" style="326" customWidth="1"/>
    <col min="3895" max="3895" width="9" style="326"/>
    <col min="3896" max="3896" width="10.75" style="326" bestFit="1" customWidth="1"/>
    <col min="3897" max="3897" width="11.5" style="326" customWidth="1"/>
    <col min="3898" max="3898" width="13.625" style="326" customWidth="1"/>
    <col min="3899" max="3899" width="10.625" style="326" customWidth="1"/>
    <col min="3900" max="3900" width="10.75" style="326" bestFit="1" customWidth="1"/>
    <col min="3901" max="3901" width="12.375" style="326" customWidth="1"/>
    <col min="3902" max="3904" width="9" style="326"/>
    <col min="3905" max="3905" width="15.75" style="326" customWidth="1"/>
    <col min="3906" max="3906" width="9" style="326"/>
    <col min="3907" max="3907" width="10.75" style="326" bestFit="1" customWidth="1"/>
    <col min="3908" max="3908" width="12.625" style="326" customWidth="1"/>
    <col min="3909" max="3911" width="9" style="326"/>
    <col min="3912" max="3912" width="13.625" style="326" customWidth="1"/>
    <col min="3913" max="3913" width="9" style="326"/>
    <col min="3914" max="3914" width="10.75" style="326" bestFit="1" customWidth="1"/>
    <col min="3915" max="3915" width="12.5" style="326" customWidth="1"/>
    <col min="3916" max="3918" width="9" style="326"/>
    <col min="3919" max="3919" width="12.875" style="326" customWidth="1"/>
    <col min="3920" max="3920" width="9" style="326"/>
    <col min="3921" max="3921" width="10.75" style="326" bestFit="1" customWidth="1"/>
    <col min="3922" max="3922" width="13.875" style="326" customWidth="1"/>
    <col min="3923" max="3925" width="9" style="326"/>
    <col min="3926" max="3926" width="14.125" style="326" customWidth="1"/>
    <col min="3927" max="3927" width="9" style="326"/>
    <col min="3928" max="3928" width="10.75" style="326" bestFit="1" customWidth="1"/>
    <col min="3929" max="3929" width="13.25" style="326" customWidth="1"/>
    <col min="3930" max="3932" width="9" style="326"/>
    <col min="3933" max="3933" width="13.25" style="326" customWidth="1"/>
    <col min="3934" max="3934" width="9" style="326"/>
    <col min="3935" max="3935" width="10.75" style="326" bestFit="1" customWidth="1"/>
    <col min="3936" max="3936" width="13.875" style="326" customWidth="1"/>
    <col min="3937" max="3939" width="9" style="326"/>
    <col min="3940" max="3940" width="13.625" style="326" customWidth="1"/>
    <col min="3941" max="3941" width="9" style="326"/>
    <col min="3942" max="3942" width="10.75" style="326" bestFit="1" customWidth="1"/>
    <col min="3943" max="3943" width="13" style="326" customWidth="1"/>
    <col min="3944" max="4090" width="9" style="326"/>
    <col min="4091" max="4092" width="12.125" style="326" customWidth="1"/>
    <col min="4093" max="4095" width="13" style="326" customWidth="1"/>
    <col min="4096" max="4096" width="12.875" style="326" customWidth="1"/>
    <col min="4097" max="4097" width="13" style="326" customWidth="1"/>
    <col min="4098" max="4098" width="13.125" style="326" customWidth="1"/>
    <col min="4099" max="4100" width="12.125" style="326" customWidth="1"/>
    <col min="4101" max="4101" width="14.375" style="326" bestFit="1" customWidth="1"/>
    <col min="4102" max="4102" width="11" style="326" customWidth="1"/>
    <col min="4103" max="4103" width="10" style="326" customWidth="1"/>
    <col min="4104" max="4104" width="10.875" style="326" customWidth="1"/>
    <col min="4105" max="4105" width="13.75" style="326" customWidth="1"/>
    <col min="4106" max="4106" width="10" style="326" customWidth="1"/>
    <col min="4107" max="4107" width="13.25" style="326" customWidth="1"/>
    <col min="4108" max="4108" width="14.375" style="326" customWidth="1"/>
    <col min="4109" max="4109" width="10" style="326" customWidth="1"/>
    <col min="4110" max="4110" width="10.875" style="326" customWidth="1"/>
    <col min="4111" max="4111" width="11.375" style="326" customWidth="1"/>
    <col min="4112" max="4112" width="15.375" style="326" customWidth="1"/>
    <col min="4113" max="4114" width="10.75" style="326" customWidth="1"/>
    <col min="4115" max="4115" width="14.375" style="326" customWidth="1"/>
    <col min="4116" max="4116" width="10.75" style="326" customWidth="1"/>
    <col min="4117" max="4117" width="11.75" style="326" customWidth="1"/>
    <col min="4118" max="4118" width="10" style="326" customWidth="1"/>
    <col min="4119" max="4119" width="15.375" style="326" customWidth="1"/>
    <col min="4120" max="4120" width="10" style="326" customWidth="1"/>
    <col min="4121" max="4121" width="10.75" style="326" customWidth="1"/>
    <col min="4122" max="4122" width="14.875" style="326" customWidth="1"/>
    <col min="4123" max="4123" width="11.5" style="326" customWidth="1"/>
    <col min="4124" max="4124" width="10" style="326" customWidth="1"/>
    <col min="4125" max="4125" width="10.75" style="326" customWidth="1"/>
    <col min="4126" max="4126" width="13.5" style="326" customWidth="1"/>
    <col min="4127" max="4127" width="9" style="326"/>
    <col min="4128" max="4128" width="10.75" style="326" bestFit="1" customWidth="1"/>
    <col min="4129" max="4129" width="13.75" style="326" customWidth="1"/>
    <col min="4130" max="4130" width="9" style="326"/>
    <col min="4131" max="4131" width="10.625" style="326" customWidth="1"/>
    <col min="4132" max="4132" width="9" style="326"/>
    <col min="4133" max="4133" width="14.25" style="326" customWidth="1"/>
    <col min="4134" max="4134" width="10.75" style="326" bestFit="1" customWidth="1"/>
    <col min="4135" max="4135" width="11.625" style="326" customWidth="1"/>
    <col min="4136" max="4136" width="13.75" style="326" customWidth="1"/>
    <col min="4137" max="4137" width="10.625" style="326" customWidth="1"/>
    <col min="4138" max="4139" width="9" style="326"/>
    <col min="4140" max="4140" width="14.125" style="326" customWidth="1"/>
    <col min="4141" max="4141" width="11" style="326" customWidth="1"/>
    <col min="4142" max="4142" width="10.75" style="326" bestFit="1" customWidth="1"/>
    <col min="4143" max="4143" width="13.5" style="326" customWidth="1"/>
    <col min="4144" max="4145" width="9" style="326"/>
    <col min="4146" max="4146" width="10.75" style="326" bestFit="1" customWidth="1"/>
    <col min="4147" max="4147" width="14" style="326" customWidth="1"/>
    <col min="4148" max="4148" width="9" style="326"/>
    <col min="4149" max="4149" width="10.75" style="326" customWidth="1"/>
    <col min="4150" max="4150" width="12.75" style="326" customWidth="1"/>
    <col min="4151" max="4151" width="9" style="326"/>
    <col min="4152" max="4152" width="10.75" style="326" bestFit="1" customWidth="1"/>
    <col min="4153" max="4153" width="11.5" style="326" customWidth="1"/>
    <col min="4154" max="4154" width="13.625" style="326" customWidth="1"/>
    <col min="4155" max="4155" width="10.625" style="326" customWidth="1"/>
    <col min="4156" max="4156" width="10.75" style="326" bestFit="1" customWidth="1"/>
    <col min="4157" max="4157" width="12.375" style="326" customWidth="1"/>
    <col min="4158" max="4160" width="9" style="326"/>
    <col min="4161" max="4161" width="15.75" style="326" customWidth="1"/>
    <col min="4162" max="4162" width="9" style="326"/>
    <col min="4163" max="4163" width="10.75" style="326" bestFit="1" customWidth="1"/>
    <col min="4164" max="4164" width="12.625" style="326" customWidth="1"/>
    <col min="4165" max="4167" width="9" style="326"/>
    <col min="4168" max="4168" width="13.625" style="326" customWidth="1"/>
    <col min="4169" max="4169" width="9" style="326"/>
    <col min="4170" max="4170" width="10.75" style="326" bestFit="1" customWidth="1"/>
    <col min="4171" max="4171" width="12.5" style="326" customWidth="1"/>
    <col min="4172" max="4174" width="9" style="326"/>
    <col min="4175" max="4175" width="12.875" style="326" customWidth="1"/>
    <col min="4176" max="4176" width="9" style="326"/>
    <col min="4177" max="4177" width="10.75" style="326" bestFit="1" customWidth="1"/>
    <col min="4178" max="4178" width="13.875" style="326" customWidth="1"/>
    <col min="4179" max="4181" width="9" style="326"/>
    <col min="4182" max="4182" width="14.125" style="326" customWidth="1"/>
    <col min="4183" max="4183" width="9" style="326"/>
    <col min="4184" max="4184" width="10.75" style="326" bestFit="1" customWidth="1"/>
    <col min="4185" max="4185" width="13.25" style="326" customWidth="1"/>
    <col min="4186" max="4188" width="9" style="326"/>
    <col min="4189" max="4189" width="13.25" style="326" customWidth="1"/>
    <col min="4190" max="4190" width="9" style="326"/>
    <col min="4191" max="4191" width="10.75" style="326" bestFit="1" customWidth="1"/>
    <col min="4192" max="4192" width="13.875" style="326" customWidth="1"/>
    <col min="4193" max="4195" width="9" style="326"/>
    <col min="4196" max="4196" width="13.625" style="326" customWidth="1"/>
    <col min="4197" max="4197" width="9" style="326"/>
    <col min="4198" max="4198" width="10.75" style="326" bestFit="1" customWidth="1"/>
    <col min="4199" max="4199" width="13" style="326" customWidth="1"/>
    <col min="4200" max="4346" width="9" style="326"/>
    <col min="4347" max="4348" width="12.125" style="326" customWidth="1"/>
    <col min="4349" max="4351" width="13" style="326" customWidth="1"/>
    <col min="4352" max="4352" width="12.875" style="326" customWidth="1"/>
    <col min="4353" max="4353" width="13" style="326" customWidth="1"/>
    <col min="4354" max="4354" width="13.125" style="326" customWidth="1"/>
    <col min="4355" max="4356" width="12.125" style="326" customWidth="1"/>
    <col min="4357" max="4357" width="14.375" style="326" bestFit="1" customWidth="1"/>
    <col min="4358" max="4358" width="11" style="326" customWidth="1"/>
    <col min="4359" max="4359" width="10" style="326" customWidth="1"/>
    <col min="4360" max="4360" width="10.875" style="326" customWidth="1"/>
    <col min="4361" max="4361" width="13.75" style="326" customWidth="1"/>
    <col min="4362" max="4362" width="10" style="326" customWidth="1"/>
    <col min="4363" max="4363" width="13.25" style="326" customWidth="1"/>
    <col min="4364" max="4364" width="14.375" style="326" customWidth="1"/>
    <col min="4365" max="4365" width="10" style="326" customWidth="1"/>
    <col min="4366" max="4366" width="10.875" style="326" customWidth="1"/>
    <col min="4367" max="4367" width="11.375" style="326" customWidth="1"/>
    <col min="4368" max="4368" width="15.375" style="326" customWidth="1"/>
    <col min="4369" max="4370" width="10.75" style="326" customWidth="1"/>
    <col min="4371" max="4371" width="14.375" style="326" customWidth="1"/>
    <col min="4372" max="4372" width="10.75" style="326" customWidth="1"/>
    <col min="4373" max="4373" width="11.75" style="326" customWidth="1"/>
    <col min="4374" max="4374" width="10" style="326" customWidth="1"/>
    <col min="4375" max="4375" width="15.375" style="326" customWidth="1"/>
    <col min="4376" max="4376" width="10" style="326" customWidth="1"/>
    <col min="4377" max="4377" width="10.75" style="326" customWidth="1"/>
    <col min="4378" max="4378" width="14.875" style="326" customWidth="1"/>
    <col min="4379" max="4379" width="11.5" style="326" customWidth="1"/>
    <col min="4380" max="4380" width="10" style="326" customWidth="1"/>
    <col min="4381" max="4381" width="10.75" style="326" customWidth="1"/>
    <col min="4382" max="4382" width="13.5" style="326" customWidth="1"/>
    <col min="4383" max="4383" width="9" style="326"/>
    <col min="4384" max="4384" width="10.75" style="326" bestFit="1" customWidth="1"/>
    <col min="4385" max="4385" width="13.75" style="326" customWidth="1"/>
    <col min="4386" max="4386" width="9" style="326"/>
    <col min="4387" max="4387" width="10.625" style="326" customWidth="1"/>
    <col min="4388" max="4388" width="9" style="326"/>
    <col min="4389" max="4389" width="14.25" style="326" customWidth="1"/>
    <col min="4390" max="4390" width="10.75" style="326" bestFit="1" customWidth="1"/>
    <col min="4391" max="4391" width="11.625" style="326" customWidth="1"/>
    <col min="4392" max="4392" width="13.75" style="326" customWidth="1"/>
    <col min="4393" max="4393" width="10.625" style="326" customWidth="1"/>
    <col min="4394" max="4395" width="9" style="326"/>
    <col min="4396" max="4396" width="14.125" style="326" customWidth="1"/>
    <col min="4397" max="4397" width="11" style="326" customWidth="1"/>
    <col min="4398" max="4398" width="10.75" style="326" bestFit="1" customWidth="1"/>
    <col min="4399" max="4399" width="13.5" style="326" customWidth="1"/>
    <col min="4400" max="4401" width="9" style="326"/>
    <col min="4402" max="4402" width="10.75" style="326" bestFit="1" customWidth="1"/>
    <col min="4403" max="4403" width="14" style="326" customWidth="1"/>
    <col min="4404" max="4404" width="9" style="326"/>
    <col min="4405" max="4405" width="10.75" style="326" customWidth="1"/>
    <col min="4406" max="4406" width="12.75" style="326" customWidth="1"/>
    <col min="4407" max="4407" width="9" style="326"/>
    <col min="4408" max="4408" width="10.75" style="326" bestFit="1" customWidth="1"/>
    <col min="4409" max="4409" width="11.5" style="326" customWidth="1"/>
    <col min="4410" max="4410" width="13.625" style="326" customWidth="1"/>
    <col min="4411" max="4411" width="10.625" style="326" customWidth="1"/>
    <col min="4412" max="4412" width="10.75" style="326" bestFit="1" customWidth="1"/>
    <col min="4413" max="4413" width="12.375" style="326" customWidth="1"/>
    <col min="4414" max="4416" width="9" style="326"/>
    <col min="4417" max="4417" width="15.75" style="326" customWidth="1"/>
    <col min="4418" max="4418" width="9" style="326"/>
    <col min="4419" max="4419" width="10.75" style="326" bestFit="1" customWidth="1"/>
    <col min="4420" max="4420" width="12.625" style="326" customWidth="1"/>
    <col min="4421" max="4423" width="9" style="326"/>
    <col min="4424" max="4424" width="13.625" style="326" customWidth="1"/>
    <col min="4425" max="4425" width="9" style="326"/>
    <col min="4426" max="4426" width="10.75" style="326" bestFit="1" customWidth="1"/>
    <col min="4427" max="4427" width="12.5" style="326" customWidth="1"/>
    <col min="4428" max="4430" width="9" style="326"/>
    <col min="4431" max="4431" width="12.875" style="326" customWidth="1"/>
    <col min="4432" max="4432" width="9" style="326"/>
    <col min="4433" max="4433" width="10.75" style="326" bestFit="1" customWidth="1"/>
    <col min="4434" max="4434" width="13.875" style="326" customWidth="1"/>
    <col min="4435" max="4437" width="9" style="326"/>
    <col min="4438" max="4438" width="14.125" style="326" customWidth="1"/>
    <col min="4439" max="4439" width="9" style="326"/>
    <col min="4440" max="4440" width="10.75" style="326" bestFit="1" customWidth="1"/>
    <col min="4441" max="4441" width="13.25" style="326" customWidth="1"/>
    <col min="4442" max="4444" width="9" style="326"/>
    <col min="4445" max="4445" width="13.25" style="326" customWidth="1"/>
    <col min="4446" max="4446" width="9" style="326"/>
    <col min="4447" max="4447" width="10.75" style="326" bestFit="1" customWidth="1"/>
    <col min="4448" max="4448" width="13.875" style="326" customWidth="1"/>
    <col min="4449" max="4451" width="9" style="326"/>
    <col min="4452" max="4452" width="13.625" style="326" customWidth="1"/>
    <col min="4453" max="4453" width="9" style="326"/>
    <col min="4454" max="4454" width="10.75" style="326" bestFit="1" customWidth="1"/>
    <col min="4455" max="4455" width="13" style="326" customWidth="1"/>
    <col min="4456" max="4602" width="9" style="326"/>
    <col min="4603" max="4604" width="12.125" style="326" customWidth="1"/>
    <col min="4605" max="4607" width="13" style="326" customWidth="1"/>
    <col min="4608" max="4608" width="12.875" style="326" customWidth="1"/>
    <col min="4609" max="4609" width="13" style="326" customWidth="1"/>
    <col min="4610" max="4610" width="13.125" style="326" customWidth="1"/>
    <col min="4611" max="4612" width="12.125" style="326" customWidth="1"/>
    <col min="4613" max="4613" width="14.375" style="326" bestFit="1" customWidth="1"/>
    <col min="4614" max="4614" width="11" style="326" customWidth="1"/>
    <col min="4615" max="4615" width="10" style="326" customWidth="1"/>
    <col min="4616" max="4616" width="10.875" style="326" customWidth="1"/>
    <col min="4617" max="4617" width="13.75" style="326" customWidth="1"/>
    <col min="4618" max="4618" width="10" style="326" customWidth="1"/>
    <col min="4619" max="4619" width="13.25" style="326" customWidth="1"/>
    <col min="4620" max="4620" width="14.375" style="326" customWidth="1"/>
    <col min="4621" max="4621" width="10" style="326" customWidth="1"/>
    <col min="4622" max="4622" width="10.875" style="326" customWidth="1"/>
    <col min="4623" max="4623" width="11.375" style="326" customWidth="1"/>
    <col min="4624" max="4624" width="15.375" style="326" customWidth="1"/>
    <col min="4625" max="4626" width="10.75" style="326" customWidth="1"/>
    <col min="4627" max="4627" width="14.375" style="326" customWidth="1"/>
    <col min="4628" max="4628" width="10.75" style="326" customWidth="1"/>
    <col min="4629" max="4629" width="11.75" style="326" customWidth="1"/>
    <col min="4630" max="4630" width="10" style="326" customWidth="1"/>
    <col min="4631" max="4631" width="15.375" style="326" customWidth="1"/>
    <col min="4632" max="4632" width="10" style="326" customWidth="1"/>
    <col min="4633" max="4633" width="10.75" style="326" customWidth="1"/>
    <col min="4634" max="4634" width="14.875" style="326" customWidth="1"/>
    <col min="4635" max="4635" width="11.5" style="326" customWidth="1"/>
    <col min="4636" max="4636" width="10" style="326" customWidth="1"/>
    <col min="4637" max="4637" width="10.75" style="326" customWidth="1"/>
    <col min="4638" max="4638" width="13.5" style="326" customWidth="1"/>
    <col min="4639" max="4639" width="9" style="326"/>
    <col min="4640" max="4640" width="10.75" style="326" bestFit="1" customWidth="1"/>
    <col min="4641" max="4641" width="13.75" style="326" customWidth="1"/>
    <col min="4642" max="4642" width="9" style="326"/>
    <col min="4643" max="4643" width="10.625" style="326" customWidth="1"/>
    <col min="4644" max="4644" width="9" style="326"/>
    <col min="4645" max="4645" width="14.25" style="326" customWidth="1"/>
    <col min="4646" max="4646" width="10.75" style="326" bestFit="1" customWidth="1"/>
    <col min="4647" max="4647" width="11.625" style="326" customWidth="1"/>
    <col min="4648" max="4648" width="13.75" style="326" customWidth="1"/>
    <col min="4649" max="4649" width="10.625" style="326" customWidth="1"/>
    <col min="4650" max="4651" width="9" style="326"/>
    <col min="4652" max="4652" width="14.125" style="326" customWidth="1"/>
    <col min="4653" max="4653" width="11" style="326" customWidth="1"/>
    <col min="4654" max="4654" width="10.75" style="326" bestFit="1" customWidth="1"/>
    <col min="4655" max="4655" width="13.5" style="326" customWidth="1"/>
    <col min="4656" max="4657" width="9" style="326"/>
    <col min="4658" max="4658" width="10.75" style="326" bestFit="1" customWidth="1"/>
    <col min="4659" max="4659" width="14" style="326" customWidth="1"/>
    <col min="4660" max="4660" width="9" style="326"/>
    <col min="4661" max="4661" width="10.75" style="326" customWidth="1"/>
    <col min="4662" max="4662" width="12.75" style="326" customWidth="1"/>
    <col min="4663" max="4663" width="9" style="326"/>
    <col min="4664" max="4664" width="10.75" style="326" bestFit="1" customWidth="1"/>
    <col min="4665" max="4665" width="11.5" style="326" customWidth="1"/>
    <col min="4666" max="4666" width="13.625" style="326" customWidth="1"/>
    <col min="4667" max="4667" width="10.625" style="326" customWidth="1"/>
    <col min="4668" max="4668" width="10.75" style="326" bestFit="1" customWidth="1"/>
    <col min="4669" max="4669" width="12.375" style="326" customWidth="1"/>
    <col min="4670" max="4672" width="9" style="326"/>
    <col min="4673" max="4673" width="15.75" style="326" customWidth="1"/>
    <col min="4674" max="4674" width="9" style="326"/>
    <col min="4675" max="4675" width="10.75" style="326" bestFit="1" customWidth="1"/>
    <col min="4676" max="4676" width="12.625" style="326" customWidth="1"/>
    <col min="4677" max="4679" width="9" style="326"/>
    <col min="4680" max="4680" width="13.625" style="326" customWidth="1"/>
    <col min="4681" max="4681" width="9" style="326"/>
    <col min="4682" max="4682" width="10.75" style="326" bestFit="1" customWidth="1"/>
    <col min="4683" max="4683" width="12.5" style="326" customWidth="1"/>
    <col min="4684" max="4686" width="9" style="326"/>
    <col min="4687" max="4687" width="12.875" style="326" customWidth="1"/>
    <col min="4688" max="4688" width="9" style="326"/>
    <col min="4689" max="4689" width="10.75" style="326" bestFit="1" customWidth="1"/>
    <col min="4690" max="4690" width="13.875" style="326" customWidth="1"/>
    <col min="4691" max="4693" width="9" style="326"/>
    <col min="4694" max="4694" width="14.125" style="326" customWidth="1"/>
    <col min="4695" max="4695" width="9" style="326"/>
    <col min="4696" max="4696" width="10.75" style="326" bestFit="1" customWidth="1"/>
    <col min="4697" max="4697" width="13.25" style="326" customWidth="1"/>
    <col min="4698" max="4700" width="9" style="326"/>
    <col min="4701" max="4701" width="13.25" style="326" customWidth="1"/>
    <col min="4702" max="4702" width="9" style="326"/>
    <col min="4703" max="4703" width="10.75" style="326" bestFit="1" customWidth="1"/>
    <col min="4704" max="4704" width="13.875" style="326" customWidth="1"/>
    <col min="4705" max="4707" width="9" style="326"/>
    <col min="4708" max="4708" width="13.625" style="326" customWidth="1"/>
    <col min="4709" max="4709" width="9" style="326"/>
    <col min="4710" max="4710" width="10.75" style="326" bestFit="1" customWidth="1"/>
    <col min="4711" max="4711" width="13" style="326" customWidth="1"/>
    <col min="4712" max="4858" width="9" style="326"/>
    <col min="4859" max="4860" width="12.125" style="326" customWidth="1"/>
    <col min="4861" max="4863" width="13" style="326" customWidth="1"/>
    <col min="4864" max="4864" width="12.875" style="326" customWidth="1"/>
    <col min="4865" max="4865" width="13" style="326" customWidth="1"/>
    <col min="4866" max="4866" width="13.125" style="326" customWidth="1"/>
    <col min="4867" max="4868" width="12.125" style="326" customWidth="1"/>
    <col min="4869" max="4869" width="14.375" style="326" bestFit="1" customWidth="1"/>
    <col min="4870" max="4870" width="11" style="326" customWidth="1"/>
    <col min="4871" max="4871" width="10" style="326" customWidth="1"/>
    <col min="4872" max="4872" width="10.875" style="326" customWidth="1"/>
    <col min="4873" max="4873" width="13.75" style="326" customWidth="1"/>
    <col min="4874" max="4874" width="10" style="326" customWidth="1"/>
    <col min="4875" max="4875" width="13.25" style="326" customWidth="1"/>
    <col min="4876" max="4876" width="14.375" style="326" customWidth="1"/>
    <col min="4877" max="4877" width="10" style="326" customWidth="1"/>
    <col min="4878" max="4878" width="10.875" style="326" customWidth="1"/>
    <col min="4879" max="4879" width="11.375" style="326" customWidth="1"/>
    <col min="4880" max="4880" width="15.375" style="326" customWidth="1"/>
    <col min="4881" max="4882" width="10.75" style="326" customWidth="1"/>
    <col min="4883" max="4883" width="14.375" style="326" customWidth="1"/>
    <col min="4884" max="4884" width="10.75" style="326" customWidth="1"/>
    <col min="4885" max="4885" width="11.75" style="326" customWidth="1"/>
    <col min="4886" max="4886" width="10" style="326" customWidth="1"/>
    <col min="4887" max="4887" width="15.375" style="326" customWidth="1"/>
    <col min="4888" max="4888" width="10" style="326" customWidth="1"/>
    <col min="4889" max="4889" width="10.75" style="326" customWidth="1"/>
    <col min="4890" max="4890" width="14.875" style="326" customWidth="1"/>
    <col min="4891" max="4891" width="11.5" style="326" customWidth="1"/>
    <col min="4892" max="4892" width="10" style="326" customWidth="1"/>
    <col min="4893" max="4893" width="10.75" style="326" customWidth="1"/>
    <col min="4894" max="4894" width="13.5" style="326" customWidth="1"/>
    <col min="4895" max="4895" width="9" style="326"/>
    <col min="4896" max="4896" width="10.75" style="326" bestFit="1" customWidth="1"/>
    <col min="4897" max="4897" width="13.75" style="326" customWidth="1"/>
    <col min="4898" max="4898" width="9" style="326"/>
    <col min="4899" max="4899" width="10.625" style="326" customWidth="1"/>
    <col min="4900" max="4900" width="9" style="326"/>
    <col min="4901" max="4901" width="14.25" style="326" customWidth="1"/>
    <col min="4902" max="4902" width="10.75" style="326" bestFit="1" customWidth="1"/>
    <col min="4903" max="4903" width="11.625" style="326" customWidth="1"/>
    <col min="4904" max="4904" width="13.75" style="326" customWidth="1"/>
    <col min="4905" max="4905" width="10.625" style="326" customWidth="1"/>
    <col min="4906" max="4907" width="9" style="326"/>
    <col min="4908" max="4908" width="14.125" style="326" customWidth="1"/>
    <col min="4909" max="4909" width="11" style="326" customWidth="1"/>
    <col min="4910" max="4910" width="10.75" style="326" bestFit="1" customWidth="1"/>
    <col min="4911" max="4911" width="13.5" style="326" customWidth="1"/>
    <col min="4912" max="4913" width="9" style="326"/>
    <col min="4914" max="4914" width="10.75" style="326" bestFit="1" customWidth="1"/>
    <col min="4915" max="4915" width="14" style="326" customWidth="1"/>
    <col min="4916" max="4916" width="9" style="326"/>
    <col min="4917" max="4917" width="10.75" style="326" customWidth="1"/>
    <col min="4918" max="4918" width="12.75" style="326" customWidth="1"/>
    <col min="4919" max="4919" width="9" style="326"/>
    <col min="4920" max="4920" width="10.75" style="326" bestFit="1" customWidth="1"/>
    <col min="4921" max="4921" width="11.5" style="326" customWidth="1"/>
    <col min="4922" max="4922" width="13.625" style="326" customWidth="1"/>
    <col min="4923" max="4923" width="10.625" style="326" customWidth="1"/>
    <col min="4924" max="4924" width="10.75" style="326" bestFit="1" customWidth="1"/>
    <col min="4925" max="4925" width="12.375" style="326" customWidth="1"/>
    <col min="4926" max="4928" width="9" style="326"/>
    <col min="4929" max="4929" width="15.75" style="326" customWidth="1"/>
    <col min="4930" max="4930" width="9" style="326"/>
    <col min="4931" max="4931" width="10.75" style="326" bestFit="1" customWidth="1"/>
    <col min="4932" max="4932" width="12.625" style="326" customWidth="1"/>
    <col min="4933" max="4935" width="9" style="326"/>
    <col min="4936" max="4936" width="13.625" style="326" customWidth="1"/>
    <col min="4937" max="4937" width="9" style="326"/>
    <col min="4938" max="4938" width="10.75" style="326" bestFit="1" customWidth="1"/>
    <col min="4939" max="4939" width="12.5" style="326" customWidth="1"/>
    <col min="4940" max="4942" width="9" style="326"/>
    <col min="4943" max="4943" width="12.875" style="326" customWidth="1"/>
    <col min="4944" max="4944" width="9" style="326"/>
    <col min="4945" max="4945" width="10.75" style="326" bestFit="1" customWidth="1"/>
    <col min="4946" max="4946" width="13.875" style="326" customWidth="1"/>
    <col min="4947" max="4949" width="9" style="326"/>
    <col min="4950" max="4950" width="14.125" style="326" customWidth="1"/>
    <col min="4951" max="4951" width="9" style="326"/>
    <col min="4952" max="4952" width="10.75" style="326" bestFit="1" customWidth="1"/>
    <col min="4953" max="4953" width="13.25" style="326" customWidth="1"/>
    <col min="4954" max="4956" width="9" style="326"/>
    <col min="4957" max="4957" width="13.25" style="326" customWidth="1"/>
    <col min="4958" max="4958" width="9" style="326"/>
    <col min="4959" max="4959" width="10.75" style="326" bestFit="1" customWidth="1"/>
    <col min="4960" max="4960" width="13.875" style="326" customWidth="1"/>
    <col min="4961" max="4963" width="9" style="326"/>
    <col min="4964" max="4964" width="13.625" style="326" customWidth="1"/>
    <col min="4965" max="4965" width="9" style="326"/>
    <col min="4966" max="4966" width="10.75" style="326" bestFit="1" customWidth="1"/>
    <col min="4967" max="4967" width="13" style="326" customWidth="1"/>
    <col min="4968" max="5114" width="9" style="326"/>
    <col min="5115" max="5116" width="12.125" style="326" customWidth="1"/>
    <col min="5117" max="5119" width="13" style="326" customWidth="1"/>
    <col min="5120" max="5120" width="12.875" style="326" customWidth="1"/>
    <col min="5121" max="5121" width="13" style="326" customWidth="1"/>
    <col min="5122" max="5122" width="13.125" style="326" customWidth="1"/>
    <col min="5123" max="5124" width="12.125" style="326" customWidth="1"/>
    <col min="5125" max="5125" width="14.375" style="326" bestFit="1" customWidth="1"/>
    <col min="5126" max="5126" width="11" style="326" customWidth="1"/>
    <col min="5127" max="5127" width="10" style="326" customWidth="1"/>
    <col min="5128" max="5128" width="10.875" style="326" customWidth="1"/>
    <col min="5129" max="5129" width="13.75" style="326" customWidth="1"/>
    <col min="5130" max="5130" width="10" style="326" customWidth="1"/>
    <col min="5131" max="5131" width="13.25" style="326" customWidth="1"/>
    <col min="5132" max="5132" width="14.375" style="326" customWidth="1"/>
    <col min="5133" max="5133" width="10" style="326" customWidth="1"/>
    <col min="5134" max="5134" width="10.875" style="326" customWidth="1"/>
    <col min="5135" max="5135" width="11.375" style="326" customWidth="1"/>
    <col min="5136" max="5136" width="15.375" style="326" customWidth="1"/>
    <col min="5137" max="5138" width="10.75" style="326" customWidth="1"/>
    <col min="5139" max="5139" width="14.375" style="326" customWidth="1"/>
    <col min="5140" max="5140" width="10.75" style="326" customWidth="1"/>
    <col min="5141" max="5141" width="11.75" style="326" customWidth="1"/>
    <col min="5142" max="5142" width="10" style="326" customWidth="1"/>
    <col min="5143" max="5143" width="15.375" style="326" customWidth="1"/>
    <col min="5144" max="5144" width="10" style="326" customWidth="1"/>
    <col min="5145" max="5145" width="10.75" style="326" customWidth="1"/>
    <col min="5146" max="5146" width="14.875" style="326" customWidth="1"/>
    <col min="5147" max="5147" width="11.5" style="326" customWidth="1"/>
    <col min="5148" max="5148" width="10" style="326" customWidth="1"/>
    <col min="5149" max="5149" width="10.75" style="326" customWidth="1"/>
    <col min="5150" max="5150" width="13.5" style="326" customWidth="1"/>
    <col min="5151" max="5151" width="9" style="326"/>
    <col min="5152" max="5152" width="10.75" style="326" bestFit="1" customWidth="1"/>
    <col min="5153" max="5153" width="13.75" style="326" customWidth="1"/>
    <col min="5154" max="5154" width="9" style="326"/>
    <col min="5155" max="5155" width="10.625" style="326" customWidth="1"/>
    <col min="5156" max="5156" width="9" style="326"/>
    <col min="5157" max="5157" width="14.25" style="326" customWidth="1"/>
    <col min="5158" max="5158" width="10.75" style="326" bestFit="1" customWidth="1"/>
    <col min="5159" max="5159" width="11.625" style="326" customWidth="1"/>
    <col min="5160" max="5160" width="13.75" style="326" customWidth="1"/>
    <col min="5161" max="5161" width="10.625" style="326" customWidth="1"/>
    <col min="5162" max="5163" width="9" style="326"/>
    <col min="5164" max="5164" width="14.125" style="326" customWidth="1"/>
    <col min="5165" max="5165" width="11" style="326" customWidth="1"/>
    <col min="5166" max="5166" width="10.75" style="326" bestFit="1" customWidth="1"/>
    <col min="5167" max="5167" width="13.5" style="326" customWidth="1"/>
    <col min="5168" max="5169" width="9" style="326"/>
    <col min="5170" max="5170" width="10.75" style="326" bestFit="1" customWidth="1"/>
    <col min="5171" max="5171" width="14" style="326" customWidth="1"/>
    <col min="5172" max="5172" width="9" style="326"/>
    <col min="5173" max="5173" width="10.75" style="326" customWidth="1"/>
    <col min="5174" max="5174" width="12.75" style="326" customWidth="1"/>
    <col min="5175" max="5175" width="9" style="326"/>
    <col min="5176" max="5176" width="10.75" style="326" bestFit="1" customWidth="1"/>
    <col min="5177" max="5177" width="11.5" style="326" customWidth="1"/>
    <col min="5178" max="5178" width="13.625" style="326" customWidth="1"/>
    <col min="5179" max="5179" width="10.625" style="326" customWidth="1"/>
    <col min="5180" max="5180" width="10.75" style="326" bestFit="1" customWidth="1"/>
    <col min="5181" max="5181" width="12.375" style="326" customWidth="1"/>
    <col min="5182" max="5184" width="9" style="326"/>
    <col min="5185" max="5185" width="15.75" style="326" customWidth="1"/>
    <col min="5186" max="5186" width="9" style="326"/>
    <col min="5187" max="5187" width="10.75" style="326" bestFit="1" customWidth="1"/>
    <col min="5188" max="5188" width="12.625" style="326" customWidth="1"/>
    <col min="5189" max="5191" width="9" style="326"/>
    <col min="5192" max="5192" width="13.625" style="326" customWidth="1"/>
    <col min="5193" max="5193" width="9" style="326"/>
    <col min="5194" max="5194" width="10.75" style="326" bestFit="1" customWidth="1"/>
    <col min="5195" max="5195" width="12.5" style="326" customWidth="1"/>
    <col min="5196" max="5198" width="9" style="326"/>
    <col min="5199" max="5199" width="12.875" style="326" customWidth="1"/>
    <col min="5200" max="5200" width="9" style="326"/>
    <col min="5201" max="5201" width="10.75" style="326" bestFit="1" customWidth="1"/>
    <col min="5202" max="5202" width="13.875" style="326" customWidth="1"/>
    <col min="5203" max="5205" width="9" style="326"/>
    <col min="5206" max="5206" width="14.125" style="326" customWidth="1"/>
    <col min="5207" max="5207" width="9" style="326"/>
    <col min="5208" max="5208" width="10.75" style="326" bestFit="1" customWidth="1"/>
    <col min="5209" max="5209" width="13.25" style="326" customWidth="1"/>
    <col min="5210" max="5212" width="9" style="326"/>
    <col min="5213" max="5213" width="13.25" style="326" customWidth="1"/>
    <col min="5214" max="5214" width="9" style="326"/>
    <col min="5215" max="5215" width="10.75" style="326" bestFit="1" customWidth="1"/>
    <col min="5216" max="5216" width="13.875" style="326" customWidth="1"/>
    <col min="5217" max="5219" width="9" style="326"/>
    <col min="5220" max="5220" width="13.625" style="326" customWidth="1"/>
    <col min="5221" max="5221" width="9" style="326"/>
    <col min="5222" max="5222" width="10.75" style="326" bestFit="1" customWidth="1"/>
    <col min="5223" max="5223" width="13" style="326" customWidth="1"/>
    <col min="5224" max="5370" width="9" style="326"/>
    <col min="5371" max="5372" width="12.125" style="326" customWidth="1"/>
    <col min="5373" max="5375" width="13" style="326" customWidth="1"/>
    <col min="5376" max="5376" width="12.875" style="326" customWidth="1"/>
    <col min="5377" max="5377" width="13" style="326" customWidth="1"/>
    <col min="5378" max="5378" width="13.125" style="326" customWidth="1"/>
    <col min="5379" max="5380" width="12.125" style="326" customWidth="1"/>
    <col min="5381" max="5381" width="14.375" style="326" bestFit="1" customWidth="1"/>
    <col min="5382" max="5382" width="11" style="326" customWidth="1"/>
    <col min="5383" max="5383" width="10" style="326" customWidth="1"/>
    <col min="5384" max="5384" width="10.875" style="326" customWidth="1"/>
    <col min="5385" max="5385" width="13.75" style="326" customWidth="1"/>
    <col min="5386" max="5386" width="10" style="326" customWidth="1"/>
    <col min="5387" max="5387" width="13.25" style="326" customWidth="1"/>
    <col min="5388" max="5388" width="14.375" style="326" customWidth="1"/>
    <col min="5389" max="5389" width="10" style="326" customWidth="1"/>
    <col min="5390" max="5390" width="10.875" style="326" customWidth="1"/>
    <col min="5391" max="5391" width="11.375" style="326" customWidth="1"/>
    <col min="5392" max="5392" width="15.375" style="326" customWidth="1"/>
    <col min="5393" max="5394" width="10.75" style="326" customWidth="1"/>
    <col min="5395" max="5395" width="14.375" style="326" customWidth="1"/>
    <col min="5396" max="5396" width="10.75" style="326" customWidth="1"/>
    <col min="5397" max="5397" width="11.75" style="326" customWidth="1"/>
    <col min="5398" max="5398" width="10" style="326" customWidth="1"/>
    <col min="5399" max="5399" width="15.375" style="326" customWidth="1"/>
    <col min="5400" max="5400" width="10" style="326" customWidth="1"/>
    <col min="5401" max="5401" width="10.75" style="326" customWidth="1"/>
    <col min="5402" max="5402" width="14.875" style="326" customWidth="1"/>
    <col min="5403" max="5403" width="11.5" style="326" customWidth="1"/>
    <col min="5404" max="5404" width="10" style="326" customWidth="1"/>
    <col min="5405" max="5405" width="10.75" style="326" customWidth="1"/>
    <col min="5406" max="5406" width="13.5" style="326" customWidth="1"/>
    <col min="5407" max="5407" width="9" style="326"/>
    <col min="5408" max="5408" width="10.75" style="326" bestFit="1" customWidth="1"/>
    <col min="5409" max="5409" width="13.75" style="326" customWidth="1"/>
    <col min="5410" max="5410" width="9" style="326"/>
    <col min="5411" max="5411" width="10.625" style="326" customWidth="1"/>
    <col min="5412" max="5412" width="9" style="326"/>
    <col min="5413" max="5413" width="14.25" style="326" customWidth="1"/>
    <col min="5414" max="5414" width="10.75" style="326" bestFit="1" customWidth="1"/>
    <col min="5415" max="5415" width="11.625" style="326" customWidth="1"/>
    <col min="5416" max="5416" width="13.75" style="326" customWidth="1"/>
    <col min="5417" max="5417" width="10.625" style="326" customWidth="1"/>
    <col min="5418" max="5419" width="9" style="326"/>
    <col min="5420" max="5420" width="14.125" style="326" customWidth="1"/>
    <col min="5421" max="5421" width="11" style="326" customWidth="1"/>
    <col min="5422" max="5422" width="10.75" style="326" bestFit="1" customWidth="1"/>
    <col min="5423" max="5423" width="13.5" style="326" customWidth="1"/>
    <col min="5424" max="5425" width="9" style="326"/>
    <col min="5426" max="5426" width="10.75" style="326" bestFit="1" customWidth="1"/>
    <col min="5427" max="5427" width="14" style="326" customWidth="1"/>
    <col min="5428" max="5428" width="9" style="326"/>
    <col min="5429" max="5429" width="10.75" style="326" customWidth="1"/>
    <col min="5430" max="5430" width="12.75" style="326" customWidth="1"/>
    <col min="5431" max="5431" width="9" style="326"/>
    <col min="5432" max="5432" width="10.75" style="326" bestFit="1" customWidth="1"/>
    <col min="5433" max="5433" width="11.5" style="326" customWidth="1"/>
    <col min="5434" max="5434" width="13.625" style="326" customWidth="1"/>
    <col min="5435" max="5435" width="10.625" style="326" customWidth="1"/>
    <col min="5436" max="5436" width="10.75" style="326" bestFit="1" customWidth="1"/>
    <col min="5437" max="5437" width="12.375" style="326" customWidth="1"/>
    <col min="5438" max="5440" width="9" style="326"/>
    <col min="5441" max="5441" width="15.75" style="326" customWidth="1"/>
    <col min="5442" max="5442" width="9" style="326"/>
    <col min="5443" max="5443" width="10.75" style="326" bestFit="1" customWidth="1"/>
    <col min="5444" max="5444" width="12.625" style="326" customWidth="1"/>
    <col min="5445" max="5447" width="9" style="326"/>
    <col min="5448" max="5448" width="13.625" style="326" customWidth="1"/>
    <col min="5449" max="5449" width="9" style="326"/>
    <col min="5450" max="5450" width="10.75" style="326" bestFit="1" customWidth="1"/>
    <col min="5451" max="5451" width="12.5" style="326" customWidth="1"/>
    <col min="5452" max="5454" width="9" style="326"/>
    <col min="5455" max="5455" width="12.875" style="326" customWidth="1"/>
    <col min="5456" max="5456" width="9" style="326"/>
    <col min="5457" max="5457" width="10.75" style="326" bestFit="1" customWidth="1"/>
    <col min="5458" max="5458" width="13.875" style="326" customWidth="1"/>
    <col min="5459" max="5461" width="9" style="326"/>
    <col min="5462" max="5462" width="14.125" style="326" customWidth="1"/>
    <col min="5463" max="5463" width="9" style="326"/>
    <col min="5464" max="5464" width="10.75" style="326" bestFit="1" customWidth="1"/>
    <col min="5465" max="5465" width="13.25" style="326" customWidth="1"/>
    <col min="5466" max="5468" width="9" style="326"/>
    <col min="5469" max="5469" width="13.25" style="326" customWidth="1"/>
    <col min="5470" max="5470" width="9" style="326"/>
    <col min="5471" max="5471" width="10.75" style="326" bestFit="1" customWidth="1"/>
    <col min="5472" max="5472" width="13.875" style="326" customWidth="1"/>
    <col min="5473" max="5475" width="9" style="326"/>
    <col min="5476" max="5476" width="13.625" style="326" customWidth="1"/>
    <col min="5477" max="5477" width="9" style="326"/>
    <col min="5478" max="5478" width="10.75" style="326" bestFit="1" customWidth="1"/>
    <col min="5479" max="5479" width="13" style="326" customWidth="1"/>
    <col min="5480" max="5626" width="9" style="326"/>
    <col min="5627" max="5628" width="12.125" style="326" customWidth="1"/>
    <col min="5629" max="5631" width="13" style="326" customWidth="1"/>
    <col min="5632" max="5632" width="12.875" style="326" customWidth="1"/>
    <col min="5633" max="5633" width="13" style="326" customWidth="1"/>
    <col min="5634" max="5634" width="13.125" style="326" customWidth="1"/>
    <col min="5635" max="5636" width="12.125" style="326" customWidth="1"/>
    <col min="5637" max="5637" width="14.375" style="326" bestFit="1" customWidth="1"/>
    <col min="5638" max="5638" width="11" style="326" customWidth="1"/>
    <col min="5639" max="5639" width="10" style="326" customWidth="1"/>
    <col min="5640" max="5640" width="10.875" style="326" customWidth="1"/>
    <col min="5641" max="5641" width="13.75" style="326" customWidth="1"/>
    <col min="5642" max="5642" width="10" style="326" customWidth="1"/>
    <col min="5643" max="5643" width="13.25" style="326" customWidth="1"/>
    <col min="5644" max="5644" width="14.375" style="326" customWidth="1"/>
    <col min="5645" max="5645" width="10" style="326" customWidth="1"/>
    <col min="5646" max="5646" width="10.875" style="326" customWidth="1"/>
    <col min="5647" max="5647" width="11.375" style="326" customWidth="1"/>
    <col min="5648" max="5648" width="15.375" style="326" customWidth="1"/>
    <col min="5649" max="5650" width="10.75" style="326" customWidth="1"/>
    <col min="5651" max="5651" width="14.375" style="326" customWidth="1"/>
    <col min="5652" max="5652" width="10.75" style="326" customWidth="1"/>
    <col min="5653" max="5653" width="11.75" style="326" customWidth="1"/>
    <col min="5654" max="5654" width="10" style="326" customWidth="1"/>
    <col min="5655" max="5655" width="15.375" style="326" customWidth="1"/>
    <col min="5656" max="5656" width="10" style="326" customWidth="1"/>
    <col min="5657" max="5657" width="10.75" style="326" customWidth="1"/>
    <col min="5658" max="5658" width="14.875" style="326" customWidth="1"/>
    <col min="5659" max="5659" width="11.5" style="326" customWidth="1"/>
    <col min="5660" max="5660" width="10" style="326" customWidth="1"/>
    <col min="5661" max="5661" width="10.75" style="326" customWidth="1"/>
    <col min="5662" max="5662" width="13.5" style="326" customWidth="1"/>
    <col min="5663" max="5663" width="9" style="326"/>
    <col min="5664" max="5664" width="10.75" style="326" bestFit="1" customWidth="1"/>
    <col min="5665" max="5665" width="13.75" style="326" customWidth="1"/>
    <col min="5666" max="5666" width="9" style="326"/>
    <col min="5667" max="5667" width="10.625" style="326" customWidth="1"/>
    <col min="5668" max="5668" width="9" style="326"/>
    <col min="5669" max="5669" width="14.25" style="326" customWidth="1"/>
    <col min="5670" max="5670" width="10.75" style="326" bestFit="1" customWidth="1"/>
    <col min="5671" max="5671" width="11.625" style="326" customWidth="1"/>
    <col min="5672" max="5672" width="13.75" style="326" customWidth="1"/>
    <col min="5673" max="5673" width="10.625" style="326" customWidth="1"/>
    <col min="5674" max="5675" width="9" style="326"/>
    <col min="5676" max="5676" width="14.125" style="326" customWidth="1"/>
    <col min="5677" max="5677" width="11" style="326" customWidth="1"/>
    <col min="5678" max="5678" width="10.75" style="326" bestFit="1" customWidth="1"/>
    <col min="5679" max="5679" width="13.5" style="326" customWidth="1"/>
    <col min="5680" max="5681" width="9" style="326"/>
    <col min="5682" max="5682" width="10.75" style="326" bestFit="1" customWidth="1"/>
    <col min="5683" max="5683" width="14" style="326" customWidth="1"/>
    <col min="5684" max="5684" width="9" style="326"/>
    <col min="5685" max="5685" width="10.75" style="326" customWidth="1"/>
    <col min="5686" max="5686" width="12.75" style="326" customWidth="1"/>
    <col min="5687" max="5687" width="9" style="326"/>
    <col min="5688" max="5688" width="10.75" style="326" bestFit="1" customWidth="1"/>
    <col min="5689" max="5689" width="11.5" style="326" customWidth="1"/>
    <col min="5690" max="5690" width="13.625" style="326" customWidth="1"/>
    <col min="5691" max="5691" width="10.625" style="326" customWidth="1"/>
    <col min="5692" max="5692" width="10.75" style="326" bestFit="1" customWidth="1"/>
    <col min="5693" max="5693" width="12.375" style="326" customWidth="1"/>
    <col min="5694" max="5696" width="9" style="326"/>
    <col min="5697" max="5697" width="15.75" style="326" customWidth="1"/>
    <col min="5698" max="5698" width="9" style="326"/>
    <col min="5699" max="5699" width="10.75" style="326" bestFit="1" customWidth="1"/>
    <col min="5700" max="5700" width="12.625" style="326" customWidth="1"/>
    <col min="5701" max="5703" width="9" style="326"/>
    <col min="5704" max="5704" width="13.625" style="326" customWidth="1"/>
    <col min="5705" max="5705" width="9" style="326"/>
    <col min="5706" max="5706" width="10.75" style="326" bestFit="1" customWidth="1"/>
    <col min="5707" max="5707" width="12.5" style="326" customWidth="1"/>
    <col min="5708" max="5710" width="9" style="326"/>
    <col min="5711" max="5711" width="12.875" style="326" customWidth="1"/>
    <col min="5712" max="5712" width="9" style="326"/>
    <col min="5713" max="5713" width="10.75" style="326" bestFit="1" customWidth="1"/>
    <col min="5714" max="5714" width="13.875" style="326" customWidth="1"/>
    <col min="5715" max="5717" width="9" style="326"/>
    <col min="5718" max="5718" width="14.125" style="326" customWidth="1"/>
    <col min="5719" max="5719" width="9" style="326"/>
    <col min="5720" max="5720" width="10.75" style="326" bestFit="1" customWidth="1"/>
    <col min="5721" max="5721" width="13.25" style="326" customWidth="1"/>
    <col min="5722" max="5724" width="9" style="326"/>
    <col min="5725" max="5725" width="13.25" style="326" customWidth="1"/>
    <col min="5726" max="5726" width="9" style="326"/>
    <col min="5727" max="5727" width="10.75" style="326" bestFit="1" customWidth="1"/>
    <col min="5728" max="5728" width="13.875" style="326" customWidth="1"/>
    <col min="5729" max="5731" width="9" style="326"/>
    <col min="5732" max="5732" width="13.625" style="326" customWidth="1"/>
    <col min="5733" max="5733" width="9" style="326"/>
    <col min="5734" max="5734" width="10.75" style="326" bestFit="1" customWidth="1"/>
    <col min="5735" max="5735" width="13" style="326" customWidth="1"/>
    <col min="5736" max="5882" width="9" style="326"/>
    <col min="5883" max="5884" width="12.125" style="326" customWidth="1"/>
    <col min="5885" max="5887" width="13" style="326" customWidth="1"/>
    <col min="5888" max="5888" width="12.875" style="326" customWidth="1"/>
    <col min="5889" max="5889" width="13" style="326" customWidth="1"/>
    <col min="5890" max="5890" width="13.125" style="326" customWidth="1"/>
    <col min="5891" max="5892" width="12.125" style="326" customWidth="1"/>
    <col min="5893" max="5893" width="14.375" style="326" bestFit="1" customWidth="1"/>
    <col min="5894" max="5894" width="11" style="326" customWidth="1"/>
    <col min="5895" max="5895" width="10" style="326" customWidth="1"/>
    <col min="5896" max="5896" width="10.875" style="326" customWidth="1"/>
    <col min="5897" max="5897" width="13.75" style="326" customWidth="1"/>
    <col min="5898" max="5898" width="10" style="326" customWidth="1"/>
    <col min="5899" max="5899" width="13.25" style="326" customWidth="1"/>
    <col min="5900" max="5900" width="14.375" style="326" customWidth="1"/>
    <col min="5901" max="5901" width="10" style="326" customWidth="1"/>
    <col min="5902" max="5902" width="10.875" style="326" customWidth="1"/>
    <col min="5903" max="5903" width="11.375" style="326" customWidth="1"/>
    <col min="5904" max="5904" width="15.375" style="326" customWidth="1"/>
    <col min="5905" max="5906" width="10.75" style="326" customWidth="1"/>
    <col min="5907" max="5907" width="14.375" style="326" customWidth="1"/>
    <col min="5908" max="5908" width="10.75" style="326" customWidth="1"/>
    <col min="5909" max="5909" width="11.75" style="326" customWidth="1"/>
    <col min="5910" max="5910" width="10" style="326" customWidth="1"/>
    <col min="5911" max="5911" width="15.375" style="326" customWidth="1"/>
    <col min="5912" max="5912" width="10" style="326" customWidth="1"/>
    <col min="5913" max="5913" width="10.75" style="326" customWidth="1"/>
    <col min="5914" max="5914" width="14.875" style="326" customWidth="1"/>
    <col min="5915" max="5915" width="11.5" style="326" customWidth="1"/>
    <col min="5916" max="5916" width="10" style="326" customWidth="1"/>
    <col min="5917" max="5917" width="10.75" style="326" customWidth="1"/>
    <col min="5918" max="5918" width="13.5" style="326" customWidth="1"/>
    <col min="5919" max="5919" width="9" style="326"/>
    <col min="5920" max="5920" width="10.75" style="326" bestFit="1" customWidth="1"/>
    <col min="5921" max="5921" width="13.75" style="326" customWidth="1"/>
    <col min="5922" max="5922" width="9" style="326"/>
    <col min="5923" max="5923" width="10.625" style="326" customWidth="1"/>
    <col min="5924" max="5924" width="9" style="326"/>
    <col min="5925" max="5925" width="14.25" style="326" customWidth="1"/>
    <col min="5926" max="5926" width="10.75" style="326" bestFit="1" customWidth="1"/>
    <col min="5927" max="5927" width="11.625" style="326" customWidth="1"/>
    <col min="5928" max="5928" width="13.75" style="326" customWidth="1"/>
    <col min="5929" max="5929" width="10.625" style="326" customWidth="1"/>
    <col min="5930" max="5931" width="9" style="326"/>
    <col min="5932" max="5932" width="14.125" style="326" customWidth="1"/>
    <col min="5933" max="5933" width="11" style="326" customWidth="1"/>
    <col min="5934" max="5934" width="10.75" style="326" bestFit="1" customWidth="1"/>
    <col min="5935" max="5935" width="13.5" style="326" customWidth="1"/>
    <col min="5936" max="5937" width="9" style="326"/>
    <col min="5938" max="5938" width="10.75" style="326" bestFit="1" customWidth="1"/>
    <col min="5939" max="5939" width="14" style="326" customWidth="1"/>
    <col min="5940" max="5940" width="9" style="326"/>
    <col min="5941" max="5941" width="10.75" style="326" customWidth="1"/>
    <col min="5942" max="5942" width="12.75" style="326" customWidth="1"/>
    <col min="5943" max="5943" width="9" style="326"/>
    <col min="5944" max="5944" width="10.75" style="326" bestFit="1" customWidth="1"/>
    <col min="5945" max="5945" width="11.5" style="326" customWidth="1"/>
    <col min="5946" max="5946" width="13.625" style="326" customWidth="1"/>
    <col min="5947" max="5947" width="10.625" style="326" customWidth="1"/>
    <col min="5948" max="5948" width="10.75" style="326" bestFit="1" customWidth="1"/>
    <col min="5949" max="5949" width="12.375" style="326" customWidth="1"/>
    <col min="5950" max="5952" width="9" style="326"/>
    <col min="5953" max="5953" width="15.75" style="326" customWidth="1"/>
    <col min="5954" max="5954" width="9" style="326"/>
    <col min="5955" max="5955" width="10.75" style="326" bestFit="1" customWidth="1"/>
    <col min="5956" max="5956" width="12.625" style="326" customWidth="1"/>
    <col min="5957" max="5959" width="9" style="326"/>
    <col min="5960" max="5960" width="13.625" style="326" customWidth="1"/>
    <col min="5961" max="5961" width="9" style="326"/>
    <col min="5962" max="5962" width="10.75" style="326" bestFit="1" customWidth="1"/>
    <col min="5963" max="5963" width="12.5" style="326" customWidth="1"/>
    <col min="5964" max="5966" width="9" style="326"/>
    <col min="5967" max="5967" width="12.875" style="326" customWidth="1"/>
    <col min="5968" max="5968" width="9" style="326"/>
    <col min="5969" max="5969" width="10.75" style="326" bestFit="1" customWidth="1"/>
    <col min="5970" max="5970" width="13.875" style="326" customWidth="1"/>
    <col min="5971" max="5973" width="9" style="326"/>
    <col min="5974" max="5974" width="14.125" style="326" customWidth="1"/>
    <col min="5975" max="5975" width="9" style="326"/>
    <col min="5976" max="5976" width="10.75" style="326" bestFit="1" customWidth="1"/>
    <col min="5977" max="5977" width="13.25" style="326" customWidth="1"/>
    <col min="5978" max="5980" width="9" style="326"/>
    <col min="5981" max="5981" width="13.25" style="326" customWidth="1"/>
    <col min="5982" max="5982" width="9" style="326"/>
    <col min="5983" max="5983" width="10.75" style="326" bestFit="1" customWidth="1"/>
    <col min="5984" max="5984" width="13.875" style="326" customWidth="1"/>
    <col min="5985" max="5987" width="9" style="326"/>
    <col min="5988" max="5988" width="13.625" style="326" customWidth="1"/>
    <col min="5989" max="5989" width="9" style="326"/>
    <col min="5990" max="5990" width="10.75" style="326" bestFit="1" customWidth="1"/>
    <col min="5991" max="5991" width="13" style="326" customWidth="1"/>
    <col min="5992" max="6138" width="9" style="326"/>
    <col min="6139" max="6140" width="12.125" style="326" customWidth="1"/>
    <col min="6141" max="6143" width="13" style="326" customWidth="1"/>
    <col min="6144" max="6144" width="12.875" style="326" customWidth="1"/>
    <col min="6145" max="6145" width="13" style="326" customWidth="1"/>
    <col min="6146" max="6146" width="13.125" style="326" customWidth="1"/>
    <col min="6147" max="6148" width="12.125" style="326" customWidth="1"/>
    <col min="6149" max="6149" width="14.375" style="326" bestFit="1" customWidth="1"/>
    <col min="6150" max="6150" width="11" style="326" customWidth="1"/>
    <col min="6151" max="6151" width="10" style="326" customWidth="1"/>
    <col min="6152" max="6152" width="10.875" style="326" customWidth="1"/>
    <col min="6153" max="6153" width="13.75" style="326" customWidth="1"/>
    <col min="6154" max="6154" width="10" style="326" customWidth="1"/>
    <col min="6155" max="6155" width="13.25" style="326" customWidth="1"/>
    <col min="6156" max="6156" width="14.375" style="326" customWidth="1"/>
    <col min="6157" max="6157" width="10" style="326" customWidth="1"/>
    <col min="6158" max="6158" width="10.875" style="326" customWidth="1"/>
    <col min="6159" max="6159" width="11.375" style="326" customWidth="1"/>
    <col min="6160" max="6160" width="15.375" style="326" customWidth="1"/>
    <col min="6161" max="6162" width="10.75" style="326" customWidth="1"/>
    <col min="6163" max="6163" width="14.375" style="326" customWidth="1"/>
    <col min="6164" max="6164" width="10.75" style="326" customWidth="1"/>
    <col min="6165" max="6165" width="11.75" style="326" customWidth="1"/>
    <col min="6166" max="6166" width="10" style="326" customWidth="1"/>
    <col min="6167" max="6167" width="15.375" style="326" customWidth="1"/>
    <col min="6168" max="6168" width="10" style="326" customWidth="1"/>
    <col min="6169" max="6169" width="10.75" style="326" customWidth="1"/>
    <col min="6170" max="6170" width="14.875" style="326" customWidth="1"/>
    <col min="6171" max="6171" width="11.5" style="326" customWidth="1"/>
    <col min="6172" max="6172" width="10" style="326" customWidth="1"/>
    <col min="6173" max="6173" width="10.75" style="326" customWidth="1"/>
    <col min="6174" max="6174" width="13.5" style="326" customWidth="1"/>
    <col min="6175" max="6175" width="9" style="326"/>
    <col min="6176" max="6176" width="10.75" style="326" bestFit="1" customWidth="1"/>
    <col min="6177" max="6177" width="13.75" style="326" customWidth="1"/>
    <col min="6178" max="6178" width="9" style="326"/>
    <col min="6179" max="6179" width="10.625" style="326" customWidth="1"/>
    <col min="6180" max="6180" width="9" style="326"/>
    <col min="6181" max="6181" width="14.25" style="326" customWidth="1"/>
    <col min="6182" max="6182" width="10.75" style="326" bestFit="1" customWidth="1"/>
    <col min="6183" max="6183" width="11.625" style="326" customWidth="1"/>
    <col min="6184" max="6184" width="13.75" style="326" customWidth="1"/>
    <col min="6185" max="6185" width="10.625" style="326" customWidth="1"/>
    <col min="6186" max="6187" width="9" style="326"/>
    <col min="6188" max="6188" width="14.125" style="326" customWidth="1"/>
    <col min="6189" max="6189" width="11" style="326" customWidth="1"/>
    <col min="6190" max="6190" width="10.75" style="326" bestFit="1" customWidth="1"/>
    <col min="6191" max="6191" width="13.5" style="326" customWidth="1"/>
    <col min="6192" max="6193" width="9" style="326"/>
    <col min="6194" max="6194" width="10.75" style="326" bestFit="1" customWidth="1"/>
    <col min="6195" max="6195" width="14" style="326" customWidth="1"/>
    <col min="6196" max="6196" width="9" style="326"/>
    <col min="6197" max="6197" width="10.75" style="326" customWidth="1"/>
    <col min="6198" max="6198" width="12.75" style="326" customWidth="1"/>
    <col min="6199" max="6199" width="9" style="326"/>
    <col min="6200" max="6200" width="10.75" style="326" bestFit="1" customWidth="1"/>
    <col min="6201" max="6201" width="11.5" style="326" customWidth="1"/>
    <col min="6202" max="6202" width="13.625" style="326" customWidth="1"/>
    <col min="6203" max="6203" width="10.625" style="326" customWidth="1"/>
    <col min="6204" max="6204" width="10.75" style="326" bestFit="1" customWidth="1"/>
    <col min="6205" max="6205" width="12.375" style="326" customWidth="1"/>
    <col min="6206" max="6208" width="9" style="326"/>
    <col min="6209" max="6209" width="15.75" style="326" customWidth="1"/>
    <col min="6210" max="6210" width="9" style="326"/>
    <col min="6211" max="6211" width="10.75" style="326" bestFit="1" customWidth="1"/>
    <col min="6212" max="6212" width="12.625" style="326" customWidth="1"/>
    <col min="6213" max="6215" width="9" style="326"/>
    <col min="6216" max="6216" width="13.625" style="326" customWidth="1"/>
    <col min="6217" max="6217" width="9" style="326"/>
    <col min="6218" max="6218" width="10.75" style="326" bestFit="1" customWidth="1"/>
    <col min="6219" max="6219" width="12.5" style="326" customWidth="1"/>
    <col min="6220" max="6222" width="9" style="326"/>
    <col min="6223" max="6223" width="12.875" style="326" customWidth="1"/>
    <col min="6224" max="6224" width="9" style="326"/>
    <col min="6225" max="6225" width="10.75" style="326" bestFit="1" customWidth="1"/>
    <col min="6226" max="6226" width="13.875" style="326" customWidth="1"/>
    <col min="6227" max="6229" width="9" style="326"/>
    <col min="6230" max="6230" width="14.125" style="326" customWidth="1"/>
    <col min="6231" max="6231" width="9" style="326"/>
    <col min="6232" max="6232" width="10.75" style="326" bestFit="1" customWidth="1"/>
    <col min="6233" max="6233" width="13.25" style="326" customWidth="1"/>
    <col min="6234" max="6236" width="9" style="326"/>
    <col min="6237" max="6237" width="13.25" style="326" customWidth="1"/>
    <col min="6238" max="6238" width="9" style="326"/>
    <col min="6239" max="6239" width="10.75" style="326" bestFit="1" customWidth="1"/>
    <col min="6240" max="6240" width="13.875" style="326" customWidth="1"/>
    <col min="6241" max="6243" width="9" style="326"/>
    <col min="6244" max="6244" width="13.625" style="326" customWidth="1"/>
    <col min="6245" max="6245" width="9" style="326"/>
    <col min="6246" max="6246" width="10.75" style="326" bestFit="1" customWidth="1"/>
    <col min="6247" max="6247" width="13" style="326" customWidth="1"/>
    <col min="6248" max="6394" width="9" style="326"/>
    <col min="6395" max="6396" width="12.125" style="326" customWidth="1"/>
    <col min="6397" max="6399" width="13" style="326" customWidth="1"/>
    <col min="6400" max="6400" width="12.875" style="326" customWidth="1"/>
    <col min="6401" max="6401" width="13" style="326" customWidth="1"/>
    <col min="6402" max="6402" width="13.125" style="326" customWidth="1"/>
    <col min="6403" max="6404" width="12.125" style="326" customWidth="1"/>
    <col min="6405" max="6405" width="14.375" style="326" bestFit="1" customWidth="1"/>
    <col min="6406" max="6406" width="11" style="326" customWidth="1"/>
    <col min="6407" max="6407" width="10" style="326" customWidth="1"/>
    <col min="6408" max="6408" width="10.875" style="326" customWidth="1"/>
    <col min="6409" max="6409" width="13.75" style="326" customWidth="1"/>
    <col min="6410" max="6410" width="10" style="326" customWidth="1"/>
    <col min="6411" max="6411" width="13.25" style="326" customWidth="1"/>
    <col min="6412" max="6412" width="14.375" style="326" customWidth="1"/>
    <col min="6413" max="6413" width="10" style="326" customWidth="1"/>
    <col min="6414" max="6414" width="10.875" style="326" customWidth="1"/>
    <col min="6415" max="6415" width="11.375" style="326" customWidth="1"/>
    <col min="6416" max="6416" width="15.375" style="326" customWidth="1"/>
    <col min="6417" max="6418" width="10.75" style="326" customWidth="1"/>
    <col min="6419" max="6419" width="14.375" style="326" customWidth="1"/>
    <col min="6420" max="6420" width="10.75" style="326" customWidth="1"/>
    <col min="6421" max="6421" width="11.75" style="326" customWidth="1"/>
    <col min="6422" max="6422" width="10" style="326" customWidth="1"/>
    <col min="6423" max="6423" width="15.375" style="326" customWidth="1"/>
    <col min="6424" max="6424" width="10" style="326" customWidth="1"/>
    <col min="6425" max="6425" width="10.75" style="326" customWidth="1"/>
    <col min="6426" max="6426" width="14.875" style="326" customWidth="1"/>
    <col min="6427" max="6427" width="11.5" style="326" customWidth="1"/>
    <col min="6428" max="6428" width="10" style="326" customWidth="1"/>
    <col min="6429" max="6429" width="10.75" style="326" customWidth="1"/>
    <col min="6430" max="6430" width="13.5" style="326" customWidth="1"/>
    <col min="6431" max="6431" width="9" style="326"/>
    <col min="6432" max="6432" width="10.75" style="326" bestFit="1" customWidth="1"/>
    <col min="6433" max="6433" width="13.75" style="326" customWidth="1"/>
    <col min="6434" max="6434" width="9" style="326"/>
    <col min="6435" max="6435" width="10.625" style="326" customWidth="1"/>
    <col min="6436" max="6436" width="9" style="326"/>
    <col min="6437" max="6437" width="14.25" style="326" customWidth="1"/>
    <col min="6438" max="6438" width="10.75" style="326" bestFit="1" customWidth="1"/>
    <col min="6439" max="6439" width="11.625" style="326" customWidth="1"/>
    <col min="6440" max="6440" width="13.75" style="326" customWidth="1"/>
    <col min="6441" max="6441" width="10.625" style="326" customWidth="1"/>
    <col min="6442" max="6443" width="9" style="326"/>
    <col min="6444" max="6444" width="14.125" style="326" customWidth="1"/>
    <col min="6445" max="6445" width="11" style="326" customWidth="1"/>
    <col min="6446" max="6446" width="10.75" style="326" bestFit="1" customWidth="1"/>
    <col min="6447" max="6447" width="13.5" style="326" customWidth="1"/>
    <col min="6448" max="6449" width="9" style="326"/>
    <col min="6450" max="6450" width="10.75" style="326" bestFit="1" customWidth="1"/>
    <col min="6451" max="6451" width="14" style="326" customWidth="1"/>
    <col min="6452" max="6452" width="9" style="326"/>
    <col min="6453" max="6453" width="10.75" style="326" customWidth="1"/>
    <col min="6454" max="6454" width="12.75" style="326" customWidth="1"/>
    <col min="6455" max="6455" width="9" style="326"/>
    <col min="6456" max="6456" width="10.75" style="326" bestFit="1" customWidth="1"/>
    <col min="6457" max="6457" width="11.5" style="326" customWidth="1"/>
    <col min="6458" max="6458" width="13.625" style="326" customWidth="1"/>
    <col min="6459" max="6459" width="10.625" style="326" customWidth="1"/>
    <col min="6460" max="6460" width="10.75" style="326" bestFit="1" customWidth="1"/>
    <col min="6461" max="6461" width="12.375" style="326" customWidth="1"/>
    <col min="6462" max="6464" width="9" style="326"/>
    <col min="6465" max="6465" width="15.75" style="326" customWidth="1"/>
    <col min="6466" max="6466" width="9" style="326"/>
    <col min="6467" max="6467" width="10.75" style="326" bestFit="1" customWidth="1"/>
    <col min="6468" max="6468" width="12.625" style="326" customWidth="1"/>
    <col min="6469" max="6471" width="9" style="326"/>
    <col min="6472" max="6472" width="13.625" style="326" customWidth="1"/>
    <col min="6473" max="6473" width="9" style="326"/>
    <col min="6474" max="6474" width="10.75" style="326" bestFit="1" customWidth="1"/>
    <col min="6475" max="6475" width="12.5" style="326" customWidth="1"/>
    <col min="6476" max="6478" width="9" style="326"/>
    <col min="6479" max="6479" width="12.875" style="326" customWidth="1"/>
    <col min="6480" max="6480" width="9" style="326"/>
    <col min="6481" max="6481" width="10.75" style="326" bestFit="1" customWidth="1"/>
    <col min="6482" max="6482" width="13.875" style="326" customWidth="1"/>
    <col min="6483" max="6485" width="9" style="326"/>
    <col min="6486" max="6486" width="14.125" style="326" customWidth="1"/>
    <col min="6487" max="6487" width="9" style="326"/>
    <col min="6488" max="6488" width="10.75" style="326" bestFit="1" customWidth="1"/>
    <col min="6489" max="6489" width="13.25" style="326" customWidth="1"/>
    <col min="6490" max="6492" width="9" style="326"/>
    <col min="6493" max="6493" width="13.25" style="326" customWidth="1"/>
    <col min="6494" max="6494" width="9" style="326"/>
    <col min="6495" max="6495" width="10.75" style="326" bestFit="1" customWidth="1"/>
    <col min="6496" max="6496" width="13.875" style="326" customWidth="1"/>
    <col min="6497" max="6499" width="9" style="326"/>
    <col min="6500" max="6500" width="13.625" style="326" customWidth="1"/>
    <col min="6501" max="6501" width="9" style="326"/>
    <col min="6502" max="6502" width="10.75" style="326" bestFit="1" customWidth="1"/>
    <col min="6503" max="6503" width="13" style="326" customWidth="1"/>
    <col min="6504" max="6650" width="9" style="326"/>
    <col min="6651" max="6652" width="12.125" style="326" customWidth="1"/>
    <col min="6653" max="6655" width="13" style="326" customWidth="1"/>
    <col min="6656" max="6656" width="12.875" style="326" customWidth="1"/>
    <col min="6657" max="6657" width="13" style="326" customWidth="1"/>
    <col min="6658" max="6658" width="13.125" style="326" customWidth="1"/>
    <col min="6659" max="6660" width="12.125" style="326" customWidth="1"/>
    <col min="6661" max="6661" width="14.375" style="326" bestFit="1" customWidth="1"/>
    <col min="6662" max="6662" width="11" style="326" customWidth="1"/>
    <col min="6663" max="6663" width="10" style="326" customWidth="1"/>
    <col min="6664" max="6664" width="10.875" style="326" customWidth="1"/>
    <col min="6665" max="6665" width="13.75" style="326" customWidth="1"/>
    <col min="6666" max="6666" width="10" style="326" customWidth="1"/>
    <col min="6667" max="6667" width="13.25" style="326" customWidth="1"/>
    <col min="6668" max="6668" width="14.375" style="326" customWidth="1"/>
    <col min="6669" max="6669" width="10" style="326" customWidth="1"/>
    <col min="6670" max="6670" width="10.875" style="326" customWidth="1"/>
    <col min="6671" max="6671" width="11.375" style="326" customWidth="1"/>
    <col min="6672" max="6672" width="15.375" style="326" customWidth="1"/>
    <col min="6673" max="6674" width="10.75" style="326" customWidth="1"/>
    <col min="6675" max="6675" width="14.375" style="326" customWidth="1"/>
    <col min="6676" max="6676" width="10.75" style="326" customWidth="1"/>
    <col min="6677" max="6677" width="11.75" style="326" customWidth="1"/>
    <col min="6678" max="6678" width="10" style="326" customWidth="1"/>
    <col min="6679" max="6679" width="15.375" style="326" customWidth="1"/>
    <col min="6680" max="6680" width="10" style="326" customWidth="1"/>
    <col min="6681" max="6681" width="10.75" style="326" customWidth="1"/>
    <col min="6682" max="6682" width="14.875" style="326" customWidth="1"/>
    <col min="6683" max="6683" width="11.5" style="326" customWidth="1"/>
    <col min="6684" max="6684" width="10" style="326" customWidth="1"/>
    <col min="6685" max="6685" width="10.75" style="326" customWidth="1"/>
    <col min="6686" max="6686" width="13.5" style="326" customWidth="1"/>
    <col min="6687" max="6687" width="9" style="326"/>
    <col min="6688" max="6688" width="10.75" style="326" bestFit="1" customWidth="1"/>
    <col min="6689" max="6689" width="13.75" style="326" customWidth="1"/>
    <col min="6690" max="6690" width="9" style="326"/>
    <col min="6691" max="6691" width="10.625" style="326" customWidth="1"/>
    <col min="6692" max="6692" width="9" style="326"/>
    <col min="6693" max="6693" width="14.25" style="326" customWidth="1"/>
    <col min="6694" max="6694" width="10.75" style="326" bestFit="1" customWidth="1"/>
    <col min="6695" max="6695" width="11.625" style="326" customWidth="1"/>
    <col min="6696" max="6696" width="13.75" style="326" customWidth="1"/>
    <col min="6697" max="6697" width="10.625" style="326" customWidth="1"/>
    <col min="6698" max="6699" width="9" style="326"/>
    <col min="6700" max="6700" width="14.125" style="326" customWidth="1"/>
    <col min="6701" max="6701" width="11" style="326" customWidth="1"/>
    <col min="6702" max="6702" width="10.75" style="326" bestFit="1" customWidth="1"/>
    <col min="6703" max="6703" width="13.5" style="326" customWidth="1"/>
    <col min="6704" max="6705" width="9" style="326"/>
    <col min="6706" max="6706" width="10.75" style="326" bestFit="1" customWidth="1"/>
    <col min="6707" max="6707" width="14" style="326" customWidth="1"/>
    <col min="6708" max="6708" width="9" style="326"/>
    <col min="6709" max="6709" width="10.75" style="326" customWidth="1"/>
    <col min="6710" max="6710" width="12.75" style="326" customWidth="1"/>
    <col min="6711" max="6711" width="9" style="326"/>
    <col min="6712" max="6712" width="10.75" style="326" bestFit="1" customWidth="1"/>
    <col min="6713" max="6713" width="11.5" style="326" customWidth="1"/>
    <col min="6714" max="6714" width="13.625" style="326" customWidth="1"/>
    <col min="6715" max="6715" width="10.625" style="326" customWidth="1"/>
    <col min="6716" max="6716" width="10.75" style="326" bestFit="1" customWidth="1"/>
    <col min="6717" max="6717" width="12.375" style="326" customWidth="1"/>
    <col min="6718" max="6720" width="9" style="326"/>
    <col min="6721" max="6721" width="15.75" style="326" customWidth="1"/>
    <col min="6722" max="6722" width="9" style="326"/>
    <col min="6723" max="6723" width="10.75" style="326" bestFit="1" customWidth="1"/>
    <col min="6724" max="6724" width="12.625" style="326" customWidth="1"/>
    <col min="6725" max="6727" width="9" style="326"/>
    <col min="6728" max="6728" width="13.625" style="326" customWidth="1"/>
    <col min="6729" max="6729" width="9" style="326"/>
    <col min="6730" max="6730" width="10.75" style="326" bestFit="1" customWidth="1"/>
    <col min="6731" max="6731" width="12.5" style="326" customWidth="1"/>
    <col min="6732" max="6734" width="9" style="326"/>
    <col min="6735" max="6735" width="12.875" style="326" customWidth="1"/>
    <col min="6736" max="6736" width="9" style="326"/>
    <col min="6737" max="6737" width="10.75" style="326" bestFit="1" customWidth="1"/>
    <col min="6738" max="6738" width="13.875" style="326" customWidth="1"/>
    <col min="6739" max="6741" width="9" style="326"/>
    <col min="6742" max="6742" width="14.125" style="326" customWidth="1"/>
    <col min="6743" max="6743" width="9" style="326"/>
    <col min="6744" max="6744" width="10.75" style="326" bestFit="1" customWidth="1"/>
    <col min="6745" max="6745" width="13.25" style="326" customWidth="1"/>
    <col min="6746" max="6748" width="9" style="326"/>
    <col min="6749" max="6749" width="13.25" style="326" customWidth="1"/>
    <col min="6750" max="6750" width="9" style="326"/>
    <col min="6751" max="6751" width="10.75" style="326" bestFit="1" customWidth="1"/>
    <col min="6752" max="6752" width="13.875" style="326" customWidth="1"/>
    <col min="6753" max="6755" width="9" style="326"/>
    <col min="6756" max="6756" width="13.625" style="326" customWidth="1"/>
    <col min="6757" max="6757" width="9" style="326"/>
    <col min="6758" max="6758" width="10.75" style="326" bestFit="1" customWidth="1"/>
    <col min="6759" max="6759" width="13" style="326" customWidth="1"/>
    <col min="6760" max="6906" width="9" style="326"/>
    <col min="6907" max="6908" width="12.125" style="326" customWidth="1"/>
    <col min="6909" max="6911" width="13" style="326" customWidth="1"/>
    <col min="6912" max="6912" width="12.875" style="326" customWidth="1"/>
    <col min="6913" max="6913" width="13" style="326" customWidth="1"/>
    <col min="6914" max="6914" width="13.125" style="326" customWidth="1"/>
    <col min="6915" max="6916" width="12.125" style="326" customWidth="1"/>
    <col min="6917" max="6917" width="14.375" style="326" bestFit="1" customWidth="1"/>
    <col min="6918" max="6918" width="11" style="326" customWidth="1"/>
    <col min="6919" max="6919" width="10" style="326" customWidth="1"/>
    <col min="6920" max="6920" width="10.875" style="326" customWidth="1"/>
    <col min="6921" max="6921" width="13.75" style="326" customWidth="1"/>
    <col min="6922" max="6922" width="10" style="326" customWidth="1"/>
    <col min="6923" max="6923" width="13.25" style="326" customWidth="1"/>
    <col min="6924" max="6924" width="14.375" style="326" customWidth="1"/>
    <col min="6925" max="6925" width="10" style="326" customWidth="1"/>
    <col min="6926" max="6926" width="10.875" style="326" customWidth="1"/>
    <col min="6927" max="6927" width="11.375" style="326" customWidth="1"/>
    <col min="6928" max="6928" width="15.375" style="326" customWidth="1"/>
    <col min="6929" max="6930" width="10.75" style="326" customWidth="1"/>
    <col min="6931" max="6931" width="14.375" style="326" customWidth="1"/>
    <col min="6932" max="6932" width="10.75" style="326" customWidth="1"/>
    <col min="6933" max="6933" width="11.75" style="326" customWidth="1"/>
    <col min="6934" max="6934" width="10" style="326" customWidth="1"/>
    <col min="6935" max="6935" width="15.375" style="326" customWidth="1"/>
    <col min="6936" max="6936" width="10" style="326" customWidth="1"/>
    <col min="6937" max="6937" width="10.75" style="326" customWidth="1"/>
    <col min="6938" max="6938" width="14.875" style="326" customWidth="1"/>
    <col min="6939" max="6939" width="11.5" style="326" customWidth="1"/>
    <col min="6940" max="6940" width="10" style="326" customWidth="1"/>
    <col min="6941" max="6941" width="10.75" style="326" customWidth="1"/>
    <col min="6942" max="6942" width="13.5" style="326" customWidth="1"/>
    <col min="6943" max="6943" width="9" style="326"/>
    <col min="6944" max="6944" width="10.75" style="326" bestFit="1" customWidth="1"/>
    <col min="6945" max="6945" width="13.75" style="326" customWidth="1"/>
    <col min="6946" max="6946" width="9" style="326"/>
    <col min="6947" max="6947" width="10.625" style="326" customWidth="1"/>
    <col min="6948" max="6948" width="9" style="326"/>
    <col min="6949" max="6949" width="14.25" style="326" customWidth="1"/>
    <col min="6950" max="6950" width="10.75" style="326" bestFit="1" customWidth="1"/>
    <col min="6951" max="6951" width="11.625" style="326" customWidth="1"/>
    <col min="6952" max="6952" width="13.75" style="326" customWidth="1"/>
    <col min="6953" max="6953" width="10.625" style="326" customWidth="1"/>
    <col min="6954" max="6955" width="9" style="326"/>
    <col min="6956" max="6956" width="14.125" style="326" customWidth="1"/>
    <col min="6957" max="6957" width="11" style="326" customWidth="1"/>
    <col min="6958" max="6958" width="10.75" style="326" bestFit="1" customWidth="1"/>
    <col min="6959" max="6959" width="13.5" style="326" customWidth="1"/>
    <col min="6960" max="6961" width="9" style="326"/>
    <col min="6962" max="6962" width="10.75" style="326" bestFit="1" customWidth="1"/>
    <col min="6963" max="6963" width="14" style="326" customWidth="1"/>
    <col min="6964" max="6964" width="9" style="326"/>
    <col min="6965" max="6965" width="10.75" style="326" customWidth="1"/>
    <col min="6966" max="6966" width="12.75" style="326" customWidth="1"/>
    <col min="6967" max="6967" width="9" style="326"/>
    <col min="6968" max="6968" width="10.75" style="326" bestFit="1" customWidth="1"/>
    <col min="6969" max="6969" width="11.5" style="326" customWidth="1"/>
    <col min="6970" max="6970" width="13.625" style="326" customWidth="1"/>
    <col min="6971" max="6971" width="10.625" style="326" customWidth="1"/>
    <col min="6972" max="6972" width="10.75" style="326" bestFit="1" customWidth="1"/>
    <col min="6973" max="6973" width="12.375" style="326" customWidth="1"/>
    <col min="6974" max="6976" width="9" style="326"/>
    <col min="6977" max="6977" width="15.75" style="326" customWidth="1"/>
    <col min="6978" max="6978" width="9" style="326"/>
    <col min="6979" max="6979" width="10.75" style="326" bestFit="1" customWidth="1"/>
    <col min="6980" max="6980" width="12.625" style="326" customWidth="1"/>
    <col min="6981" max="6983" width="9" style="326"/>
    <col min="6984" max="6984" width="13.625" style="326" customWidth="1"/>
    <col min="6985" max="6985" width="9" style="326"/>
    <col min="6986" max="6986" width="10.75" style="326" bestFit="1" customWidth="1"/>
    <col min="6987" max="6987" width="12.5" style="326" customWidth="1"/>
    <col min="6988" max="6990" width="9" style="326"/>
    <col min="6991" max="6991" width="12.875" style="326" customWidth="1"/>
    <col min="6992" max="6992" width="9" style="326"/>
    <col min="6993" max="6993" width="10.75" style="326" bestFit="1" customWidth="1"/>
    <col min="6994" max="6994" width="13.875" style="326" customWidth="1"/>
    <col min="6995" max="6997" width="9" style="326"/>
    <col min="6998" max="6998" width="14.125" style="326" customWidth="1"/>
    <col min="6999" max="6999" width="9" style="326"/>
    <col min="7000" max="7000" width="10.75" style="326" bestFit="1" customWidth="1"/>
    <col min="7001" max="7001" width="13.25" style="326" customWidth="1"/>
    <col min="7002" max="7004" width="9" style="326"/>
    <col min="7005" max="7005" width="13.25" style="326" customWidth="1"/>
    <col min="7006" max="7006" width="9" style="326"/>
    <col min="7007" max="7007" width="10.75" style="326" bestFit="1" customWidth="1"/>
    <col min="7008" max="7008" width="13.875" style="326" customWidth="1"/>
    <col min="7009" max="7011" width="9" style="326"/>
    <col min="7012" max="7012" width="13.625" style="326" customWidth="1"/>
    <col min="7013" max="7013" width="9" style="326"/>
    <col min="7014" max="7014" width="10.75" style="326" bestFit="1" customWidth="1"/>
    <col min="7015" max="7015" width="13" style="326" customWidth="1"/>
    <col min="7016" max="7162" width="9" style="326"/>
    <col min="7163" max="7164" width="12.125" style="326" customWidth="1"/>
    <col min="7165" max="7167" width="13" style="326" customWidth="1"/>
    <col min="7168" max="7168" width="12.875" style="326" customWidth="1"/>
    <col min="7169" max="7169" width="13" style="326" customWidth="1"/>
    <col min="7170" max="7170" width="13.125" style="326" customWidth="1"/>
    <col min="7171" max="7172" width="12.125" style="326" customWidth="1"/>
    <col min="7173" max="7173" width="14.375" style="326" bestFit="1" customWidth="1"/>
    <col min="7174" max="7174" width="11" style="326" customWidth="1"/>
    <col min="7175" max="7175" width="10" style="326" customWidth="1"/>
    <col min="7176" max="7176" width="10.875" style="326" customWidth="1"/>
    <col min="7177" max="7177" width="13.75" style="326" customWidth="1"/>
    <col min="7178" max="7178" width="10" style="326" customWidth="1"/>
    <col min="7179" max="7179" width="13.25" style="326" customWidth="1"/>
    <col min="7180" max="7180" width="14.375" style="326" customWidth="1"/>
    <col min="7181" max="7181" width="10" style="326" customWidth="1"/>
    <col min="7182" max="7182" width="10.875" style="326" customWidth="1"/>
    <col min="7183" max="7183" width="11.375" style="326" customWidth="1"/>
    <col min="7184" max="7184" width="15.375" style="326" customWidth="1"/>
    <col min="7185" max="7186" width="10.75" style="326" customWidth="1"/>
    <col min="7187" max="7187" width="14.375" style="326" customWidth="1"/>
    <col min="7188" max="7188" width="10.75" style="326" customWidth="1"/>
    <col min="7189" max="7189" width="11.75" style="326" customWidth="1"/>
    <col min="7190" max="7190" width="10" style="326" customWidth="1"/>
    <col min="7191" max="7191" width="15.375" style="326" customWidth="1"/>
    <col min="7192" max="7192" width="10" style="326" customWidth="1"/>
    <col min="7193" max="7193" width="10.75" style="326" customWidth="1"/>
    <col min="7194" max="7194" width="14.875" style="326" customWidth="1"/>
    <col min="7195" max="7195" width="11.5" style="326" customWidth="1"/>
    <col min="7196" max="7196" width="10" style="326" customWidth="1"/>
    <col min="7197" max="7197" width="10.75" style="326" customWidth="1"/>
    <col min="7198" max="7198" width="13.5" style="326" customWidth="1"/>
    <col min="7199" max="7199" width="9" style="326"/>
    <col min="7200" max="7200" width="10.75" style="326" bestFit="1" customWidth="1"/>
    <col min="7201" max="7201" width="13.75" style="326" customWidth="1"/>
    <col min="7202" max="7202" width="9" style="326"/>
    <col min="7203" max="7203" width="10.625" style="326" customWidth="1"/>
    <col min="7204" max="7204" width="9" style="326"/>
    <col min="7205" max="7205" width="14.25" style="326" customWidth="1"/>
    <col min="7206" max="7206" width="10.75" style="326" bestFit="1" customWidth="1"/>
    <col min="7207" max="7207" width="11.625" style="326" customWidth="1"/>
    <col min="7208" max="7208" width="13.75" style="326" customWidth="1"/>
    <col min="7209" max="7209" width="10.625" style="326" customWidth="1"/>
    <col min="7210" max="7211" width="9" style="326"/>
    <col min="7212" max="7212" width="14.125" style="326" customWidth="1"/>
    <col min="7213" max="7213" width="11" style="326" customWidth="1"/>
    <col min="7214" max="7214" width="10.75" style="326" bestFit="1" customWidth="1"/>
    <col min="7215" max="7215" width="13.5" style="326" customWidth="1"/>
    <col min="7216" max="7217" width="9" style="326"/>
    <col min="7218" max="7218" width="10.75" style="326" bestFit="1" customWidth="1"/>
    <col min="7219" max="7219" width="14" style="326" customWidth="1"/>
    <col min="7220" max="7220" width="9" style="326"/>
    <col min="7221" max="7221" width="10.75" style="326" customWidth="1"/>
    <col min="7222" max="7222" width="12.75" style="326" customWidth="1"/>
    <col min="7223" max="7223" width="9" style="326"/>
    <col min="7224" max="7224" width="10.75" style="326" bestFit="1" customWidth="1"/>
    <col min="7225" max="7225" width="11.5" style="326" customWidth="1"/>
    <col min="7226" max="7226" width="13.625" style="326" customWidth="1"/>
    <col min="7227" max="7227" width="10.625" style="326" customWidth="1"/>
    <col min="7228" max="7228" width="10.75" style="326" bestFit="1" customWidth="1"/>
    <col min="7229" max="7229" width="12.375" style="326" customWidth="1"/>
    <col min="7230" max="7232" width="9" style="326"/>
    <col min="7233" max="7233" width="15.75" style="326" customWidth="1"/>
    <col min="7234" max="7234" width="9" style="326"/>
    <col min="7235" max="7235" width="10.75" style="326" bestFit="1" customWidth="1"/>
    <col min="7236" max="7236" width="12.625" style="326" customWidth="1"/>
    <col min="7237" max="7239" width="9" style="326"/>
    <col min="7240" max="7240" width="13.625" style="326" customWidth="1"/>
    <col min="7241" max="7241" width="9" style="326"/>
    <col min="7242" max="7242" width="10.75" style="326" bestFit="1" customWidth="1"/>
    <col min="7243" max="7243" width="12.5" style="326" customWidth="1"/>
    <col min="7244" max="7246" width="9" style="326"/>
    <col min="7247" max="7247" width="12.875" style="326" customWidth="1"/>
    <col min="7248" max="7248" width="9" style="326"/>
    <col min="7249" max="7249" width="10.75" style="326" bestFit="1" customWidth="1"/>
    <col min="7250" max="7250" width="13.875" style="326" customWidth="1"/>
    <col min="7251" max="7253" width="9" style="326"/>
    <col min="7254" max="7254" width="14.125" style="326" customWidth="1"/>
    <col min="7255" max="7255" width="9" style="326"/>
    <col min="7256" max="7256" width="10.75" style="326" bestFit="1" customWidth="1"/>
    <col min="7257" max="7257" width="13.25" style="326" customWidth="1"/>
    <col min="7258" max="7260" width="9" style="326"/>
    <col min="7261" max="7261" width="13.25" style="326" customWidth="1"/>
    <col min="7262" max="7262" width="9" style="326"/>
    <col min="7263" max="7263" width="10.75" style="326" bestFit="1" customWidth="1"/>
    <col min="7264" max="7264" width="13.875" style="326" customWidth="1"/>
    <col min="7265" max="7267" width="9" style="326"/>
    <col min="7268" max="7268" width="13.625" style="326" customWidth="1"/>
    <col min="7269" max="7269" width="9" style="326"/>
    <col min="7270" max="7270" width="10.75" style="326" bestFit="1" customWidth="1"/>
    <col min="7271" max="7271" width="13" style="326" customWidth="1"/>
    <col min="7272" max="7418" width="9" style="326"/>
    <col min="7419" max="7420" width="12.125" style="326" customWidth="1"/>
    <col min="7421" max="7423" width="13" style="326" customWidth="1"/>
    <col min="7424" max="7424" width="12.875" style="326" customWidth="1"/>
    <col min="7425" max="7425" width="13" style="326" customWidth="1"/>
    <col min="7426" max="7426" width="13.125" style="326" customWidth="1"/>
    <col min="7427" max="7428" width="12.125" style="326" customWidth="1"/>
    <col min="7429" max="7429" width="14.375" style="326" bestFit="1" customWidth="1"/>
    <col min="7430" max="7430" width="11" style="326" customWidth="1"/>
    <col min="7431" max="7431" width="10" style="326" customWidth="1"/>
    <col min="7432" max="7432" width="10.875" style="326" customWidth="1"/>
    <col min="7433" max="7433" width="13.75" style="326" customWidth="1"/>
    <col min="7434" max="7434" width="10" style="326" customWidth="1"/>
    <col min="7435" max="7435" width="13.25" style="326" customWidth="1"/>
    <col min="7436" max="7436" width="14.375" style="326" customWidth="1"/>
    <col min="7437" max="7437" width="10" style="326" customWidth="1"/>
    <col min="7438" max="7438" width="10.875" style="326" customWidth="1"/>
    <col min="7439" max="7439" width="11.375" style="326" customWidth="1"/>
    <col min="7440" max="7440" width="15.375" style="326" customWidth="1"/>
    <col min="7441" max="7442" width="10.75" style="326" customWidth="1"/>
    <col min="7443" max="7443" width="14.375" style="326" customWidth="1"/>
    <col min="7444" max="7444" width="10.75" style="326" customWidth="1"/>
    <col min="7445" max="7445" width="11.75" style="326" customWidth="1"/>
    <col min="7446" max="7446" width="10" style="326" customWidth="1"/>
    <col min="7447" max="7447" width="15.375" style="326" customWidth="1"/>
    <col min="7448" max="7448" width="10" style="326" customWidth="1"/>
    <col min="7449" max="7449" width="10.75" style="326" customWidth="1"/>
    <col min="7450" max="7450" width="14.875" style="326" customWidth="1"/>
    <col min="7451" max="7451" width="11.5" style="326" customWidth="1"/>
    <col min="7452" max="7452" width="10" style="326" customWidth="1"/>
    <col min="7453" max="7453" width="10.75" style="326" customWidth="1"/>
    <col min="7454" max="7454" width="13.5" style="326" customWidth="1"/>
    <col min="7455" max="7455" width="9" style="326"/>
    <col min="7456" max="7456" width="10.75" style="326" bestFit="1" customWidth="1"/>
    <col min="7457" max="7457" width="13.75" style="326" customWidth="1"/>
    <col min="7458" max="7458" width="9" style="326"/>
    <col min="7459" max="7459" width="10.625" style="326" customWidth="1"/>
    <col min="7460" max="7460" width="9" style="326"/>
    <col min="7461" max="7461" width="14.25" style="326" customWidth="1"/>
    <col min="7462" max="7462" width="10.75" style="326" bestFit="1" customWidth="1"/>
    <col min="7463" max="7463" width="11.625" style="326" customWidth="1"/>
    <col min="7464" max="7464" width="13.75" style="326" customWidth="1"/>
    <col min="7465" max="7465" width="10.625" style="326" customWidth="1"/>
    <col min="7466" max="7467" width="9" style="326"/>
    <col min="7468" max="7468" width="14.125" style="326" customWidth="1"/>
    <col min="7469" max="7469" width="11" style="326" customWidth="1"/>
    <col min="7470" max="7470" width="10.75" style="326" bestFit="1" customWidth="1"/>
    <col min="7471" max="7471" width="13.5" style="326" customWidth="1"/>
    <col min="7472" max="7473" width="9" style="326"/>
    <col min="7474" max="7474" width="10.75" style="326" bestFit="1" customWidth="1"/>
    <col min="7475" max="7475" width="14" style="326" customWidth="1"/>
    <col min="7476" max="7476" width="9" style="326"/>
    <col min="7477" max="7477" width="10.75" style="326" customWidth="1"/>
    <col min="7478" max="7478" width="12.75" style="326" customWidth="1"/>
    <col min="7479" max="7479" width="9" style="326"/>
    <col min="7480" max="7480" width="10.75" style="326" bestFit="1" customWidth="1"/>
    <col min="7481" max="7481" width="11.5" style="326" customWidth="1"/>
    <col min="7482" max="7482" width="13.625" style="326" customWidth="1"/>
    <col min="7483" max="7483" width="10.625" style="326" customWidth="1"/>
    <col min="7484" max="7484" width="10.75" style="326" bestFit="1" customWidth="1"/>
    <col min="7485" max="7485" width="12.375" style="326" customWidth="1"/>
    <col min="7486" max="7488" width="9" style="326"/>
    <col min="7489" max="7489" width="15.75" style="326" customWidth="1"/>
    <col min="7490" max="7490" width="9" style="326"/>
    <col min="7491" max="7491" width="10.75" style="326" bestFit="1" customWidth="1"/>
    <col min="7492" max="7492" width="12.625" style="326" customWidth="1"/>
    <col min="7493" max="7495" width="9" style="326"/>
    <col min="7496" max="7496" width="13.625" style="326" customWidth="1"/>
    <col min="7497" max="7497" width="9" style="326"/>
    <col min="7498" max="7498" width="10.75" style="326" bestFit="1" customWidth="1"/>
    <col min="7499" max="7499" width="12.5" style="326" customWidth="1"/>
    <col min="7500" max="7502" width="9" style="326"/>
    <col min="7503" max="7503" width="12.875" style="326" customWidth="1"/>
    <col min="7504" max="7504" width="9" style="326"/>
    <col min="7505" max="7505" width="10.75" style="326" bestFit="1" customWidth="1"/>
    <col min="7506" max="7506" width="13.875" style="326" customWidth="1"/>
    <col min="7507" max="7509" width="9" style="326"/>
    <col min="7510" max="7510" width="14.125" style="326" customWidth="1"/>
    <col min="7511" max="7511" width="9" style="326"/>
    <col min="7512" max="7512" width="10.75" style="326" bestFit="1" customWidth="1"/>
    <col min="7513" max="7513" width="13.25" style="326" customWidth="1"/>
    <col min="7514" max="7516" width="9" style="326"/>
    <col min="7517" max="7517" width="13.25" style="326" customWidth="1"/>
    <col min="7518" max="7518" width="9" style="326"/>
    <col min="7519" max="7519" width="10.75" style="326" bestFit="1" customWidth="1"/>
    <col min="7520" max="7520" width="13.875" style="326" customWidth="1"/>
    <col min="7521" max="7523" width="9" style="326"/>
    <col min="7524" max="7524" width="13.625" style="326" customWidth="1"/>
    <col min="7525" max="7525" width="9" style="326"/>
    <col min="7526" max="7526" width="10.75" style="326" bestFit="1" customWidth="1"/>
    <col min="7527" max="7527" width="13" style="326" customWidth="1"/>
    <col min="7528" max="7674" width="9" style="326"/>
    <col min="7675" max="7676" width="12.125" style="326" customWidth="1"/>
    <col min="7677" max="7679" width="13" style="326" customWidth="1"/>
    <col min="7680" max="7680" width="12.875" style="326" customWidth="1"/>
    <col min="7681" max="7681" width="13" style="326" customWidth="1"/>
    <col min="7682" max="7682" width="13.125" style="326" customWidth="1"/>
    <col min="7683" max="7684" width="12.125" style="326" customWidth="1"/>
    <col min="7685" max="7685" width="14.375" style="326" bestFit="1" customWidth="1"/>
    <col min="7686" max="7686" width="11" style="326" customWidth="1"/>
    <col min="7687" max="7687" width="10" style="326" customWidth="1"/>
    <col min="7688" max="7688" width="10.875" style="326" customWidth="1"/>
    <col min="7689" max="7689" width="13.75" style="326" customWidth="1"/>
    <col min="7690" max="7690" width="10" style="326" customWidth="1"/>
    <col min="7691" max="7691" width="13.25" style="326" customWidth="1"/>
    <col min="7692" max="7692" width="14.375" style="326" customWidth="1"/>
    <col min="7693" max="7693" width="10" style="326" customWidth="1"/>
    <col min="7694" max="7694" width="10.875" style="326" customWidth="1"/>
    <col min="7695" max="7695" width="11.375" style="326" customWidth="1"/>
    <col min="7696" max="7696" width="15.375" style="326" customWidth="1"/>
    <col min="7697" max="7698" width="10.75" style="326" customWidth="1"/>
    <col min="7699" max="7699" width="14.375" style="326" customWidth="1"/>
    <col min="7700" max="7700" width="10.75" style="326" customWidth="1"/>
    <col min="7701" max="7701" width="11.75" style="326" customWidth="1"/>
    <col min="7702" max="7702" width="10" style="326" customWidth="1"/>
    <col min="7703" max="7703" width="15.375" style="326" customWidth="1"/>
    <col min="7704" max="7704" width="10" style="326" customWidth="1"/>
    <col min="7705" max="7705" width="10.75" style="326" customWidth="1"/>
    <col min="7706" max="7706" width="14.875" style="326" customWidth="1"/>
    <col min="7707" max="7707" width="11.5" style="326" customWidth="1"/>
    <col min="7708" max="7708" width="10" style="326" customWidth="1"/>
    <col min="7709" max="7709" width="10.75" style="326" customWidth="1"/>
    <col min="7710" max="7710" width="13.5" style="326" customWidth="1"/>
    <col min="7711" max="7711" width="9" style="326"/>
    <col min="7712" max="7712" width="10.75" style="326" bestFit="1" customWidth="1"/>
    <col min="7713" max="7713" width="13.75" style="326" customWidth="1"/>
    <col min="7714" max="7714" width="9" style="326"/>
    <col min="7715" max="7715" width="10.625" style="326" customWidth="1"/>
    <col min="7716" max="7716" width="9" style="326"/>
    <col min="7717" max="7717" width="14.25" style="326" customWidth="1"/>
    <col min="7718" max="7718" width="10.75" style="326" bestFit="1" customWidth="1"/>
    <col min="7719" max="7719" width="11.625" style="326" customWidth="1"/>
    <col min="7720" max="7720" width="13.75" style="326" customWidth="1"/>
    <col min="7721" max="7721" width="10.625" style="326" customWidth="1"/>
    <col min="7722" max="7723" width="9" style="326"/>
    <col min="7724" max="7724" width="14.125" style="326" customWidth="1"/>
    <col min="7725" max="7725" width="11" style="326" customWidth="1"/>
    <col min="7726" max="7726" width="10.75" style="326" bestFit="1" customWidth="1"/>
    <col min="7727" max="7727" width="13.5" style="326" customWidth="1"/>
    <col min="7728" max="7729" width="9" style="326"/>
    <col min="7730" max="7730" width="10.75" style="326" bestFit="1" customWidth="1"/>
    <col min="7731" max="7731" width="14" style="326" customWidth="1"/>
    <col min="7732" max="7732" width="9" style="326"/>
    <col min="7733" max="7733" width="10.75" style="326" customWidth="1"/>
    <col min="7734" max="7734" width="12.75" style="326" customWidth="1"/>
    <col min="7735" max="7735" width="9" style="326"/>
    <col min="7736" max="7736" width="10.75" style="326" bestFit="1" customWidth="1"/>
    <col min="7737" max="7737" width="11.5" style="326" customWidth="1"/>
    <col min="7738" max="7738" width="13.625" style="326" customWidth="1"/>
    <col min="7739" max="7739" width="10.625" style="326" customWidth="1"/>
    <col min="7740" max="7740" width="10.75" style="326" bestFit="1" customWidth="1"/>
    <col min="7741" max="7741" width="12.375" style="326" customWidth="1"/>
    <col min="7742" max="7744" width="9" style="326"/>
    <col min="7745" max="7745" width="15.75" style="326" customWidth="1"/>
    <col min="7746" max="7746" width="9" style="326"/>
    <col min="7747" max="7747" width="10.75" style="326" bestFit="1" customWidth="1"/>
    <col min="7748" max="7748" width="12.625" style="326" customWidth="1"/>
    <col min="7749" max="7751" width="9" style="326"/>
    <col min="7752" max="7752" width="13.625" style="326" customWidth="1"/>
    <col min="7753" max="7753" width="9" style="326"/>
    <col min="7754" max="7754" width="10.75" style="326" bestFit="1" customWidth="1"/>
    <col min="7755" max="7755" width="12.5" style="326" customWidth="1"/>
    <col min="7756" max="7758" width="9" style="326"/>
    <col min="7759" max="7759" width="12.875" style="326" customWidth="1"/>
    <col min="7760" max="7760" width="9" style="326"/>
    <col min="7761" max="7761" width="10.75" style="326" bestFit="1" customWidth="1"/>
    <col min="7762" max="7762" width="13.875" style="326" customWidth="1"/>
    <col min="7763" max="7765" width="9" style="326"/>
    <col min="7766" max="7766" width="14.125" style="326" customWidth="1"/>
    <col min="7767" max="7767" width="9" style="326"/>
    <col min="7768" max="7768" width="10.75" style="326" bestFit="1" customWidth="1"/>
    <col min="7769" max="7769" width="13.25" style="326" customWidth="1"/>
    <col min="7770" max="7772" width="9" style="326"/>
    <col min="7773" max="7773" width="13.25" style="326" customWidth="1"/>
    <col min="7774" max="7774" width="9" style="326"/>
    <col min="7775" max="7775" width="10.75" style="326" bestFit="1" customWidth="1"/>
    <col min="7776" max="7776" width="13.875" style="326" customWidth="1"/>
    <col min="7777" max="7779" width="9" style="326"/>
    <col min="7780" max="7780" width="13.625" style="326" customWidth="1"/>
    <col min="7781" max="7781" width="9" style="326"/>
    <col min="7782" max="7782" width="10.75" style="326" bestFit="1" customWidth="1"/>
    <col min="7783" max="7783" width="13" style="326" customWidth="1"/>
    <col min="7784" max="7930" width="9" style="326"/>
    <col min="7931" max="7932" width="12.125" style="326" customWidth="1"/>
    <col min="7933" max="7935" width="13" style="326" customWidth="1"/>
    <col min="7936" max="7936" width="12.875" style="326" customWidth="1"/>
    <col min="7937" max="7937" width="13" style="326" customWidth="1"/>
    <col min="7938" max="7938" width="13.125" style="326" customWidth="1"/>
    <col min="7939" max="7940" width="12.125" style="326" customWidth="1"/>
    <col min="7941" max="7941" width="14.375" style="326" bestFit="1" customWidth="1"/>
    <col min="7942" max="7942" width="11" style="326" customWidth="1"/>
    <col min="7943" max="7943" width="10" style="326" customWidth="1"/>
    <col min="7944" max="7944" width="10.875" style="326" customWidth="1"/>
    <col min="7945" max="7945" width="13.75" style="326" customWidth="1"/>
    <col min="7946" max="7946" width="10" style="326" customWidth="1"/>
    <col min="7947" max="7947" width="13.25" style="326" customWidth="1"/>
    <col min="7948" max="7948" width="14.375" style="326" customWidth="1"/>
    <col min="7949" max="7949" width="10" style="326" customWidth="1"/>
    <col min="7950" max="7950" width="10.875" style="326" customWidth="1"/>
    <col min="7951" max="7951" width="11.375" style="326" customWidth="1"/>
    <col min="7952" max="7952" width="15.375" style="326" customWidth="1"/>
    <col min="7953" max="7954" width="10.75" style="326" customWidth="1"/>
    <col min="7955" max="7955" width="14.375" style="326" customWidth="1"/>
    <col min="7956" max="7956" width="10.75" style="326" customWidth="1"/>
    <col min="7957" max="7957" width="11.75" style="326" customWidth="1"/>
    <col min="7958" max="7958" width="10" style="326" customWidth="1"/>
    <col min="7959" max="7959" width="15.375" style="326" customWidth="1"/>
    <col min="7960" max="7960" width="10" style="326" customWidth="1"/>
    <col min="7961" max="7961" width="10.75" style="326" customWidth="1"/>
    <col min="7962" max="7962" width="14.875" style="326" customWidth="1"/>
    <col min="7963" max="7963" width="11.5" style="326" customWidth="1"/>
    <col min="7964" max="7964" width="10" style="326" customWidth="1"/>
    <col min="7965" max="7965" width="10.75" style="326" customWidth="1"/>
    <col min="7966" max="7966" width="13.5" style="326" customWidth="1"/>
    <col min="7967" max="7967" width="9" style="326"/>
    <col min="7968" max="7968" width="10.75" style="326" bestFit="1" customWidth="1"/>
    <col min="7969" max="7969" width="13.75" style="326" customWidth="1"/>
    <col min="7970" max="7970" width="9" style="326"/>
    <col min="7971" max="7971" width="10.625" style="326" customWidth="1"/>
    <col min="7972" max="7972" width="9" style="326"/>
    <col min="7973" max="7973" width="14.25" style="326" customWidth="1"/>
    <col min="7974" max="7974" width="10.75" style="326" bestFit="1" customWidth="1"/>
    <col min="7975" max="7975" width="11.625" style="326" customWidth="1"/>
    <col min="7976" max="7976" width="13.75" style="326" customWidth="1"/>
    <col min="7977" max="7977" width="10.625" style="326" customWidth="1"/>
    <col min="7978" max="7979" width="9" style="326"/>
    <col min="7980" max="7980" width="14.125" style="326" customWidth="1"/>
    <col min="7981" max="7981" width="11" style="326" customWidth="1"/>
    <col min="7982" max="7982" width="10.75" style="326" bestFit="1" customWidth="1"/>
    <col min="7983" max="7983" width="13.5" style="326" customWidth="1"/>
    <col min="7984" max="7985" width="9" style="326"/>
    <col min="7986" max="7986" width="10.75" style="326" bestFit="1" customWidth="1"/>
    <col min="7987" max="7987" width="14" style="326" customWidth="1"/>
    <col min="7988" max="7988" width="9" style="326"/>
    <col min="7989" max="7989" width="10.75" style="326" customWidth="1"/>
    <col min="7990" max="7990" width="12.75" style="326" customWidth="1"/>
    <col min="7991" max="7991" width="9" style="326"/>
    <col min="7992" max="7992" width="10.75" style="326" bestFit="1" customWidth="1"/>
    <col min="7993" max="7993" width="11.5" style="326" customWidth="1"/>
    <col min="7994" max="7994" width="13.625" style="326" customWidth="1"/>
    <col min="7995" max="7995" width="10.625" style="326" customWidth="1"/>
    <col min="7996" max="7996" width="10.75" style="326" bestFit="1" customWidth="1"/>
    <col min="7997" max="7997" width="12.375" style="326" customWidth="1"/>
    <col min="7998" max="8000" width="9" style="326"/>
    <col min="8001" max="8001" width="15.75" style="326" customWidth="1"/>
    <col min="8002" max="8002" width="9" style="326"/>
    <col min="8003" max="8003" width="10.75" style="326" bestFit="1" customWidth="1"/>
    <col min="8004" max="8004" width="12.625" style="326" customWidth="1"/>
    <col min="8005" max="8007" width="9" style="326"/>
    <col min="8008" max="8008" width="13.625" style="326" customWidth="1"/>
    <col min="8009" max="8009" width="9" style="326"/>
    <col min="8010" max="8010" width="10.75" style="326" bestFit="1" customWidth="1"/>
    <col min="8011" max="8011" width="12.5" style="326" customWidth="1"/>
    <col min="8012" max="8014" width="9" style="326"/>
    <col min="8015" max="8015" width="12.875" style="326" customWidth="1"/>
    <col min="8016" max="8016" width="9" style="326"/>
    <col min="8017" max="8017" width="10.75" style="326" bestFit="1" customWidth="1"/>
    <col min="8018" max="8018" width="13.875" style="326" customWidth="1"/>
    <col min="8019" max="8021" width="9" style="326"/>
    <col min="8022" max="8022" width="14.125" style="326" customWidth="1"/>
    <col min="8023" max="8023" width="9" style="326"/>
    <col min="8024" max="8024" width="10.75" style="326" bestFit="1" customWidth="1"/>
    <col min="8025" max="8025" width="13.25" style="326" customWidth="1"/>
    <col min="8026" max="8028" width="9" style="326"/>
    <col min="8029" max="8029" width="13.25" style="326" customWidth="1"/>
    <col min="8030" max="8030" width="9" style="326"/>
    <col min="8031" max="8031" width="10.75" style="326" bestFit="1" customWidth="1"/>
    <col min="8032" max="8032" width="13.875" style="326" customWidth="1"/>
    <col min="8033" max="8035" width="9" style="326"/>
    <col min="8036" max="8036" width="13.625" style="326" customWidth="1"/>
    <col min="8037" max="8037" width="9" style="326"/>
    <col min="8038" max="8038" width="10.75" style="326" bestFit="1" customWidth="1"/>
    <col min="8039" max="8039" width="13" style="326" customWidth="1"/>
    <col min="8040" max="8186" width="9" style="326"/>
    <col min="8187" max="8188" width="12.125" style="326" customWidth="1"/>
    <col min="8189" max="8191" width="13" style="326" customWidth="1"/>
    <col min="8192" max="8192" width="12.875" style="326" customWidth="1"/>
    <col min="8193" max="8193" width="13" style="326" customWidth="1"/>
    <col min="8194" max="8194" width="13.125" style="326" customWidth="1"/>
    <col min="8195" max="8196" width="12.125" style="326" customWidth="1"/>
    <col min="8197" max="8197" width="14.375" style="326" bestFit="1" customWidth="1"/>
    <col min="8198" max="8198" width="11" style="326" customWidth="1"/>
    <col min="8199" max="8199" width="10" style="326" customWidth="1"/>
    <col min="8200" max="8200" width="10.875" style="326" customWidth="1"/>
    <col min="8201" max="8201" width="13.75" style="326" customWidth="1"/>
    <col min="8202" max="8202" width="10" style="326" customWidth="1"/>
    <col min="8203" max="8203" width="13.25" style="326" customWidth="1"/>
    <col min="8204" max="8204" width="14.375" style="326" customWidth="1"/>
    <col min="8205" max="8205" width="10" style="326" customWidth="1"/>
    <col min="8206" max="8206" width="10.875" style="326" customWidth="1"/>
    <col min="8207" max="8207" width="11.375" style="326" customWidth="1"/>
    <col min="8208" max="8208" width="15.375" style="326" customWidth="1"/>
    <col min="8209" max="8210" width="10.75" style="326" customWidth="1"/>
    <col min="8211" max="8211" width="14.375" style="326" customWidth="1"/>
    <col min="8212" max="8212" width="10.75" style="326" customWidth="1"/>
    <col min="8213" max="8213" width="11.75" style="326" customWidth="1"/>
    <col min="8214" max="8214" width="10" style="326" customWidth="1"/>
    <col min="8215" max="8215" width="15.375" style="326" customWidth="1"/>
    <col min="8216" max="8216" width="10" style="326" customWidth="1"/>
    <col min="8217" max="8217" width="10.75" style="326" customWidth="1"/>
    <col min="8218" max="8218" width="14.875" style="326" customWidth="1"/>
    <col min="8219" max="8219" width="11.5" style="326" customWidth="1"/>
    <col min="8220" max="8220" width="10" style="326" customWidth="1"/>
    <col min="8221" max="8221" width="10.75" style="326" customWidth="1"/>
    <col min="8222" max="8222" width="13.5" style="326" customWidth="1"/>
    <col min="8223" max="8223" width="9" style="326"/>
    <col min="8224" max="8224" width="10.75" style="326" bestFit="1" customWidth="1"/>
    <col min="8225" max="8225" width="13.75" style="326" customWidth="1"/>
    <col min="8226" max="8226" width="9" style="326"/>
    <col min="8227" max="8227" width="10.625" style="326" customWidth="1"/>
    <col min="8228" max="8228" width="9" style="326"/>
    <col min="8229" max="8229" width="14.25" style="326" customWidth="1"/>
    <col min="8230" max="8230" width="10.75" style="326" bestFit="1" customWidth="1"/>
    <col min="8231" max="8231" width="11.625" style="326" customWidth="1"/>
    <col min="8232" max="8232" width="13.75" style="326" customWidth="1"/>
    <col min="8233" max="8233" width="10.625" style="326" customWidth="1"/>
    <col min="8234" max="8235" width="9" style="326"/>
    <col min="8236" max="8236" width="14.125" style="326" customWidth="1"/>
    <col min="8237" max="8237" width="11" style="326" customWidth="1"/>
    <col min="8238" max="8238" width="10.75" style="326" bestFit="1" customWidth="1"/>
    <col min="8239" max="8239" width="13.5" style="326" customWidth="1"/>
    <col min="8240" max="8241" width="9" style="326"/>
    <col min="8242" max="8242" width="10.75" style="326" bestFit="1" customWidth="1"/>
    <col min="8243" max="8243" width="14" style="326" customWidth="1"/>
    <col min="8244" max="8244" width="9" style="326"/>
    <col min="8245" max="8245" width="10.75" style="326" customWidth="1"/>
    <col min="8246" max="8246" width="12.75" style="326" customWidth="1"/>
    <col min="8247" max="8247" width="9" style="326"/>
    <col min="8248" max="8248" width="10.75" style="326" bestFit="1" customWidth="1"/>
    <col min="8249" max="8249" width="11.5" style="326" customWidth="1"/>
    <col min="8250" max="8250" width="13.625" style="326" customWidth="1"/>
    <col min="8251" max="8251" width="10.625" style="326" customWidth="1"/>
    <col min="8252" max="8252" width="10.75" style="326" bestFit="1" customWidth="1"/>
    <col min="8253" max="8253" width="12.375" style="326" customWidth="1"/>
    <col min="8254" max="8256" width="9" style="326"/>
    <col min="8257" max="8257" width="15.75" style="326" customWidth="1"/>
    <col min="8258" max="8258" width="9" style="326"/>
    <col min="8259" max="8259" width="10.75" style="326" bestFit="1" customWidth="1"/>
    <col min="8260" max="8260" width="12.625" style="326" customWidth="1"/>
    <col min="8261" max="8263" width="9" style="326"/>
    <col min="8264" max="8264" width="13.625" style="326" customWidth="1"/>
    <col min="8265" max="8265" width="9" style="326"/>
    <col min="8266" max="8266" width="10.75" style="326" bestFit="1" customWidth="1"/>
    <col min="8267" max="8267" width="12.5" style="326" customWidth="1"/>
    <col min="8268" max="8270" width="9" style="326"/>
    <col min="8271" max="8271" width="12.875" style="326" customWidth="1"/>
    <col min="8272" max="8272" width="9" style="326"/>
    <col min="8273" max="8273" width="10.75" style="326" bestFit="1" customWidth="1"/>
    <col min="8274" max="8274" width="13.875" style="326" customWidth="1"/>
    <col min="8275" max="8277" width="9" style="326"/>
    <col min="8278" max="8278" width="14.125" style="326" customWidth="1"/>
    <col min="8279" max="8279" width="9" style="326"/>
    <col min="8280" max="8280" width="10.75" style="326" bestFit="1" customWidth="1"/>
    <col min="8281" max="8281" width="13.25" style="326" customWidth="1"/>
    <col min="8282" max="8284" width="9" style="326"/>
    <col min="8285" max="8285" width="13.25" style="326" customWidth="1"/>
    <col min="8286" max="8286" width="9" style="326"/>
    <col min="8287" max="8287" width="10.75" style="326" bestFit="1" customWidth="1"/>
    <col min="8288" max="8288" width="13.875" style="326" customWidth="1"/>
    <col min="8289" max="8291" width="9" style="326"/>
    <col min="8292" max="8292" width="13.625" style="326" customWidth="1"/>
    <col min="8293" max="8293" width="9" style="326"/>
    <col min="8294" max="8294" width="10.75" style="326" bestFit="1" customWidth="1"/>
    <col min="8295" max="8295" width="13" style="326" customWidth="1"/>
    <col min="8296" max="8442" width="9" style="326"/>
    <col min="8443" max="8444" width="12.125" style="326" customWidth="1"/>
    <col min="8445" max="8447" width="13" style="326" customWidth="1"/>
    <col min="8448" max="8448" width="12.875" style="326" customWidth="1"/>
    <col min="8449" max="8449" width="13" style="326" customWidth="1"/>
    <col min="8450" max="8450" width="13.125" style="326" customWidth="1"/>
    <col min="8451" max="8452" width="12.125" style="326" customWidth="1"/>
    <col min="8453" max="8453" width="14.375" style="326" bestFit="1" customWidth="1"/>
    <col min="8454" max="8454" width="11" style="326" customWidth="1"/>
    <col min="8455" max="8455" width="10" style="326" customWidth="1"/>
    <col min="8456" max="8456" width="10.875" style="326" customWidth="1"/>
    <col min="8457" max="8457" width="13.75" style="326" customWidth="1"/>
    <col min="8458" max="8458" width="10" style="326" customWidth="1"/>
    <col min="8459" max="8459" width="13.25" style="326" customWidth="1"/>
    <col min="8460" max="8460" width="14.375" style="326" customWidth="1"/>
    <col min="8461" max="8461" width="10" style="326" customWidth="1"/>
    <col min="8462" max="8462" width="10.875" style="326" customWidth="1"/>
    <col min="8463" max="8463" width="11.375" style="326" customWidth="1"/>
    <col min="8464" max="8464" width="15.375" style="326" customWidth="1"/>
    <col min="8465" max="8466" width="10.75" style="326" customWidth="1"/>
    <col min="8467" max="8467" width="14.375" style="326" customWidth="1"/>
    <col min="8468" max="8468" width="10.75" style="326" customWidth="1"/>
    <col min="8469" max="8469" width="11.75" style="326" customWidth="1"/>
    <col min="8470" max="8470" width="10" style="326" customWidth="1"/>
    <col min="8471" max="8471" width="15.375" style="326" customWidth="1"/>
    <col min="8472" max="8472" width="10" style="326" customWidth="1"/>
    <col min="8473" max="8473" width="10.75" style="326" customWidth="1"/>
    <col min="8474" max="8474" width="14.875" style="326" customWidth="1"/>
    <col min="8475" max="8475" width="11.5" style="326" customWidth="1"/>
    <col min="8476" max="8476" width="10" style="326" customWidth="1"/>
    <col min="8477" max="8477" width="10.75" style="326" customWidth="1"/>
    <col min="8478" max="8478" width="13.5" style="326" customWidth="1"/>
    <col min="8479" max="8479" width="9" style="326"/>
    <col min="8480" max="8480" width="10.75" style="326" bestFit="1" customWidth="1"/>
    <col min="8481" max="8481" width="13.75" style="326" customWidth="1"/>
    <col min="8482" max="8482" width="9" style="326"/>
    <col min="8483" max="8483" width="10.625" style="326" customWidth="1"/>
    <col min="8484" max="8484" width="9" style="326"/>
    <col min="8485" max="8485" width="14.25" style="326" customWidth="1"/>
    <col min="8486" max="8486" width="10.75" style="326" bestFit="1" customWidth="1"/>
    <col min="8487" max="8487" width="11.625" style="326" customWidth="1"/>
    <col min="8488" max="8488" width="13.75" style="326" customWidth="1"/>
    <col min="8489" max="8489" width="10.625" style="326" customWidth="1"/>
    <col min="8490" max="8491" width="9" style="326"/>
    <col min="8492" max="8492" width="14.125" style="326" customWidth="1"/>
    <col min="8493" max="8493" width="11" style="326" customWidth="1"/>
    <col min="8494" max="8494" width="10.75" style="326" bestFit="1" customWidth="1"/>
    <col min="8495" max="8495" width="13.5" style="326" customWidth="1"/>
    <col min="8496" max="8497" width="9" style="326"/>
    <col min="8498" max="8498" width="10.75" style="326" bestFit="1" customWidth="1"/>
    <col min="8499" max="8499" width="14" style="326" customWidth="1"/>
    <col min="8500" max="8500" width="9" style="326"/>
    <col min="8501" max="8501" width="10.75" style="326" customWidth="1"/>
    <col min="8502" max="8502" width="12.75" style="326" customWidth="1"/>
    <col min="8503" max="8503" width="9" style="326"/>
    <col min="8504" max="8504" width="10.75" style="326" bestFit="1" customWidth="1"/>
    <col min="8505" max="8505" width="11.5" style="326" customWidth="1"/>
    <col min="8506" max="8506" width="13.625" style="326" customWidth="1"/>
    <col min="8507" max="8507" width="10.625" style="326" customWidth="1"/>
    <col min="8508" max="8508" width="10.75" style="326" bestFit="1" customWidth="1"/>
    <col min="8509" max="8509" width="12.375" style="326" customWidth="1"/>
    <col min="8510" max="8512" width="9" style="326"/>
    <col min="8513" max="8513" width="15.75" style="326" customWidth="1"/>
    <col min="8514" max="8514" width="9" style="326"/>
    <col min="8515" max="8515" width="10.75" style="326" bestFit="1" customWidth="1"/>
    <col min="8516" max="8516" width="12.625" style="326" customWidth="1"/>
    <col min="8517" max="8519" width="9" style="326"/>
    <col min="8520" max="8520" width="13.625" style="326" customWidth="1"/>
    <col min="8521" max="8521" width="9" style="326"/>
    <col min="8522" max="8522" width="10.75" style="326" bestFit="1" customWidth="1"/>
    <col min="8523" max="8523" width="12.5" style="326" customWidth="1"/>
    <col min="8524" max="8526" width="9" style="326"/>
    <col min="8527" max="8527" width="12.875" style="326" customWidth="1"/>
    <col min="8528" max="8528" width="9" style="326"/>
    <col min="8529" max="8529" width="10.75" style="326" bestFit="1" customWidth="1"/>
    <col min="8530" max="8530" width="13.875" style="326" customWidth="1"/>
    <col min="8531" max="8533" width="9" style="326"/>
    <col min="8534" max="8534" width="14.125" style="326" customWidth="1"/>
    <col min="8535" max="8535" width="9" style="326"/>
    <col min="8536" max="8536" width="10.75" style="326" bestFit="1" customWidth="1"/>
    <col min="8537" max="8537" width="13.25" style="326" customWidth="1"/>
    <col min="8538" max="8540" width="9" style="326"/>
    <col min="8541" max="8541" width="13.25" style="326" customWidth="1"/>
    <col min="8542" max="8542" width="9" style="326"/>
    <col min="8543" max="8543" width="10.75" style="326" bestFit="1" customWidth="1"/>
    <col min="8544" max="8544" width="13.875" style="326" customWidth="1"/>
    <col min="8545" max="8547" width="9" style="326"/>
    <col min="8548" max="8548" width="13.625" style="326" customWidth="1"/>
    <col min="8549" max="8549" width="9" style="326"/>
    <col min="8550" max="8550" width="10.75" style="326" bestFit="1" customWidth="1"/>
    <col min="8551" max="8551" width="13" style="326" customWidth="1"/>
    <col min="8552" max="8698" width="9" style="326"/>
    <col min="8699" max="8700" width="12.125" style="326" customWidth="1"/>
    <col min="8701" max="8703" width="13" style="326" customWidth="1"/>
    <col min="8704" max="8704" width="12.875" style="326" customWidth="1"/>
    <col min="8705" max="8705" width="13" style="326" customWidth="1"/>
    <col min="8706" max="8706" width="13.125" style="326" customWidth="1"/>
    <col min="8707" max="8708" width="12.125" style="326" customWidth="1"/>
    <col min="8709" max="8709" width="14.375" style="326" bestFit="1" customWidth="1"/>
    <col min="8710" max="8710" width="11" style="326" customWidth="1"/>
    <col min="8711" max="8711" width="10" style="326" customWidth="1"/>
    <col min="8712" max="8712" width="10.875" style="326" customWidth="1"/>
    <col min="8713" max="8713" width="13.75" style="326" customWidth="1"/>
    <col min="8714" max="8714" width="10" style="326" customWidth="1"/>
    <col min="8715" max="8715" width="13.25" style="326" customWidth="1"/>
    <col min="8716" max="8716" width="14.375" style="326" customWidth="1"/>
    <col min="8717" max="8717" width="10" style="326" customWidth="1"/>
    <col min="8718" max="8718" width="10.875" style="326" customWidth="1"/>
    <col min="8719" max="8719" width="11.375" style="326" customWidth="1"/>
    <col min="8720" max="8720" width="15.375" style="326" customWidth="1"/>
    <col min="8721" max="8722" width="10.75" style="326" customWidth="1"/>
    <col min="8723" max="8723" width="14.375" style="326" customWidth="1"/>
    <col min="8724" max="8724" width="10.75" style="326" customWidth="1"/>
    <col min="8725" max="8725" width="11.75" style="326" customWidth="1"/>
    <col min="8726" max="8726" width="10" style="326" customWidth="1"/>
    <col min="8727" max="8727" width="15.375" style="326" customWidth="1"/>
    <col min="8728" max="8728" width="10" style="326" customWidth="1"/>
    <col min="8729" max="8729" width="10.75" style="326" customWidth="1"/>
    <col min="8730" max="8730" width="14.875" style="326" customWidth="1"/>
    <col min="8731" max="8731" width="11.5" style="326" customWidth="1"/>
    <col min="8732" max="8732" width="10" style="326" customWidth="1"/>
    <col min="8733" max="8733" width="10.75" style="326" customWidth="1"/>
    <col min="8734" max="8734" width="13.5" style="326" customWidth="1"/>
    <col min="8735" max="8735" width="9" style="326"/>
    <col min="8736" max="8736" width="10.75" style="326" bestFit="1" customWidth="1"/>
    <col min="8737" max="8737" width="13.75" style="326" customWidth="1"/>
    <col min="8738" max="8738" width="9" style="326"/>
    <col min="8739" max="8739" width="10.625" style="326" customWidth="1"/>
    <col min="8740" max="8740" width="9" style="326"/>
    <col min="8741" max="8741" width="14.25" style="326" customWidth="1"/>
    <col min="8742" max="8742" width="10.75" style="326" bestFit="1" customWidth="1"/>
    <col min="8743" max="8743" width="11.625" style="326" customWidth="1"/>
    <col min="8744" max="8744" width="13.75" style="326" customWidth="1"/>
    <col min="8745" max="8745" width="10.625" style="326" customWidth="1"/>
    <col min="8746" max="8747" width="9" style="326"/>
    <col min="8748" max="8748" width="14.125" style="326" customWidth="1"/>
    <col min="8749" max="8749" width="11" style="326" customWidth="1"/>
    <col min="8750" max="8750" width="10.75" style="326" bestFit="1" customWidth="1"/>
    <col min="8751" max="8751" width="13.5" style="326" customWidth="1"/>
    <col min="8752" max="8753" width="9" style="326"/>
    <col min="8754" max="8754" width="10.75" style="326" bestFit="1" customWidth="1"/>
    <col min="8755" max="8755" width="14" style="326" customWidth="1"/>
    <col min="8756" max="8756" width="9" style="326"/>
    <col min="8757" max="8757" width="10.75" style="326" customWidth="1"/>
    <col min="8758" max="8758" width="12.75" style="326" customWidth="1"/>
    <col min="8759" max="8759" width="9" style="326"/>
    <col min="8760" max="8760" width="10.75" style="326" bestFit="1" customWidth="1"/>
    <col min="8761" max="8761" width="11.5" style="326" customWidth="1"/>
    <col min="8762" max="8762" width="13.625" style="326" customWidth="1"/>
    <col min="8763" max="8763" width="10.625" style="326" customWidth="1"/>
    <col min="8764" max="8764" width="10.75" style="326" bestFit="1" customWidth="1"/>
    <col min="8765" max="8765" width="12.375" style="326" customWidth="1"/>
    <col min="8766" max="8768" width="9" style="326"/>
    <col min="8769" max="8769" width="15.75" style="326" customWidth="1"/>
    <col min="8770" max="8770" width="9" style="326"/>
    <col min="8771" max="8771" width="10.75" style="326" bestFit="1" customWidth="1"/>
    <col min="8772" max="8772" width="12.625" style="326" customWidth="1"/>
    <col min="8773" max="8775" width="9" style="326"/>
    <col min="8776" max="8776" width="13.625" style="326" customWidth="1"/>
    <col min="8777" max="8777" width="9" style="326"/>
    <col min="8778" max="8778" width="10.75" style="326" bestFit="1" customWidth="1"/>
    <col min="8779" max="8779" width="12.5" style="326" customWidth="1"/>
    <col min="8780" max="8782" width="9" style="326"/>
    <col min="8783" max="8783" width="12.875" style="326" customWidth="1"/>
    <col min="8784" max="8784" width="9" style="326"/>
    <col min="8785" max="8785" width="10.75" style="326" bestFit="1" customWidth="1"/>
    <col min="8786" max="8786" width="13.875" style="326" customWidth="1"/>
    <col min="8787" max="8789" width="9" style="326"/>
    <col min="8790" max="8790" width="14.125" style="326" customWidth="1"/>
    <col min="8791" max="8791" width="9" style="326"/>
    <col min="8792" max="8792" width="10.75" style="326" bestFit="1" customWidth="1"/>
    <col min="8793" max="8793" width="13.25" style="326" customWidth="1"/>
    <col min="8794" max="8796" width="9" style="326"/>
    <col min="8797" max="8797" width="13.25" style="326" customWidth="1"/>
    <col min="8798" max="8798" width="9" style="326"/>
    <col min="8799" max="8799" width="10.75" style="326" bestFit="1" customWidth="1"/>
    <col min="8800" max="8800" width="13.875" style="326" customWidth="1"/>
    <col min="8801" max="8803" width="9" style="326"/>
    <col min="8804" max="8804" width="13.625" style="326" customWidth="1"/>
    <col min="8805" max="8805" width="9" style="326"/>
    <col min="8806" max="8806" width="10.75" style="326" bestFit="1" customWidth="1"/>
    <col min="8807" max="8807" width="13" style="326" customWidth="1"/>
    <col min="8808" max="8954" width="9" style="326"/>
    <col min="8955" max="8956" width="12.125" style="326" customWidth="1"/>
    <col min="8957" max="8959" width="13" style="326" customWidth="1"/>
    <col min="8960" max="8960" width="12.875" style="326" customWidth="1"/>
    <col min="8961" max="8961" width="13" style="326" customWidth="1"/>
    <col min="8962" max="8962" width="13.125" style="326" customWidth="1"/>
    <col min="8963" max="8964" width="12.125" style="326" customWidth="1"/>
    <col min="8965" max="8965" width="14.375" style="326" bestFit="1" customWidth="1"/>
    <col min="8966" max="8966" width="11" style="326" customWidth="1"/>
    <col min="8967" max="8967" width="10" style="326" customWidth="1"/>
    <col min="8968" max="8968" width="10.875" style="326" customWidth="1"/>
    <col min="8969" max="8969" width="13.75" style="326" customWidth="1"/>
    <col min="8970" max="8970" width="10" style="326" customWidth="1"/>
    <col min="8971" max="8971" width="13.25" style="326" customWidth="1"/>
    <col min="8972" max="8972" width="14.375" style="326" customWidth="1"/>
    <col min="8973" max="8973" width="10" style="326" customWidth="1"/>
    <col min="8974" max="8974" width="10.875" style="326" customWidth="1"/>
    <col min="8975" max="8975" width="11.375" style="326" customWidth="1"/>
    <col min="8976" max="8976" width="15.375" style="326" customWidth="1"/>
    <col min="8977" max="8978" width="10.75" style="326" customWidth="1"/>
    <col min="8979" max="8979" width="14.375" style="326" customWidth="1"/>
    <col min="8980" max="8980" width="10.75" style="326" customWidth="1"/>
    <col min="8981" max="8981" width="11.75" style="326" customWidth="1"/>
    <col min="8982" max="8982" width="10" style="326" customWidth="1"/>
    <col min="8983" max="8983" width="15.375" style="326" customWidth="1"/>
    <col min="8984" max="8984" width="10" style="326" customWidth="1"/>
    <col min="8985" max="8985" width="10.75" style="326" customWidth="1"/>
    <col min="8986" max="8986" width="14.875" style="326" customWidth="1"/>
    <col min="8987" max="8987" width="11.5" style="326" customWidth="1"/>
    <col min="8988" max="8988" width="10" style="326" customWidth="1"/>
    <col min="8989" max="8989" width="10.75" style="326" customWidth="1"/>
    <col min="8990" max="8990" width="13.5" style="326" customWidth="1"/>
    <col min="8991" max="8991" width="9" style="326"/>
    <col min="8992" max="8992" width="10.75" style="326" bestFit="1" customWidth="1"/>
    <col min="8993" max="8993" width="13.75" style="326" customWidth="1"/>
    <col min="8994" max="8994" width="9" style="326"/>
    <col min="8995" max="8995" width="10.625" style="326" customWidth="1"/>
    <col min="8996" max="8996" width="9" style="326"/>
    <col min="8997" max="8997" width="14.25" style="326" customWidth="1"/>
    <col min="8998" max="8998" width="10.75" style="326" bestFit="1" customWidth="1"/>
    <col min="8999" max="8999" width="11.625" style="326" customWidth="1"/>
    <col min="9000" max="9000" width="13.75" style="326" customWidth="1"/>
    <col min="9001" max="9001" width="10.625" style="326" customWidth="1"/>
    <col min="9002" max="9003" width="9" style="326"/>
    <col min="9004" max="9004" width="14.125" style="326" customWidth="1"/>
    <col min="9005" max="9005" width="11" style="326" customWidth="1"/>
    <col min="9006" max="9006" width="10.75" style="326" bestFit="1" customWidth="1"/>
    <col min="9007" max="9007" width="13.5" style="326" customWidth="1"/>
    <col min="9008" max="9009" width="9" style="326"/>
    <col min="9010" max="9010" width="10.75" style="326" bestFit="1" customWidth="1"/>
    <col min="9011" max="9011" width="14" style="326" customWidth="1"/>
    <col min="9012" max="9012" width="9" style="326"/>
    <col min="9013" max="9013" width="10.75" style="326" customWidth="1"/>
    <col min="9014" max="9014" width="12.75" style="326" customWidth="1"/>
    <col min="9015" max="9015" width="9" style="326"/>
    <col min="9016" max="9016" width="10.75" style="326" bestFit="1" customWidth="1"/>
    <col min="9017" max="9017" width="11.5" style="326" customWidth="1"/>
    <col min="9018" max="9018" width="13.625" style="326" customWidth="1"/>
    <col min="9019" max="9019" width="10.625" style="326" customWidth="1"/>
    <col min="9020" max="9020" width="10.75" style="326" bestFit="1" customWidth="1"/>
    <col min="9021" max="9021" width="12.375" style="326" customWidth="1"/>
    <col min="9022" max="9024" width="9" style="326"/>
    <col min="9025" max="9025" width="15.75" style="326" customWidth="1"/>
    <col min="9026" max="9026" width="9" style="326"/>
    <col min="9027" max="9027" width="10.75" style="326" bestFit="1" customWidth="1"/>
    <col min="9028" max="9028" width="12.625" style="326" customWidth="1"/>
    <col min="9029" max="9031" width="9" style="326"/>
    <col min="9032" max="9032" width="13.625" style="326" customWidth="1"/>
    <col min="9033" max="9033" width="9" style="326"/>
    <col min="9034" max="9034" width="10.75" style="326" bestFit="1" customWidth="1"/>
    <col min="9035" max="9035" width="12.5" style="326" customWidth="1"/>
    <col min="9036" max="9038" width="9" style="326"/>
    <col min="9039" max="9039" width="12.875" style="326" customWidth="1"/>
    <col min="9040" max="9040" width="9" style="326"/>
    <col min="9041" max="9041" width="10.75" style="326" bestFit="1" customWidth="1"/>
    <col min="9042" max="9042" width="13.875" style="326" customWidth="1"/>
    <col min="9043" max="9045" width="9" style="326"/>
    <col min="9046" max="9046" width="14.125" style="326" customWidth="1"/>
    <col min="9047" max="9047" width="9" style="326"/>
    <col min="9048" max="9048" width="10.75" style="326" bestFit="1" customWidth="1"/>
    <col min="9049" max="9049" width="13.25" style="326" customWidth="1"/>
    <col min="9050" max="9052" width="9" style="326"/>
    <col min="9053" max="9053" width="13.25" style="326" customWidth="1"/>
    <col min="9054" max="9054" width="9" style="326"/>
    <col min="9055" max="9055" width="10.75" style="326" bestFit="1" customWidth="1"/>
    <col min="9056" max="9056" width="13.875" style="326" customWidth="1"/>
    <col min="9057" max="9059" width="9" style="326"/>
    <col min="9060" max="9060" width="13.625" style="326" customWidth="1"/>
    <col min="9061" max="9061" width="9" style="326"/>
    <col min="9062" max="9062" width="10.75" style="326" bestFit="1" customWidth="1"/>
    <col min="9063" max="9063" width="13" style="326" customWidth="1"/>
    <col min="9064" max="9210" width="9" style="326"/>
    <col min="9211" max="9212" width="12.125" style="326" customWidth="1"/>
    <col min="9213" max="9215" width="13" style="326" customWidth="1"/>
    <col min="9216" max="9216" width="12.875" style="326" customWidth="1"/>
    <col min="9217" max="9217" width="13" style="326" customWidth="1"/>
    <col min="9218" max="9218" width="13.125" style="326" customWidth="1"/>
    <col min="9219" max="9220" width="12.125" style="326" customWidth="1"/>
    <col min="9221" max="9221" width="14.375" style="326" bestFit="1" customWidth="1"/>
    <col min="9222" max="9222" width="11" style="326" customWidth="1"/>
    <col min="9223" max="9223" width="10" style="326" customWidth="1"/>
    <col min="9224" max="9224" width="10.875" style="326" customWidth="1"/>
    <col min="9225" max="9225" width="13.75" style="326" customWidth="1"/>
    <col min="9226" max="9226" width="10" style="326" customWidth="1"/>
    <col min="9227" max="9227" width="13.25" style="326" customWidth="1"/>
    <col min="9228" max="9228" width="14.375" style="326" customWidth="1"/>
    <col min="9229" max="9229" width="10" style="326" customWidth="1"/>
    <col min="9230" max="9230" width="10.875" style="326" customWidth="1"/>
    <col min="9231" max="9231" width="11.375" style="326" customWidth="1"/>
    <col min="9232" max="9232" width="15.375" style="326" customWidth="1"/>
    <col min="9233" max="9234" width="10.75" style="326" customWidth="1"/>
    <col min="9235" max="9235" width="14.375" style="326" customWidth="1"/>
    <col min="9236" max="9236" width="10.75" style="326" customWidth="1"/>
    <col min="9237" max="9237" width="11.75" style="326" customWidth="1"/>
    <col min="9238" max="9238" width="10" style="326" customWidth="1"/>
    <col min="9239" max="9239" width="15.375" style="326" customWidth="1"/>
    <col min="9240" max="9240" width="10" style="326" customWidth="1"/>
    <col min="9241" max="9241" width="10.75" style="326" customWidth="1"/>
    <col min="9242" max="9242" width="14.875" style="326" customWidth="1"/>
    <col min="9243" max="9243" width="11.5" style="326" customWidth="1"/>
    <col min="9244" max="9244" width="10" style="326" customWidth="1"/>
    <col min="9245" max="9245" width="10.75" style="326" customWidth="1"/>
    <col min="9246" max="9246" width="13.5" style="326" customWidth="1"/>
    <col min="9247" max="9247" width="9" style="326"/>
    <col min="9248" max="9248" width="10.75" style="326" bestFit="1" customWidth="1"/>
    <col min="9249" max="9249" width="13.75" style="326" customWidth="1"/>
    <col min="9250" max="9250" width="9" style="326"/>
    <col min="9251" max="9251" width="10.625" style="326" customWidth="1"/>
    <col min="9252" max="9252" width="9" style="326"/>
    <col min="9253" max="9253" width="14.25" style="326" customWidth="1"/>
    <col min="9254" max="9254" width="10.75" style="326" bestFit="1" customWidth="1"/>
    <col min="9255" max="9255" width="11.625" style="326" customWidth="1"/>
    <col min="9256" max="9256" width="13.75" style="326" customWidth="1"/>
    <col min="9257" max="9257" width="10.625" style="326" customWidth="1"/>
    <col min="9258" max="9259" width="9" style="326"/>
    <col min="9260" max="9260" width="14.125" style="326" customWidth="1"/>
    <col min="9261" max="9261" width="11" style="326" customWidth="1"/>
    <col min="9262" max="9262" width="10.75" style="326" bestFit="1" customWidth="1"/>
    <col min="9263" max="9263" width="13.5" style="326" customWidth="1"/>
    <col min="9264" max="9265" width="9" style="326"/>
    <col min="9266" max="9266" width="10.75" style="326" bestFit="1" customWidth="1"/>
    <col min="9267" max="9267" width="14" style="326" customWidth="1"/>
    <col min="9268" max="9268" width="9" style="326"/>
    <col min="9269" max="9269" width="10.75" style="326" customWidth="1"/>
    <col min="9270" max="9270" width="12.75" style="326" customWidth="1"/>
    <col min="9271" max="9271" width="9" style="326"/>
    <col min="9272" max="9272" width="10.75" style="326" bestFit="1" customWidth="1"/>
    <col min="9273" max="9273" width="11.5" style="326" customWidth="1"/>
    <col min="9274" max="9274" width="13.625" style="326" customWidth="1"/>
    <col min="9275" max="9275" width="10.625" style="326" customWidth="1"/>
    <col min="9276" max="9276" width="10.75" style="326" bestFit="1" customWidth="1"/>
    <col min="9277" max="9277" width="12.375" style="326" customWidth="1"/>
    <col min="9278" max="9280" width="9" style="326"/>
    <col min="9281" max="9281" width="15.75" style="326" customWidth="1"/>
    <col min="9282" max="9282" width="9" style="326"/>
    <col min="9283" max="9283" width="10.75" style="326" bestFit="1" customWidth="1"/>
    <col min="9284" max="9284" width="12.625" style="326" customWidth="1"/>
    <col min="9285" max="9287" width="9" style="326"/>
    <col min="9288" max="9288" width="13.625" style="326" customWidth="1"/>
    <col min="9289" max="9289" width="9" style="326"/>
    <col min="9290" max="9290" width="10.75" style="326" bestFit="1" customWidth="1"/>
    <col min="9291" max="9291" width="12.5" style="326" customWidth="1"/>
    <col min="9292" max="9294" width="9" style="326"/>
    <col min="9295" max="9295" width="12.875" style="326" customWidth="1"/>
    <col min="9296" max="9296" width="9" style="326"/>
    <col min="9297" max="9297" width="10.75" style="326" bestFit="1" customWidth="1"/>
    <col min="9298" max="9298" width="13.875" style="326" customWidth="1"/>
    <col min="9299" max="9301" width="9" style="326"/>
    <col min="9302" max="9302" width="14.125" style="326" customWidth="1"/>
    <col min="9303" max="9303" width="9" style="326"/>
    <col min="9304" max="9304" width="10.75" style="326" bestFit="1" customWidth="1"/>
    <col min="9305" max="9305" width="13.25" style="326" customWidth="1"/>
    <col min="9306" max="9308" width="9" style="326"/>
    <col min="9309" max="9309" width="13.25" style="326" customWidth="1"/>
    <col min="9310" max="9310" width="9" style="326"/>
    <col min="9311" max="9311" width="10.75" style="326" bestFit="1" customWidth="1"/>
    <col min="9312" max="9312" width="13.875" style="326" customWidth="1"/>
    <col min="9313" max="9315" width="9" style="326"/>
    <col min="9316" max="9316" width="13.625" style="326" customWidth="1"/>
    <col min="9317" max="9317" width="9" style="326"/>
    <col min="9318" max="9318" width="10.75" style="326" bestFit="1" customWidth="1"/>
    <col min="9319" max="9319" width="13" style="326" customWidth="1"/>
    <col min="9320" max="9466" width="9" style="326"/>
    <col min="9467" max="9468" width="12.125" style="326" customWidth="1"/>
    <col min="9469" max="9471" width="13" style="326" customWidth="1"/>
    <col min="9472" max="9472" width="12.875" style="326" customWidth="1"/>
    <col min="9473" max="9473" width="13" style="326" customWidth="1"/>
    <col min="9474" max="9474" width="13.125" style="326" customWidth="1"/>
    <col min="9475" max="9476" width="12.125" style="326" customWidth="1"/>
    <col min="9477" max="9477" width="14.375" style="326" bestFit="1" customWidth="1"/>
    <col min="9478" max="9478" width="11" style="326" customWidth="1"/>
    <col min="9479" max="9479" width="10" style="326" customWidth="1"/>
    <col min="9480" max="9480" width="10.875" style="326" customWidth="1"/>
    <col min="9481" max="9481" width="13.75" style="326" customWidth="1"/>
    <col min="9482" max="9482" width="10" style="326" customWidth="1"/>
    <col min="9483" max="9483" width="13.25" style="326" customWidth="1"/>
    <col min="9484" max="9484" width="14.375" style="326" customWidth="1"/>
    <col min="9485" max="9485" width="10" style="326" customWidth="1"/>
    <col min="9486" max="9486" width="10.875" style="326" customWidth="1"/>
    <col min="9487" max="9487" width="11.375" style="326" customWidth="1"/>
    <col min="9488" max="9488" width="15.375" style="326" customWidth="1"/>
    <col min="9489" max="9490" width="10.75" style="326" customWidth="1"/>
    <col min="9491" max="9491" width="14.375" style="326" customWidth="1"/>
    <col min="9492" max="9492" width="10.75" style="326" customWidth="1"/>
    <col min="9493" max="9493" width="11.75" style="326" customWidth="1"/>
    <col min="9494" max="9494" width="10" style="326" customWidth="1"/>
    <col min="9495" max="9495" width="15.375" style="326" customWidth="1"/>
    <col min="9496" max="9496" width="10" style="326" customWidth="1"/>
    <col min="9497" max="9497" width="10.75" style="326" customWidth="1"/>
    <col min="9498" max="9498" width="14.875" style="326" customWidth="1"/>
    <col min="9499" max="9499" width="11.5" style="326" customWidth="1"/>
    <col min="9500" max="9500" width="10" style="326" customWidth="1"/>
    <col min="9501" max="9501" width="10.75" style="326" customWidth="1"/>
    <col min="9502" max="9502" width="13.5" style="326" customWidth="1"/>
    <col min="9503" max="9503" width="9" style="326"/>
    <col min="9504" max="9504" width="10.75" style="326" bestFit="1" customWidth="1"/>
    <col min="9505" max="9505" width="13.75" style="326" customWidth="1"/>
    <col min="9506" max="9506" width="9" style="326"/>
    <col min="9507" max="9507" width="10.625" style="326" customWidth="1"/>
    <col min="9508" max="9508" width="9" style="326"/>
    <col min="9509" max="9509" width="14.25" style="326" customWidth="1"/>
    <col min="9510" max="9510" width="10.75" style="326" bestFit="1" customWidth="1"/>
    <col min="9511" max="9511" width="11.625" style="326" customWidth="1"/>
    <col min="9512" max="9512" width="13.75" style="326" customWidth="1"/>
    <col min="9513" max="9513" width="10.625" style="326" customWidth="1"/>
    <col min="9514" max="9515" width="9" style="326"/>
    <col min="9516" max="9516" width="14.125" style="326" customWidth="1"/>
    <col min="9517" max="9517" width="11" style="326" customWidth="1"/>
    <col min="9518" max="9518" width="10.75" style="326" bestFit="1" customWidth="1"/>
    <col min="9519" max="9519" width="13.5" style="326" customWidth="1"/>
    <col min="9520" max="9521" width="9" style="326"/>
    <col min="9522" max="9522" width="10.75" style="326" bestFit="1" customWidth="1"/>
    <col min="9523" max="9523" width="14" style="326" customWidth="1"/>
    <col min="9524" max="9524" width="9" style="326"/>
    <col min="9525" max="9525" width="10.75" style="326" customWidth="1"/>
    <col min="9526" max="9526" width="12.75" style="326" customWidth="1"/>
    <col min="9527" max="9527" width="9" style="326"/>
    <col min="9528" max="9528" width="10.75" style="326" bestFit="1" customWidth="1"/>
    <col min="9529" max="9529" width="11.5" style="326" customWidth="1"/>
    <col min="9530" max="9530" width="13.625" style="326" customWidth="1"/>
    <col min="9531" max="9531" width="10.625" style="326" customWidth="1"/>
    <col min="9532" max="9532" width="10.75" style="326" bestFit="1" customWidth="1"/>
    <col min="9533" max="9533" width="12.375" style="326" customWidth="1"/>
    <col min="9534" max="9536" width="9" style="326"/>
    <col min="9537" max="9537" width="15.75" style="326" customWidth="1"/>
    <col min="9538" max="9538" width="9" style="326"/>
    <col min="9539" max="9539" width="10.75" style="326" bestFit="1" customWidth="1"/>
    <col min="9540" max="9540" width="12.625" style="326" customWidth="1"/>
    <col min="9541" max="9543" width="9" style="326"/>
    <col min="9544" max="9544" width="13.625" style="326" customWidth="1"/>
    <col min="9545" max="9545" width="9" style="326"/>
    <col min="9546" max="9546" width="10.75" style="326" bestFit="1" customWidth="1"/>
    <col min="9547" max="9547" width="12.5" style="326" customWidth="1"/>
    <col min="9548" max="9550" width="9" style="326"/>
    <col min="9551" max="9551" width="12.875" style="326" customWidth="1"/>
    <col min="9552" max="9552" width="9" style="326"/>
    <col min="9553" max="9553" width="10.75" style="326" bestFit="1" customWidth="1"/>
    <col min="9554" max="9554" width="13.875" style="326" customWidth="1"/>
    <col min="9555" max="9557" width="9" style="326"/>
    <col min="9558" max="9558" width="14.125" style="326" customWidth="1"/>
    <col min="9559" max="9559" width="9" style="326"/>
    <col min="9560" max="9560" width="10.75" style="326" bestFit="1" customWidth="1"/>
    <col min="9561" max="9561" width="13.25" style="326" customWidth="1"/>
    <col min="9562" max="9564" width="9" style="326"/>
    <col min="9565" max="9565" width="13.25" style="326" customWidth="1"/>
    <col min="9566" max="9566" width="9" style="326"/>
    <col min="9567" max="9567" width="10.75" style="326" bestFit="1" customWidth="1"/>
    <col min="9568" max="9568" width="13.875" style="326" customWidth="1"/>
    <col min="9569" max="9571" width="9" style="326"/>
    <col min="9572" max="9572" width="13.625" style="326" customWidth="1"/>
    <col min="9573" max="9573" width="9" style="326"/>
    <col min="9574" max="9574" width="10.75" style="326" bestFit="1" customWidth="1"/>
    <col min="9575" max="9575" width="13" style="326" customWidth="1"/>
    <col min="9576" max="9722" width="9" style="326"/>
    <col min="9723" max="9724" width="12.125" style="326" customWidth="1"/>
    <col min="9725" max="9727" width="13" style="326" customWidth="1"/>
    <col min="9728" max="9728" width="12.875" style="326" customWidth="1"/>
    <col min="9729" max="9729" width="13" style="326" customWidth="1"/>
    <col min="9730" max="9730" width="13.125" style="326" customWidth="1"/>
    <col min="9731" max="9732" width="12.125" style="326" customWidth="1"/>
    <col min="9733" max="9733" width="14.375" style="326" bestFit="1" customWidth="1"/>
    <col min="9734" max="9734" width="11" style="326" customWidth="1"/>
    <col min="9735" max="9735" width="10" style="326" customWidth="1"/>
    <col min="9736" max="9736" width="10.875" style="326" customWidth="1"/>
    <col min="9737" max="9737" width="13.75" style="326" customWidth="1"/>
    <col min="9738" max="9738" width="10" style="326" customWidth="1"/>
    <col min="9739" max="9739" width="13.25" style="326" customWidth="1"/>
    <col min="9740" max="9740" width="14.375" style="326" customWidth="1"/>
    <col min="9741" max="9741" width="10" style="326" customWidth="1"/>
    <col min="9742" max="9742" width="10.875" style="326" customWidth="1"/>
    <col min="9743" max="9743" width="11.375" style="326" customWidth="1"/>
    <col min="9744" max="9744" width="15.375" style="326" customWidth="1"/>
    <col min="9745" max="9746" width="10.75" style="326" customWidth="1"/>
    <col min="9747" max="9747" width="14.375" style="326" customWidth="1"/>
    <col min="9748" max="9748" width="10.75" style="326" customWidth="1"/>
    <col min="9749" max="9749" width="11.75" style="326" customWidth="1"/>
    <col min="9750" max="9750" width="10" style="326" customWidth="1"/>
    <col min="9751" max="9751" width="15.375" style="326" customWidth="1"/>
    <col min="9752" max="9752" width="10" style="326" customWidth="1"/>
    <col min="9753" max="9753" width="10.75" style="326" customWidth="1"/>
    <col min="9754" max="9754" width="14.875" style="326" customWidth="1"/>
    <col min="9755" max="9755" width="11.5" style="326" customWidth="1"/>
    <col min="9756" max="9756" width="10" style="326" customWidth="1"/>
    <col min="9757" max="9757" width="10.75" style="326" customWidth="1"/>
    <col min="9758" max="9758" width="13.5" style="326" customWidth="1"/>
    <col min="9759" max="9759" width="9" style="326"/>
    <col min="9760" max="9760" width="10.75" style="326" bestFit="1" customWidth="1"/>
    <col min="9761" max="9761" width="13.75" style="326" customWidth="1"/>
    <col min="9762" max="9762" width="9" style="326"/>
    <col min="9763" max="9763" width="10.625" style="326" customWidth="1"/>
    <col min="9764" max="9764" width="9" style="326"/>
    <col min="9765" max="9765" width="14.25" style="326" customWidth="1"/>
    <col min="9766" max="9766" width="10.75" style="326" bestFit="1" customWidth="1"/>
    <col min="9767" max="9767" width="11.625" style="326" customWidth="1"/>
    <col min="9768" max="9768" width="13.75" style="326" customWidth="1"/>
    <col min="9769" max="9769" width="10.625" style="326" customWidth="1"/>
    <col min="9770" max="9771" width="9" style="326"/>
    <col min="9772" max="9772" width="14.125" style="326" customWidth="1"/>
    <col min="9773" max="9773" width="11" style="326" customWidth="1"/>
    <col min="9774" max="9774" width="10.75" style="326" bestFit="1" customWidth="1"/>
    <col min="9775" max="9775" width="13.5" style="326" customWidth="1"/>
    <col min="9776" max="9777" width="9" style="326"/>
    <col min="9778" max="9778" width="10.75" style="326" bestFit="1" customWidth="1"/>
    <col min="9779" max="9779" width="14" style="326" customWidth="1"/>
    <col min="9780" max="9780" width="9" style="326"/>
    <col min="9781" max="9781" width="10.75" style="326" customWidth="1"/>
    <col min="9782" max="9782" width="12.75" style="326" customWidth="1"/>
    <col min="9783" max="9783" width="9" style="326"/>
    <col min="9784" max="9784" width="10.75" style="326" bestFit="1" customWidth="1"/>
    <col min="9785" max="9785" width="11.5" style="326" customWidth="1"/>
    <col min="9786" max="9786" width="13.625" style="326" customWidth="1"/>
    <col min="9787" max="9787" width="10.625" style="326" customWidth="1"/>
    <col min="9788" max="9788" width="10.75" style="326" bestFit="1" customWidth="1"/>
    <col min="9789" max="9789" width="12.375" style="326" customWidth="1"/>
    <col min="9790" max="9792" width="9" style="326"/>
    <col min="9793" max="9793" width="15.75" style="326" customWidth="1"/>
    <col min="9794" max="9794" width="9" style="326"/>
    <col min="9795" max="9795" width="10.75" style="326" bestFit="1" customWidth="1"/>
    <col min="9796" max="9796" width="12.625" style="326" customWidth="1"/>
    <col min="9797" max="9799" width="9" style="326"/>
    <col min="9800" max="9800" width="13.625" style="326" customWidth="1"/>
    <col min="9801" max="9801" width="9" style="326"/>
    <col min="9802" max="9802" width="10.75" style="326" bestFit="1" customWidth="1"/>
    <col min="9803" max="9803" width="12.5" style="326" customWidth="1"/>
    <col min="9804" max="9806" width="9" style="326"/>
    <col min="9807" max="9807" width="12.875" style="326" customWidth="1"/>
    <col min="9808" max="9808" width="9" style="326"/>
    <col min="9809" max="9809" width="10.75" style="326" bestFit="1" customWidth="1"/>
    <col min="9810" max="9810" width="13.875" style="326" customWidth="1"/>
    <col min="9811" max="9813" width="9" style="326"/>
    <col min="9814" max="9814" width="14.125" style="326" customWidth="1"/>
    <col min="9815" max="9815" width="9" style="326"/>
    <col min="9816" max="9816" width="10.75" style="326" bestFit="1" customWidth="1"/>
    <col min="9817" max="9817" width="13.25" style="326" customWidth="1"/>
    <col min="9818" max="9820" width="9" style="326"/>
    <col min="9821" max="9821" width="13.25" style="326" customWidth="1"/>
    <col min="9822" max="9822" width="9" style="326"/>
    <col min="9823" max="9823" width="10.75" style="326" bestFit="1" customWidth="1"/>
    <col min="9824" max="9824" width="13.875" style="326" customWidth="1"/>
    <col min="9825" max="9827" width="9" style="326"/>
    <col min="9828" max="9828" width="13.625" style="326" customWidth="1"/>
    <col min="9829" max="9829" width="9" style="326"/>
    <col min="9830" max="9830" width="10.75" style="326" bestFit="1" customWidth="1"/>
    <col min="9831" max="9831" width="13" style="326" customWidth="1"/>
    <col min="9832" max="9978" width="9" style="326"/>
    <col min="9979" max="9980" width="12.125" style="326" customWidth="1"/>
    <col min="9981" max="9983" width="13" style="326" customWidth="1"/>
    <col min="9984" max="9984" width="12.875" style="326" customWidth="1"/>
    <col min="9985" max="9985" width="13" style="326" customWidth="1"/>
    <col min="9986" max="9986" width="13.125" style="326" customWidth="1"/>
    <col min="9987" max="9988" width="12.125" style="326" customWidth="1"/>
    <col min="9989" max="9989" width="14.375" style="326" bestFit="1" customWidth="1"/>
    <col min="9990" max="9990" width="11" style="326" customWidth="1"/>
    <col min="9991" max="9991" width="10" style="326" customWidth="1"/>
    <col min="9992" max="9992" width="10.875" style="326" customWidth="1"/>
    <col min="9993" max="9993" width="13.75" style="326" customWidth="1"/>
    <col min="9994" max="9994" width="10" style="326" customWidth="1"/>
    <col min="9995" max="9995" width="13.25" style="326" customWidth="1"/>
    <col min="9996" max="9996" width="14.375" style="326" customWidth="1"/>
    <col min="9997" max="9997" width="10" style="326" customWidth="1"/>
    <col min="9998" max="9998" width="10.875" style="326" customWidth="1"/>
    <col min="9999" max="9999" width="11.375" style="326" customWidth="1"/>
    <col min="10000" max="10000" width="15.375" style="326" customWidth="1"/>
    <col min="10001" max="10002" width="10.75" style="326" customWidth="1"/>
    <col min="10003" max="10003" width="14.375" style="326" customWidth="1"/>
    <col min="10004" max="10004" width="10.75" style="326" customWidth="1"/>
    <col min="10005" max="10005" width="11.75" style="326" customWidth="1"/>
    <col min="10006" max="10006" width="10" style="326" customWidth="1"/>
    <col min="10007" max="10007" width="15.375" style="326" customWidth="1"/>
    <col min="10008" max="10008" width="10" style="326" customWidth="1"/>
    <col min="10009" max="10009" width="10.75" style="326" customWidth="1"/>
    <col min="10010" max="10010" width="14.875" style="326" customWidth="1"/>
    <col min="10011" max="10011" width="11.5" style="326" customWidth="1"/>
    <col min="10012" max="10012" width="10" style="326" customWidth="1"/>
    <col min="10013" max="10013" width="10.75" style="326" customWidth="1"/>
    <col min="10014" max="10014" width="13.5" style="326" customWidth="1"/>
    <col min="10015" max="10015" width="9" style="326"/>
    <col min="10016" max="10016" width="10.75" style="326" bestFit="1" customWidth="1"/>
    <col min="10017" max="10017" width="13.75" style="326" customWidth="1"/>
    <col min="10018" max="10018" width="9" style="326"/>
    <col min="10019" max="10019" width="10.625" style="326" customWidth="1"/>
    <col min="10020" max="10020" width="9" style="326"/>
    <col min="10021" max="10021" width="14.25" style="326" customWidth="1"/>
    <col min="10022" max="10022" width="10.75" style="326" bestFit="1" customWidth="1"/>
    <col min="10023" max="10023" width="11.625" style="326" customWidth="1"/>
    <col min="10024" max="10024" width="13.75" style="326" customWidth="1"/>
    <col min="10025" max="10025" width="10.625" style="326" customWidth="1"/>
    <col min="10026" max="10027" width="9" style="326"/>
    <col min="10028" max="10028" width="14.125" style="326" customWidth="1"/>
    <col min="10029" max="10029" width="11" style="326" customWidth="1"/>
    <col min="10030" max="10030" width="10.75" style="326" bestFit="1" customWidth="1"/>
    <col min="10031" max="10031" width="13.5" style="326" customWidth="1"/>
    <col min="10032" max="10033" width="9" style="326"/>
    <col min="10034" max="10034" width="10.75" style="326" bestFit="1" customWidth="1"/>
    <col min="10035" max="10035" width="14" style="326" customWidth="1"/>
    <col min="10036" max="10036" width="9" style="326"/>
    <col min="10037" max="10037" width="10.75" style="326" customWidth="1"/>
    <col min="10038" max="10038" width="12.75" style="326" customWidth="1"/>
    <col min="10039" max="10039" width="9" style="326"/>
    <col min="10040" max="10040" width="10.75" style="326" bestFit="1" customWidth="1"/>
    <col min="10041" max="10041" width="11.5" style="326" customWidth="1"/>
    <col min="10042" max="10042" width="13.625" style="326" customWidth="1"/>
    <col min="10043" max="10043" width="10.625" style="326" customWidth="1"/>
    <col min="10044" max="10044" width="10.75" style="326" bestFit="1" customWidth="1"/>
    <col min="10045" max="10045" width="12.375" style="326" customWidth="1"/>
    <col min="10046" max="10048" width="9" style="326"/>
    <col min="10049" max="10049" width="15.75" style="326" customWidth="1"/>
    <col min="10050" max="10050" width="9" style="326"/>
    <col min="10051" max="10051" width="10.75" style="326" bestFit="1" customWidth="1"/>
    <col min="10052" max="10052" width="12.625" style="326" customWidth="1"/>
    <col min="10053" max="10055" width="9" style="326"/>
    <col min="10056" max="10056" width="13.625" style="326" customWidth="1"/>
    <col min="10057" max="10057" width="9" style="326"/>
    <col min="10058" max="10058" width="10.75" style="326" bestFit="1" customWidth="1"/>
    <col min="10059" max="10059" width="12.5" style="326" customWidth="1"/>
    <col min="10060" max="10062" width="9" style="326"/>
    <col min="10063" max="10063" width="12.875" style="326" customWidth="1"/>
    <col min="10064" max="10064" width="9" style="326"/>
    <col min="10065" max="10065" width="10.75" style="326" bestFit="1" customWidth="1"/>
    <col min="10066" max="10066" width="13.875" style="326" customWidth="1"/>
    <col min="10067" max="10069" width="9" style="326"/>
    <col min="10070" max="10070" width="14.125" style="326" customWidth="1"/>
    <col min="10071" max="10071" width="9" style="326"/>
    <col min="10072" max="10072" width="10.75" style="326" bestFit="1" customWidth="1"/>
    <col min="10073" max="10073" width="13.25" style="326" customWidth="1"/>
    <col min="10074" max="10076" width="9" style="326"/>
    <col min="10077" max="10077" width="13.25" style="326" customWidth="1"/>
    <col min="10078" max="10078" width="9" style="326"/>
    <col min="10079" max="10079" width="10.75" style="326" bestFit="1" customWidth="1"/>
    <col min="10080" max="10080" width="13.875" style="326" customWidth="1"/>
    <col min="10081" max="10083" width="9" style="326"/>
    <col min="10084" max="10084" width="13.625" style="326" customWidth="1"/>
    <col min="10085" max="10085" width="9" style="326"/>
    <col min="10086" max="10086" width="10.75" style="326" bestFit="1" customWidth="1"/>
    <col min="10087" max="10087" width="13" style="326" customWidth="1"/>
    <col min="10088" max="10234" width="9" style="326"/>
    <col min="10235" max="10236" width="12.125" style="326" customWidth="1"/>
    <col min="10237" max="10239" width="13" style="326" customWidth="1"/>
    <col min="10240" max="10240" width="12.875" style="326" customWidth="1"/>
    <col min="10241" max="10241" width="13" style="326" customWidth="1"/>
    <col min="10242" max="10242" width="13.125" style="326" customWidth="1"/>
    <col min="10243" max="10244" width="12.125" style="326" customWidth="1"/>
    <col min="10245" max="10245" width="14.375" style="326" bestFit="1" customWidth="1"/>
    <col min="10246" max="10246" width="11" style="326" customWidth="1"/>
    <col min="10247" max="10247" width="10" style="326" customWidth="1"/>
    <col min="10248" max="10248" width="10.875" style="326" customWidth="1"/>
    <col min="10249" max="10249" width="13.75" style="326" customWidth="1"/>
    <col min="10250" max="10250" width="10" style="326" customWidth="1"/>
    <col min="10251" max="10251" width="13.25" style="326" customWidth="1"/>
    <col min="10252" max="10252" width="14.375" style="326" customWidth="1"/>
    <col min="10253" max="10253" width="10" style="326" customWidth="1"/>
    <col min="10254" max="10254" width="10.875" style="326" customWidth="1"/>
    <col min="10255" max="10255" width="11.375" style="326" customWidth="1"/>
    <col min="10256" max="10256" width="15.375" style="326" customWidth="1"/>
    <col min="10257" max="10258" width="10.75" style="326" customWidth="1"/>
    <col min="10259" max="10259" width="14.375" style="326" customWidth="1"/>
    <col min="10260" max="10260" width="10.75" style="326" customWidth="1"/>
    <col min="10261" max="10261" width="11.75" style="326" customWidth="1"/>
    <col min="10262" max="10262" width="10" style="326" customWidth="1"/>
    <col min="10263" max="10263" width="15.375" style="326" customWidth="1"/>
    <col min="10264" max="10264" width="10" style="326" customWidth="1"/>
    <col min="10265" max="10265" width="10.75" style="326" customWidth="1"/>
    <col min="10266" max="10266" width="14.875" style="326" customWidth="1"/>
    <col min="10267" max="10267" width="11.5" style="326" customWidth="1"/>
    <col min="10268" max="10268" width="10" style="326" customWidth="1"/>
    <col min="10269" max="10269" width="10.75" style="326" customWidth="1"/>
    <col min="10270" max="10270" width="13.5" style="326" customWidth="1"/>
    <col min="10271" max="10271" width="9" style="326"/>
    <col min="10272" max="10272" width="10.75" style="326" bestFit="1" customWidth="1"/>
    <col min="10273" max="10273" width="13.75" style="326" customWidth="1"/>
    <col min="10274" max="10274" width="9" style="326"/>
    <col min="10275" max="10275" width="10.625" style="326" customWidth="1"/>
    <col min="10276" max="10276" width="9" style="326"/>
    <col min="10277" max="10277" width="14.25" style="326" customWidth="1"/>
    <col min="10278" max="10278" width="10.75" style="326" bestFit="1" customWidth="1"/>
    <col min="10279" max="10279" width="11.625" style="326" customWidth="1"/>
    <col min="10280" max="10280" width="13.75" style="326" customWidth="1"/>
    <col min="10281" max="10281" width="10.625" style="326" customWidth="1"/>
    <col min="10282" max="10283" width="9" style="326"/>
    <col min="10284" max="10284" width="14.125" style="326" customWidth="1"/>
    <col min="10285" max="10285" width="11" style="326" customWidth="1"/>
    <col min="10286" max="10286" width="10.75" style="326" bestFit="1" customWidth="1"/>
    <col min="10287" max="10287" width="13.5" style="326" customWidth="1"/>
    <col min="10288" max="10289" width="9" style="326"/>
    <col min="10290" max="10290" width="10.75" style="326" bestFit="1" customWidth="1"/>
    <col min="10291" max="10291" width="14" style="326" customWidth="1"/>
    <col min="10292" max="10292" width="9" style="326"/>
    <col min="10293" max="10293" width="10.75" style="326" customWidth="1"/>
    <col min="10294" max="10294" width="12.75" style="326" customWidth="1"/>
    <col min="10295" max="10295" width="9" style="326"/>
    <col min="10296" max="10296" width="10.75" style="326" bestFit="1" customWidth="1"/>
    <col min="10297" max="10297" width="11.5" style="326" customWidth="1"/>
    <col min="10298" max="10298" width="13.625" style="326" customWidth="1"/>
    <col min="10299" max="10299" width="10.625" style="326" customWidth="1"/>
    <col min="10300" max="10300" width="10.75" style="326" bestFit="1" customWidth="1"/>
    <col min="10301" max="10301" width="12.375" style="326" customWidth="1"/>
    <col min="10302" max="10304" width="9" style="326"/>
    <col min="10305" max="10305" width="15.75" style="326" customWidth="1"/>
    <col min="10306" max="10306" width="9" style="326"/>
    <col min="10307" max="10307" width="10.75" style="326" bestFit="1" customWidth="1"/>
    <col min="10308" max="10308" width="12.625" style="326" customWidth="1"/>
    <col min="10309" max="10311" width="9" style="326"/>
    <col min="10312" max="10312" width="13.625" style="326" customWidth="1"/>
    <col min="10313" max="10313" width="9" style="326"/>
    <col min="10314" max="10314" width="10.75" style="326" bestFit="1" customWidth="1"/>
    <col min="10315" max="10315" width="12.5" style="326" customWidth="1"/>
    <col min="10316" max="10318" width="9" style="326"/>
    <col min="10319" max="10319" width="12.875" style="326" customWidth="1"/>
    <col min="10320" max="10320" width="9" style="326"/>
    <col min="10321" max="10321" width="10.75" style="326" bestFit="1" customWidth="1"/>
    <col min="10322" max="10322" width="13.875" style="326" customWidth="1"/>
    <col min="10323" max="10325" width="9" style="326"/>
    <col min="10326" max="10326" width="14.125" style="326" customWidth="1"/>
    <col min="10327" max="10327" width="9" style="326"/>
    <col min="10328" max="10328" width="10.75" style="326" bestFit="1" customWidth="1"/>
    <col min="10329" max="10329" width="13.25" style="326" customWidth="1"/>
    <col min="10330" max="10332" width="9" style="326"/>
    <col min="10333" max="10333" width="13.25" style="326" customWidth="1"/>
    <col min="10334" max="10334" width="9" style="326"/>
    <col min="10335" max="10335" width="10.75" style="326" bestFit="1" customWidth="1"/>
    <col min="10336" max="10336" width="13.875" style="326" customWidth="1"/>
    <col min="10337" max="10339" width="9" style="326"/>
    <col min="10340" max="10340" width="13.625" style="326" customWidth="1"/>
    <col min="10341" max="10341" width="9" style="326"/>
    <col min="10342" max="10342" width="10.75" style="326" bestFit="1" customWidth="1"/>
    <col min="10343" max="10343" width="13" style="326" customWidth="1"/>
    <col min="10344" max="10490" width="9" style="326"/>
    <col min="10491" max="10492" width="12.125" style="326" customWidth="1"/>
    <col min="10493" max="10495" width="13" style="326" customWidth="1"/>
    <col min="10496" max="10496" width="12.875" style="326" customWidth="1"/>
    <col min="10497" max="10497" width="13" style="326" customWidth="1"/>
    <col min="10498" max="10498" width="13.125" style="326" customWidth="1"/>
    <col min="10499" max="10500" width="12.125" style="326" customWidth="1"/>
    <col min="10501" max="10501" width="14.375" style="326" bestFit="1" customWidth="1"/>
    <col min="10502" max="10502" width="11" style="326" customWidth="1"/>
    <col min="10503" max="10503" width="10" style="326" customWidth="1"/>
    <col min="10504" max="10504" width="10.875" style="326" customWidth="1"/>
    <col min="10505" max="10505" width="13.75" style="326" customWidth="1"/>
    <col min="10506" max="10506" width="10" style="326" customWidth="1"/>
    <col min="10507" max="10507" width="13.25" style="326" customWidth="1"/>
    <col min="10508" max="10508" width="14.375" style="326" customWidth="1"/>
    <col min="10509" max="10509" width="10" style="326" customWidth="1"/>
    <col min="10510" max="10510" width="10.875" style="326" customWidth="1"/>
    <col min="10511" max="10511" width="11.375" style="326" customWidth="1"/>
    <col min="10512" max="10512" width="15.375" style="326" customWidth="1"/>
    <col min="10513" max="10514" width="10.75" style="326" customWidth="1"/>
    <col min="10515" max="10515" width="14.375" style="326" customWidth="1"/>
    <col min="10516" max="10516" width="10.75" style="326" customWidth="1"/>
    <col min="10517" max="10517" width="11.75" style="326" customWidth="1"/>
    <col min="10518" max="10518" width="10" style="326" customWidth="1"/>
    <col min="10519" max="10519" width="15.375" style="326" customWidth="1"/>
    <col min="10520" max="10520" width="10" style="326" customWidth="1"/>
    <col min="10521" max="10521" width="10.75" style="326" customWidth="1"/>
    <col min="10522" max="10522" width="14.875" style="326" customWidth="1"/>
    <col min="10523" max="10523" width="11.5" style="326" customWidth="1"/>
    <col min="10524" max="10524" width="10" style="326" customWidth="1"/>
    <col min="10525" max="10525" width="10.75" style="326" customWidth="1"/>
    <col min="10526" max="10526" width="13.5" style="326" customWidth="1"/>
    <col min="10527" max="10527" width="9" style="326"/>
    <col min="10528" max="10528" width="10.75" style="326" bestFit="1" customWidth="1"/>
    <col min="10529" max="10529" width="13.75" style="326" customWidth="1"/>
    <col min="10530" max="10530" width="9" style="326"/>
    <col min="10531" max="10531" width="10.625" style="326" customWidth="1"/>
    <col min="10532" max="10532" width="9" style="326"/>
    <col min="10533" max="10533" width="14.25" style="326" customWidth="1"/>
    <col min="10534" max="10534" width="10.75" style="326" bestFit="1" customWidth="1"/>
    <col min="10535" max="10535" width="11.625" style="326" customWidth="1"/>
    <col min="10536" max="10536" width="13.75" style="326" customWidth="1"/>
    <col min="10537" max="10537" width="10.625" style="326" customWidth="1"/>
    <col min="10538" max="10539" width="9" style="326"/>
    <col min="10540" max="10540" width="14.125" style="326" customWidth="1"/>
    <col min="10541" max="10541" width="11" style="326" customWidth="1"/>
    <col min="10542" max="10542" width="10.75" style="326" bestFit="1" customWidth="1"/>
    <col min="10543" max="10543" width="13.5" style="326" customWidth="1"/>
    <col min="10544" max="10545" width="9" style="326"/>
    <col min="10546" max="10546" width="10.75" style="326" bestFit="1" customWidth="1"/>
    <col min="10547" max="10547" width="14" style="326" customWidth="1"/>
    <col min="10548" max="10548" width="9" style="326"/>
    <col min="10549" max="10549" width="10.75" style="326" customWidth="1"/>
    <col min="10550" max="10550" width="12.75" style="326" customWidth="1"/>
    <col min="10551" max="10551" width="9" style="326"/>
    <col min="10552" max="10552" width="10.75" style="326" bestFit="1" customWidth="1"/>
    <col min="10553" max="10553" width="11.5" style="326" customWidth="1"/>
    <col min="10554" max="10554" width="13.625" style="326" customWidth="1"/>
    <col min="10555" max="10555" width="10.625" style="326" customWidth="1"/>
    <col min="10556" max="10556" width="10.75" style="326" bestFit="1" customWidth="1"/>
    <col min="10557" max="10557" width="12.375" style="326" customWidth="1"/>
    <col min="10558" max="10560" width="9" style="326"/>
    <col min="10561" max="10561" width="15.75" style="326" customWidth="1"/>
    <col min="10562" max="10562" width="9" style="326"/>
    <col min="10563" max="10563" width="10.75" style="326" bestFit="1" customWidth="1"/>
    <col min="10564" max="10564" width="12.625" style="326" customWidth="1"/>
    <col min="10565" max="10567" width="9" style="326"/>
    <col min="10568" max="10568" width="13.625" style="326" customWidth="1"/>
    <col min="10569" max="10569" width="9" style="326"/>
    <col min="10570" max="10570" width="10.75" style="326" bestFit="1" customWidth="1"/>
    <col min="10571" max="10571" width="12.5" style="326" customWidth="1"/>
    <col min="10572" max="10574" width="9" style="326"/>
    <col min="10575" max="10575" width="12.875" style="326" customWidth="1"/>
    <col min="10576" max="10576" width="9" style="326"/>
    <col min="10577" max="10577" width="10.75" style="326" bestFit="1" customWidth="1"/>
    <col min="10578" max="10578" width="13.875" style="326" customWidth="1"/>
    <col min="10579" max="10581" width="9" style="326"/>
    <col min="10582" max="10582" width="14.125" style="326" customWidth="1"/>
    <col min="10583" max="10583" width="9" style="326"/>
    <col min="10584" max="10584" width="10.75" style="326" bestFit="1" customWidth="1"/>
    <col min="10585" max="10585" width="13.25" style="326" customWidth="1"/>
    <col min="10586" max="10588" width="9" style="326"/>
    <col min="10589" max="10589" width="13.25" style="326" customWidth="1"/>
    <col min="10590" max="10590" width="9" style="326"/>
    <col min="10591" max="10591" width="10.75" style="326" bestFit="1" customWidth="1"/>
    <col min="10592" max="10592" width="13.875" style="326" customWidth="1"/>
    <col min="10593" max="10595" width="9" style="326"/>
    <col min="10596" max="10596" width="13.625" style="326" customWidth="1"/>
    <col min="10597" max="10597" width="9" style="326"/>
    <col min="10598" max="10598" width="10.75" style="326" bestFit="1" customWidth="1"/>
    <col min="10599" max="10599" width="13" style="326" customWidth="1"/>
    <col min="10600" max="10746" width="9" style="326"/>
    <col min="10747" max="10748" width="12.125" style="326" customWidth="1"/>
    <col min="10749" max="10751" width="13" style="326" customWidth="1"/>
    <col min="10752" max="10752" width="12.875" style="326" customWidth="1"/>
    <col min="10753" max="10753" width="13" style="326" customWidth="1"/>
    <col min="10754" max="10754" width="13.125" style="326" customWidth="1"/>
    <col min="10755" max="10756" width="12.125" style="326" customWidth="1"/>
    <col min="10757" max="10757" width="14.375" style="326" bestFit="1" customWidth="1"/>
    <col min="10758" max="10758" width="11" style="326" customWidth="1"/>
    <col min="10759" max="10759" width="10" style="326" customWidth="1"/>
    <col min="10760" max="10760" width="10.875" style="326" customWidth="1"/>
    <col min="10761" max="10761" width="13.75" style="326" customWidth="1"/>
    <col min="10762" max="10762" width="10" style="326" customWidth="1"/>
    <col min="10763" max="10763" width="13.25" style="326" customWidth="1"/>
    <col min="10764" max="10764" width="14.375" style="326" customWidth="1"/>
    <col min="10765" max="10765" width="10" style="326" customWidth="1"/>
    <col min="10766" max="10766" width="10.875" style="326" customWidth="1"/>
    <col min="10767" max="10767" width="11.375" style="326" customWidth="1"/>
    <col min="10768" max="10768" width="15.375" style="326" customWidth="1"/>
    <col min="10769" max="10770" width="10.75" style="326" customWidth="1"/>
    <col min="10771" max="10771" width="14.375" style="326" customWidth="1"/>
    <col min="10772" max="10772" width="10.75" style="326" customWidth="1"/>
    <col min="10773" max="10773" width="11.75" style="326" customWidth="1"/>
    <col min="10774" max="10774" width="10" style="326" customWidth="1"/>
    <col min="10775" max="10775" width="15.375" style="326" customWidth="1"/>
    <col min="10776" max="10776" width="10" style="326" customWidth="1"/>
    <col min="10777" max="10777" width="10.75" style="326" customWidth="1"/>
    <col min="10778" max="10778" width="14.875" style="326" customWidth="1"/>
    <col min="10779" max="10779" width="11.5" style="326" customWidth="1"/>
    <col min="10780" max="10780" width="10" style="326" customWidth="1"/>
    <col min="10781" max="10781" width="10.75" style="326" customWidth="1"/>
    <col min="10782" max="10782" width="13.5" style="326" customWidth="1"/>
    <col min="10783" max="10783" width="9" style="326"/>
    <col min="10784" max="10784" width="10.75" style="326" bestFit="1" customWidth="1"/>
    <col min="10785" max="10785" width="13.75" style="326" customWidth="1"/>
    <col min="10786" max="10786" width="9" style="326"/>
    <col min="10787" max="10787" width="10.625" style="326" customWidth="1"/>
    <col min="10788" max="10788" width="9" style="326"/>
    <col min="10789" max="10789" width="14.25" style="326" customWidth="1"/>
    <col min="10790" max="10790" width="10.75" style="326" bestFit="1" customWidth="1"/>
    <col min="10791" max="10791" width="11.625" style="326" customWidth="1"/>
    <col min="10792" max="10792" width="13.75" style="326" customWidth="1"/>
    <col min="10793" max="10793" width="10.625" style="326" customWidth="1"/>
    <col min="10794" max="10795" width="9" style="326"/>
    <col min="10796" max="10796" width="14.125" style="326" customWidth="1"/>
    <col min="10797" max="10797" width="11" style="326" customWidth="1"/>
    <col min="10798" max="10798" width="10.75" style="326" bestFit="1" customWidth="1"/>
    <col min="10799" max="10799" width="13.5" style="326" customWidth="1"/>
    <col min="10800" max="10801" width="9" style="326"/>
    <col min="10802" max="10802" width="10.75" style="326" bestFit="1" customWidth="1"/>
    <col min="10803" max="10803" width="14" style="326" customWidth="1"/>
    <col min="10804" max="10804" width="9" style="326"/>
    <col min="10805" max="10805" width="10.75" style="326" customWidth="1"/>
    <col min="10806" max="10806" width="12.75" style="326" customWidth="1"/>
    <col min="10807" max="10807" width="9" style="326"/>
    <col min="10808" max="10808" width="10.75" style="326" bestFit="1" customWidth="1"/>
    <col min="10809" max="10809" width="11.5" style="326" customWidth="1"/>
    <col min="10810" max="10810" width="13.625" style="326" customWidth="1"/>
    <col min="10811" max="10811" width="10.625" style="326" customWidth="1"/>
    <col min="10812" max="10812" width="10.75" style="326" bestFit="1" customWidth="1"/>
    <col min="10813" max="10813" width="12.375" style="326" customWidth="1"/>
    <col min="10814" max="10816" width="9" style="326"/>
    <col min="10817" max="10817" width="15.75" style="326" customWidth="1"/>
    <col min="10818" max="10818" width="9" style="326"/>
    <col min="10819" max="10819" width="10.75" style="326" bestFit="1" customWidth="1"/>
    <col min="10820" max="10820" width="12.625" style="326" customWidth="1"/>
    <col min="10821" max="10823" width="9" style="326"/>
    <col min="10824" max="10824" width="13.625" style="326" customWidth="1"/>
    <col min="10825" max="10825" width="9" style="326"/>
    <col min="10826" max="10826" width="10.75" style="326" bestFit="1" customWidth="1"/>
    <col min="10827" max="10827" width="12.5" style="326" customWidth="1"/>
    <col min="10828" max="10830" width="9" style="326"/>
    <col min="10831" max="10831" width="12.875" style="326" customWidth="1"/>
    <col min="10832" max="10832" width="9" style="326"/>
    <col min="10833" max="10833" width="10.75" style="326" bestFit="1" customWidth="1"/>
    <col min="10834" max="10834" width="13.875" style="326" customWidth="1"/>
    <col min="10835" max="10837" width="9" style="326"/>
    <col min="10838" max="10838" width="14.125" style="326" customWidth="1"/>
    <col min="10839" max="10839" width="9" style="326"/>
    <col min="10840" max="10840" width="10.75" style="326" bestFit="1" customWidth="1"/>
    <col min="10841" max="10841" width="13.25" style="326" customWidth="1"/>
    <col min="10842" max="10844" width="9" style="326"/>
    <col min="10845" max="10845" width="13.25" style="326" customWidth="1"/>
    <col min="10846" max="10846" width="9" style="326"/>
    <col min="10847" max="10847" width="10.75" style="326" bestFit="1" customWidth="1"/>
    <col min="10848" max="10848" width="13.875" style="326" customWidth="1"/>
    <col min="10849" max="10851" width="9" style="326"/>
    <col min="10852" max="10852" width="13.625" style="326" customWidth="1"/>
    <col min="10853" max="10853" width="9" style="326"/>
    <col min="10854" max="10854" width="10.75" style="326" bestFit="1" customWidth="1"/>
    <col min="10855" max="10855" width="13" style="326" customWidth="1"/>
    <col min="10856" max="11002" width="9" style="326"/>
    <col min="11003" max="11004" width="12.125" style="326" customWidth="1"/>
    <col min="11005" max="11007" width="13" style="326" customWidth="1"/>
    <col min="11008" max="11008" width="12.875" style="326" customWidth="1"/>
    <col min="11009" max="11009" width="13" style="326" customWidth="1"/>
    <col min="11010" max="11010" width="13.125" style="326" customWidth="1"/>
    <col min="11011" max="11012" width="12.125" style="326" customWidth="1"/>
    <col min="11013" max="11013" width="14.375" style="326" bestFit="1" customWidth="1"/>
    <col min="11014" max="11014" width="11" style="326" customWidth="1"/>
    <col min="11015" max="11015" width="10" style="326" customWidth="1"/>
    <col min="11016" max="11016" width="10.875" style="326" customWidth="1"/>
    <col min="11017" max="11017" width="13.75" style="326" customWidth="1"/>
    <col min="11018" max="11018" width="10" style="326" customWidth="1"/>
    <col min="11019" max="11019" width="13.25" style="326" customWidth="1"/>
    <col min="11020" max="11020" width="14.375" style="326" customWidth="1"/>
    <col min="11021" max="11021" width="10" style="326" customWidth="1"/>
    <col min="11022" max="11022" width="10.875" style="326" customWidth="1"/>
    <col min="11023" max="11023" width="11.375" style="326" customWidth="1"/>
    <col min="11024" max="11024" width="15.375" style="326" customWidth="1"/>
    <col min="11025" max="11026" width="10.75" style="326" customWidth="1"/>
    <col min="11027" max="11027" width="14.375" style="326" customWidth="1"/>
    <col min="11028" max="11028" width="10.75" style="326" customWidth="1"/>
    <col min="11029" max="11029" width="11.75" style="326" customWidth="1"/>
    <col min="11030" max="11030" width="10" style="326" customWidth="1"/>
    <col min="11031" max="11031" width="15.375" style="326" customWidth="1"/>
    <col min="11032" max="11032" width="10" style="326" customWidth="1"/>
    <col min="11033" max="11033" width="10.75" style="326" customWidth="1"/>
    <col min="11034" max="11034" width="14.875" style="326" customWidth="1"/>
    <col min="11035" max="11035" width="11.5" style="326" customWidth="1"/>
    <col min="11036" max="11036" width="10" style="326" customWidth="1"/>
    <col min="11037" max="11037" width="10.75" style="326" customWidth="1"/>
    <col min="11038" max="11038" width="13.5" style="326" customWidth="1"/>
    <col min="11039" max="11039" width="9" style="326"/>
    <col min="11040" max="11040" width="10.75" style="326" bestFit="1" customWidth="1"/>
    <col min="11041" max="11041" width="13.75" style="326" customWidth="1"/>
    <col min="11042" max="11042" width="9" style="326"/>
    <col min="11043" max="11043" width="10.625" style="326" customWidth="1"/>
    <col min="11044" max="11044" width="9" style="326"/>
    <col min="11045" max="11045" width="14.25" style="326" customWidth="1"/>
    <col min="11046" max="11046" width="10.75" style="326" bestFit="1" customWidth="1"/>
    <col min="11047" max="11047" width="11.625" style="326" customWidth="1"/>
    <col min="11048" max="11048" width="13.75" style="326" customWidth="1"/>
    <col min="11049" max="11049" width="10.625" style="326" customWidth="1"/>
    <col min="11050" max="11051" width="9" style="326"/>
    <col min="11052" max="11052" width="14.125" style="326" customWidth="1"/>
    <col min="11053" max="11053" width="11" style="326" customWidth="1"/>
    <col min="11054" max="11054" width="10.75" style="326" bestFit="1" customWidth="1"/>
    <col min="11055" max="11055" width="13.5" style="326" customWidth="1"/>
    <col min="11056" max="11057" width="9" style="326"/>
    <col min="11058" max="11058" width="10.75" style="326" bestFit="1" customWidth="1"/>
    <col min="11059" max="11059" width="14" style="326" customWidth="1"/>
    <col min="11060" max="11060" width="9" style="326"/>
    <col min="11061" max="11061" width="10.75" style="326" customWidth="1"/>
    <col min="11062" max="11062" width="12.75" style="326" customWidth="1"/>
    <col min="11063" max="11063" width="9" style="326"/>
    <col min="11064" max="11064" width="10.75" style="326" bestFit="1" customWidth="1"/>
    <col min="11065" max="11065" width="11.5" style="326" customWidth="1"/>
    <col min="11066" max="11066" width="13.625" style="326" customWidth="1"/>
    <col min="11067" max="11067" width="10.625" style="326" customWidth="1"/>
    <col min="11068" max="11068" width="10.75" style="326" bestFit="1" customWidth="1"/>
    <col min="11069" max="11069" width="12.375" style="326" customWidth="1"/>
    <col min="11070" max="11072" width="9" style="326"/>
    <col min="11073" max="11073" width="15.75" style="326" customWidth="1"/>
    <col min="11074" max="11074" width="9" style="326"/>
    <col min="11075" max="11075" width="10.75" style="326" bestFit="1" customWidth="1"/>
    <col min="11076" max="11076" width="12.625" style="326" customWidth="1"/>
    <col min="11077" max="11079" width="9" style="326"/>
    <col min="11080" max="11080" width="13.625" style="326" customWidth="1"/>
    <col min="11081" max="11081" width="9" style="326"/>
    <col min="11082" max="11082" width="10.75" style="326" bestFit="1" customWidth="1"/>
    <col min="11083" max="11083" width="12.5" style="326" customWidth="1"/>
    <col min="11084" max="11086" width="9" style="326"/>
    <col min="11087" max="11087" width="12.875" style="326" customWidth="1"/>
    <col min="11088" max="11088" width="9" style="326"/>
    <col min="11089" max="11089" width="10.75" style="326" bestFit="1" customWidth="1"/>
    <col min="11090" max="11090" width="13.875" style="326" customWidth="1"/>
    <col min="11091" max="11093" width="9" style="326"/>
    <col min="11094" max="11094" width="14.125" style="326" customWidth="1"/>
    <col min="11095" max="11095" width="9" style="326"/>
    <col min="11096" max="11096" width="10.75" style="326" bestFit="1" customWidth="1"/>
    <col min="11097" max="11097" width="13.25" style="326" customWidth="1"/>
    <col min="11098" max="11100" width="9" style="326"/>
    <col min="11101" max="11101" width="13.25" style="326" customWidth="1"/>
    <col min="11102" max="11102" width="9" style="326"/>
    <col min="11103" max="11103" width="10.75" style="326" bestFit="1" customWidth="1"/>
    <col min="11104" max="11104" width="13.875" style="326" customWidth="1"/>
    <col min="11105" max="11107" width="9" style="326"/>
    <col min="11108" max="11108" width="13.625" style="326" customWidth="1"/>
    <col min="11109" max="11109" width="9" style="326"/>
    <col min="11110" max="11110" width="10.75" style="326" bestFit="1" customWidth="1"/>
    <col min="11111" max="11111" width="13" style="326" customWidth="1"/>
    <col min="11112" max="11258" width="9" style="326"/>
    <col min="11259" max="11260" width="12.125" style="326" customWidth="1"/>
    <col min="11261" max="11263" width="13" style="326" customWidth="1"/>
    <col min="11264" max="11264" width="12.875" style="326" customWidth="1"/>
    <col min="11265" max="11265" width="13" style="326" customWidth="1"/>
    <col min="11266" max="11266" width="13.125" style="326" customWidth="1"/>
    <col min="11267" max="11268" width="12.125" style="326" customWidth="1"/>
    <col min="11269" max="11269" width="14.375" style="326" bestFit="1" customWidth="1"/>
    <col min="11270" max="11270" width="11" style="326" customWidth="1"/>
    <col min="11271" max="11271" width="10" style="326" customWidth="1"/>
    <col min="11272" max="11272" width="10.875" style="326" customWidth="1"/>
    <col min="11273" max="11273" width="13.75" style="326" customWidth="1"/>
    <col min="11274" max="11274" width="10" style="326" customWidth="1"/>
    <col min="11275" max="11275" width="13.25" style="326" customWidth="1"/>
    <col min="11276" max="11276" width="14.375" style="326" customWidth="1"/>
    <col min="11277" max="11277" width="10" style="326" customWidth="1"/>
    <col min="11278" max="11278" width="10.875" style="326" customWidth="1"/>
    <col min="11279" max="11279" width="11.375" style="326" customWidth="1"/>
    <col min="11280" max="11280" width="15.375" style="326" customWidth="1"/>
    <col min="11281" max="11282" width="10.75" style="326" customWidth="1"/>
    <col min="11283" max="11283" width="14.375" style="326" customWidth="1"/>
    <col min="11284" max="11284" width="10.75" style="326" customWidth="1"/>
    <col min="11285" max="11285" width="11.75" style="326" customWidth="1"/>
    <col min="11286" max="11286" width="10" style="326" customWidth="1"/>
    <col min="11287" max="11287" width="15.375" style="326" customWidth="1"/>
    <col min="11288" max="11288" width="10" style="326" customWidth="1"/>
    <col min="11289" max="11289" width="10.75" style="326" customWidth="1"/>
    <col min="11290" max="11290" width="14.875" style="326" customWidth="1"/>
    <col min="11291" max="11291" width="11.5" style="326" customWidth="1"/>
    <col min="11292" max="11292" width="10" style="326" customWidth="1"/>
    <col min="11293" max="11293" width="10.75" style="326" customWidth="1"/>
    <col min="11294" max="11294" width="13.5" style="326" customWidth="1"/>
    <col min="11295" max="11295" width="9" style="326"/>
    <col min="11296" max="11296" width="10.75" style="326" bestFit="1" customWidth="1"/>
    <col min="11297" max="11297" width="13.75" style="326" customWidth="1"/>
    <col min="11298" max="11298" width="9" style="326"/>
    <col min="11299" max="11299" width="10.625" style="326" customWidth="1"/>
    <col min="11300" max="11300" width="9" style="326"/>
    <col min="11301" max="11301" width="14.25" style="326" customWidth="1"/>
    <col min="11302" max="11302" width="10.75" style="326" bestFit="1" customWidth="1"/>
    <col min="11303" max="11303" width="11.625" style="326" customWidth="1"/>
    <col min="11304" max="11304" width="13.75" style="326" customWidth="1"/>
    <col min="11305" max="11305" width="10.625" style="326" customWidth="1"/>
    <col min="11306" max="11307" width="9" style="326"/>
    <col min="11308" max="11308" width="14.125" style="326" customWidth="1"/>
    <col min="11309" max="11309" width="11" style="326" customWidth="1"/>
    <col min="11310" max="11310" width="10.75" style="326" bestFit="1" customWidth="1"/>
    <col min="11311" max="11311" width="13.5" style="326" customWidth="1"/>
    <col min="11312" max="11313" width="9" style="326"/>
    <col min="11314" max="11314" width="10.75" style="326" bestFit="1" customWidth="1"/>
    <col min="11315" max="11315" width="14" style="326" customWidth="1"/>
    <col min="11316" max="11316" width="9" style="326"/>
    <col min="11317" max="11317" width="10.75" style="326" customWidth="1"/>
    <col min="11318" max="11318" width="12.75" style="326" customWidth="1"/>
    <col min="11319" max="11319" width="9" style="326"/>
    <col min="11320" max="11320" width="10.75" style="326" bestFit="1" customWidth="1"/>
    <col min="11321" max="11321" width="11.5" style="326" customWidth="1"/>
    <col min="11322" max="11322" width="13.625" style="326" customWidth="1"/>
    <col min="11323" max="11323" width="10.625" style="326" customWidth="1"/>
    <col min="11324" max="11324" width="10.75" style="326" bestFit="1" customWidth="1"/>
    <col min="11325" max="11325" width="12.375" style="326" customWidth="1"/>
    <col min="11326" max="11328" width="9" style="326"/>
    <col min="11329" max="11329" width="15.75" style="326" customWidth="1"/>
    <col min="11330" max="11330" width="9" style="326"/>
    <col min="11331" max="11331" width="10.75" style="326" bestFit="1" customWidth="1"/>
    <col min="11332" max="11332" width="12.625" style="326" customWidth="1"/>
    <col min="11333" max="11335" width="9" style="326"/>
    <col min="11336" max="11336" width="13.625" style="326" customWidth="1"/>
    <col min="11337" max="11337" width="9" style="326"/>
    <col min="11338" max="11338" width="10.75" style="326" bestFit="1" customWidth="1"/>
    <col min="11339" max="11339" width="12.5" style="326" customWidth="1"/>
    <col min="11340" max="11342" width="9" style="326"/>
    <col min="11343" max="11343" width="12.875" style="326" customWidth="1"/>
    <col min="11344" max="11344" width="9" style="326"/>
    <col min="11345" max="11345" width="10.75" style="326" bestFit="1" customWidth="1"/>
    <col min="11346" max="11346" width="13.875" style="326" customWidth="1"/>
    <col min="11347" max="11349" width="9" style="326"/>
    <col min="11350" max="11350" width="14.125" style="326" customWidth="1"/>
    <col min="11351" max="11351" width="9" style="326"/>
    <col min="11352" max="11352" width="10.75" style="326" bestFit="1" customWidth="1"/>
    <col min="11353" max="11353" width="13.25" style="326" customWidth="1"/>
    <col min="11354" max="11356" width="9" style="326"/>
    <col min="11357" max="11357" width="13.25" style="326" customWidth="1"/>
    <col min="11358" max="11358" width="9" style="326"/>
    <col min="11359" max="11359" width="10.75" style="326" bestFit="1" customWidth="1"/>
    <col min="11360" max="11360" width="13.875" style="326" customWidth="1"/>
    <col min="11361" max="11363" width="9" style="326"/>
    <col min="11364" max="11364" width="13.625" style="326" customWidth="1"/>
    <col min="11365" max="11365" width="9" style="326"/>
    <col min="11366" max="11366" width="10.75" style="326" bestFit="1" customWidth="1"/>
    <col min="11367" max="11367" width="13" style="326" customWidth="1"/>
    <col min="11368" max="11514" width="9" style="326"/>
    <col min="11515" max="11516" width="12.125" style="326" customWidth="1"/>
    <col min="11517" max="11519" width="13" style="326" customWidth="1"/>
    <col min="11520" max="11520" width="12.875" style="326" customWidth="1"/>
    <col min="11521" max="11521" width="13" style="326" customWidth="1"/>
    <col min="11522" max="11522" width="13.125" style="326" customWidth="1"/>
    <col min="11523" max="11524" width="12.125" style="326" customWidth="1"/>
    <col min="11525" max="11525" width="14.375" style="326" bestFit="1" customWidth="1"/>
    <col min="11526" max="11526" width="11" style="326" customWidth="1"/>
    <col min="11527" max="11527" width="10" style="326" customWidth="1"/>
    <col min="11528" max="11528" width="10.875" style="326" customWidth="1"/>
    <col min="11529" max="11529" width="13.75" style="326" customWidth="1"/>
    <col min="11530" max="11530" width="10" style="326" customWidth="1"/>
    <col min="11531" max="11531" width="13.25" style="326" customWidth="1"/>
    <col min="11532" max="11532" width="14.375" style="326" customWidth="1"/>
    <col min="11533" max="11533" width="10" style="326" customWidth="1"/>
    <col min="11534" max="11534" width="10.875" style="326" customWidth="1"/>
    <col min="11535" max="11535" width="11.375" style="326" customWidth="1"/>
    <col min="11536" max="11536" width="15.375" style="326" customWidth="1"/>
    <col min="11537" max="11538" width="10.75" style="326" customWidth="1"/>
    <col min="11539" max="11539" width="14.375" style="326" customWidth="1"/>
    <col min="11540" max="11540" width="10.75" style="326" customWidth="1"/>
    <col min="11541" max="11541" width="11.75" style="326" customWidth="1"/>
    <col min="11542" max="11542" width="10" style="326" customWidth="1"/>
    <col min="11543" max="11543" width="15.375" style="326" customWidth="1"/>
    <col min="11544" max="11544" width="10" style="326" customWidth="1"/>
    <col min="11545" max="11545" width="10.75" style="326" customWidth="1"/>
    <col min="11546" max="11546" width="14.875" style="326" customWidth="1"/>
    <col min="11547" max="11547" width="11.5" style="326" customWidth="1"/>
    <col min="11548" max="11548" width="10" style="326" customWidth="1"/>
    <col min="11549" max="11549" width="10.75" style="326" customWidth="1"/>
    <col min="11550" max="11550" width="13.5" style="326" customWidth="1"/>
    <col min="11551" max="11551" width="9" style="326"/>
    <col min="11552" max="11552" width="10.75" style="326" bestFit="1" customWidth="1"/>
    <col min="11553" max="11553" width="13.75" style="326" customWidth="1"/>
    <col min="11554" max="11554" width="9" style="326"/>
    <col min="11555" max="11555" width="10.625" style="326" customWidth="1"/>
    <col min="11556" max="11556" width="9" style="326"/>
    <col min="11557" max="11557" width="14.25" style="326" customWidth="1"/>
    <col min="11558" max="11558" width="10.75" style="326" bestFit="1" customWidth="1"/>
    <col min="11559" max="11559" width="11.625" style="326" customWidth="1"/>
    <col min="11560" max="11560" width="13.75" style="326" customWidth="1"/>
    <col min="11561" max="11561" width="10.625" style="326" customWidth="1"/>
    <col min="11562" max="11563" width="9" style="326"/>
    <col min="11564" max="11564" width="14.125" style="326" customWidth="1"/>
    <col min="11565" max="11565" width="11" style="326" customWidth="1"/>
    <col min="11566" max="11566" width="10.75" style="326" bestFit="1" customWidth="1"/>
    <col min="11567" max="11567" width="13.5" style="326" customWidth="1"/>
    <col min="11568" max="11569" width="9" style="326"/>
    <col min="11570" max="11570" width="10.75" style="326" bestFit="1" customWidth="1"/>
    <col min="11571" max="11571" width="14" style="326" customWidth="1"/>
    <col min="11572" max="11572" width="9" style="326"/>
    <col min="11573" max="11573" width="10.75" style="326" customWidth="1"/>
    <col min="11574" max="11574" width="12.75" style="326" customWidth="1"/>
    <col min="11575" max="11575" width="9" style="326"/>
    <col min="11576" max="11576" width="10.75" style="326" bestFit="1" customWidth="1"/>
    <col min="11577" max="11577" width="11.5" style="326" customWidth="1"/>
    <col min="11578" max="11578" width="13.625" style="326" customWidth="1"/>
    <col min="11579" max="11579" width="10.625" style="326" customWidth="1"/>
    <col min="11580" max="11580" width="10.75" style="326" bestFit="1" customWidth="1"/>
    <col min="11581" max="11581" width="12.375" style="326" customWidth="1"/>
    <col min="11582" max="11584" width="9" style="326"/>
    <col min="11585" max="11585" width="15.75" style="326" customWidth="1"/>
    <col min="11586" max="11586" width="9" style="326"/>
    <col min="11587" max="11587" width="10.75" style="326" bestFit="1" customWidth="1"/>
    <col min="11588" max="11588" width="12.625" style="326" customWidth="1"/>
    <col min="11589" max="11591" width="9" style="326"/>
    <col min="11592" max="11592" width="13.625" style="326" customWidth="1"/>
    <col min="11593" max="11593" width="9" style="326"/>
    <col min="11594" max="11594" width="10.75" style="326" bestFit="1" customWidth="1"/>
    <col min="11595" max="11595" width="12.5" style="326" customWidth="1"/>
    <col min="11596" max="11598" width="9" style="326"/>
    <col min="11599" max="11599" width="12.875" style="326" customWidth="1"/>
    <col min="11600" max="11600" width="9" style="326"/>
    <col min="11601" max="11601" width="10.75" style="326" bestFit="1" customWidth="1"/>
    <col min="11602" max="11602" width="13.875" style="326" customWidth="1"/>
    <col min="11603" max="11605" width="9" style="326"/>
    <col min="11606" max="11606" width="14.125" style="326" customWidth="1"/>
    <col min="11607" max="11607" width="9" style="326"/>
    <col min="11608" max="11608" width="10.75" style="326" bestFit="1" customWidth="1"/>
    <col min="11609" max="11609" width="13.25" style="326" customWidth="1"/>
    <col min="11610" max="11612" width="9" style="326"/>
    <col min="11613" max="11613" width="13.25" style="326" customWidth="1"/>
    <col min="11614" max="11614" width="9" style="326"/>
    <col min="11615" max="11615" width="10.75" style="326" bestFit="1" customWidth="1"/>
    <col min="11616" max="11616" width="13.875" style="326" customWidth="1"/>
    <col min="11617" max="11619" width="9" style="326"/>
    <col min="11620" max="11620" width="13.625" style="326" customWidth="1"/>
    <col min="11621" max="11621" width="9" style="326"/>
    <col min="11622" max="11622" width="10.75" style="326" bestFit="1" customWidth="1"/>
    <col min="11623" max="11623" width="13" style="326" customWidth="1"/>
    <col min="11624" max="11770" width="9" style="326"/>
    <col min="11771" max="11772" width="12.125" style="326" customWidth="1"/>
    <col min="11773" max="11775" width="13" style="326" customWidth="1"/>
    <col min="11776" max="11776" width="12.875" style="326" customWidth="1"/>
    <col min="11777" max="11777" width="13" style="326" customWidth="1"/>
    <col min="11778" max="11778" width="13.125" style="326" customWidth="1"/>
    <col min="11779" max="11780" width="12.125" style="326" customWidth="1"/>
    <col min="11781" max="11781" width="14.375" style="326" bestFit="1" customWidth="1"/>
    <col min="11782" max="11782" width="11" style="326" customWidth="1"/>
    <col min="11783" max="11783" width="10" style="326" customWidth="1"/>
    <col min="11784" max="11784" width="10.875" style="326" customWidth="1"/>
    <col min="11785" max="11785" width="13.75" style="326" customWidth="1"/>
    <col min="11786" max="11786" width="10" style="326" customWidth="1"/>
    <col min="11787" max="11787" width="13.25" style="326" customWidth="1"/>
    <col min="11788" max="11788" width="14.375" style="326" customWidth="1"/>
    <col min="11789" max="11789" width="10" style="326" customWidth="1"/>
    <col min="11790" max="11790" width="10.875" style="326" customWidth="1"/>
    <col min="11791" max="11791" width="11.375" style="326" customWidth="1"/>
    <col min="11792" max="11792" width="15.375" style="326" customWidth="1"/>
    <col min="11793" max="11794" width="10.75" style="326" customWidth="1"/>
    <col min="11795" max="11795" width="14.375" style="326" customWidth="1"/>
    <col min="11796" max="11796" width="10.75" style="326" customWidth="1"/>
    <col min="11797" max="11797" width="11.75" style="326" customWidth="1"/>
    <col min="11798" max="11798" width="10" style="326" customWidth="1"/>
    <col min="11799" max="11799" width="15.375" style="326" customWidth="1"/>
    <col min="11800" max="11800" width="10" style="326" customWidth="1"/>
    <col min="11801" max="11801" width="10.75" style="326" customWidth="1"/>
    <col min="11802" max="11802" width="14.875" style="326" customWidth="1"/>
    <col min="11803" max="11803" width="11.5" style="326" customWidth="1"/>
    <col min="11804" max="11804" width="10" style="326" customWidth="1"/>
    <col min="11805" max="11805" width="10.75" style="326" customWidth="1"/>
    <col min="11806" max="11806" width="13.5" style="326" customWidth="1"/>
    <col min="11807" max="11807" width="9" style="326"/>
    <col min="11808" max="11808" width="10.75" style="326" bestFit="1" customWidth="1"/>
    <col min="11809" max="11809" width="13.75" style="326" customWidth="1"/>
    <col min="11810" max="11810" width="9" style="326"/>
    <col min="11811" max="11811" width="10.625" style="326" customWidth="1"/>
    <col min="11812" max="11812" width="9" style="326"/>
    <col min="11813" max="11813" width="14.25" style="326" customWidth="1"/>
    <col min="11814" max="11814" width="10.75" style="326" bestFit="1" customWidth="1"/>
    <col min="11815" max="11815" width="11.625" style="326" customWidth="1"/>
    <col min="11816" max="11816" width="13.75" style="326" customWidth="1"/>
    <col min="11817" max="11817" width="10.625" style="326" customWidth="1"/>
    <col min="11818" max="11819" width="9" style="326"/>
    <col min="11820" max="11820" width="14.125" style="326" customWidth="1"/>
    <col min="11821" max="11821" width="11" style="326" customWidth="1"/>
    <col min="11822" max="11822" width="10.75" style="326" bestFit="1" customWidth="1"/>
    <col min="11823" max="11823" width="13.5" style="326" customWidth="1"/>
    <col min="11824" max="11825" width="9" style="326"/>
    <col min="11826" max="11826" width="10.75" style="326" bestFit="1" customWidth="1"/>
    <col min="11827" max="11827" width="14" style="326" customWidth="1"/>
    <col min="11828" max="11828" width="9" style="326"/>
    <col min="11829" max="11829" width="10.75" style="326" customWidth="1"/>
    <col min="11830" max="11830" width="12.75" style="326" customWidth="1"/>
    <col min="11831" max="11831" width="9" style="326"/>
    <col min="11832" max="11832" width="10.75" style="326" bestFit="1" customWidth="1"/>
    <col min="11833" max="11833" width="11.5" style="326" customWidth="1"/>
    <col min="11834" max="11834" width="13.625" style="326" customWidth="1"/>
    <col min="11835" max="11835" width="10.625" style="326" customWidth="1"/>
    <col min="11836" max="11836" width="10.75" style="326" bestFit="1" customWidth="1"/>
    <col min="11837" max="11837" width="12.375" style="326" customWidth="1"/>
    <col min="11838" max="11840" width="9" style="326"/>
    <col min="11841" max="11841" width="15.75" style="326" customWidth="1"/>
    <col min="11842" max="11842" width="9" style="326"/>
    <col min="11843" max="11843" width="10.75" style="326" bestFit="1" customWidth="1"/>
    <col min="11844" max="11844" width="12.625" style="326" customWidth="1"/>
    <col min="11845" max="11847" width="9" style="326"/>
    <col min="11848" max="11848" width="13.625" style="326" customWidth="1"/>
    <col min="11849" max="11849" width="9" style="326"/>
    <col min="11850" max="11850" width="10.75" style="326" bestFit="1" customWidth="1"/>
    <col min="11851" max="11851" width="12.5" style="326" customWidth="1"/>
    <col min="11852" max="11854" width="9" style="326"/>
    <col min="11855" max="11855" width="12.875" style="326" customWidth="1"/>
    <col min="11856" max="11856" width="9" style="326"/>
    <col min="11857" max="11857" width="10.75" style="326" bestFit="1" customWidth="1"/>
    <col min="11858" max="11858" width="13.875" style="326" customWidth="1"/>
    <col min="11859" max="11861" width="9" style="326"/>
    <col min="11862" max="11862" width="14.125" style="326" customWidth="1"/>
    <col min="11863" max="11863" width="9" style="326"/>
    <col min="11864" max="11864" width="10.75" style="326" bestFit="1" customWidth="1"/>
    <col min="11865" max="11865" width="13.25" style="326" customWidth="1"/>
    <col min="11866" max="11868" width="9" style="326"/>
    <col min="11869" max="11869" width="13.25" style="326" customWidth="1"/>
    <col min="11870" max="11870" width="9" style="326"/>
    <col min="11871" max="11871" width="10.75" style="326" bestFit="1" customWidth="1"/>
    <col min="11872" max="11872" width="13.875" style="326" customWidth="1"/>
    <col min="11873" max="11875" width="9" style="326"/>
    <col min="11876" max="11876" width="13.625" style="326" customWidth="1"/>
    <col min="11877" max="11877" width="9" style="326"/>
    <col min="11878" max="11878" width="10.75" style="326" bestFit="1" customWidth="1"/>
    <col min="11879" max="11879" width="13" style="326" customWidth="1"/>
    <col min="11880" max="12026" width="9" style="326"/>
    <col min="12027" max="12028" width="12.125" style="326" customWidth="1"/>
    <col min="12029" max="12031" width="13" style="326" customWidth="1"/>
    <col min="12032" max="12032" width="12.875" style="326" customWidth="1"/>
    <col min="12033" max="12033" width="13" style="326" customWidth="1"/>
    <col min="12034" max="12034" width="13.125" style="326" customWidth="1"/>
    <col min="12035" max="12036" width="12.125" style="326" customWidth="1"/>
    <col min="12037" max="12037" width="14.375" style="326" bestFit="1" customWidth="1"/>
    <col min="12038" max="12038" width="11" style="326" customWidth="1"/>
    <col min="12039" max="12039" width="10" style="326" customWidth="1"/>
    <col min="12040" max="12040" width="10.875" style="326" customWidth="1"/>
    <col min="12041" max="12041" width="13.75" style="326" customWidth="1"/>
    <col min="12042" max="12042" width="10" style="326" customWidth="1"/>
    <col min="12043" max="12043" width="13.25" style="326" customWidth="1"/>
    <col min="12044" max="12044" width="14.375" style="326" customWidth="1"/>
    <col min="12045" max="12045" width="10" style="326" customWidth="1"/>
    <col min="12046" max="12046" width="10.875" style="326" customWidth="1"/>
    <col min="12047" max="12047" width="11.375" style="326" customWidth="1"/>
    <col min="12048" max="12048" width="15.375" style="326" customWidth="1"/>
    <col min="12049" max="12050" width="10.75" style="326" customWidth="1"/>
    <col min="12051" max="12051" width="14.375" style="326" customWidth="1"/>
    <col min="12052" max="12052" width="10.75" style="326" customWidth="1"/>
    <col min="12053" max="12053" width="11.75" style="326" customWidth="1"/>
    <col min="12054" max="12054" width="10" style="326" customWidth="1"/>
    <col min="12055" max="12055" width="15.375" style="326" customWidth="1"/>
    <col min="12056" max="12056" width="10" style="326" customWidth="1"/>
    <col min="12057" max="12057" width="10.75" style="326" customWidth="1"/>
    <col min="12058" max="12058" width="14.875" style="326" customWidth="1"/>
    <col min="12059" max="12059" width="11.5" style="326" customWidth="1"/>
    <col min="12060" max="12060" width="10" style="326" customWidth="1"/>
    <col min="12061" max="12061" width="10.75" style="326" customWidth="1"/>
    <col min="12062" max="12062" width="13.5" style="326" customWidth="1"/>
    <col min="12063" max="12063" width="9" style="326"/>
    <col min="12064" max="12064" width="10.75" style="326" bestFit="1" customWidth="1"/>
    <col min="12065" max="12065" width="13.75" style="326" customWidth="1"/>
    <col min="12066" max="12066" width="9" style="326"/>
    <col min="12067" max="12067" width="10.625" style="326" customWidth="1"/>
    <col min="12068" max="12068" width="9" style="326"/>
    <col min="12069" max="12069" width="14.25" style="326" customWidth="1"/>
    <col min="12070" max="12070" width="10.75" style="326" bestFit="1" customWidth="1"/>
    <col min="12071" max="12071" width="11.625" style="326" customWidth="1"/>
    <col min="12072" max="12072" width="13.75" style="326" customWidth="1"/>
    <col min="12073" max="12073" width="10.625" style="326" customWidth="1"/>
    <col min="12074" max="12075" width="9" style="326"/>
    <col min="12076" max="12076" width="14.125" style="326" customWidth="1"/>
    <col min="12077" max="12077" width="11" style="326" customWidth="1"/>
    <col min="12078" max="12078" width="10.75" style="326" bestFit="1" customWidth="1"/>
    <col min="12079" max="12079" width="13.5" style="326" customWidth="1"/>
    <col min="12080" max="12081" width="9" style="326"/>
    <col min="12082" max="12082" width="10.75" style="326" bestFit="1" customWidth="1"/>
    <col min="12083" max="12083" width="14" style="326" customWidth="1"/>
    <col min="12084" max="12084" width="9" style="326"/>
    <col min="12085" max="12085" width="10.75" style="326" customWidth="1"/>
    <col min="12086" max="12086" width="12.75" style="326" customWidth="1"/>
    <col min="12087" max="12087" width="9" style="326"/>
    <col min="12088" max="12088" width="10.75" style="326" bestFit="1" customWidth="1"/>
    <col min="12089" max="12089" width="11.5" style="326" customWidth="1"/>
    <col min="12090" max="12090" width="13.625" style="326" customWidth="1"/>
    <col min="12091" max="12091" width="10.625" style="326" customWidth="1"/>
    <col min="12092" max="12092" width="10.75" style="326" bestFit="1" customWidth="1"/>
    <col min="12093" max="12093" width="12.375" style="326" customWidth="1"/>
    <col min="12094" max="12096" width="9" style="326"/>
    <col min="12097" max="12097" width="15.75" style="326" customWidth="1"/>
    <col min="12098" max="12098" width="9" style="326"/>
    <col min="12099" max="12099" width="10.75" style="326" bestFit="1" customWidth="1"/>
    <col min="12100" max="12100" width="12.625" style="326" customWidth="1"/>
    <col min="12101" max="12103" width="9" style="326"/>
    <col min="12104" max="12104" width="13.625" style="326" customWidth="1"/>
    <col min="12105" max="12105" width="9" style="326"/>
    <col min="12106" max="12106" width="10.75" style="326" bestFit="1" customWidth="1"/>
    <col min="12107" max="12107" width="12.5" style="326" customWidth="1"/>
    <col min="12108" max="12110" width="9" style="326"/>
    <col min="12111" max="12111" width="12.875" style="326" customWidth="1"/>
    <col min="12112" max="12112" width="9" style="326"/>
    <col min="12113" max="12113" width="10.75" style="326" bestFit="1" customWidth="1"/>
    <col min="12114" max="12114" width="13.875" style="326" customWidth="1"/>
    <col min="12115" max="12117" width="9" style="326"/>
    <col min="12118" max="12118" width="14.125" style="326" customWidth="1"/>
    <col min="12119" max="12119" width="9" style="326"/>
    <col min="12120" max="12120" width="10.75" style="326" bestFit="1" customWidth="1"/>
    <col min="12121" max="12121" width="13.25" style="326" customWidth="1"/>
    <col min="12122" max="12124" width="9" style="326"/>
    <col min="12125" max="12125" width="13.25" style="326" customWidth="1"/>
    <col min="12126" max="12126" width="9" style="326"/>
    <col min="12127" max="12127" width="10.75" style="326" bestFit="1" customWidth="1"/>
    <col min="12128" max="12128" width="13.875" style="326" customWidth="1"/>
    <col min="12129" max="12131" width="9" style="326"/>
    <col min="12132" max="12132" width="13.625" style="326" customWidth="1"/>
    <col min="12133" max="12133" width="9" style="326"/>
    <col min="12134" max="12134" width="10.75" style="326" bestFit="1" customWidth="1"/>
    <col min="12135" max="12135" width="13" style="326" customWidth="1"/>
    <col min="12136" max="12282" width="9" style="326"/>
    <col min="12283" max="12284" width="12.125" style="326" customWidth="1"/>
    <col min="12285" max="12287" width="13" style="326" customWidth="1"/>
    <col min="12288" max="12288" width="12.875" style="326" customWidth="1"/>
    <col min="12289" max="12289" width="13" style="326" customWidth="1"/>
    <col min="12290" max="12290" width="13.125" style="326" customWidth="1"/>
    <col min="12291" max="12292" width="12.125" style="326" customWidth="1"/>
    <col min="12293" max="12293" width="14.375" style="326" bestFit="1" customWidth="1"/>
    <col min="12294" max="12294" width="11" style="326" customWidth="1"/>
    <col min="12295" max="12295" width="10" style="326" customWidth="1"/>
    <col min="12296" max="12296" width="10.875" style="326" customWidth="1"/>
    <col min="12297" max="12297" width="13.75" style="326" customWidth="1"/>
    <col min="12298" max="12298" width="10" style="326" customWidth="1"/>
    <col min="12299" max="12299" width="13.25" style="326" customWidth="1"/>
    <col min="12300" max="12300" width="14.375" style="326" customWidth="1"/>
    <col min="12301" max="12301" width="10" style="326" customWidth="1"/>
    <col min="12302" max="12302" width="10.875" style="326" customWidth="1"/>
    <col min="12303" max="12303" width="11.375" style="326" customWidth="1"/>
    <col min="12304" max="12304" width="15.375" style="326" customWidth="1"/>
    <col min="12305" max="12306" width="10.75" style="326" customWidth="1"/>
    <col min="12307" max="12307" width="14.375" style="326" customWidth="1"/>
    <col min="12308" max="12308" width="10.75" style="326" customWidth="1"/>
    <col min="12309" max="12309" width="11.75" style="326" customWidth="1"/>
    <col min="12310" max="12310" width="10" style="326" customWidth="1"/>
    <col min="12311" max="12311" width="15.375" style="326" customWidth="1"/>
    <col min="12312" max="12312" width="10" style="326" customWidth="1"/>
    <col min="12313" max="12313" width="10.75" style="326" customWidth="1"/>
    <col min="12314" max="12314" width="14.875" style="326" customWidth="1"/>
    <col min="12315" max="12315" width="11.5" style="326" customWidth="1"/>
    <col min="12316" max="12316" width="10" style="326" customWidth="1"/>
    <col min="12317" max="12317" width="10.75" style="326" customWidth="1"/>
    <col min="12318" max="12318" width="13.5" style="326" customWidth="1"/>
    <col min="12319" max="12319" width="9" style="326"/>
    <col min="12320" max="12320" width="10.75" style="326" bestFit="1" customWidth="1"/>
    <col min="12321" max="12321" width="13.75" style="326" customWidth="1"/>
    <col min="12322" max="12322" width="9" style="326"/>
    <col min="12323" max="12323" width="10.625" style="326" customWidth="1"/>
    <col min="12324" max="12324" width="9" style="326"/>
    <col min="12325" max="12325" width="14.25" style="326" customWidth="1"/>
    <col min="12326" max="12326" width="10.75" style="326" bestFit="1" customWidth="1"/>
    <col min="12327" max="12327" width="11.625" style="326" customWidth="1"/>
    <col min="12328" max="12328" width="13.75" style="326" customWidth="1"/>
    <col min="12329" max="12329" width="10.625" style="326" customWidth="1"/>
    <col min="12330" max="12331" width="9" style="326"/>
    <col min="12332" max="12332" width="14.125" style="326" customWidth="1"/>
    <col min="12333" max="12333" width="11" style="326" customWidth="1"/>
    <col min="12334" max="12334" width="10.75" style="326" bestFit="1" customWidth="1"/>
    <col min="12335" max="12335" width="13.5" style="326" customWidth="1"/>
    <col min="12336" max="12337" width="9" style="326"/>
    <col min="12338" max="12338" width="10.75" style="326" bestFit="1" customWidth="1"/>
    <col min="12339" max="12339" width="14" style="326" customWidth="1"/>
    <col min="12340" max="12340" width="9" style="326"/>
    <col min="12341" max="12341" width="10.75" style="326" customWidth="1"/>
    <col min="12342" max="12342" width="12.75" style="326" customWidth="1"/>
    <col min="12343" max="12343" width="9" style="326"/>
    <col min="12344" max="12344" width="10.75" style="326" bestFit="1" customWidth="1"/>
    <col min="12345" max="12345" width="11.5" style="326" customWidth="1"/>
    <col min="12346" max="12346" width="13.625" style="326" customWidth="1"/>
    <col min="12347" max="12347" width="10.625" style="326" customWidth="1"/>
    <col min="12348" max="12348" width="10.75" style="326" bestFit="1" customWidth="1"/>
    <col min="12349" max="12349" width="12.375" style="326" customWidth="1"/>
    <col min="12350" max="12352" width="9" style="326"/>
    <col min="12353" max="12353" width="15.75" style="326" customWidth="1"/>
    <col min="12354" max="12354" width="9" style="326"/>
    <col min="12355" max="12355" width="10.75" style="326" bestFit="1" customWidth="1"/>
    <col min="12356" max="12356" width="12.625" style="326" customWidth="1"/>
    <col min="12357" max="12359" width="9" style="326"/>
    <col min="12360" max="12360" width="13.625" style="326" customWidth="1"/>
    <col min="12361" max="12361" width="9" style="326"/>
    <col min="12362" max="12362" width="10.75" style="326" bestFit="1" customWidth="1"/>
    <col min="12363" max="12363" width="12.5" style="326" customWidth="1"/>
    <col min="12364" max="12366" width="9" style="326"/>
    <col min="12367" max="12367" width="12.875" style="326" customWidth="1"/>
    <col min="12368" max="12368" width="9" style="326"/>
    <col min="12369" max="12369" width="10.75" style="326" bestFit="1" customWidth="1"/>
    <col min="12370" max="12370" width="13.875" style="326" customWidth="1"/>
    <col min="12371" max="12373" width="9" style="326"/>
    <col min="12374" max="12374" width="14.125" style="326" customWidth="1"/>
    <col min="12375" max="12375" width="9" style="326"/>
    <col min="12376" max="12376" width="10.75" style="326" bestFit="1" customWidth="1"/>
    <col min="12377" max="12377" width="13.25" style="326" customWidth="1"/>
    <col min="12378" max="12380" width="9" style="326"/>
    <col min="12381" max="12381" width="13.25" style="326" customWidth="1"/>
    <col min="12382" max="12382" width="9" style="326"/>
    <col min="12383" max="12383" width="10.75" style="326" bestFit="1" customWidth="1"/>
    <col min="12384" max="12384" width="13.875" style="326" customWidth="1"/>
    <col min="12385" max="12387" width="9" style="326"/>
    <col min="12388" max="12388" width="13.625" style="326" customWidth="1"/>
    <col min="12389" max="12389" width="9" style="326"/>
    <col min="12390" max="12390" width="10.75" style="326" bestFit="1" customWidth="1"/>
    <col min="12391" max="12391" width="13" style="326" customWidth="1"/>
    <col min="12392" max="12538" width="9" style="326"/>
    <col min="12539" max="12540" width="12.125" style="326" customWidth="1"/>
    <col min="12541" max="12543" width="13" style="326" customWidth="1"/>
    <col min="12544" max="12544" width="12.875" style="326" customWidth="1"/>
    <col min="12545" max="12545" width="13" style="326" customWidth="1"/>
    <col min="12546" max="12546" width="13.125" style="326" customWidth="1"/>
    <col min="12547" max="12548" width="12.125" style="326" customWidth="1"/>
    <col min="12549" max="12549" width="14.375" style="326" bestFit="1" customWidth="1"/>
    <col min="12550" max="12550" width="11" style="326" customWidth="1"/>
    <col min="12551" max="12551" width="10" style="326" customWidth="1"/>
    <col min="12552" max="12552" width="10.875" style="326" customWidth="1"/>
    <col min="12553" max="12553" width="13.75" style="326" customWidth="1"/>
    <col min="12554" max="12554" width="10" style="326" customWidth="1"/>
    <col min="12555" max="12555" width="13.25" style="326" customWidth="1"/>
    <col min="12556" max="12556" width="14.375" style="326" customWidth="1"/>
    <col min="12557" max="12557" width="10" style="326" customWidth="1"/>
    <col min="12558" max="12558" width="10.875" style="326" customWidth="1"/>
    <col min="12559" max="12559" width="11.375" style="326" customWidth="1"/>
    <col min="12560" max="12560" width="15.375" style="326" customWidth="1"/>
    <col min="12561" max="12562" width="10.75" style="326" customWidth="1"/>
    <col min="12563" max="12563" width="14.375" style="326" customWidth="1"/>
    <col min="12564" max="12564" width="10.75" style="326" customWidth="1"/>
    <col min="12565" max="12565" width="11.75" style="326" customWidth="1"/>
    <col min="12566" max="12566" width="10" style="326" customWidth="1"/>
    <col min="12567" max="12567" width="15.375" style="326" customWidth="1"/>
    <col min="12568" max="12568" width="10" style="326" customWidth="1"/>
    <col min="12569" max="12569" width="10.75" style="326" customWidth="1"/>
    <col min="12570" max="12570" width="14.875" style="326" customWidth="1"/>
    <col min="12571" max="12571" width="11.5" style="326" customWidth="1"/>
    <col min="12572" max="12572" width="10" style="326" customWidth="1"/>
    <col min="12573" max="12573" width="10.75" style="326" customWidth="1"/>
    <col min="12574" max="12574" width="13.5" style="326" customWidth="1"/>
    <col min="12575" max="12575" width="9" style="326"/>
    <col min="12576" max="12576" width="10.75" style="326" bestFit="1" customWidth="1"/>
    <col min="12577" max="12577" width="13.75" style="326" customWidth="1"/>
    <col min="12578" max="12578" width="9" style="326"/>
    <col min="12579" max="12579" width="10.625" style="326" customWidth="1"/>
    <col min="12580" max="12580" width="9" style="326"/>
    <col min="12581" max="12581" width="14.25" style="326" customWidth="1"/>
    <col min="12582" max="12582" width="10.75" style="326" bestFit="1" customWidth="1"/>
    <col min="12583" max="12583" width="11.625" style="326" customWidth="1"/>
    <col min="12584" max="12584" width="13.75" style="326" customWidth="1"/>
    <col min="12585" max="12585" width="10.625" style="326" customWidth="1"/>
    <col min="12586" max="12587" width="9" style="326"/>
    <col min="12588" max="12588" width="14.125" style="326" customWidth="1"/>
    <col min="12589" max="12589" width="11" style="326" customWidth="1"/>
    <col min="12590" max="12590" width="10.75" style="326" bestFit="1" customWidth="1"/>
    <col min="12591" max="12591" width="13.5" style="326" customWidth="1"/>
    <col min="12592" max="12593" width="9" style="326"/>
    <col min="12594" max="12594" width="10.75" style="326" bestFit="1" customWidth="1"/>
    <col min="12595" max="12595" width="14" style="326" customWidth="1"/>
    <col min="12596" max="12596" width="9" style="326"/>
    <col min="12597" max="12597" width="10.75" style="326" customWidth="1"/>
    <col min="12598" max="12598" width="12.75" style="326" customWidth="1"/>
    <col min="12599" max="12599" width="9" style="326"/>
    <col min="12600" max="12600" width="10.75" style="326" bestFit="1" customWidth="1"/>
    <col min="12601" max="12601" width="11.5" style="326" customWidth="1"/>
    <col min="12602" max="12602" width="13.625" style="326" customWidth="1"/>
    <col min="12603" max="12603" width="10.625" style="326" customWidth="1"/>
    <col min="12604" max="12604" width="10.75" style="326" bestFit="1" customWidth="1"/>
    <col min="12605" max="12605" width="12.375" style="326" customWidth="1"/>
    <col min="12606" max="12608" width="9" style="326"/>
    <col min="12609" max="12609" width="15.75" style="326" customWidth="1"/>
    <col min="12610" max="12610" width="9" style="326"/>
    <col min="12611" max="12611" width="10.75" style="326" bestFit="1" customWidth="1"/>
    <col min="12612" max="12612" width="12.625" style="326" customWidth="1"/>
    <col min="12613" max="12615" width="9" style="326"/>
    <col min="12616" max="12616" width="13.625" style="326" customWidth="1"/>
    <col min="12617" max="12617" width="9" style="326"/>
    <col min="12618" max="12618" width="10.75" style="326" bestFit="1" customWidth="1"/>
    <col min="12619" max="12619" width="12.5" style="326" customWidth="1"/>
    <col min="12620" max="12622" width="9" style="326"/>
    <col min="12623" max="12623" width="12.875" style="326" customWidth="1"/>
    <col min="12624" max="12624" width="9" style="326"/>
    <col min="12625" max="12625" width="10.75" style="326" bestFit="1" customWidth="1"/>
    <col min="12626" max="12626" width="13.875" style="326" customWidth="1"/>
    <col min="12627" max="12629" width="9" style="326"/>
    <col min="12630" max="12630" width="14.125" style="326" customWidth="1"/>
    <col min="12631" max="12631" width="9" style="326"/>
    <col min="12632" max="12632" width="10.75" style="326" bestFit="1" customWidth="1"/>
    <col min="12633" max="12633" width="13.25" style="326" customWidth="1"/>
    <col min="12634" max="12636" width="9" style="326"/>
    <col min="12637" max="12637" width="13.25" style="326" customWidth="1"/>
    <col min="12638" max="12638" width="9" style="326"/>
    <col min="12639" max="12639" width="10.75" style="326" bestFit="1" customWidth="1"/>
    <col min="12640" max="12640" width="13.875" style="326" customWidth="1"/>
    <col min="12641" max="12643" width="9" style="326"/>
    <col min="12644" max="12644" width="13.625" style="326" customWidth="1"/>
    <col min="12645" max="12645" width="9" style="326"/>
    <col min="12646" max="12646" width="10.75" style="326" bestFit="1" customWidth="1"/>
    <col min="12647" max="12647" width="13" style="326" customWidth="1"/>
    <col min="12648" max="12794" width="9" style="326"/>
    <col min="12795" max="12796" width="12.125" style="326" customWidth="1"/>
    <col min="12797" max="12799" width="13" style="326" customWidth="1"/>
    <col min="12800" max="12800" width="12.875" style="326" customWidth="1"/>
    <col min="12801" max="12801" width="13" style="326" customWidth="1"/>
    <col min="12802" max="12802" width="13.125" style="326" customWidth="1"/>
    <col min="12803" max="12804" width="12.125" style="326" customWidth="1"/>
    <col min="12805" max="12805" width="14.375" style="326" bestFit="1" customWidth="1"/>
    <col min="12806" max="12806" width="11" style="326" customWidth="1"/>
    <col min="12807" max="12807" width="10" style="326" customWidth="1"/>
    <col min="12808" max="12808" width="10.875" style="326" customWidth="1"/>
    <col min="12809" max="12809" width="13.75" style="326" customWidth="1"/>
    <col min="12810" max="12810" width="10" style="326" customWidth="1"/>
    <col min="12811" max="12811" width="13.25" style="326" customWidth="1"/>
    <col min="12812" max="12812" width="14.375" style="326" customWidth="1"/>
    <col min="12813" max="12813" width="10" style="326" customWidth="1"/>
    <col min="12814" max="12814" width="10.875" style="326" customWidth="1"/>
    <col min="12815" max="12815" width="11.375" style="326" customWidth="1"/>
    <col min="12816" max="12816" width="15.375" style="326" customWidth="1"/>
    <col min="12817" max="12818" width="10.75" style="326" customWidth="1"/>
    <col min="12819" max="12819" width="14.375" style="326" customWidth="1"/>
    <col min="12820" max="12820" width="10.75" style="326" customWidth="1"/>
    <col min="12821" max="12821" width="11.75" style="326" customWidth="1"/>
    <col min="12822" max="12822" width="10" style="326" customWidth="1"/>
    <col min="12823" max="12823" width="15.375" style="326" customWidth="1"/>
    <col min="12824" max="12824" width="10" style="326" customWidth="1"/>
    <col min="12825" max="12825" width="10.75" style="326" customWidth="1"/>
    <col min="12826" max="12826" width="14.875" style="326" customWidth="1"/>
    <col min="12827" max="12827" width="11.5" style="326" customWidth="1"/>
    <col min="12828" max="12828" width="10" style="326" customWidth="1"/>
    <col min="12829" max="12829" width="10.75" style="326" customWidth="1"/>
    <col min="12830" max="12830" width="13.5" style="326" customWidth="1"/>
    <col min="12831" max="12831" width="9" style="326"/>
    <col min="12832" max="12832" width="10.75" style="326" bestFit="1" customWidth="1"/>
    <col min="12833" max="12833" width="13.75" style="326" customWidth="1"/>
    <col min="12834" max="12834" width="9" style="326"/>
    <col min="12835" max="12835" width="10.625" style="326" customWidth="1"/>
    <col min="12836" max="12836" width="9" style="326"/>
    <col min="12837" max="12837" width="14.25" style="326" customWidth="1"/>
    <col min="12838" max="12838" width="10.75" style="326" bestFit="1" customWidth="1"/>
    <col min="12839" max="12839" width="11.625" style="326" customWidth="1"/>
    <col min="12840" max="12840" width="13.75" style="326" customWidth="1"/>
    <col min="12841" max="12841" width="10.625" style="326" customWidth="1"/>
    <col min="12842" max="12843" width="9" style="326"/>
    <col min="12844" max="12844" width="14.125" style="326" customWidth="1"/>
    <col min="12845" max="12845" width="11" style="326" customWidth="1"/>
    <col min="12846" max="12846" width="10.75" style="326" bestFit="1" customWidth="1"/>
    <col min="12847" max="12847" width="13.5" style="326" customWidth="1"/>
    <col min="12848" max="12849" width="9" style="326"/>
    <col min="12850" max="12850" width="10.75" style="326" bestFit="1" customWidth="1"/>
    <col min="12851" max="12851" width="14" style="326" customWidth="1"/>
    <col min="12852" max="12852" width="9" style="326"/>
    <col min="12853" max="12853" width="10.75" style="326" customWidth="1"/>
    <col min="12854" max="12854" width="12.75" style="326" customWidth="1"/>
    <col min="12855" max="12855" width="9" style="326"/>
    <col min="12856" max="12856" width="10.75" style="326" bestFit="1" customWidth="1"/>
    <col min="12857" max="12857" width="11.5" style="326" customWidth="1"/>
    <col min="12858" max="12858" width="13.625" style="326" customWidth="1"/>
    <col min="12859" max="12859" width="10.625" style="326" customWidth="1"/>
    <col min="12860" max="12860" width="10.75" style="326" bestFit="1" customWidth="1"/>
    <col min="12861" max="12861" width="12.375" style="326" customWidth="1"/>
    <col min="12862" max="12864" width="9" style="326"/>
    <col min="12865" max="12865" width="15.75" style="326" customWidth="1"/>
    <col min="12866" max="12866" width="9" style="326"/>
    <col min="12867" max="12867" width="10.75" style="326" bestFit="1" customWidth="1"/>
    <col min="12868" max="12868" width="12.625" style="326" customWidth="1"/>
    <col min="12869" max="12871" width="9" style="326"/>
    <col min="12872" max="12872" width="13.625" style="326" customWidth="1"/>
    <col min="12873" max="12873" width="9" style="326"/>
    <col min="12874" max="12874" width="10.75" style="326" bestFit="1" customWidth="1"/>
    <col min="12875" max="12875" width="12.5" style="326" customWidth="1"/>
    <col min="12876" max="12878" width="9" style="326"/>
    <col min="12879" max="12879" width="12.875" style="326" customWidth="1"/>
    <col min="12880" max="12880" width="9" style="326"/>
    <col min="12881" max="12881" width="10.75" style="326" bestFit="1" customWidth="1"/>
    <col min="12882" max="12882" width="13.875" style="326" customWidth="1"/>
    <col min="12883" max="12885" width="9" style="326"/>
    <col min="12886" max="12886" width="14.125" style="326" customWidth="1"/>
    <col min="12887" max="12887" width="9" style="326"/>
    <col min="12888" max="12888" width="10.75" style="326" bestFit="1" customWidth="1"/>
    <col min="12889" max="12889" width="13.25" style="326" customWidth="1"/>
    <col min="12890" max="12892" width="9" style="326"/>
    <col min="12893" max="12893" width="13.25" style="326" customWidth="1"/>
    <col min="12894" max="12894" width="9" style="326"/>
    <col min="12895" max="12895" width="10.75" style="326" bestFit="1" customWidth="1"/>
    <col min="12896" max="12896" width="13.875" style="326" customWidth="1"/>
    <col min="12897" max="12899" width="9" style="326"/>
    <col min="12900" max="12900" width="13.625" style="326" customWidth="1"/>
    <col min="12901" max="12901" width="9" style="326"/>
    <col min="12902" max="12902" width="10.75" style="326" bestFit="1" customWidth="1"/>
    <col min="12903" max="12903" width="13" style="326" customWidth="1"/>
    <col min="12904" max="13050" width="9" style="326"/>
    <col min="13051" max="13052" width="12.125" style="326" customWidth="1"/>
    <col min="13053" max="13055" width="13" style="326" customWidth="1"/>
    <col min="13056" max="13056" width="12.875" style="326" customWidth="1"/>
    <col min="13057" max="13057" width="13" style="326" customWidth="1"/>
    <col min="13058" max="13058" width="13.125" style="326" customWidth="1"/>
    <col min="13059" max="13060" width="12.125" style="326" customWidth="1"/>
    <col min="13061" max="13061" width="14.375" style="326" bestFit="1" customWidth="1"/>
    <col min="13062" max="13062" width="11" style="326" customWidth="1"/>
    <col min="13063" max="13063" width="10" style="326" customWidth="1"/>
    <col min="13064" max="13064" width="10.875" style="326" customWidth="1"/>
    <col min="13065" max="13065" width="13.75" style="326" customWidth="1"/>
    <col min="13066" max="13066" width="10" style="326" customWidth="1"/>
    <col min="13067" max="13067" width="13.25" style="326" customWidth="1"/>
    <col min="13068" max="13068" width="14.375" style="326" customWidth="1"/>
    <col min="13069" max="13069" width="10" style="326" customWidth="1"/>
    <col min="13070" max="13070" width="10.875" style="326" customWidth="1"/>
    <col min="13071" max="13071" width="11.375" style="326" customWidth="1"/>
    <col min="13072" max="13072" width="15.375" style="326" customWidth="1"/>
    <col min="13073" max="13074" width="10.75" style="326" customWidth="1"/>
    <col min="13075" max="13075" width="14.375" style="326" customWidth="1"/>
    <col min="13076" max="13076" width="10.75" style="326" customWidth="1"/>
    <col min="13077" max="13077" width="11.75" style="326" customWidth="1"/>
    <col min="13078" max="13078" width="10" style="326" customWidth="1"/>
    <col min="13079" max="13079" width="15.375" style="326" customWidth="1"/>
    <col min="13080" max="13080" width="10" style="326" customWidth="1"/>
    <col min="13081" max="13081" width="10.75" style="326" customWidth="1"/>
    <col min="13082" max="13082" width="14.875" style="326" customWidth="1"/>
    <col min="13083" max="13083" width="11.5" style="326" customWidth="1"/>
    <col min="13084" max="13084" width="10" style="326" customWidth="1"/>
    <col min="13085" max="13085" width="10.75" style="326" customWidth="1"/>
    <col min="13086" max="13086" width="13.5" style="326" customWidth="1"/>
    <col min="13087" max="13087" width="9" style="326"/>
    <col min="13088" max="13088" width="10.75" style="326" bestFit="1" customWidth="1"/>
    <col min="13089" max="13089" width="13.75" style="326" customWidth="1"/>
    <col min="13090" max="13090" width="9" style="326"/>
    <col min="13091" max="13091" width="10.625" style="326" customWidth="1"/>
    <col min="13092" max="13092" width="9" style="326"/>
    <col min="13093" max="13093" width="14.25" style="326" customWidth="1"/>
    <col min="13094" max="13094" width="10.75" style="326" bestFit="1" customWidth="1"/>
    <col min="13095" max="13095" width="11.625" style="326" customWidth="1"/>
    <col min="13096" max="13096" width="13.75" style="326" customWidth="1"/>
    <col min="13097" max="13097" width="10.625" style="326" customWidth="1"/>
    <col min="13098" max="13099" width="9" style="326"/>
    <col min="13100" max="13100" width="14.125" style="326" customWidth="1"/>
    <col min="13101" max="13101" width="11" style="326" customWidth="1"/>
    <col min="13102" max="13102" width="10.75" style="326" bestFit="1" customWidth="1"/>
    <col min="13103" max="13103" width="13.5" style="326" customWidth="1"/>
    <col min="13104" max="13105" width="9" style="326"/>
    <col min="13106" max="13106" width="10.75" style="326" bestFit="1" customWidth="1"/>
    <col min="13107" max="13107" width="14" style="326" customWidth="1"/>
    <col min="13108" max="13108" width="9" style="326"/>
    <col min="13109" max="13109" width="10.75" style="326" customWidth="1"/>
    <col min="13110" max="13110" width="12.75" style="326" customWidth="1"/>
    <col min="13111" max="13111" width="9" style="326"/>
    <col min="13112" max="13112" width="10.75" style="326" bestFit="1" customWidth="1"/>
    <col min="13113" max="13113" width="11.5" style="326" customWidth="1"/>
    <col min="13114" max="13114" width="13.625" style="326" customWidth="1"/>
    <col min="13115" max="13115" width="10.625" style="326" customWidth="1"/>
    <col min="13116" max="13116" width="10.75" style="326" bestFit="1" customWidth="1"/>
    <col min="13117" max="13117" width="12.375" style="326" customWidth="1"/>
    <col min="13118" max="13120" width="9" style="326"/>
    <col min="13121" max="13121" width="15.75" style="326" customWidth="1"/>
    <col min="13122" max="13122" width="9" style="326"/>
    <col min="13123" max="13123" width="10.75" style="326" bestFit="1" customWidth="1"/>
    <col min="13124" max="13124" width="12.625" style="326" customWidth="1"/>
    <col min="13125" max="13127" width="9" style="326"/>
    <col min="13128" max="13128" width="13.625" style="326" customWidth="1"/>
    <col min="13129" max="13129" width="9" style="326"/>
    <col min="13130" max="13130" width="10.75" style="326" bestFit="1" customWidth="1"/>
    <col min="13131" max="13131" width="12.5" style="326" customWidth="1"/>
    <col min="13132" max="13134" width="9" style="326"/>
    <col min="13135" max="13135" width="12.875" style="326" customWidth="1"/>
    <col min="13136" max="13136" width="9" style="326"/>
    <col min="13137" max="13137" width="10.75" style="326" bestFit="1" customWidth="1"/>
    <col min="13138" max="13138" width="13.875" style="326" customWidth="1"/>
    <col min="13139" max="13141" width="9" style="326"/>
    <col min="13142" max="13142" width="14.125" style="326" customWidth="1"/>
    <col min="13143" max="13143" width="9" style="326"/>
    <col min="13144" max="13144" width="10.75" style="326" bestFit="1" customWidth="1"/>
    <col min="13145" max="13145" width="13.25" style="326" customWidth="1"/>
    <col min="13146" max="13148" width="9" style="326"/>
    <col min="13149" max="13149" width="13.25" style="326" customWidth="1"/>
    <col min="13150" max="13150" width="9" style="326"/>
    <col min="13151" max="13151" width="10.75" style="326" bestFit="1" customWidth="1"/>
    <col min="13152" max="13152" width="13.875" style="326" customWidth="1"/>
    <col min="13153" max="13155" width="9" style="326"/>
    <col min="13156" max="13156" width="13.625" style="326" customWidth="1"/>
    <col min="13157" max="13157" width="9" style="326"/>
    <col min="13158" max="13158" width="10.75" style="326" bestFit="1" customWidth="1"/>
    <col min="13159" max="13159" width="13" style="326" customWidth="1"/>
    <col min="13160" max="13306" width="9" style="326"/>
    <col min="13307" max="13308" width="12.125" style="326" customWidth="1"/>
    <col min="13309" max="13311" width="13" style="326" customWidth="1"/>
    <col min="13312" max="13312" width="12.875" style="326" customWidth="1"/>
    <col min="13313" max="13313" width="13" style="326" customWidth="1"/>
    <col min="13314" max="13314" width="13.125" style="326" customWidth="1"/>
    <col min="13315" max="13316" width="12.125" style="326" customWidth="1"/>
    <col min="13317" max="13317" width="14.375" style="326" bestFit="1" customWidth="1"/>
    <col min="13318" max="13318" width="11" style="326" customWidth="1"/>
    <col min="13319" max="13319" width="10" style="326" customWidth="1"/>
    <col min="13320" max="13320" width="10.875" style="326" customWidth="1"/>
    <col min="13321" max="13321" width="13.75" style="326" customWidth="1"/>
    <col min="13322" max="13322" width="10" style="326" customWidth="1"/>
    <col min="13323" max="13323" width="13.25" style="326" customWidth="1"/>
    <col min="13324" max="13324" width="14.375" style="326" customWidth="1"/>
    <col min="13325" max="13325" width="10" style="326" customWidth="1"/>
    <col min="13326" max="13326" width="10.875" style="326" customWidth="1"/>
    <col min="13327" max="13327" width="11.375" style="326" customWidth="1"/>
    <col min="13328" max="13328" width="15.375" style="326" customWidth="1"/>
    <col min="13329" max="13330" width="10.75" style="326" customWidth="1"/>
    <col min="13331" max="13331" width="14.375" style="326" customWidth="1"/>
    <col min="13332" max="13332" width="10.75" style="326" customWidth="1"/>
    <col min="13333" max="13333" width="11.75" style="326" customWidth="1"/>
    <col min="13334" max="13334" width="10" style="326" customWidth="1"/>
    <col min="13335" max="13335" width="15.375" style="326" customWidth="1"/>
    <col min="13336" max="13336" width="10" style="326" customWidth="1"/>
    <col min="13337" max="13337" width="10.75" style="326" customWidth="1"/>
    <col min="13338" max="13338" width="14.875" style="326" customWidth="1"/>
    <col min="13339" max="13339" width="11.5" style="326" customWidth="1"/>
    <col min="13340" max="13340" width="10" style="326" customWidth="1"/>
    <col min="13341" max="13341" width="10.75" style="326" customWidth="1"/>
    <col min="13342" max="13342" width="13.5" style="326" customWidth="1"/>
    <col min="13343" max="13343" width="9" style="326"/>
    <col min="13344" max="13344" width="10.75" style="326" bestFit="1" customWidth="1"/>
    <col min="13345" max="13345" width="13.75" style="326" customWidth="1"/>
    <col min="13346" max="13346" width="9" style="326"/>
    <col min="13347" max="13347" width="10.625" style="326" customWidth="1"/>
    <col min="13348" max="13348" width="9" style="326"/>
    <col min="13349" max="13349" width="14.25" style="326" customWidth="1"/>
    <col min="13350" max="13350" width="10.75" style="326" bestFit="1" customWidth="1"/>
    <col min="13351" max="13351" width="11.625" style="326" customWidth="1"/>
    <col min="13352" max="13352" width="13.75" style="326" customWidth="1"/>
    <col min="13353" max="13353" width="10.625" style="326" customWidth="1"/>
    <col min="13354" max="13355" width="9" style="326"/>
    <col min="13356" max="13356" width="14.125" style="326" customWidth="1"/>
    <col min="13357" max="13357" width="11" style="326" customWidth="1"/>
    <col min="13358" max="13358" width="10.75" style="326" bestFit="1" customWidth="1"/>
    <col min="13359" max="13359" width="13.5" style="326" customWidth="1"/>
    <col min="13360" max="13361" width="9" style="326"/>
    <col min="13362" max="13362" width="10.75" style="326" bestFit="1" customWidth="1"/>
    <col min="13363" max="13363" width="14" style="326" customWidth="1"/>
    <col min="13364" max="13364" width="9" style="326"/>
    <col min="13365" max="13365" width="10.75" style="326" customWidth="1"/>
    <col min="13366" max="13366" width="12.75" style="326" customWidth="1"/>
    <col min="13367" max="13367" width="9" style="326"/>
    <col min="13368" max="13368" width="10.75" style="326" bestFit="1" customWidth="1"/>
    <col min="13369" max="13369" width="11.5" style="326" customWidth="1"/>
    <col min="13370" max="13370" width="13.625" style="326" customWidth="1"/>
    <col min="13371" max="13371" width="10.625" style="326" customWidth="1"/>
    <col min="13372" max="13372" width="10.75" style="326" bestFit="1" customWidth="1"/>
    <col min="13373" max="13373" width="12.375" style="326" customWidth="1"/>
    <col min="13374" max="13376" width="9" style="326"/>
    <col min="13377" max="13377" width="15.75" style="326" customWidth="1"/>
    <col min="13378" max="13378" width="9" style="326"/>
    <col min="13379" max="13379" width="10.75" style="326" bestFit="1" customWidth="1"/>
    <col min="13380" max="13380" width="12.625" style="326" customWidth="1"/>
    <col min="13381" max="13383" width="9" style="326"/>
    <col min="13384" max="13384" width="13.625" style="326" customWidth="1"/>
    <col min="13385" max="13385" width="9" style="326"/>
    <col min="13386" max="13386" width="10.75" style="326" bestFit="1" customWidth="1"/>
    <col min="13387" max="13387" width="12.5" style="326" customWidth="1"/>
    <col min="13388" max="13390" width="9" style="326"/>
    <col min="13391" max="13391" width="12.875" style="326" customWidth="1"/>
    <col min="13392" max="13392" width="9" style="326"/>
    <col min="13393" max="13393" width="10.75" style="326" bestFit="1" customWidth="1"/>
    <col min="13394" max="13394" width="13.875" style="326" customWidth="1"/>
    <col min="13395" max="13397" width="9" style="326"/>
    <col min="13398" max="13398" width="14.125" style="326" customWidth="1"/>
    <col min="13399" max="13399" width="9" style="326"/>
    <col min="13400" max="13400" width="10.75" style="326" bestFit="1" customWidth="1"/>
    <col min="13401" max="13401" width="13.25" style="326" customWidth="1"/>
    <col min="13402" max="13404" width="9" style="326"/>
    <col min="13405" max="13405" width="13.25" style="326" customWidth="1"/>
    <col min="13406" max="13406" width="9" style="326"/>
    <col min="13407" max="13407" width="10.75" style="326" bestFit="1" customWidth="1"/>
    <col min="13408" max="13408" width="13.875" style="326" customWidth="1"/>
    <col min="13409" max="13411" width="9" style="326"/>
    <col min="13412" max="13412" width="13.625" style="326" customWidth="1"/>
    <col min="13413" max="13413" width="9" style="326"/>
    <col min="13414" max="13414" width="10.75" style="326" bestFit="1" customWidth="1"/>
    <col min="13415" max="13415" width="13" style="326" customWidth="1"/>
    <col min="13416" max="13562" width="9" style="326"/>
    <col min="13563" max="13564" width="12.125" style="326" customWidth="1"/>
    <col min="13565" max="13567" width="13" style="326" customWidth="1"/>
    <col min="13568" max="13568" width="12.875" style="326" customWidth="1"/>
    <col min="13569" max="13569" width="13" style="326" customWidth="1"/>
    <col min="13570" max="13570" width="13.125" style="326" customWidth="1"/>
    <col min="13571" max="13572" width="12.125" style="326" customWidth="1"/>
    <col min="13573" max="13573" width="14.375" style="326" bestFit="1" customWidth="1"/>
    <col min="13574" max="13574" width="11" style="326" customWidth="1"/>
    <col min="13575" max="13575" width="10" style="326" customWidth="1"/>
    <col min="13576" max="13576" width="10.875" style="326" customWidth="1"/>
    <col min="13577" max="13577" width="13.75" style="326" customWidth="1"/>
    <col min="13578" max="13578" width="10" style="326" customWidth="1"/>
    <col min="13579" max="13579" width="13.25" style="326" customWidth="1"/>
    <col min="13580" max="13580" width="14.375" style="326" customWidth="1"/>
    <col min="13581" max="13581" width="10" style="326" customWidth="1"/>
    <col min="13582" max="13582" width="10.875" style="326" customWidth="1"/>
    <col min="13583" max="13583" width="11.375" style="326" customWidth="1"/>
    <col min="13584" max="13584" width="15.375" style="326" customWidth="1"/>
    <col min="13585" max="13586" width="10.75" style="326" customWidth="1"/>
    <col min="13587" max="13587" width="14.375" style="326" customWidth="1"/>
    <col min="13588" max="13588" width="10.75" style="326" customWidth="1"/>
    <col min="13589" max="13589" width="11.75" style="326" customWidth="1"/>
    <col min="13590" max="13590" width="10" style="326" customWidth="1"/>
    <col min="13591" max="13591" width="15.375" style="326" customWidth="1"/>
    <col min="13592" max="13592" width="10" style="326" customWidth="1"/>
    <col min="13593" max="13593" width="10.75" style="326" customWidth="1"/>
    <col min="13594" max="13594" width="14.875" style="326" customWidth="1"/>
    <col min="13595" max="13595" width="11.5" style="326" customWidth="1"/>
    <col min="13596" max="13596" width="10" style="326" customWidth="1"/>
    <col min="13597" max="13597" width="10.75" style="326" customWidth="1"/>
    <col min="13598" max="13598" width="13.5" style="326" customWidth="1"/>
    <col min="13599" max="13599" width="9" style="326"/>
    <col min="13600" max="13600" width="10.75" style="326" bestFit="1" customWidth="1"/>
    <col min="13601" max="13601" width="13.75" style="326" customWidth="1"/>
    <col min="13602" max="13602" width="9" style="326"/>
    <col min="13603" max="13603" width="10.625" style="326" customWidth="1"/>
    <col min="13604" max="13604" width="9" style="326"/>
    <col min="13605" max="13605" width="14.25" style="326" customWidth="1"/>
    <col min="13606" max="13606" width="10.75" style="326" bestFit="1" customWidth="1"/>
    <col min="13607" max="13607" width="11.625" style="326" customWidth="1"/>
    <col min="13608" max="13608" width="13.75" style="326" customWidth="1"/>
    <col min="13609" max="13609" width="10.625" style="326" customWidth="1"/>
    <col min="13610" max="13611" width="9" style="326"/>
    <col min="13612" max="13612" width="14.125" style="326" customWidth="1"/>
    <col min="13613" max="13613" width="11" style="326" customWidth="1"/>
    <col min="13614" max="13614" width="10.75" style="326" bestFit="1" customWidth="1"/>
    <col min="13615" max="13615" width="13.5" style="326" customWidth="1"/>
    <col min="13616" max="13617" width="9" style="326"/>
    <col min="13618" max="13618" width="10.75" style="326" bestFit="1" customWidth="1"/>
    <col min="13619" max="13619" width="14" style="326" customWidth="1"/>
    <col min="13620" max="13620" width="9" style="326"/>
    <col min="13621" max="13621" width="10.75" style="326" customWidth="1"/>
    <col min="13622" max="13622" width="12.75" style="326" customWidth="1"/>
    <col min="13623" max="13623" width="9" style="326"/>
    <col min="13624" max="13624" width="10.75" style="326" bestFit="1" customWidth="1"/>
    <col min="13625" max="13625" width="11.5" style="326" customWidth="1"/>
    <col min="13626" max="13626" width="13.625" style="326" customWidth="1"/>
    <col min="13627" max="13627" width="10.625" style="326" customWidth="1"/>
    <col min="13628" max="13628" width="10.75" style="326" bestFit="1" customWidth="1"/>
    <col min="13629" max="13629" width="12.375" style="326" customWidth="1"/>
    <col min="13630" max="13632" width="9" style="326"/>
    <col min="13633" max="13633" width="15.75" style="326" customWidth="1"/>
    <col min="13634" max="13634" width="9" style="326"/>
    <col min="13635" max="13635" width="10.75" style="326" bestFit="1" customWidth="1"/>
    <col min="13636" max="13636" width="12.625" style="326" customWidth="1"/>
    <col min="13637" max="13639" width="9" style="326"/>
    <col min="13640" max="13640" width="13.625" style="326" customWidth="1"/>
    <col min="13641" max="13641" width="9" style="326"/>
    <col min="13642" max="13642" width="10.75" style="326" bestFit="1" customWidth="1"/>
    <col min="13643" max="13643" width="12.5" style="326" customWidth="1"/>
    <col min="13644" max="13646" width="9" style="326"/>
    <col min="13647" max="13647" width="12.875" style="326" customWidth="1"/>
    <col min="13648" max="13648" width="9" style="326"/>
    <col min="13649" max="13649" width="10.75" style="326" bestFit="1" customWidth="1"/>
    <col min="13650" max="13650" width="13.875" style="326" customWidth="1"/>
    <col min="13651" max="13653" width="9" style="326"/>
    <col min="13654" max="13654" width="14.125" style="326" customWidth="1"/>
    <col min="13655" max="13655" width="9" style="326"/>
    <col min="13656" max="13656" width="10.75" style="326" bestFit="1" customWidth="1"/>
    <col min="13657" max="13657" width="13.25" style="326" customWidth="1"/>
    <col min="13658" max="13660" width="9" style="326"/>
    <col min="13661" max="13661" width="13.25" style="326" customWidth="1"/>
    <col min="13662" max="13662" width="9" style="326"/>
    <col min="13663" max="13663" width="10.75" style="326" bestFit="1" customWidth="1"/>
    <col min="13664" max="13664" width="13.875" style="326" customWidth="1"/>
    <col min="13665" max="13667" width="9" style="326"/>
    <col min="13668" max="13668" width="13.625" style="326" customWidth="1"/>
    <col min="13669" max="13669" width="9" style="326"/>
    <col min="13670" max="13670" width="10.75" style="326" bestFit="1" customWidth="1"/>
    <col min="13671" max="13671" width="13" style="326" customWidth="1"/>
    <col min="13672" max="13818" width="9" style="326"/>
    <col min="13819" max="13820" width="12.125" style="326" customWidth="1"/>
    <col min="13821" max="13823" width="13" style="326" customWidth="1"/>
    <col min="13824" max="13824" width="12.875" style="326" customWidth="1"/>
    <col min="13825" max="13825" width="13" style="326" customWidth="1"/>
    <col min="13826" max="13826" width="13.125" style="326" customWidth="1"/>
    <col min="13827" max="13828" width="12.125" style="326" customWidth="1"/>
    <col min="13829" max="13829" width="14.375" style="326" bestFit="1" customWidth="1"/>
    <col min="13830" max="13830" width="11" style="326" customWidth="1"/>
    <col min="13831" max="13831" width="10" style="326" customWidth="1"/>
    <col min="13832" max="13832" width="10.875" style="326" customWidth="1"/>
    <col min="13833" max="13833" width="13.75" style="326" customWidth="1"/>
    <col min="13834" max="13834" width="10" style="326" customWidth="1"/>
    <col min="13835" max="13835" width="13.25" style="326" customWidth="1"/>
    <col min="13836" max="13836" width="14.375" style="326" customWidth="1"/>
    <col min="13837" max="13837" width="10" style="326" customWidth="1"/>
    <col min="13838" max="13838" width="10.875" style="326" customWidth="1"/>
    <col min="13839" max="13839" width="11.375" style="326" customWidth="1"/>
    <col min="13840" max="13840" width="15.375" style="326" customWidth="1"/>
    <col min="13841" max="13842" width="10.75" style="326" customWidth="1"/>
    <col min="13843" max="13843" width="14.375" style="326" customWidth="1"/>
    <col min="13844" max="13844" width="10.75" style="326" customWidth="1"/>
    <col min="13845" max="13845" width="11.75" style="326" customWidth="1"/>
    <col min="13846" max="13846" width="10" style="326" customWidth="1"/>
    <col min="13847" max="13847" width="15.375" style="326" customWidth="1"/>
    <col min="13848" max="13848" width="10" style="326" customWidth="1"/>
    <col min="13849" max="13849" width="10.75" style="326" customWidth="1"/>
    <col min="13850" max="13850" width="14.875" style="326" customWidth="1"/>
    <col min="13851" max="13851" width="11.5" style="326" customWidth="1"/>
    <col min="13852" max="13852" width="10" style="326" customWidth="1"/>
    <col min="13853" max="13853" width="10.75" style="326" customWidth="1"/>
    <col min="13854" max="13854" width="13.5" style="326" customWidth="1"/>
    <col min="13855" max="13855" width="9" style="326"/>
    <col min="13856" max="13856" width="10.75" style="326" bestFit="1" customWidth="1"/>
    <col min="13857" max="13857" width="13.75" style="326" customWidth="1"/>
    <col min="13858" max="13858" width="9" style="326"/>
    <col min="13859" max="13859" width="10.625" style="326" customWidth="1"/>
    <col min="13860" max="13860" width="9" style="326"/>
    <col min="13861" max="13861" width="14.25" style="326" customWidth="1"/>
    <col min="13862" max="13862" width="10.75" style="326" bestFit="1" customWidth="1"/>
    <col min="13863" max="13863" width="11.625" style="326" customWidth="1"/>
    <col min="13864" max="13864" width="13.75" style="326" customWidth="1"/>
    <col min="13865" max="13865" width="10.625" style="326" customWidth="1"/>
    <col min="13866" max="13867" width="9" style="326"/>
    <col min="13868" max="13868" width="14.125" style="326" customWidth="1"/>
    <col min="13869" max="13869" width="11" style="326" customWidth="1"/>
    <col min="13870" max="13870" width="10.75" style="326" bestFit="1" customWidth="1"/>
    <col min="13871" max="13871" width="13.5" style="326" customWidth="1"/>
    <col min="13872" max="13873" width="9" style="326"/>
    <col min="13874" max="13874" width="10.75" style="326" bestFit="1" customWidth="1"/>
    <col min="13875" max="13875" width="14" style="326" customWidth="1"/>
    <col min="13876" max="13876" width="9" style="326"/>
    <col min="13877" max="13877" width="10.75" style="326" customWidth="1"/>
    <col min="13878" max="13878" width="12.75" style="326" customWidth="1"/>
    <col min="13879" max="13879" width="9" style="326"/>
    <col min="13880" max="13880" width="10.75" style="326" bestFit="1" customWidth="1"/>
    <col min="13881" max="13881" width="11.5" style="326" customWidth="1"/>
    <col min="13882" max="13882" width="13.625" style="326" customWidth="1"/>
    <col min="13883" max="13883" width="10.625" style="326" customWidth="1"/>
    <col min="13884" max="13884" width="10.75" style="326" bestFit="1" customWidth="1"/>
    <col min="13885" max="13885" width="12.375" style="326" customWidth="1"/>
    <col min="13886" max="13888" width="9" style="326"/>
    <col min="13889" max="13889" width="15.75" style="326" customWidth="1"/>
    <col min="13890" max="13890" width="9" style="326"/>
    <col min="13891" max="13891" width="10.75" style="326" bestFit="1" customWidth="1"/>
    <col min="13892" max="13892" width="12.625" style="326" customWidth="1"/>
    <col min="13893" max="13895" width="9" style="326"/>
    <col min="13896" max="13896" width="13.625" style="326" customWidth="1"/>
    <col min="13897" max="13897" width="9" style="326"/>
    <col min="13898" max="13898" width="10.75" style="326" bestFit="1" customWidth="1"/>
    <col min="13899" max="13899" width="12.5" style="326" customWidth="1"/>
    <col min="13900" max="13902" width="9" style="326"/>
    <col min="13903" max="13903" width="12.875" style="326" customWidth="1"/>
    <col min="13904" max="13904" width="9" style="326"/>
    <col min="13905" max="13905" width="10.75" style="326" bestFit="1" customWidth="1"/>
    <col min="13906" max="13906" width="13.875" style="326" customWidth="1"/>
    <col min="13907" max="13909" width="9" style="326"/>
    <col min="13910" max="13910" width="14.125" style="326" customWidth="1"/>
    <col min="13911" max="13911" width="9" style="326"/>
    <col min="13912" max="13912" width="10.75" style="326" bestFit="1" customWidth="1"/>
    <col min="13913" max="13913" width="13.25" style="326" customWidth="1"/>
    <col min="13914" max="13916" width="9" style="326"/>
    <col min="13917" max="13917" width="13.25" style="326" customWidth="1"/>
    <col min="13918" max="13918" width="9" style="326"/>
    <col min="13919" max="13919" width="10.75" style="326" bestFit="1" customWidth="1"/>
    <col min="13920" max="13920" width="13.875" style="326" customWidth="1"/>
    <col min="13921" max="13923" width="9" style="326"/>
    <col min="13924" max="13924" width="13.625" style="326" customWidth="1"/>
    <col min="13925" max="13925" width="9" style="326"/>
    <col min="13926" max="13926" width="10.75" style="326" bestFit="1" customWidth="1"/>
    <col min="13927" max="13927" width="13" style="326" customWidth="1"/>
    <col min="13928" max="14074" width="9" style="326"/>
    <col min="14075" max="14076" width="12.125" style="326" customWidth="1"/>
    <col min="14077" max="14079" width="13" style="326" customWidth="1"/>
    <col min="14080" max="14080" width="12.875" style="326" customWidth="1"/>
    <col min="14081" max="14081" width="13" style="326" customWidth="1"/>
    <col min="14082" max="14082" width="13.125" style="326" customWidth="1"/>
    <col min="14083" max="14084" width="12.125" style="326" customWidth="1"/>
    <col min="14085" max="14085" width="14.375" style="326" bestFit="1" customWidth="1"/>
    <col min="14086" max="14086" width="11" style="326" customWidth="1"/>
    <col min="14087" max="14087" width="10" style="326" customWidth="1"/>
    <col min="14088" max="14088" width="10.875" style="326" customWidth="1"/>
    <col min="14089" max="14089" width="13.75" style="326" customWidth="1"/>
    <col min="14090" max="14090" width="10" style="326" customWidth="1"/>
    <col min="14091" max="14091" width="13.25" style="326" customWidth="1"/>
    <col min="14092" max="14092" width="14.375" style="326" customWidth="1"/>
    <col min="14093" max="14093" width="10" style="326" customWidth="1"/>
    <col min="14094" max="14094" width="10.875" style="326" customWidth="1"/>
    <col min="14095" max="14095" width="11.375" style="326" customWidth="1"/>
    <col min="14096" max="14096" width="15.375" style="326" customWidth="1"/>
    <col min="14097" max="14098" width="10.75" style="326" customWidth="1"/>
    <col min="14099" max="14099" width="14.375" style="326" customWidth="1"/>
    <col min="14100" max="14100" width="10.75" style="326" customWidth="1"/>
    <col min="14101" max="14101" width="11.75" style="326" customWidth="1"/>
    <col min="14102" max="14102" width="10" style="326" customWidth="1"/>
    <col min="14103" max="14103" width="15.375" style="326" customWidth="1"/>
    <col min="14104" max="14104" width="10" style="326" customWidth="1"/>
    <col min="14105" max="14105" width="10.75" style="326" customWidth="1"/>
    <col min="14106" max="14106" width="14.875" style="326" customWidth="1"/>
    <col min="14107" max="14107" width="11.5" style="326" customWidth="1"/>
    <col min="14108" max="14108" width="10" style="326" customWidth="1"/>
    <col min="14109" max="14109" width="10.75" style="326" customWidth="1"/>
    <col min="14110" max="14110" width="13.5" style="326" customWidth="1"/>
    <col min="14111" max="14111" width="9" style="326"/>
    <col min="14112" max="14112" width="10.75" style="326" bestFit="1" customWidth="1"/>
    <col min="14113" max="14113" width="13.75" style="326" customWidth="1"/>
    <col min="14114" max="14114" width="9" style="326"/>
    <col min="14115" max="14115" width="10.625" style="326" customWidth="1"/>
    <col min="14116" max="14116" width="9" style="326"/>
    <col min="14117" max="14117" width="14.25" style="326" customWidth="1"/>
    <col min="14118" max="14118" width="10.75" style="326" bestFit="1" customWidth="1"/>
    <col min="14119" max="14119" width="11.625" style="326" customWidth="1"/>
    <col min="14120" max="14120" width="13.75" style="326" customWidth="1"/>
    <col min="14121" max="14121" width="10.625" style="326" customWidth="1"/>
    <col min="14122" max="14123" width="9" style="326"/>
    <col min="14124" max="14124" width="14.125" style="326" customWidth="1"/>
    <col min="14125" max="14125" width="11" style="326" customWidth="1"/>
    <col min="14126" max="14126" width="10.75" style="326" bestFit="1" customWidth="1"/>
    <col min="14127" max="14127" width="13.5" style="326" customWidth="1"/>
    <col min="14128" max="14129" width="9" style="326"/>
    <col min="14130" max="14130" width="10.75" style="326" bestFit="1" customWidth="1"/>
    <col min="14131" max="14131" width="14" style="326" customWidth="1"/>
    <col min="14132" max="14132" width="9" style="326"/>
    <col min="14133" max="14133" width="10.75" style="326" customWidth="1"/>
    <col min="14134" max="14134" width="12.75" style="326" customWidth="1"/>
    <col min="14135" max="14135" width="9" style="326"/>
    <col min="14136" max="14136" width="10.75" style="326" bestFit="1" customWidth="1"/>
    <col min="14137" max="14137" width="11.5" style="326" customWidth="1"/>
    <col min="14138" max="14138" width="13.625" style="326" customWidth="1"/>
    <col min="14139" max="14139" width="10.625" style="326" customWidth="1"/>
    <col min="14140" max="14140" width="10.75" style="326" bestFit="1" customWidth="1"/>
    <col min="14141" max="14141" width="12.375" style="326" customWidth="1"/>
    <col min="14142" max="14144" width="9" style="326"/>
    <col min="14145" max="14145" width="15.75" style="326" customWidth="1"/>
    <col min="14146" max="14146" width="9" style="326"/>
    <col min="14147" max="14147" width="10.75" style="326" bestFit="1" customWidth="1"/>
    <col min="14148" max="14148" width="12.625" style="326" customWidth="1"/>
    <col min="14149" max="14151" width="9" style="326"/>
    <col min="14152" max="14152" width="13.625" style="326" customWidth="1"/>
    <col min="14153" max="14153" width="9" style="326"/>
    <col min="14154" max="14154" width="10.75" style="326" bestFit="1" customWidth="1"/>
    <col min="14155" max="14155" width="12.5" style="326" customWidth="1"/>
    <col min="14156" max="14158" width="9" style="326"/>
    <col min="14159" max="14159" width="12.875" style="326" customWidth="1"/>
    <col min="14160" max="14160" width="9" style="326"/>
    <col min="14161" max="14161" width="10.75" style="326" bestFit="1" customWidth="1"/>
    <col min="14162" max="14162" width="13.875" style="326" customWidth="1"/>
    <col min="14163" max="14165" width="9" style="326"/>
    <col min="14166" max="14166" width="14.125" style="326" customWidth="1"/>
    <col min="14167" max="14167" width="9" style="326"/>
    <col min="14168" max="14168" width="10.75" style="326" bestFit="1" customWidth="1"/>
    <col min="14169" max="14169" width="13.25" style="326" customWidth="1"/>
    <col min="14170" max="14172" width="9" style="326"/>
    <col min="14173" max="14173" width="13.25" style="326" customWidth="1"/>
    <col min="14174" max="14174" width="9" style="326"/>
    <col min="14175" max="14175" width="10.75" style="326" bestFit="1" customWidth="1"/>
    <col min="14176" max="14176" width="13.875" style="326" customWidth="1"/>
    <col min="14177" max="14179" width="9" style="326"/>
    <col min="14180" max="14180" width="13.625" style="326" customWidth="1"/>
    <col min="14181" max="14181" width="9" style="326"/>
    <col min="14182" max="14182" width="10.75" style="326" bestFit="1" customWidth="1"/>
    <col min="14183" max="14183" width="13" style="326" customWidth="1"/>
    <col min="14184" max="14330" width="9" style="326"/>
    <col min="14331" max="14332" width="12.125" style="326" customWidth="1"/>
    <col min="14333" max="14335" width="13" style="326" customWidth="1"/>
    <col min="14336" max="14336" width="12.875" style="326" customWidth="1"/>
    <col min="14337" max="14337" width="13" style="326" customWidth="1"/>
    <col min="14338" max="14338" width="13.125" style="326" customWidth="1"/>
    <col min="14339" max="14340" width="12.125" style="326" customWidth="1"/>
    <col min="14341" max="14341" width="14.375" style="326" bestFit="1" customWidth="1"/>
    <col min="14342" max="14342" width="11" style="326" customWidth="1"/>
    <col min="14343" max="14343" width="10" style="326" customWidth="1"/>
    <col min="14344" max="14344" width="10.875" style="326" customWidth="1"/>
    <col min="14345" max="14345" width="13.75" style="326" customWidth="1"/>
    <col min="14346" max="14346" width="10" style="326" customWidth="1"/>
    <col min="14347" max="14347" width="13.25" style="326" customWidth="1"/>
    <col min="14348" max="14348" width="14.375" style="326" customWidth="1"/>
    <col min="14349" max="14349" width="10" style="326" customWidth="1"/>
    <col min="14350" max="14350" width="10.875" style="326" customWidth="1"/>
    <col min="14351" max="14351" width="11.375" style="326" customWidth="1"/>
    <col min="14352" max="14352" width="15.375" style="326" customWidth="1"/>
    <col min="14353" max="14354" width="10.75" style="326" customWidth="1"/>
    <col min="14355" max="14355" width="14.375" style="326" customWidth="1"/>
    <col min="14356" max="14356" width="10.75" style="326" customWidth="1"/>
    <col min="14357" max="14357" width="11.75" style="326" customWidth="1"/>
    <col min="14358" max="14358" width="10" style="326" customWidth="1"/>
    <col min="14359" max="14359" width="15.375" style="326" customWidth="1"/>
    <col min="14360" max="14360" width="10" style="326" customWidth="1"/>
    <col min="14361" max="14361" width="10.75" style="326" customWidth="1"/>
    <col min="14362" max="14362" width="14.875" style="326" customWidth="1"/>
    <col min="14363" max="14363" width="11.5" style="326" customWidth="1"/>
    <col min="14364" max="14364" width="10" style="326" customWidth="1"/>
    <col min="14365" max="14365" width="10.75" style="326" customWidth="1"/>
    <col min="14366" max="14366" width="13.5" style="326" customWidth="1"/>
    <col min="14367" max="14367" width="9" style="326"/>
    <col min="14368" max="14368" width="10.75" style="326" bestFit="1" customWidth="1"/>
    <col min="14369" max="14369" width="13.75" style="326" customWidth="1"/>
    <col min="14370" max="14370" width="9" style="326"/>
    <col min="14371" max="14371" width="10.625" style="326" customWidth="1"/>
    <col min="14372" max="14372" width="9" style="326"/>
    <col min="14373" max="14373" width="14.25" style="326" customWidth="1"/>
    <col min="14374" max="14374" width="10.75" style="326" bestFit="1" customWidth="1"/>
    <col min="14375" max="14375" width="11.625" style="326" customWidth="1"/>
    <col min="14376" max="14376" width="13.75" style="326" customWidth="1"/>
    <col min="14377" max="14377" width="10.625" style="326" customWidth="1"/>
    <col min="14378" max="14379" width="9" style="326"/>
    <col min="14380" max="14380" width="14.125" style="326" customWidth="1"/>
    <col min="14381" max="14381" width="11" style="326" customWidth="1"/>
    <col min="14382" max="14382" width="10.75" style="326" bestFit="1" customWidth="1"/>
    <col min="14383" max="14383" width="13.5" style="326" customWidth="1"/>
    <col min="14384" max="14385" width="9" style="326"/>
    <col min="14386" max="14386" width="10.75" style="326" bestFit="1" customWidth="1"/>
    <col min="14387" max="14387" width="14" style="326" customWidth="1"/>
    <col min="14388" max="14388" width="9" style="326"/>
    <col min="14389" max="14389" width="10.75" style="326" customWidth="1"/>
    <col min="14390" max="14390" width="12.75" style="326" customWidth="1"/>
    <col min="14391" max="14391" width="9" style="326"/>
    <col min="14392" max="14392" width="10.75" style="326" bestFit="1" customWidth="1"/>
    <col min="14393" max="14393" width="11.5" style="326" customWidth="1"/>
    <col min="14394" max="14394" width="13.625" style="326" customWidth="1"/>
    <col min="14395" max="14395" width="10.625" style="326" customWidth="1"/>
    <col min="14396" max="14396" width="10.75" style="326" bestFit="1" customWidth="1"/>
    <col min="14397" max="14397" width="12.375" style="326" customWidth="1"/>
    <col min="14398" max="14400" width="9" style="326"/>
    <col min="14401" max="14401" width="15.75" style="326" customWidth="1"/>
    <col min="14402" max="14402" width="9" style="326"/>
    <col min="14403" max="14403" width="10.75" style="326" bestFit="1" customWidth="1"/>
    <col min="14404" max="14404" width="12.625" style="326" customWidth="1"/>
    <col min="14405" max="14407" width="9" style="326"/>
    <col min="14408" max="14408" width="13.625" style="326" customWidth="1"/>
    <col min="14409" max="14409" width="9" style="326"/>
    <col min="14410" max="14410" width="10.75" style="326" bestFit="1" customWidth="1"/>
    <col min="14411" max="14411" width="12.5" style="326" customWidth="1"/>
    <col min="14412" max="14414" width="9" style="326"/>
    <col min="14415" max="14415" width="12.875" style="326" customWidth="1"/>
    <col min="14416" max="14416" width="9" style="326"/>
    <col min="14417" max="14417" width="10.75" style="326" bestFit="1" customWidth="1"/>
    <col min="14418" max="14418" width="13.875" style="326" customWidth="1"/>
    <col min="14419" max="14421" width="9" style="326"/>
    <col min="14422" max="14422" width="14.125" style="326" customWidth="1"/>
    <col min="14423" max="14423" width="9" style="326"/>
    <col min="14424" max="14424" width="10.75" style="326" bestFit="1" customWidth="1"/>
    <col min="14425" max="14425" width="13.25" style="326" customWidth="1"/>
    <col min="14426" max="14428" width="9" style="326"/>
    <col min="14429" max="14429" width="13.25" style="326" customWidth="1"/>
    <col min="14430" max="14430" width="9" style="326"/>
    <col min="14431" max="14431" width="10.75" style="326" bestFit="1" customWidth="1"/>
    <col min="14432" max="14432" width="13.875" style="326" customWidth="1"/>
    <col min="14433" max="14435" width="9" style="326"/>
    <col min="14436" max="14436" width="13.625" style="326" customWidth="1"/>
    <col min="14437" max="14437" width="9" style="326"/>
    <col min="14438" max="14438" width="10.75" style="326" bestFit="1" customWidth="1"/>
    <col min="14439" max="14439" width="13" style="326" customWidth="1"/>
    <col min="14440" max="14586" width="9" style="326"/>
    <col min="14587" max="14588" width="12.125" style="326" customWidth="1"/>
    <col min="14589" max="14591" width="13" style="326" customWidth="1"/>
    <col min="14592" max="14592" width="12.875" style="326" customWidth="1"/>
    <col min="14593" max="14593" width="13" style="326" customWidth="1"/>
    <col min="14594" max="14594" width="13.125" style="326" customWidth="1"/>
    <col min="14595" max="14596" width="12.125" style="326" customWidth="1"/>
    <col min="14597" max="14597" width="14.375" style="326" bestFit="1" customWidth="1"/>
    <col min="14598" max="14598" width="11" style="326" customWidth="1"/>
    <col min="14599" max="14599" width="10" style="326" customWidth="1"/>
    <col min="14600" max="14600" width="10.875" style="326" customWidth="1"/>
    <col min="14601" max="14601" width="13.75" style="326" customWidth="1"/>
    <col min="14602" max="14602" width="10" style="326" customWidth="1"/>
    <col min="14603" max="14603" width="13.25" style="326" customWidth="1"/>
    <col min="14604" max="14604" width="14.375" style="326" customWidth="1"/>
    <col min="14605" max="14605" width="10" style="326" customWidth="1"/>
    <col min="14606" max="14606" width="10.875" style="326" customWidth="1"/>
    <col min="14607" max="14607" width="11.375" style="326" customWidth="1"/>
    <col min="14608" max="14608" width="15.375" style="326" customWidth="1"/>
    <col min="14609" max="14610" width="10.75" style="326" customWidth="1"/>
    <col min="14611" max="14611" width="14.375" style="326" customWidth="1"/>
    <col min="14612" max="14612" width="10.75" style="326" customWidth="1"/>
    <col min="14613" max="14613" width="11.75" style="326" customWidth="1"/>
    <col min="14614" max="14614" width="10" style="326" customWidth="1"/>
    <col min="14615" max="14615" width="15.375" style="326" customWidth="1"/>
    <col min="14616" max="14616" width="10" style="326" customWidth="1"/>
    <col min="14617" max="14617" width="10.75" style="326" customWidth="1"/>
    <col min="14618" max="14618" width="14.875" style="326" customWidth="1"/>
    <col min="14619" max="14619" width="11.5" style="326" customWidth="1"/>
    <col min="14620" max="14620" width="10" style="326" customWidth="1"/>
    <col min="14621" max="14621" width="10.75" style="326" customWidth="1"/>
    <col min="14622" max="14622" width="13.5" style="326" customWidth="1"/>
    <col min="14623" max="14623" width="9" style="326"/>
    <col min="14624" max="14624" width="10.75" style="326" bestFit="1" customWidth="1"/>
    <col min="14625" max="14625" width="13.75" style="326" customWidth="1"/>
    <col min="14626" max="14626" width="9" style="326"/>
    <col min="14627" max="14627" width="10.625" style="326" customWidth="1"/>
    <col min="14628" max="14628" width="9" style="326"/>
    <col min="14629" max="14629" width="14.25" style="326" customWidth="1"/>
    <col min="14630" max="14630" width="10.75" style="326" bestFit="1" customWidth="1"/>
    <col min="14631" max="14631" width="11.625" style="326" customWidth="1"/>
    <col min="14632" max="14632" width="13.75" style="326" customWidth="1"/>
    <col min="14633" max="14633" width="10.625" style="326" customWidth="1"/>
    <col min="14634" max="14635" width="9" style="326"/>
    <col min="14636" max="14636" width="14.125" style="326" customWidth="1"/>
    <col min="14637" max="14637" width="11" style="326" customWidth="1"/>
    <col min="14638" max="14638" width="10.75" style="326" bestFit="1" customWidth="1"/>
    <col min="14639" max="14639" width="13.5" style="326" customWidth="1"/>
    <col min="14640" max="14641" width="9" style="326"/>
    <col min="14642" max="14642" width="10.75" style="326" bestFit="1" customWidth="1"/>
    <col min="14643" max="14643" width="14" style="326" customWidth="1"/>
    <col min="14644" max="14644" width="9" style="326"/>
    <col min="14645" max="14645" width="10.75" style="326" customWidth="1"/>
    <col min="14646" max="14646" width="12.75" style="326" customWidth="1"/>
    <col min="14647" max="14647" width="9" style="326"/>
    <col min="14648" max="14648" width="10.75" style="326" bestFit="1" customWidth="1"/>
    <col min="14649" max="14649" width="11.5" style="326" customWidth="1"/>
    <col min="14650" max="14650" width="13.625" style="326" customWidth="1"/>
    <col min="14651" max="14651" width="10.625" style="326" customWidth="1"/>
    <col min="14652" max="14652" width="10.75" style="326" bestFit="1" customWidth="1"/>
    <col min="14653" max="14653" width="12.375" style="326" customWidth="1"/>
    <col min="14654" max="14656" width="9" style="326"/>
    <col min="14657" max="14657" width="15.75" style="326" customWidth="1"/>
    <col min="14658" max="14658" width="9" style="326"/>
    <col min="14659" max="14659" width="10.75" style="326" bestFit="1" customWidth="1"/>
    <col min="14660" max="14660" width="12.625" style="326" customWidth="1"/>
    <col min="14661" max="14663" width="9" style="326"/>
    <col min="14664" max="14664" width="13.625" style="326" customWidth="1"/>
    <col min="14665" max="14665" width="9" style="326"/>
    <col min="14666" max="14666" width="10.75" style="326" bestFit="1" customWidth="1"/>
    <col min="14667" max="14667" width="12.5" style="326" customWidth="1"/>
    <col min="14668" max="14670" width="9" style="326"/>
    <col min="14671" max="14671" width="12.875" style="326" customWidth="1"/>
    <col min="14672" max="14672" width="9" style="326"/>
    <col min="14673" max="14673" width="10.75" style="326" bestFit="1" customWidth="1"/>
    <col min="14674" max="14674" width="13.875" style="326" customWidth="1"/>
    <col min="14675" max="14677" width="9" style="326"/>
    <col min="14678" max="14678" width="14.125" style="326" customWidth="1"/>
    <col min="14679" max="14679" width="9" style="326"/>
    <col min="14680" max="14680" width="10.75" style="326" bestFit="1" customWidth="1"/>
    <col min="14681" max="14681" width="13.25" style="326" customWidth="1"/>
    <col min="14682" max="14684" width="9" style="326"/>
    <col min="14685" max="14685" width="13.25" style="326" customWidth="1"/>
    <col min="14686" max="14686" width="9" style="326"/>
    <col min="14687" max="14687" width="10.75" style="326" bestFit="1" customWidth="1"/>
    <col min="14688" max="14688" width="13.875" style="326" customWidth="1"/>
    <col min="14689" max="14691" width="9" style="326"/>
    <col min="14692" max="14692" width="13.625" style="326" customWidth="1"/>
    <col min="14693" max="14693" width="9" style="326"/>
    <col min="14694" max="14694" width="10.75" style="326" bestFit="1" customWidth="1"/>
    <col min="14695" max="14695" width="13" style="326" customWidth="1"/>
    <col min="14696" max="14842" width="9" style="326"/>
    <col min="14843" max="14844" width="12.125" style="326" customWidth="1"/>
    <col min="14845" max="14847" width="13" style="326" customWidth="1"/>
    <col min="14848" max="14848" width="12.875" style="326" customWidth="1"/>
    <col min="14849" max="14849" width="13" style="326" customWidth="1"/>
    <col min="14850" max="14850" width="13.125" style="326" customWidth="1"/>
    <col min="14851" max="14852" width="12.125" style="326" customWidth="1"/>
    <col min="14853" max="14853" width="14.375" style="326" bestFit="1" customWidth="1"/>
    <col min="14854" max="14854" width="11" style="326" customWidth="1"/>
    <col min="14855" max="14855" width="10" style="326" customWidth="1"/>
    <col min="14856" max="14856" width="10.875" style="326" customWidth="1"/>
    <col min="14857" max="14857" width="13.75" style="326" customWidth="1"/>
    <col min="14858" max="14858" width="10" style="326" customWidth="1"/>
    <col min="14859" max="14859" width="13.25" style="326" customWidth="1"/>
    <col min="14860" max="14860" width="14.375" style="326" customWidth="1"/>
    <col min="14861" max="14861" width="10" style="326" customWidth="1"/>
    <col min="14862" max="14862" width="10.875" style="326" customWidth="1"/>
    <col min="14863" max="14863" width="11.375" style="326" customWidth="1"/>
    <col min="14864" max="14864" width="15.375" style="326" customWidth="1"/>
    <col min="14865" max="14866" width="10.75" style="326" customWidth="1"/>
    <col min="14867" max="14867" width="14.375" style="326" customWidth="1"/>
    <col min="14868" max="14868" width="10.75" style="326" customWidth="1"/>
    <col min="14869" max="14869" width="11.75" style="326" customWidth="1"/>
    <col min="14870" max="14870" width="10" style="326" customWidth="1"/>
    <col min="14871" max="14871" width="15.375" style="326" customWidth="1"/>
    <col min="14872" max="14872" width="10" style="326" customWidth="1"/>
    <col min="14873" max="14873" width="10.75" style="326" customWidth="1"/>
    <col min="14874" max="14874" width="14.875" style="326" customWidth="1"/>
    <col min="14875" max="14875" width="11.5" style="326" customWidth="1"/>
    <col min="14876" max="14876" width="10" style="326" customWidth="1"/>
    <col min="14877" max="14877" width="10.75" style="326" customWidth="1"/>
    <col min="14878" max="14878" width="13.5" style="326" customWidth="1"/>
    <col min="14879" max="14879" width="9" style="326"/>
    <col min="14880" max="14880" width="10.75" style="326" bestFit="1" customWidth="1"/>
    <col min="14881" max="14881" width="13.75" style="326" customWidth="1"/>
    <col min="14882" max="14882" width="9" style="326"/>
    <col min="14883" max="14883" width="10.625" style="326" customWidth="1"/>
    <col min="14884" max="14884" width="9" style="326"/>
    <col min="14885" max="14885" width="14.25" style="326" customWidth="1"/>
    <col min="14886" max="14886" width="10.75" style="326" bestFit="1" customWidth="1"/>
    <col min="14887" max="14887" width="11.625" style="326" customWidth="1"/>
    <col min="14888" max="14888" width="13.75" style="326" customWidth="1"/>
    <col min="14889" max="14889" width="10.625" style="326" customWidth="1"/>
    <col min="14890" max="14891" width="9" style="326"/>
    <col min="14892" max="14892" width="14.125" style="326" customWidth="1"/>
    <col min="14893" max="14893" width="11" style="326" customWidth="1"/>
    <col min="14894" max="14894" width="10.75" style="326" bestFit="1" customWidth="1"/>
    <col min="14895" max="14895" width="13.5" style="326" customWidth="1"/>
    <col min="14896" max="14897" width="9" style="326"/>
    <col min="14898" max="14898" width="10.75" style="326" bestFit="1" customWidth="1"/>
    <col min="14899" max="14899" width="14" style="326" customWidth="1"/>
    <col min="14900" max="14900" width="9" style="326"/>
    <col min="14901" max="14901" width="10.75" style="326" customWidth="1"/>
    <col min="14902" max="14902" width="12.75" style="326" customWidth="1"/>
    <col min="14903" max="14903" width="9" style="326"/>
    <col min="14904" max="14904" width="10.75" style="326" bestFit="1" customWidth="1"/>
    <col min="14905" max="14905" width="11.5" style="326" customWidth="1"/>
    <col min="14906" max="14906" width="13.625" style="326" customWidth="1"/>
    <col min="14907" max="14907" width="10.625" style="326" customWidth="1"/>
    <col min="14908" max="14908" width="10.75" style="326" bestFit="1" customWidth="1"/>
    <col min="14909" max="14909" width="12.375" style="326" customWidth="1"/>
    <col min="14910" max="14912" width="9" style="326"/>
    <col min="14913" max="14913" width="15.75" style="326" customWidth="1"/>
    <col min="14914" max="14914" width="9" style="326"/>
    <col min="14915" max="14915" width="10.75" style="326" bestFit="1" customWidth="1"/>
    <col min="14916" max="14916" width="12.625" style="326" customWidth="1"/>
    <col min="14917" max="14919" width="9" style="326"/>
    <col min="14920" max="14920" width="13.625" style="326" customWidth="1"/>
    <col min="14921" max="14921" width="9" style="326"/>
    <col min="14922" max="14922" width="10.75" style="326" bestFit="1" customWidth="1"/>
    <col min="14923" max="14923" width="12.5" style="326" customWidth="1"/>
    <col min="14924" max="14926" width="9" style="326"/>
    <col min="14927" max="14927" width="12.875" style="326" customWidth="1"/>
    <col min="14928" max="14928" width="9" style="326"/>
    <col min="14929" max="14929" width="10.75" style="326" bestFit="1" customWidth="1"/>
    <col min="14930" max="14930" width="13.875" style="326" customWidth="1"/>
    <col min="14931" max="14933" width="9" style="326"/>
    <col min="14934" max="14934" width="14.125" style="326" customWidth="1"/>
    <col min="14935" max="14935" width="9" style="326"/>
    <col min="14936" max="14936" width="10.75" style="326" bestFit="1" customWidth="1"/>
    <col min="14937" max="14937" width="13.25" style="326" customWidth="1"/>
    <col min="14938" max="14940" width="9" style="326"/>
    <col min="14941" max="14941" width="13.25" style="326" customWidth="1"/>
    <col min="14942" max="14942" width="9" style="326"/>
    <col min="14943" max="14943" width="10.75" style="326" bestFit="1" customWidth="1"/>
    <col min="14944" max="14944" width="13.875" style="326" customWidth="1"/>
    <col min="14945" max="14947" width="9" style="326"/>
    <col min="14948" max="14948" width="13.625" style="326" customWidth="1"/>
    <col min="14949" max="14949" width="9" style="326"/>
    <col min="14950" max="14950" width="10.75" style="326" bestFit="1" customWidth="1"/>
    <col min="14951" max="14951" width="13" style="326" customWidth="1"/>
    <col min="14952" max="15098" width="9" style="326"/>
    <col min="15099" max="15100" width="12.125" style="326" customWidth="1"/>
    <col min="15101" max="15103" width="13" style="326" customWidth="1"/>
    <col min="15104" max="15104" width="12.875" style="326" customWidth="1"/>
    <col min="15105" max="15105" width="13" style="326" customWidth="1"/>
    <col min="15106" max="15106" width="13.125" style="326" customWidth="1"/>
    <col min="15107" max="15108" width="12.125" style="326" customWidth="1"/>
    <col min="15109" max="15109" width="14.375" style="326" bestFit="1" customWidth="1"/>
    <col min="15110" max="15110" width="11" style="326" customWidth="1"/>
    <col min="15111" max="15111" width="10" style="326" customWidth="1"/>
    <col min="15112" max="15112" width="10.875" style="326" customWidth="1"/>
    <col min="15113" max="15113" width="13.75" style="326" customWidth="1"/>
    <col min="15114" max="15114" width="10" style="326" customWidth="1"/>
    <col min="15115" max="15115" width="13.25" style="326" customWidth="1"/>
    <col min="15116" max="15116" width="14.375" style="326" customWidth="1"/>
    <col min="15117" max="15117" width="10" style="326" customWidth="1"/>
    <col min="15118" max="15118" width="10.875" style="326" customWidth="1"/>
    <col min="15119" max="15119" width="11.375" style="326" customWidth="1"/>
    <col min="15120" max="15120" width="15.375" style="326" customWidth="1"/>
    <col min="15121" max="15122" width="10.75" style="326" customWidth="1"/>
    <col min="15123" max="15123" width="14.375" style="326" customWidth="1"/>
    <col min="15124" max="15124" width="10.75" style="326" customWidth="1"/>
    <col min="15125" max="15125" width="11.75" style="326" customWidth="1"/>
    <col min="15126" max="15126" width="10" style="326" customWidth="1"/>
    <col min="15127" max="15127" width="15.375" style="326" customWidth="1"/>
    <col min="15128" max="15128" width="10" style="326" customWidth="1"/>
    <col min="15129" max="15129" width="10.75" style="326" customWidth="1"/>
    <col min="15130" max="15130" width="14.875" style="326" customWidth="1"/>
    <col min="15131" max="15131" width="11.5" style="326" customWidth="1"/>
    <col min="15132" max="15132" width="10" style="326" customWidth="1"/>
    <col min="15133" max="15133" width="10.75" style="326" customWidth="1"/>
    <col min="15134" max="15134" width="13.5" style="326" customWidth="1"/>
    <col min="15135" max="15135" width="9" style="326"/>
    <col min="15136" max="15136" width="10.75" style="326" bestFit="1" customWidth="1"/>
    <col min="15137" max="15137" width="13.75" style="326" customWidth="1"/>
    <col min="15138" max="15138" width="9" style="326"/>
    <col min="15139" max="15139" width="10.625" style="326" customWidth="1"/>
    <col min="15140" max="15140" width="9" style="326"/>
    <col min="15141" max="15141" width="14.25" style="326" customWidth="1"/>
    <col min="15142" max="15142" width="10.75" style="326" bestFit="1" customWidth="1"/>
    <col min="15143" max="15143" width="11.625" style="326" customWidth="1"/>
    <col min="15144" max="15144" width="13.75" style="326" customWidth="1"/>
    <col min="15145" max="15145" width="10.625" style="326" customWidth="1"/>
    <col min="15146" max="15147" width="9" style="326"/>
    <col min="15148" max="15148" width="14.125" style="326" customWidth="1"/>
    <col min="15149" max="15149" width="11" style="326" customWidth="1"/>
    <col min="15150" max="15150" width="10.75" style="326" bestFit="1" customWidth="1"/>
    <col min="15151" max="15151" width="13.5" style="326" customWidth="1"/>
    <col min="15152" max="15153" width="9" style="326"/>
    <col min="15154" max="15154" width="10.75" style="326" bestFit="1" customWidth="1"/>
    <col min="15155" max="15155" width="14" style="326" customWidth="1"/>
    <col min="15156" max="15156" width="9" style="326"/>
    <col min="15157" max="15157" width="10.75" style="326" customWidth="1"/>
    <col min="15158" max="15158" width="12.75" style="326" customWidth="1"/>
    <col min="15159" max="15159" width="9" style="326"/>
    <col min="15160" max="15160" width="10.75" style="326" bestFit="1" customWidth="1"/>
    <col min="15161" max="15161" width="11.5" style="326" customWidth="1"/>
    <col min="15162" max="15162" width="13.625" style="326" customWidth="1"/>
    <col min="15163" max="15163" width="10.625" style="326" customWidth="1"/>
    <col min="15164" max="15164" width="10.75" style="326" bestFit="1" customWidth="1"/>
    <col min="15165" max="15165" width="12.375" style="326" customWidth="1"/>
    <col min="15166" max="15168" width="9" style="326"/>
    <col min="15169" max="15169" width="15.75" style="326" customWidth="1"/>
    <col min="15170" max="15170" width="9" style="326"/>
    <col min="15171" max="15171" width="10.75" style="326" bestFit="1" customWidth="1"/>
    <col min="15172" max="15172" width="12.625" style="326" customWidth="1"/>
    <col min="15173" max="15175" width="9" style="326"/>
    <col min="15176" max="15176" width="13.625" style="326" customWidth="1"/>
    <col min="15177" max="15177" width="9" style="326"/>
    <col min="15178" max="15178" width="10.75" style="326" bestFit="1" customWidth="1"/>
    <col min="15179" max="15179" width="12.5" style="326" customWidth="1"/>
    <col min="15180" max="15182" width="9" style="326"/>
    <col min="15183" max="15183" width="12.875" style="326" customWidth="1"/>
    <col min="15184" max="15184" width="9" style="326"/>
    <col min="15185" max="15185" width="10.75" style="326" bestFit="1" customWidth="1"/>
    <col min="15186" max="15186" width="13.875" style="326" customWidth="1"/>
    <col min="15187" max="15189" width="9" style="326"/>
    <col min="15190" max="15190" width="14.125" style="326" customWidth="1"/>
    <col min="15191" max="15191" width="9" style="326"/>
    <col min="15192" max="15192" width="10.75" style="326" bestFit="1" customWidth="1"/>
    <col min="15193" max="15193" width="13.25" style="326" customWidth="1"/>
    <col min="15194" max="15196" width="9" style="326"/>
    <col min="15197" max="15197" width="13.25" style="326" customWidth="1"/>
    <col min="15198" max="15198" width="9" style="326"/>
    <col min="15199" max="15199" width="10.75" style="326" bestFit="1" customWidth="1"/>
    <col min="15200" max="15200" width="13.875" style="326" customWidth="1"/>
    <col min="15201" max="15203" width="9" style="326"/>
    <col min="15204" max="15204" width="13.625" style="326" customWidth="1"/>
    <col min="15205" max="15205" width="9" style="326"/>
    <col min="15206" max="15206" width="10.75" style="326" bestFit="1" customWidth="1"/>
    <col min="15207" max="15207" width="13" style="326" customWidth="1"/>
    <col min="15208" max="15354" width="9" style="326"/>
    <col min="15355" max="15356" width="12.125" style="326" customWidth="1"/>
    <col min="15357" max="15359" width="13" style="326" customWidth="1"/>
    <col min="15360" max="15360" width="12.875" style="326" customWidth="1"/>
    <col min="15361" max="15361" width="13" style="326" customWidth="1"/>
    <col min="15362" max="15362" width="13.125" style="326" customWidth="1"/>
    <col min="15363" max="15364" width="12.125" style="326" customWidth="1"/>
    <col min="15365" max="15365" width="14.375" style="326" bestFit="1" customWidth="1"/>
    <col min="15366" max="15366" width="11" style="326" customWidth="1"/>
    <col min="15367" max="15367" width="10" style="326" customWidth="1"/>
    <col min="15368" max="15368" width="10.875" style="326" customWidth="1"/>
    <col min="15369" max="15369" width="13.75" style="326" customWidth="1"/>
    <col min="15370" max="15370" width="10" style="326" customWidth="1"/>
    <col min="15371" max="15371" width="13.25" style="326" customWidth="1"/>
    <col min="15372" max="15372" width="14.375" style="326" customWidth="1"/>
    <col min="15373" max="15373" width="10" style="326" customWidth="1"/>
    <col min="15374" max="15374" width="10.875" style="326" customWidth="1"/>
    <col min="15375" max="15375" width="11.375" style="326" customWidth="1"/>
    <col min="15376" max="15376" width="15.375" style="326" customWidth="1"/>
    <col min="15377" max="15378" width="10.75" style="326" customWidth="1"/>
    <col min="15379" max="15379" width="14.375" style="326" customWidth="1"/>
    <col min="15380" max="15380" width="10.75" style="326" customWidth="1"/>
    <col min="15381" max="15381" width="11.75" style="326" customWidth="1"/>
    <col min="15382" max="15382" width="10" style="326" customWidth="1"/>
    <col min="15383" max="15383" width="15.375" style="326" customWidth="1"/>
    <col min="15384" max="15384" width="10" style="326" customWidth="1"/>
    <col min="15385" max="15385" width="10.75" style="326" customWidth="1"/>
    <col min="15386" max="15386" width="14.875" style="326" customWidth="1"/>
    <col min="15387" max="15387" width="11.5" style="326" customWidth="1"/>
    <col min="15388" max="15388" width="10" style="326" customWidth="1"/>
    <col min="15389" max="15389" width="10.75" style="326" customWidth="1"/>
    <col min="15390" max="15390" width="13.5" style="326" customWidth="1"/>
    <col min="15391" max="15391" width="9" style="326"/>
    <col min="15392" max="15392" width="10.75" style="326" bestFit="1" customWidth="1"/>
    <col min="15393" max="15393" width="13.75" style="326" customWidth="1"/>
    <col min="15394" max="15394" width="9" style="326"/>
    <col min="15395" max="15395" width="10.625" style="326" customWidth="1"/>
    <col min="15396" max="15396" width="9" style="326"/>
    <col min="15397" max="15397" width="14.25" style="326" customWidth="1"/>
    <col min="15398" max="15398" width="10.75" style="326" bestFit="1" customWidth="1"/>
    <col min="15399" max="15399" width="11.625" style="326" customWidth="1"/>
    <col min="15400" max="15400" width="13.75" style="326" customWidth="1"/>
    <col min="15401" max="15401" width="10.625" style="326" customWidth="1"/>
    <col min="15402" max="15403" width="9" style="326"/>
    <col min="15404" max="15404" width="14.125" style="326" customWidth="1"/>
    <col min="15405" max="15405" width="11" style="326" customWidth="1"/>
    <col min="15406" max="15406" width="10.75" style="326" bestFit="1" customWidth="1"/>
    <col min="15407" max="15407" width="13.5" style="326" customWidth="1"/>
    <col min="15408" max="15409" width="9" style="326"/>
    <col min="15410" max="15410" width="10.75" style="326" bestFit="1" customWidth="1"/>
    <col min="15411" max="15411" width="14" style="326" customWidth="1"/>
    <col min="15412" max="15412" width="9" style="326"/>
    <col min="15413" max="15413" width="10.75" style="326" customWidth="1"/>
    <col min="15414" max="15414" width="12.75" style="326" customWidth="1"/>
    <col min="15415" max="15415" width="9" style="326"/>
    <col min="15416" max="15416" width="10.75" style="326" bestFit="1" customWidth="1"/>
    <col min="15417" max="15417" width="11.5" style="326" customWidth="1"/>
    <col min="15418" max="15418" width="13.625" style="326" customWidth="1"/>
    <col min="15419" max="15419" width="10.625" style="326" customWidth="1"/>
    <col min="15420" max="15420" width="10.75" style="326" bestFit="1" customWidth="1"/>
    <col min="15421" max="15421" width="12.375" style="326" customWidth="1"/>
    <col min="15422" max="15424" width="9" style="326"/>
    <col min="15425" max="15425" width="15.75" style="326" customWidth="1"/>
    <col min="15426" max="15426" width="9" style="326"/>
    <col min="15427" max="15427" width="10.75" style="326" bestFit="1" customWidth="1"/>
    <col min="15428" max="15428" width="12.625" style="326" customWidth="1"/>
    <col min="15429" max="15431" width="9" style="326"/>
    <col min="15432" max="15432" width="13.625" style="326" customWidth="1"/>
    <col min="15433" max="15433" width="9" style="326"/>
    <col min="15434" max="15434" width="10.75" style="326" bestFit="1" customWidth="1"/>
    <col min="15435" max="15435" width="12.5" style="326" customWidth="1"/>
    <col min="15436" max="15438" width="9" style="326"/>
    <col min="15439" max="15439" width="12.875" style="326" customWidth="1"/>
    <col min="15440" max="15440" width="9" style="326"/>
    <col min="15441" max="15441" width="10.75" style="326" bestFit="1" customWidth="1"/>
    <col min="15442" max="15442" width="13.875" style="326" customWidth="1"/>
    <col min="15443" max="15445" width="9" style="326"/>
    <col min="15446" max="15446" width="14.125" style="326" customWidth="1"/>
    <col min="15447" max="15447" width="9" style="326"/>
    <col min="15448" max="15448" width="10.75" style="326" bestFit="1" customWidth="1"/>
    <col min="15449" max="15449" width="13.25" style="326" customWidth="1"/>
    <col min="15450" max="15452" width="9" style="326"/>
    <col min="15453" max="15453" width="13.25" style="326" customWidth="1"/>
    <col min="15454" max="15454" width="9" style="326"/>
    <col min="15455" max="15455" width="10.75" style="326" bestFit="1" customWidth="1"/>
    <col min="15456" max="15456" width="13.875" style="326" customWidth="1"/>
    <col min="15457" max="15459" width="9" style="326"/>
    <col min="15460" max="15460" width="13.625" style="326" customWidth="1"/>
    <col min="15461" max="15461" width="9" style="326"/>
    <col min="15462" max="15462" width="10.75" style="326" bestFit="1" customWidth="1"/>
    <col min="15463" max="15463" width="13" style="326" customWidth="1"/>
    <col min="15464" max="15610" width="9" style="326"/>
    <col min="15611" max="15612" width="12.125" style="326" customWidth="1"/>
    <col min="15613" max="15615" width="13" style="326" customWidth="1"/>
    <col min="15616" max="15616" width="12.875" style="326" customWidth="1"/>
    <col min="15617" max="15617" width="13" style="326" customWidth="1"/>
    <col min="15618" max="15618" width="13.125" style="326" customWidth="1"/>
    <col min="15619" max="15620" width="12.125" style="326" customWidth="1"/>
    <col min="15621" max="15621" width="14.375" style="326" bestFit="1" customWidth="1"/>
    <col min="15622" max="15622" width="11" style="326" customWidth="1"/>
    <col min="15623" max="15623" width="10" style="326" customWidth="1"/>
    <col min="15624" max="15624" width="10.875" style="326" customWidth="1"/>
    <col min="15625" max="15625" width="13.75" style="326" customWidth="1"/>
    <col min="15626" max="15626" width="10" style="326" customWidth="1"/>
    <col min="15627" max="15627" width="13.25" style="326" customWidth="1"/>
    <col min="15628" max="15628" width="14.375" style="326" customWidth="1"/>
    <col min="15629" max="15629" width="10" style="326" customWidth="1"/>
    <col min="15630" max="15630" width="10.875" style="326" customWidth="1"/>
    <col min="15631" max="15631" width="11.375" style="326" customWidth="1"/>
    <col min="15632" max="15632" width="15.375" style="326" customWidth="1"/>
    <col min="15633" max="15634" width="10.75" style="326" customWidth="1"/>
    <col min="15635" max="15635" width="14.375" style="326" customWidth="1"/>
    <col min="15636" max="15636" width="10.75" style="326" customWidth="1"/>
    <col min="15637" max="15637" width="11.75" style="326" customWidth="1"/>
    <col min="15638" max="15638" width="10" style="326" customWidth="1"/>
    <col min="15639" max="15639" width="15.375" style="326" customWidth="1"/>
    <col min="15640" max="15640" width="10" style="326" customWidth="1"/>
    <col min="15641" max="15641" width="10.75" style="326" customWidth="1"/>
    <col min="15642" max="15642" width="14.875" style="326" customWidth="1"/>
    <col min="15643" max="15643" width="11.5" style="326" customWidth="1"/>
    <col min="15644" max="15644" width="10" style="326" customWidth="1"/>
    <col min="15645" max="15645" width="10.75" style="326" customWidth="1"/>
    <col min="15646" max="15646" width="13.5" style="326" customWidth="1"/>
    <col min="15647" max="15647" width="9" style="326"/>
    <col min="15648" max="15648" width="10.75" style="326" bestFit="1" customWidth="1"/>
    <col min="15649" max="15649" width="13.75" style="326" customWidth="1"/>
    <col min="15650" max="15650" width="9" style="326"/>
    <col min="15651" max="15651" width="10.625" style="326" customWidth="1"/>
    <col min="15652" max="15652" width="9" style="326"/>
    <col min="15653" max="15653" width="14.25" style="326" customWidth="1"/>
    <col min="15654" max="15654" width="10.75" style="326" bestFit="1" customWidth="1"/>
    <col min="15655" max="15655" width="11.625" style="326" customWidth="1"/>
    <col min="15656" max="15656" width="13.75" style="326" customWidth="1"/>
    <col min="15657" max="15657" width="10.625" style="326" customWidth="1"/>
    <col min="15658" max="15659" width="9" style="326"/>
    <col min="15660" max="15660" width="14.125" style="326" customWidth="1"/>
    <col min="15661" max="15661" width="11" style="326" customWidth="1"/>
    <col min="15662" max="15662" width="10.75" style="326" bestFit="1" customWidth="1"/>
    <col min="15663" max="15663" width="13.5" style="326" customWidth="1"/>
    <col min="15664" max="15665" width="9" style="326"/>
    <col min="15666" max="15666" width="10.75" style="326" bestFit="1" customWidth="1"/>
    <col min="15667" max="15667" width="14" style="326" customWidth="1"/>
    <col min="15668" max="15668" width="9" style="326"/>
    <col min="15669" max="15669" width="10.75" style="326" customWidth="1"/>
    <col min="15670" max="15670" width="12.75" style="326" customWidth="1"/>
    <col min="15671" max="15671" width="9" style="326"/>
    <col min="15672" max="15672" width="10.75" style="326" bestFit="1" customWidth="1"/>
    <col min="15673" max="15673" width="11.5" style="326" customWidth="1"/>
    <col min="15674" max="15674" width="13.625" style="326" customWidth="1"/>
    <col min="15675" max="15675" width="10.625" style="326" customWidth="1"/>
    <col min="15676" max="15676" width="10.75" style="326" bestFit="1" customWidth="1"/>
    <col min="15677" max="15677" width="12.375" style="326" customWidth="1"/>
    <col min="15678" max="15680" width="9" style="326"/>
    <col min="15681" max="15681" width="15.75" style="326" customWidth="1"/>
    <col min="15682" max="15682" width="9" style="326"/>
    <col min="15683" max="15683" width="10.75" style="326" bestFit="1" customWidth="1"/>
    <col min="15684" max="15684" width="12.625" style="326" customWidth="1"/>
    <col min="15685" max="15687" width="9" style="326"/>
    <col min="15688" max="15688" width="13.625" style="326" customWidth="1"/>
    <col min="15689" max="15689" width="9" style="326"/>
    <col min="15690" max="15690" width="10.75" style="326" bestFit="1" customWidth="1"/>
    <col min="15691" max="15691" width="12.5" style="326" customWidth="1"/>
    <col min="15692" max="15694" width="9" style="326"/>
    <col min="15695" max="15695" width="12.875" style="326" customWidth="1"/>
    <col min="15696" max="15696" width="9" style="326"/>
    <col min="15697" max="15697" width="10.75" style="326" bestFit="1" customWidth="1"/>
    <col min="15698" max="15698" width="13.875" style="326" customWidth="1"/>
    <col min="15699" max="15701" width="9" style="326"/>
    <col min="15702" max="15702" width="14.125" style="326" customWidth="1"/>
    <col min="15703" max="15703" width="9" style="326"/>
    <col min="15704" max="15704" width="10.75" style="326" bestFit="1" customWidth="1"/>
    <col min="15705" max="15705" width="13.25" style="326" customWidth="1"/>
    <col min="15706" max="15708" width="9" style="326"/>
    <col min="15709" max="15709" width="13.25" style="326" customWidth="1"/>
    <col min="15710" max="15710" width="9" style="326"/>
    <col min="15711" max="15711" width="10.75" style="326" bestFit="1" customWidth="1"/>
    <col min="15712" max="15712" width="13.875" style="326" customWidth="1"/>
    <col min="15713" max="15715" width="9" style="326"/>
    <col min="15716" max="15716" width="13.625" style="326" customWidth="1"/>
    <col min="15717" max="15717" width="9" style="326"/>
    <col min="15718" max="15718" width="10.75" style="326" bestFit="1" customWidth="1"/>
    <col min="15719" max="15719" width="13" style="326" customWidth="1"/>
    <col min="15720" max="15866" width="9" style="326"/>
    <col min="15867" max="15868" width="12.125" style="326" customWidth="1"/>
    <col min="15869" max="15871" width="13" style="326" customWidth="1"/>
    <col min="15872" max="15872" width="12.875" style="326" customWidth="1"/>
    <col min="15873" max="15873" width="13" style="326" customWidth="1"/>
    <col min="15874" max="15874" width="13.125" style="326" customWidth="1"/>
    <col min="15875" max="15876" width="12.125" style="326" customWidth="1"/>
    <col min="15877" max="15877" width="14.375" style="326" bestFit="1" customWidth="1"/>
    <col min="15878" max="15878" width="11" style="326" customWidth="1"/>
    <col min="15879" max="15879" width="10" style="326" customWidth="1"/>
    <col min="15880" max="15880" width="10.875" style="326" customWidth="1"/>
    <col min="15881" max="15881" width="13.75" style="326" customWidth="1"/>
    <col min="15882" max="15882" width="10" style="326" customWidth="1"/>
    <col min="15883" max="15883" width="13.25" style="326" customWidth="1"/>
    <col min="15884" max="15884" width="14.375" style="326" customWidth="1"/>
    <col min="15885" max="15885" width="10" style="326" customWidth="1"/>
    <col min="15886" max="15886" width="10.875" style="326" customWidth="1"/>
    <col min="15887" max="15887" width="11.375" style="326" customWidth="1"/>
    <col min="15888" max="15888" width="15.375" style="326" customWidth="1"/>
    <col min="15889" max="15890" width="10.75" style="326" customWidth="1"/>
    <col min="15891" max="15891" width="14.375" style="326" customWidth="1"/>
    <col min="15892" max="15892" width="10.75" style="326" customWidth="1"/>
    <col min="15893" max="15893" width="11.75" style="326" customWidth="1"/>
    <col min="15894" max="15894" width="10" style="326" customWidth="1"/>
    <col min="15895" max="15895" width="15.375" style="326" customWidth="1"/>
    <col min="15896" max="15896" width="10" style="326" customWidth="1"/>
    <col min="15897" max="15897" width="10.75" style="326" customWidth="1"/>
    <col min="15898" max="15898" width="14.875" style="326" customWidth="1"/>
    <col min="15899" max="15899" width="11.5" style="326" customWidth="1"/>
    <col min="15900" max="15900" width="10" style="326" customWidth="1"/>
    <col min="15901" max="15901" width="10.75" style="326" customWidth="1"/>
    <col min="15902" max="15902" width="13.5" style="326" customWidth="1"/>
    <col min="15903" max="15903" width="9" style="326"/>
    <col min="15904" max="15904" width="10.75" style="326" bestFit="1" customWidth="1"/>
    <col min="15905" max="15905" width="13.75" style="326" customWidth="1"/>
    <col min="15906" max="15906" width="9" style="326"/>
    <col min="15907" max="15907" width="10.625" style="326" customWidth="1"/>
    <col min="15908" max="15908" width="9" style="326"/>
    <col min="15909" max="15909" width="14.25" style="326" customWidth="1"/>
    <col min="15910" max="15910" width="10.75" style="326" bestFit="1" customWidth="1"/>
    <col min="15911" max="15911" width="11.625" style="326" customWidth="1"/>
    <col min="15912" max="15912" width="13.75" style="326" customWidth="1"/>
    <col min="15913" max="15913" width="10.625" style="326" customWidth="1"/>
    <col min="15914" max="15915" width="9" style="326"/>
    <col min="15916" max="15916" width="14.125" style="326" customWidth="1"/>
    <col min="15917" max="15917" width="11" style="326" customWidth="1"/>
    <col min="15918" max="15918" width="10.75" style="326" bestFit="1" customWidth="1"/>
    <col min="15919" max="15919" width="13.5" style="326" customWidth="1"/>
    <col min="15920" max="15921" width="9" style="326"/>
    <col min="15922" max="15922" width="10.75" style="326" bestFit="1" customWidth="1"/>
    <col min="15923" max="15923" width="14" style="326" customWidth="1"/>
    <col min="15924" max="15924" width="9" style="326"/>
    <col min="15925" max="15925" width="10.75" style="326" customWidth="1"/>
    <col min="15926" max="15926" width="12.75" style="326" customWidth="1"/>
    <col min="15927" max="15927" width="9" style="326"/>
    <col min="15928" max="15928" width="10.75" style="326" bestFit="1" customWidth="1"/>
    <col min="15929" max="15929" width="11.5" style="326" customWidth="1"/>
    <col min="15930" max="15930" width="13.625" style="326" customWidth="1"/>
    <col min="15931" max="15931" width="10.625" style="326" customWidth="1"/>
    <col min="15932" max="15932" width="10.75" style="326" bestFit="1" customWidth="1"/>
    <col min="15933" max="15933" width="12.375" style="326" customWidth="1"/>
    <col min="15934" max="15936" width="9" style="326"/>
    <col min="15937" max="15937" width="15.75" style="326" customWidth="1"/>
    <col min="15938" max="15938" width="9" style="326"/>
    <col min="15939" max="15939" width="10.75" style="326" bestFit="1" customWidth="1"/>
    <col min="15940" max="15940" width="12.625" style="326" customWidth="1"/>
    <col min="15941" max="15943" width="9" style="326"/>
    <col min="15944" max="15944" width="13.625" style="326" customWidth="1"/>
    <col min="15945" max="15945" width="9" style="326"/>
    <col min="15946" max="15946" width="10.75" style="326" bestFit="1" customWidth="1"/>
    <col min="15947" max="15947" width="12.5" style="326" customWidth="1"/>
    <col min="15948" max="15950" width="9" style="326"/>
    <col min="15951" max="15951" width="12.875" style="326" customWidth="1"/>
    <col min="15952" max="15952" width="9" style="326"/>
    <col min="15953" max="15953" width="10.75" style="326" bestFit="1" customWidth="1"/>
    <col min="15954" max="15954" width="13.875" style="326" customWidth="1"/>
    <col min="15955" max="15957" width="9" style="326"/>
    <col min="15958" max="15958" width="14.125" style="326" customWidth="1"/>
    <col min="15959" max="15959" width="9" style="326"/>
    <col min="15960" max="15960" width="10.75" style="326" bestFit="1" customWidth="1"/>
    <col min="15961" max="15961" width="13.25" style="326" customWidth="1"/>
    <col min="15962" max="15964" width="9" style="326"/>
    <col min="15965" max="15965" width="13.25" style="326" customWidth="1"/>
    <col min="15966" max="15966" width="9" style="326"/>
    <col min="15967" max="15967" width="10.75" style="326" bestFit="1" customWidth="1"/>
    <col min="15968" max="15968" width="13.875" style="326" customWidth="1"/>
    <col min="15969" max="15971" width="9" style="326"/>
    <col min="15972" max="15972" width="13.625" style="326" customWidth="1"/>
    <col min="15973" max="15973" width="9" style="326"/>
    <col min="15974" max="15974" width="10.75" style="326" bestFit="1" customWidth="1"/>
    <col min="15975" max="15975" width="13" style="326" customWidth="1"/>
    <col min="15976" max="16122" width="9" style="326"/>
    <col min="16123" max="16124" width="12.125" style="326" customWidth="1"/>
    <col min="16125" max="16127" width="13" style="326" customWidth="1"/>
    <col min="16128" max="16128" width="12.875" style="326" customWidth="1"/>
    <col min="16129" max="16129" width="13" style="326" customWidth="1"/>
    <col min="16130" max="16130" width="13.125" style="326" customWidth="1"/>
    <col min="16131" max="16132" width="12.125" style="326" customWidth="1"/>
    <col min="16133" max="16133" width="14.375" style="326" bestFit="1" customWidth="1"/>
    <col min="16134" max="16134" width="11" style="326" customWidth="1"/>
    <col min="16135" max="16135" width="10" style="326" customWidth="1"/>
    <col min="16136" max="16136" width="10.875" style="326" customWidth="1"/>
    <col min="16137" max="16137" width="13.75" style="326" customWidth="1"/>
    <col min="16138" max="16138" width="10" style="326" customWidth="1"/>
    <col min="16139" max="16139" width="13.25" style="326" customWidth="1"/>
    <col min="16140" max="16140" width="14.375" style="326" customWidth="1"/>
    <col min="16141" max="16141" width="10" style="326" customWidth="1"/>
    <col min="16142" max="16142" width="10.875" style="326" customWidth="1"/>
    <col min="16143" max="16143" width="11.375" style="326" customWidth="1"/>
    <col min="16144" max="16144" width="15.375" style="326" customWidth="1"/>
    <col min="16145" max="16146" width="10.75" style="326" customWidth="1"/>
    <col min="16147" max="16147" width="14.375" style="326" customWidth="1"/>
    <col min="16148" max="16148" width="10.75" style="326" customWidth="1"/>
    <col min="16149" max="16149" width="11.75" style="326" customWidth="1"/>
    <col min="16150" max="16150" width="10" style="326" customWidth="1"/>
    <col min="16151" max="16151" width="15.375" style="326" customWidth="1"/>
    <col min="16152" max="16152" width="10" style="326" customWidth="1"/>
    <col min="16153" max="16153" width="10.75" style="326" customWidth="1"/>
    <col min="16154" max="16154" width="14.875" style="326" customWidth="1"/>
    <col min="16155" max="16155" width="11.5" style="326" customWidth="1"/>
    <col min="16156" max="16156" width="10" style="326" customWidth="1"/>
    <col min="16157" max="16157" width="10.75" style="326" customWidth="1"/>
    <col min="16158" max="16158" width="13.5" style="326" customWidth="1"/>
    <col min="16159" max="16159" width="9" style="326"/>
    <col min="16160" max="16160" width="10.75" style="326" bestFit="1" customWidth="1"/>
    <col min="16161" max="16161" width="13.75" style="326" customWidth="1"/>
    <col min="16162" max="16162" width="9" style="326"/>
    <col min="16163" max="16163" width="10.625" style="326" customWidth="1"/>
    <col min="16164" max="16164" width="9" style="326"/>
    <col min="16165" max="16165" width="14.25" style="326" customWidth="1"/>
    <col min="16166" max="16166" width="10.75" style="326" bestFit="1" customWidth="1"/>
    <col min="16167" max="16167" width="11.625" style="326" customWidth="1"/>
    <col min="16168" max="16168" width="13.75" style="326" customWidth="1"/>
    <col min="16169" max="16169" width="10.625" style="326" customWidth="1"/>
    <col min="16170" max="16171" width="9" style="326"/>
    <col min="16172" max="16172" width="14.125" style="326" customWidth="1"/>
    <col min="16173" max="16173" width="11" style="326" customWidth="1"/>
    <col min="16174" max="16174" width="10.75" style="326" bestFit="1" customWidth="1"/>
    <col min="16175" max="16175" width="13.5" style="326" customWidth="1"/>
    <col min="16176" max="16177" width="9" style="326"/>
    <col min="16178" max="16178" width="10.75" style="326" bestFit="1" customWidth="1"/>
    <col min="16179" max="16179" width="14" style="326" customWidth="1"/>
    <col min="16180" max="16180" width="9" style="326"/>
    <col min="16181" max="16181" width="10.75" style="326" customWidth="1"/>
    <col min="16182" max="16182" width="12.75" style="326" customWidth="1"/>
    <col min="16183" max="16183" width="9" style="326"/>
    <col min="16184" max="16184" width="10.75" style="326" bestFit="1" customWidth="1"/>
    <col min="16185" max="16185" width="11.5" style="326" customWidth="1"/>
    <col min="16186" max="16186" width="13.625" style="326" customWidth="1"/>
    <col min="16187" max="16187" width="10.625" style="326" customWidth="1"/>
    <col min="16188" max="16188" width="10.75" style="326" bestFit="1" customWidth="1"/>
    <col min="16189" max="16189" width="12.375" style="326" customWidth="1"/>
    <col min="16190" max="16192" width="9" style="326"/>
    <col min="16193" max="16193" width="15.75" style="326" customWidth="1"/>
    <col min="16194" max="16194" width="9" style="326"/>
    <col min="16195" max="16195" width="10.75" style="326" bestFit="1" customWidth="1"/>
    <col min="16196" max="16196" width="12.625" style="326" customWidth="1"/>
    <col min="16197" max="16199" width="9" style="326"/>
    <col min="16200" max="16200" width="13.625" style="326" customWidth="1"/>
    <col min="16201" max="16201" width="9" style="326"/>
    <col min="16202" max="16202" width="10.75" style="326" bestFit="1" customWidth="1"/>
    <col min="16203" max="16203" width="12.5" style="326" customWidth="1"/>
    <col min="16204" max="16206" width="9" style="326"/>
    <col min="16207" max="16207" width="12.875" style="326" customWidth="1"/>
    <col min="16208" max="16208" width="9" style="326"/>
    <col min="16209" max="16209" width="10.75" style="326" bestFit="1" customWidth="1"/>
    <col min="16210" max="16210" width="13.875" style="326" customWidth="1"/>
    <col min="16211" max="16213" width="9" style="326"/>
    <col min="16214" max="16214" width="14.125" style="326" customWidth="1"/>
    <col min="16215" max="16215" width="9" style="326"/>
    <col min="16216" max="16216" width="10.75" style="326" bestFit="1" customWidth="1"/>
    <col min="16217" max="16217" width="13.25" style="326" customWidth="1"/>
    <col min="16218" max="16220" width="9" style="326"/>
    <col min="16221" max="16221" width="13.25" style="326" customWidth="1"/>
    <col min="16222" max="16222" width="9" style="326"/>
    <col min="16223" max="16223" width="10.75" style="326" bestFit="1" customWidth="1"/>
    <col min="16224" max="16224" width="13.875" style="326" customWidth="1"/>
    <col min="16225" max="16227" width="9" style="326"/>
    <col min="16228" max="16228" width="13.625" style="326" customWidth="1"/>
    <col min="16229" max="16229" width="9" style="326"/>
    <col min="16230" max="16230" width="10.75" style="326" bestFit="1" customWidth="1"/>
    <col min="16231" max="16231" width="13" style="326" customWidth="1"/>
    <col min="16232" max="16384" width="9" style="326"/>
  </cols>
  <sheetData>
    <row r="1" spans="1:41" ht="18.75" customHeight="1">
      <c r="D1" s="325" t="s">
        <v>262</v>
      </c>
      <c r="E1" s="327">
        <f>A5</f>
        <v>2006</v>
      </c>
      <c r="F1" s="326" t="s">
        <v>263</v>
      </c>
      <c r="G1" s="328">
        <v>0</v>
      </c>
      <c r="H1" s="329"/>
      <c r="I1" s="328"/>
    </row>
    <row r="2" spans="1:41" ht="24.95" customHeight="1">
      <c r="A2" s="330" t="s">
        <v>2248</v>
      </c>
      <c r="C2" s="330"/>
    </row>
    <row r="3" spans="1:41" ht="9.9499999999999993" customHeight="1">
      <c r="A3" s="2262"/>
      <c r="B3" s="425"/>
      <c r="C3" s="426"/>
      <c r="D3" s="426"/>
      <c r="E3" s="426"/>
      <c r="F3" s="426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2"/>
      <c r="Z3" s="331"/>
      <c r="AA3" s="332"/>
      <c r="AB3" s="333"/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1"/>
      <c r="AN3" s="331"/>
      <c r="AO3" s="332"/>
    </row>
    <row r="4" spans="1:41" s="344" customFormat="1" ht="14.1" customHeight="1">
      <c r="A4" s="334" t="s">
        <v>264</v>
      </c>
      <c r="B4" s="335" t="s">
        <v>265</v>
      </c>
      <c r="C4" s="336" t="s">
        <v>266</v>
      </c>
      <c r="D4" s="337" t="s">
        <v>267</v>
      </c>
      <c r="E4" s="337" t="s">
        <v>268</v>
      </c>
      <c r="F4" s="338" t="s">
        <v>269</v>
      </c>
      <c r="G4" s="339" t="s">
        <v>270</v>
      </c>
      <c r="H4" s="340" t="s">
        <v>271</v>
      </c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41"/>
      <c r="W4" s="341"/>
      <c r="X4" s="341"/>
      <c r="Y4" s="342"/>
      <c r="Z4" s="341"/>
      <c r="AA4" s="342"/>
      <c r="AB4" s="343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341"/>
      <c r="AN4" s="341"/>
      <c r="AO4" s="342"/>
    </row>
    <row r="5" spans="1:41" s="344" customFormat="1" ht="14.1" customHeight="1">
      <c r="A5" s="345">
        <v>2006</v>
      </c>
      <c r="B5" s="346">
        <f>+'1.1.2 인구분석'!E149</f>
        <v>5153</v>
      </c>
      <c r="C5" s="347">
        <f>I65</f>
        <v>5081</v>
      </c>
      <c r="D5" s="348">
        <f>I104</f>
        <v>5082</v>
      </c>
      <c r="E5" s="349">
        <f>I142</f>
        <v>5113</v>
      </c>
      <c r="F5" s="350">
        <f>I178</f>
        <v>5082</v>
      </c>
      <c r="G5" s="351">
        <f t="shared" ref="G5:G34" si="0">ROUND(SUMIF(C$38:H$38,"○",C5:H5),$G$1)</f>
        <v>10164</v>
      </c>
      <c r="H5" s="352">
        <f>B5</f>
        <v>5153</v>
      </c>
      <c r="I5" s="2316" t="s">
        <v>272</v>
      </c>
      <c r="J5" s="2317"/>
      <c r="K5" s="353"/>
      <c r="L5" s="341"/>
      <c r="M5" s="341"/>
      <c r="N5" s="341"/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2"/>
      <c r="Z5" s="341"/>
      <c r="AA5" s="342"/>
      <c r="AB5" s="343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2"/>
    </row>
    <row r="6" spans="1:41" s="344" customFormat="1" ht="14.1" customHeight="1">
      <c r="A6" s="354">
        <v>2007</v>
      </c>
      <c r="B6" s="355">
        <f>+'1.1.2 인구분석'!E150</f>
        <v>5146</v>
      </c>
      <c r="C6" s="356">
        <f t="shared" ref="C6:C37" si="1">I66</f>
        <v>5110</v>
      </c>
      <c r="D6" s="357">
        <f t="shared" ref="D6:D37" si="2">I105</f>
        <v>5111</v>
      </c>
      <c r="E6" s="358">
        <f t="shared" ref="E6:E37" si="3">I143</f>
        <v>5138</v>
      </c>
      <c r="F6" s="359">
        <f t="shared" ref="F6:F37" si="4">I179</f>
        <v>5111</v>
      </c>
      <c r="G6" s="351">
        <f t="shared" si="0"/>
        <v>10222</v>
      </c>
      <c r="H6" s="352">
        <f>B6</f>
        <v>5146</v>
      </c>
      <c r="I6" s="360" t="s">
        <v>273</v>
      </c>
      <c r="J6" s="361">
        <f>ROUND(((B15/B10)^(1/(A15-A10))-1)*100,2)</f>
        <v>1.1100000000000001</v>
      </c>
      <c r="K6" s="353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2"/>
      <c r="Z6" s="341"/>
      <c r="AA6" s="342"/>
      <c r="AB6" s="343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2"/>
    </row>
    <row r="7" spans="1:41" s="344" customFormat="1" ht="14.1" customHeight="1">
      <c r="A7" s="354">
        <v>2008</v>
      </c>
      <c r="B7" s="355">
        <f>+'1.1.2 인구분석'!E151</f>
        <v>5158</v>
      </c>
      <c r="C7" s="356">
        <f t="shared" si="1"/>
        <v>5140</v>
      </c>
      <c r="D7" s="357">
        <f t="shared" si="2"/>
        <v>5140</v>
      </c>
      <c r="E7" s="358">
        <f t="shared" si="3"/>
        <v>5159</v>
      </c>
      <c r="F7" s="359">
        <f t="shared" si="4"/>
        <v>5140</v>
      </c>
      <c r="G7" s="351">
        <f t="shared" si="0"/>
        <v>10280</v>
      </c>
      <c r="H7" s="352">
        <f t="shared" ref="H7:H15" si="5">B7</f>
        <v>5158</v>
      </c>
      <c r="I7" s="360" t="s">
        <v>274</v>
      </c>
      <c r="J7" s="360">
        <f>ROUND(((B15/B5)^(1/(A15-A5))-1)*100,2)</f>
        <v>0.47</v>
      </c>
      <c r="K7" s="353"/>
      <c r="L7" s="362"/>
      <c r="M7" s="363"/>
      <c r="N7" s="341"/>
      <c r="O7" s="341"/>
      <c r="P7" s="341"/>
      <c r="Q7" s="341"/>
      <c r="R7" s="341"/>
      <c r="S7" s="341"/>
      <c r="T7" s="341"/>
      <c r="U7" s="341"/>
      <c r="V7" s="341"/>
      <c r="W7" s="341"/>
      <c r="X7" s="341"/>
      <c r="Y7" s="342"/>
      <c r="Z7" s="341"/>
      <c r="AA7" s="342"/>
      <c r="AB7" s="343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2"/>
    </row>
    <row r="8" spans="1:41" s="344" customFormat="1" ht="14.1" customHeight="1">
      <c r="A8" s="354">
        <v>2009</v>
      </c>
      <c r="B8" s="355">
        <f>+'1.1.2 인구분석'!E152</f>
        <v>5153</v>
      </c>
      <c r="C8" s="356">
        <f t="shared" si="1"/>
        <v>5170</v>
      </c>
      <c r="D8" s="357">
        <f t="shared" si="2"/>
        <v>5170</v>
      </c>
      <c r="E8" s="358">
        <f t="shared" si="3"/>
        <v>5176</v>
      </c>
      <c r="F8" s="359">
        <f t="shared" si="4"/>
        <v>5170</v>
      </c>
      <c r="G8" s="351">
        <f t="shared" si="0"/>
        <v>10340</v>
      </c>
      <c r="H8" s="352">
        <f t="shared" si="5"/>
        <v>5153</v>
      </c>
      <c r="I8" s="341"/>
      <c r="J8" s="341"/>
      <c r="K8" s="341"/>
      <c r="L8" s="341"/>
      <c r="M8" s="341"/>
      <c r="N8" s="341"/>
      <c r="O8" s="341"/>
      <c r="P8" s="341"/>
      <c r="Q8" s="341"/>
      <c r="R8" s="341"/>
      <c r="S8" s="341"/>
      <c r="T8" s="341"/>
      <c r="U8" s="341"/>
      <c r="V8" s="341"/>
      <c r="W8" s="341"/>
      <c r="X8" s="341"/>
      <c r="Y8" s="342"/>
      <c r="Z8" s="341"/>
      <c r="AA8" s="342"/>
      <c r="AB8" s="343"/>
      <c r="AC8" s="341"/>
      <c r="AD8" s="341"/>
      <c r="AE8" s="341"/>
      <c r="AF8" s="341"/>
      <c r="AG8" s="341"/>
      <c r="AH8" s="341"/>
      <c r="AI8" s="341"/>
      <c r="AJ8" s="341"/>
      <c r="AK8" s="341"/>
      <c r="AL8" s="341"/>
      <c r="AM8" s="341"/>
      <c r="AN8" s="341"/>
      <c r="AO8" s="342"/>
    </row>
    <row r="9" spans="1:41" s="344" customFormat="1" ht="14.1" customHeight="1">
      <c r="A9" s="354">
        <v>2010</v>
      </c>
      <c r="B9" s="355">
        <f>+'1.1.2 인구분석'!E153</f>
        <v>5104</v>
      </c>
      <c r="C9" s="356">
        <f t="shared" si="1"/>
        <v>5200</v>
      </c>
      <c r="D9" s="357">
        <f t="shared" si="2"/>
        <v>5199</v>
      </c>
      <c r="E9" s="358">
        <f t="shared" si="3"/>
        <v>5192</v>
      </c>
      <c r="F9" s="359">
        <f t="shared" si="4"/>
        <v>5199</v>
      </c>
      <c r="G9" s="351">
        <f t="shared" si="0"/>
        <v>10398</v>
      </c>
      <c r="H9" s="352">
        <f t="shared" si="5"/>
        <v>5104</v>
      </c>
      <c r="I9" s="341"/>
      <c r="J9" s="341"/>
      <c r="K9" s="353"/>
      <c r="L9" s="341"/>
      <c r="M9" s="341"/>
      <c r="N9" s="341"/>
      <c r="O9" s="341"/>
      <c r="P9" s="341"/>
      <c r="Q9" s="341"/>
      <c r="R9" s="341"/>
      <c r="S9" s="341"/>
      <c r="T9" s="341"/>
      <c r="U9" s="341"/>
      <c r="V9" s="341"/>
      <c r="W9" s="341"/>
      <c r="X9" s="341"/>
      <c r="Y9" s="342"/>
      <c r="Z9" s="341"/>
      <c r="AA9" s="342"/>
      <c r="AB9" s="343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2"/>
    </row>
    <row r="10" spans="1:41" s="344" customFormat="1" ht="14.1" customHeight="1">
      <c r="A10" s="354">
        <v>2011</v>
      </c>
      <c r="B10" s="355">
        <f>+'1.1.2 인구분석'!E154</f>
        <v>5114</v>
      </c>
      <c r="C10" s="356">
        <f t="shared" si="1"/>
        <v>5230</v>
      </c>
      <c r="D10" s="357">
        <f t="shared" si="2"/>
        <v>5229</v>
      </c>
      <c r="E10" s="358">
        <f t="shared" si="3"/>
        <v>5207</v>
      </c>
      <c r="F10" s="359">
        <f t="shared" si="4"/>
        <v>5229</v>
      </c>
      <c r="G10" s="351">
        <f t="shared" si="0"/>
        <v>10458</v>
      </c>
      <c r="H10" s="352">
        <f t="shared" si="5"/>
        <v>5114</v>
      </c>
      <c r="I10" s="341"/>
      <c r="J10" s="341"/>
      <c r="K10" s="353"/>
      <c r="L10" s="341"/>
      <c r="M10" s="341"/>
      <c r="N10" s="341"/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2"/>
      <c r="Z10" s="341"/>
      <c r="AA10" s="342"/>
      <c r="AB10" s="343"/>
      <c r="AC10" s="341"/>
      <c r="AD10" s="341"/>
      <c r="AE10" s="341"/>
      <c r="AF10" s="341"/>
      <c r="AG10" s="341"/>
      <c r="AH10" s="341"/>
      <c r="AI10" s="341"/>
      <c r="AJ10" s="341"/>
      <c r="AK10" s="341"/>
      <c r="AL10" s="341"/>
      <c r="AM10" s="341"/>
      <c r="AN10" s="341"/>
      <c r="AO10" s="342"/>
    </row>
    <row r="11" spans="1:41" s="344" customFormat="1" ht="14.1" customHeight="1">
      <c r="A11" s="354">
        <v>2012</v>
      </c>
      <c r="B11" s="355">
        <f>+'1.1.2 인구분석'!E155</f>
        <v>5165</v>
      </c>
      <c r="C11" s="356">
        <f t="shared" si="1"/>
        <v>5260</v>
      </c>
      <c r="D11" s="357">
        <f t="shared" si="2"/>
        <v>5258</v>
      </c>
      <c r="E11" s="358">
        <f t="shared" si="3"/>
        <v>5221</v>
      </c>
      <c r="F11" s="359">
        <f t="shared" si="4"/>
        <v>5259</v>
      </c>
      <c r="G11" s="351">
        <f t="shared" si="0"/>
        <v>10517</v>
      </c>
      <c r="H11" s="352">
        <f t="shared" si="5"/>
        <v>5165</v>
      </c>
      <c r="I11" s="341"/>
      <c r="J11" s="341"/>
      <c r="K11" s="353"/>
      <c r="L11" s="341"/>
      <c r="M11" s="341"/>
      <c r="N11" s="341"/>
      <c r="O11" s="341"/>
      <c r="P11" s="341"/>
      <c r="Q11" s="341"/>
      <c r="R11" s="341"/>
      <c r="S11" s="341"/>
      <c r="T11" s="341"/>
      <c r="U11" s="341"/>
      <c r="V11" s="341"/>
      <c r="W11" s="341"/>
      <c r="X11" s="341"/>
      <c r="Y11" s="342"/>
      <c r="Z11" s="341"/>
      <c r="AA11" s="342"/>
      <c r="AB11" s="343"/>
      <c r="AC11" s="341"/>
      <c r="AD11" s="341"/>
      <c r="AE11" s="341"/>
      <c r="AF11" s="341"/>
      <c r="AG11" s="341"/>
      <c r="AH11" s="341"/>
      <c r="AI11" s="341"/>
      <c r="AJ11" s="341"/>
      <c r="AK11" s="341"/>
      <c r="AL11" s="341"/>
      <c r="AM11" s="341"/>
      <c r="AN11" s="341"/>
      <c r="AO11" s="342"/>
    </row>
    <row r="12" spans="1:41" s="344" customFormat="1" ht="14.1" customHeight="1">
      <c r="A12" s="354">
        <v>2013</v>
      </c>
      <c r="B12" s="355">
        <f>+'1.1.2 인구분석'!E156</f>
        <v>5412</v>
      </c>
      <c r="C12" s="356">
        <f t="shared" si="1"/>
        <v>5290</v>
      </c>
      <c r="D12" s="357">
        <f t="shared" si="2"/>
        <v>5288</v>
      </c>
      <c r="E12" s="358">
        <f t="shared" si="3"/>
        <v>5234</v>
      </c>
      <c r="F12" s="359">
        <f t="shared" si="4"/>
        <v>5289</v>
      </c>
      <c r="G12" s="351">
        <f t="shared" si="0"/>
        <v>10577</v>
      </c>
      <c r="H12" s="352">
        <f t="shared" si="5"/>
        <v>5412</v>
      </c>
      <c r="I12" s="341"/>
      <c r="J12" s="341"/>
      <c r="K12" s="353"/>
      <c r="L12" s="341"/>
      <c r="M12" s="341"/>
      <c r="N12" s="341"/>
      <c r="O12" s="341"/>
      <c r="P12" s="341"/>
      <c r="Q12" s="341"/>
      <c r="R12" s="341"/>
      <c r="S12" s="341"/>
      <c r="T12" s="341"/>
      <c r="U12" s="341"/>
      <c r="V12" s="341"/>
      <c r="W12" s="341"/>
      <c r="X12" s="341"/>
      <c r="Y12" s="342"/>
      <c r="Z12" s="341"/>
      <c r="AA12" s="342"/>
      <c r="AB12" s="343"/>
      <c r="AC12" s="341"/>
      <c r="AD12" s="341"/>
      <c r="AE12" s="341"/>
      <c r="AF12" s="341"/>
      <c r="AG12" s="341"/>
      <c r="AH12" s="341"/>
      <c r="AI12" s="341"/>
      <c r="AJ12" s="341"/>
      <c r="AK12" s="341"/>
      <c r="AL12" s="341"/>
      <c r="AM12" s="341"/>
      <c r="AN12" s="341"/>
      <c r="AO12" s="342"/>
    </row>
    <row r="13" spans="1:41" s="344" customFormat="1" ht="14.1" customHeight="1">
      <c r="A13" s="354">
        <v>2014</v>
      </c>
      <c r="B13" s="355">
        <f>+'1.1.2 인구분석'!E157</f>
        <v>5370</v>
      </c>
      <c r="C13" s="356">
        <f t="shared" si="1"/>
        <v>5320</v>
      </c>
      <c r="D13" s="357">
        <f t="shared" si="2"/>
        <v>5318</v>
      </c>
      <c r="E13" s="358">
        <f t="shared" si="3"/>
        <v>5246</v>
      </c>
      <c r="F13" s="359">
        <f t="shared" si="4"/>
        <v>5319</v>
      </c>
      <c r="G13" s="351">
        <f t="shared" si="0"/>
        <v>10637</v>
      </c>
      <c r="H13" s="352">
        <f t="shared" si="5"/>
        <v>5370</v>
      </c>
      <c r="I13" s="341"/>
      <c r="J13" s="341"/>
      <c r="K13" s="353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2"/>
      <c r="Z13" s="341"/>
      <c r="AA13" s="342"/>
      <c r="AB13" s="343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2"/>
    </row>
    <row r="14" spans="1:41" s="344" customFormat="1" ht="14.1" customHeight="1">
      <c r="A14" s="386">
        <v>2015</v>
      </c>
      <c r="B14" s="2071">
        <f>+'1.1.2 인구분석'!E158</f>
        <v>5351</v>
      </c>
      <c r="C14" s="2072">
        <f t="shared" si="1"/>
        <v>5349</v>
      </c>
      <c r="D14" s="2073">
        <f t="shared" si="2"/>
        <v>5349</v>
      </c>
      <c r="E14" s="2074">
        <f t="shared" si="3"/>
        <v>5257</v>
      </c>
      <c r="F14" s="2075">
        <f t="shared" si="4"/>
        <v>5349</v>
      </c>
      <c r="G14" s="2076">
        <f t="shared" si="0"/>
        <v>10698</v>
      </c>
      <c r="H14" s="2077">
        <f t="shared" si="5"/>
        <v>5351</v>
      </c>
      <c r="I14" s="383"/>
      <c r="J14" s="383"/>
      <c r="K14" s="2078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2079"/>
      <c r="Z14" s="341"/>
      <c r="AA14" s="342"/>
      <c r="AB14" s="343"/>
      <c r="AC14" s="341"/>
      <c r="AD14" s="341"/>
      <c r="AE14" s="341"/>
      <c r="AF14" s="341"/>
      <c r="AG14" s="341"/>
      <c r="AH14" s="341"/>
      <c r="AI14" s="341"/>
      <c r="AJ14" s="341"/>
      <c r="AK14" s="341"/>
      <c r="AL14" s="341"/>
      <c r="AM14" s="341"/>
      <c r="AN14" s="341"/>
      <c r="AO14" s="342"/>
    </row>
    <row r="15" spans="1:41" s="344" customFormat="1" ht="14.1" customHeight="1" thickBot="1">
      <c r="A15" s="2010">
        <v>2016</v>
      </c>
      <c r="B15" s="2014">
        <f>+'1.1.2 인구분석'!E159</f>
        <v>5403</v>
      </c>
      <c r="C15" s="2011">
        <f t="shared" si="1"/>
        <v>5379</v>
      </c>
      <c r="D15" s="2012">
        <f t="shared" si="2"/>
        <v>5379</v>
      </c>
      <c r="E15" s="2011">
        <f t="shared" si="3"/>
        <v>5269</v>
      </c>
      <c r="F15" s="2013">
        <f t="shared" si="4"/>
        <v>5379</v>
      </c>
      <c r="G15" s="351">
        <f t="shared" si="0"/>
        <v>10758</v>
      </c>
      <c r="H15" s="352">
        <f t="shared" si="5"/>
        <v>5403</v>
      </c>
      <c r="I15" s="341"/>
      <c r="J15" s="341"/>
      <c r="K15" s="353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2"/>
      <c r="AB15" s="343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  <c r="AN15" s="341"/>
      <c r="AO15" s="342"/>
    </row>
    <row r="16" spans="1:41" s="344" customFormat="1" ht="14.1" customHeight="1" thickTop="1">
      <c r="A16" s="2114">
        <v>2017</v>
      </c>
      <c r="B16" s="2115"/>
      <c r="C16" s="2116">
        <f t="shared" si="1"/>
        <v>5409</v>
      </c>
      <c r="D16" s="2117">
        <f t="shared" si="2"/>
        <v>5410</v>
      </c>
      <c r="E16" s="2116">
        <f t="shared" si="3"/>
        <v>5279</v>
      </c>
      <c r="F16" s="2118">
        <f t="shared" si="4"/>
        <v>5409</v>
      </c>
      <c r="G16" s="364">
        <f t="shared" si="0"/>
        <v>10819</v>
      </c>
      <c r="H16" s="365"/>
      <c r="I16" s="341"/>
      <c r="J16" s="341"/>
      <c r="K16" s="353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2"/>
      <c r="AB16" s="343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  <c r="AM16" s="341"/>
      <c r="AN16" s="341"/>
      <c r="AO16" s="342"/>
    </row>
    <row r="17" spans="1:41" s="381" customFormat="1" ht="14.1" customHeight="1">
      <c r="A17" s="345">
        <v>2018</v>
      </c>
      <c r="B17" s="346"/>
      <c r="C17" s="347">
        <f t="shared" si="1"/>
        <v>5439</v>
      </c>
      <c r="D17" s="2168">
        <f t="shared" si="2"/>
        <v>5440</v>
      </c>
      <c r="E17" s="347">
        <f t="shared" si="3"/>
        <v>5290</v>
      </c>
      <c r="F17" s="2169">
        <f t="shared" si="4"/>
        <v>5440</v>
      </c>
      <c r="G17" s="2170">
        <f t="shared" si="0"/>
        <v>10880</v>
      </c>
      <c r="H17" s="2171"/>
      <c r="I17" s="2172"/>
      <c r="J17" s="2172"/>
      <c r="K17" s="2173"/>
      <c r="L17" s="2172"/>
      <c r="M17" s="2172"/>
      <c r="N17" s="2172"/>
      <c r="O17" s="2172"/>
      <c r="P17" s="2172"/>
      <c r="Q17" s="2172"/>
      <c r="R17" s="2172"/>
      <c r="S17" s="2172"/>
      <c r="T17" s="2172"/>
      <c r="U17" s="2172"/>
      <c r="V17" s="2172"/>
      <c r="W17" s="2172"/>
      <c r="X17" s="2172"/>
      <c r="Y17" s="2174"/>
      <c r="Z17" s="378"/>
      <c r="AA17" s="379"/>
      <c r="AB17" s="380"/>
      <c r="AC17" s="378"/>
      <c r="AD17" s="378"/>
      <c r="AE17" s="378"/>
      <c r="AF17" s="378"/>
      <c r="AG17" s="378"/>
      <c r="AH17" s="378"/>
      <c r="AI17" s="378"/>
      <c r="AJ17" s="378"/>
      <c r="AK17" s="378"/>
      <c r="AL17" s="378"/>
      <c r="AM17" s="378"/>
      <c r="AN17" s="378"/>
      <c r="AO17" s="379"/>
    </row>
    <row r="18" spans="1:41" s="381" customFormat="1" ht="14.1" customHeight="1">
      <c r="A18" s="354">
        <v>2019</v>
      </c>
      <c r="B18" s="355"/>
      <c r="C18" s="356">
        <f t="shared" si="1"/>
        <v>5469</v>
      </c>
      <c r="D18" s="371">
        <f t="shared" si="2"/>
        <v>5471</v>
      </c>
      <c r="E18" s="356">
        <f t="shared" si="3"/>
        <v>5300</v>
      </c>
      <c r="F18" s="372">
        <f t="shared" si="4"/>
        <v>5470</v>
      </c>
      <c r="G18" s="376">
        <f t="shared" si="0"/>
        <v>10941</v>
      </c>
      <c r="H18" s="377"/>
      <c r="I18" s="378"/>
      <c r="J18" s="378"/>
      <c r="K18" s="1912"/>
      <c r="L18" s="378"/>
      <c r="M18" s="378"/>
      <c r="N18" s="378"/>
      <c r="O18" s="378"/>
      <c r="P18" s="378"/>
      <c r="Q18" s="378"/>
      <c r="R18" s="378"/>
      <c r="S18" s="378"/>
      <c r="T18" s="378"/>
      <c r="U18" s="378"/>
      <c r="V18" s="378"/>
      <c r="W18" s="378"/>
      <c r="X18" s="378"/>
      <c r="Y18" s="379"/>
      <c r="Z18" s="378"/>
      <c r="AA18" s="379"/>
      <c r="AB18" s="380"/>
      <c r="AC18" s="378"/>
      <c r="AD18" s="378"/>
      <c r="AE18" s="378"/>
      <c r="AF18" s="378"/>
      <c r="AG18" s="378"/>
      <c r="AH18" s="378"/>
      <c r="AI18" s="378"/>
      <c r="AJ18" s="378"/>
      <c r="AK18" s="378"/>
      <c r="AL18" s="378"/>
      <c r="AM18" s="378"/>
      <c r="AN18" s="378"/>
      <c r="AO18" s="379"/>
    </row>
    <row r="19" spans="1:41" s="1929" customFormat="1" ht="14.1" customHeight="1">
      <c r="A19" s="366">
        <v>2020</v>
      </c>
      <c r="B19" s="367"/>
      <c r="C19" s="368">
        <f t="shared" si="1"/>
        <v>5499</v>
      </c>
      <c r="D19" s="369">
        <f t="shared" si="2"/>
        <v>5502</v>
      </c>
      <c r="E19" s="368">
        <f t="shared" si="3"/>
        <v>5310</v>
      </c>
      <c r="F19" s="370">
        <f t="shared" si="4"/>
        <v>5501</v>
      </c>
      <c r="G19" s="374">
        <f t="shared" si="0"/>
        <v>11003</v>
      </c>
      <c r="H19" s="373"/>
      <c r="I19" s="1925"/>
      <c r="J19" s="1925"/>
      <c r="K19" s="1926"/>
      <c r="L19" s="1925"/>
      <c r="M19" s="1925"/>
      <c r="N19" s="1925"/>
      <c r="O19" s="1925"/>
      <c r="P19" s="1925"/>
      <c r="Q19" s="1925"/>
      <c r="R19" s="1925"/>
      <c r="S19" s="1925"/>
      <c r="T19" s="1925"/>
      <c r="U19" s="1925"/>
      <c r="V19" s="1925"/>
      <c r="W19" s="1925"/>
      <c r="X19" s="1925"/>
      <c r="Y19" s="1927"/>
      <c r="Z19" s="1925"/>
      <c r="AA19" s="1927"/>
      <c r="AB19" s="1928"/>
      <c r="AC19" s="1925"/>
      <c r="AD19" s="1925"/>
      <c r="AE19" s="1925"/>
      <c r="AF19" s="1925"/>
      <c r="AG19" s="1925"/>
      <c r="AH19" s="1925"/>
      <c r="AI19" s="1925"/>
      <c r="AJ19" s="1925"/>
      <c r="AK19" s="1925"/>
      <c r="AL19" s="1925"/>
      <c r="AM19" s="1925"/>
      <c r="AN19" s="1925"/>
      <c r="AO19" s="1927"/>
    </row>
    <row r="20" spans="1:41" s="381" customFormat="1" ht="14.1" customHeight="1">
      <c r="A20" s="354">
        <v>2021</v>
      </c>
      <c r="B20" s="355"/>
      <c r="C20" s="356">
        <f t="shared" si="1"/>
        <v>5529</v>
      </c>
      <c r="D20" s="371">
        <f t="shared" si="2"/>
        <v>5534</v>
      </c>
      <c r="E20" s="356">
        <f t="shared" si="3"/>
        <v>5319</v>
      </c>
      <c r="F20" s="372">
        <f t="shared" si="4"/>
        <v>5532</v>
      </c>
      <c r="G20" s="376">
        <f t="shared" si="0"/>
        <v>11066</v>
      </c>
      <c r="H20" s="1913"/>
      <c r="I20" s="378"/>
      <c r="J20" s="378"/>
      <c r="K20" s="1912"/>
      <c r="L20" s="378"/>
      <c r="M20" s="378"/>
      <c r="N20" s="378"/>
      <c r="O20" s="378"/>
      <c r="P20" s="378"/>
      <c r="Q20" s="378"/>
      <c r="R20" s="378"/>
      <c r="S20" s="378"/>
      <c r="T20" s="378"/>
      <c r="U20" s="378"/>
      <c r="V20" s="378"/>
      <c r="W20" s="378"/>
      <c r="X20" s="378"/>
      <c r="Y20" s="379"/>
      <c r="Z20" s="378"/>
      <c r="AA20" s="379"/>
      <c r="AB20" s="380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9"/>
    </row>
    <row r="21" spans="1:41" s="381" customFormat="1" ht="14.1" customHeight="1">
      <c r="A21" s="354">
        <v>2022</v>
      </c>
      <c r="B21" s="355"/>
      <c r="C21" s="356">
        <f t="shared" si="1"/>
        <v>5558</v>
      </c>
      <c r="D21" s="371">
        <f t="shared" si="2"/>
        <v>5565</v>
      </c>
      <c r="E21" s="356">
        <f t="shared" si="3"/>
        <v>5328</v>
      </c>
      <c r="F21" s="372">
        <f t="shared" si="4"/>
        <v>5563</v>
      </c>
      <c r="G21" s="376">
        <f t="shared" si="0"/>
        <v>11128</v>
      </c>
      <c r="H21" s="377"/>
      <c r="I21" s="378"/>
      <c r="J21" s="378"/>
      <c r="K21" s="1912"/>
      <c r="L21" s="378"/>
      <c r="M21" s="378"/>
      <c r="N21" s="378"/>
      <c r="O21" s="378"/>
      <c r="P21" s="378"/>
      <c r="Q21" s="378"/>
      <c r="R21" s="378"/>
      <c r="S21" s="378"/>
      <c r="T21" s="378"/>
      <c r="U21" s="378"/>
      <c r="V21" s="378"/>
      <c r="W21" s="378"/>
      <c r="X21" s="378"/>
      <c r="Y21" s="379"/>
      <c r="Z21" s="378"/>
      <c r="AA21" s="379"/>
      <c r="AB21" s="380"/>
      <c r="AC21" s="378"/>
      <c r="AD21" s="378"/>
      <c r="AE21" s="378"/>
      <c r="AF21" s="378"/>
      <c r="AG21" s="378"/>
      <c r="AH21" s="378"/>
      <c r="AI21" s="378"/>
      <c r="AJ21" s="378"/>
      <c r="AK21" s="378"/>
      <c r="AL21" s="378"/>
      <c r="AM21" s="378"/>
      <c r="AN21" s="378"/>
      <c r="AO21" s="379"/>
    </row>
    <row r="22" spans="1:41" s="381" customFormat="1" ht="14.1" customHeight="1">
      <c r="A22" s="354">
        <v>2023</v>
      </c>
      <c r="B22" s="355"/>
      <c r="C22" s="356">
        <f t="shared" si="1"/>
        <v>5588</v>
      </c>
      <c r="D22" s="371">
        <f t="shared" si="2"/>
        <v>5597</v>
      </c>
      <c r="E22" s="356">
        <f t="shared" si="3"/>
        <v>5338</v>
      </c>
      <c r="F22" s="372">
        <f t="shared" si="4"/>
        <v>5594</v>
      </c>
      <c r="G22" s="376">
        <f t="shared" si="0"/>
        <v>11191</v>
      </c>
      <c r="H22" s="377"/>
      <c r="I22" s="378"/>
      <c r="J22" s="378"/>
      <c r="K22" s="1912"/>
      <c r="L22" s="378"/>
      <c r="M22" s="378"/>
      <c r="N22" s="378"/>
      <c r="O22" s="378"/>
      <c r="P22" s="378"/>
      <c r="Q22" s="378"/>
      <c r="R22" s="378"/>
      <c r="S22" s="378"/>
      <c r="T22" s="378"/>
      <c r="U22" s="378"/>
      <c r="V22" s="378"/>
      <c r="W22" s="378"/>
      <c r="X22" s="378"/>
      <c r="Y22" s="379"/>
      <c r="Z22" s="378"/>
      <c r="AA22" s="379"/>
      <c r="AB22" s="380"/>
      <c r="AC22" s="378"/>
      <c r="AD22" s="378"/>
      <c r="AE22" s="378"/>
      <c r="AF22" s="378"/>
      <c r="AG22" s="378"/>
      <c r="AH22" s="378"/>
      <c r="AI22" s="378"/>
      <c r="AJ22" s="378"/>
      <c r="AK22" s="378"/>
      <c r="AL22" s="378"/>
      <c r="AM22" s="378"/>
      <c r="AN22" s="378"/>
      <c r="AO22" s="379"/>
    </row>
    <row r="23" spans="1:41" s="381" customFormat="1" ht="14.1" customHeight="1">
      <c r="A23" s="354">
        <v>2024</v>
      </c>
      <c r="B23" s="355"/>
      <c r="C23" s="356">
        <f t="shared" si="1"/>
        <v>5618</v>
      </c>
      <c r="D23" s="371">
        <f t="shared" si="2"/>
        <v>5629</v>
      </c>
      <c r="E23" s="356">
        <f t="shared" si="3"/>
        <v>5346</v>
      </c>
      <c r="F23" s="372">
        <f t="shared" si="4"/>
        <v>5625</v>
      </c>
      <c r="G23" s="376">
        <f t="shared" si="0"/>
        <v>11254</v>
      </c>
      <c r="H23" s="377"/>
      <c r="I23" s="378"/>
      <c r="J23" s="378"/>
      <c r="K23" s="1912"/>
      <c r="L23" s="378"/>
      <c r="M23" s="378"/>
      <c r="N23" s="378"/>
      <c r="O23" s="378"/>
      <c r="P23" s="378"/>
      <c r="Q23" s="378"/>
      <c r="R23" s="378"/>
      <c r="S23" s="378"/>
      <c r="T23" s="378"/>
      <c r="U23" s="378"/>
      <c r="V23" s="378"/>
      <c r="W23" s="378"/>
      <c r="X23" s="378"/>
      <c r="Y23" s="379"/>
      <c r="Z23" s="378"/>
      <c r="AA23" s="379"/>
      <c r="AB23" s="380"/>
      <c r="AC23" s="378"/>
      <c r="AD23" s="378"/>
      <c r="AE23" s="378"/>
      <c r="AF23" s="378"/>
      <c r="AG23" s="378"/>
      <c r="AH23" s="378"/>
      <c r="AI23" s="378"/>
      <c r="AJ23" s="378"/>
      <c r="AK23" s="378"/>
      <c r="AL23" s="378"/>
      <c r="AM23" s="378"/>
      <c r="AN23" s="378"/>
      <c r="AO23" s="379"/>
    </row>
    <row r="24" spans="1:41" s="1929" customFormat="1" ht="14.1" customHeight="1">
      <c r="A24" s="366">
        <v>2025</v>
      </c>
      <c r="B24" s="367"/>
      <c r="C24" s="368">
        <f t="shared" si="1"/>
        <v>5648</v>
      </c>
      <c r="D24" s="369">
        <f t="shared" si="2"/>
        <v>5661</v>
      </c>
      <c r="E24" s="368">
        <f t="shared" si="3"/>
        <v>5355</v>
      </c>
      <c r="F24" s="370">
        <f t="shared" si="4"/>
        <v>5656</v>
      </c>
      <c r="G24" s="374">
        <f t="shared" si="0"/>
        <v>11317</v>
      </c>
      <c r="H24" s="373"/>
      <c r="I24" s="1925"/>
      <c r="J24" s="1925"/>
      <c r="K24" s="1926"/>
      <c r="L24" s="1925"/>
      <c r="M24" s="1925"/>
      <c r="N24" s="1925"/>
      <c r="O24" s="1925"/>
      <c r="P24" s="1925"/>
      <c r="Q24" s="1925"/>
      <c r="R24" s="1925"/>
      <c r="S24" s="1925"/>
      <c r="T24" s="1925"/>
      <c r="U24" s="1925"/>
      <c r="V24" s="1925"/>
      <c r="W24" s="1925"/>
      <c r="X24" s="1925"/>
      <c r="Y24" s="1927"/>
      <c r="Z24" s="1925"/>
      <c r="AA24" s="1927"/>
      <c r="AB24" s="1928"/>
      <c r="AC24" s="1925"/>
      <c r="AD24" s="1925"/>
      <c r="AE24" s="1925"/>
      <c r="AF24" s="1925"/>
      <c r="AG24" s="1925"/>
      <c r="AH24" s="1925"/>
      <c r="AI24" s="1925"/>
      <c r="AJ24" s="1925"/>
      <c r="AK24" s="1925"/>
      <c r="AL24" s="1925"/>
      <c r="AM24" s="1925"/>
      <c r="AN24" s="1925"/>
      <c r="AO24" s="1927"/>
    </row>
    <row r="25" spans="1:41" s="381" customFormat="1" ht="14.1" customHeight="1">
      <c r="A25" s="354">
        <v>2026</v>
      </c>
      <c r="B25" s="355"/>
      <c r="C25" s="356">
        <f t="shared" si="1"/>
        <v>5678</v>
      </c>
      <c r="D25" s="371">
        <f t="shared" si="2"/>
        <v>5693</v>
      </c>
      <c r="E25" s="356">
        <f t="shared" si="3"/>
        <v>5363</v>
      </c>
      <c r="F25" s="372">
        <f t="shared" si="4"/>
        <v>5687</v>
      </c>
      <c r="G25" s="376">
        <f t="shared" si="0"/>
        <v>11380</v>
      </c>
      <c r="H25" s="1913"/>
      <c r="I25" s="378"/>
      <c r="J25" s="378"/>
      <c r="K25" s="1912"/>
      <c r="L25" s="378"/>
      <c r="M25" s="378"/>
      <c r="N25" s="378"/>
      <c r="O25" s="378"/>
      <c r="P25" s="378"/>
      <c r="Q25" s="378"/>
      <c r="R25" s="378"/>
      <c r="S25" s="378"/>
      <c r="T25" s="378"/>
      <c r="U25" s="378"/>
      <c r="V25" s="378"/>
      <c r="W25" s="378"/>
      <c r="X25" s="378"/>
      <c r="Y25" s="379"/>
      <c r="Z25" s="378"/>
      <c r="AA25" s="379"/>
      <c r="AB25" s="380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9"/>
    </row>
    <row r="26" spans="1:41" s="381" customFormat="1" ht="14.1" customHeight="1">
      <c r="A26" s="354">
        <v>2027</v>
      </c>
      <c r="B26" s="355"/>
      <c r="C26" s="356">
        <f t="shared" si="1"/>
        <v>5708</v>
      </c>
      <c r="D26" s="371">
        <f t="shared" si="2"/>
        <v>5725</v>
      </c>
      <c r="E26" s="356">
        <f t="shared" si="3"/>
        <v>5372</v>
      </c>
      <c r="F26" s="372">
        <f t="shared" si="4"/>
        <v>5719</v>
      </c>
      <c r="G26" s="376">
        <f t="shared" si="0"/>
        <v>11444</v>
      </c>
      <c r="H26" s="375"/>
      <c r="I26" s="378"/>
      <c r="J26" s="378"/>
      <c r="K26" s="1914"/>
      <c r="L26" s="378"/>
      <c r="M26" s="378"/>
      <c r="N26" s="378"/>
      <c r="O26" s="378"/>
      <c r="P26" s="378"/>
      <c r="Q26" s="378"/>
      <c r="R26" s="378"/>
      <c r="S26" s="378"/>
      <c r="T26" s="378"/>
      <c r="U26" s="378"/>
      <c r="V26" s="378"/>
      <c r="W26" s="378"/>
      <c r="X26" s="378"/>
      <c r="Y26" s="379"/>
      <c r="Z26" s="378"/>
      <c r="AA26" s="379"/>
      <c r="AB26" s="380"/>
      <c r="AC26" s="378"/>
      <c r="AD26" s="378"/>
      <c r="AE26" s="378"/>
      <c r="AF26" s="378"/>
      <c r="AG26" s="378"/>
      <c r="AH26" s="378"/>
      <c r="AI26" s="378"/>
      <c r="AJ26" s="378"/>
      <c r="AK26" s="378"/>
      <c r="AL26" s="378"/>
      <c r="AM26" s="378"/>
      <c r="AN26" s="378"/>
      <c r="AO26" s="379"/>
    </row>
    <row r="27" spans="1:41" s="381" customFormat="1" ht="14.1" customHeight="1">
      <c r="A27" s="354">
        <v>2028</v>
      </c>
      <c r="B27" s="382"/>
      <c r="C27" s="356">
        <f t="shared" si="1"/>
        <v>5738</v>
      </c>
      <c r="D27" s="371">
        <f t="shared" si="2"/>
        <v>5758</v>
      </c>
      <c r="E27" s="356">
        <f t="shared" si="3"/>
        <v>5380</v>
      </c>
      <c r="F27" s="372">
        <f t="shared" si="4"/>
        <v>5750</v>
      </c>
      <c r="G27" s="376">
        <f t="shared" si="0"/>
        <v>11508</v>
      </c>
      <c r="H27" s="377"/>
      <c r="I27" s="378"/>
      <c r="J27" s="378"/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9"/>
      <c r="Z27" s="378"/>
      <c r="AA27" s="379"/>
      <c r="AB27" s="380"/>
      <c r="AC27" s="378"/>
      <c r="AD27" s="378"/>
      <c r="AE27" s="378"/>
      <c r="AF27" s="378"/>
      <c r="AG27" s="378"/>
      <c r="AH27" s="378"/>
      <c r="AI27" s="378"/>
      <c r="AJ27" s="378"/>
      <c r="AK27" s="378"/>
      <c r="AL27" s="378"/>
      <c r="AM27" s="378"/>
      <c r="AN27" s="378"/>
      <c r="AO27" s="379"/>
    </row>
    <row r="28" spans="1:41" s="381" customFormat="1" ht="14.1" customHeight="1">
      <c r="A28" s="386">
        <v>2029</v>
      </c>
      <c r="B28" s="387"/>
      <c r="C28" s="2072">
        <f t="shared" si="1"/>
        <v>5767</v>
      </c>
      <c r="D28" s="2175">
        <f t="shared" si="2"/>
        <v>5791</v>
      </c>
      <c r="E28" s="2072">
        <f t="shared" si="3"/>
        <v>5388</v>
      </c>
      <c r="F28" s="2176">
        <f t="shared" si="4"/>
        <v>5782</v>
      </c>
      <c r="G28" s="2177">
        <f t="shared" si="0"/>
        <v>11573</v>
      </c>
      <c r="H28" s="2178"/>
      <c r="I28" s="1916"/>
      <c r="J28" s="1916"/>
      <c r="K28" s="1916"/>
      <c r="L28" s="1916"/>
      <c r="M28" s="1916"/>
      <c r="N28" s="1916"/>
      <c r="O28" s="1916"/>
      <c r="P28" s="1916"/>
      <c r="Q28" s="1916"/>
      <c r="R28" s="1916"/>
      <c r="S28" s="1916"/>
      <c r="T28" s="1916"/>
      <c r="U28" s="1916"/>
      <c r="V28" s="1916"/>
      <c r="W28" s="1916"/>
      <c r="X28" s="1916"/>
      <c r="Y28" s="1917"/>
      <c r="Z28" s="378"/>
      <c r="AA28" s="379"/>
      <c r="AB28" s="1915"/>
      <c r="AC28" s="1916"/>
      <c r="AD28" s="1916"/>
      <c r="AE28" s="1916"/>
      <c r="AF28" s="1916"/>
      <c r="AG28" s="1916"/>
      <c r="AH28" s="1916"/>
      <c r="AI28" s="1916"/>
      <c r="AJ28" s="1916"/>
      <c r="AK28" s="1916"/>
      <c r="AL28" s="1916"/>
      <c r="AM28" s="1916"/>
      <c r="AN28" s="1916"/>
      <c r="AO28" s="1917"/>
    </row>
    <row r="29" spans="1:41" s="1929" customFormat="1" ht="14.1" customHeight="1">
      <c r="A29" s="2135">
        <v>2030</v>
      </c>
      <c r="B29" s="1911"/>
      <c r="C29" s="2136">
        <f t="shared" si="1"/>
        <v>5797</v>
      </c>
      <c r="D29" s="2137">
        <f t="shared" si="2"/>
        <v>5824</v>
      </c>
      <c r="E29" s="2136">
        <f t="shared" si="3"/>
        <v>5396</v>
      </c>
      <c r="F29" s="2138">
        <f t="shared" si="4"/>
        <v>5813</v>
      </c>
      <c r="G29" s="374">
        <f t="shared" si="0"/>
        <v>11637</v>
      </c>
      <c r="H29" s="373"/>
      <c r="I29" s="1925"/>
      <c r="J29" s="1925"/>
      <c r="K29" s="1925"/>
      <c r="L29" s="1925"/>
      <c r="M29" s="1925"/>
      <c r="N29" s="1925"/>
      <c r="O29" s="1925"/>
      <c r="P29" s="1925"/>
      <c r="Q29" s="1925"/>
      <c r="R29" s="1925"/>
      <c r="S29" s="1925"/>
      <c r="T29" s="1925"/>
      <c r="U29" s="1925"/>
      <c r="V29" s="1925"/>
      <c r="W29" s="1925"/>
      <c r="X29" s="1925"/>
      <c r="Y29" s="1925"/>
      <c r="Z29" s="1925"/>
      <c r="AA29" s="1927"/>
    </row>
    <row r="30" spans="1:41" s="381" customFormat="1" ht="14.1" customHeight="1">
      <c r="A30" s="354">
        <v>2031</v>
      </c>
      <c r="B30" s="355"/>
      <c r="C30" s="356">
        <f t="shared" si="1"/>
        <v>5827</v>
      </c>
      <c r="D30" s="371">
        <f t="shared" si="2"/>
        <v>5857</v>
      </c>
      <c r="E30" s="356">
        <f t="shared" si="3"/>
        <v>5403</v>
      </c>
      <c r="F30" s="372">
        <f t="shared" si="4"/>
        <v>5845</v>
      </c>
      <c r="G30" s="376">
        <f t="shared" si="0"/>
        <v>11702</v>
      </c>
      <c r="H30" s="1913"/>
      <c r="I30" s="378"/>
      <c r="J30" s="378"/>
      <c r="K30" s="378"/>
      <c r="L30" s="378"/>
      <c r="M30" s="378"/>
      <c r="N30" s="378"/>
      <c r="O30" s="378"/>
      <c r="P30" s="378"/>
      <c r="Q30" s="378"/>
      <c r="R30" s="378"/>
      <c r="S30" s="378"/>
      <c r="T30" s="378"/>
      <c r="U30" s="378"/>
      <c r="V30" s="378"/>
      <c r="W30" s="378"/>
      <c r="X30" s="378"/>
      <c r="Y30" s="378"/>
      <c r="Z30" s="378"/>
      <c r="AA30" s="379"/>
    </row>
    <row r="31" spans="1:41" s="381" customFormat="1" ht="14.1" customHeight="1">
      <c r="A31" s="354">
        <v>2032</v>
      </c>
      <c r="B31" s="382"/>
      <c r="C31" s="356">
        <f t="shared" si="1"/>
        <v>5857</v>
      </c>
      <c r="D31" s="371">
        <f t="shared" si="2"/>
        <v>5890</v>
      </c>
      <c r="E31" s="356">
        <f t="shared" si="3"/>
        <v>5411</v>
      </c>
      <c r="F31" s="372">
        <f t="shared" si="4"/>
        <v>5877</v>
      </c>
      <c r="G31" s="376">
        <f t="shared" si="0"/>
        <v>11767</v>
      </c>
      <c r="H31" s="377"/>
      <c r="I31" s="378"/>
      <c r="J31" s="378"/>
      <c r="K31" s="378"/>
      <c r="L31" s="378"/>
      <c r="M31" s="378"/>
      <c r="N31" s="378"/>
      <c r="O31" s="378"/>
      <c r="P31" s="378"/>
      <c r="Q31" s="378"/>
      <c r="R31" s="378"/>
      <c r="S31" s="378"/>
      <c r="T31" s="378"/>
      <c r="U31" s="378"/>
      <c r="V31" s="378"/>
      <c r="W31" s="378"/>
      <c r="X31" s="378"/>
      <c r="Y31" s="378"/>
      <c r="Z31" s="378"/>
      <c r="AA31" s="379"/>
    </row>
    <row r="32" spans="1:41" s="381" customFormat="1" ht="14.1" customHeight="1">
      <c r="A32" s="354">
        <v>2033</v>
      </c>
      <c r="B32" s="382"/>
      <c r="C32" s="356">
        <f t="shared" si="1"/>
        <v>5887</v>
      </c>
      <c r="D32" s="371">
        <f t="shared" si="2"/>
        <v>5923</v>
      </c>
      <c r="E32" s="356">
        <f t="shared" si="3"/>
        <v>5419</v>
      </c>
      <c r="F32" s="372">
        <f t="shared" si="4"/>
        <v>5909</v>
      </c>
      <c r="G32" s="376">
        <f t="shared" si="0"/>
        <v>11832</v>
      </c>
      <c r="H32" s="377"/>
      <c r="I32" s="378"/>
      <c r="J32" s="378"/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  <c r="Y32" s="378"/>
      <c r="Z32" s="378"/>
      <c r="AA32" s="379"/>
    </row>
    <row r="33" spans="1:40" s="381" customFormat="1" ht="14.1" customHeight="1">
      <c r="A33" s="354">
        <v>2034</v>
      </c>
      <c r="B33" s="382"/>
      <c r="C33" s="356">
        <f t="shared" si="1"/>
        <v>5917</v>
      </c>
      <c r="D33" s="371">
        <f t="shared" si="2"/>
        <v>5957</v>
      </c>
      <c r="E33" s="356">
        <f t="shared" si="3"/>
        <v>5426</v>
      </c>
      <c r="F33" s="372">
        <f t="shared" si="4"/>
        <v>5941</v>
      </c>
      <c r="G33" s="376">
        <f t="shared" si="0"/>
        <v>11898</v>
      </c>
      <c r="H33" s="377"/>
      <c r="I33" s="378"/>
      <c r="J33" s="378"/>
      <c r="K33" s="378"/>
      <c r="L33" s="378"/>
      <c r="M33" s="378"/>
      <c r="N33" s="378"/>
      <c r="O33" s="378"/>
      <c r="P33" s="378"/>
      <c r="Q33" s="378"/>
      <c r="R33" s="378"/>
      <c r="S33" s="378"/>
      <c r="T33" s="378"/>
      <c r="U33" s="378"/>
      <c r="V33" s="378"/>
      <c r="W33" s="378"/>
      <c r="X33" s="378"/>
      <c r="Y33" s="378"/>
      <c r="Z33" s="378"/>
      <c r="AA33" s="379"/>
    </row>
    <row r="34" spans="1:40" s="1929" customFormat="1" ht="14.1" customHeight="1">
      <c r="A34" s="366">
        <v>2035</v>
      </c>
      <c r="B34" s="367"/>
      <c r="C34" s="368">
        <f t="shared" si="1"/>
        <v>5947</v>
      </c>
      <c r="D34" s="369">
        <f t="shared" si="2"/>
        <v>5991</v>
      </c>
      <c r="E34" s="368">
        <f t="shared" si="3"/>
        <v>5433</v>
      </c>
      <c r="F34" s="370">
        <f t="shared" si="4"/>
        <v>5973</v>
      </c>
      <c r="G34" s="374">
        <f t="shared" si="0"/>
        <v>11964</v>
      </c>
      <c r="H34" s="384"/>
      <c r="I34" s="1925"/>
      <c r="J34" s="1925"/>
      <c r="K34" s="1925"/>
      <c r="L34" s="1930"/>
      <c r="M34" s="1925"/>
      <c r="N34" s="1925"/>
      <c r="O34" s="1925"/>
      <c r="P34" s="1925"/>
      <c r="Q34" s="1925"/>
      <c r="R34" s="1925"/>
      <c r="S34" s="1925"/>
      <c r="T34" s="1925"/>
      <c r="U34" s="1925"/>
      <c r="V34" s="1925"/>
      <c r="W34" s="1925"/>
      <c r="X34" s="1925"/>
      <c r="Y34" s="1925"/>
      <c r="Z34" s="1925"/>
      <c r="AA34" s="1927"/>
    </row>
    <row r="35" spans="1:40" s="381" customFormat="1" ht="14.1" customHeight="1">
      <c r="A35" s="354">
        <v>2036</v>
      </c>
      <c r="B35" s="385"/>
      <c r="C35" s="356">
        <f t="shared" si="1"/>
        <v>5977</v>
      </c>
      <c r="D35" s="371">
        <f t="shared" si="2"/>
        <v>6025</v>
      </c>
      <c r="E35" s="356">
        <f t="shared" si="3"/>
        <v>5440</v>
      </c>
      <c r="F35" s="372">
        <f t="shared" si="4"/>
        <v>6006</v>
      </c>
      <c r="G35" s="376"/>
      <c r="H35" s="377"/>
      <c r="I35" s="378"/>
      <c r="J35" s="378"/>
      <c r="K35" s="378"/>
      <c r="L35" s="410"/>
      <c r="M35" s="378"/>
      <c r="N35" s="378"/>
      <c r="O35" s="378"/>
      <c r="P35" s="378"/>
      <c r="Q35" s="378"/>
      <c r="R35" s="378"/>
      <c r="S35" s="378"/>
      <c r="T35" s="378"/>
      <c r="U35" s="378"/>
      <c r="V35" s="378"/>
      <c r="W35" s="378"/>
      <c r="X35" s="378"/>
      <c r="Y35" s="378"/>
      <c r="Z35" s="378"/>
      <c r="AA35" s="379"/>
    </row>
    <row r="36" spans="1:40" s="381" customFormat="1" ht="14.1" customHeight="1">
      <c r="A36" s="354">
        <v>2037</v>
      </c>
      <c r="B36" s="385"/>
      <c r="C36" s="356">
        <f t="shared" si="1"/>
        <v>6006</v>
      </c>
      <c r="D36" s="371">
        <f t="shared" si="2"/>
        <v>6059</v>
      </c>
      <c r="E36" s="356">
        <f t="shared" si="3"/>
        <v>5447</v>
      </c>
      <c r="F36" s="372">
        <f t="shared" si="4"/>
        <v>6038</v>
      </c>
      <c r="G36" s="376"/>
      <c r="H36" s="377"/>
      <c r="I36" s="378"/>
      <c r="J36" s="378"/>
      <c r="K36" s="378"/>
      <c r="L36" s="410"/>
      <c r="M36" s="378"/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9"/>
    </row>
    <row r="37" spans="1:40" s="381" customFormat="1" ht="14.1" customHeight="1">
      <c r="A37" s="354">
        <f t="shared" ref="A37" si="6">A36+1</f>
        <v>2038</v>
      </c>
      <c r="B37" s="385"/>
      <c r="C37" s="356">
        <f t="shared" si="1"/>
        <v>6036</v>
      </c>
      <c r="D37" s="371">
        <f t="shared" si="2"/>
        <v>6094</v>
      </c>
      <c r="E37" s="356">
        <f t="shared" si="3"/>
        <v>5454</v>
      </c>
      <c r="F37" s="372">
        <f t="shared" si="4"/>
        <v>6071</v>
      </c>
      <c r="G37" s="376"/>
      <c r="H37" s="377"/>
      <c r="I37" s="378"/>
      <c r="J37" s="378"/>
      <c r="K37" s="378"/>
      <c r="L37" s="410"/>
      <c r="M37" s="378"/>
      <c r="N37" s="378"/>
      <c r="O37" s="378"/>
      <c r="P37" s="378"/>
      <c r="Q37" s="378"/>
      <c r="R37" s="378"/>
      <c r="S37" s="378"/>
      <c r="T37" s="378"/>
      <c r="U37" s="378"/>
      <c r="V37" s="378"/>
      <c r="W37" s="378"/>
      <c r="X37" s="378"/>
      <c r="Y37" s="378"/>
      <c r="Z37" s="378"/>
      <c r="AA37" s="379"/>
    </row>
    <row r="38" spans="1:40" s="381" customFormat="1" ht="14.1" customHeight="1">
      <c r="A38" s="386" t="s">
        <v>275</v>
      </c>
      <c r="B38" s="387"/>
      <c r="C38" s="387" t="str">
        <f>IF(OR(C42=1,C42=2),"○","")</f>
        <v/>
      </c>
      <c r="D38" s="387" t="str">
        <f>IF(OR(D42=1,D42=2),"○","")</f>
        <v>○</v>
      </c>
      <c r="E38" s="387" t="str">
        <f>IF(OR(E42=1,E42=2),"○","")</f>
        <v/>
      </c>
      <c r="F38" s="1918" t="str">
        <f>IF(OR(F42=1,F42=2),"○","")</f>
        <v>○</v>
      </c>
      <c r="G38" s="1919"/>
      <c r="H38" s="1920"/>
      <c r="I38" s="378"/>
      <c r="J38" s="378"/>
      <c r="K38" s="1921"/>
      <c r="L38" s="1921"/>
      <c r="M38" s="1921"/>
      <c r="N38" s="1921"/>
      <c r="O38" s="1921"/>
      <c r="P38" s="1921"/>
      <c r="Q38" s="1921"/>
      <c r="R38" s="1921"/>
      <c r="S38" s="1921"/>
      <c r="T38" s="1922"/>
      <c r="U38" s="1922"/>
      <c r="V38" s="410"/>
      <c r="W38" s="410"/>
      <c r="X38" s="410"/>
      <c r="Y38" s="410"/>
      <c r="Z38" s="410"/>
      <c r="AA38" s="1923"/>
      <c r="AB38" s="1924"/>
      <c r="AC38" s="1924"/>
      <c r="AD38" s="1924"/>
      <c r="AE38" s="1924"/>
      <c r="AF38" s="1924"/>
      <c r="AG38" s="1924"/>
      <c r="AH38" s="1924"/>
      <c r="AI38" s="1924"/>
      <c r="AJ38" s="1924"/>
      <c r="AK38" s="1924"/>
      <c r="AL38" s="1924"/>
      <c r="AM38" s="1924"/>
      <c r="AN38" s="1924"/>
    </row>
    <row r="39" spans="1:40" s="344" customFormat="1" ht="14.1" customHeight="1">
      <c r="A39" s="2318" t="s">
        <v>276</v>
      </c>
      <c r="B39" s="2319"/>
      <c r="C39" s="392">
        <f>F70</f>
        <v>0.63372444681883766</v>
      </c>
      <c r="D39" s="393">
        <f>G115</f>
        <v>0.63582426938428394</v>
      </c>
      <c r="E39" s="393">
        <f>H153</f>
        <v>0.55925252821497828</v>
      </c>
      <c r="F39" s="394">
        <f>G190</f>
        <v>0.63685100335092981</v>
      </c>
      <c r="G39" s="395"/>
      <c r="H39" s="396"/>
      <c r="I39" s="341"/>
      <c r="J39" s="341"/>
      <c r="K39" s="362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90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</row>
    <row r="40" spans="1:40" s="344" customFormat="1" ht="14.1" customHeight="1">
      <c r="A40" s="2318" t="s">
        <v>277</v>
      </c>
      <c r="B40" s="2319"/>
      <c r="C40" s="397">
        <f>F71</f>
        <v>56.753999999999998</v>
      </c>
      <c r="D40" s="398">
        <f>G116</f>
        <v>56.437999999999995</v>
      </c>
      <c r="E40" s="398">
        <f>H154</f>
        <v>95.575000000000003</v>
      </c>
      <c r="F40" s="399">
        <f>G191</f>
        <v>56.274999999999991</v>
      </c>
      <c r="G40" s="400"/>
      <c r="H40" s="401"/>
      <c r="I40" s="341"/>
      <c r="J40" s="341"/>
      <c r="K40" s="388"/>
      <c r="L40" s="388"/>
      <c r="M40" s="388"/>
      <c r="N40" s="388"/>
      <c r="O40" s="388"/>
      <c r="P40" s="388"/>
      <c r="Q40" s="388"/>
      <c r="R40" s="388"/>
      <c r="S40" s="388"/>
      <c r="T40" s="389"/>
      <c r="U40" s="389"/>
      <c r="V40" s="362"/>
      <c r="W40" s="362"/>
      <c r="X40" s="362"/>
      <c r="Y40" s="362"/>
      <c r="Z40" s="362"/>
      <c r="AA40" s="390"/>
      <c r="AB40" s="391"/>
      <c r="AC40" s="391"/>
      <c r="AD40" s="391"/>
      <c r="AE40" s="391"/>
      <c r="AF40" s="391"/>
      <c r="AG40" s="391"/>
      <c r="AH40" s="391"/>
      <c r="AI40" s="391"/>
      <c r="AJ40" s="391"/>
      <c r="AK40" s="391"/>
      <c r="AL40" s="391"/>
      <c r="AM40" s="391"/>
      <c r="AN40" s="391"/>
    </row>
    <row r="41" spans="1:40" s="344" customFormat="1" ht="14.1" customHeight="1">
      <c r="A41" s="2318" t="s">
        <v>278</v>
      </c>
      <c r="B41" s="2319"/>
      <c r="C41" s="402">
        <f>F72</f>
        <v>1.1300982223752947</v>
      </c>
      <c r="D41" s="403">
        <f>G117</f>
        <v>1.1262337962613407</v>
      </c>
      <c r="E41" s="403">
        <f>H155</f>
        <v>1.4417481393902662</v>
      </c>
      <c r="F41" s="404">
        <f>G192</f>
        <v>0.56231060962110813</v>
      </c>
      <c r="G41" s="405"/>
      <c r="H41" s="401"/>
      <c r="I41" s="383"/>
      <c r="J41" s="383"/>
      <c r="K41" s="406"/>
      <c r="L41" s="406"/>
      <c r="M41" s="406"/>
      <c r="N41" s="406"/>
      <c r="O41" s="406"/>
      <c r="P41" s="406"/>
      <c r="Q41" s="406"/>
      <c r="R41" s="406"/>
      <c r="S41" s="406"/>
      <c r="T41" s="407"/>
      <c r="U41" s="407"/>
      <c r="V41" s="408"/>
      <c r="W41" s="408"/>
      <c r="X41" s="408"/>
      <c r="Y41" s="408"/>
      <c r="Z41" s="408"/>
      <c r="AA41" s="409"/>
      <c r="AB41" s="391"/>
      <c r="AC41" s="391"/>
      <c r="AD41" s="391"/>
      <c r="AE41" s="391"/>
      <c r="AF41" s="391"/>
      <c r="AG41" s="391"/>
      <c r="AH41" s="391"/>
      <c r="AI41" s="391"/>
      <c r="AJ41" s="391"/>
      <c r="AK41" s="391"/>
      <c r="AL41" s="391"/>
      <c r="AM41" s="391"/>
      <c r="AN41" s="391"/>
    </row>
    <row r="42" spans="1:40" s="344" customFormat="1" ht="20.100000000000001" customHeight="1">
      <c r="A42" s="410"/>
      <c r="B42" s="411"/>
      <c r="C42" s="1007">
        <f>RANK(C39,$C$39:$F$39)</f>
        <v>3</v>
      </c>
      <c r="D42" s="1007">
        <f>RANK(D39,$C$39:$F$39)</f>
        <v>2</v>
      </c>
      <c r="E42" s="1007">
        <f>RANK(E39,$C$39:$F$39)</f>
        <v>4</v>
      </c>
      <c r="F42" s="1007">
        <f>RANK(F39,$C$39:$F$39)</f>
        <v>1</v>
      </c>
      <c r="G42" s="341"/>
      <c r="H42" s="341"/>
      <c r="I42" s="341"/>
      <c r="J42" s="413"/>
      <c r="K42" s="391"/>
      <c r="L42" s="391"/>
      <c r="M42" s="391"/>
      <c r="N42" s="391"/>
      <c r="O42" s="391"/>
      <c r="P42" s="391"/>
      <c r="Q42" s="391"/>
      <c r="R42" s="391"/>
      <c r="S42" s="391"/>
      <c r="T42" s="391"/>
      <c r="U42" s="391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391"/>
      <c r="AG42" s="391"/>
      <c r="AH42" s="391"/>
      <c r="AI42" s="391"/>
      <c r="AJ42" s="391"/>
      <c r="AK42" s="391"/>
      <c r="AL42" s="391"/>
      <c r="AM42" s="391"/>
    </row>
    <row r="43" spans="1:40" s="344" customFormat="1" ht="18.95" customHeight="1">
      <c r="A43" s="414" t="s">
        <v>85</v>
      </c>
      <c r="B43" s="415" t="s">
        <v>279</v>
      </c>
      <c r="C43" s="415" t="s">
        <v>280</v>
      </c>
      <c r="D43" s="415" t="s">
        <v>281</v>
      </c>
      <c r="E43" s="415" t="s">
        <v>282</v>
      </c>
      <c r="F43" s="360" t="s">
        <v>5</v>
      </c>
      <c r="G43" s="341"/>
      <c r="H43" s="341"/>
      <c r="I43" s="341"/>
      <c r="J43" s="413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  <c r="AM43" s="391"/>
    </row>
    <row r="44" spans="1:40" s="344" customFormat="1" ht="18.95" customHeight="1">
      <c r="A44" s="416" t="s">
        <v>251</v>
      </c>
      <c r="B44" s="417">
        <f>+C19</f>
        <v>5499</v>
      </c>
      <c r="C44" s="417">
        <f>+C24</f>
        <v>5648</v>
      </c>
      <c r="D44" s="417">
        <f>+C29</f>
        <v>5797</v>
      </c>
      <c r="E44" s="418">
        <f>+C34</f>
        <v>5947</v>
      </c>
      <c r="F44" s="419" t="str">
        <f>IF(C38="","제외","")</f>
        <v>제외</v>
      </c>
      <c r="G44" s="341"/>
      <c r="H44" s="341"/>
      <c r="I44" s="341"/>
      <c r="J44" s="413"/>
      <c r="K44" s="391"/>
      <c r="L44" s="391"/>
      <c r="M44" s="391"/>
      <c r="N44" s="391"/>
      <c r="O44" s="391"/>
      <c r="P44" s="391"/>
      <c r="Q44" s="391"/>
      <c r="R44" s="391"/>
      <c r="S44" s="391"/>
      <c r="T44" s="391"/>
      <c r="U44" s="391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391"/>
      <c r="AG44" s="391"/>
      <c r="AH44" s="391"/>
      <c r="AI44" s="391"/>
      <c r="AJ44" s="391"/>
      <c r="AK44" s="391"/>
      <c r="AL44" s="391"/>
      <c r="AM44" s="391"/>
    </row>
    <row r="45" spans="1:40" s="344" customFormat="1" ht="18.95" customHeight="1">
      <c r="A45" s="416" t="s">
        <v>253</v>
      </c>
      <c r="B45" s="417">
        <f>+D19</f>
        <v>5502</v>
      </c>
      <c r="C45" s="417">
        <f>+D24</f>
        <v>5661</v>
      </c>
      <c r="D45" s="417">
        <f>+D29</f>
        <v>5824</v>
      </c>
      <c r="E45" s="418">
        <f>+D34</f>
        <v>5991</v>
      </c>
      <c r="F45" s="419" t="str">
        <f>IF(D38="","제외","")</f>
        <v/>
      </c>
      <c r="G45" s="341"/>
      <c r="H45" s="341"/>
      <c r="I45" s="341"/>
      <c r="J45" s="413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1"/>
    </row>
    <row r="46" spans="1:40" s="344" customFormat="1" ht="18.95" customHeight="1">
      <c r="A46" s="416" t="s">
        <v>254</v>
      </c>
      <c r="B46" s="417">
        <f>+E19</f>
        <v>5310</v>
      </c>
      <c r="C46" s="417">
        <f>+E24</f>
        <v>5355</v>
      </c>
      <c r="D46" s="417">
        <f>+E29</f>
        <v>5396</v>
      </c>
      <c r="E46" s="418">
        <f>+E34</f>
        <v>5433</v>
      </c>
      <c r="F46" s="419" t="str">
        <f>IF(E38="","제외","")</f>
        <v>제외</v>
      </c>
      <c r="G46" s="341"/>
      <c r="H46" s="341"/>
      <c r="I46" s="341"/>
      <c r="J46" s="413"/>
      <c r="K46" s="391"/>
      <c r="L46" s="391"/>
      <c r="M46" s="391"/>
      <c r="N46" s="391"/>
      <c r="O46" s="391"/>
      <c r="P46" s="391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  <c r="AM46" s="391"/>
    </row>
    <row r="47" spans="1:40" s="344" customFormat="1" ht="18.95" customHeight="1">
      <c r="A47" s="416" t="s">
        <v>256</v>
      </c>
      <c r="B47" s="417">
        <f>+F19</f>
        <v>5501</v>
      </c>
      <c r="C47" s="417">
        <f>+F24</f>
        <v>5656</v>
      </c>
      <c r="D47" s="417">
        <f>+F29</f>
        <v>5813</v>
      </c>
      <c r="E47" s="418">
        <f>+F34</f>
        <v>5973</v>
      </c>
      <c r="F47" s="419" t="str">
        <f>IF(F38="","제외","")</f>
        <v/>
      </c>
      <c r="G47" s="341"/>
      <c r="H47" s="341"/>
      <c r="I47" s="341"/>
      <c r="J47" s="413"/>
      <c r="K47" s="391"/>
      <c r="L47" s="391"/>
      <c r="M47" s="391"/>
      <c r="N47" s="391"/>
      <c r="O47" s="391"/>
      <c r="P47" s="391"/>
      <c r="Q47" s="391"/>
      <c r="R47" s="391"/>
      <c r="S47" s="391"/>
      <c r="T47" s="391"/>
      <c r="U47" s="391"/>
      <c r="V47" s="391"/>
      <c r="W47" s="391"/>
      <c r="X47" s="391"/>
      <c r="Y47" s="391"/>
      <c r="Z47" s="391"/>
      <c r="AA47" s="391"/>
      <c r="AB47" s="391"/>
      <c r="AC47" s="391"/>
      <c r="AD47" s="391"/>
      <c r="AE47" s="391"/>
      <c r="AF47" s="391"/>
      <c r="AG47" s="391"/>
      <c r="AH47" s="391"/>
      <c r="AI47" s="391"/>
      <c r="AJ47" s="391"/>
      <c r="AK47" s="391"/>
      <c r="AL47" s="391"/>
      <c r="AM47" s="391"/>
    </row>
    <row r="48" spans="1:40" s="344" customFormat="1" ht="18.95" customHeight="1">
      <c r="A48" s="416" t="s">
        <v>283</v>
      </c>
      <c r="B48" s="420">
        <f>ROUND(AVERAGE(B46,B47),0)</f>
        <v>5406</v>
      </c>
      <c r="C48" s="420">
        <f t="shared" ref="C48:E48" si="7">ROUND(AVERAGE(C46,C47),0)</f>
        <v>5506</v>
      </c>
      <c r="D48" s="420">
        <f t="shared" si="7"/>
        <v>5605</v>
      </c>
      <c r="E48" s="420">
        <f t="shared" si="7"/>
        <v>5703</v>
      </c>
      <c r="F48" s="419"/>
      <c r="G48" s="341"/>
      <c r="H48" s="341"/>
      <c r="I48" s="341"/>
      <c r="J48" s="413"/>
      <c r="K48" s="391"/>
      <c r="L48" s="391"/>
      <c r="M48" s="391"/>
      <c r="N48" s="391"/>
      <c r="O48" s="391"/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  <c r="AM48" s="391"/>
    </row>
    <row r="49" spans="1:40" s="344" customFormat="1" ht="18.95" customHeight="1">
      <c r="A49" s="416" t="s">
        <v>284</v>
      </c>
      <c r="B49" s="420">
        <f>B48</f>
        <v>5406</v>
      </c>
      <c r="C49" s="420">
        <f>C48</f>
        <v>5506</v>
      </c>
      <c r="D49" s="420">
        <f>D48</f>
        <v>5605</v>
      </c>
      <c r="E49" s="420">
        <f>E48</f>
        <v>5703</v>
      </c>
      <c r="F49" s="419"/>
      <c r="G49" s="341"/>
      <c r="H49" s="341"/>
      <c r="I49" s="341"/>
      <c r="J49" s="413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391"/>
      <c r="AG49" s="391"/>
      <c r="AH49" s="391"/>
      <c r="AI49" s="391"/>
      <c r="AJ49" s="391"/>
      <c r="AK49" s="391"/>
      <c r="AL49" s="391"/>
      <c r="AM49" s="391"/>
    </row>
    <row r="50" spans="1:40" s="344" customFormat="1" ht="20.100000000000001" customHeight="1">
      <c r="A50" s="410"/>
      <c r="B50" s="411"/>
      <c r="C50" s="421">
        <f>C48-B48</f>
        <v>100</v>
      </c>
      <c r="D50" s="421">
        <f>D48-C48</f>
        <v>99</v>
      </c>
      <c r="E50" s="421">
        <f>E48-D48</f>
        <v>98</v>
      </c>
      <c r="F50" s="341"/>
      <c r="G50" s="341"/>
      <c r="H50" s="341"/>
      <c r="I50" s="341"/>
      <c r="J50" s="413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391"/>
      <c r="AG50" s="391"/>
      <c r="AH50" s="391"/>
      <c r="AI50" s="391"/>
      <c r="AJ50" s="391"/>
      <c r="AK50" s="391"/>
      <c r="AL50" s="391"/>
      <c r="AM50" s="391"/>
    </row>
    <row r="51" spans="1:40" s="344" customFormat="1" ht="20.100000000000001" customHeight="1">
      <c r="A51" s="410"/>
      <c r="B51" s="422"/>
      <c r="C51" s="423">
        <f>ROUND((C48/B48)^(1/5)-1,4)</f>
        <v>3.7000000000000002E-3</v>
      </c>
      <c r="D51" s="423">
        <f>ROUND((D48/C48)^(1/5)-1,4)</f>
        <v>3.5999999999999999E-3</v>
      </c>
      <c r="E51" s="423">
        <f>ROUND((E48/D48)^(1/5)-1,4)</f>
        <v>3.5000000000000001E-3</v>
      </c>
      <c r="F51" s="341"/>
      <c r="G51" s="341"/>
      <c r="H51" s="341"/>
      <c r="I51" s="341"/>
      <c r="J51" s="413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391"/>
      <c r="AG51" s="391"/>
      <c r="AH51" s="391"/>
      <c r="AI51" s="391"/>
      <c r="AJ51" s="391"/>
      <c r="AK51" s="391"/>
      <c r="AL51" s="391"/>
      <c r="AM51" s="391"/>
    </row>
    <row r="52" spans="1:40" s="344" customFormat="1" ht="20.100000000000001" customHeight="1">
      <c r="A52" s="410"/>
      <c r="B52" s="411"/>
      <c r="C52" s="423"/>
      <c r="D52" s="423"/>
      <c r="E52" s="423"/>
      <c r="F52" s="341"/>
      <c r="G52" s="341"/>
      <c r="H52" s="341"/>
      <c r="I52" s="341"/>
      <c r="J52" s="413"/>
      <c r="K52" s="391"/>
      <c r="L52" s="391"/>
      <c r="M52" s="391"/>
      <c r="N52" s="391"/>
      <c r="O52" s="391"/>
      <c r="P52" s="391"/>
      <c r="Q52" s="391"/>
      <c r="R52" s="391"/>
      <c r="S52" s="391"/>
      <c r="T52" s="391"/>
      <c r="U52" s="391"/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391"/>
      <c r="AG52" s="391"/>
      <c r="AH52" s="391"/>
      <c r="AI52" s="391"/>
      <c r="AJ52" s="391"/>
      <c r="AK52" s="391"/>
      <c r="AL52" s="391"/>
      <c r="AM52" s="391"/>
    </row>
    <row r="53" spans="1:40" s="344" customFormat="1" ht="20.100000000000001" customHeight="1">
      <c r="A53" s="410"/>
      <c r="B53" s="411"/>
      <c r="C53" s="412"/>
      <c r="D53" s="412"/>
      <c r="E53" s="412"/>
      <c r="F53" s="341"/>
      <c r="G53" s="341"/>
      <c r="H53" s="341"/>
      <c r="I53" s="341"/>
      <c r="J53" s="413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  <c r="AF53" s="391"/>
      <c r="AG53" s="391"/>
      <c r="AH53" s="391"/>
      <c r="AI53" s="391"/>
      <c r="AJ53" s="391"/>
      <c r="AK53" s="391"/>
      <c r="AL53" s="391"/>
      <c r="AM53" s="391"/>
    </row>
    <row r="54" spans="1:40" s="344" customFormat="1" ht="20.100000000000001" customHeight="1">
      <c r="A54" s="410"/>
      <c r="B54" s="411"/>
      <c r="C54" s="412"/>
      <c r="D54" s="412"/>
      <c r="E54" s="412"/>
      <c r="F54" s="341"/>
      <c r="G54" s="341"/>
      <c r="H54" s="341"/>
      <c r="I54" s="341"/>
      <c r="J54" s="413"/>
      <c r="K54" s="391"/>
      <c r="L54" s="391"/>
      <c r="M54" s="391"/>
      <c r="N54" s="391"/>
      <c r="O54" s="391"/>
      <c r="P54" s="391"/>
      <c r="Q54" s="391"/>
      <c r="R54" s="391"/>
      <c r="S54" s="391"/>
      <c r="T54" s="391"/>
      <c r="U54" s="391"/>
      <c r="V54" s="391"/>
      <c r="W54" s="391"/>
      <c r="X54" s="391"/>
      <c r="Y54" s="391"/>
      <c r="Z54" s="391"/>
      <c r="AA54" s="391"/>
      <c r="AB54" s="391"/>
      <c r="AC54" s="391"/>
      <c r="AD54" s="391"/>
      <c r="AE54" s="391"/>
      <c r="AF54" s="391"/>
      <c r="AG54" s="391"/>
      <c r="AH54" s="391"/>
      <c r="AI54" s="391"/>
      <c r="AJ54" s="391"/>
      <c r="AK54" s="391"/>
      <c r="AL54" s="391"/>
      <c r="AM54" s="391"/>
    </row>
    <row r="55" spans="1:40" s="344" customFormat="1" ht="20.100000000000001" customHeight="1">
      <c r="A55" s="410"/>
      <c r="B55" s="411"/>
      <c r="C55" s="412"/>
      <c r="D55" s="412"/>
      <c r="E55" s="412"/>
      <c r="F55" s="341"/>
      <c r="G55" s="341"/>
      <c r="H55" s="341"/>
      <c r="I55" s="341"/>
      <c r="J55" s="413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1"/>
    </row>
    <row r="56" spans="1:40" s="344" customFormat="1" ht="20.100000000000001" customHeight="1">
      <c r="A56" s="410"/>
      <c r="B56" s="411"/>
      <c r="C56" s="412"/>
      <c r="D56" s="412"/>
      <c r="E56" s="412"/>
      <c r="F56" s="341"/>
      <c r="G56" s="341"/>
      <c r="H56" s="341"/>
      <c r="I56" s="341"/>
      <c r="J56" s="413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  <c r="AF56" s="391"/>
      <c r="AG56" s="391"/>
      <c r="AH56" s="391"/>
      <c r="AI56" s="391"/>
      <c r="AJ56" s="391"/>
      <c r="AK56" s="391"/>
      <c r="AL56" s="391"/>
      <c r="AM56" s="391"/>
    </row>
    <row r="57" spans="1:40" s="344" customFormat="1" ht="20.100000000000001" customHeight="1">
      <c r="A57" s="410"/>
      <c r="B57" s="411"/>
      <c r="C57" s="412"/>
      <c r="D57" s="412"/>
      <c r="E57" s="412"/>
      <c r="F57" s="341"/>
      <c r="G57" s="341"/>
      <c r="H57" s="341"/>
      <c r="I57" s="341"/>
      <c r="J57" s="413"/>
      <c r="K57" s="391"/>
      <c r="L57" s="391"/>
      <c r="M57" s="391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91"/>
      <c r="Y57" s="391"/>
      <c r="Z57" s="391"/>
      <c r="AA57" s="391"/>
      <c r="AB57" s="391"/>
      <c r="AC57" s="391"/>
      <c r="AD57" s="391"/>
      <c r="AE57" s="391"/>
      <c r="AF57" s="391"/>
      <c r="AG57" s="391"/>
      <c r="AH57" s="391"/>
      <c r="AI57" s="391"/>
      <c r="AJ57" s="391"/>
      <c r="AK57" s="391"/>
      <c r="AL57" s="391"/>
      <c r="AM57" s="391"/>
    </row>
    <row r="58" spans="1:40" s="344" customFormat="1" ht="20.100000000000001" customHeight="1">
      <c r="A58" s="410"/>
      <c r="B58" s="411"/>
      <c r="C58" s="412"/>
      <c r="D58" s="412"/>
      <c r="E58" s="412"/>
      <c r="F58" s="341"/>
      <c r="G58" s="341"/>
      <c r="H58" s="341"/>
      <c r="I58" s="341"/>
      <c r="J58" s="413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1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  <c r="AF58" s="391"/>
      <c r="AG58" s="391"/>
      <c r="AH58" s="391"/>
      <c r="AI58" s="391"/>
      <c r="AJ58" s="391"/>
      <c r="AK58" s="391"/>
      <c r="AL58" s="391"/>
      <c r="AM58" s="391"/>
    </row>
    <row r="59" spans="1:40" s="344" customFormat="1" ht="20.100000000000001" customHeight="1">
      <c r="A59" s="410"/>
      <c r="B59" s="411"/>
      <c r="C59" s="412"/>
      <c r="D59" s="412"/>
      <c r="E59" s="412"/>
      <c r="F59" s="341"/>
      <c r="G59" s="341"/>
      <c r="H59" s="341"/>
      <c r="I59" s="341"/>
      <c r="J59" s="413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  <c r="AF59" s="391"/>
      <c r="AG59" s="391"/>
      <c r="AH59" s="391"/>
      <c r="AI59" s="391"/>
      <c r="AJ59" s="391"/>
      <c r="AK59" s="391"/>
      <c r="AL59" s="391"/>
      <c r="AM59" s="391"/>
    </row>
    <row r="60" spans="1:40" s="344" customFormat="1" ht="20.100000000000001" customHeight="1">
      <c r="A60" s="410"/>
      <c r="B60" s="411"/>
      <c r="C60" s="412"/>
      <c r="D60" s="412"/>
      <c r="E60" s="412"/>
      <c r="F60" s="341"/>
      <c r="G60" s="341"/>
      <c r="H60" s="341"/>
      <c r="I60" s="341"/>
      <c r="J60" s="413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  <c r="Z60" s="391"/>
      <c r="AA60" s="391"/>
      <c r="AB60" s="391"/>
      <c r="AC60" s="391"/>
      <c r="AD60" s="391"/>
      <c r="AE60" s="391"/>
      <c r="AF60" s="391"/>
      <c r="AG60" s="391"/>
      <c r="AH60" s="391"/>
      <c r="AI60" s="391"/>
      <c r="AJ60" s="391"/>
      <c r="AK60" s="391"/>
      <c r="AL60" s="391"/>
      <c r="AM60" s="391"/>
    </row>
    <row r="61" spans="1:40" s="344" customFormat="1" ht="20.100000000000001" customHeight="1">
      <c r="A61" s="410"/>
      <c r="B61" s="411"/>
      <c r="C61" s="412"/>
      <c r="D61" s="412"/>
      <c r="E61" s="412"/>
      <c r="F61" s="341"/>
      <c r="G61" s="341"/>
      <c r="H61" s="341"/>
      <c r="I61" s="341"/>
      <c r="J61" s="413"/>
      <c r="K61" s="391"/>
      <c r="L61" s="391"/>
      <c r="M61" s="391"/>
      <c r="N61" s="391"/>
      <c r="O61" s="391"/>
      <c r="P61" s="391"/>
      <c r="Q61" s="391"/>
      <c r="R61" s="391"/>
      <c r="S61" s="391"/>
      <c r="T61" s="391"/>
      <c r="U61" s="391"/>
      <c r="V61" s="391"/>
      <c r="W61" s="391"/>
      <c r="X61" s="391"/>
      <c r="Y61" s="391"/>
      <c r="Z61" s="391"/>
      <c r="AA61" s="391"/>
      <c r="AB61" s="391"/>
      <c r="AC61" s="391"/>
      <c r="AD61" s="391"/>
      <c r="AE61" s="391"/>
      <c r="AF61" s="391"/>
      <c r="AG61" s="391"/>
      <c r="AH61" s="391"/>
      <c r="AI61" s="391"/>
      <c r="AJ61" s="391"/>
      <c r="AK61" s="391"/>
      <c r="AL61" s="391"/>
      <c r="AM61" s="391"/>
    </row>
    <row r="62" spans="1:40" s="344" customFormat="1" ht="20.100000000000001" customHeight="1">
      <c r="A62" s="410"/>
      <c r="B62" s="411"/>
      <c r="C62" s="412"/>
      <c r="D62" s="412"/>
      <c r="E62" s="412"/>
      <c r="F62" s="341"/>
      <c r="G62" s="341"/>
      <c r="H62" s="341"/>
      <c r="I62" s="341"/>
      <c r="J62" s="413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  <c r="Z62" s="391"/>
      <c r="AA62" s="391"/>
      <c r="AB62" s="391"/>
      <c r="AC62" s="391"/>
      <c r="AD62" s="391"/>
      <c r="AE62" s="391"/>
      <c r="AF62" s="391"/>
      <c r="AG62" s="391"/>
      <c r="AH62" s="391"/>
      <c r="AI62" s="391"/>
      <c r="AJ62" s="391"/>
      <c r="AK62" s="391"/>
      <c r="AL62" s="391"/>
      <c r="AM62" s="391"/>
      <c r="AN62" s="391"/>
    </row>
    <row r="63" spans="1:40" ht="15" customHeight="1">
      <c r="A63" s="424" t="s">
        <v>285</v>
      </c>
      <c r="B63" s="425"/>
      <c r="I63" s="426"/>
    </row>
    <row r="64" spans="1:40" ht="15" customHeight="1">
      <c r="A64" s="427" t="s">
        <v>264</v>
      </c>
      <c r="B64" s="428" t="s">
        <v>286</v>
      </c>
      <c r="C64" s="429" t="s">
        <v>287</v>
      </c>
      <c r="D64" s="430"/>
      <c r="E64" s="430"/>
      <c r="F64" s="431"/>
      <c r="G64" s="432"/>
      <c r="H64" s="432" t="s">
        <v>288</v>
      </c>
      <c r="I64" s="433">
        <f>RSQ(I65:I75,B65:B75)</f>
        <v>0.63372444681883766</v>
      </c>
      <c r="J64" s="434" t="s">
        <v>289</v>
      </c>
      <c r="K64" s="435" t="s">
        <v>290</v>
      </c>
    </row>
    <row r="65" spans="1:14" ht="15" customHeight="1">
      <c r="A65" s="436">
        <f>A5</f>
        <v>2006</v>
      </c>
      <c r="B65" s="437">
        <f>B5</f>
        <v>5153</v>
      </c>
      <c r="C65" s="438">
        <v>1</v>
      </c>
      <c r="D65" s="439" t="s">
        <v>291</v>
      </c>
      <c r="E65" s="440"/>
      <c r="F65" s="440"/>
      <c r="G65" s="441"/>
      <c r="H65" s="442"/>
      <c r="I65" s="443">
        <f t="shared" ref="I65:I97" si="8">ROUND($E$66*C65+$E$67,$G$1)</f>
        <v>5081</v>
      </c>
      <c r="J65" s="444">
        <f t="shared" ref="J65:J75" si="9">ABS(B65-I65)/B65*100</f>
        <v>1.397244323694935</v>
      </c>
      <c r="K65" s="443">
        <f t="shared" ref="K65:K75" si="10">(B65-I65)^2/1000</f>
        <v>5.1840000000000002</v>
      </c>
      <c r="L65" s="445"/>
    </row>
    <row r="66" spans="1:14" ht="15" customHeight="1">
      <c r="A66" s="436">
        <f t="shared" ref="A66:A97" si="11">A65+1</f>
        <v>2007</v>
      </c>
      <c r="B66" s="437">
        <f t="shared" ref="B66:B75" si="12">B6</f>
        <v>5146</v>
      </c>
      <c r="C66" s="438">
        <f t="shared" ref="C66:C75" si="13">C65+1</f>
        <v>2</v>
      </c>
      <c r="D66" s="439" t="s">
        <v>292</v>
      </c>
      <c r="E66" s="363">
        <f>INDEX(LINEST(B65:B75,C65:C75),1)</f>
        <v>29.863636363636367</v>
      </c>
      <c r="F66" s="440"/>
      <c r="G66" s="441"/>
      <c r="H66" s="442"/>
      <c r="I66" s="443">
        <f t="shared" si="8"/>
        <v>5110</v>
      </c>
      <c r="J66" s="446">
        <f t="shared" si="9"/>
        <v>0.69957248348231638</v>
      </c>
      <c r="K66" s="443">
        <f>(B66-I66)^2/1000</f>
        <v>1.296</v>
      </c>
      <c r="L66" s="445">
        <f t="shared" ref="L66:L97" si="14">+I66-I65</f>
        <v>29</v>
      </c>
      <c r="M66" s="445"/>
    </row>
    <row r="67" spans="1:14" ht="15" customHeight="1">
      <c r="A67" s="436">
        <f t="shared" si="11"/>
        <v>2008</v>
      </c>
      <c r="B67" s="437">
        <f t="shared" si="12"/>
        <v>5158</v>
      </c>
      <c r="C67" s="438">
        <f t="shared" si="13"/>
        <v>3</v>
      </c>
      <c r="D67" s="439" t="s">
        <v>293</v>
      </c>
      <c r="E67" s="363">
        <f>INDEX(LINEST(B65:B75,C65:C75),2)</f>
        <v>5050.727272727273</v>
      </c>
      <c r="G67" s="441"/>
      <c r="H67" s="442"/>
      <c r="I67" s="443">
        <f t="shared" si="8"/>
        <v>5140</v>
      </c>
      <c r="J67" s="446">
        <f t="shared" si="9"/>
        <v>0.34897246994959286</v>
      </c>
      <c r="K67" s="443">
        <f>(B67-I67)^2/1000</f>
        <v>0.32400000000000001</v>
      </c>
      <c r="L67" s="445">
        <f t="shared" si="14"/>
        <v>30</v>
      </c>
      <c r="M67" s="445"/>
    </row>
    <row r="68" spans="1:14" ht="15" customHeight="1">
      <c r="A68" s="436">
        <f t="shared" si="11"/>
        <v>2009</v>
      </c>
      <c r="B68" s="437">
        <f t="shared" si="12"/>
        <v>5153</v>
      </c>
      <c r="C68" s="438">
        <f t="shared" si="13"/>
        <v>4</v>
      </c>
      <c r="G68" s="442"/>
      <c r="H68" s="442"/>
      <c r="I68" s="443">
        <f t="shared" si="8"/>
        <v>5170</v>
      </c>
      <c r="J68" s="446">
        <f t="shared" si="9"/>
        <v>0.3299049097613041</v>
      </c>
      <c r="K68" s="443">
        <f t="shared" si="10"/>
        <v>0.28899999999999998</v>
      </c>
      <c r="L68" s="445">
        <f t="shared" si="14"/>
        <v>30</v>
      </c>
      <c r="M68" s="445"/>
    </row>
    <row r="69" spans="1:14" ht="15" customHeight="1">
      <c r="A69" s="436">
        <f t="shared" si="11"/>
        <v>2010</v>
      </c>
      <c r="B69" s="437">
        <f t="shared" si="12"/>
        <v>5104</v>
      </c>
      <c r="C69" s="438">
        <f t="shared" si="13"/>
        <v>5</v>
      </c>
      <c r="G69" s="442"/>
      <c r="H69" s="442"/>
      <c r="I69" s="443">
        <f t="shared" si="8"/>
        <v>5200</v>
      </c>
      <c r="J69" s="446">
        <f t="shared" si="9"/>
        <v>1.8808777429467085</v>
      </c>
      <c r="K69" s="443">
        <f t="shared" si="10"/>
        <v>9.2159999999999993</v>
      </c>
      <c r="L69" s="445">
        <f t="shared" si="14"/>
        <v>30</v>
      </c>
      <c r="M69" s="445"/>
    </row>
    <row r="70" spans="1:14" ht="15" customHeight="1">
      <c r="A70" s="436">
        <f t="shared" si="11"/>
        <v>2011</v>
      </c>
      <c r="B70" s="437">
        <f t="shared" si="12"/>
        <v>5114</v>
      </c>
      <c r="C70" s="438">
        <f t="shared" si="13"/>
        <v>6</v>
      </c>
      <c r="D70" s="2318" t="s">
        <v>276</v>
      </c>
      <c r="E70" s="2320"/>
      <c r="F70" s="447">
        <f>I64</f>
        <v>0.63372444681883766</v>
      </c>
      <c r="G70" s="442"/>
      <c r="H70" s="442"/>
      <c r="I70" s="443">
        <f t="shared" si="8"/>
        <v>5230</v>
      </c>
      <c r="J70" s="446">
        <f t="shared" si="9"/>
        <v>2.2682831443097378</v>
      </c>
      <c r="K70" s="443">
        <f t="shared" si="10"/>
        <v>13.456</v>
      </c>
      <c r="L70" s="445">
        <f t="shared" si="14"/>
        <v>30</v>
      </c>
      <c r="M70" s="445"/>
    </row>
    <row r="71" spans="1:14" ht="15" customHeight="1">
      <c r="A71" s="436">
        <f t="shared" si="11"/>
        <v>2012</v>
      </c>
      <c r="B71" s="437">
        <f t="shared" si="12"/>
        <v>5165</v>
      </c>
      <c r="C71" s="438">
        <f t="shared" si="13"/>
        <v>7</v>
      </c>
      <c r="D71" s="2318" t="s">
        <v>277</v>
      </c>
      <c r="E71" s="2320"/>
      <c r="F71" s="448">
        <f>SUM(K65:K75)</f>
        <v>56.753999999999998</v>
      </c>
      <c r="G71" s="442"/>
      <c r="H71" s="442"/>
      <c r="I71" s="443">
        <f t="shared" si="8"/>
        <v>5260</v>
      </c>
      <c r="J71" s="446">
        <f t="shared" si="9"/>
        <v>1.8393030009680542</v>
      </c>
      <c r="K71" s="443">
        <f t="shared" si="10"/>
        <v>9.0250000000000004</v>
      </c>
      <c r="L71" s="445">
        <f t="shared" si="14"/>
        <v>30</v>
      </c>
      <c r="M71" s="445"/>
    </row>
    <row r="72" spans="1:14" ht="15" customHeight="1">
      <c r="A72" s="436">
        <f t="shared" si="11"/>
        <v>2013</v>
      </c>
      <c r="B72" s="437">
        <f t="shared" si="12"/>
        <v>5412</v>
      </c>
      <c r="C72" s="438">
        <f t="shared" si="13"/>
        <v>8</v>
      </c>
      <c r="D72" s="2318" t="s">
        <v>295</v>
      </c>
      <c r="E72" s="2321"/>
      <c r="F72" s="449">
        <f>SUM(J65:J75)/C75</f>
        <v>1.1300982223752947</v>
      </c>
      <c r="G72" s="442"/>
      <c r="H72" s="442"/>
      <c r="I72" s="443">
        <f t="shared" si="8"/>
        <v>5290</v>
      </c>
      <c r="J72" s="446">
        <f t="shared" si="9"/>
        <v>2.2542498152254247</v>
      </c>
      <c r="K72" s="443">
        <f t="shared" si="10"/>
        <v>14.884</v>
      </c>
      <c r="L72" s="445">
        <f t="shared" si="14"/>
        <v>30</v>
      </c>
      <c r="M72" s="445"/>
    </row>
    <row r="73" spans="1:14" ht="15" customHeight="1">
      <c r="A73" s="436">
        <f t="shared" si="11"/>
        <v>2014</v>
      </c>
      <c r="B73" s="437">
        <f t="shared" si="12"/>
        <v>5370</v>
      </c>
      <c r="C73" s="438">
        <f t="shared" si="13"/>
        <v>9</v>
      </c>
      <c r="D73" s="2322"/>
      <c r="E73" s="2322"/>
      <c r="F73" s="450"/>
      <c r="G73" s="442"/>
      <c r="H73" s="442"/>
      <c r="I73" s="443">
        <f t="shared" si="8"/>
        <v>5320</v>
      </c>
      <c r="J73" s="446">
        <f t="shared" si="9"/>
        <v>0.93109869646182497</v>
      </c>
      <c r="K73" s="443">
        <f t="shared" si="10"/>
        <v>2.5</v>
      </c>
      <c r="L73" s="445">
        <f t="shared" si="14"/>
        <v>30</v>
      </c>
      <c r="M73" s="445"/>
    </row>
    <row r="74" spans="1:14" ht="15" customHeight="1">
      <c r="A74" s="436">
        <f t="shared" si="11"/>
        <v>2015</v>
      </c>
      <c r="B74" s="437">
        <f t="shared" si="12"/>
        <v>5351</v>
      </c>
      <c r="C74" s="438">
        <f t="shared" si="13"/>
        <v>10</v>
      </c>
      <c r="G74" s="439"/>
      <c r="H74" s="451"/>
      <c r="I74" s="443">
        <f t="shared" si="8"/>
        <v>5349</v>
      </c>
      <c r="J74" s="446">
        <f t="shared" si="9"/>
        <v>3.7376191366099792E-2</v>
      </c>
      <c r="K74" s="443">
        <f t="shared" si="10"/>
        <v>4.0000000000000001E-3</v>
      </c>
      <c r="L74" s="445">
        <f t="shared" si="14"/>
        <v>29</v>
      </c>
      <c r="M74" s="445"/>
    </row>
    <row r="75" spans="1:14" ht="15" customHeight="1" thickBot="1">
      <c r="A75" s="452">
        <f t="shared" si="11"/>
        <v>2016</v>
      </c>
      <c r="B75" s="453">
        <f t="shared" si="12"/>
        <v>5403</v>
      </c>
      <c r="C75" s="438">
        <f t="shared" si="13"/>
        <v>11</v>
      </c>
      <c r="D75" s="454"/>
      <c r="E75" s="454"/>
      <c r="F75" s="454"/>
      <c r="G75" s="455"/>
      <c r="H75" s="454"/>
      <c r="I75" s="456">
        <f t="shared" si="8"/>
        <v>5379</v>
      </c>
      <c r="J75" s="457">
        <f t="shared" si="9"/>
        <v>0.44419766796224325</v>
      </c>
      <c r="K75" s="456">
        <f t="shared" si="10"/>
        <v>0.57599999999999996</v>
      </c>
      <c r="L75" s="445">
        <f t="shared" si="14"/>
        <v>30</v>
      </c>
      <c r="M75" s="445"/>
    </row>
    <row r="76" spans="1:14" ht="15" customHeight="1" thickTop="1">
      <c r="A76" s="458">
        <f t="shared" si="11"/>
        <v>2017</v>
      </c>
      <c r="B76" s="459">
        <f t="shared" ref="B76:B97" si="15">ROUND($E$66*C76+$E$67,$G$1)</f>
        <v>5409</v>
      </c>
      <c r="C76" s="460">
        <f>C75+1</f>
        <v>12</v>
      </c>
      <c r="D76" s="461"/>
      <c r="E76" s="461"/>
      <c r="F76" s="461"/>
      <c r="G76" s="462"/>
      <c r="H76" s="461"/>
      <c r="I76" s="443">
        <f t="shared" si="8"/>
        <v>5409</v>
      </c>
      <c r="J76" s="463"/>
      <c r="K76" s="464"/>
      <c r="L76" s="445">
        <f t="shared" si="14"/>
        <v>30</v>
      </c>
    </row>
    <row r="77" spans="1:14" ht="15" customHeight="1">
      <c r="A77" s="465">
        <f t="shared" si="11"/>
        <v>2018</v>
      </c>
      <c r="B77" s="437">
        <f t="shared" si="15"/>
        <v>5439</v>
      </c>
      <c r="C77" s="466">
        <f>C76+1</f>
        <v>13</v>
      </c>
      <c r="F77" s="451"/>
      <c r="G77" s="439"/>
      <c r="H77" s="451"/>
      <c r="I77" s="443">
        <f t="shared" si="8"/>
        <v>5439</v>
      </c>
      <c r="J77" s="467"/>
      <c r="K77" s="443"/>
      <c r="L77" s="445">
        <f t="shared" si="14"/>
        <v>30</v>
      </c>
    </row>
    <row r="78" spans="1:14" ht="15" customHeight="1">
      <c r="A78" s="465">
        <f t="shared" si="11"/>
        <v>2019</v>
      </c>
      <c r="B78" s="437">
        <f t="shared" si="15"/>
        <v>5469</v>
      </c>
      <c r="C78" s="466">
        <f t="shared" ref="C78:C94" si="16">C77+1</f>
        <v>14</v>
      </c>
      <c r="F78" s="451"/>
      <c r="G78" s="439"/>
      <c r="H78" s="451"/>
      <c r="I78" s="443">
        <f t="shared" si="8"/>
        <v>5469</v>
      </c>
      <c r="J78" s="467"/>
      <c r="K78" s="443"/>
      <c r="L78" s="445">
        <f t="shared" si="14"/>
        <v>30</v>
      </c>
    </row>
    <row r="79" spans="1:14" ht="15" customHeight="1">
      <c r="A79" s="465">
        <f t="shared" si="11"/>
        <v>2020</v>
      </c>
      <c r="B79" s="437">
        <f t="shared" si="15"/>
        <v>5499</v>
      </c>
      <c r="C79" s="466">
        <f t="shared" si="16"/>
        <v>15</v>
      </c>
      <c r="F79" s="451"/>
      <c r="G79" s="439"/>
      <c r="H79" s="451"/>
      <c r="I79" s="443">
        <f t="shared" si="8"/>
        <v>5499</v>
      </c>
      <c r="J79" s="467"/>
      <c r="K79" s="443"/>
      <c r="L79" s="445">
        <f t="shared" si="14"/>
        <v>30</v>
      </c>
      <c r="N79" s="326">
        <f>1/0.75</f>
        <v>1.3333333333333333</v>
      </c>
    </row>
    <row r="80" spans="1:14" ht="15" customHeight="1">
      <c r="A80" s="465">
        <f t="shared" si="11"/>
        <v>2021</v>
      </c>
      <c r="B80" s="437">
        <f t="shared" si="15"/>
        <v>5529</v>
      </c>
      <c r="C80" s="466">
        <f t="shared" si="16"/>
        <v>16</v>
      </c>
      <c r="F80" s="451"/>
      <c r="G80" s="439"/>
      <c r="H80" s="451"/>
      <c r="I80" s="443">
        <f t="shared" si="8"/>
        <v>5529</v>
      </c>
      <c r="J80" s="467"/>
      <c r="K80" s="443"/>
      <c r="L80" s="445">
        <f t="shared" si="14"/>
        <v>30</v>
      </c>
    </row>
    <row r="81" spans="1:12" ht="15" customHeight="1">
      <c r="A81" s="465">
        <f t="shared" si="11"/>
        <v>2022</v>
      </c>
      <c r="B81" s="437">
        <f t="shared" si="15"/>
        <v>5558</v>
      </c>
      <c r="C81" s="466">
        <f t="shared" si="16"/>
        <v>17</v>
      </c>
      <c r="D81" s="439"/>
      <c r="E81" s="439"/>
      <c r="F81" s="451"/>
      <c r="G81" s="439"/>
      <c r="H81" s="451"/>
      <c r="I81" s="443">
        <f t="shared" si="8"/>
        <v>5558</v>
      </c>
      <c r="J81" s="467"/>
      <c r="K81" s="443"/>
      <c r="L81" s="445">
        <f t="shared" si="14"/>
        <v>29</v>
      </c>
    </row>
    <row r="82" spans="1:12" ht="15" customHeight="1">
      <c r="A82" s="465">
        <f t="shared" si="11"/>
        <v>2023</v>
      </c>
      <c r="B82" s="437">
        <f t="shared" si="15"/>
        <v>5588</v>
      </c>
      <c r="C82" s="466">
        <f t="shared" si="16"/>
        <v>18</v>
      </c>
      <c r="D82" s="439"/>
      <c r="E82" s="439"/>
      <c r="F82" s="451"/>
      <c r="G82" s="439"/>
      <c r="H82" s="451"/>
      <c r="I82" s="443">
        <f t="shared" si="8"/>
        <v>5588</v>
      </c>
      <c r="J82" s="467"/>
      <c r="K82" s="443"/>
      <c r="L82" s="445">
        <f t="shared" si="14"/>
        <v>30</v>
      </c>
    </row>
    <row r="83" spans="1:12" s="451" customFormat="1" ht="15" customHeight="1">
      <c r="A83" s="465">
        <f t="shared" si="11"/>
        <v>2024</v>
      </c>
      <c r="B83" s="437">
        <f t="shared" si="15"/>
        <v>5618</v>
      </c>
      <c r="C83" s="466">
        <f t="shared" si="16"/>
        <v>19</v>
      </c>
      <c r="G83" s="439"/>
      <c r="H83" s="439"/>
      <c r="I83" s="443">
        <f t="shared" si="8"/>
        <v>5618</v>
      </c>
      <c r="J83" s="467"/>
      <c r="K83" s="443"/>
      <c r="L83" s="445">
        <f t="shared" si="14"/>
        <v>30</v>
      </c>
    </row>
    <row r="84" spans="1:12" ht="15" customHeight="1">
      <c r="A84" s="465">
        <f t="shared" si="11"/>
        <v>2025</v>
      </c>
      <c r="B84" s="437">
        <f t="shared" si="15"/>
        <v>5648</v>
      </c>
      <c r="C84" s="466">
        <f t="shared" si="16"/>
        <v>20</v>
      </c>
      <c r="D84" s="451"/>
      <c r="E84" s="451"/>
      <c r="F84" s="451"/>
      <c r="G84" s="439"/>
      <c r="H84" s="451"/>
      <c r="I84" s="443">
        <f t="shared" si="8"/>
        <v>5648</v>
      </c>
      <c r="J84" s="467"/>
      <c r="K84" s="443"/>
      <c r="L84" s="445">
        <f t="shared" si="14"/>
        <v>30</v>
      </c>
    </row>
    <row r="85" spans="1:12" s="451" customFormat="1" ht="15" customHeight="1">
      <c r="A85" s="465">
        <f t="shared" si="11"/>
        <v>2026</v>
      </c>
      <c r="B85" s="437">
        <f t="shared" si="15"/>
        <v>5678</v>
      </c>
      <c r="C85" s="466">
        <f t="shared" si="16"/>
        <v>21</v>
      </c>
      <c r="G85" s="439"/>
      <c r="I85" s="443">
        <f t="shared" si="8"/>
        <v>5678</v>
      </c>
      <c r="J85" s="467"/>
      <c r="K85" s="443"/>
      <c r="L85" s="445">
        <f t="shared" si="14"/>
        <v>30</v>
      </c>
    </row>
    <row r="86" spans="1:12" s="451" customFormat="1" ht="15" customHeight="1">
      <c r="A86" s="465">
        <f t="shared" si="11"/>
        <v>2027</v>
      </c>
      <c r="B86" s="437">
        <f t="shared" si="15"/>
        <v>5708</v>
      </c>
      <c r="C86" s="466">
        <f t="shared" si="16"/>
        <v>22</v>
      </c>
      <c r="G86" s="439"/>
      <c r="I86" s="443">
        <f t="shared" si="8"/>
        <v>5708</v>
      </c>
      <c r="J86" s="467"/>
      <c r="K86" s="443"/>
      <c r="L86" s="445">
        <f t="shared" si="14"/>
        <v>30</v>
      </c>
    </row>
    <row r="87" spans="1:12" s="451" customFormat="1" ht="15" customHeight="1">
      <c r="A87" s="465">
        <f t="shared" si="11"/>
        <v>2028</v>
      </c>
      <c r="B87" s="437">
        <f t="shared" si="15"/>
        <v>5738</v>
      </c>
      <c r="C87" s="466">
        <f t="shared" si="16"/>
        <v>23</v>
      </c>
      <c r="D87" s="468"/>
      <c r="E87" s="468"/>
      <c r="I87" s="443">
        <f t="shared" si="8"/>
        <v>5738</v>
      </c>
      <c r="J87" s="469"/>
      <c r="K87" s="469"/>
      <c r="L87" s="445">
        <f t="shared" si="14"/>
        <v>30</v>
      </c>
    </row>
    <row r="88" spans="1:12" ht="15" customHeight="1">
      <c r="A88" s="465">
        <f t="shared" si="11"/>
        <v>2029</v>
      </c>
      <c r="B88" s="437">
        <f t="shared" si="15"/>
        <v>5767</v>
      </c>
      <c r="C88" s="466">
        <f t="shared" si="16"/>
        <v>24</v>
      </c>
      <c r="D88" s="468"/>
      <c r="E88" s="468"/>
      <c r="F88" s="451"/>
      <c r="G88" s="451"/>
      <c r="H88" s="451"/>
      <c r="I88" s="443">
        <f t="shared" si="8"/>
        <v>5767</v>
      </c>
      <c r="J88" s="469"/>
      <c r="K88" s="469"/>
      <c r="L88" s="445">
        <f t="shared" si="14"/>
        <v>29</v>
      </c>
    </row>
    <row r="89" spans="1:12" ht="15" customHeight="1">
      <c r="A89" s="465">
        <f t="shared" si="11"/>
        <v>2030</v>
      </c>
      <c r="B89" s="437">
        <f t="shared" si="15"/>
        <v>5797</v>
      </c>
      <c r="C89" s="466">
        <f t="shared" si="16"/>
        <v>25</v>
      </c>
      <c r="D89" s="468"/>
      <c r="E89" s="468"/>
      <c r="F89" s="451"/>
      <c r="G89" s="451"/>
      <c r="H89" s="451"/>
      <c r="I89" s="443">
        <f t="shared" si="8"/>
        <v>5797</v>
      </c>
      <c r="J89" s="469"/>
      <c r="K89" s="469"/>
      <c r="L89" s="445">
        <f t="shared" si="14"/>
        <v>30</v>
      </c>
    </row>
    <row r="90" spans="1:12" ht="15" customHeight="1">
      <c r="A90" s="465">
        <f t="shared" si="11"/>
        <v>2031</v>
      </c>
      <c r="B90" s="437">
        <f t="shared" si="15"/>
        <v>5827</v>
      </c>
      <c r="C90" s="466">
        <f t="shared" si="16"/>
        <v>26</v>
      </c>
      <c r="D90" s="468"/>
      <c r="E90" s="468"/>
      <c r="F90" s="451"/>
      <c r="G90" s="451"/>
      <c r="H90" s="451"/>
      <c r="I90" s="443">
        <f t="shared" si="8"/>
        <v>5827</v>
      </c>
      <c r="J90" s="469"/>
      <c r="K90" s="469"/>
      <c r="L90" s="445">
        <f t="shared" si="14"/>
        <v>30</v>
      </c>
    </row>
    <row r="91" spans="1:12" ht="15" customHeight="1">
      <c r="A91" s="465">
        <f t="shared" si="11"/>
        <v>2032</v>
      </c>
      <c r="B91" s="437">
        <f t="shared" si="15"/>
        <v>5857</v>
      </c>
      <c r="C91" s="466">
        <f t="shared" si="16"/>
        <v>27</v>
      </c>
      <c r="D91" s="468"/>
      <c r="E91" s="468"/>
      <c r="F91" s="451"/>
      <c r="G91" s="451"/>
      <c r="H91" s="451"/>
      <c r="I91" s="443">
        <f t="shared" si="8"/>
        <v>5857</v>
      </c>
      <c r="J91" s="469"/>
      <c r="K91" s="469"/>
      <c r="L91" s="445">
        <f t="shared" si="14"/>
        <v>30</v>
      </c>
    </row>
    <row r="92" spans="1:12" ht="15" customHeight="1">
      <c r="A92" s="465">
        <f t="shared" si="11"/>
        <v>2033</v>
      </c>
      <c r="B92" s="437">
        <f t="shared" si="15"/>
        <v>5887</v>
      </c>
      <c r="C92" s="466">
        <f t="shared" si="16"/>
        <v>28</v>
      </c>
      <c r="D92" s="468"/>
      <c r="E92" s="468"/>
      <c r="F92" s="451"/>
      <c r="G92" s="451"/>
      <c r="H92" s="451"/>
      <c r="I92" s="443">
        <f t="shared" si="8"/>
        <v>5887</v>
      </c>
      <c r="J92" s="469"/>
      <c r="K92" s="469"/>
      <c r="L92" s="445">
        <f t="shared" si="14"/>
        <v>30</v>
      </c>
    </row>
    <row r="93" spans="1:12" ht="15" customHeight="1">
      <c r="A93" s="465">
        <f t="shared" si="11"/>
        <v>2034</v>
      </c>
      <c r="B93" s="437">
        <f t="shared" si="15"/>
        <v>5917</v>
      </c>
      <c r="C93" s="466">
        <f t="shared" si="16"/>
        <v>29</v>
      </c>
      <c r="D93" s="468"/>
      <c r="E93" s="468"/>
      <c r="F93" s="451"/>
      <c r="G93" s="451"/>
      <c r="H93" s="451"/>
      <c r="I93" s="443">
        <f t="shared" si="8"/>
        <v>5917</v>
      </c>
      <c r="J93" s="469"/>
      <c r="K93" s="469"/>
      <c r="L93" s="445">
        <f t="shared" si="14"/>
        <v>30</v>
      </c>
    </row>
    <row r="94" spans="1:12" ht="15" customHeight="1">
      <c r="A94" s="470">
        <f t="shared" si="11"/>
        <v>2035</v>
      </c>
      <c r="B94" s="471">
        <f t="shared" si="15"/>
        <v>5947</v>
      </c>
      <c r="C94" s="472">
        <f t="shared" si="16"/>
        <v>30</v>
      </c>
      <c r="D94" s="473"/>
      <c r="E94" s="473"/>
      <c r="F94" s="474"/>
      <c r="G94" s="474"/>
      <c r="H94" s="474"/>
      <c r="I94" s="471">
        <f t="shared" si="8"/>
        <v>5947</v>
      </c>
      <c r="J94" s="475"/>
      <c r="K94" s="476"/>
      <c r="L94" s="445">
        <f t="shared" si="14"/>
        <v>30</v>
      </c>
    </row>
    <row r="95" spans="1:12" ht="15" customHeight="1">
      <c r="A95" s="477">
        <f t="shared" si="11"/>
        <v>2036</v>
      </c>
      <c r="B95" s="478">
        <f t="shared" si="15"/>
        <v>5977</v>
      </c>
      <c r="C95" s="479">
        <v>31</v>
      </c>
      <c r="D95" s="480"/>
      <c r="E95" s="480"/>
      <c r="F95" s="481"/>
      <c r="G95" s="481"/>
      <c r="H95" s="481"/>
      <c r="I95" s="478">
        <f t="shared" si="8"/>
        <v>5977</v>
      </c>
      <c r="J95" s="482"/>
      <c r="K95" s="483"/>
      <c r="L95" s="445">
        <f t="shared" si="14"/>
        <v>30</v>
      </c>
    </row>
    <row r="96" spans="1:12" ht="15" customHeight="1">
      <c r="A96" s="477">
        <f t="shared" si="11"/>
        <v>2037</v>
      </c>
      <c r="B96" s="478">
        <f t="shared" si="15"/>
        <v>6006</v>
      </c>
      <c r="C96" s="479">
        <v>32</v>
      </c>
      <c r="D96" s="480"/>
      <c r="E96" s="480"/>
      <c r="F96" s="481"/>
      <c r="G96" s="481"/>
      <c r="H96" s="481"/>
      <c r="I96" s="478">
        <f t="shared" si="8"/>
        <v>6006</v>
      </c>
      <c r="J96" s="482"/>
      <c r="K96" s="483"/>
      <c r="L96" s="445">
        <f t="shared" si="14"/>
        <v>29</v>
      </c>
    </row>
    <row r="97" spans="1:13" ht="15" customHeight="1">
      <c r="A97" s="484">
        <f t="shared" si="11"/>
        <v>2038</v>
      </c>
      <c r="B97" s="485">
        <f t="shared" si="15"/>
        <v>6036</v>
      </c>
      <c r="C97" s="486">
        <v>33</v>
      </c>
      <c r="D97" s="487"/>
      <c r="E97" s="487"/>
      <c r="F97" s="488"/>
      <c r="G97" s="488"/>
      <c r="H97" s="488"/>
      <c r="I97" s="485">
        <f t="shared" si="8"/>
        <v>6036</v>
      </c>
      <c r="J97" s="489"/>
      <c r="K97" s="490"/>
      <c r="L97" s="445">
        <f t="shared" si="14"/>
        <v>30</v>
      </c>
    </row>
    <row r="98" spans="1:13" ht="15" customHeight="1">
      <c r="A98" s="491"/>
      <c r="B98" s="492"/>
      <c r="C98" s="439"/>
      <c r="D98" s="468"/>
      <c r="E98" s="468"/>
      <c r="F98" s="451"/>
      <c r="G98" s="451"/>
      <c r="H98" s="451"/>
      <c r="I98" s="492"/>
      <c r="J98" s="493"/>
      <c r="K98" s="493"/>
      <c r="L98" s="445"/>
    </row>
    <row r="99" spans="1:13" ht="15" customHeight="1">
      <c r="A99" s="491"/>
      <c r="B99" s="492"/>
      <c r="C99" s="439"/>
      <c r="D99" s="468"/>
      <c r="E99" s="468"/>
      <c r="F99" s="451"/>
      <c r="G99" s="451"/>
      <c r="H99" s="451"/>
      <c r="I99" s="492"/>
      <c r="J99" s="493"/>
      <c r="K99" s="493"/>
      <c r="L99" s="445"/>
    </row>
    <row r="100" spans="1:13" ht="15" customHeight="1">
      <c r="A100" s="491"/>
      <c r="B100" s="492"/>
      <c r="C100" s="439"/>
      <c r="D100" s="468"/>
      <c r="E100" s="468"/>
      <c r="F100" s="451"/>
      <c r="G100" s="451"/>
      <c r="H100" s="451"/>
      <c r="I100" s="492"/>
      <c r="J100" s="493"/>
      <c r="K100" s="493"/>
      <c r="L100" s="445"/>
    </row>
    <row r="101" spans="1:13" ht="15" customHeight="1">
      <c r="A101" s="491"/>
      <c r="B101" s="494"/>
      <c r="C101" s="439"/>
      <c r="D101" s="468"/>
      <c r="E101" s="468"/>
      <c r="F101" s="451"/>
      <c r="G101" s="451"/>
      <c r="H101" s="451"/>
      <c r="I101" s="495"/>
      <c r="J101" s="495"/>
    </row>
    <row r="102" spans="1:13" ht="15" customHeight="1">
      <c r="A102" s="424" t="s">
        <v>296</v>
      </c>
    </row>
    <row r="103" spans="1:13" ht="15" customHeight="1">
      <c r="A103" s="427" t="s">
        <v>264</v>
      </c>
      <c r="B103" s="428" t="s">
        <v>286</v>
      </c>
      <c r="C103" s="429" t="s">
        <v>297</v>
      </c>
      <c r="D103" s="429" t="s">
        <v>287</v>
      </c>
      <c r="E103" s="496"/>
      <c r="F103" s="430"/>
      <c r="G103" s="431"/>
      <c r="H103" s="432" t="s">
        <v>288</v>
      </c>
      <c r="I103" s="433">
        <f>RSQ(I104:I114,B104:B114)</f>
        <v>0.63582426938428394</v>
      </c>
      <c r="J103" s="434" t="s">
        <v>289</v>
      </c>
      <c r="K103" s="435" t="s">
        <v>290</v>
      </c>
    </row>
    <row r="104" spans="1:13" ht="15" customHeight="1">
      <c r="A104" s="436">
        <f t="shared" ref="A104:B119" si="17">A65</f>
        <v>2006</v>
      </c>
      <c r="B104" s="437">
        <f t="shared" si="17"/>
        <v>5153</v>
      </c>
      <c r="C104" s="497">
        <f t="shared" ref="C104:C114" si="18">LN(B104)</f>
        <v>8.5473343483282243</v>
      </c>
      <c r="D104" s="438">
        <f>C65</f>
        <v>1</v>
      </c>
      <c r="E104" s="498" t="s">
        <v>298</v>
      </c>
      <c r="F104" s="499"/>
      <c r="G104" s="500"/>
      <c r="H104" s="501"/>
      <c r="I104" s="502">
        <f t="shared" ref="I104:I136" si="19">ROUND($F$111*(1+$F$112)^D104,$G$1)</f>
        <v>5082</v>
      </c>
      <c r="J104" s="444">
        <f t="shared" ref="J104:J114" si="20">ABS(B104-I104)/B104*100</f>
        <v>1.3778381525325054</v>
      </c>
      <c r="K104" s="443">
        <f t="shared" ref="K104:K114" si="21">(B104-I104)^2/1000</f>
        <v>5.0410000000000004</v>
      </c>
      <c r="L104" s="503"/>
    </row>
    <row r="105" spans="1:13" ht="15" customHeight="1">
      <c r="A105" s="436">
        <f t="shared" si="17"/>
        <v>2007</v>
      </c>
      <c r="B105" s="437">
        <f t="shared" si="17"/>
        <v>5146</v>
      </c>
      <c r="C105" s="497">
        <f>LN(B105)</f>
        <v>8.545974992841689</v>
      </c>
      <c r="D105" s="438">
        <f t="shared" ref="D105:D136" si="22">D104+1</f>
        <v>2</v>
      </c>
      <c r="E105" s="498" t="s">
        <v>299</v>
      </c>
      <c r="F105" s="439"/>
      <c r="G105" s="500"/>
      <c r="H105" s="501"/>
      <c r="I105" s="443">
        <f t="shared" si="19"/>
        <v>5111</v>
      </c>
      <c r="J105" s="446">
        <f t="shared" si="20"/>
        <v>0.68013991449669642</v>
      </c>
      <c r="K105" s="443">
        <f t="shared" si="21"/>
        <v>1.2250000000000001</v>
      </c>
      <c r="L105" s="503">
        <f>ROUND((I105/I104)^(1/1)-1,4)</f>
        <v>5.7000000000000002E-3</v>
      </c>
    </row>
    <row r="106" spans="1:13" ht="15" customHeight="1">
      <c r="A106" s="436">
        <f t="shared" si="17"/>
        <v>2008</v>
      </c>
      <c r="B106" s="437">
        <f t="shared" si="17"/>
        <v>5158</v>
      </c>
      <c r="C106" s="497">
        <f>LN(B106)</f>
        <v>8.5483041864412908</v>
      </c>
      <c r="D106" s="438">
        <f t="shared" si="22"/>
        <v>3</v>
      </c>
      <c r="E106" s="326" t="s">
        <v>300</v>
      </c>
      <c r="G106" s="451"/>
      <c r="H106" s="442"/>
      <c r="I106" s="443">
        <f t="shared" si="19"/>
        <v>5140</v>
      </c>
      <c r="J106" s="446">
        <f t="shared" si="20"/>
        <v>0.34897246994959286</v>
      </c>
      <c r="K106" s="443">
        <f t="shared" si="21"/>
        <v>0.32400000000000001</v>
      </c>
      <c r="L106" s="503">
        <f t="shared" ref="L106:L136" si="23">ROUND((I106/I105)^(1/1)-1,4)</f>
        <v>5.7000000000000002E-3</v>
      </c>
      <c r="M106" s="503"/>
    </row>
    <row r="107" spans="1:13" ht="15" customHeight="1">
      <c r="A107" s="436">
        <f t="shared" si="17"/>
        <v>2009</v>
      </c>
      <c r="B107" s="437">
        <f t="shared" si="17"/>
        <v>5153</v>
      </c>
      <c r="C107" s="497">
        <f t="shared" si="18"/>
        <v>8.5473343483282243</v>
      </c>
      <c r="D107" s="438">
        <f t="shared" si="22"/>
        <v>4</v>
      </c>
      <c r="G107" s="451"/>
      <c r="H107" s="442"/>
      <c r="I107" s="443">
        <f t="shared" si="19"/>
        <v>5170</v>
      </c>
      <c r="J107" s="446">
        <f t="shared" si="20"/>
        <v>0.3299049097613041</v>
      </c>
      <c r="K107" s="443">
        <f t="shared" si="21"/>
        <v>0.28899999999999998</v>
      </c>
      <c r="L107" s="503">
        <f t="shared" si="23"/>
        <v>5.7999999999999996E-3</v>
      </c>
      <c r="M107" s="503"/>
    </row>
    <row r="108" spans="1:13" ht="15" customHeight="1">
      <c r="A108" s="436">
        <f t="shared" si="17"/>
        <v>2010</v>
      </c>
      <c r="B108" s="437">
        <f t="shared" si="17"/>
        <v>5104</v>
      </c>
      <c r="C108" s="497">
        <f t="shared" si="18"/>
        <v>8.5377798250246251</v>
      </c>
      <c r="D108" s="438">
        <f t="shared" si="22"/>
        <v>5</v>
      </c>
      <c r="E108" s="329" t="s">
        <v>301</v>
      </c>
      <c r="F108" s="442" t="s">
        <v>302</v>
      </c>
      <c r="G108" s="504">
        <f>INDEX(LINEST(C104:C114,D104:D114),2)</f>
        <v>8.5278612578781772</v>
      </c>
      <c r="H108" s="442"/>
      <c r="I108" s="443">
        <f t="shared" si="19"/>
        <v>5199</v>
      </c>
      <c r="J108" s="446">
        <f t="shared" si="20"/>
        <v>1.8612852664576802</v>
      </c>
      <c r="K108" s="443">
        <f t="shared" si="21"/>
        <v>9.0250000000000004</v>
      </c>
      <c r="L108" s="503">
        <f t="shared" si="23"/>
        <v>5.5999999999999999E-3</v>
      </c>
      <c r="M108" s="503"/>
    </row>
    <row r="109" spans="1:13" ht="15" customHeight="1">
      <c r="A109" s="436">
        <f t="shared" si="17"/>
        <v>2011</v>
      </c>
      <c r="B109" s="437">
        <f t="shared" si="17"/>
        <v>5114</v>
      </c>
      <c r="C109" s="497">
        <f t="shared" si="18"/>
        <v>8.5397371558511317</v>
      </c>
      <c r="D109" s="438">
        <f t="shared" si="22"/>
        <v>6</v>
      </c>
      <c r="E109" s="329" t="s">
        <v>303</v>
      </c>
      <c r="F109" s="442" t="s">
        <v>304</v>
      </c>
      <c r="G109" s="504">
        <f>INDEX(LINEST(C104:C114,D104:D114),1)</f>
        <v>5.6720750099686443E-3</v>
      </c>
      <c r="H109" s="442"/>
      <c r="I109" s="443">
        <f t="shared" si="19"/>
        <v>5229</v>
      </c>
      <c r="J109" s="446">
        <f t="shared" si="20"/>
        <v>2.2487289792725851</v>
      </c>
      <c r="K109" s="443">
        <f t="shared" si="21"/>
        <v>13.225</v>
      </c>
      <c r="L109" s="503">
        <f t="shared" si="23"/>
        <v>5.7999999999999996E-3</v>
      </c>
      <c r="M109" s="503"/>
    </row>
    <row r="110" spans="1:13" ht="15" customHeight="1">
      <c r="A110" s="436">
        <f t="shared" si="17"/>
        <v>2012</v>
      </c>
      <c r="B110" s="437">
        <f t="shared" si="17"/>
        <v>5165</v>
      </c>
      <c r="C110" s="497">
        <f t="shared" si="18"/>
        <v>8.5496603815537391</v>
      </c>
      <c r="D110" s="438">
        <f t="shared" si="22"/>
        <v>7</v>
      </c>
      <c r="H110" s="442"/>
      <c r="I110" s="443">
        <f t="shared" si="19"/>
        <v>5258</v>
      </c>
      <c r="J110" s="446">
        <f t="shared" si="20"/>
        <v>1.8005808325266215</v>
      </c>
      <c r="K110" s="443">
        <f t="shared" si="21"/>
        <v>8.6489999999999991</v>
      </c>
      <c r="L110" s="503">
        <f t="shared" si="23"/>
        <v>5.4999999999999997E-3</v>
      </c>
      <c r="M110" s="503"/>
    </row>
    <row r="111" spans="1:13" ht="15" customHeight="1">
      <c r="A111" s="436">
        <f t="shared" si="17"/>
        <v>2013</v>
      </c>
      <c r="B111" s="437">
        <f t="shared" si="17"/>
        <v>5412</v>
      </c>
      <c r="C111" s="497">
        <f t="shared" si="18"/>
        <v>8.5963739892906794</v>
      </c>
      <c r="D111" s="438">
        <f t="shared" si="22"/>
        <v>8</v>
      </c>
      <c r="E111" s="329" t="s">
        <v>305</v>
      </c>
      <c r="F111" s="505">
        <f>EXP(G108)</f>
        <v>5053.6258658751685</v>
      </c>
      <c r="G111" s="451"/>
      <c r="H111" s="442"/>
      <c r="I111" s="443">
        <f t="shared" si="19"/>
        <v>5288</v>
      </c>
      <c r="J111" s="446">
        <f t="shared" si="20"/>
        <v>2.2912047302291203</v>
      </c>
      <c r="K111" s="443">
        <f t="shared" si="21"/>
        <v>15.375999999999999</v>
      </c>
      <c r="L111" s="503">
        <f t="shared" si="23"/>
        <v>5.7000000000000002E-3</v>
      </c>
      <c r="M111" s="503"/>
    </row>
    <row r="112" spans="1:13" ht="15" customHeight="1">
      <c r="A112" s="436">
        <f t="shared" si="17"/>
        <v>2014</v>
      </c>
      <c r="B112" s="437">
        <f t="shared" si="17"/>
        <v>5370</v>
      </c>
      <c r="C112" s="506">
        <f t="shared" si="18"/>
        <v>8.5885831875029108</v>
      </c>
      <c r="D112" s="438">
        <f t="shared" si="22"/>
        <v>9</v>
      </c>
      <c r="E112" s="329" t="s">
        <v>306</v>
      </c>
      <c r="F112" s="507">
        <f>EXP(G109)-1</f>
        <v>5.6881916846820424E-3</v>
      </c>
      <c r="G112" s="451"/>
      <c r="H112" s="442"/>
      <c r="I112" s="443">
        <f t="shared" si="19"/>
        <v>5318</v>
      </c>
      <c r="J112" s="467">
        <f t="shared" si="20"/>
        <v>0.96834264432029793</v>
      </c>
      <c r="K112" s="443">
        <f t="shared" si="21"/>
        <v>2.7040000000000002</v>
      </c>
      <c r="L112" s="503">
        <f t="shared" si="23"/>
        <v>5.7000000000000002E-3</v>
      </c>
      <c r="M112" s="503"/>
    </row>
    <row r="113" spans="1:13" ht="15" customHeight="1">
      <c r="A113" s="436">
        <f t="shared" si="17"/>
        <v>2015</v>
      </c>
      <c r="B113" s="437">
        <f t="shared" si="17"/>
        <v>5351</v>
      </c>
      <c r="C113" s="506">
        <f t="shared" si="18"/>
        <v>8.5850387383113045</v>
      </c>
      <c r="D113" s="508">
        <f t="shared" si="22"/>
        <v>10</v>
      </c>
      <c r="H113" s="509"/>
      <c r="I113" s="443">
        <f t="shared" si="19"/>
        <v>5349</v>
      </c>
      <c r="J113" s="467">
        <f t="shared" si="20"/>
        <v>3.7376191366099792E-2</v>
      </c>
      <c r="K113" s="443">
        <f t="shared" si="21"/>
        <v>4.0000000000000001E-3</v>
      </c>
      <c r="L113" s="503">
        <f t="shared" si="23"/>
        <v>5.7999999999999996E-3</v>
      </c>
      <c r="M113" s="503"/>
    </row>
    <row r="114" spans="1:13" ht="15" customHeight="1" thickBot="1">
      <c r="A114" s="436">
        <f t="shared" si="17"/>
        <v>2016</v>
      </c>
      <c r="B114" s="437">
        <f t="shared" si="17"/>
        <v>5403</v>
      </c>
      <c r="C114" s="506">
        <f t="shared" si="18"/>
        <v>8.5947096338440652</v>
      </c>
      <c r="D114" s="508">
        <f t="shared" si="22"/>
        <v>11</v>
      </c>
      <c r="G114" s="510"/>
      <c r="H114" s="509"/>
      <c r="I114" s="443">
        <f t="shared" si="19"/>
        <v>5379</v>
      </c>
      <c r="J114" s="467">
        <f t="shared" si="20"/>
        <v>0.44419766796224325</v>
      </c>
      <c r="K114" s="443">
        <f t="shared" si="21"/>
        <v>0.57599999999999996</v>
      </c>
      <c r="L114" s="503">
        <f t="shared" si="23"/>
        <v>5.5999999999999999E-3</v>
      </c>
      <c r="M114" s="503"/>
    </row>
    <row r="115" spans="1:13" ht="15" customHeight="1" thickTop="1">
      <c r="A115" s="511">
        <f t="shared" si="17"/>
        <v>2017</v>
      </c>
      <c r="B115" s="459">
        <f t="shared" ref="B115:B136" si="24">ROUND($F$111*(1+$F$112)^D115,$G$1)</f>
        <v>5410</v>
      </c>
      <c r="C115" s="512"/>
      <c r="D115" s="513">
        <f t="shared" si="22"/>
        <v>12</v>
      </c>
      <c r="E115" s="2314" t="s">
        <v>276</v>
      </c>
      <c r="F115" s="2315"/>
      <c r="G115" s="514">
        <f>I103</f>
        <v>0.63582426938428394</v>
      </c>
      <c r="H115" s="515"/>
      <c r="I115" s="464">
        <f t="shared" si="19"/>
        <v>5410</v>
      </c>
      <c r="J115" s="463"/>
      <c r="K115" s="464"/>
      <c r="L115" s="503">
        <f t="shared" si="23"/>
        <v>5.7999999999999996E-3</v>
      </c>
      <c r="M115" s="503"/>
    </row>
    <row r="116" spans="1:13" ht="15" customHeight="1">
      <c r="A116" s="436">
        <f t="shared" si="17"/>
        <v>2018</v>
      </c>
      <c r="B116" s="437">
        <f t="shared" si="24"/>
        <v>5440</v>
      </c>
      <c r="C116" s="506"/>
      <c r="D116" s="508">
        <f t="shared" si="22"/>
        <v>13</v>
      </c>
      <c r="E116" s="2318" t="s">
        <v>277</v>
      </c>
      <c r="F116" s="2320"/>
      <c r="G116" s="448">
        <f>SUM(K104:K114)</f>
        <v>56.437999999999995</v>
      </c>
      <c r="H116" s="509"/>
      <c r="I116" s="443">
        <f t="shared" si="19"/>
        <v>5440</v>
      </c>
      <c r="J116" s="467"/>
      <c r="K116" s="443"/>
      <c r="L116" s="503">
        <f t="shared" si="23"/>
        <v>5.4999999999999997E-3</v>
      </c>
      <c r="M116" s="503"/>
    </row>
    <row r="117" spans="1:13" ht="15" customHeight="1">
      <c r="A117" s="436">
        <f t="shared" si="17"/>
        <v>2019</v>
      </c>
      <c r="B117" s="437">
        <f t="shared" si="24"/>
        <v>5471</v>
      </c>
      <c r="C117" s="506"/>
      <c r="D117" s="508">
        <f t="shared" si="22"/>
        <v>14</v>
      </c>
      <c r="E117" s="2318" t="s">
        <v>278</v>
      </c>
      <c r="F117" s="2320"/>
      <c r="G117" s="449">
        <f>SUM(J104:J114)/D114</f>
        <v>1.1262337962613407</v>
      </c>
      <c r="H117" s="509"/>
      <c r="I117" s="443">
        <f t="shared" si="19"/>
        <v>5471</v>
      </c>
      <c r="J117" s="467"/>
      <c r="K117" s="443"/>
      <c r="L117" s="503">
        <f t="shared" si="23"/>
        <v>5.7000000000000002E-3</v>
      </c>
      <c r="M117" s="503"/>
    </row>
    <row r="118" spans="1:13" ht="15" customHeight="1">
      <c r="A118" s="436">
        <f t="shared" si="17"/>
        <v>2020</v>
      </c>
      <c r="B118" s="437">
        <f t="shared" si="24"/>
        <v>5502</v>
      </c>
      <c r="C118" s="506"/>
      <c r="D118" s="508">
        <f t="shared" si="22"/>
        <v>15</v>
      </c>
      <c r="H118" s="509"/>
      <c r="I118" s="443">
        <f t="shared" si="19"/>
        <v>5502</v>
      </c>
      <c r="J118" s="467"/>
      <c r="K118" s="443"/>
      <c r="L118" s="503">
        <f t="shared" si="23"/>
        <v>5.7000000000000002E-3</v>
      </c>
      <c r="M118" s="503"/>
    </row>
    <row r="119" spans="1:13" ht="15" customHeight="1">
      <c r="A119" s="436">
        <f t="shared" si="17"/>
        <v>2021</v>
      </c>
      <c r="B119" s="437">
        <f t="shared" si="24"/>
        <v>5534</v>
      </c>
      <c r="C119" s="506"/>
      <c r="D119" s="508">
        <f t="shared" si="22"/>
        <v>16</v>
      </c>
      <c r="E119" s="451"/>
      <c r="F119" s="451"/>
      <c r="G119" s="451"/>
      <c r="H119" s="509"/>
      <c r="I119" s="443">
        <f t="shared" si="19"/>
        <v>5534</v>
      </c>
      <c r="J119" s="467"/>
      <c r="K119" s="443"/>
      <c r="L119" s="503">
        <f t="shared" si="23"/>
        <v>5.7999999999999996E-3</v>
      </c>
      <c r="M119" s="503"/>
    </row>
    <row r="120" spans="1:13" ht="15" customHeight="1">
      <c r="A120" s="436">
        <f t="shared" ref="A120:A136" si="25">A81</f>
        <v>2022</v>
      </c>
      <c r="B120" s="437">
        <f t="shared" si="24"/>
        <v>5565</v>
      </c>
      <c r="C120" s="506"/>
      <c r="D120" s="508">
        <f t="shared" si="22"/>
        <v>17</v>
      </c>
      <c r="E120" s="516"/>
      <c r="F120" s="517"/>
      <c r="G120" s="509"/>
      <c r="H120" s="509"/>
      <c r="I120" s="443">
        <f t="shared" si="19"/>
        <v>5565</v>
      </c>
      <c r="J120" s="467"/>
      <c r="K120" s="443"/>
      <c r="L120" s="503">
        <f t="shared" si="23"/>
        <v>5.5999999999999999E-3</v>
      </c>
      <c r="M120" s="503"/>
    </row>
    <row r="121" spans="1:13" ht="15" customHeight="1">
      <c r="A121" s="436">
        <f t="shared" si="25"/>
        <v>2023</v>
      </c>
      <c r="B121" s="437">
        <f t="shared" si="24"/>
        <v>5597</v>
      </c>
      <c r="C121" s="506"/>
      <c r="D121" s="508">
        <f t="shared" si="22"/>
        <v>18</v>
      </c>
      <c r="E121" s="509"/>
      <c r="F121" s="509"/>
      <c r="G121" s="518"/>
      <c r="H121" s="509"/>
      <c r="I121" s="443">
        <f t="shared" si="19"/>
        <v>5597</v>
      </c>
      <c r="J121" s="467"/>
      <c r="K121" s="443"/>
      <c r="L121" s="503">
        <f t="shared" si="23"/>
        <v>5.7999999999999996E-3</v>
      </c>
      <c r="M121" s="503"/>
    </row>
    <row r="122" spans="1:13" s="451" customFormat="1" ht="15" customHeight="1">
      <c r="A122" s="436">
        <f t="shared" si="25"/>
        <v>2024</v>
      </c>
      <c r="B122" s="437">
        <f t="shared" si="24"/>
        <v>5629</v>
      </c>
      <c r="C122" s="506"/>
      <c r="D122" s="508">
        <f t="shared" si="22"/>
        <v>19</v>
      </c>
      <c r="G122" s="518"/>
      <c r="H122" s="509"/>
      <c r="I122" s="443">
        <f t="shared" si="19"/>
        <v>5629</v>
      </c>
      <c r="J122" s="467"/>
      <c r="K122" s="443"/>
      <c r="L122" s="503">
        <f t="shared" si="23"/>
        <v>5.7000000000000002E-3</v>
      </c>
      <c r="M122" s="503"/>
    </row>
    <row r="123" spans="1:13" ht="15" customHeight="1">
      <c r="A123" s="436">
        <f t="shared" si="25"/>
        <v>2025</v>
      </c>
      <c r="B123" s="437">
        <f t="shared" si="24"/>
        <v>5661</v>
      </c>
      <c r="C123" s="506"/>
      <c r="D123" s="508">
        <f t="shared" si="22"/>
        <v>20</v>
      </c>
      <c r="E123" s="519"/>
      <c r="F123" s="451"/>
      <c r="G123" s="451"/>
      <c r="H123" s="451"/>
      <c r="I123" s="443">
        <f t="shared" si="19"/>
        <v>5661</v>
      </c>
      <c r="J123" s="467"/>
      <c r="K123" s="443"/>
      <c r="L123" s="503">
        <f t="shared" si="23"/>
        <v>5.7000000000000002E-3</v>
      </c>
      <c r="M123" s="503"/>
    </row>
    <row r="124" spans="1:13" s="451" customFormat="1" ht="15" customHeight="1">
      <c r="A124" s="436">
        <f t="shared" si="25"/>
        <v>2026</v>
      </c>
      <c r="B124" s="437">
        <f t="shared" si="24"/>
        <v>5693</v>
      </c>
      <c r="C124" s="506"/>
      <c r="D124" s="508">
        <f t="shared" si="22"/>
        <v>21</v>
      </c>
      <c r="E124" s="519"/>
      <c r="I124" s="443">
        <f t="shared" si="19"/>
        <v>5693</v>
      </c>
      <c r="J124" s="467"/>
      <c r="K124" s="443"/>
      <c r="L124" s="503">
        <f t="shared" si="23"/>
        <v>5.7000000000000002E-3</v>
      </c>
      <c r="M124" s="503"/>
    </row>
    <row r="125" spans="1:13" s="451" customFormat="1" ht="15" customHeight="1">
      <c r="A125" s="436">
        <f t="shared" si="25"/>
        <v>2027</v>
      </c>
      <c r="B125" s="437">
        <f t="shared" si="24"/>
        <v>5725</v>
      </c>
      <c r="C125" s="506"/>
      <c r="D125" s="508">
        <f t="shared" si="22"/>
        <v>22</v>
      </c>
      <c r="E125" s="519"/>
      <c r="I125" s="443">
        <f t="shared" si="19"/>
        <v>5725</v>
      </c>
      <c r="J125" s="467"/>
      <c r="K125" s="443"/>
      <c r="L125" s="503">
        <f t="shared" si="23"/>
        <v>5.5999999999999999E-3</v>
      </c>
      <c r="M125" s="503"/>
    </row>
    <row r="126" spans="1:13" ht="15" customHeight="1">
      <c r="A126" s="436">
        <f t="shared" si="25"/>
        <v>2028</v>
      </c>
      <c r="B126" s="437">
        <f t="shared" si="24"/>
        <v>5758</v>
      </c>
      <c r="C126" s="520"/>
      <c r="D126" s="508">
        <f t="shared" si="22"/>
        <v>23</v>
      </c>
      <c r="E126" s="521"/>
      <c r="F126" s="468"/>
      <c r="G126" s="451"/>
      <c r="H126" s="451"/>
      <c r="I126" s="443">
        <f t="shared" si="19"/>
        <v>5758</v>
      </c>
      <c r="J126" s="469"/>
      <c r="K126" s="469"/>
      <c r="L126" s="503">
        <f t="shared" si="23"/>
        <v>5.7999999999999996E-3</v>
      </c>
      <c r="M126" s="503"/>
    </row>
    <row r="127" spans="1:13" ht="15" customHeight="1">
      <c r="A127" s="436">
        <f t="shared" si="25"/>
        <v>2029</v>
      </c>
      <c r="B127" s="437">
        <f t="shared" si="24"/>
        <v>5791</v>
      </c>
      <c r="C127" s="520"/>
      <c r="D127" s="508">
        <f t="shared" si="22"/>
        <v>24</v>
      </c>
      <c r="E127" s="521"/>
      <c r="F127" s="468"/>
      <c r="G127" s="451"/>
      <c r="H127" s="451"/>
      <c r="I127" s="443">
        <f t="shared" si="19"/>
        <v>5791</v>
      </c>
      <c r="J127" s="469"/>
      <c r="K127" s="469"/>
      <c r="L127" s="503">
        <f t="shared" si="23"/>
        <v>5.7000000000000002E-3</v>
      </c>
      <c r="M127" s="503"/>
    </row>
    <row r="128" spans="1:13" ht="15" customHeight="1">
      <c r="A128" s="436">
        <f t="shared" si="25"/>
        <v>2030</v>
      </c>
      <c r="B128" s="437">
        <f t="shared" si="24"/>
        <v>5824</v>
      </c>
      <c r="C128" s="520"/>
      <c r="D128" s="508">
        <f t="shared" si="22"/>
        <v>25</v>
      </c>
      <c r="E128" s="521"/>
      <c r="F128" s="468"/>
      <c r="G128" s="451"/>
      <c r="H128" s="451"/>
      <c r="I128" s="443">
        <f t="shared" si="19"/>
        <v>5824</v>
      </c>
      <c r="J128" s="469"/>
      <c r="K128" s="469"/>
      <c r="L128" s="503">
        <f t="shared" si="23"/>
        <v>5.7000000000000002E-3</v>
      </c>
      <c r="M128" s="503"/>
    </row>
    <row r="129" spans="1:102" ht="15" customHeight="1">
      <c r="A129" s="436">
        <f t="shared" si="25"/>
        <v>2031</v>
      </c>
      <c r="B129" s="437">
        <f t="shared" si="24"/>
        <v>5857</v>
      </c>
      <c r="C129" s="520"/>
      <c r="D129" s="508">
        <f t="shared" si="22"/>
        <v>26</v>
      </c>
      <c r="E129" s="521"/>
      <c r="F129" s="468"/>
      <c r="G129" s="451"/>
      <c r="H129" s="451"/>
      <c r="I129" s="443">
        <f t="shared" si="19"/>
        <v>5857</v>
      </c>
      <c r="J129" s="469"/>
      <c r="K129" s="469"/>
      <c r="L129" s="503">
        <f t="shared" si="23"/>
        <v>5.7000000000000002E-3</v>
      </c>
      <c r="M129" s="503"/>
    </row>
    <row r="130" spans="1:102" ht="15" customHeight="1">
      <c r="A130" s="436">
        <f t="shared" si="25"/>
        <v>2032</v>
      </c>
      <c r="B130" s="437">
        <f t="shared" si="24"/>
        <v>5890</v>
      </c>
      <c r="C130" s="520"/>
      <c r="D130" s="508">
        <f t="shared" si="22"/>
        <v>27</v>
      </c>
      <c r="E130" s="521"/>
      <c r="F130" s="468"/>
      <c r="G130" s="451"/>
      <c r="H130" s="451"/>
      <c r="I130" s="443">
        <f t="shared" si="19"/>
        <v>5890</v>
      </c>
      <c r="J130" s="469"/>
      <c r="K130" s="469"/>
      <c r="L130" s="503">
        <f t="shared" si="23"/>
        <v>5.5999999999999999E-3</v>
      </c>
      <c r="M130" s="503"/>
    </row>
    <row r="131" spans="1:102" ht="15" customHeight="1">
      <c r="A131" s="436">
        <f t="shared" si="25"/>
        <v>2033</v>
      </c>
      <c r="B131" s="437">
        <f t="shared" si="24"/>
        <v>5923</v>
      </c>
      <c r="C131" s="520"/>
      <c r="D131" s="508">
        <f t="shared" si="22"/>
        <v>28</v>
      </c>
      <c r="E131" s="521"/>
      <c r="F131" s="468"/>
      <c r="G131" s="451"/>
      <c r="H131" s="451"/>
      <c r="I131" s="443">
        <f t="shared" si="19"/>
        <v>5923</v>
      </c>
      <c r="J131" s="469"/>
      <c r="K131" s="469"/>
      <c r="L131" s="503">
        <f t="shared" si="23"/>
        <v>5.5999999999999999E-3</v>
      </c>
      <c r="M131" s="503"/>
    </row>
    <row r="132" spans="1:102" ht="15" customHeight="1">
      <c r="A132" s="436">
        <f t="shared" si="25"/>
        <v>2034</v>
      </c>
      <c r="B132" s="437">
        <f t="shared" si="24"/>
        <v>5957</v>
      </c>
      <c r="C132" s="520"/>
      <c r="D132" s="508">
        <f t="shared" si="22"/>
        <v>29</v>
      </c>
      <c r="E132" s="521"/>
      <c r="F132" s="468"/>
      <c r="G132" s="451"/>
      <c r="H132" s="451"/>
      <c r="I132" s="443">
        <f t="shared" si="19"/>
        <v>5957</v>
      </c>
      <c r="J132" s="469"/>
      <c r="K132" s="469"/>
      <c r="L132" s="503">
        <f t="shared" si="23"/>
        <v>5.7000000000000002E-3</v>
      </c>
      <c r="M132" s="503"/>
    </row>
    <row r="133" spans="1:102" ht="15" customHeight="1">
      <c r="A133" s="522">
        <f t="shared" si="25"/>
        <v>2035</v>
      </c>
      <c r="B133" s="523">
        <f t="shared" si="24"/>
        <v>5991</v>
      </c>
      <c r="C133" s="524"/>
      <c r="D133" s="525">
        <f t="shared" si="22"/>
        <v>30</v>
      </c>
      <c r="E133" s="526"/>
      <c r="F133" s="527"/>
      <c r="G133" s="426"/>
      <c r="H133" s="426"/>
      <c r="I133" s="528">
        <f t="shared" si="19"/>
        <v>5991</v>
      </c>
      <c r="J133" s="529"/>
      <c r="K133" s="529"/>
      <c r="L133" s="503">
        <f t="shared" si="23"/>
        <v>5.7000000000000002E-3</v>
      </c>
      <c r="M133" s="503"/>
    </row>
    <row r="134" spans="1:102" ht="15" customHeight="1">
      <c r="A134" s="522">
        <f t="shared" si="25"/>
        <v>2036</v>
      </c>
      <c r="B134" s="523">
        <f t="shared" si="24"/>
        <v>6025</v>
      </c>
      <c r="C134" s="524"/>
      <c r="D134" s="525">
        <f t="shared" si="22"/>
        <v>31</v>
      </c>
      <c r="E134" s="526"/>
      <c r="F134" s="527"/>
      <c r="G134" s="426"/>
      <c r="H134" s="426"/>
      <c r="I134" s="528">
        <f t="shared" si="19"/>
        <v>6025</v>
      </c>
      <c r="J134" s="529"/>
      <c r="K134" s="529"/>
      <c r="L134" s="503">
        <f t="shared" si="23"/>
        <v>5.7000000000000002E-3</v>
      </c>
      <c r="M134" s="503"/>
    </row>
    <row r="135" spans="1:102" ht="15" customHeight="1">
      <c r="A135" s="522">
        <f t="shared" si="25"/>
        <v>2037</v>
      </c>
      <c r="B135" s="523">
        <f t="shared" si="24"/>
        <v>6059</v>
      </c>
      <c r="C135" s="524"/>
      <c r="D135" s="525">
        <f t="shared" si="22"/>
        <v>32</v>
      </c>
      <c r="E135" s="526"/>
      <c r="F135" s="527"/>
      <c r="G135" s="426"/>
      <c r="H135" s="426"/>
      <c r="I135" s="528">
        <f t="shared" si="19"/>
        <v>6059</v>
      </c>
      <c r="J135" s="529"/>
      <c r="K135" s="529"/>
      <c r="L135" s="503">
        <f t="shared" si="23"/>
        <v>5.5999999999999999E-3</v>
      </c>
      <c r="M135" s="503"/>
    </row>
    <row r="136" spans="1:102" ht="15" customHeight="1">
      <c r="A136" s="522">
        <f t="shared" si="25"/>
        <v>2038</v>
      </c>
      <c r="B136" s="523">
        <f t="shared" si="24"/>
        <v>6094</v>
      </c>
      <c r="C136" s="524"/>
      <c r="D136" s="525">
        <f t="shared" si="22"/>
        <v>33</v>
      </c>
      <c r="E136" s="526"/>
      <c r="F136" s="527"/>
      <c r="G136" s="426"/>
      <c r="H136" s="426"/>
      <c r="I136" s="528">
        <f t="shared" si="19"/>
        <v>6094</v>
      </c>
      <c r="J136" s="529"/>
      <c r="K136" s="529"/>
      <c r="L136" s="503">
        <f t="shared" si="23"/>
        <v>5.7999999999999996E-3</v>
      </c>
      <c r="M136" s="503"/>
    </row>
    <row r="137" spans="1:102" ht="15" customHeight="1">
      <c r="A137" s="491"/>
      <c r="B137" s="492"/>
      <c r="C137" s="451"/>
      <c r="D137" s="439"/>
      <c r="E137" s="530"/>
      <c r="F137" s="468"/>
      <c r="G137" s="451"/>
      <c r="H137" s="451"/>
      <c r="I137" s="492"/>
      <c r="J137" s="493"/>
      <c r="K137" s="493"/>
      <c r="L137" s="503"/>
      <c r="M137" s="503"/>
    </row>
    <row r="138" spans="1:102" ht="15" customHeight="1">
      <c r="A138" s="491"/>
      <c r="B138" s="492"/>
      <c r="C138" s="451"/>
      <c r="D138" s="439"/>
      <c r="E138" s="530"/>
      <c r="F138" s="468"/>
      <c r="G138" s="451"/>
      <c r="H138" s="451"/>
      <c r="I138" s="492"/>
      <c r="J138" s="493"/>
      <c r="K138" s="493"/>
      <c r="L138" s="503"/>
      <c r="M138" s="503"/>
    </row>
    <row r="139" spans="1:102" ht="15" customHeight="1">
      <c r="A139" s="491"/>
      <c r="B139" s="493"/>
      <c r="C139" s="451"/>
      <c r="D139" s="439"/>
      <c r="E139" s="530"/>
      <c r="F139" s="468"/>
      <c r="G139" s="451"/>
      <c r="H139" s="451"/>
      <c r="I139" s="531"/>
      <c r="J139" s="531"/>
    </row>
    <row r="140" spans="1:102" ht="15" customHeight="1">
      <c r="A140" s="424" t="s">
        <v>307</v>
      </c>
    </row>
    <row r="141" spans="1:102" ht="15" customHeight="1">
      <c r="A141" s="427" t="s">
        <v>264</v>
      </c>
      <c r="B141" s="428" t="s">
        <v>286</v>
      </c>
      <c r="C141" s="429" t="s">
        <v>308</v>
      </c>
      <c r="D141" s="429" t="s">
        <v>287</v>
      </c>
      <c r="E141" s="429" t="s">
        <v>309</v>
      </c>
      <c r="F141" s="496"/>
      <c r="G141" s="430"/>
      <c r="H141" s="432" t="s">
        <v>288</v>
      </c>
      <c r="I141" s="433">
        <f>RSQ(I142:I152,B142:B152)</f>
        <v>0.55925252821497828</v>
      </c>
      <c r="J141" s="434" t="s">
        <v>289</v>
      </c>
      <c r="K141" s="435" t="s">
        <v>290</v>
      </c>
      <c r="M141" s="532" t="s">
        <v>308</v>
      </c>
      <c r="N141" s="431"/>
      <c r="O141" s="432" t="s">
        <v>288</v>
      </c>
      <c r="P141" s="433">
        <f>RSQ($B142:$B152,Q142:Q152)</f>
        <v>0.42619222273474416</v>
      </c>
      <c r="Q141" s="434" t="s">
        <v>310</v>
      </c>
      <c r="R141" s="435" t="s">
        <v>290</v>
      </c>
      <c r="T141" s="532" t="s">
        <v>308</v>
      </c>
      <c r="U141" s="431"/>
      <c r="V141" s="432" t="s">
        <v>288</v>
      </c>
      <c r="W141" s="433">
        <f>RSQ($B142:$B152,X142:X152)</f>
        <v>0.42547260761012312</v>
      </c>
      <c r="X141" s="434" t="s">
        <v>310</v>
      </c>
      <c r="Y141" s="435" t="s">
        <v>290</v>
      </c>
      <c r="AA141" s="532" t="s">
        <v>308</v>
      </c>
      <c r="AB141" s="431"/>
      <c r="AC141" s="432" t="s">
        <v>288</v>
      </c>
      <c r="AD141" s="433">
        <f>RSQ($B142:$B152,AE142:AE152)</f>
        <v>0.42968153434770651</v>
      </c>
      <c r="AE141" s="434" t="s">
        <v>310</v>
      </c>
      <c r="AF141" s="435" t="s">
        <v>290</v>
      </c>
      <c r="AH141" s="532" t="s">
        <v>308</v>
      </c>
      <c r="AI141" s="431"/>
      <c r="AJ141" s="432" t="s">
        <v>288</v>
      </c>
      <c r="AK141" s="433">
        <f>RSQ($B142:$B152,AL142:AL152)</f>
        <v>0.43885341233022979</v>
      </c>
      <c r="AL141" s="434" t="s">
        <v>310</v>
      </c>
      <c r="AM141" s="435" t="s">
        <v>290</v>
      </c>
      <c r="AO141" s="532" t="s">
        <v>308</v>
      </c>
      <c r="AP141" s="431"/>
      <c r="AQ141" s="432" t="s">
        <v>288</v>
      </c>
      <c r="AR141" s="433">
        <f>RSQ($B142:$B152,AS142:AS152)</f>
        <v>0.52155090295105311</v>
      </c>
      <c r="AS141" s="434" t="s">
        <v>310</v>
      </c>
      <c r="AT141" s="435" t="s">
        <v>290</v>
      </c>
      <c r="AV141" s="532" t="s">
        <v>308</v>
      </c>
      <c r="AW141" s="431"/>
      <c r="AX141" s="432" t="s">
        <v>288</v>
      </c>
      <c r="AY141" s="433">
        <f>RSQ($B142:$B152,AZ142:AZ152)</f>
        <v>0.55165475277692111</v>
      </c>
      <c r="AZ141" s="434" t="s">
        <v>310</v>
      </c>
      <c r="BA141" s="435" t="s">
        <v>290</v>
      </c>
      <c r="BC141" s="532" t="s">
        <v>308</v>
      </c>
      <c r="BD141" s="431"/>
      <c r="BE141" s="432" t="s">
        <v>288</v>
      </c>
      <c r="BF141" s="433">
        <f>RSQ($B142:$B152,BG142:BG152)</f>
        <v>0.55428333357596438</v>
      </c>
      <c r="BG141" s="434" t="s">
        <v>310</v>
      </c>
      <c r="BH141" s="435" t="s">
        <v>290</v>
      </c>
      <c r="BJ141" s="532" t="s">
        <v>308</v>
      </c>
      <c r="BK141" s="431"/>
      <c r="BL141" s="432" t="s">
        <v>288</v>
      </c>
      <c r="BM141" s="433">
        <f>RSQ($B142:$B152,BN142:BN152)</f>
        <v>0.55925252821497828</v>
      </c>
      <c r="BN141" s="434" t="s">
        <v>310</v>
      </c>
      <c r="BO141" s="435" t="s">
        <v>290</v>
      </c>
      <c r="BQ141" s="532" t="s">
        <v>308</v>
      </c>
      <c r="BR141" s="431"/>
      <c r="BS141" s="432" t="s">
        <v>288</v>
      </c>
      <c r="BT141" s="433">
        <f>RSQ($B142:$B152,BU142:BU152)</f>
        <v>0.55608514408465926</v>
      </c>
      <c r="BU141" s="434" t="s">
        <v>310</v>
      </c>
      <c r="BV141" s="435" t="s">
        <v>290</v>
      </c>
      <c r="BX141" s="532" t="s">
        <v>308</v>
      </c>
      <c r="BY141" s="431"/>
      <c r="BZ141" s="432" t="s">
        <v>288</v>
      </c>
      <c r="CA141" s="433">
        <f>RSQ($B142:$B152,CB142:CB152)</f>
        <v>0.55911407897873733</v>
      </c>
      <c r="CB141" s="434" t="s">
        <v>310</v>
      </c>
      <c r="CC141" s="435" t="s">
        <v>290</v>
      </c>
      <c r="CE141" s="532" t="s">
        <v>308</v>
      </c>
      <c r="CF141" s="431"/>
      <c r="CG141" s="432" t="s">
        <v>288</v>
      </c>
      <c r="CH141" s="433">
        <f>RSQ($B142:$B152,CI142:CI152)</f>
        <v>0.55585620557874404</v>
      </c>
      <c r="CI141" s="434" t="s">
        <v>310</v>
      </c>
      <c r="CJ141" s="435" t="s">
        <v>290</v>
      </c>
      <c r="CL141" s="532" t="s">
        <v>308</v>
      </c>
      <c r="CM141" s="431"/>
      <c r="CN141" s="432" t="s">
        <v>288</v>
      </c>
      <c r="CO141" s="433">
        <f>RSQ($B142:$B152,CP142:CP152)</f>
        <v>0.55904405921518052</v>
      </c>
      <c r="CP141" s="434" t="s">
        <v>310</v>
      </c>
      <c r="CQ141" s="435" t="s">
        <v>290</v>
      </c>
      <c r="CS141" s="532" t="s">
        <v>308</v>
      </c>
      <c r="CT141" s="431"/>
      <c r="CU141" s="432" t="s">
        <v>288</v>
      </c>
      <c r="CV141" s="433">
        <f>RSQ($B142:$B152,CW142:CW152)</f>
        <v>0.42507706874954876</v>
      </c>
      <c r="CW141" s="434" t="s">
        <v>310</v>
      </c>
      <c r="CX141" s="435" t="s">
        <v>290</v>
      </c>
    </row>
    <row r="142" spans="1:102" ht="15" customHeight="1">
      <c r="A142" s="436">
        <f t="shared" ref="A142:B157" si="26">A104</f>
        <v>2006</v>
      </c>
      <c r="B142" s="437">
        <f t="shared" si="26"/>
        <v>5153</v>
      </c>
      <c r="C142" s="533">
        <f>LN(B142-$G$147)</f>
        <v>4.5217885770490405</v>
      </c>
      <c r="D142" s="438">
        <f t="shared" ref="D142:D174" si="27">C65</f>
        <v>1</v>
      </c>
      <c r="E142" s="534">
        <f>LN(D142)</f>
        <v>0</v>
      </c>
      <c r="F142" s="498" t="s">
        <v>311</v>
      </c>
      <c r="I142" s="502">
        <f t="shared" ref="I142:I174" si="28">ROUND($G$147+$G$150*D142^$G$148,$G$1)</f>
        <v>5113</v>
      </c>
      <c r="J142" s="444">
        <f t="shared" ref="J142:J152" si="29">ABS(B142-I142)/B142*100</f>
        <v>0.77624684649718612</v>
      </c>
      <c r="K142" s="535">
        <f>(B142-I142)^2/1000</f>
        <v>1.6</v>
      </c>
      <c r="M142" s="536">
        <f>LN($B142-$O$144)</f>
        <v>8.3315862436307544</v>
      </c>
      <c r="N142" s="331"/>
      <c r="O142" s="331"/>
      <c r="P142" s="331"/>
      <c r="Q142" s="443">
        <f t="shared" ref="Q142:Q152" si="30">ROUND($O$147*D142^$O$145+$O$144,$G$1)</f>
        <v>5061</v>
      </c>
      <c r="R142" s="502">
        <f t="shared" ref="R142:R152" si="31">($B142-Q142)^2/1000</f>
        <v>8.4640000000000004</v>
      </c>
      <c r="T142" s="536">
        <f>LN($B142-$V$144)</f>
        <v>8.0561096595450614</v>
      </c>
      <c r="U142" s="331"/>
      <c r="V142" s="331"/>
      <c r="W142" s="331"/>
      <c r="X142" s="443">
        <f t="shared" ref="X142:X152" si="32">ROUND($V$147*D142^$V$145+$V$144,$G$1)</f>
        <v>5062</v>
      </c>
      <c r="Y142" s="502">
        <f t="shared" ref="Y142:Y152" si="33">($B142-X142)^2/1000</f>
        <v>8.2810000000000006</v>
      </c>
      <c r="AA142" s="536">
        <f>LN($B142-$AC$144)</f>
        <v>7.6746174973643626</v>
      </c>
      <c r="AB142" s="331"/>
      <c r="AC142" s="331"/>
      <c r="AD142" s="331"/>
      <c r="AE142" s="443">
        <f t="shared" ref="AE142:AE152" si="34">ROUND($AC$147*$D142^$AC$145+$AC$144,$G$1)</f>
        <v>5064</v>
      </c>
      <c r="AF142" s="502">
        <f t="shared" ref="AF142:AF152" si="35">($B142-AE142)^2/1000</f>
        <v>7.9210000000000003</v>
      </c>
      <c r="AH142" s="536">
        <f>LN($B142-$AJ$144)</f>
        <v>7.0501225202690589</v>
      </c>
      <c r="AI142" s="331"/>
      <c r="AJ142" s="331"/>
      <c r="AK142" s="331"/>
      <c r="AL142" s="443">
        <f t="shared" ref="AL142:AL152" si="36">ROUND($AJ$147*$D142^$AJ$145+$AJ$144,$G$1)</f>
        <v>5069</v>
      </c>
      <c r="AM142" s="502">
        <f t="shared" ref="AM142:AM152" si="37">($B142-AL142)^2/1000</f>
        <v>7.056</v>
      </c>
      <c r="AO142" s="536">
        <f>LN($B142-$AQ$144)</f>
        <v>5.0304379213924353</v>
      </c>
      <c r="AP142" s="331"/>
      <c r="AQ142" s="331"/>
      <c r="AR142" s="331"/>
      <c r="AS142" s="443">
        <f t="shared" ref="AS142:AS152" si="38">ROUND($AQ$147*$D142^$AQ$145+$AQ$144,$G$1)</f>
        <v>5102</v>
      </c>
      <c r="AT142" s="502">
        <f t="shared" ref="AT142:AT152" si="39">($B142-AS142)^2/1000</f>
        <v>2.601</v>
      </c>
      <c r="AV142" s="536">
        <f>LN($B142-$AX$144)</f>
        <v>4.6347289882296359</v>
      </c>
      <c r="AW142" s="331"/>
      <c r="AX142" s="331"/>
      <c r="AY142" s="331"/>
      <c r="AZ142" s="443">
        <f t="shared" ref="AZ142:AZ152" si="40">ROUND($AX$147*$D142^$AX$145+$AX$144,$G$1)</f>
        <v>5110</v>
      </c>
      <c r="BA142" s="502">
        <f t="shared" ref="BA142:BA152" si="41">($B142-AZ142)^2/1000</f>
        <v>1.849</v>
      </c>
      <c r="BC142" s="536">
        <f>LN($B142-$BE$144)</f>
        <v>4.5325994931532563</v>
      </c>
      <c r="BD142" s="331"/>
      <c r="BE142" s="331"/>
      <c r="BF142" s="331"/>
      <c r="BG142" s="443">
        <f t="shared" ref="BG142:BG152" si="42">ROUND($BE$147*$D142^$BE$145+$BE$144,$G$1)</f>
        <v>5112</v>
      </c>
      <c r="BH142" s="502">
        <f t="shared" ref="BH142:BH152" si="43">($B142-BG142)^2/1000</f>
        <v>1.681</v>
      </c>
      <c r="BJ142" s="536">
        <f>LN($B142-$BL$144)</f>
        <v>4.5217885770490405</v>
      </c>
      <c r="BK142" s="331"/>
      <c r="BL142" s="331"/>
      <c r="BM142" s="331"/>
      <c r="BN142" s="443">
        <f t="shared" ref="BN142:BN152" si="44">ROUND($BL$147*$D142^$BL$145+$BL$144,$G$1)</f>
        <v>5113</v>
      </c>
      <c r="BO142" s="502">
        <f t="shared" ref="BO142:BO152" si="45">($B142-BN142)^2/1000</f>
        <v>1.6</v>
      </c>
      <c r="BQ142" s="536">
        <f>LN($B142-$BS$144)</f>
        <v>4.5108595065168497</v>
      </c>
      <c r="BR142" s="331"/>
      <c r="BS142" s="331"/>
      <c r="BT142" s="331"/>
      <c r="BU142" s="443">
        <f t="shared" ref="BU142:BU152" si="46">ROUND($BS$147*$D142^$BS$145+$BS$144,$G$1)</f>
        <v>5113</v>
      </c>
      <c r="BV142" s="502">
        <f t="shared" ref="BV142:BV152" si="47">($B142-BU142)^2/1000</f>
        <v>1.6</v>
      </c>
      <c r="BX142" s="536">
        <f>LN($B142-$BZ$144)</f>
        <v>4.499809670330265</v>
      </c>
      <c r="BY142" s="331"/>
      <c r="BZ142" s="331"/>
      <c r="CA142" s="331"/>
      <c r="CB142" s="443">
        <f t="shared" ref="CB142:CB152" si="48">ROUND($BZ$147*$D142^$BZ$145+$BZ$144,$G$1)</f>
        <v>5113</v>
      </c>
      <c r="CC142" s="502">
        <f t="shared" ref="CC142:CC152" si="49">($B142-CB142)^2/1000</f>
        <v>1.6</v>
      </c>
      <c r="CE142" s="536">
        <f>LN($B142-$CG$144)</f>
        <v>4.4886363697321396</v>
      </c>
      <c r="CF142" s="331"/>
      <c r="CG142" s="331"/>
      <c r="CH142" s="331"/>
      <c r="CI142" s="443">
        <f t="shared" ref="CI142:CI152" si="50">ROUND($CG$147*$D142^$CG$145+$CG$144,$G$1)</f>
        <v>5113</v>
      </c>
      <c r="CJ142" s="502">
        <f t="shared" ref="CJ142:CJ152" si="51">($B142-CI142)^2/1000</f>
        <v>1.6</v>
      </c>
      <c r="CL142" s="536">
        <f>LN($B142-$CN$144)</f>
        <v>4.4773368144782069</v>
      </c>
      <c r="CM142" s="331"/>
      <c r="CN142" s="331"/>
      <c r="CO142" s="331"/>
      <c r="CP142" s="443">
        <f t="shared" ref="CP142:CP152" si="52">ROUND($CN$147*$D142^$CN$145+$CN$144,$G$1)</f>
        <v>5113</v>
      </c>
      <c r="CQ142" s="502">
        <f t="shared" ref="CQ142:CQ152" si="53">($B142-CP142)^2/1000</f>
        <v>1.6</v>
      </c>
      <c r="CS142" s="536">
        <f>LN($B142-$CU$144)</f>
        <v>8.3155664835642771</v>
      </c>
      <c r="CT142" s="331"/>
      <c r="CU142" s="331"/>
      <c r="CV142" s="331"/>
      <c r="CW142" s="443">
        <f t="shared" ref="CW142:CW152" si="54">ROUND($CU$147*$D142^$CU$145+$CU$144,$G$1)</f>
        <v>5061</v>
      </c>
      <c r="CX142" s="502">
        <f t="shared" ref="CX142:CX152" si="55">($B142-CW142)^2/1000</f>
        <v>8.4640000000000004</v>
      </c>
    </row>
    <row r="143" spans="1:102" ht="15" customHeight="1">
      <c r="A143" s="436">
        <f t="shared" si="26"/>
        <v>2007</v>
      </c>
      <c r="B143" s="437">
        <f t="shared" si="26"/>
        <v>5146</v>
      </c>
      <c r="C143" s="533">
        <f>LN(B143-$G$147)</f>
        <v>4.4426512564903167</v>
      </c>
      <c r="D143" s="438">
        <f t="shared" si="27"/>
        <v>2</v>
      </c>
      <c r="E143" s="534">
        <f>LN(D143)</f>
        <v>0.69314718055994529</v>
      </c>
      <c r="F143" s="498"/>
      <c r="I143" s="443">
        <f t="shared" si="28"/>
        <v>5138</v>
      </c>
      <c r="J143" s="446">
        <f>ABS(B143-I143)/B143*100</f>
        <v>0.15546055188495919</v>
      </c>
      <c r="K143" s="535">
        <f>(B143-I143)^2/1000</f>
        <v>6.4000000000000001E-2</v>
      </c>
      <c r="M143" s="536">
        <f t="shared" ref="M143:M152" si="56">LN($B143-$O$144)</f>
        <v>8.3298992929957247</v>
      </c>
      <c r="N143" s="451"/>
      <c r="O143" s="451"/>
      <c r="P143" s="451"/>
      <c r="Q143" s="443">
        <f t="shared" si="30"/>
        <v>5133</v>
      </c>
      <c r="R143" s="443">
        <f t="shared" si="31"/>
        <v>0.16900000000000001</v>
      </c>
      <c r="T143" s="536">
        <f t="shared" ref="T143:T152" si="57">LN($B143-$V$144)</f>
        <v>8.053887083618223</v>
      </c>
      <c r="U143" s="451"/>
      <c r="V143" s="451"/>
      <c r="W143" s="451"/>
      <c r="X143" s="443">
        <f t="shared" si="32"/>
        <v>5133</v>
      </c>
      <c r="Y143" s="443">
        <f t="shared" si="33"/>
        <v>0.16900000000000001</v>
      </c>
      <c r="AA143" s="536">
        <f t="shared" ref="AA143:AA152" si="58">LN($B143-$AC$144)</f>
        <v>7.6713609231906439</v>
      </c>
      <c r="AB143" s="451"/>
      <c r="AC143" s="451"/>
      <c r="AD143" s="451"/>
      <c r="AE143" s="443">
        <f t="shared" si="34"/>
        <v>5134</v>
      </c>
      <c r="AF143" s="443">
        <f t="shared" si="35"/>
        <v>0.14399999999999999</v>
      </c>
      <c r="AH143" s="536">
        <f t="shared" ref="AH143:AH152" si="59">LN($B143-$AJ$144)</f>
        <v>7.0440328972746853</v>
      </c>
      <c r="AI143" s="451"/>
      <c r="AJ143" s="451"/>
      <c r="AK143" s="451"/>
      <c r="AL143" s="443">
        <f t="shared" si="36"/>
        <v>5134</v>
      </c>
      <c r="AM143" s="443">
        <f t="shared" si="37"/>
        <v>0.14399999999999999</v>
      </c>
      <c r="AO143" s="536">
        <f t="shared" ref="AO143:AO152" si="60">LN($B143-$AQ$144)</f>
        <v>4.9836066217083363</v>
      </c>
      <c r="AP143" s="451"/>
      <c r="AQ143" s="451"/>
      <c r="AR143" s="451"/>
      <c r="AS143" s="443">
        <f t="shared" si="38"/>
        <v>5137</v>
      </c>
      <c r="AT143" s="443">
        <f t="shared" si="39"/>
        <v>8.1000000000000003E-2</v>
      </c>
      <c r="AV143" s="536">
        <f t="shared" ref="AV143:AV152" si="61">LN($B143-$AX$144)</f>
        <v>4.5643481914678361</v>
      </c>
      <c r="AW143" s="451"/>
      <c r="AX143" s="451"/>
      <c r="AY143" s="451"/>
      <c r="AZ143" s="443">
        <f t="shared" si="40"/>
        <v>5138</v>
      </c>
      <c r="BA143" s="443">
        <f t="shared" si="41"/>
        <v>6.4000000000000001E-2</v>
      </c>
      <c r="BC143" s="536">
        <f t="shared" ref="BC143:BC152" si="62">LN($B143-$BE$144)</f>
        <v>4.4543472962535073</v>
      </c>
      <c r="BD143" s="451"/>
      <c r="BE143" s="451"/>
      <c r="BF143" s="451"/>
      <c r="BG143" s="443">
        <f t="shared" si="42"/>
        <v>5138</v>
      </c>
      <c r="BH143" s="443">
        <f t="shared" si="43"/>
        <v>6.4000000000000001E-2</v>
      </c>
      <c r="BJ143" s="536">
        <f t="shared" ref="BJ143:BJ152" si="63">LN($B143-$BL$144)</f>
        <v>4.4426512564903167</v>
      </c>
      <c r="BK143" s="451"/>
      <c r="BL143" s="451"/>
      <c r="BM143" s="451"/>
      <c r="BN143" s="443">
        <f t="shared" si="44"/>
        <v>5138</v>
      </c>
      <c r="BO143" s="443">
        <f t="shared" si="45"/>
        <v>6.4000000000000001E-2</v>
      </c>
      <c r="BQ143" s="536">
        <f t="shared" ref="BQ143:BQ152" si="64">LN($B143-$BS$144)</f>
        <v>4.4308167988433134</v>
      </c>
      <c r="BR143" s="451"/>
      <c r="BS143" s="451"/>
      <c r="BT143" s="451"/>
      <c r="BU143" s="443">
        <f t="shared" si="46"/>
        <v>5138</v>
      </c>
      <c r="BV143" s="443">
        <f t="shared" si="47"/>
        <v>6.4000000000000001E-2</v>
      </c>
      <c r="BX143" s="536">
        <f t="shared" ref="BX143:BX152" si="65">LN($B143-$BZ$144)</f>
        <v>4.4188406077965983</v>
      </c>
      <c r="BY143" s="451"/>
      <c r="BZ143" s="451"/>
      <c r="CA143" s="451"/>
      <c r="CB143" s="443">
        <f t="shared" si="48"/>
        <v>5138</v>
      </c>
      <c r="CC143" s="443">
        <f t="shared" si="49"/>
        <v>6.4000000000000001E-2</v>
      </c>
      <c r="CE143" s="536">
        <f t="shared" ref="CE143:CE152" si="66">LN($B143-$CG$144)</f>
        <v>4.4067192472642533</v>
      </c>
      <c r="CF143" s="451"/>
      <c r="CG143" s="451"/>
      <c r="CH143" s="451"/>
      <c r="CI143" s="443">
        <f t="shared" si="50"/>
        <v>5138</v>
      </c>
      <c r="CJ143" s="443">
        <f t="shared" si="51"/>
        <v>6.4000000000000001E-2</v>
      </c>
      <c r="CL143" s="536">
        <f t="shared" ref="CL143:CL152" si="67">LN($B143-$CN$144)</f>
        <v>4.3944491546724391</v>
      </c>
      <c r="CM143" s="451"/>
      <c r="CN143" s="451"/>
      <c r="CO143" s="451"/>
      <c r="CP143" s="443">
        <f t="shared" si="52"/>
        <v>5138</v>
      </c>
      <c r="CQ143" s="443">
        <f t="shared" si="53"/>
        <v>6.4000000000000001E-2</v>
      </c>
      <c r="CS143" s="536">
        <f t="shared" ref="CS143:CS152" si="68">LN($B143-$CU$144)</f>
        <v>8.3138522673982074</v>
      </c>
      <c r="CT143" s="451"/>
      <c r="CU143" s="451"/>
      <c r="CV143" s="451"/>
      <c r="CW143" s="443">
        <f t="shared" si="54"/>
        <v>5133</v>
      </c>
      <c r="CX143" s="443">
        <f t="shared" si="55"/>
        <v>0.16900000000000001</v>
      </c>
    </row>
    <row r="144" spans="1:102" ht="15" customHeight="1">
      <c r="A144" s="436">
        <f t="shared" si="26"/>
        <v>2008</v>
      </c>
      <c r="B144" s="437">
        <f t="shared" si="26"/>
        <v>5158</v>
      </c>
      <c r="C144" s="533">
        <f>LN(B144-$G$147)</f>
        <v>4.5747109785033828</v>
      </c>
      <c r="D144" s="438">
        <f t="shared" si="27"/>
        <v>3</v>
      </c>
      <c r="E144" s="534">
        <f>LN(D144)</f>
        <v>1.0986122886681098</v>
      </c>
      <c r="F144" s="498" t="s">
        <v>312</v>
      </c>
      <c r="I144" s="443">
        <f t="shared" si="28"/>
        <v>5159</v>
      </c>
      <c r="J144" s="446">
        <f>ABS(B144-I144)/B144*100</f>
        <v>1.9387359441644048E-2</v>
      </c>
      <c r="K144" s="535">
        <f>(B144-I144)^2/1000</f>
        <v>1E-3</v>
      </c>
      <c r="M144" s="536">
        <f t="shared" si="56"/>
        <v>8.3327894684179586</v>
      </c>
      <c r="N144" s="442" t="s">
        <v>313</v>
      </c>
      <c r="O144" s="537">
        <f>F159</f>
        <v>1000</v>
      </c>
      <c r="P144" s="451"/>
      <c r="Q144" s="443">
        <f t="shared" si="30"/>
        <v>5176</v>
      </c>
      <c r="R144" s="443">
        <f t="shared" si="31"/>
        <v>0.32400000000000001</v>
      </c>
      <c r="T144" s="536">
        <f t="shared" si="57"/>
        <v>8.0576941948155874</v>
      </c>
      <c r="U144" s="442" t="s">
        <v>313</v>
      </c>
      <c r="V144" s="538">
        <f>F160</f>
        <v>2000</v>
      </c>
      <c r="W144" s="451"/>
      <c r="X144" s="443">
        <f t="shared" si="32"/>
        <v>5176</v>
      </c>
      <c r="Y144" s="443">
        <f t="shared" si="33"/>
        <v>0.32400000000000001</v>
      </c>
      <c r="AA144" s="536">
        <f t="shared" si="58"/>
        <v>7.67693714581808</v>
      </c>
      <c r="AB144" s="442" t="s">
        <v>313</v>
      </c>
      <c r="AC144" s="538">
        <f>F161</f>
        <v>3000</v>
      </c>
      <c r="AD144" s="451"/>
      <c r="AE144" s="443">
        <f t="shared" si="34"/>
        <v>5175</v>
      </c>
      <c r="AF144" s="443">
        <f t="shared" si="35"/>
        <v>0.28899999999999998</v>
      </c>
      <c r="AH144" s="536">
        <f t="shared" si="59"/>
        <v>7.0544496581329401</v>
      </c>
      <c r="AI144" s="442" t="s">
        <v>313</v>
      </c>
      <c r="AJ144" s="538">
        <f>F162</f>
        <v>4000</v>
      </c>
      <c r="AK144" s="451"/>
      <c r="AL144" s="443">
        <f t="shared" si="36"/>
        <v>5174</v>
      </c>
      <c r="AM144" s="443">
        <f t="shared" si="37"/>
        <v>0.25600000000000001</v>
      </c>
      <c r="AO144" s="536">
        <f t="shared" si="60"/>
        <v>5.0625950330269669</v>
      </c>
      <c r="AP144" s="442" t="s">
        <v>313</v>
      </c>
      <c r="AQ144" s="538">
        <f>F163</f>
        <v>5000</v>
      </c>
      <c r="AR144" s="451"/>
      <c r="AS144" s="443">
        <f t="shared" si="38"/>
        <v>5164</v>
      </c>
      <c r="AT144" s="443">
        <f t="shared" si="39"/>
        <v>3.5999999999999997E-2</v>
      </c>
      <c r="AV144" s="536">
        <f t="shared" si="61"/>
        <v>4.6821312271242199</v>
      </c>
      <c r="AW144" s="442" t="s">
        <v>313</v>
      </c>
      <c r="AX144" s="538">
        <f>F164</f>
        <v>5050</v>
      </c>
      <c r="AY144" s="538"/>
      <c r="AZ144" s="443">
        <f t="shared" si="40"/>
        <v>5160</v>
      </c>
      <c r="BA144" s="443">
        <f t="shared" si="41"/>
        <v>4.0000000000000001E-3</v>
      </c>
      <c r="BC144" s="536">
        <f t="shared" si="62"/>
        <v>4.5849674786705723</v>
      </c>
      <c r="BD144" s="442" t="s">
        <v>313</v>
      </c>
      <c r="BE144" s="538">
        <f>F165</f>
        <v>5060</v>
      </c>
      <c r="BF144" s="451"/>
      <c r="BG144" s="443">
        <f t="shared" si="42"/>
        <v>5159</v>
      </c>
      <c r="BH144" s="443">
        <f t="shared" si="43"/>
        <v>1E-3</v>
      </c>
      <c r="BJ144" s="536">
        <f t="shared" si="63"/>
        <v>4.5747109785033828</v>
      </c>
      <c r="BK144" s="442" t="s">
        <v>313</v>
      </c>
      <c r="BL144" s="538">
        <f>F166</f>
        <v>5061</v>
      </c>
      <c r="BM144" s="451"/>
      <c r="BN144" s="443">
        <f t="shared" si="44"/>
        <v>5159</v>
      </c>
      <c r="BO144" s="443">
        <f t="shared" si="45"/>
        <v>1E-3</v>
      </c>
      <c r="BQ144" s="536">
        <f t="shared" si="64"/>
        <v>4.5643481914678361</v>
      </c>
      <c r="BR144" s="442" t="s">
        <v>313</v>
      </c>
      <c r="BS144" s="538">
        <f>F167</f>
        <v>5062</v>
      </c>
      <c r="BT144" s="451"/>
      <c r="BU144" s="443">
        <f t="shared" si="46"/>
        <v>5158</v>
      </c>
      <c r="BV144" s="443">
        <f t="shared" si="47"/>
        <v>0</v>
      </c>
      <c r="BX144" s="536">
        <f t="shared" si="65"/>
        <v>4.5538768916005408</v>
      </c>
      <c r="BY144" s="442" t="s">
        <v>313</v>
      </c>
      <c r="BZ144" s="538">
        <f>F168</f>
        <v>5063</v>
      </c>
      <c r="CA144" s="451"/>
      <c r="CB144" s="443">
        <f t="shared" si="48"/>
        <v>5158</v>
      </c>
      <c r="CC144" s="443">
        <f t="shared" si="49"/>
        <v>0</v>
      </c>
      <c r="CE144" s="536">
        <f t="shared" si="66"/>
        <v>4.5432947822700038</v>
      </c>
      <c r="CF144" s="442" t="s">
        <v>313</v>
      </c>
      <c r="CG144" s="538">
        <f>F169</f>
        <v>5064</v>
      </c>
      <c r="CH144" s="451"/>
      <c r="CI144" s="443">
        <f t="shared" si="50"/>
        <v>5158</v>
      </c>
      <c r="CJ144" s="443">
        <f t="shared" si="51"/>
        <v>0</v>
      </c>
      <c r="CL144" s="536">
        <f t="shared" si="67"/>
        <v>4.5325994931532563</v>
      </c>
      <c r="CM144" s="442" t="s">
        <v>313</v>
      </c>
      <c r="CN144" s="538">
        <f>F170</f>
        <v>5065</v>
      </c>
      <c r="CO144" s="451"/>
      <c r="CP144" s="443">
        <f t="shared" si="52"/>
        <v>5158</v>
      </c>
      <c r="CQ144" s="443">
        <f t="shared" si="53"/>
        <v>0</v>
      </c>
      <c r="CS144" s="536">
        <f t="shared" si="68"/>
        <v>8.3167891270715177</v>
      </c>
      <c r="CT144" s="442" t="s">
        <v>313</v>
      </c>
      <c r="CU144" s="538">
        <f>F171</f>
        <v>1066</v>
      </c>
      <c r="CV144" s="451"/>
      <c r="CW144" s="443">
        <f t="shared" si="54"/>
        <v>5176</v>
      </c>
      <c r="CX144" s="443">
        <f t="shared" si="55"/>
        <v>0.32400000000000001</v>
      </c>
    </row>
    <row r="145" spans="1:102" ht="15" customHeight="1">
      <c r="A145" s="436">
        <f t="shared" si="26"/>
        <v>2009</v>
      </c>
      <c r="B145" s="437">
        <f t="shared" si="26"/>
        <v>5153</v>
      </c>
      <c r="C145" s="533">
        <f t="shared" ref="C145:C152" si="69">LN(B145-$G$147)</f>
        <v>4.5217885770490405</v>
      </c>
      <c r="D145" s="438">
        <f t="shared" si="27"/>
        <v>4</v>
      </c>
      <c r="E145" s="534">
        <f t="shared" ref="E145:E152" si="70">LN(D145)</f>
        <v>1.3862943611198906</v>
      </c>
      <c r="F145" s="451" t="s">
        <v>315</v>
      </c>
      <c r="G145" s="539"/>
      <c r="H145" s="439"/>
      <c r="I145" s="443">
        <f t="shared" si="28"/>
        <v>5176</v>
      </c>
      <c r="J145" s="446">
        <f>ABS(B145-I145)/B145*100</f>
        <v>0.44634193673588202</v>
      </c>
      <c r="K145" s="535">
        <f t="shared" ref="K145:K152" si="71">(B145-I145)^2/1000</f>
        <v>0.52900000000000003</v>
      </c>
      <c r="M145" s="536">
        <f t="shared" si="56"/>
        <v>8.3315862436307544</v>
      </c>
      <c r="N145" s="442" t="s">
        <v>306</v>
      </c>
      <c r="O145" s="504">
        <f>INDEX(LINEST(M142:M152,$E142:$E152),1)</f>
        <v>2.5314670309498397E-2</v>
      </c>
      <c r="Q145" s="443">
        <f t="shared" si="30"/>
        <v>5206</v>
      </c>
      <c r="R145" s="443">
        <f t="shared" si="31"/>
        <v>2.8090000000000002</v>
      </c>
      <c r="T145" s="536">
        <f t="shared" si="57"/>
        <v>8.0561096595450614</v>
      </c>
      <c r="U145" s="442" t="s">
        <v>306</v>
      </c>
      <c r="V145" s="504">
        <f>INDEX(LINEST(T142:T152,$E142:$E152),1)</f>
        <v>3.3062880872589656E-2</v>
      </c>
      <c r="X145" s="443">
        <f t="shared" si="32"/>
        <v>5206</v>
      </c>
      <c r="Y145" s="443">
        <f t="shared" si="33"/>
        <v>2.8090000000000002</v>
      </c>
      <c r="AA145" s="536">
        <f t="shared" si="58"/>
        <v>7.6746174973643626</v>
      </c>
      <c r="AB145" s="442" t="s">
        <v>306</v>
      </c>
      <c r="AC145" s="504">
        <f>INDEX(LINEST(AA142:AA152,$E142:$E152),1)</f>
        <v>4.7652329071527534E-2</v>
      </c>
      <c r="AE145" s="443">
        <f t="shared" si="34"/>
        <v>5205</v>
      </c>
      <c r="AF145" s="443">
        <f t="shared" si="35"/>
        <v>2.7040000000000002</v>
      </c>
      <c r="AH145" s="536">
        <f t="shared" si="59"/>
        <v>7.0501225202690589</v>
      </c>
      <c r="AI145" s="442" t="s">
        <v>306</v>
      </c>
      <c r="AJ145" s="504">
        <f>INDEX(LINEST(AH142:AH152,$E142:$E152),1)</f>
        <v>8.535134851444702E-2</v>
      </c>
      <c r="AL145" s="443">
        <f t="shared" si="36"/>
        <v>5203</v>
      </c>
      <c r="AM145" s="443">
        <f t="shared" si="37"/>
        <v>2.5</v>
      </c>
      <c r="AO145" s="536">
        <f t="shared" si="60"/>
        <v>5.0304379213924353</v>
      </c>
      <c r="AP145" s="442" t="s">
        <v>306</v>
      </c>
      <c r="AQ145" s="504">
        <f>INDEX(LINEST(AO142:AO152,$E142:$E152),1)</f>
        <v>0.42831865552509701</v>
      </c>
      <c r="AS145" s="443">
        <f t="shared" si="38"/>
        <v>5185</v>
      </c>
      <c r="AT145" s="443">
        <f t="shared" si="39"/>
        <v>1.024</v>
      </c>
      <c r="AV145" s="536">
        <f t="shared" si="61"/>
        <v>4.6347289882296359</v>
      </c>
      <c r="AW145" s="442" t="s">
        <v>306</v>
      </c>
      <c r="AX145" s="504">
        <f>INDEX(LINEST(AV142:AV152,$E142:$E152),1)</f>
        <v>0.54561706889393757</v>
      </c>
      <c r="AZ145" s="443">
        <f t="shared" si="40"/>
        <v>5178</v>
      </c>
      <c r="BA145" s="443">
        <f t="shared" si="41"/>
        <v>0.625</v>
      </c>
      <c r="BC145" s="536">
        <f t="shared" si="62"/>
        <v>4.5325994931532563</v>
      </c>
      <c r="BD145" s="442" t="s">
        <v>306</v>
      </c>
      <c r="BE145" s="504">
        <f>INDEX(LINEST(BC142:BC152,$E142:$E152),1)</f>
        <v>0.57800033347121749</v>
      </c>
      <c r="BG145" s="443">
        <f t="shared" si="42"/>
        <v>5177</v>
      </c>
      <c r="BH145" s="443">
        <f t="shared" si="43"/>
        <v>0.57599999999999996</v>
      </c>
      <c r="BJ145" s="536">
        <f t="shared" si="63"/>
        <v>4.5217885770490405</v>
      </c>
      <c r="BK145" s="442" t="s">
        <v>306</v>
      </c>
      <c r="BL145" s="504">
        <f>INDEX(LINEST(BJ142:BJ152,$E142:$E152),1)</f>
        <v>0.58146778843530855</v>
      </c>
      <c r="BN145" s="443">
        <f t="shared" si="44"/>
        <v>5176</v>
      </c>
      <c r="BO145" s="443">
        <f t="shared" si="45"/>
        <v>0.52900000000000003</v>
      </c>
      <c r="BQ145" s="536">
        <f t="shared" si="64"/>
        <v>4.5108595065168497</v>
      </c>
      <c r="BR145" s="442" t="s">
        <v>306</v>
      </c>
      <c r="BS145" s="504">
        <f>INDEX(LINEST(BQ142:BQ152,$E142:$E152),1)</f>
        <v>0.5849800960784598</v>
      </c>
      <c r="BU145" s="443">
        <f t="shared" si="46"/>
        <v>5176</v>
      </c>
      <c r="BV145" s="443">
        <f t="shared" si="47"/>
        <v>0.52900000000000003</v>
      </c>
      <c r="BX145" s="536">
        <f t="shared" si="65"/>
        <v>4.499809670330265</v>
      </c>
      <c r="BY145" s="442" t="s">
        <v>306</v>
      </c>
      <c r="BZ145" s="504">
        <f>INDEX(LINEST(BX142:BX152,$E142:$E152),1)</f>
        <v>0.58853810433130826</v>
      </c>
      <c r="CB145" s="443">
        <f t="shared" si="48"/>
        <v>5176</v>
      </c>
      <c r="CC145" s="443">
        <f t="shared" si="49"/>
        <v>0.52900000000000003</v>
      </c>
      <c r="CE145" s="536">
        <f t="shared" si="66"/>
        <v>4.4886363697321396</v>
      </c>
      <c r="CF145" s="442" t="s">
        <v>306</v>
      </c>
      <c r="CG145" s="504">
        <f>INDEX(LINEST(CE142:CE152,$E142:$E152),1)</f>
        <v>0.59214267545171806</v>
      </c>
      <c r="CI145" s="443">
        <f t="shared" si="50"/>
        <v>5176</v>
      </c>
      <c r="CJ145" s="443">
        <f t="shared" si="51"/>
        <v>0.52900000000000003</v>
      </c>
      <c r="CL145" s="536">
        <f t="shared" si="67"/>
        <v>4.4773368144782069</v>
      </c>
      <c r="CM145" s="442" t="s">
        <v>306</v>
      </c>
      <c r="CN145" s="504">
        <f>INDEX(LINEST(CL142:CL152,$E142:$E152),1)</f>
        <v>0.59579468534520186</v>
      </c>
      <c r="CP145" s="443">
        <f t="shared" si="52"/>
        <v>5175</v>
      </c>
      <c r="CQ145" s="443">
        <f t="shared" si="53"/>
        <v>0.48399999999999999</v>
      </c>
      <c r="CS145" s="536">
        <f t="shared" si="68"/>
        <v>8.3155664835642771</v>
      </c>
      <c r="CT145" s="442" t="s">
        <v>306</v>
      </c>
      <c r="CU145" s="504">
        <f>INDEX(LINEST(CS142:CS152,$E142:$E152),1)</f>
        <v>2.5712332620118558E-2</v>
      </c>
      <c r="CW145" s="443">
        <f t="shared" si="54"/>
        <v>5206</v>
      </c>
      <c r="CX145" s="443">
        <f t="shared" si="55"/>
        <v>2.8090000000000002</v>
      </c>
    </row>
    <row r="146" spans="1:102" ht="15" customHeight="1">
      <c r="A146" s="436">
        <f t="shared" si="26"/>
        <v>2010</v>
      </c>
      <c r="B146" s="437">
        <f t="shared" si="26"/>
        <v>5104</v>
      </c>
      <c r="C146" s="533">
        <f t="shared" si="69"/>
        <v>3.7612001156935624</v>
      </c>
      <c r="D146" s="438">
        <f t="shared" si="27"/>
        <v>5</v>
      </c>
      <c r="E146" s="534">
        <f t="shared" si="70"/>
        <v>1.6094379124341003</v>
      </c>
      <c r="I146" s="443">
        <f t="shared" si="28"/>
        <v>5192</v>
      </c>
      <c r="J146" s="446">
        <f>ABS(B146-I146)/B146*100</f>
        <v>1.7241379310344827</v>
      </c>
      <c r="K146" s="443">
        <f t="shared" si="71"/>
        <v>7.7439999999999998</v>
      </c>
      <c r="M146" s="536">
        <f t="shared" si="56"/>
        <v>8.3197173868506056</v>
      </c>
      <c r="N146" s="442" t="s">
        <v>301</v>
      </c>
      <c r="O146" s="442" t="s">
        <v>318</v>
      </c>
      <c r="P146" s="504">
        <f>INDEX(LINEST(M142:M152,$E142:$E152),2)</f>
        <v>8.3092672876823137</v>
      </c>
      <c r="Q146" s="443">
        <f t="shared" si="30"/>
        <v>5230</v>
      </c>
      <c r="R146" s="443">
        <f t="shared" si="31"/>
        <v>15.875999999999999</v>
      </c>
      <c r="T146" s="536">
        <f t="shared" si="57"/>
        <v>8.0404468813031098</v>
      </c>
      <c r="U146" s="442" t="s">
        <v>301</v>
      </c>
      <c r="V146" s="442" t="s">
        <v>318</v>
      </c>
      <c r="W146" s="504">
        <f>INDEX(LINEST(T142:T152,$E142:$E152),2)</f>
        <v>8.0269355582447215</v>
      </c>
      <c r="X146" s="443">
        <f t="shared" si="32"/>
        <v>5230</v>
      </c>
      <c r="Y146" s="443">
        <f t="shared" si="33"/>
        <v>15.875999999999999</v>
      </c>
      <c r="AA146" s="536">
        <f t="shared" si="58"/>
        <v>7.6515955738576009</v>
      </c>
      <c r="AB146" s="442" t="s">
        <v>301</v>
      </c>
      <c r="AC146" s="442" t="s">
        <v>318</v>
      </c>
      <c r="AD146" s="504">
        <f>INDEX(LINEST(AA142:AA152,$E142:$E152),2)</f>
        <v>7.6325037988847146</v>
      </c>
      <c r="AE146" s="443">
        <f t="shared" si="34"/>
        <v>5229</v>
      </c>
      <c r="AF146" s="443">
        <f t="shared" si="35"/>
        <v>15.625</v>
      </c>
      <c r="AH146" s="536">
        <f t="shared" si="59"/>
        <v>7.0066952268370404</v>
      </c>
      <c r="AI146" s="442" t="s">
        <v>301</v>
      </c>
      <c r="AJ146" s="442" t="s">
        <v>318</v>
      </c>
      <c r="AK146" s="504">
        <f>INDEX(LINEST(AH142:AH152,$E142:$E152),2)</f>
        <v>6.9743693534043185</v>
      </c>
      <c r="AL146" s="443">
        <f t="shared" si="36"/>
        <v>5226</v>
      </c>
      <c r="AM146" s="443">
        <f t="shared" si="37"/>
        <v>14.884</v>
      </c>
      <c r="AO146" s="536">
        <f t="shared" si="60"/>
        <v>4.6443908991413725</v>
      </c>
      <c r="AP146" s="442" t="s">
        <v>301</v>
      </c>
      <c r="AQ146" s="442" t="s">
        <v>318</v>
      </c>
      <c r="AR146" s="504">
        <f>INDEX(LINEST(AO142:AO152,$E142:$E152),2)</f>
        <v>4.6264814994750827</v>
      </c>
      <c r="AS146" s="443">
        <f t="shared" si="38"/>
        <v>5204</v>
      </c>
      <c r="AT146" s="443">
        <f t="shared" si="39"/>
        <v>10</v>
      </c>
      <c r="AV146" s="536">
        <f t="shared" si="61"/>
        <v>3.9889840465642745</v>
      </c>
      <c r="AW146" s="442" t="s">
        <v>301</v>
      </c>
      <c r="AX146" s="442" t="s">
        <v>318</v>
      </c>
      <c r="AY146" s="504">
        <f>INDEX(LINEST(AV142:AV152,$E142:$E152),2)</f>
        <v>4.0993383888086514</v>
      </c>
      <c r="AZ146" s="443">
        <f t="shared" si="40"/>
        <v>5195</v>
      </c>
      <c r="BA146" s="443">
        <f t="shared" si="41"/>
        <v>8.2810000000000006</v>
      </c>
      <c r="BC146" s="536">
        <f t="shared" si="62"/>
        <v>3.784189633918261</v>
      </c>
      <c r="BD146" s="442" t="s">
        <v>301</v>
      </c>
      <c r="BE146" s="442" t="s">
        <v>318</v>
      </c>
      <c r="BF146" s="504">
        <f>INDEX(LINEST(BC142:BC152,$E142:$E152),2)</f>
        <v>3.9569604734413049</v>
      </c>
      <c r="BG146" s="443">
        <f t="shared" si="42"/>
        <v>5193</v>
      </c>
      <c r="BH146" s="443">
        <f t="shared" si="43"/>
        <v>7.9210000000000003</v>
      </c>
      <c r="BJ146" s="536">
        <f t="shared" si="63"/>
        <v>3.7612001156935624</v>
      </c>
      <c r="BK146" s="442" t="s">
        <v>301</v>
      </c>
      <c r="BL146" s="442" t="s">
        <v>318</v>
      </c>
      <c r="BM146" s="504">
        <f>INDEX(LINEST(BJ142:BJ152,$E142:$E152),2)</f>
        <v>3.9416921129301214</v>
      </c>
      <c r="BN146" s="443">
        <f t="shared" si="44"/>
        <v>5192</v>
      </c>
      <c r="BO146" s="443">
        <f t="shared" si="45"/>
        <v>7.7439999999999998</v>
      </c>
      <c r="BQ146" s="536">
        <f t="shared" si="64"/>
        <v>3.7376696182833684</v>
      </c>
      <c r="BR146" s="442" t="s">
        <v>301</v>
      </c>
      <c r="BS146" s="442" t="s">
        <v>318</v>
      </c>
      <c r="BT146" s="504">
        <f>INDEX(LINEST(BQ142:BQ152,$E142:$E152),2)</f>
        <v>3.9262151550925619</v>
      </c>
      <c r="BU146" s="443">
        <f t="shared" si="46"/>
        <v>5192</v>
      </c>
      <c r="BV146" s="443">
        <f t="shared" si="47"/>
        <v>7.7439999999999998</v>
      </c>
      <c r="BX146" s="536">
        <f t="shared" si="65"/>
        <v>3.713572066704308</v>
      </c>
      <c r="BY146" s="442" t="s">
        <v>301</v>
      </c>
      <c r="BZ146" s="442" t="s">
        <v>318</v>
      </c>
      <c r="CA146" s="504">
        <f>INDEX(LINEST(BX142:BX152,$E142:$E152),2)</f>
        <v>3.9105234581157045</v>
      </c>
      <c r="CB146" s="443">
        <f t="shared" si="48"/>
        <v>5192</v>
      </c>
      <c r="CC146" s="443">
        <f t="shared" si="49"/>
        <v>7.7439999999999998</v>
      </c>
      <c r="CE146" s="536">
        <f t="shared" si="66"/>
        <v>3.6888794541139363</v>
      </c>
      <c r="CF146" s="442" t="s">
        <v>301</v>
      </c>
      <c r="CG146" s="442" t="s">
        <v>318</v>
      </c>
      <c r="CH146" s="504">
        <f>INDEX(LINEST(CE142:CE152,$E142:$E152),2)</f>
        <v>3.8946105687103141</v>
      </c>
      <c r="CI146" s="443">
        <f t="shared" si="50"/>
        <v>5191</v>
      </c>
      <c r="CJ146" s="443">
        <f t="shared" si="51"/>
        <v>7.569</v>
      </c>
      <c r="CL146" s="536">
        <f t="shared" si="67"/>
        <v>3.6635616461296463</v>
      </c>
      <c r="CM146" s="442" t="s">
        <v>301</v>
      </c>
      <c r="CN146" s="442" t="s">
        <v>318</v>
      </c>
      <c r="CO146" s="504">
        <f>INDEX(LINEST(CL142:CL152,$E142:$E152),2)</f>
        <v>3.8784696976382111</v>
      </c>
      <c r="CP146" s="443">
        <f t="shared" si="52"/>
        <v>5191</v>
      </c>
      <c r="CQ146" s="443">
        <f t="shared" si="53"/>
        <v>7.569</v>
      </c>
      <c r="CS146" s="536">
        <f t="shared" si="68"/>
        <v>8.3035047988727833</v>
      </c>
      <c r="CT146" s="442" t="s">
        <v>301</v>
      </c>
      <c r="CU146" s="442" t="s">
        <v>318</v>
      </c>
      <c r="CV146" s="504">
        <f>INDEX(LINEST(CS142:CS152,$E142:$E152),2)</f>
        <v>8.2928959789559222</v>
      </c>
      <c r="CW146" s="443">
        <f t="shared" si="54"/>
        <v>5230</v>
      </c>
      <c r="CX146" s="443">
        <f t="shared" si="55"/>
        <v>15.875999999999999</v>
      </c>
    </row>
    <row r="147" spans="1:102" ht="15" customHeight="1">
      <c r="A147" s="436">
        <f t="shared" si="26"/>
        <v>2011</v>
      </c>
      <c r="B147" s="437">
        <f t="shared" si="26"/>
        <v>5114</v>
      </c>
      <c r="C147" s="533">
        <f t="shared" si="69"/>
        <v>3.970291913552122</v>
      </c>
      <c r="D147" s="438">
        <f t="shared" si="27"/>
        <v>6</v>
      </c>
      <c r="E147" s="534">
        <f t="shared" si="70"/>
        <v>1.791759469228055</v>
      </c>
      <c r="F147" s="540" t="s">
        <v>313</v>
      </c>
      <c r="G147" s="541">
        <f>INDEX(F159:L171,MATCH(1,L159:L171,0),1)</f>
        <v>5061</v>
      </c>
      <c r="H147" s="439"/>
      <c r="I147" s="443">
        <f t="shared" si="28"/>
        <v>5207</v>
      </c>
      <c r="J147" s="446">
        <f t="shared" si="29"/>
        <v>1.8185373484552207</v>
      </c>
      <c r="K147" s="443">
        <f t="shared" si="71"/>
        <v>8.6489999999999991</v>
      </c>
      <c r="M147" s="536">
        <f t="shared" si="56"/>
        <v>8.322151070212902</v>
      </c>
      <c r="N147" s="442" t="s">
        <v>305</v>
      </c>
      <c r="O147" s="542">
        <f>EXP(P146)</f>
        <v>4061.3361022515392</v>
      </c>
      <c r="P147" s="451"/>
      <c r="Q147" s="443">
        <f t="shared" si="30"/>
        <v>5250</v>
      </c>
      <c r="R147" s="443">
        <f t="shared" si="31"/>
        <v>18.495999999999999</v>
      </c>
      <c r="T147" s="536">
        <f t="shared" si="57"/>
        <v>8.0436633523939438</v>
      </c>
      <c r="U147" s="442" t="s">
        <v>305</v>
      </c>
      <c r="V147" s="542">
        <f>EXP(W146)</f>
        <v>3062.3429081663744</v>
      </c>
      <c r="W147" s="504"/>
      <c r="X147" s="443">
        <f t="shared" si="32"/>
        <v>5249</v>
      </c>
      <c r="Y147" s="443">
        <f t="shared" si="33"/>
        <v>18.225000000000001</v>
      </c>
      <c r="AA147" s="536">
        <f t="shared" si="58"/>
        <v>7.6563371664301831</v>
      </c>
      <c r="AB147" s="442" t="s">
        <v>305</v>
      </c>
      <c r="AC147" s="542">
        <f>EXP(AD146)</f>
        <v>2064.2119264719527</v>
      </c>
      <c r="AD147" s="451"/>
      <c r="AE147" s="443">
        <f t="shared" si="34"/>
        <v>5248</v>
      </c>
      <c r="AF147" s="443">
        <f t="shared" si="35"/>
        <v>17.956</v>
      </c>
      <c r="AH147" s="536">
        <f t="shared" si="59"/>
        <v>7.0157124204872297</v>
      </c>
      <c r="AI147" s="442" t="s">
        <v>305</v>
      </c>
      <c r="AJ147" s="542">
        <f>EXP(AK146)</f>
        <v>1068.882889318744</v>
      </c>
      <c r="AK147" s="451"/>
      <c r="AL147" s="443">
        <f t="shared" si="36"/>
        <v>5246</v>
      </c>
      <c r="AM147" s="443">
        <f t="shared" si="37"/>
        <v>17.423999999999999</v>
      </c>
      <c r="AO147" s="536">
        <f t="shared" si="60"/>
        <v>4.7361984483944957</v>
      </c>
      <c r="AP147" s="442" t="s">
        <v>305</v>
      </c>
      <c r="AQ147" s="542">
        <f>EXP(AR146)</f>
        <v>102.15400213269747</v>
      </c>
      <c r="AR147" s="451"/>
      <c r="AS147" s="443">
        <f t="shared" si="38"/>
        <v>5220</v>
      </c>
      <c r="AT147" s="443">
        <f t="shared" si="39"/>
        <v>11.236000000000001</v>
      </c>
      <c r="AV147" s="536">
        <f t="shared" si="61"/>
        <v>4.1588830833596715</v>
      </c>
      <c r="AW147" s="442" t="s">
        <v>305</v>
      </c>
      <c r="AX147" s="542">
        <f>EXP(AY146)</f>
        <v>60.300378991244344</v>
      </c>
      <c r="AY147" s="451"/>
      <c r="AZ147" s="443">
        <f t="shared" si="40"/>
        <v>5210</v>
      </c>
      <c r="BA147" s="443">
        <f t="shared" si="41"/>
        <v>9.2159999999999993</v>
      </c>
      <c r="BC147" s="536">
        <f t="shared" si="62"/>
        <v>3.9889840465642745</v>
      </c>
      <c r="BD147" s="442" t="s">
        <v>305</v>
      </c>
      <c r="BE147" s="542">
        <f>EXP(BF146)</f>
        <v>52.298122587670896</v>
      </c>
      <c r="BF147" s="451"/>
      <c r="BG147" s="443">
        <f t="shared" si="42"/>
        <v>5207</v>
      </c>
      <c r="BH147" s="443">
        <f t="shared" si="43"/>
        <v>8.6489999999999991</v>
      </c>
      <c r="BJ147" s="536">
        <f t="shared" si="63"/>
        <v>3.970291913552122</v>
      </c>
      <c r="BK147" s="442" t="s">
        <v>305</v>
      </c>
      <c r="BL147" s="542">
        <f>EXP(BM146)</f>
        <v>51.505681034230413</v>
      </c>
      <c r="BM147" s="451"/>
      <c r="BN147" s="443">
        <f t="shared" si="44"/>
        <v>5207</v>
      </c>
      <c r="BO147" s="443">
        <f t="shared" si="45"/>
        <v>8.6489999999999991</v>
      </c>
      <c r="BQ147" s="536">
        <f t="shared" si="64"/>
        <v>3.9512437185814275</v>
      </c>
      <c r="BR147" s="442" t="s">
        <v>305</v>
      </c>
      <c r="BS147" s="542">
        <f>EXP(BT146)</f>
        <v>50.714666816963799</v>
      </c>
      <c r="BT147" s="451"/>
      <c r="BU147" s="443">
        <f t="shared" si="46"/>
        <v>5207</v>
      </c>
      <c r="BV147" s="443">
        <f t="shared" si="47"/>
        <v>8.6489999999999991</v>
      </c>
      <c r="BX147" s="536">
        <f t="shared" si="65"/>
        <v>3.9318256327243257</v>
      </c>
      <c r="BY147" s="442" t="s">
        <v>305</v>
      </c>
      <c r="BZ147" s="542">
        <f>EXP(CA146)</f>
        <v>49.925078822342464</v>
      </c>
      <c r="CA147" s="451"/>
      <c r="CB147" s="443">
        <f t="shared" si="48"/>
        <v>5206</v>
      </c>
      <c r="CC147" s="443">
        <f t="shared" si="49"/>
        <v>8.4640000000000004</v>
      </c>
      <c r="CE147" s="536">
        <f t="shared" si="66"/>
        <v>3.912023005428146</v>
      </c>
      <c r="CF147" s="442" t="s">
        <v>305</v>
      </c>
      <c r="CG147" s="542">
        <f>EXP(CH146)</f>
        <v>49.136914184366319</v>
      </c>
      <c r="CH147" s="451"/>
      <c r="CI147" s="443">
        <f t="shared" si="50"/>
        <v>5206</v>
      </c>
      <c r="CJ147" s="443">
        <f t="shared" si="51"/>
        <v>8.4640000000000004</v>
      </c>
      <c r="CL147" s="536">
        <f t="shared" si="67"/>
        <v>3.8918202981106265</v>
      </c>
      <c r="CM147" s="442" t="s">
        <v>305</v>
      </c>
      <c r="CN147" s="542">
        <f>EXP(CO146)</f>
        <v>48.350168052268245</v>
      </c>
      <c r="CO147" s="451"/>
      <c r="CP147" s="443">
        <f t="shared" si="52"/>
        <v>5206</v>
      </c>
      <c r="CQ147" s="443">
        <f t="shared" si="53"/>
        <v>8.4640000000000004</v>
      </c>
      <c r="CS147" s="536">
        <f t="shared" si="68"/>
        <v>8.3059782109673019</v>
      </c>
      <c r="CT147" s="442" t="s">
        <v>305</v>
      </c>
      <c r="CU147" s="542">
        <f>EXP(CV146)</f>
        <v>3995.3880162603223</v>
      </c>
      <c r="CV147" s="451"/>
      <c r="CW147" s="443">
        <f t="shared" si="54"/>
        <v>5250</v>
      </c>
      <c r="CX147" s="443">
        <f t="shared" si="55"/>
        <v>18.495999999999999</v>
      </c>
    </row>
    <row r="148" spans="1:102" ht="15" customHeight="1">
      <c r="A148" s="436">
        <f t="shared" si="26"/>
        <v>2012</v>
      </c>
      <c r="B148" s="437">
        <f t="shared" si="26"/>
        <v>5165</v>
      </c>
      <c r="C148" s="533">
        <f t="shared" si="69"/>
        <v>4.6443908991413725</v>
      </c>
      <c r="D148" s="438">
        <f t="shared" si="27"/>
        <v>7</v>
      </c>
      <c r="E148" s="534">
        <f t="shared" si="70"/>
        <v>1.9459101490553132</v>
      </c>
      <c r="F148" s="540" t="s">
        <v>306</v>
      </c>
      <c r="G148" s="504">
        <f>INDEX(LINEST(C142:C152,E142:E152),1)</f>
        <v>0.58146778843530855</v>
      </c>
      <c r="H148" s="439"/>
      <c r="I148" s="443">
        <f t="shared" si="28"/>
        <v>5221</v>
      </c>
      <c r="J148" s="446">
        <f t="shared" si="29"/>
        <v>1.0842207163601161</v>
      </c>
      <c r="K148" s="443">
        <f t="shared" si="71"/>
        <v>3.1360000000000001</v>
      </c>
      <c r="M148" s="536">
        <f t="shared" si="56"/>
        <v>8.3344715546009436</v>
      </c>
      <c r="Q148" s="443">
        <f t="shared" si="30"/>
        <v>5266</v>
      </c>
      <c r="R148" s="443">
        <f t="shared" si="31"/>
        <v>10.201000000000001</v>
      </c>
      <c r="T148" s="536">
        <f t="shared" si="57"/>
        <v>8.0599083345782763</v>
      </c>
      <c r="W148" s="451"/>
      <c r="X148" s="443">
        <f t="shared" si="32"/>
        <v>5266</v>
      </c>
      <c r="Y148" s="443">
        <f t="shared" si="33"/>
        <v>10.201000000000001</v>
      </c>
      <c r="AA148" s="536">
        <f t="shared" si="58"/>
        <v>7.6801756404365902</v>
      </c>
      <c r="AD148" s="451"/>
      <c r="AE148" s="443">
        <f t="shared" si="34"/>
        <v>5265</v>
      </c>
      <c r="AF148" s="443">
        <f t="shared" si="35"/>
        <v>10</v>
      </c>
      <c r="AH148" s="536">
        <f t="shared" si="59"/>
        <v>7.0604763659998007</v>
      </c>
      <c r="AK148" s="451"/>
      <c r="AL148" s="443">
        <f t="shared" si="36"/>
        <v>5262</v>
      </c>
      <c r="AM148" s="443">
        <f t="shared" si="37"/>
        <v>9.4090000000000007</v>
      </c>
      <c r="AO148" s="536">
        <f t="shared" si="60"/>
        <v>5.1059454739005803</v>
      </c>
      <c r="AR148" s="451"/>
      <c r="AS148" s="443">
        <f t="shared" si="38"/>
        <v>5235</v>
      </c>
      <c r="AT148" s="443">
        <f t="shared" si="39"/>
        <v>4.9000000000000004</v>
      </c>
      <c r="AV148" s="536">
        <f t="shared" si="61"/>
        <v>4.7449321283632502</v>
      </c>
      <c r="AY148" s="451"/>
      <c r="AZ148" s="443">
        <f t="shared" si="40"/>
        <v>5224</v>
      </c>
      <c r="BA148" s="443">
        <f t="shared" si="41"/>
        <v>3.4809999999999999</v>
      </c>
      <c r="BC148" s="536">
        <f t="shared" si="62"/>
        <v>4.6539603501575231</v>
      </c>
      <c r="BF148" s="451"/>
      <c r="BG148" s="443">
        <f t="shared" si="42"/>
        <v>5221</v>
      </c>
      <c r="BH148" s="443">
        <f t="shared" si="43"/>
        <v>3.1360000000000001</v>
      </c>
      <c r="BJ148" s="536">
        <f t="shared" si="63"/>
        <v>4.6443908991413725</v>
      </c>
      <c r="BM148" s="451"/>
      <c r="BN148" s="443">
        <f t="shared" si="44"/>
        <v>5221</v>
      </c>
      <c r="BO148" s="443">
        <f t="shared" si="45"/>
        <v>3.1360000000000001</v>
      </c>
      <c r="BQ148" s="536">
        <f t="shared" si="64"/>
        <v>4.6347289882296359</v>
      </c>
      <c r="BT148" s="451"/>
      <c r="BU148" s="443">
        <f t="shared" si="46"/>
        <v>5220</v>
      </c>
      <c r="BV148" s="443">
        <f t="shared" si="47"/>
        <v>3.0249999999999999</v>
      </c>
      <c r="BX148" s="536">
        <f t="shared" si="65"/>
        <v>4.6249728132842707</v>
      </c>
      <c r="CA148" s="451"/>
      <c r="CB148" s="443">
        <f t="shared" si="48"/>
        <v>5220</v>
      </c>
      <c r="CC148" s="443">
        <f t="shared" si="49"/>
        <v>3.0249999999999999</v>
      </c>
      <c r="CE148" s="536">
        <f t="shared" si="66"/>
        <v>4.6151205168412597</v>
      </c>
      <c r="CH148" s="451"/>
      <c r="CI148" s="443">
        <f t="shared" si="50"/>
        <v>5220</v>
      </c>
      <c r="CJ148" s="443">
        <f t="shared" si="51"/>
        <v>3.0249999999999999</v>
      </c>
      <c r="CL148" s="536">
        <f t="shared" si="67"/>
        <v>4.6051701859880918</v>
      </c>
      <c r="CO148" s="451"/>
      <c r="CP148" s="443">
        <f t="shared" si="52"/>
        <v>5219</v>
      </c>
      <c r="CQ148" s="443">
        <f t="shared" si="53"/>
        <v>2.9159999999999999</v>
      </c>
      <c r="CS148" s="536">
        <f t="shared" si="68"/>
        <v>8.3184983205043377</v>
      </c>
      <c r="CV148" s="451"/>
      <c r="CW148" s="443">
        <f t="shared" si="54"/>
        <v>5266</v>
      </c>
      <c r="CX148" s="443">
        <f t="shared" si="55"/>
        <v>10.201000000000001</v>
      </c>
    </row>
    <row r="149" spans="1:102" ht="15" customHeight="1">
      <c r="A149" s="436">
        <f t="shared" si="26"/>
        <v>2013</v>
      </c>
      <c r="B149" s="437">
        <f t="shared" si="26"/>
        <v>5412</v>
      </c>
      <c r="C149" s="533">
        <f t="shared" si="69"/>
        <v>5.8607862234658654</v>
      </c>
      <c r="D149" s="438">
        <f t="shared" si="27"/>
        <v>8</v>
      </c>
      <c r="E149" s="543">
        <f t="shared" si="70"/>
        <v>2.0794415416798357</v>
      </c>
      <c r="F149" s="540" t="s">
        <v>301</v>
      </c>
      <c r="G149" s="504">
        <f>INDEX(LINEST(C142:C152,E142:E152),2)</f>
        <v>3.9416921129301214</v>
      </c>
      <c r="H149" s="544" t="s">
        <v>320</v>
      </c>
      <c r="I149" s="443">
        <f t="shared" si="28"/>
        <v>5234</v>
      </c>
      <c r="J149" s="446">
        <f t="shared" si="29"/>
        <v>3.2889874353288988</v>
      </c>
      <c r="K149" s="443">
        <f t="shared" si="71"/>
        <v>31.684000000000001</v>
      </c>
      <c r="M149" s="536">
        <f t="shared" si="56"/>
        <v>8.3920833803733927</v>
      </c>
      <c r="P149" s="451"/>
      <c r="Q149" s="443">
        <f t="shared" si="30"/>
        <v>5281</v>
      </c>
      <c r="R149" s="443">
        <f t="shared" si="31"/>
        <v>17.161000000000001</v>
      </c>
      <c r="T149" s="536">
        <f t="shared" si="57"/>
        <v>8.1350539086115692</v>
      </c>
      <c r="W149" s="451"/>
      <c r="X149" s="443">
        <f t="shared" si="32"/>
        <v>5280</v>
      </c>
      <c r="Y149" s="443">
        <f t="shared" si="33"/>
        <v>17.423999999999999</v>
      </c>
      <c r="AA149" s="536">
        <f t="shared" si="58"/>
        <v>7.7882115578470756</v>
      </c>
      <c r="AD149" s="451"/>
      <c r="AE149" s="443">
        <f t="shared" si="34"/>
        <v>5279</v>
      </c>
      <c r="AF149" s="443">
        <f t="shared" si="35"/>
        <v>17.689</v>
      </c>
      <c r="AH149" s="536">
        <f t="shared" si="59"/>
        <v>7.2527624180531873</v>
      </c>
      <c r="AK149" s="451"/>
      <c r="AL149" s="443">
        <f t="shared" si="36"/>
        <v>5276</v>
      </c>
      <c r="AM149" s="443">
        <f t="shared" si="37"/>
        <v>18.495999999999999</v>
      </c>
      <c r="AO149" s="536">
        <f t="shared" si="60"/>
        <v>6.0210233493495267</v>
      </c>
      <c r="AR149" s="451"/>
      <c r="AS149" s="443">
        <f t="shared" si="38"/>
        <v>5249</v>
      </c>
      <c r="AT149" s="443">
        <f t="shared" si="39"/>
        <v>26.568999999999999</v>
      </c>
      <c r="AV149" s="536">
        <f t="shared" si="61"/>
        <v>5.8916442118257715</v>
      </c>
      <c r="AY149" s="451"/>
      <c r="AZ149" s="443">
        <f t="shared" si="40"/>
        <v>5238</v>
      </c>
      <c r="BA149" s="443">
        <f t="shared" si="41"/>
        <v>30.276</v>
      </c>
      <c r="BC149" s="536">
        <f t="shared" si="62"/>
        <v>5.8636311755980968</v>
      </c>
      <c r="BF149" s="451"/>
      <c r="BG149" s="443">
        <f t="shared" si="42"/>
        <v>5234</v>
      </c>
      <c r="BH149" s="443">
        <f t="shared" si="43"/>
        <v>31.684000000000001</v>
      </c>
      <c r="BJ149" s="536">
        <f t="shared" si="63"/>
        <v>5.8607862234658654</v>
      </c>
      <c r="BM149" s="451"/>
      <c r="BN149" s="443">
        <f t="shared" si="44"/>
        <v>5234</v>
      </c>
      <c r="BO149" s="443">
        <f t="shared" si="45"/>
        <v>31.684000000000001</v>
      </c>
      <c r="BQ149" s="536">
        <f t="shared" si="64"/>
        <v>5.857933154483459</v>
      </c>
      <c r="BT149" s="451"/>
      <c r="BU149" s="443">
        <f t="shared" si="46"/>
        <v>5233</v>
      </c>
      <c r="BV149" s="443">
        <f t="shared" si="47"/>
        <v>32.040999999999997</v>
      </c>
      <c r="BX149" s="536">
        <f t="shared" si="65"/>
        <v>5.855071922202427</v>
      </c>
      <c r="CA149" s="451"/>
      <c r="CB149" s="443">
        <f t="shared" si="48"/>
        <v>5233</v>
      </c>
      <c r="CC149" s="443">
        <f t="shared" si="49"/>
        <v>32.040999999999997</v>
      </c>
      <c r="CE149" s="536">
        <f t="shared" si="66"/>
        <v>5.8522024797744745</v>
      </c>
      <c r="CH149" s="451"/>
      <c r="CI149" s="443">
        <f t="shared" si="50"/>
        <v>5232</v>
      </c>
      <c r="CJ149" s="443">
        <f t="shared" si="51"/>
        <v>32.4</v>
      </c>
      <c r="CL149" s="536">
        <f t="shared" si="67"/>
        <v>5.8493247799468593</v>
      </c>
      <c r="CO149" s="451"/>
      <c r="CP149" s="443">
        <f t="shared" si="52"/>
        <v>5232</v>
      </c>
      <c r="CQ149" s="443">
        <f t="shared" si="53"/>
        <v>32.4</v>
      </c>
      <c r="CS149" s="536">
        <f t="shared" si="68"/>
        <v>8.3770111608163749</v>
      </c>
      <c r="CV149" s="451"/>
      <c r="CW149" s="443">
        <f t="shared" si="54"/>
        <v>5281</v>
      </c>
      <c r="CX149" s="443">
        <f t="shared" si="55"/>
        <v>17.161000000000001</v>
      </c>
    </row>
    <row r="150" spans="1:102" ht="15" customHeight="1">
      <c r="A150" s="436">
        <f t="shared" si="26"/>
        <v>2014</v>
      </c>
      <c r="B150" s="437">
        <f t="shared" si="26"/>
        <v>5370</v>
      </c>
      <c r="C150" s="545">
        <f t="shared" si="69"/>
        <v>5.7333412768977459</v>
      </c>
      <c r="D150" s="438">
        <f t="shared" si="27"/>
        <v>9</v>
      </c>
      <c r="E150" s="546">
        <f t="shared" si="70"/>
        <v>2.1972245773362196</v>
      </c>
      <c r="F150" s="540" t="s">
        <v>305</v>
      </c>
      <c r="G150" s="547">
        <f>EXP(G149)</f>
        <v>51.505681034230413</v>
      </c>
      <c r="I150" s="443">
        <f t="shared" si="28"/>
        <v>5246</v>
      </c>
      <c r="J150" s="467">
        <f t="shared" si="29"/>
        <v>2.3091247672253257</v>
      </c>
      <c r="K150" s="443">
        <f t="shared" si="71"/>
        <v>15.375999999999999</v>
      </c>
      <c r="M150" s="536">
        <f t="shared" si="56"/>
        <v>8.382518288089635</v>
      </c>
      <c r="N150" s="451"/>
      <c r="O150" s="451"/>
      <c r="P150" s="510"/>
      <c r="Q150" s="443">
        <f t="shared" si="30"/>
        <v>5294</v>
      </c>
      <c r="R150" s="443">
        <f t="shared" si="31"/>
        <v>5.7759999999999998</v>
      </c>
      <c r="T150" s="536">
        <f t="shared" si="57"/>
        <v>8.1226680233464066</v>
      </c>
      <c r="U150" s="451"/>
      <c r="V150" s="451"/>
      <c r="W150" s="510"/>
      <c r="X150" s="443">
        <f t="shared" si="32"/>
        <v>5293</v>
      </c>
      <c r="Y150" s="443">
        <f t="shared" si="33"/>
        <v>5.9290000000000003</v>
      </c>
      <c r="AA150" s="536">
        <f t="shared" si="58"/>
        <v>7.7706452341291765</v>
      </c>
      <c r="AB150" s="451"/>
      <c r="AC150" s="451"/>
      <c r="AD150" s="510"/>
      <c r="AE150" s="443">
        <f t="shared" si="34"/>
        <v>5292</v>
      </c>
      <c r="AF150" s="443">
        <f t="shared" si="35"/>
        <v>6.0839999999999996</v>
      </c>
      <c r="AH150" s="536">
        <f t="shared" si="59"/>
        <v>7.222566018822171</v>
      </c>
      <c r="AI150" s="451"/>
      <c r="AJ150" s="451"/>
      <c r="AK150" s="510"/>
      <c r="AL150" s="443">
        <f t="shared" si="36"/>
        <v>5289</v>
      </c>
      <c r="AM150" s="443">
        <f t="shared" si="37"/>
        <v>6.5609999999999999</v>
      </c>
      <c r="AO150" s="536">
        <f t="shared" si="60"/>
        <v>5.9135030056382698</v>
      </c>
      <c r="AP150" s="451"/>
      <c r="AQ150" s="451"/>
      <c r="AR150" s="510"/>
      <c r="AS150" s="443">
        <f t="shared" si="38"/>
        <v>5262</v>
      </c>
      <c r="AT150" s="443">
        <f t="shared" si="39"/>
        <v>11.664</v>
      </c>
      <c r="AV150" s="536">
        <f t="shared" si="61"/>
        <v>5.768320995793772</v>
      </c>
      <c r="AW150" s="451"/>
      <c r="AX150" s="451"/>
      <c r="AY150" s="510"/>
      <c r="AZ150" s="443">
        <f t="shared" si="40"/>
        <v>5250</v>
      </c>
      <c r="BA150" s="443">
        <f t="shared" si="41"/>
        <v>14.4</v>
      </c>
      <c r="BC150" s="536">
        <f t="shared" si="62"/>
        <v>5.7365722974791922</v>
      </c>
      <c r="BD150" s="451"/>
      <c r="BE150" s="451"/>
      <c r="BF150" s="510"/>
      <c r="BG150" s="443">
        <f t="shared" si="42"/>
        <v>5246</v>
      </c>
      <c r="BH150" s="443">
        <f t="shared" si="43"/>
        <v>15.375999999999999</v>
      </c>
      <c r="BJ150" s="536">
        <f t="shared" si="63"/>
        <v>5.7333412768977459</v>
      </c>
      <c r="BK150" s="451"/>
      <c r="BL150" s="451"/>
      <c r="BM150" s="510"/>
      <c r="BN150" s="443">
        <f t="shared" si="44"/>
        <v>5246</v>
      </c>
      <c r="BO150" s="443">
        <f t="shared" si="45"/>
        <v>15.375999999999999</v>
      </c>
      <c r="BQ150" s="536">
        <f t="shared" si="64"/>
        <v>5.730099782973574</v>
      </c>
      <c r="BR150" s="451"/>
      <c r="BS150" s="451"/>
      <c r="BT150" s="510"/>
      <c r="BU150" s="443">
        <f t="shared" si="46"/>
        <v>5245</v>
      </c>
      <c r="BV150" s="443">
        <f t="shared" si="47"/>
        <v>15.625</v>
      </c>
      <c r="BX150" s="536">
        <f t="shared" si="65"/>
        <v>5.7268477475871968</v>
      </c>
      <c r="BY150" s="451"/>
      <c r="BZ150" s="451"/>
      <c r="CA150" s="510"/>
      <c r="CB150" s="443">
        <f t="shared" si="48"/>
        <v>5245</v>
      </c>
      <c r="CC150" s="443">
        <f t="shared" si="49"/>
        <v>15.625</v>
      </c>
      <c r="CE150" s="536">
        <f t="shared" si="66"/>
        <v>5.7235851019523807</v>
      </c>
      <c r="CF150" s="451"/>
      <c r="CG150" s="451"/>
      <c r="CH150" s="510"/>
      <c r="CI150" s="443">
        <f t="shared" si="50"/>
        <v>5244</v>
      </c>
      <c r="CJ150" s="443">
        <f t="shared" si="51"/>
        <v>15.875999999999999</v>
      </c>
      <c r="CL150" s="536">
        <f t="shared" si="67"/>
        <v>5.7203117766074119</v>
      </c>
      <c r="CM150" s="451"/>
      <c r="CN150" s="451"/>
      <c r="CO150" s="510"/>
      <c r="CP150" s="443">
        <f t="shared" si="52"/>
        <v>5244</v>
      </c>
      <c r="CQ150" s="443">
        <f t="shared" si="53"/>
        <v>15.875999999999999</v>
      </c>
      <c r="CS150" s="536">
        <f t="shared" si="68"/>
        <v>8.3673001018416198</v>
      </c>
      <c r="CT150" s="451"/>
      <c r="CU150" s="451"/>
      <c r="CV150" s="510"/>
      <c r="CW150" s="443">
        <f t="shared" si="54"/>
        <v>5294</v>
      </c>
      <c r="CX150" s="443">
        <f t="shared" si="55"/>
        <v>5.7759999999999998</v>
      </c>
    </row>
    <row r="151" spans="1:102" ht="15" customHeight="1">
      <c r="A151" s="436">
        <f t="shared" si="26"/>
        <v>2015</v>
      </c>
      <c r="B151" s="437">
        <f t="shared" si="26"/>
        <v>5351</v>
      </c>
      <c r="C151" s="545">
        <f t="shared" si="69"/>
        <v>5.6698809229805196</v>
      </c>
      <c r="D151" s="438">
        <f t="shared" si="27"/>
        <v>10</v>
      </c>
      <c r="E151" s="546">
        <f t="shared" si="70"/>
        <v>2.3025850929940459</v>
      </c>
      <c r="H151" s="439"/>
      <c r="I151" s="443">
        <f t="shared" si="28"/>
        <v>5257</v>
      </c>
      <c r="J151" s="467">
        <f t="shared" si="29"/>
        <v>1.7566809942066903</v>
      </c>
      <c r="K151" s="443">
        <f t="shared" si="71"/>
        <v>8.8360000000000003</v>
      </c>
      <c r="M151" s="536">
        <f t="shared" si="56"/>
        <v>8.3781609827206793</v>
      </c>
      <c r="N151" s="439" t="s">
        <v>321</v>
      </c>
      <c r="O151" s="504">
        <f>P141</f>
        <v>0.42619222273474416</v>
      </c>
      <c r="P151" s="510"/>
      <c r="Q151" s="443">
        <f t="shared" si="30"/>
        <v>5305</v>
      </c>
      <c r="R151" s="443">
        <f t="shared" si="31"/>
        <v>2.1160000000000001</v>
      </c>
      <c r="T151" s="536">
        <f t="shared" si="57"/>
        <v>8.11701408773731</v>
      </c>
      <c r="U151" s="439" t="s">
        <v>321</v>
      </c>
      <c r="V151" s="504">
        <f>W141</f>
        <v>0.42547260761012312</v>
      </c>
      <c r="W151" s="510"/>
      <c r="X151" s="443">
        <f t="shared" si="32"/>
        <v>5305</v>
      </c>
      <c r="Y151" s="443">
        <f t="shared" si="33"/>
        <v>2.1160000000000001</v>
      </c>
      <c r="AA151" s="536">
        <f t="shared" si="58"/>
        <v>7.7625960485400691</v>
      </c>
      <c r="AB151" s="439" t="s">
        <v>321</v>
      </c>
      <c r="AC151" s="504">
        <f>AD141</f>
        <v>0.42968153434770651</v>
      </c>
      <c r="AD151" s="510"/>
      <c r="AE151" s="443">
        <f t="shared" si="34"/>
        <v>5304</v>
      </c>
      <c r="AF151" s="443">
        <f t="shared" si="35"/>
        <v>2.2090000000000001</v>
      </c>
      <c r="AH151" s="536">
        <f t="shared" si="59"/>
        <v>7.2086003379601991</v>
      </c>
      <c r="AI151" s="439" t="s">
        <v>321</v>
      </c>
      <c r="AJ151" s="504">
        <f>AK141</f>
        <v>0.43885341233022979</v>
      </c>
      <c r="AK151" s="510"/>
      <c r="AL151" s="443">
        <f t="shared" si="36"/>
        <v>5301</v>
      </c>
      <c r="AM151" s="443">
        <f t="shared" si="37"/>
        <v>2.5</v>
      </c>
      <c r="AO151" s="536">
        <f t="shared" si="60"/>
        <v>5.8607862234658654</v>
      </c>
      <c r="AP151" s="439" t="s">
        <v>321</v>
      </c>
      <c r="AQ151" s="504">
        <f>AR141</f>
        <v>0.52155090295105311</v>
      </c>
      <c r="AR151" s="510"/>
      <c r="AS151" s="443">
        <f t="shared" si="38"/>
        <v>5274</v>
      </c>
      <c r="AT151" s="443">
        <f t="shared" si="39"/>
        <v>5.9290000000000003</v>
      </c>
      <c r="AV151" s="536">
        <f t="shared" si="61"/>
        <v>5.7071102647488754</v>
      </c>
      <c r="AW151" s="439" t="s">
        <v>321</v>
      </c>
      <c r="AX151" s="504">
        <f>AY141</f>
        <v>0.55165475277692111</v>
      </c>
      <c r="AY151" s="510"/>
      <c r="AZ151" s="443">
        <f t="shared" si="40"/>
        <v>5262</v>
      </c>
      <c r="BA151" s="443">
        <f t="shared" si="41"/>
        <v>7.9210000000000003</v>
      </c>
      <c r="BC151" s="536">
        <f t="shared" si="62"/>
        <v>5.6733232671714928</v>
      </c>
      <c r="BD151" s="439" t="s">
        <v>321</v>
      </c>
      <c r="BE151" s="504">
        <f>BF141</f>
        <v>0.55428333357596438</v>
      </c>
      <c r="BF151" s="510"/>
      <c r="BG151" s="443">
        <f t="shared" si="42"/>
        <v>5258</v>
      </c>
      <c r="BH151" s="443">
        <f t="shared" si="43"/>
        <v>8.6489999999999991</v>
      </c>
      <c r="BJ151" s="536">
        <f t="shared" si="63"/>
        <v>5.6698809229805196</v>
      </c>
      <c r="BK151" s="439" t="s">
        <v>321</v>
      </c>
      <c r="BL151" s="504">
        <f>BM141</f>
        <v>0.55925252821497828</v>
      </c>
      <c r="BM151" s="510"/>
      <c r="BN151" s="443">
        <f t="shared" si="44"/>
        <v>5257</v>
      </c>
      <c r="BO151" s="443">
        <f t="shared" si="45"/>
        <v>8.8360000000000003</v>
      </c>
      <c r="BQ151" s="536">
        <f t="shared" si="64"/>
        <v>5.6664266881124323</v>
      </c>
      <c r="BR151" s="439" t="s">
        <v>321</v>
      </c>
      <c r="BS151" s="504">
        <f>BT141</f>
        <v>0.55608514408465926</v>
      </c>
      <c r="BT151" s="510"/>
      <c r="BU151" s="443">
        <f t="shared" si="46"/>
        <v>5257</v>
      </c>
      <c r="BV151" s="443">
        <f t="shared" si="47"/>
        <v>8.8360000000000003</v>
      </c>
      <c r="BX151" s="536">
        <f t="shared" si="65"/>
        <v>5.6629604801359461</v>
      </c>
      <c r="BY151" s="439" t="s">
        <v>321</v>
      </c>
      <c r="BZ151" s="504">
        <f>CA141</f>
        <v>0.55911407897873733</v>
      </c>
      <c r="CA151" s="510"/>
      <c r="CB151" s="443">
        <f t="shared" si="48"/>
        <v>5257</v>
      </c>
      <c r="CC151" s="443">
        <f t="shared" si="49"/>
        <v>8.8360000000000003</v>
      </c>
      <c r="CE151" s="536">
        <f t="shared" si="66"/>
        <v>5.6594822157596214</v>
      </c>
      <c r="CF151" s="439" t="s">
        <v>321</v>
      </c>
      <c r="CG151" s="504">
        <f>CH141</f>
        <v>0.55585620557874404</v>
      </c>
      <c r="CH151" s="510"/>
      <c r="CI151" s="443">
        <f t="shared" si="50"/>
        <v>5256</v>
      </c>
      <c r="CJ151" s="443">
        <f t="shared" si="51"/>
        <v>9.0250000000000004</v>
      </c>
      <c r="CL151" s="536">
        <f t="shared" si="67"/>
        <v>5.6559918108198524</v>
      </c>
      <c r="CM151" s="439" t="s">
        <v>321</v>
      </c>
      <c r="CN151" s="504">
        <f>CO141</f>
        <v>0.55904405921518052</v>
      </c>
      <c r="CO151" s="510"/>
      <c r="CP151" s="443">
        <f t="shared" si="52"/>
        <v>5256</v>
      </c>
      <c r="CQ151" s="443">
        <f t="shared" si="53"/>
        <v>9.0250000000000004</v>
      </c>
      <c r="CS151" s="536">
        <f t="shared" si="68"/>
        <v>8.3628758310318805</v>
      </c>
      <c r="CT151" s="439" t="s">
        <v>321</v>
      </c>
      <c r="CU151" s="504">
        <f>CV141</f>
        <v>0.42507706874954876</v>
      </c>
      <c r="CV151" s="510"/>
      <c r="CW151" s="443">
        <f t="shared" si="54"/>
        <v>5305</v>
      </c>
      <c r="CX151" s="443">
        <f t="shared" si="55"/>
        <v>2.1160000000000001</v>
      </c>
    </row>
    <row r="152" spans="1:102" ht="15" customHeight="1" thickBot="1">
      <c r="A152" s="436">
        <f t="shared" si="26"/>
        <v>2016</v>
      </c>
      <c r="B152" s="437">
        <f t="shared" si="26"/>
        <v>5403</v>
      </c>
      <c r="C152" s="545">
        <f t="shared" si="69"/>
        <v>5.8348107370626048</v>
      </c>
      <c r="D152" s="438">
        <f t="shared" si="27"/>
        <v>11</v>
      </c>
      <c r="E152" s="546">
        <f t="shared" si="70"/>
        <v>2.3978952727983707</v>
      </c>
      <c r="I152" s="443">
        <f t="shared" si="28"/>
        <v>5269</v>
      </c>
      <c r="J152" s="467">
        <f t="shared" si="29"/>
        <v>2.4801036461225245</v>
      </c>
      <c r="K152" s="443">
        <f t="shared" si="71"/>
        <v>17.956</v>
      </c>
      <c r="M152" s="536">
        <f t="shared" si="56"/>
        <v>8.3900414057557544</v>
      </c>
      <c r="N152" s="439" t="s">
        <v>322</v>
      </c>
      <c r="O152" s="548">
        <f>SUM(R142:R152)</f>
        <v>88.960999999999999</v>
      </c>
      <c r="P152" s="509"/>
      <c r="Q152" s="443">
        <f t="shared" si="30"/>
        <v>5316</v>
      </c>
      <c r="R152" s="443">
        <f t="shared" si="31"/>
        <v>7.569</v>
      </c>
      <c r="T152" s="536">
        <f t="shared" si="57"/>
        <v>8.1324126745009053</v>
      </c>
      <c r="U152" s="439" t="s">
        <v>322</v>
      </c>
      <c r="V152" s="548">
        <f>SUM(Y142:Y152)</f>
        <v>89.097999999999999</v>
      </c>
      <c r="W152" s="509"/>
      <c r="X152" s="443">
        <f t="shared" si="32"/>
        <v>5315</v>
      </c>
      <c r="Y152" s="443">
        <f t="shared" si="33"/>
        <v>7.7439999999999998</v>
      </c>
      <c r="AA152" s="536">
        <f t="shared" si="58"/>
        <v>7.7844732357364688</v>
      </c>
      <c r="AB152" s="439" t="s">
        <v>322</v>
      </c>
      <c r="AC152" s="548">
        <f>SUM(AF142:AF152)</f>
        <v>88.542000000000016</v>
      </c>
      <c r="AD152" s="509"/>
      <c r="AE152" s="443">
        <f t="shared" si="34"/>
        <v>5314</v>
      </c>
      <c r="AF152" s="443">
        <f t="shared" si="35"/>
        <v>7.9210000000000003</v>
      </c>
      <c r="AH152" s="536">
        <f t="shared" si="59"/>
        <v>7.246368080102461</v>
      </c>
      <c r="AI152" s="439" t="s">
        <v>322</v>
      </c>
      <c r="AJ152" s="548">
        <f>SUM(AM142:AM152)</f>
        <v>87.510999999999996</v>
      </c>
      <c r="AK152" s="509"/>
      <c r="AL152" s="443">
        <f t="shared" si="36"/>
        <v>5312</v>
      </c>
      <c r="AM152" s="443">
        <f t="shared" si="37"/>
        <v>8.2810000000000006</v>
      </c>
      <c r="AO152" s="536">
        <f t="shared" si="60"/>
        <v>5.9989365619466826</v>
      </c>
      <c r="AP152" s="439" t="s">
        <v>322</v>
      </c>
      <c r="AQ152" s="548">
        <f>SUM(AT142:AT152)</f>
        <v>87.963999999999999</v>
      </c>
      <c r="AR152" s="509"/>
      <c r="AS152" s="443">
        <f t="shared" si="38"/>
        <v>5285</v>
      </c>
      <c r="AT152" s="443">
        <f t="shared" si="39"/>
        <v>13.923999999999999</v>
      </c>
      <c r="AV152" s="536">
        <f t="shared" si="61"/>
        <v>5.8664680569332965</v>
      </c>
      <c r="AW152" s="439" t="s">
        <v>322</v>
      </c>
      <c r="AX152" s="548">
        <f>SUM(BA142:BA152)</f>
        <v>93.017000000000024</v>
      </c>
      <c r="AY152" s="509"/>
      <c r="AZ152" s="443">
        <f t="shared" si="40"/>
        <v>5273</v>
      </c>
      <c r="BA152" s="443">
        <f t="shared" si="41"/>
        <v>16.899999999999999</v>
      </c>
      <c r="BC152" s="536">
        <f t="shared" si="62"/>
        <v>5.8377304471659395</v>
      </c>
      <c r="BD152" s="439" t="s">
        <v>322</v>
      </c>
      <c r="BE152" s="548">
        <f>SUM(BH142:BH152)</f>
        <v>95.693000000000012</v>
      </c>
      <c r="BF152" s="509"/>
      <c r="BG152" s="443">
        <f t="shared" si="42"/>
        <v>5269</v>
      </c>
      <c r="BH152" s="443">
        <f t="shared" si="43"/>
        <v>17.956</v>
      </c>
      <c r="BJ152" s="536">
        <f t="shared" si="63"/>
        <v>5.8348107370626048</v>
      </c>
      <c r="BK152" s="439" t="s">
        <v>322</v>
      </c>
      <c r="BL152" s="548">
        <f>SUM(BO142:BO152)</f>
        <v>95.575000000000003</v>
      </c>
      <c r="BM152" s="509"/>
      <c r="BN152" s="443">
        <f t="shared" si="44"/>
        <v>5269</v>
      </c>
      <c r="BO152" s="443">
        <f t="shared" si="45"/>
        <v>17.956</v>
      </c>
      <c r="BQ152" s="536">
        <f t="shared" si="64"/>
        <v>5.8318824772835169</v>
      </c>
      <c r="BR152" s="439" t="s">
        <v>322</v>
      </c>
      <c r="BS152" s="548">
        <f>SUM(BV142:BV152)</f>
        <v>96.337999999999994</v>
      </c>
      <c r="BT152" s="509"/>
      <c r="BU152" s="443">
        <f t="shared" si="46"/>
        <v>5268</v>
      </c>
      <c r="BV152" s="443">
        <f t="shared" si="47"/>
        <v>18.225000000000001</v>
      </c>
      <c r="BX152" s="536">
        <f t="shared" si="65"/>
        <v>5.8289456176102075</v>
      </c>
      <c r="BY152" s="439" t="s">
        <v>322</v>
      </c>
      <c r="BZ152" s="548">
        <f>SUM(CC142:CC152)</f>
        <v>96.152999999999992</v>
      </c>
      <c r="CA152" s="509"/>
      <c r="CB152" s="443">
        <f t="shared" si="48"/>
        <v>5268</v>
      </c>
      <c r="CC152" s="443">
        <f t="shared" si="49"/>
        <v>18.225000000000001</v>
      </c>
      <c r="CE152" s="536">
        <f t="shared" si="66"/>
        <v>5.8260001073804499</v>
      </c>
      <c r="CF152" s="439" t="s">
        <v>322</v>
      </c>
      <c r="CG152" s="548">
        <f>SUM(CJ142:CJ152)</f>
        <v>97.048000000000002</v>
      </c>
      <c r="CH152" s="509"/>
      <c r="CI152" s="443">
        <f t="shared" si="50"/>
        <v>5267</v>
      </c>
      <c r="CJ152" s="443">
        <f t="shared" si="51"/>
        <v>18.495999999999999</v>
      </c>
      <c r="CL152" s="536">
        <f t="shared" si="67"/>
        <v>5.8230458954830189</v>
      </c>
      <c r="CM152" s="439" t="s">
        <v>322</v>
      </c>
      <c r="CN152" s="548">
        <f>SUM(CQ142:CQ152)</f>
        <v>96.894000000000005</v>
      </c>
      <c r="CO152" s="509"/>
      <c r="CP152" s="443">
        <f t="shared" si="52"/>
        <v>5267</v>
      </c>
      <c r="CQ152" s="443">
        <f t="shared" si="53"/>
        <v>18.495999999999999</v>
      </c>
      <c r="CS152" s="536">
        <f t="shared" si="68"/>
        <v>8.3749381438353669</v>
      </c>
      <c r="CT152" s="439" t="s">
        <v>322</v>
      </c>
      <c r="CU152" s="548">
        <f>SUM(CX142:CX152)</f>
        <v>89.135999999999996</v>
      </c>
      <c r="CV152" s="509"/>
      <c r="CW152" s="443">
        <f t="shared" si="54"/>
        <v>5315</v>
      </c>
      <c r="CX152" s="443">
        <f t="shared" si="55"/>
        <v>7.7439999999999998</v>
      </c>
    </row>
    <row r="153" spans="1:102" ht="15" customHeight="1" thickTop="1">
      <c r="A153" s="458">
        <f t="shared" si="26"/>
        <v>2017</v>
      </c>
      <c r="B153" s="459">
        <f>ROUND($G$147+$G$150*D153^$G$148,$G$1)</f>
        <v>5279</v>
      </c>
      <c r="C153" s="549"/>
      <c r="D153" s="550">
        <f t="shared" si="27"/>
        <v>12</v>
      </c>
      <c r="E153" s="551"/>
      <c r="F153" s="2314" t="s">
        <v>276</v>
      </c>
      <c r="G153" s="2315"/>
      <c r="H153" s="514">
        <f>I141</f>
        <v>0.55925252821497828</v>
      </c>
      <c r="I153" s="464">
        <f t="shared" si="28"/>
        <v>5279</v>
      </c>
      <c r="J153" s="463"/>
      <c r="K153" s="464"/>
      <c r="M153" s="552"/>
      <c r="N153" s="553"/>
      <c r="O153" s="554"/>
      <c r="P153" s="331"/>
      <c r="Q153" s="555"/>
      <c r="R153" s="556"/>
      <c r="T153" s="552"/>
      <c r="U153" s="553"/>
      <c r="V153" s="554"/>
      <c r="W153" s="331"/>
      <c r="X153" s="555"/>
      <c r="Y153" s="556"/>
      <c r="AA153" s="552"/>
      <c r="AB153" s="553"/>
      <c r="AC153" s="554"/>
      <c r="AD153" s="331"/>
      <c r="AE153" s="555"/>
      <c r="AF153" s="556"/>
      <c r="AH153" s="552"/>
      <c r="AI153" s="553"/>
      <c r="AJ153" s="554"/>
      <c r="AK153" s="331"/>
      <c r="AL153" s="555"/>
      <c r="AM153" s="556"/>
      <c r="AO153" s="552"/>
      <c r="AP153" s="553"/>
      <c r="AQ153" s="554"/>
      <c r="AR153" s="331"/>
      <c r="AS153" s="555"/>
      <c r="AT153" s="556"/>
      <c r="AV153" s="552"/>
      <c r="AW153" s="553"/>
      <c r="AX153" s="554"/>
      <c r="AY153" s="331"/>
      <c r="AZ153" s="555"/>
      <c r="BA153" s="556"/>
      <c r="BC153" s="552"/>
      <c r="BD153" s="553"/>
      <c r="BE153" s="554"/>
      <c r="BF153" s="331"/>
      <c r="BG153" s="555"/>
      <c r="BH153" s="556"/>
      <c r="BJ153" s="552"/>
      <c r="BK153" s="553"/>
      <c r="BL153" s="554"/>
      <c r="BM153" s="331"/>
      <c r="BN153" s="555"/>
      <c r="BO153" s="556"/>
      <c r="BQ153" s="552"/>
      <c r="BR153" s="553"/>
      <c r="BS153" s="554"/>
      <c r="BT153" s="331"/>
      <c r="BU153" s="555"/>
      <c r="BV153" s="556"/>
      <c r="BX153" s="552"/>
      <c r="BY153" s="553"/>
      <c r="BZ153" s="554"/>
      <c r="CA153" s="331"/>
      <c r="CB153" s="555"/>
      <c r="CC153" s="556"/>
      <c r="CE153" s="552"/>
      <c r="CF153" s="553"/>
      <c r="CG153" s="554"/>
      <c r="CH153" s="331"/>
      <c r="CI153" s="555"/>
      <c r="CJ153" s="556"/>
      <c r="CL153" s="552"/>
      <c r="CM153" s="553"/>
      <c r="CN153" s="554"/>
      <c r="CO153" s="331"/>
      <c r="CP153" s="555"/>
      <c r="CQ153" s="556"/>
      <c r="CS153" s="552"/>
      <c r="CT153" s="553"/>
      <c r="CU153" s="554"/>
      <c r="CV153" s="331"/>
      <c r="CW153" s="555"/>
      <c r="CX153" s="556"/>
    </row>
    <row r="154" spans="1:102" ht="15" customHeight="1">
      <c r="A154" s="436">
        <f t="shared" si="26"/>
        <v>2018</v>
      </c>
      <c r="B154" s="437">
        <f>ROUND($G$147+$G$150*D154^$G$148,$G$1)</f>
        <v>5290</v>
      </c>
      <c r="C154" s="545"/>
      <c r="D154" s="438">
        <f t="shared" si="27"/>
        <v>13</v>
      </c>
      <c r="E154" s="546"/>
      <c r="F154" s="2318" t="s">
        <v>323</v>
      </c>
      <c r="G154" s="2320"/>
      <c r="H154" s="448">
        <f>SUM(K142:K152)</f>
        <v>95.575000000000003</v>
      </c>
      <c r="I154" s="443">
        <f t="shared" si="28"/>
        <v>5290</v>
      </c>
      <c r="J154" s="467"/>
      <c r="K154" s="443"/>
      <c r="M154" s="557"/>
      <c r="N154" s="439"/>
      <c r="O154" s="548"/>
      <c r="P154" s="451"/>
      <c r="Q154" s="493"/>
      <c r="R154" s="492"/>
      <c r="T154" s="557"/>
      <c r="U154" s="439"/>
      <c r="V154" s="548"/>
      <c r="W154" s="451"/>
      <c r="X154" s="493"/>
      <c r="Y154" s="492"/>
      <c r="AA154" s="557"/>
      <c r="AB154" s="439"/>
      <c r="AC154" s="548"/>
      <c r="AD154" s="451"/>
      <c r="AE154" s="493"/>
      <c r="AF154" s="492"/>
      <c r="AH154" s="557"/>
      <c r="AI154" s="439"/>
      <c r="AJ154" s="548"/>
      <c r="AK154" s="451"/>
      <c r="AL154" s="493"/>
      <c r="AM154" s="492"/>
      <c r="AO154" s="557"/>
      <c r="AP154" s="439"/>
      <c r="AQ154" s="548"/>
      <c r="AR154" s="451"/>
      <c r="AS154" s="493"/>
      <c r="AT154" s="492"/>
      <c r="AV154" s="557"/>
      <c r="AW154" s="439"/>
      <c r="AX154" s="548"/>
      <c r="AY154" s="451"/>
      <c r="AZ154" s="493"/>
      <c r="BA154" s="492"/>
      <c r="BC154" s="557"/>
      <c r="BD154" s="439"/>
      <c r="BE154" s="548"/>
      <c r="BF154" s="451"/>
      <c r="BG154" s="493"/>
      <c r="BH154" s="492"/>
      <c r="BJ154" s="557"/>
      <c r="BK154" s="439"/>
      <c r="BL154" s="548"/>
      <c r="BM154" s="451"/>
      <c r="BN154" s="493"/>
      <c r="BO154" s="492"/>
      <c r="BQ154" s="557"/>
      <c r="BR154" s="439"/>
      <c r="BS154" s="548"/>
      <c r="BT154" s="451"/>
      <c r="BU154" s="493"/>
      <c r="BV154" s="492"/>
      <c r="BX154" s="557"/>
      <c r="BY154" s="439"/>
      <c r="BZ154" s="548"/>
      <c r="CA154" s="451"/>
      <c r="CB154" s="493"/>
      <c r="CC154" s="492"/>
      <c r="CE154" s="557"/>
      <c r="CF154" s="439"/>
      <c r="CG154" s="548"/>
      <c r="CH154" s="451"/>
      <c r="CI154" s="493"/>
      <c r="CJ154" s="492"/>
      <c r="CL154" s="557"/>
      <c r="CM154" s="439"/>
      <c r="CN154" s="548"/>
      <c r="CO154" s="451"/>
      <c r="CP154" s="493"/>
      <c r="CQ154" s="492"/>
      <c r="CS154" s="557"/>
      <c r="CT154" s="439"/>
      <c r="CU154" s="548"/>
      <c r="CV154" s="451"/>
      <c r="CW154" s="493"/>
      <c r="CX154" s="492"/>
    </row>
    <row r="155" spans="1:102" ht="15" customHeight="1">
      <c r="A155" s="436">
        <f t="shared" si="26"/>
        <v>2019</v>
      </c>
      <c r="B155" s="437">
        <f t="shared" ref="B155:B174" si="72">ROUND($G$147+$G$150*D155^$G$148,$G$1)</f>
        <v>5300</v>
      </c>
      <c r="C155" s="545"/>
      <c r="D155" s="438">
        <f t="shared" si="27"/>
        <v>14</v>
      </c>
      <c r="E155" s="546"/>
      <c r="F155" s="2318" t="s">
        <v>324</v>
      </c>
      <c r="G155" s="2320"/>
      <c r="H155" s="449">
        <f>SUM(J142:J152)/D152</f>
        <v>1.4417481393902662</v>
      </c>
      <c r="I155" s="443">
        <f t="shared" si="28"/>
        <v>5300</v>
      </c>
      <c r="J155" s="467"/>
      <c r="K155" s="443"/>
      <c r="M155" s="505" t="s">
        <v>325</v>
      </c>
      <c r="N155" s="505">
        <f>MIN(B142:B152)</f>
        <v>5104</v>
      </c>
      <c r="O155" s="505"/>
      <c r="P155" s="505"/>
      <c r="Q155" s="505"/>
      <c r="R155" s="505"/>
      <c r="S155" s="505"/>
      <c r="T155" s="505" t="s">
        <v>325</v>
      </c>
      <c r="U155" s="505">
        <f>N155</f>
        <v>5104</v>
      </c>
      <c r="V155" s="505"/>
      <c r="W155" s="505"/>
      <c r="X155" s="505"/>
      <c r="Y155" s="505"/>
      <c r="Z155" s="505"/>
      <c r="AA155" s="505" t="s">
        <v>325</v>
      </c>
      <c r="AB155" s="505">
        <f>U155</f>
        <v>5104</v>
      </c>
      <c r="AH155" s="505" t="s">
        <v>325</v>
      </c>
      <c r="AI155" s="505">
        <f>AB155</f>
        <v>5104</v>
      </c>
      <c r="AO155" s="505" t="s">
        <v>325</v>
      </c>
      <c r="AP155" s="505">
        <f>AI155</f>
        <v>5104</v>
      </c>
      <c r="AV155" s="505" t="s">
        <v>325</v>
      </c>
      <c r="AW155" s="505">
        <f>AP155</f>
        <v>5104</v>
      </c>
      <c r="BC155" s="505" t="s">
        <v>325</v>
      </c>
      <c r="BD155" s="505">
        <f>AW155</f>
        <v>5104</v>
      </c>
      <c r="BJ155" s="505" t="s">
        <v>325</v>
      </c>
      <c r="BK155" s="505">
        <f>BD155</f>
        <v>5104</v>
      </c>
      <c r="BQ155" s="505" t="s">
        <v>325</v>
      </c>
      <c r="BR155" s="505">
        <f>BK155</f>
        <v>5104</v>
      </c>
      <c r="BX155" s="505" t="s">
        <v>325</v>
      </c>
      <c r="BY155" s="505">
        <f>BR155</f>
        <v>5104</v>
      </c>
      <c r="CE155" s="505" t="s">
        <v>325</v>
      </c>
      <c r="CF155" s="505">
        <f>BY155</f>
        <v>5104</v>
      </c>
      <c r="CL155" s="505" t="s">
        <v>325</v>
      </c>
      <c r="CM155" s="505">
        <f>CF155</f>
        <v>5104</v>
      </c>
      <c r="CS155" s="505" t="s">
        <v>325</v>
      </c>
      <c r="CT155" s="505">
        <f>CM155</f>
        <v>5104</v>
      </c>
    </row>
    <row r="156" spans="1:102" ht="15" customHeight="1">
      <c r="A156" s="436">
        <f t="shared" si="26"/>
        <v>2020</v>
      </c>
      <c r="B156" s="437">
        <f t="shared" si="72"/>
        <v>5310</v>
      </c>
      <c r="C156" s="545"/>
      <c r="D156" s="438">
        <f t="shared" si="27"/>
        <v>15</v>
      </c>
      <c r="E156" s="546"/>
      <c r="I156" s="443">
        <f t="shared" si="28"/>
        <v>5310</v>
      </c>
      <c r="J156" s="467"/>
      <c r="K156" s="443"/>
      <c r="M156" s="505" t="s">
        <v>326</v>
      </c>
      <c r="N156" s="505">
        <v>3</v>
      </c>
      <c r="O156" s="505"/>
      <c r="P156" s="505"/>
      <c r="Q156" s="505"/>
      <c r="R156" s="505"/>
      <c r="S156" s="505"/>
      <c r="T156" s="505" t="s">
        <v>326</v>
      </c>
      <c r="U156" s="505">
        <f>N156</f>
        <v>3</v>
      </c>
      <c r="V156" s="505"/>
      <c r="W156" s="505"/>
      <c r="X156" s="505"/>
      <c r="Y156" s="505"/>
      <c r="Z156" s="505"/>
      <c r="AA156" s="505" t="s">
        <v>326</v>
      </c>
      <c r="AB156" s="505">
        <f>U156</f>
        <v>3</v>
      </c>
      <c r="AH156" s="505" t="s">
        <v>326</v>
      </c>
      <c r="AI156" s="505">
        <f>AB156</f>
        <v>3</v>
      </c>
      <c r="AO156" s="505" t="s">
        <v>326</v>
      </c>
      <c r="AP156" s="505">
        <f>AI156</f>
        <v>3</v>
      </c>
      <c r="AV156" s="505" t="s">
        <v>326</v>
      </c>
      <c r="AW156" s="505">
        <f>AP156</f>
        <v>3</v>
      </c>
      <c r="BC156" s="505" t="s">
        <v>326</v>
      </c>
      <c r="BD156" s="505">
        <f>AW156</f>
        <v>3</v>
      </c>
      <c r="BJ156" s="505" t="s">
        <v>326</v>
      </c>
      <c r="BK156" s="505">
        <f>BD156</f>
        <v>3</v>
      </c>
      <c r="BQ156" s="505" t="s">
        <v>326</v>
      </c>
      <c r="BR156" s="505">
        <f>BK156</f>
        <v>3</v>
      </c>
      <c r="BX156" s="505" t="s">
        <v>326</v>
      </c>
      <c r="BY156" s="505">
        <f>BR156</f>
        <v>3</v>
      </c>
      <c r="CE156" s="505" t="s">
        <v>326</v>
      </c>
      <c r="CF156" s="505">
        <f>BY156</f>
        <v>3</v>
      </c>
      <c r="CL156" s="505" t="s">
        <v>326</v>
      </c>
      <c r="CM156" s="505">
        <f>CF156</f>
        <v>3</v>
      </c>
      <c r="CS156" s="505" t="s">
        <v>326</v>
      </c>
      <c r="CT156" s="505">
        <f>CM156</f>
        <v>3</v>
      </c>
    </row>
    <row r="157" spans="1:102" ht="15" customHeight="1">
      <c r="A157" s="436">
        <f t="shared" si="26"/>
        <v>2021</v>
      </c>
      <c r="B157" s="437">
        <f t="shared" si="72"/>
        <v>5319</v>
      </c>
      <c r="C157" s="545"/>
      <c r="D157" s="438">
        <f t="shared" si="27"/>
        <v>16</v>
      </c>
      <c r="E157" s="546"/>
      <c r="F157" s="519"/>
      <c r="G157" s="451"/>
      <c r="H157" s="558"/>
      <c r="I157" s="443">
        <f t="shared" si="28"/>
        <v>5319</v>
      </c>
      <c r="J157" s="467"/>
      <c r="K157" s="443"/>
      <c r="M157" s="505" t="s">
        <v>328</v>
      </c>
      <c r="N157" s="559">
        <v>150</v>
      </c>
      <c r="O157" s="505"/>
      <c r="P157" s="505"/>
      <c r="Q157" s="505"/>
      <c r="R157" s="505"/>
      <c r="S157" s="505"/>
      <c r="T157" s="505" t="s">
        <v>328</v>
      </c>
      <c r="U157" s="505">
        <f>N157</f>
        <v>150</v>
      </c>
      <c r="V157" s="505"/>
      <c r="W157" s="505"/>
      <c r="X157" s="505"/>
      <c r="Y157" s="505"/>
      <c r="Z157" s="505"/>
      <c r="AA157" s="505" t="s">
        <v>328</v>
      </c>
      <c r="AB157" s="505">
        <f>U157</f>
        <v>150</v>
      </c>
      <c r="AH157" s="505" t="s">
        <v>328</v>
      </c>
      <c r="AI157" s="505">
        <v>500</v>
      </c>
      <c r="AO157" s="505" t="s">
        <v>328</v>
      </c>
      <c r="AP157" s="505">
        <f>AI157</f>
        <v>500</v>
      </c>
      <c r="AV157" s="505" t="s">
        <v>328</v>
      </c>
      <c r="AW157" s="505">
        <f>AP157</f>
        <v>500</v>
      </c>
      <c r="BC157" s="505" t="s">
        <v>328</v>
      </c>
      <c r="BD157" s="505">
        <f>AW157</f>
        <v>500</v>
      </c>
      <c r="BJ157" s="505" t="s">
        <v>328</v>
      </c>
      <c r="BK157" s="505">
        <f>BD157</f>
        <v>500</v>
      </c>
      <c r="BQ157" s="505" t="s">
        <v>328</v>
      </c>
      <c r="BR157" s="505">
        <f>BK157</f>
        <v>500</v>
      </c>
      <c r="BX157" s="505" t="s">
        <v>328</v>
      </c>
      <c r="BY157" s="505">
        <f>BR157</f>
        <v>500</v>
      </c>
      <c r="CE157" s="505" t="s">
        <v>328</v>
      </c>
      <c r="CF157" s="505">
        <f>BY157</f>
        <v>500</v>
      </c>
      <c r="CL157" s="505" t="s">
        <v>328</v>
      </c>
      <c r="CM157" s="505">
        <f>CF157</f>
        <v>500</v>
      </c>
      <c r="CS157" s="505" t="s">
        <v>328</v>
      </c>
      <c r="CT157" s="505">
        <f>CM157</f>
        <v>500</v>
      </c>
    </row>
    <row r="158" spans="1:102" ht="15" customHeight="1" thickBot="1">
      <c r="A158" s="436">
        <f t="shared" ref="A158:A174" si="73">A120</f>
        <v>2022</v>
      </c>
      <c r="B158" s="437">
        <f t="shared" si="72"/>
        <v>5328</v>
      </c>
      <c r="C158" s="545"/>
      <c r="D158" s="438">
        <f t="shared" si="27"/>
        <v>17</v>
      </c>
      <c r="E158" s="546"/>
      <c r="F158" s="560" t="s">
        <v>331</v>
      </c>
      <c r="G158" s="561" t="s">
        <v>332</v>
      </c>
      <c r="H158" s="562" t="s">
        <v>277</v>
      </c>
      <c r="I158" s="443">
        <f t="shared" si="28"/>
        <v>5328</v>
      </c>
      <c r="J158" s="467"/>
      <c r="K158" s="443"/>
      <c r="M158" s="557"/>
      <c r="N158" s="451"/>
      <c r="O158" s="451"/>
      <c r="P158" s="451"/>
      <c r="Q158" s="493"/>
      <c r="R158" s="492"/>
      <c r="T158" s="557"/>
      <c r="U158" s="451"/>
      <c r="V158" s="451"/>
      <c r="W158" s="451"/>
      <c r="X158" s="493"/>
      <c r="Y158" s="492"/>
      <c r="AA158" s="557"/>
      <c r="AB158" s="451"/>
      <c r="AC158" s="451"/>
      <c r="AD158" s="451"/>
      <c r="AE158" s="493"/>
      <c r="AF158" s="492"/>
      <c r="AH158" s="557"/>
      <c r="AI158" s="451"/>
      <c r="AJ158" s="451"/>
      <c r="AK158" s="451"/>
      <c r="AL158" s="493"/>
      <c r="AM158" s="492"/>
      <c r="AO158" s="557"/>
      <c r="AP158" s="451"/>
      <c r="AQ158" s="451"/>
      <c r="AR158" s="451"/>
      <c r="AS158" s="493"/>
      <c r="AT158" s="492"/>
      <c r="AV158" s="557"/>
      <c r="AW158" s="451"/>
      <c r="AX158" s="451"/>
      <c r="AY158" s="451"/>
      <c r="AZ158" s="493"/>
      <c r="BA158" s="492"/>
      <c r="BC158" s="557"/>
      <c r="BD158" s="451"/>
      <c r="BE158" s="451"/>
      <c r="BF158" s="451"/>
      <c r="BG158" s="493"/>
      <c r="BH158" s="492"/>
      <c r="BJ158" s="557"/>
      <c r="BK158" s="451"/>
      <c r="BL158" s="451"/>
      <c r="BM158" s="451"/>
      <c r="BN158" s="493"/>
      <c r="BO158" s="492"/>
      <c r="BQ158" s="557"/>
      <c r="BR158" s="451"/>
      <c r="BS158" s="451"/>
      <c r="BT158" s="451"/>
      <c r="BU158" s="493"/>
      <c r="BV158" s="492"/>
      <c r="BX158" s="557"/>
      <c r="BY158" s="451"/>
      <c r="BZ158" s="451"/>
      <c r="CA158" s="451"/>
      <c r="CB158" s="493"/>
      <c r="CC158" s="492"/>
      <c r="CE158" s="557"/>
      <c r="CF158" s="451"/>
      <c r="CG158" s="451"/>
      <c r="CH158" s="451"/>
      <c r="CI158" s="493"/>
      <c r="CJ158" s="492"/>
      <c r="CL158" s="557"/>
      <c r="CM158" s="451"/>
      <c r="CN158" s="451"/>
      <c r="CO158" s="451"/>
      <c r="CP158" s="493"/>
      <c r="CQ158" s="492"/>
      <c r="CS158" s="557"/>
      <c r="CT158" s="451"/>
      <c r="CU158" s="451"/>
      <c r="CV158" s="451"/>
      <c r="CW158" s="493"/>
      <c r="CX158" s="492"/>
    </row>
    <row r="159" spans="1:102" ht="15" customHeight="1" thickTop="1">
      <c r="A159" s="436">
        <f t="shared" si="73"/>
        <v>2023</v>
      </c>
      <c r="B159" s="437">
        <f t="shared" si="72"/>
        <v>5338</v>
      </c>
      <c r="C159" s="545"/>
      <c r="D159" s="438">
        <f t="shared" si="27"/>
        <v>18</v>
      </c>
      <c r="E159" s="546"/>
      <c r="F159" s="505">
        <v>1000</v>
      </c>
      <c r="G159" s="563">
        <f>IFERROR(O151,0)</f>
        <v>0.42619222273474416</v>
      </c>
      <c r="H159" s="564">
        <f>O152</f>
        <v>88.960999999999999</v>
      </c>
      <c r="I159" s="443">
        <f t="shared" si="28"/>
        <v>5338</v>
      </c>
      <c r="J159" s="467"/>
      <c r="K159" s="443"/>
      <c r="L159" s="326">
        <f>RANK(G159,$G$159:$G$171)</f>
        <v>11</v>
      </c>
      <c r="M159" s="557"/>
      <c r="N159" s="451"/>
      <c r="O159" s="451"/>
      <c r="P159" s="451"/>
      <c r="Q159" s="493"/>
      <c r="R159" s="492"/>
      <c r="T159" s="557"/>
      <c r="U159" s="451"/>
      <c r="V159" s="451"/>
      <c r="W159" s="451"/>
      <c r="X159" s="493"/>
      <c r="Y159" s="492"/>
      <c r="AA159" s="557"/>
      <c r="AB159" s="451"/>
      <c r="AC159" s="451"/>
      <c r="AD159" s="451"/>
      <c r="AE159" s="493"/>
      <c r="AF159" s="492"/>
      <c r="AH159" s="557"/>
      <c r="AI159" s="451"/>
      <c r="AJ159" s="451"/>
      <c r="AK159" s="451"/>
      <c r="AL159" s="493"/>
      <c r="AM159" s="492"/>
      <c r="AO159" s="557"/>
      <c r="AP159" s="451"/>
      <c r="AQ159" s="451"/>
      <c r="AR159" s="451"/>
      <c r="AS159" s="493"/>
      <c r="AT159" s="492"/>
      <c r="AV159" s="557"/>
      <c r="AW159" s="451"/>
      <c r="AX159" s="451"/>
      <c r="AY159" s="451"/>
      <c r="AZ159" s="493"/>
      <c r="BA159" s="492"/>
      <c r="BC159" s="557"/>
      <c r="BD159" s="451"/>
      <c r="BE159" s="451"/>
      <c r="BF159" s="451"/>
      <c r="BG159" s="493"/>
      <c r="BH159" s="492"/>
      <c r="BJ159" s="557"/>
      <c r="BK159" s="451"/>
      <c r="BL159" s="451"/>
      <c r="BM159" s="451"/>
      <c r="BN159" s="493"/>
      <c r="BO159" s="492"/>
      <c r="BQ159" s="557"/>
      <c r="BR159" s="451"/>
      <c r="BS159" s="451"/>
      <c r="BT159" s="451"/>
      <c r="BU159" s="493"/>
      <c r="BV159" s="492"/>
      <c r="BX159" s="557"/>
      <c r="BY159" s="451"/>
      <c r="BZ159" s="451"/>
      <c r="CA159" s="451"/>
      <c r="CB159" s="493"/>
      <c r="CC159" s="492"/>
      <c r="CE159" s="557"/>
      <c r="CF159" s="451"/>
      <c r="CG159" s="451"/>
      <c r="CH159" s="451"/>
      <c r="CI159" s="493"/>
      <c r="CJ159" s="492"/>
      <c r="CL159" s="557"/>
      <c r="CM159" s="451"/>
      <c r="CN159" s="451"/>
      <c r="CO159" s="451"/>
      <c r="CP159" s="493"/>
      <c r="CQ159" s="492"/>
      <c r="CS159" s="557"/>
      <c r="CT159" s="451"/>
      <c r="CU159" s="451"/>
      <c r="CV159" s="451"/>
      <c r="CW159" s="493"/>
      <c r="CX159" s="492"/>
    </row>
    <row r="160" spans="1:102" s="451" customFormat="1" ht="15" customHeight="1">
      <c r="A160" s="436">
        <f t="shared" si="73"/>
        <v>2024</v>
      </c>
      <c r="B160" s="437">
        <f t="shared" si="72"/>
        <v>5346</v>
      </c>
      <c r="C160" s="545"/>
      <c r="D160" s="438">
        <f t="shared" si="27"/>
        <v>19</v>
      </c>
      <c r="E160" s="546"/>
      <c r="F160" s="505">
        <v>2000</v>
      </c>
      <c r="G160" s="565">
        <f>IFERROR(V151,0)</f>
        <v>0.42547260761012312</v>
      </c>
      <c r="H160" s="564">
        <f>V152</f>
        <v>89.097999999999999</v>
      </c>
      <c r="I160" s="443">
        <f t="shared" si="28"/>
        <v>5346</v>
      </c>
      <c r="J160" s="467"/>
      <c r="K160" s="443"/>
      <c r="L160" s="326">
        <f t="shared" ref="L160:L171" si="74">RANK(G160,$G$159:$G$171)</f>
        <v>12</v>
      </c>
      <c r="M160" s="557"/>
      <c r="P160" s="439"/>
      <c r="Q160" s="493"/>
      <c r="R160" s="492"/>
      <c r="T160" s="557"/>
      <c r="W160" s="439"/>
      <c r="X160" s="493"/>
      <c r="Y160" s="492"/>
      <c r="AA160" s="557"/>
      <c r="AD160" s="439"/>
      <c r="AE160" s="493"/>
      <c r="AF160" s="492"/>
      <c r="AH160" s="557"/>
      <c r="AK160" s="439"/>
      <c r="AL160" s="493"/>
      <c r="AM160" s="492"/>
      <c r="AO160" s="557"/>
      <c r="AR160" s="439"/>
      <c r="AS160" s="493"/>
      <c r="AT160" s="492"/>
      <c r="AV160" s="557"/>
      <c r="AY160" s="439"/>
      <c r="AZ160" s="493"/>
      <c r="BA160" s="492"/>
      <c r="BC160" s="557"/>
      <c r="BF160" s="439"/>
      <c r="BG160" s="493"/>
      <c r="BH160" s="492"/>
      <c r="BJ160" s="557"/>
      <c r="BM160" s="439"/>
      <c r="BN160" s="493"/>
      <c r="BO160" s="492"/>
      <c r="BQ160" s="557"/>
      <c r="BT160" s="439"/>
      <c r="BU160" s="493"/>
      <c r="BV160" s="492"/>
      <c r="BX160" s="557"/>
      <c r="CA160" s="439"/>
      <c r="CB160" s="493"/>
      <c r="CC160" s="492"/>
      <c r="CE160" s="557"/>
      <c r="CH160" s="439"/>
      <c r="CI160" s="493"/>
      <c r="CJ160" s="492"/>
      <c r="CL160" s="557"/>
      <c r="CO160" s="439"/>
      <c r="CP160" s="493"/>
      <c r="CQ160" s="492"/>
      <c r="CS160" s="557"/>
      <c r="CV160" s="439"/>
      <c r="CW160" s="493"/>
      <c r="CX160" s="492"/>
    </row>
    <row r="161" spans="1:102" ht="15" customHeight="1">
      <c r="A161" s="436">
        <f t="shared" si="73"/>
        <v>2025</v>
      </c>
      <c r="B161" s="437">
        <f t="shared" si="72"/>
        <v>5355</v>
      </c>
      <c r="C161" s="545"/>
      <c r="D161" s="438">
        <f t="shared" si="27"/>
        <v>20</v>
      </c>
      <c r="E161" s="546"/>
      <c r="F161" s="505">
        <v>3000</v>
      </c>
      <c r="G161" s="565">
        <f>IFERROR(AC151,0)</f>
        <v>0.42968153434770651</v>
      </c>
      <c r="H161" s="505">
        <f>AC152</f>
        <v>88.542000000000016</v>
      </c>
      <c r="I161" s="443">
        <f t="shared" si="28"/>
        <v>5355</v>
      </c>
      <c r="J161" s="467"/>
      <c r="K161" s="443"/>
      <c r="L161" s="326">
        <f t="shared" si="74"/>
        <v>10</v>
      </c>
      <c r="M161" s="557"/>
      <c r="N161" s="451"/>
      <c r="O161" s="451"/>
      <c r="P161" s="439"/>
      <c r="Q161" s="493"/>
      <c r="R161" s="492"/>
      <c r="T161" s="557"/>
      <c r="U161" s="451"/>
      <c r="V161" s="451"/>
      <c r="W161" s="439"/>
      <c r="X161" s="493"/>
      <c r="Y161" s="492"/>
      <c r="AA161" s="557"/>
      <c r="AB161" s="451"/>
      <c r="AC161" s="451"/>
      <c r="AD161" s="439"/>
      <c r="AE161" s="493"/>
      <c r="AF161" s="492"/>
      <c r="AH161" s="557"/>
      <c r="AI161" s="451"/>
      <c r="AJ161" s="451"/>
      <c r="AK161" s="439"/>
      <c r="AL161" s="493"/>
      <c r="AM161" s="492"/>
      <c r="AO161" s="557"/>
      <c r="AP161" s="451"/>
      <c r="AQ161" s="451"/>
      <c r="AR161" s="439"/>
      <c r="AS161" s="493"/>
      <c r="AT161" s="492"/>
      <c r="AV161" s="557"/>
      <c r="AW161" s="451"/>
      <c r="AX161" s="451"/>
      <c r="AY161" s="439"/>
      <c r="AZ161" s="493"/>
      <c r="BA161" s="492"/>
      <c r="BC161" s="557"/>
      <c r="BD161" s="451"/>
      <c r="BE161" s="451"/>
      <c r="BF161" s="439"/>
      <c r="BG161" s="493"/>
      <c r="BH161" s="492"/>
      <c r="BJ161" s="557"/>
      <c r="BK161" s="451"/>
      <c r="BL161" s="451"/>
      <c r="BM161" s="439"/>
      <c r="BN161" s="493"/>
      <c r="BO161" s="492"/>
      <c r="BQ161" s="557"/>
      <c r="BR161" s="451"/>
      <c r="BS161" s="451"/>
      <c r="BT161" s="439"/>
      <c r="BU161" s="493"/>
      <c r="BV161" s="492"/>
      <c r="BX161" s="557"/>
      <c r="BY161" s="451"/>
      <c r="BZ161" s="451"/>
      <c r="CA161" s="439"/>
      <c r="CB161" s="493"/>
      <c r="CC161" s="492"/>
      <c r="CE161" s="557"/>
      <c r="CF161" s="451"/>
      <c r="CG161" s="451"/>
      <c r="CH161" s="439"/>
      <c r="CI161" s="493"/>
      <c r="CJ161" s="492"/>
      <c r="CL161" s="557"/>
      <c r="CM161" s="451"/>
      <c r="CN161" s="451"/>
      <c r="CO161" s="439"/>
      <c r="CP161" s="493"/>
      <c r="CQ161" s="492"/>
      <c r="CS161" s="557"/>
      <c r="CT161" s="451"/>
      <c r="CU161" s="451"/>
      <c r="CV161" s="439"/>
      <c r="CW161" s="493"/>
      <c r="CX161" s="492"/>
    </row>
    <row r="162" spans="1:102" s="451" customFormat="1" ht="15" customHeight="1">
      <c r="A162" s="436">
        <f t="shared" si="73"/>
        <v>2026</v>
      </c>
      <c r="B162" s="437">
        <f t="shared" si="72"/>
        <v>5363</v>
      </c>
      <c r="C162" s="545"/>
      <c r="D162" s="438">
        <f t="shared" si="27"/>
        <v>21</v>
      </c>
      <c r="E162" s="546"/>
      <c r="F162" s="505">
        <v>4000</v>
      </c>
      <c r="G162" s="565">
        <f>IFERROR(AJ151,0)</f>
        <v>0.43885341233022979</v>
      </c>
      <c r="H162" s="505">
        <f>AJ152</f>
        <v>87.510999999999996</v>
      </c>
      <c r="I162" s="443">
        <f t="shared" si="28"/>
        <v>5363</v>
      </c>
      <c r="J162" s="467"/>
      <c r="K162" s="443"/>
      <c r="L162" s="326">
        <f t="shared" si="74"/>
        <v>9</v>
      </c>
      <c r="M162" s="557"/>
      <c r="Q162" s="493"/>
      <c r="R162" s="492"/>
      <c r="T162" s="557"/>
      <c r="X162" s="493"/>
      <c r="Y162" s="492"/>
      <c r="AA162" s="557"/>
      <c r="AE162" s="493"/>
      <c r="AF162" s="492"/>
      <c r="AH162" s="557"/>
      <c r="AL162" s="493"/>
      <c r="AM162" s="492"/>
      <c r="AO162" s="557"/>
      <c r="AS162" s="493"/>
      <c r="AT162" s="492"/>
      <c r="AV162" s="557"/>
      <c r="AZ162" s="493"/>
      <c r="BA162" s="492"/>
      <c r="BC162" s="557"/>
      <c r="BG162" s="493"/>
      <c r="BH162" s="492"/>
      <c r="BJ162" s="557"/>
      <c r="BN162" s="493"/>
      <c r="BO162" s="492"/>
      <c r="BQ162" s="557"/>
      <c r="BU162" s="493"/>
      <c r="BV162" s="492"/>
      <c r="BX162" s="557"/>
      <c r="CB162" s="493"/>
      <c r="CC162" s="492"/>
      <c r="CE162" s="557"/>
      <c r="CI162" s="493"/>
      <c r="CJ162" s="492"/>
      <c r="CL162" s="557"/>
      <c r="CP162" s="493"/>
      <c r="CQ162" s="492"/>
      <c r="CS162" s="557"/>
      <c r="CW162" s="493"/>
      <c r="CX162" s="492"/>
    </row>
    <row r="163" spans="1:102" s="451" customFormat="1" ht="15" customHeight="1">
      <c r="A163" s="436">
        <f t="shared" si="73"/>
        <v>2027</v>
      </c>
      <c r="B163" s="437">
        <f t="shared" si="72"/>
        <v>5372</v>
      </c>
      <c r="C163" s="545"/>
      <c r="D163" s="438">
        <f t="shared" si="27"/>
        <v>22</v>
      </c>
      <c r="E163" s="546"/>
      <c r="F163" s="505">
        <v>5000</v>
      </c>
      <c r="G163" s="565">
        <f>IFERROR(AQ151,0)</f>
        <v>0.52155090295105311</v>
      </c>
      <c r="H163" s="505">
        <f>AQ152</f>
        <v>87.963999999999999</v>
      </c>
      <c r="I163" s="443">
        <f t="shared" si="28"/>
        <v>5372</v>
      </c>
      <c r="J163" s="467"/>
      <c r="K163" s="443"/>
      <c r="L163" s="326">
        <f t="shared" si="74"/>
        <v>8</v>
      </c>
      <c r="M163" s="557"/>
      <c r="N163" s="538"/>
      <c r="O163" s="538"/>
      <c r="P163" s="566"/>
      <c r="Q163" s="493"/>
      <c r="R163" s="492"/>
      <c r="T163" s="557"/>
      <c r="X163" s="493"/>
      <c r="Y163" s="492"/>
      <c r="AA163" s="557"/>
      <c r="AE163" s="493"/>
      <c r="AF163" s="492"/>
      <c r="AH163" s="557"/>
      <c r="AL163" s="493"/>
      <c r="AM163" s="492"/>
      <c r="AO163" s="557"/>
      <c r="AS163" s="493"/>
      <c r="AT163" s="492"/>
      <c r="AV163" s="557"/>
      <c r="AZ163" s="493"/>
      <c r="BA163" s="492"/>
      <c r="BC163" s="557"/>
      <c r="BG163" s="493"/>
      <c r="BH163" s="492"/>
      <c r="BJ163" s="557"/>
      <c r="BN163" s="493"/>
      <c r="BO163" s="492"/>
      <c r="BQ163" s="557"/>
      <c r="BU163" s="493"/>
      <c r="BV163" s="492"/>
      <c r="BX163" s="557"/>
      <c r="CB163" s="493"/>
      <c r="CC163" s="492"/>
      <c r="CE163" s="557"/>
      <c r="CI163" s="493"/>
      <c r="CJ163" s="492"/>
      <c r="CL163" s="557"/>
      <c r="CP163" s="493"/>
      <c r="CQ163" s="492"/>
      <c r="CS163" s="557"/>
      <c r="CW163" s="493"/>
      <c r="CX163" s="492"/>
    </row>
    <row r="164" spans="1:102" ht="15" customHeight="1">
      <c r="A164" s="436">
        <f t="shared" si="73"/>
        <v>2028</v>
      </c>
      <c r="B164" s="437">
        <f t="shared" si="72"/>
        <v>5380</v>
      </c>
      <c r="C164" s="520"/>
      <c r="D164" s="438">
        <f t="shared" si="27"/>
        <v>23</v>
      </c>
      <c r="E164" s="508"/>
      <c r="F164" s="548">
        <v>5050</v>
      </c>
      <c r="G164" s="565">
        <f>IFERROR(AX151,0)</f>
        <v>0.55165475277692111</v>
      </c>
      <c r="H164" s="548">
        <f>AX152</f>
        <v>93.017000000000024</v>
      </c>
      <c r="I164" s="443">
        <f t="shared" si="28"/>
        <v>5380</v>
      </c>
      <c r="J164" s="469"/>
      <c r="K164" s="469"/>
      <c r="L164" s="326">
        <f t="shared" si="74"/>
        <v>7</v>
      </c>
    </row>
    <row r="165" spans="1:102" ht="15" customHeight="1">
      <c r="A165" s="436">
        <f t="shared" si="73"/>
        <v>2029</v>
      </c>
      <c r="B165" s="437">
        <f t="shared" si="72"/>
        <v>5388</v>
      </c>
      <c r="C165" s="520"/>
      <c r="D165" s="438">
        <f t="shared" si="27"/>
        <v>24</v>
      </c>
      <c r="E165" s="508"/>
      <c r="F165" s="548">
        <v>5060</v>
      </c>
      <c r="G165" s="565">
        <f>IFERROR(BE151,0)</f>
        <v>0.55428333357596438</v>
      </c>
      <c r="H165" s="548">
        <f>BE152</f>
        <v>95.693000000000012</v>
      </c>
      <c r="I165" s="443">
        <f t="shared" si="28"/>
        <v>5388</v>
      </c>
      <c r="J165" s="469"/>
      <c r="K165" s="469"/>
      <c r="L165" s="326">
        <f t="shared" si="74"/>
        <v>6</v>
      </c>
    </row>
    <row r="166" spans="1:102" ht="15" customHeight="1">
      <c r="A166" s="436">
        <f t="shared" si="73"/>
        <v>2030</v>
      </c>
      <c r="B166" s="437">
        <f t="shared" si="72"/>
        <v>5396</v>
      </c>
      <c r="C166" s="520"/>
      <c r="D166" s="438">
        <f t="shared" si="27"/>
        <v>25</v>
      </c>
      <c r="E166" s="508"/>
      <c r="F166" s="567">
        <v>5061</v>
      </c>
      <c r="G166" s="568">
        <f>IFERROR(BL151,0)</f>
        <v>0.55925252821497828</v>
      </c>
      <c r="H166" s="567">
        <f>BL152</f>
        <v>95.575000000000003</v>
      </c>
      <c r="I166" s="443">
        <f t="shared" si="28"/>
        <v>5396</v>
      </c>
      <c r="J166" s="469"/>
      <c r="K166" s="469"/>
      <c r="L166" s="326">
        <f t="shared" si="74"/>
        <v>1</v>
      </c>
    </row>
    <row r="167" spans="1:102" ht="15" customHeight="1">
      <c r="A167" s="436">
        <f t="shared" si="73"/>
        <v>2031</v>
      </c>
      <c r="B167" s="437">
        <f t="shared" si="72"/>
        <v>5403</v>
      </c>
      <c r="C167" s="520"/>
      <c r="D167" s="438">
        <f t="shared" si="27"/>
        <v>26</v>
      </c>
      <c r="E167" s="508"/>
      <c r="F167" s="567">
        <v>5062</v>
      </c>
      <c r="G167" s="568">
        <f>IFERROR(BS151,0)</f>
        <v>0.55608514408465926</v>
      </c>
      <c r="H167" s="567">
        <f>BS152</f>
        <v>96.337999999999994</v>
      </c>
      <c r="I167" s="443">
        <f t="shared" si="28"/>
        <v>5403</v>
      </c>
      <c r="J167" s="469"/>
      <c r="K167" s="469"/>
      <c r="L167" s="326">
        <f t="shared" si="74"/>
        <v>4</v>
      </c>
    </row>
    <row r="168" spans="1:102" ht="15" customHeight="1">
      <c r="A168" s="436">
        <f t="shared" si="73"/>
        <v>2032</v>
      </c>
      <c r="B168" s="437">
        <f t="shared" si="72"/>
        <v>5411</v>
      </c>
      <c r="C168" s="520"/>
      <c r="D168" s="438">
        <f t="shared" si="27"/>
        <v>27</v>
      </c>
      <c r="E168" s="508"/>
      <c r="F168" s="567">
        <v>5063</v>
      </c>
      <c r="G168" s="568">
        <f>IFERROR(BZ151,0)</f>
        <v>0.55911407897873733</v>
      </c>
      <c r="H168" s="567">
        <f>BZ152</f>
        <v>96.152999999999992</v>
      </c>
      <c r="I168" s="443">
        <f t="shared" si="28"/>
        <v>5411</v>
      </c>
      <c r="J168" s="469"/>
      <c r="K168" s="469"/>
      <c r="L168" s="326">
        <f t="shared" si="74"/>
        <v>2</v>
      </c>
    </row>
    <row r="169" spans="1:102" ht="15" customHeight="1">
      <c r="A169" s="436">
        <f t="shared" si="73"/>
        <v>2033</v>
      </c>
      <c r="B169" s="437">
        <f t="shared" si="72"/>
        <v>5419</v>
      </c>
      <c r="C169" s="520"/>
      <c r="D169" s="438">
        <f t="shared" si="27"/>
        <v>28</v>
      </c>
      <c r="E169" s="508"/>
      <c r="F169" s="567">
        <v>5064</v>
      </c>
      <c r="G169" s="568">
        <f>IFERROR(CG151,0)</f>
        <v>0.55585620557874404</v>
      </c>
      <c r="H169" s="567">
        <f>CG152</f>
        <v>97.048000000000002</v>
      </c>
      <c r="I169" s="443">
        <f t="shared" si="28"/>
        <v>5419</v>
      </c>
      <c r="J169" s="469"/>
      <c r="K169" s="469"/>
      <c r="L169" s="326">
        <f t="shared" si="74"/>
        <v>5</v>
      </c>
    </row>
    <row r="170" spans="1:102" ht="15" customHeight="1">
      <c r="A170" s="436">
        <f t="shared" si="73"/>
        <v>2034</v>
      </c>
      <c r="B170" s="437">
        <f t="shared" si="72"/>
        <v>5426</v>
      </c>
      <c r="C170" s="520"/>
      <c r="D170" s="438">
        <f t="shared" si="27"/>
        <v>29</v>
      </c>
      <c r="E170" s="508"/>
      <c r="F170" s="567">
        <v>5065</v>
      </c>
      <c r="G170" s="568">
        <f>IFERROR(CN151,0)</f>
        <v>0.55904405921518052</v>
      </c>
      <c r="H170" s="567">
        <f>CN152</f>
        <v>96.894000000000005</v>
      </c>
      <c r="I170" s="443">
        <f t="shared" si="28"/>
        <v>5426</v>
      </c>
      <c r="J170" s="469"/>
      <c r="K170" s="469"/>
      <c r="L170" s="326">
        <f t="shared" si="74"/>
        <v>3</v>
      </c>
    </row>
    <row r="171" spans="1:102" ht="15" customHeight="1">
      <c r="A171" s="522">
        <f t="shared" si="73"/>
        <v>2035</v>
      </c>
      <c r="B171" s="523">
        <f t="shared" si="72"/>
        <v>5433</v>
      </c>
      <c r="C171" s="524"/>
      <c r="D171" s="569">
        <f t="shared" si="27"/>
        <v>30</v>
      </c>
      <c r="E171" s="525"/>
      <c r="F171" s="570">
        <v>1066</v>
      </c>
      <c r="G171" s="571">
        <f>IFERROR(CU151,0)</f>
        <v>0.42507706874954876</v>
      </c>
      <c r="H171" s="570">
        <f>CU152</f>
        <v>89.135999999999996</v>
      </c>
      <c r="I171" s="528">
        <f t="shared" si="28"/>
        <v>5433</v>
      </c>
      <c r="J171" s="529"/>
      <c r="K171" s="529"/>
      <c r="L171" s="326">
        <f t="shared" si="74"/>
        <v>13</v>
      </c>
    </row>
    <row r="172" spans="1:102" ht="15" customHeight="1">
      <c r="A172" s="522">
        <f t="shared" si="73"/>
        <v>2036</v>
      </c>
      <c r="B172" s="523">
        <f t="shared" si="72"/>
        <v>5440</v>
      </c>
      <c r="C172" s="524"/>
      <c r="D172" s="569">
        <f t="shared" si="27"/>
        <v>31</v>
      </c>
      <c r="E172" s="525"/>
      <c r="F172" s="570"/>
      <c r="G172" s="571"/>
      <c r="H172" s="570"/>
      <c r="I172" s="528">
        <f t="shared" si="28"/>
        <v>5440</v>
      </c>
      <c r="J172" s="529"/>
      <c r="K172" s="529"/>
    </row>
    <row r="173" spans="1:102" ht="15" customHeight="1">
      <c r="A173" s="522">
        <f t="shared" si="73"/>
        <v>2037</v>
      </c>
      <c r="B173" s="523">
        <f t="shared" si="72"/>
        <v>5447</v>
      </c>
      <c r="C173" s="524"/>
      <c r="D173" s="569">
        <f t="shared" si="27"/>
        <v>32</v>
      </c>
      <c r="E173" s="525"/>
      <c r="F173" s="570"/>
      <c r="G173" s="571"/>
      <c r="H173" s="570"/>
      <c r="I173" s="528">
        <f t="shared" si="28"/>
        <v>5447</v>
      </c>
      <c r="J173" s="529"/>
      <c r="K173" s="529"/>
    </row>
    <row r="174" spans="1:102" ht="15" customHeight="1">
      <c r="A174" s="522">
        <f t="shared" si="73"/>
        <v>2038</v>
      </c>
      <c r="B174" s="523">
        <f t="shared" si="72"/>
        <v>5454</v>
      </c>
      <c r="C174" s="524"/>
      <c r="D174" s="569">
        <f t="shared" si="27"/>
        <v>33</v>
      </c>
      <c r="E174" s="525"/>
      <c r="F174" s="570"/>
      <c r="G174" s="571"/>
      <c r="H174" s="570"/>
      <c r="I174" s="528">
        <f t="shared" si="28"/>
        <v>5454</v>
      </c>
      <c r="J174" s="529"/>
      <c r="K174" s="529"/>
    </row>
    <row r="175" spans="1:102" ht="15" customHeight="1">
      <c r="A175" s="491"/>
      <c r="B175" s="494"/>
      <c r="C175" s="451"/>
      <c r="D175" s="439"/>
      <c r="E175" s="439"/>
      <c r="F175" s="530"/>
      <c r="G175" s="572"/>
      <c r="H175" s="451"/>
      <c r="I175" s="538"/>
      <c r="J175" s="538"/>
      <c r="O175" s="573"/>
    </row>
    <row r="176" spans="1:102" ht="15" customHeight="1">
      <c r="A176" s="424" t="s">
        <v>333</v>
      </c>
    </row>
    <row r="177" spans="1:60" ht="15" customHeight="1">
      <c r="A177" s="427" t="s">
        <v>264</v>
      </c>
      <c r="B177" s="428" t="s">
        <v>286</v>
      </c>
      <c r="C177" s="429" t="s">
        <v>334</v>
      </c>
      <c r="D177" s="429" t="s">
        <v>287</v>
      </c>
      <c r="E177" s="496"/>
      <c r="F177" s="430"/>
      <c r="G177" s="431"/>
      <c r="H177" s="432" t="s">
        <v>288</v>
      </c>
      <c r="I177" s="433">
        <f>RSQ(I178:I188,B178:B188)</f>
        <v>0.63685100335092981</v>
      </c>
      <c r="J177" s="434" t="s">
        <v>289</v>
      </c>
      <c r="K177" s="435" t="s">
        <v>290</v>
      </c>
      <c r="M177" s="532" t="s">
        <v>334</v>
      </c>
      <c r="N177" s="430"/>
      <c r="O177" s="432" t="s">
        <v>288</v>
      </c>
      <c r="P177" s="433">
        <f>RSQ($B178:$B188,P178:P188)</f>
        <v>0.63279200095697985</v>
      </c>
      <c r="Q177" s="435" t="s">
        <v>290</v>
      </c>
      <c r="S177" s="532" t="s">
        <v>334</v>
      </c>
      <c r="T177" s="430"/>
      <c r="U177" s="432" t="s">
        <v>288</v>
      </c>
      <c r="V177" s="433">
        <f>RSQ($B178:$B188,V178:V188)</f>
        <v>0.63685100335092981</v>
      </c>
      <c r="W177" s="435" t="s">
        <v>290</v>
      </c>
      <c r="Y177" s="532" t="s">
        <v>334</v>
      </c>
      <c r="Z177" s="430"/>
      <c r="AA177" s="432" t="s">
        <v>288</v>
      </c>
      <c r="AB177" s="433">
        <f>RSQ($B178:$B188,AB178:AB188)</f>
        <v>0.63685100335092981</v>
      </c>
      <c r="AC177" s="435" t="s">
        <v>290</v>
      </c>
      <c r="AE177" s="532" t="s">
        <v>334</v>
      </c>
      <c r="AF177" s="430"/>
      <c r="AG177" s="432" t="s">
        <v>288</v>
      </c>
      <c r="AH177" s="433">
        <f>RSQ($B178:$B188,AH178:AH188)</f>
        <v>0.63459936214874846</v>
      </c>
      <c r="AI177" s="435" t="s">
        <v>290</v>
      </c>
      <c r="AK177" s="532" t="s">
        <v>334</v>
      </c>
      <c r="AL177" s="430"/>
      <c r="AM177" s="432" t="s">
        <v>288</v>
      </c>
      <c r="AN177" s="433">
        <f>RSQ($B178:$B188,AN178:AN188)</f>
        <v>0.63582426938428394</v>
      </c>
      <c r="AO177" s="435" t="s">
        <v>290</v>
      </c>
      <c r="AQ177" s="532" t="s">
        <v>334</v>
      </c>
      <c r="AR177" s="430"/>
      <c r="AS177" s="432" t="s">
        <v>288</v>
      </c>
      <c r="AT177" s="433">
        <f>RSQ($B178:$B188,AT178:AT188)</f>
        <v>0.63582426938428394</v>
      </c>
      <c r="AU177" s="435" t="s">
        <v>290</v>
      </c>
      <c r="AW177" s="532" t="s">
        <v>334</v>
      </c>
      <c r="AX177" s="430"/>
      <c r="AY177" s="432" t="s">
        <v>288</v>
      </c>
      <c r="AZ177" s="433">
        <f>RSQ($B178:$B188,AZ178:AZ188)</f>
        <v>0.63582426938428394</v>
      </c>
      <c r="BA177" s="435" t="s">
        <v>290</v>
      </c>
      <c r="BC177" s="532" t="s">
        <v>334</v>
      </c>
      <c r="BD177" s="430"/>
      <c r="BE177" s="432" t="s">
        <v>288</v>
      </c>
      <c r="BF177" s="433">
        <f>RSQ($B178:$B188,BF178:BF188)</f>
        <v>0.63582426938428394</v>
      </c>
      <c r="BG177" s="435" t="s">
        <v>290</v>
      </c>
    </row>
    <row r="178" spans="1:60" ht="15" customHeight="1">
      <c r="A178" s="436">
        <f t="shared" ref="A178:B189" si="75">A142</f>
        <v>2006</v>
      </c>
      <c r="B178" s="437">
        <f t="shared" si="75"/>
        <v>5153</v>
      </c>
      <c r="C178" s="533">
        <f t="shared" ref="C178:C188" si="76">LN(F$182/B178-1)</f>
        <v>1.0582187552917715</v>
      </c>
      <c r="D178" s="438">
        <f t="shared" ref="D178:D184" si="77">D142</f>
        <v>1</v>
      </c>
      <c r="E178" s="498" t="s">
        <v>335</v>
      </c>
      <c r="F178" s="439"/>
      <c r="H178" s="574"/>
      <c r="I178" s="502">
        <f t="shared" ref="I178:I210" si="78">ROUND($F$182/(1+EXP($F$187+$F$186*D178)),$G$1)</f>
        <v>5082</v>
      </c>
      <c r="J178" s="444">
        <f t="shared" ref="J178:J188" si="79">ABS(B178-I178)/B178*100</f>
        <v>1.3778381525325054</v>
      </c>
      <c r="K178" s="443">
        <f t="shared" ref="K178:K188" si="80">(B178-I178)^2/1000</f>
        <v>5.0410000000000004</v>
      </c>
      <c r="M178" s="575">
        <f t="shared" ref="M178:M188" si="81">LN($O$181/B178-1)</f>
        <v>-6.1219112482848254E-2</v>
      </c>
      <c r="N178" s="539" t="s">
        <v>335</v>
      </c>
      <c r="O178" s="439"/>
      <c r="P178" s="469">
        <f t="shared" ref="P178:P188" si="82">ROUND(O$181/(1+EXP(O$185+O$184*$D178)),$G$1)</f>
        <v>5080</v>
      </c>
      <c r="Q178" s="502">
        <f t="shared" ref="Q178:Q183" si="83">($B178-P178)^2/1000</f>
        <v>5.3289999999999997</v>
      </c>
      <c r="S178" s="575">
        <f>LN($U$181/$B178-1)</f>
        <v>1.0582187552917715</v>
      </c>
      <c r="T178" s="539" t="s">
        <v>335</v>
      </c>
      <c r="U178" s="439"/>
      <c r="V178" s="469">
        <f t="shared" ref="V178:V188" si="84">ROUND(U$181/(1+EXP(U$185+U$184*$D178)),$G$1)</f>
        <v>5082</v>
      </c>
      <c r="W178" s="502">
        <f t="shared" ref="W178:W183" si="85">($B178-V178)^2/1000</f>
        <v>5.0410000000000004</v>
      </c>
      <c r="Y178" s="575">
        <f>LN($AA$181/$B178-1)</f>
        <v>1.5731579515627037</v>
      </c>
      <c r="Z178" s="539" t="s">
        <v>335</v>
      </c>
      <c r="AA178" s="439"/>
      <c r="AB178" s="469">
        <f t="shared" ref="AB178:AB188" si="86">ROUND(AA$181/(1+EXP(AA$185+AA$184*$D178)),$G$1)</f>
        <v>5082</v>
      </c>
      <c r="AC178" s="502">
        <f t="shared" ref="AC178:AC185" si="87">($B178-AB178)^2/1000</f>
        <v>5.0410000000000004</v>
      </c>
      <c r="AE178" s="575">
        <f>LN($AG$181/$B178-1)</f>
        <v>1.9113879809412999</v>
      </c>
      <c r="AF178" s="539" t="s">
        <v>335</v>
      </c>
      <c r="AG178" s="439"/>
      <c r="AH178" s="469">
        <f t="shared" ref="AH178:AH188" si="88">ROUND(AG$181/(1+EXP(AG$185+AG$184*$D178)),$G$1)</f>
        <v>5082</v>
      </c>
      <c r="AI178" s="502">
        <f t="shared" ref="AI178:AI185" si="89">($B178-AH178)^2/1000</f>
        <v>5.0410000000000004</v>
      </c>
      <c r="AK178" s="575">
        <f>LN($AM$181/$B178-1)</f>
        <v>2.1636776272893998</v>
      </c>
      <c r="AL178" s="539" t="s">
        <v>335</v>
      </c>
      <c r="AM178" s="439"/>
      <c r="AN178" s="469">
        <f t="shared" ref="AN178:AN188" si="90">ROUND(AM$181/(1+EXP(AM$185+AM$184*$D178)),$G$1)</f>
        <v>5082</v>
      </c>
      <c r="AO178" s="502">
        <f t="shared" ref="AO178:AO187" si="91">($B178-AN178)^2/1000</f>
        <v>5.0410000000000004</v>
      </c>
      <c r="AQ178" s="575">
        <f>LN($AS$181/$B178-1)</f>
        <v>2.3649684212576512</v>
      </c>
      <c r="AR178" s="539" t="s">
        <v>335</v>
      </c>
      <c r="AS178" s="439"/>
      <c r="AT178" s="469">
        <f t="shared" ref="AT178:AT188" si="92">ROUND(AS$181/(1+EXP(AS$185+AS$184*$D178)),$G$1)</f>
        <v>5082</v>
      </c>
      <c r="AU178" s="502">
        <f t="shared" ref="AU178:AU185" si="93">($B178-AT178)^2/1000</f>
        <v>5.0410000000000004</v>
      </c>
      <c r="AW178" s="575">
        <f>LN($AY$181/$B178-1)</f>
        <v>2.5324515797449232</v>
      </c>
      <c r="AX178" s="539" t="s">
        <v>335</v>
      </c>
      <c r="AY178" s="439"/>
      <c r="AZ178" s="469">
        <f t="shared" ref="AZ178:AZ188" si="94">ROUND(AY$181/(1+EXP(AY$185+AY$184*$D178)),$G$1)</f>
        <v>5082</v>
      </c>
      <c r="BA178" s="502">
        <f t="shared" ref="BA178:BA185" si="95">($B178-AZ178)^2/1000</f>
        <v>5.0410000000000004</v>
      </c>
      <c r="BC178" s="575">
        <f>LN($BE$181/$B178-1)</f>
        <v>2.6758669605559984</v>
      </c>
      <c r="BD178" s="539" t="s">
        <v>335</v>
      </c>
      <c r="BE178" s="439"/>
      <c r="BF178" s="469">
        <f t="shared" ref="BF178:BF188" si="96">ROUND(BE$181/(1+EXP(BE$185+BE$184*$D178)),$G$1)</f>
        <v>5082</v>
      </c>
      <c r="BG178" s="502">
        <f t="shared" ref="BG178:BG185" si="97">($B178-BF178)^2/1000</f>
        <v>5.0410000000000004</v>
      </c>
    </row>
    <row r="179" spans="1:60" ht="15" customHeight="1">
      <c r="A179" s="436">
        <f t="shared" si="75"/>
        <v>2007</v>
      </c>
      <c r="B179" s="437">
        <f t="shared" si="75"/>
        <v>5146</v>
      </c>
      <c r="C179" s="533">
        <f t="shared" si="76"/>
        <v>1.0600494753875522</v>
      </c>
      <c r="D179" s="438">
        <f t="shared" si="77"/>
        <v>2</v>
      </c>
      <c r="E179" s="498" t="s">
        <v>336</v>
      </c>
      <c r="F179" s="439"/>
      <c r="H179" s="574"/>
      <c r="I179" s="443">
        <f t="shared" si="78"/>
        <v>5111</v>
      </c>
      <c r="J179" s="446">
        <f t="shared" si="79"/>
        <v>0.68013991449669642</v>
      </c>
      <c r="K179" s="443">
        <f t="shared" si="80"/>
        <v>1.2250000000000001</v>
      </c>
      <c r="M179" s="576">
        <f t="shared" si="81"/>
        <v>-5.8416606555142893E-2</v>
      </c>
      <c r="N179" s="539"/>
      <c r="O179" s="439"/>
      <c r="P179" s="469">
        <f t="shared" si="82"/>
        <v>5110</v>
      </c>
      <c r="Q179" s="443">
        <f t="shared" si="83"/>
        <v>1.296</v>
      </c>
      <c r="S179" s="576">
        <f t="shared" ref="S179:S188" si="98">LN($U$181/$B179-1)</f>
        <v>1.0600494753875522</v>
      </c>
      <c r="T179" s="539"/>
      <c r="U179" s="439"/>
      <c r="V179" s="469">
        <f t="shared" si="84"/>
        <v>5111</v>
      </c>
      <c r="W179" s="443">
        <f t="shared" si="85"/>
        <v>1.2250000000000001</v>
      </c>
      <c r="Y179" s="576">
        <f t="shared" ref="Y179:Y188" si="99">LN($AA$181/$B179-1)</f>
        <v>1.5747989915242504</v>
      </c>
      <c r="Z179" s="539"/>
      <c r="AA179" s="439"/>
      <c r="AB179" s="469">
        <f t="shared" si="86"/>
        <v>5111</v>
      </c>
      <c r="AC179" s="443">
        <f t="shared" si="87"/>
        <v>1.2250000000000001</v>
      </c>
      <c r="AE179" s="576">
        <f t="shared" ref="AE179:AE188" si="100">LN($AG$181/$B179-1)</f>
        <v>1.912948194378898</v>
      </c>
      <c r="AF179" s="539"/>
      <c r="AG179" s="439"/>
      <c r="AH179" s="469">
        <f t="shared" si="88"/>
        <v>5111</v>
      </c>
      <c r="AI179" s="443">
        <f t="shared" si="89"/>
        <v>1.2250000000000001</v>
      </c>
      <c r="AK179" s="576">
        <f t="shared" ref="AK179:AK188" si="101">LN($AM$181/$B179-1)</f>
        <v>2.165193056844545</v>
      </c>
      <c r="AL179" s="539"/>
      <c r="AM179" s="439"/>
      <c r="AN179" s="469">
        <f t="shared" si="90"/>
        <v>5111</v>
      </c>
      <c r="AO179" s="443">
        <f t="shared" si="91"/>
        <v>1.2250000000000001</v>
      </c>
      <c r="AQ179" s="576">
        <f t="shared" ref="AQ179:AQ188" si="102">LN($AS$181/$B179-1)</f>
        <v>2.3664553963649642</v>
      </c>
      <c r="AR179" s="539"/>
      <c r="AS179" s="439"/>
      <c r="AT179" s="469">
        <f t="shared" si="92"/>
        <v>5111</v>
      </c>
      <c r="AU179" s="443">
        <f t="shared" si="93"/>
        <v>1.2250000000000001</v>
      </c>
      <c r="AW179" s="576">
        <f t="shared" ref="AW179:AW188" si="103">LN($AY$181/$B179-1)</f>
        <v>2.5339188758025686</v>
      </c>
      <c r="AX179" s="539"/>
      <c r="AY179" s="439"/>
      <c r="AZ179" s="469">
        <f t="shared" si="94"/>
        <v>5111</v>
      </c>
      <c r="BA179" s="443">
        <f t="shared" si="95"/>
        <v>1.2250000000000001</v>
      </c>
      <c r="BC179" s="576">
        <f t="shared" ref="BC179:BC188" si="104">LN($BE$181/$B179-1)</f>
        <v>2.6773198357919683</v>
      </c>
      <c r="BD179" s="539"/>
      <c r="BE179" s="439"/>
      <c r="BF179" s="469">
        <f t="shared" si="96"/>
        <v>5111</v>
      </c>
      <c r="BG179" s="443">
        <f t="shared" si="97"/>
        <v>1.2250000000000001</v>
      </c>
    </row>
    <row r="180" spans="1:60" ht="15" customHeight="1">
      <c r="A180" s="436">
        <f t="shared" si="75"/>
        <v>2008</v>
      </c>
      <c r="B180" s="437">
        <f t="shared" si="75"/>
        <v>5158</v>
      </c>
      <c r="C180" s="533">
        <f t="shared" si="76"/>
        <v>1.0569120920887887</v>
      </c>
      <c r="D180" s="438">
        <f t="shared" si="77"/>
        <v>3</v>
      </c>
      <c r="H180" s="574"/>
      <c r="I180" s="443">
        <f t="shared" si="78"/>
        <v>5140</v>
      </c>
      <c r="J180" s="446">
        <f t="shared" si="79"/>
        <v>0.34897246994959286</v>
      </c>
      <c r="K180" s="443">
        <f t="shared" si="80"/>
        <v>0.32400000000000001</v>
      </c>
      <c r="M180" s="576">
        <f t="shared" si="81"/>
        <v>-6.322104894328634E-2</v>
      </c>
      <c r="N180" s="539" t="s">
        <v>336</v>
      </c>
      <c r="O180" s="439"/>
      <c r="P180" s="469">
        <f t="shared" si="82"/>
        <v>5140</v>
      </c>
      <c r="Q180" s="443">
        <f t="shared" si="83"/>
        <v>0.32400000000000001</v>
      </c>
      <c r="S180" s="576">
        <f t="shared" si="98"/>
        <v>1.0569120920887887</v>
      </c>
      <c r="T180" s="539" t="s">
        <v>336</v>
      </c>
      <c r="U180" s="439"/>
      <c r="V180" s="469">
        <f t="shared" si="84"/>
        <v>5140</v>
      </c>
      <c r="W180" s="443">
        <f t="shared" si="85"/>
        <v>0.32400000000000001</v>
      </c>
      <c r="Y180" s="576">
        <f t="shared" si="99"/>
        <v>1.571986861662849</v>
      </c>
      <c r="Z180" s="539" t="s">
        <v>336</v>
      </c>
      <c r="AA180" s="439"/>
      <c r="AB180" s="469">
        <f t="shared" si="86"/>
        <v>5140</v>
      </c>
      <c r="AC180" s="443">
        <f t="shared" si="87"/>
        <v>0.32400000000000001</v>
      </c>
      <c r="AE180" s="576">
        <f t="shared" si="100"/>
        <v>1.9102746481588146</v>
      </c>
      <c r="AF180" s="539" t="s">
        <v>336</v>
      </c>
      <c r="AG180" s="439"/>
      <c r="AH180" s="469">
        <f t="shared" si="88"/>
        <v>5140</v>
      </c>
      <c r="AI180" s="443">
        <f t="shared" si="89"/>
        <v>0.32400000000000001</v>
      </c>
      <c r="AK180" s="576">
        <f t="shared" si="101"/>
        <v>2.1625962927831268</v>
      </c>
      <c r="AL180" s="539" t="s">
        <v>336</v>
      </c>
      <c r="AM180" s="439"/>
      <c r="AN180" s="469">
        <f t="shared" si="90"/>
        <v>5140</v>
      </c>
      <c r="AO180" s="443">
        <f t="shared" si="91"/>
        <v>0.32400000000000001</v>
      </c>
      <c r="AQ180" s="576">
        <f t="shared" si="102"/>
        <v>2.3639074163000799</v>
      </c>
      <c r="AR180" s="539" t="s">
        <v>336</v>
      </c>
      <c r="AS180" s="439"/>
      <c r="AT180" s="469">
        <f t="shared" si="92"/>
        <v>5140</v>
      </c>
      <c r="AU180" s="443">
        <f t="shared" si="93"/>
        <v>0.32400000000000001</v>
      </c>
      <c r="AW180" s="576">
        <f t="shared" si="103"/>
        <v>2.5314046340899305</v>
      </c>
      <c r="AX180" s="539" t="s">
        <v>336</v>
      </c>
      <c r="AY180" s="439"/>
      <c r="AZ180" s="469">
        <f t="shared" si="94"/>
        <v>5140</v>
      </c>
      <c r="BA180" s="443">
        <f t="shared" si="95"/>
        <v>0.32400000000000001</v>
      </c>
      <c r="BC180" s="576">
        <f t="shared" si="104"/>
        <v>2.6748303172668426</v>
      </c>
      <c r="BD180" s="539" t="s">
        <v>336</v>
      </c>
      <c r="BE180" s="439"/>
      <c r="BF180" s="469">
        <f t="shared" si="96"/>
        <v>5140</v>
      </c>
      <c r="BG180" s="443">
        <f t="shared" si="97"/>
        <v>0.32400000000000001</v>
      </c>
    </row>
    <row r="181" spans="1:60" ht="15" customHeight="1">
      <c r="A181" s="436">
        <f t="shared" si="75"/>
        <v>2009</v>
      </c>
      <c r="B181" s="437">
        <f t="shared" si="75"/>
        <v>5153</v>
      </c>
      <c r="C181" s="533">
        <f t="shared" si="76"/>
        <v>1.0582187552917715</v>
      </c>
      <c r="D181" s="438">
        <f t="shared" si="77"/>
        <v>4</v>
      </c>
      <c r="E181" s="540"/>
      <c r="G181" s="451"/>
      <c r="H181" s="442"/>
      <c r="I181" s="443">
        <f t="shared" si="78"/>
        <v>5170</v>
      </c>
      <c r="J181" s="446">
        <f t="shared" si="79"/>
        <v>0.3299049097613041</v>
      </c>
      <c r="K181" s="443">
        <f t="shared" si="80"/>
        <v>0.28899999999999998</v>
      </c>
      <c r="M181" s="576">
        <f t="shared" si="81"/>
        <v>-6.1219112482848254E-2</v>
      </c>
      <c r="N181" s="439" t="s">
        <v>337</v>
      </c>
      <c r="O181" s="577">
        <f>E200</f>
        <v>10000</v>
      </c>
      <c r="P181" s="469">
        <f t="shared" si="82"/>
        <v>5170</v>
      </c>
      <c r="Q181" s="443">
        <f t="shared" si="83"/>
        <v>0.28899999999999998</v>
      </c>
      <c r="S181" s="576">
        <f t="shared" si="98"/>
        <v>1.0582187552917715</v>
      </c>
      <c r="T181" s="439" t="s">
        <v>337</v>
      </c>
      <c r="U181" s="363">
        <f>E201</f>
        <v>20000</v>
      </c>
      <c r="V181" s="469">
        <f t="shared" si="84"/>
        <v>5170</v>
      </c>
      <c r="W181" s="443">
        <f t="shared" si="85"/>
        <v>0.28899999999999998</v>
      </c>
      <c r="Y181" s="576">
        <f t="shared" si="99"/>
        <v>1.5731579515627037</v>
      </c>
      <c r="Z181" s="439" t="s">
        <v>337</v>
      </c>
      <c r="AA181" s="363">
        <f>E202</f>
        <v>30000</v>
      </c>
      <c r="AB181" s="469">
        <f t="shared" si="86"/>
        <v>5170</v>
      </c>
      <c r="AC181" s="443">
        <f t="shared" si="87"/>
        <v>0.28899999999999998</v>
      </c>
      <c r="AE181" s="576">
        <f t="shared" si="100"/>
        <v>1.9113879809412999</v>
      </c>
      <c r="AF181" s="439" t="s">
        <v>337</v>
      </c>
      <c r="AG181" s="363">
        <f>E203</f>
        <v>40000</v>
      </c>
      <c r="AH181" s="469">
        <f t="shared" si="88"/>
        <v>5170</v>
      </c>
      <c r="AI181" s="443">
        <f t="shared" si="89"/>
        <v>0.28899999999999998</v>
      </c>
      <c r="AK181" s="576">
        <f t="shared" si="101"/>
        <v>2.1636776272893998</v>
      </c>
      <c r="AL181" s="439" t="s">
        <v>337</v>
      </c>
      <c r="AM181" s="363">
        <f>E204</f>
        <v>50000</v>
      </c>
      <c r="AN181" s="469">
        <f t="shared" si="90"/>
        <v>5170</v>
      </c>
      <c r="AO181" s="443">
        <f t="shared" si="91"/>
        <v>0.28899999999999998</v>
      </c>
      <c r="AQ181" s="576">
        <f t="shared" si="102"/>
        <v>2.3649684212576512</v>
      </c>
      <c r="AR181" s="439" t="s">
        <v>337</v>
      </c>
      <c r="AS181" s="363">
        <f>E205</f>
        <v>60000</v>
      </c>
      <c r="AT181" s="469">
        <f t="shared" si="92"/>
        <v>5170</v>
      </c>
      <c r="AU181" s="443">
        <f t="shared" si="93"/>
        <v>0.28899999999999998</v>
      </c>
      <c r="AW181" s="576">
        <f t="shared" si="103"/>
        <v>2.5324515797449232</v>
      </c>
      <c r="AX181" s="439" t="s">
        <v>337</v>
      </c>
      <c r="AY181" s="363">
        <f>E206</f>
        <v>70000</v>
      </c>
      <c r="AZ181" s="469">
        <f t="shared" si="94"/>
        <v>5170</v>
      </c>
      <c r="BA181" s="443">
        <f t="shared" si="95"/>
        <v>0.28899999999999998</v>
      </c>
      <c r="BC181" s="576">
        <f t="shared" si="104"/>
        <v>2.6758669605559984</v>
      </c>
      <c r="BD181" s="439" t="s">
        <v>337</v>
      </c>
      <c r="BE181" s="363">
        <f>E207</f>
        <v>80000</v>
      </c>
      <c r="BF181" s="469">
        <f t="shared" si="96"/>
        <v>5170</v>
      </c>
      <c r="BG181" s="443">
        <f t="shared" si="97"/>
        <v>0.28899999999999998</v>
      </c>
    </row>
    <row r="182" spans="1:60" ht="15" customHeight="1">
      <c r="A182" s="436">
        <f t="shared" si="75"/>
        <v>2010</v>
      </c>
      <c r="B182" s="437">
        <f t="shared" si="75"/>
        <v>5104</v>
      </c>
      <c r="C182" s="533">
        <f t="shared" si="76"/>
        <v>1.0710681744922224</v>
      </c>
      <c r="D182" s="438">
        <f t="shared" si="77"/>
        <v>5</v>
      </c>
      <c r="E182" s="540" t="s">
        <v>337</v>
      </c>
      <c r="F182" s="577">
        <f>INDEX(E200:L207,MATCH(1,L200:L207,0),1)</f>
        <v>20000</v>
      </c>
      <c r="G182" s="451"/>
      <c r="I182" s="443">
        <f t="shared" si="78"/>
        <v>5199</v>
      </c>
      <c r="J182" s="446">
        <f t="shared" si="79"/>
        <v>1.8612852664576802</v>
      </c>
      <c r="K182" s="443">
        <f t="shared" si="80"/>
        <v>9.0250000000000004</v>
      </c>
      <c r="M182" s="576">
        <f t="shared" si="81"/>
        <v>-4.1606000832463907E-2</v>
      </c>
      <c r="N182" s="578" t="s">
        <v>338</v>
      </c>
      <c r="O182" s="505">
        <f>MAX($B178:$B188)</f>
        <v>5412</v>
      </c>
      <c r="P182" s="469">
        <f t="shared" si="82"/>
        <v>5200</v>
      </c>
      <c r="Q182" s="443">
        <f t="shared" si="83"/>
        <v>9.2159999999999993</v>
      </c>
      <c r="S182" s="576">
        <f t="shared" si="98"/>
        <v>1.0710681744922224</v>
      </c>
      <c r="T182" s="578" t="s">
        <v>338</v>
      </c>
      <c r="U182" s="505">
        <f>MAX($B178:$B188)</f>
        <v>5412</v>
      </c>
      <c r="V182" s="469">
        <f t="shared" si="84"/>
        <v>5199</v>
      </c>
      <c r="W182" s="443">
        <f t="shared" si="85"/>
        <v>9.0250000000000004</v>
      </c>
      <c r="Y182" s="576">
        <f t="shared" si="99"/>
        <v>1.5846826019534923</v>
      </c>
      <c r="Z182" s="578" t="s">
        <v>338</v>
      </c>
      <c r="AA182" s="505">
        <f>MAX($B178:$B188)</f>
        <v>5412</v>
      </c>
      <c r="AB182" s="469">
        <f t="shared" si="86"/>
        <v>5199</v>
      </c>
      <c r="AC182" s="443">
        <f t="shared" si="87"/>
        <v>9.0250000000000004</v>
      </c>
      <c r="AE182" s="576">
        <f t="shared" si="100"/>
        <v>1.9223476634167844</v>
      </c>
      <c r="AF182" s="578" t="s">
        <v>338</v>
      </c>
      <c r="AG182" s="505">
        <f>MAX($B178:$B188)</f>
        <v>5412</v>
      </c>
      <c r="AH182" s="469">
        <f t="shared" si="88"/>
        <v>5199</v>
      </c>
      <c r="AI182" s="443">
        <f t="shared" si="89"/>
        <v>9.0250000000000004</v>
      </c>
      <c r="AK182" s="576">
        <f t="shared" si="101"/>
        <v>2.1743241578775616</v>
      </c>
      <c r="AL182" s="578" t="s">
        <v>338</v>
      </c>
      <c r="AM182" s="505">
        <f>MAX($B178:$B188)</f>
        <v>5412</v>
      </c>
      <c r="AN182" s="469">
        <f t="shared" si="90"/>
        <v>5199</v>
      </c>
      <c r="AO182" s="443">
        <f t="shared" si="91"/>
        <v>9.0250000000000004</v>
      </c>
      <c r="AQ182" s="576">
        <f t="shared" si="102"/>
        <v>2.375415940073605</v>
      </c>
      <c r="AR182" s="578" t="s">
        <v>338</v>
      </c>
      <c r="AS182" s="505">
        <f>MAX($B178:$B188)</f>
        <v>5412</v>
      </c>
      <c r="AT182" s="469">
        <f t="shared" si="92"/>
        <v>5199</v>
      </c>
      <c r="AU182" s="443">
        <f t="shared" si="93"/>
        <v>9.0250000000000004</v>
      </c>
      <c r="AW182" s="576">
        <f t="shared" si="103"/>
        <v>2.5427614424861744</v>
      </c>
      <c r="AX182" s="578" t="s">
        <v>338</v>
      </c>
      <c r="AY182" s="505">
        <f>MAX($B178:$B188)</f>
        <v>5412</v>
      </c>
      <c r="AZ182" s="469">
        <f t="shared" si="94"/>
        <v>5199</v>
      </c>
      <c r="BA182" s="443">
        <f t="shared" si="95"/>
        <v>9.0250000000000004</v>
      </c>
      <c r="BC182" s="576">
        <f t="shared" si="104"/>
        <v>2.6860759385152257</v>
      </c>
      <c r="BD182" s="578" t="s">
        <v>338</v>
      </c>
      <c r="BE182" s="505">
        <f>MAX($B178:$B188)</f>
        <v>5412</v>
      </c>
      <c r="BF182" s="469">
        <f t="shared" si="96"/>
        <v>5199</v>
      </c>
      <c r="BG182" s="443">
        <f t="shared" si="97"/>
        <v>9.0250000000000004</v>
      </c>
    </row>
    <row r="183" spans="1:60" ht="15" customHeight="1">
      <c r="A183" s="436">
        <f t="shared" si="75"/>
        <v>2011</v>
      </c>
      <c r="B183" s="437">
        <f t="shared" si="75"/>
        <v>5114</v>
      </c>
      <c r="C183" s="533">
        <f t="shared" si="76"/>
        <v>1.068439297068724</v>
      </c>
      <c r="D183" s="438">
        <f t="shared" si="77"/>
        <v>6</v>
      </c>
      <c r="E183" s="578" t="s">
        <v>338</v>
      </c>
      <c r="F183" s="505">
        <f>MAX(B178:B188)</f>
        <v>5412</v>
      </c>
      <c r="G183" s="451"/>
      <c r="H183" s="442"/>
      <c r="I183" s="443">
        <f t="shared" si="78"/>
        <v>5229</v>
      </c>
      <c r="J183" s="446">
        <f t="shared" si="79"/>
        <v>2.2487289792725851</v>
      </c>
      <c r="K183" s="443">
        <f t="shared" si="80"/>
        <v>13.225</v>
      </c>
      <c r="M183" s="576">
        <f t="shared" si="81"/>
        <v>-4.5607904033446209E-2</v>
      </c>
      <c r="N183" s="578" t="s">
        <v>339</v>
      </c>
      <c r="O183" s="505">
        <f>AVERAGE($B184:$B188)</f>
        <v>5340.2</v>
      </c>
      <c r="P183" s="469">
        <f t="shared" si="82"/>
        <v>5230</v>
      </c>
      <c r="Q183" s="443">
        <f t="shared" si="83"/>
        <v>13.456</v>
      </c>
      <c r="S183" s="576">
        <f t="shared" si="98"/>
        <v>1.068439297068724</v>
      </c>
      <c r="T183" s="578" t="s">
        <v>339</v>
      </c>
      <c r="U183" s="505">
        <f>AVERAGE($B184:$B188)</f>
        <v>5340.2</v>
      </c>
      <c r="V183" s="469">
        <f t="shared" si="84"/>
        <v>5229</v>
      </c>
      <c r="W183" s="443">
        <f t="shared" si="85"/>
        <v>13.225</v>
      </c>
      <c r="Y183" s="576">
        <f t="shared" si="99"/>
        <v>1.5823235194844445</v>
      </c>
      <c r="Z183" s="578" t="s">
        <v>339</v>
      </c>
      <c r="AA183" s="505">
        <f>AVERAGE($B184:$B188)</f>
        <v>5340.2</v>
      </c>
      <c r="AB183" s="469">
        <f t="shared" si="86"/>
        <v>5229</v>
      </c>
      <c r="AC183" s="443">
        <f t="shared" si="87"/>
        <v>13.225</v>
      </c>
      <c r="AE183" s="576">
        <f t="shared" si="100"/>
        <v>1.9201037257269482</v>
      </c>
      <c r="AF183" s="578" t="s">
        <v>339</v>
      </c>
      <c r="AG183" s="505">
        <f>AVERAGE($B184:$B188)</f>
        <v>5340.2</v>
      </c>
      <c r="AH183" s="469">
        <f t="shared" si="88"/>
        <v>5229</v>
      </c>
      <c r="AI183" s="443">
        <f t="shared" si="89"/>
        <v>13.225</v>
      </c>
      <c r="AK183" s="576">
        <f t="shared" si="101"/>
        <v>2.172144065249328</v>
      </c>
      <c r="AL183" s="578" t="s">
        <v>339</v>
      </c>
      <c r="AM183" s="505">
        <f>AVERAGE($B184:$B188)</f>
        <v>5340.2</v>
      </c>
      <c r="AN183" s="469">
        <f t="shared" si="90"/>
        <v>5229</v>
      </c>
      <c r="AO183" s="443">
        <f t="shared" si="91"/>
        <v>13.225</v>
      </c>
      <c r="AQ183" s="576">
        <f t="shared" si="102"/>
        <v>2.3732764300186706</v>
      </c>
      <c r="AR183" s="578" t="s">
        <v>339</v>
      </c>
      <c r="AS183" s="505">
        <f>AVERAGE($B184:$B188)</f>
        <v>5340.2</v>
      </c>
      <c r="AT183" s="469">
        <f t="shared" si="92"/>
        <v>5229</v>
      </c>
      <c r="AU183" s="443">
        <f t="shared" si="93"/>
        <v>13.225</v>
      </c>
      <c r="AW183" s="576">
        <f t="shared" si="103"/>
        <v>2.5406500070839986</v>
      </c>
      <c r="AX183" s="578" t="s">
        <v>339</v>
      </c>
      <c r="AY183" s="505">
        <f>AVERAGE($B184:$B188)</f>
        <v>5340.2</v>
      </c>
      <c r="AZ183" s="469">
        <f t="shared" si="94"/>
        <v>5229</v>
      </c>
      <c r="BA183" s="443">
        <f t="shared" si="95"/>
        <v>13.225</v>
      </c>
      <c r="BC183" s="576">
        <f t="shared" si="104"/>
        <v>2.6839850802953769</v>
      </c>
      <c r="BD183" s="578" t="s">
        <v>339</v>
      </c>
      <c r="BE183" s="505">
        <f>AVERAGE($B184:$B188)</f>
        <v>5340.2</v>
      </c>
      <c r="BF183" s="469">
        <f t="shared" si="96"/>
        <v>5229</v>
      </c>
      <c r="BG183" s="443">
        <f t="shared" si="97"/>
        <v>13.225</v>
      </c>
    </row>
    <row r="184" spans="1:60" ht="15" customHeight="1">
      <c r="A184" s="436">
        <f t="shared" si="75"/>
        <v>2012</v>
      </c>
      <c r="B184" s="437">
        <f t="shared" si="75"/>
        <v>5165</v>
      </c>
      <c r="C184" s="533">
        <f t="shared" si="76"/>
        <v>1.0550841511711833</v>
      </c>
      <c r="D184" s="438">
        <f t="shared" si="77"/>
        <v>7</v>
      </c>
      <c r="E184" s="578" t="s">
        <v>339</v>
      </c>
      <c r="F184" s="505">
        <f>AVERAGE(B184:B188)</f>
        <v>5340.2</v>
      </c>
      <c r="G184" s="451"/>
      <c r="H184" s="442"/>
      <c r="I184" s="443">
        <f t="shared" si="78"/>
        <v>5259</v>
      </c>
      <c r="J184" s="446">
        <f t="shared" si="79"/>
        <v>1.8199419167473376</v>
      </c>
      <c r="K184" s="443">
        <f t="shared" si="80"/>
        <v>8.8360000000000003</v>
      </c>
      <c r="M184" s="576">
        <f t="shared" si="81"/>
        <v>-6.6023973666344202E-2</v>
      </c>
      <c r="N184" s="579" t="s">
        <v>340</v>
      </c>
      <c r="O184" s="504">
        <f>INDEX(LINEST(M178:M188,$D178:$D188),1)</f>
        <v>-1.1981765567511887E-2</v>
      </c>
      <c r="P184" s="469">
        <f t="shared" si="82"/>
        <v>5260</v>
      </c>
      <c r="Q184" s="443">
        <f>($B184-P184)^2/1000</f>
        <v>9.0250000000000004</v>
      </c>
      <c r="S184" s="576">
        <f t="shared" si="98"/>
        <v>1.0550841511711833</v>
      </c>
      <c r="T184" s="579" t="s">
        <v>340</v>
      </c>
      <c r="U184" s="504">
        <f>INDEX(LINEST(S178:S188,$D178:$D188),1)</f>
        <v>-7.6989692660366276E-3</v>
      </c>
      <c r="V184" s="469">
        <f t="shared" si="84"/>
        <v>5259</v>
      </c>
      <c r="W184" s="443">
        <f>($B184-V184)^2/1000</f>
        <v>8.8360000000000003</v>
      </c>
      <c r="Y184" s="576">
        <f t="shared" si="99"/>
        <v>1.570348845987712</v>
      </c>
      <c r="Z184" s="579" t="s">
        <v>340</v>
      </c>
      <c r="AA184" s="504">
        <f>INDEX(LINEST(Y178:Y188,$D178:$D188),1)</f>
        <v>-6.8794754821857986E-3</v>
      </c>
      <c r="AB184" s="469">
        <f t="shared" si="86"/>
        <v>5259</v>
      </c>
      <c r="AC184" s="443">
        <f t="shared" si="87"/>
        <v>8.8360000000000003</v>
      </c>
      <c r="AE184" s="576">
        <f t="shared" si="100"/>
        <v>1.9087175259104803</v>
      </c>
      <c r="AF184" s="579" t="s">
        <v>340</v>
      </c>
      <c r="AG184" s="504">
        <f>INDEX(LINEST(AE178:AE188,$D178:$D188),1)</f>
        <v>-6.5318589107286979E-3</v>
      </c>
      <c r="AH184" s="469">
        <f t="shared" si="88"/>
        <v>5259</v>
      </c>
      <c r="AI184" s="443">
        <f t="shared" si="89"/>
        <v>8.8360000000000003</v>
      </c>
      <c r="AK184" s="576">
        <f t="shared" si="101"/>
        <v>2.1610839818324092</v>
      </c>
      <c r="AL184" s="579" t="s">
        <v>340</v>
      </c>
      <c r="AM184" s="504">
        <f>INDEX(LINEST(AK178:AK188,$D178:$D188),1)</f>
        <v>-6.3396587459735544E-3</v>
      </c>
      <c r="AN184" s="469">
        <f t="shared" si="90"/>
        <v>5258</v>
      </c>
      <c r="AO184" s="443">
        <f t="shared" si="91"/>
        <v>8.6489999999999991</v>
      </c>
      <c r="AQ184" s="576">
        <f t="shared" si="102"/>
        <v>2.3624235736405703</v>
      </c>
      <c r="AR184" s="579" t="s">
        <v>340</v>
      </c>
      <c r="AS184" s="504">
        <f>INDEX(LINEST(AQ178:AQ188,$D178:$D188),1)</f>
        <v>-6.2176896156547921E-3</v>
      </c>
      <c r="AT184" s="469">
        <f t="shared" si="92"/>
        <v>5258</v>
      </c>
      <c r="AU184" s="443">
        <f t="shared" si="93"/>
        <v>8.6489999999999991</v>
      </c>
      <c r="AW184" s="576">
        <f t="shared" si="103"/>
        <v>2.5299404784292459</v>
      </c>
      <c r="AX184" s="579" t="s">
        <v>340</v>
      </c>
      <c r="AY184" s="504">
        <f>INDEX(LINEST(AW178:AW188,$D178:$D188),1)</f>
        <v>-6.1334038046259908E-3</v>
      </c>
      <c r="AZ184" s="469">
        <f t="shared" si="94"/>
        <v>5258</v>
      </c>
      <c r="BA184" s="443">
        <f t="shared" si="95"/>
        <v>8.6489999999999991</v>
      </c>
      <c r="BC184" s="576">
        <f t="shared" si="104"/>
        <v>2.6733805874095085</v>
      </c>
      <c r="BD184" s="579" t="s">
        <v>340</v>
      </c>
      <c r="BE184" s="504">
        <f>INDEX(LINEST(BC178:BC188,$D178:$D188),1)</f>
        <v>-6.0716742709645078E-3</v>
      </c>
      <c r="BF184" s="469">
        <f t="shared" si="96"/>
        <v>5258</v>
      </c>
      <c r="BG184" s="443">
        <f t="shared" si="97"/>
        <v>8.6489999999999991</v>
      </c>
    </row>
    <row r="185" spans="1:60" ht="15" customHeight="1">
      <c r="A185" s="436">
        <f t="shared" si="75"/>
        <v>2013</v>
      </c>
      <c r="B185" s="437">
        <f t="shared" si="75"/>
        <v>5412</v>
      </c>
      <c r="C185" s="533">
        <f t="shared" si="76"/>
        <v>0.99158056263789207</v>
      </c>
      <c r="D185" s="438">
        <f t="shared" ref="D185:D210" si="105">D184+1</f>
        <v>8</v>
      </c>
      <c r="G185" s="451"/>
      <c r="H185" s="442"/>
      <c r="I185" s="443">
        <f t="shared" si="78"/>
        <v>5289</v>
      </c>
      <c r="J185" s="446">
        <f t="shared" si="79"/>
        <v>2.2727272727272729</v>
      </c>
      <c r="K185" s="443">
        <f t="shared" si="80"/>
        <v>15.129</v>
      </c>
      <c r="M185" s="576">
        <f t="shared" si="81"/>
        <v>-0.16517451104141745</v>
      </c>
      <c r="N185" s="439" t="s">
        <v>305</v>
      </c>
      <c r="O185" s="504">
        <f>INDEX(LINEST(M178:M188,$D178:$D188),2)</f>
        <v>-2.0194957969381963E-2</v>
      </c>
      <c r="P185" s="469">
        <f t="shared" si="82"/>
        <v>5290</v>
      </c>
      <c r="Q185" s="443">
        <f>($B185-P185)^2/1000</f>
        <v>14.884</v>
      </c>
      <c r="S185" s="576">
        <f t="shared" si="98"/>
        <v>0.99158056263789207</v>
      </c>
      <c r="T185" s="439" t="s">
        <v>305</v>
      </c>
      <c r="U185" s="504">
        <f>INDEX(LINEST(S178:S188,$D178:$D188),2)</f>
        <v>1.0846272572004145</v>
      </c>
      <c r="V185" s="469">
        <f t="shared" si="84"/>
        <v>5289</v>
      </c>
      <c r="W185" s="443">
        <f>($B185-V185)^2/1000</f>
        <v>15.129</v>
      </c>
      <c r="Y185" s="576">
        <f t="shared" si="99"/>
        <v>1.5136398087362213</v>
      </c>
      <c r="Z185" s="439" t="s">
        <v>305</v>
      </c>
      <c r="AA185" s="504">
        <f>INDEX(LINEST(Y178:Y188,$D178:$D188),2)</f>
        <v>1.5967638381559857</v>
      </c>
      <c r="AB185" s="469">
        <f t="shared" si="86"/>
        <v>5289</v>
      </c>
      <c r="AC185" s="443">
        <f t="shared" si="87"/>
        <v>15.129</v>
      </c>
      <c r="AE185" s="576">
        <f t="shared" si="100"/>
        <v>1.8548880907896421</v>
      </c>
      <c r="AF185" s="439" t="s">
        <v>305</v>
      </c>
      <c r="AG185" s="504">
        <f>INDEX(LINEST(AE178:AE188,$D178:$D188),2)</f>
        <v>1.9338044520334154</v>
      </c>
      <c r="AH185" s="469">
        <f t="shared" si="88"/>
        <v>5288</v>
      </c>
      <c r="AI185" s="443">
        <f t="shared" si="89"/>
        <v>15.375999999999999</v>
      </c>
      <c r="AK185" s="576">
        <f t="shared" si="101"/>
        <v>2.1088460542188354</v>
      </c>
      <c r="AL185" s="439" t="s">
        <v>305</v>
      </c>
      <c r="AM185" s="504">
        <f>INDEX(LINEST(AK178:AK188,$D178:$D188),2)</f>
        <v>2.1854363090357238</v>
      </c>
      <c r="AN185" s="469">
        <f t="shared" si="90"/>
        <v>5288</v>
      </c>
      <c r="AO185" s="443">
        <f t="shared" si="91"/>
        <v>15.375999999999999</v>
      </c>
      <c r="AQ185" s="576">
        <f t="shared" si="102"/>
        <v>2.3111953680673256</v>
      </c>
      <c r="AR185" s="439" t="s">
        <v>305</v>
      </c>
      <c r="AS185" s="504">
        <f>INDEX(LINEST(AQ178:AQ188,$D178:$D188),2)</f>
        <v>2.3863096176081213</v>
      </c>
      <c r="AT185" s="469">
        <f t="shared" si="92"/>
        <v>5288</v>
      </c>
      <c r="AU185" s="443">
        <f t="shared" si="93"/>
        <v>15.375999999999999</v>
      </c>
      <c r="AW185" s="576">
        <f t="shared" si="103"/>
        <v>2.4794099247108328</v>
      </c>
      <c r="AX185" s="439" t="s">
        <v>305</v>
      </c>
      <c r="AY185" s="504">
        <f>INDEX(LINEST(AW178:AW188,$D178:$D188),2)</f>
        <v>2.5535042506397003</v>
      </c>
      <c r="AZ185" s="469">
        <f t="shared" si="94"/>
        <v>5288</v>
      </c>
      <c r="BA185" s="443">
        <f t="shared" si="95"/>
        <v>15.375999999999999</v>
      </c>
      <c r="BC185" s="576">
        <f t="shared" si="104"/>
        <v>2.6233609260533055</v>
      </c>
      <c r="BD185" s="439" t="s">
        <v>305</v>
      </c>
      <c r="BE185" s="504">
        <f>INDEX(LINEST(BC178:BC188,$D178:$D188),2)</f>
        <v>2.6967083069755793</v>
      </c>
      <c r="BF185" s="469">
        <f t="shared" si="96"/>
        <v>5288</v>
      </c>
      <c r="BG185" s="443">
        <f t="shared" si="97"/>
        <v>15.375999999999999</v>
      </c>
    </row>
    <row r="186" spans="1:60" ht="15" customHeight="1">
      <c r="A186" s="436">
        <f t="shared" si="75"/>
        <v>2014</v>
      </c>
      <c r="B186" s="437">
        <f t="shared" si="75"/>
        <v>5370</v>
      </c>
      <c r="C186" s="580">
        <f t="shared" si="76"/>
        <v>1.0022463065112597</v>
      </c>
      <c r="D186" s="508">
        <f t="shared" si="105"/>
        <v>9</v>
      </c>
      <c r="E186" s="581" t="s">
        <v>340</v>
      </c>
      <c r="F186" s="504">
        <f>INDEX(LINEST(C178:C188,D178:D188),1)</f>
        <v>-7.6989692660366276E-3</v>
      </c>
      <c r="G186" s="582"/>
      <c r="H186" s="442"/>
      <c r="I186" s="443">
        <f t="shared" si="78"/>
        <v>5319</v>
      </c>
      <c r="J186" s="467">
        <f t="shared" si="79"/>
        <v>0.94972067039106145</v>
      </c>
      <c r="K186" s="443">
        <f t="shared" si="80"/>
        <v>2.601</v>
      </c>
      <c r="M186" s="576">
        <f t="shared" si="81"/>
        <v>-0.14827104042263056</v>
      </c>
      <c r="N186" s="578" t="s">
        <v>306</v>
      </c>
      <c r="O186" s="583">
        <f>O184*-1</f>
        <v>1.1981765567511887E-2</v>
      </c>
      <c r="P186" s="469">
        <f t="shared" si="82"/>
        <v>5320</v>
      </c>
      <c r="Q186" s="443">
        <f>($B186-P186)^2/1000</f>
        <v>2.5</v>
      </c>
      <c r="S186" s="576">
        <f t="shared" si="98"/>
        <v>1.0022463065112597</v>
      </c>
      <c r="T186" s="578" t="s">
        <v>306</v>
      </c>
      <c r="U186" s="583">
        <f>U184*-1</f>
        <v>7.6989692660366276E-3</v>
      </c>
      <c r="V186" s="469">
        <f t="shared" si="84"/>
        <v>5319</v>
      </c>
      <c r="W186" s="443">
        <f>($B186-V186)^2/1000</f>
        <v>2.601</v>
      </c>
      <c r="Y186" s="576">
        <f t="shared" si="99"/>
        <v>1.5231373036116731</v>
      </c>
      <c r="Z186" s="578" t="s">
        <v>306</v>
      </c>
      <c r="AA186" s="583">
        <f>AA184*-1</f>
        <v>6.8794754821857986E-3</v>
      </c>
      <c r="AB186" s="469">
        <f t="shared" si="86"/>
        <v>5319</v>
      </c>
      <c r="AC186" s="443">
        <f>($B186-AB186)^2/1000</f>
        <v>2.601</v>
      </c>
      <c r="AE186" s="576">
        <f t="shared" si="100"/>
        <v>1.8638924498935574</v>
      </c>
      <c r="AF186" s="578" t="s">
        <v>306</v>
      </c>
      <c r="AG186" s="583">
        <f>AG184*-1</f>
        <v>6.5318589107286979E-3</v>
      </c>
      <c r="AH186" s="469">
        <f t="shared" si="88"/>
        <v>5318</v>
      </c>
      <c r="AI186" s="443">
        <f>($B186-AH186)^2/1000</f>
        <v>2.7040000000000002</v>
      </c>
      <c r="AK186" s="576">
        <f t="shared" si="101"/>
        <v>2.1175783701204054</v>
      </c>
      <c r="AL186" s="578" t="s">
        <v>306</v>
      </c>
      <c r="AM186" s="583">
        <f>AM184*-1</f>
        <v>6.3396587459735544E-3</v>
      </c>
      <c r="AN186" s="469">
        <f t="shared" si="90"/>
        <v>5318</v>
      </c>
      <c r="AO186" s="443">
        <f t="shared" si="91"/>
        <v>2.7040000000000002</v>
      </c>
      <c r="AQ186" s="576">
        <f t="shared" si="102"/>
        <v>2.319755273886853</v>
      </c>
      <c r="AR186" s="578" t="s">
        <v>306</v>
      </c>
      <c r="AS186" s="583">
        <f>AS184*-1</f>
        <v>6.2176896156547921E-3</v>
      </c>
      <c r="AT186" s="469">
        <f t="shared" si="92"/>
        <v>5318</v>
      </c>
      <c r="AU186" s="443">
        <f>($B186-AT186)^2/1000</f>
        <v>2.7040000000000002</v>
      </c>
      <c r="AW186" s="576">
        <f t="shared" si="103"/>
        <v>2.4878507907540306</v>
      </c>
      <c r="AX186" s="578" t="s">
        <v>306</v>
      </c>
      <c r="AY186" s="583">
        <f>AY184*-1</f>
        <v>6.1334038046259908E-3</v>
      </c>
      <c r="AZ186" s="469">
        <f t="shared" si="94"/>
        <v>5318</v>
      </c>
      <c r="BA186" s="443">
        <f>($B186-AZ186)^2/1000</f>
        <v>2.7040000000000002</v>
      </c>
      <c r="BC186" s="576">
        <f t="shared" si="104"/>
        <v>2.6317146626225227</v>
      </c>
      <c r="BD186" s="578" t="s">
        <v>306</v>
      </c>
      <c r="BE186" s="583">
        <f>BE184*-1</f>
        <v>6.0716742709645078E-3</v>
      </c>
      <c r="BF186" s="469">
        <f t="shared" si="96"/>
        <v>5318</v>
      </c>
      <c r="BG186" s="443">
        <f>($B186-BF186)^2/1000</f>
        <v>2.7040000000000002</v>
      </c>
    </row>
    <row r="187" spans="1:60" ht="15" customHeight="1">
      <c r="A187" s="436">
        <f t="shared" si="75"/>
        <v>2015</v>
      </c>
      <c r="B187" s="437">
        <f t="shared" si="75"/>
        <v>5351</v>
      </c>
      <c r="C187" s="580">
        <f t="shared" si="76"/>
        <v>1.0070886144184652</v>
      </c>
      <c r="D187" s="508">
        <f t="shared" si="105"/>
        <v>10</v>
      </c>
      <c r="E187" s="540" t="s">
        <v>305</v>
      </c>
      <c r="F187" s="504">
        <f>INDEX(LINEST(C178:C188,D178:D188),2)</f>
        <v>1.0846272572004145</v>
      </c>
      <c r="G187" s="451"/>
      <c r="H187" s="439"/>
      <c r="I187" s="443">
        <f t="shared" si="78"/>
        <v>5349</v>
      </c>
      <c r="J187" s="467">
        <f t="shared" si="79"/>
        <v>3.7376191366099792E-2</v>
      </c>
      <c r="K187" s="443">
        <f t="shared" si="80"/>
        <v>4.0000000000000001E-3</v>
      </c>
      <c r="M187" s="576">
        <f t="shared" si="81"/>
        <v>-0.14063131662071993</v>
      </c>
      <c r="N187" s="439" t="s">
        <v>321</v>
      </c>
      <c r="O187" s="504">
        <f>P177</f>
        <v>0.63279200095697985</v>
      </c>
      <c r="P187" s="469">
        <f t="shared" si="82"/>
        <v>5349</v>
      </c>
      <c r="Q187" s="443">
        <f>($B187-P187)^2/1000</f>
        <v>4.0000000000000001E-3</v>
      </c>
      <c r="S187" s="576">
        <f t="shared" si="98"/>
        <v>1.0070886144184652</v>
      </c>
      <c r="T187" s="439" t="s">
        <v>321</v>
      </c>
      <c r="U187" s="504">
        <f>V177</f>
        <v>0.63685100335092981</v>
      </c>
      <c r="V187" s="469">
        <f t="shared" si="84"/>
        <v>5349</v>
      </c>
      <c r="W187" s="443">
        <f>($B187-V187)^2/1000</f>
        <v>4.0000000000000001E-3</v>
      </c>
      <c r="Y187" s="576">
        <f t="shared" si="99"/>
        <v>1.5274528723853116</v>
      </c>
      <c r="Z187" s="439" t="s">
        <v>321</v>
      </c>
      <c r="AA187" s="504">
        <f>AB177</f>
        <v>0.63685100335092981</v>
      </c>
      <c r="AB187" s="469">
        <f t="shared" si="86"/>
        <v>5349</v>
      </c>
      <c r="AC187" s="443">
        <f>($B187-AB187)^2/1000</f>
        <v>4.0000000000000001E-3</v>
      </c>
      <c r="AE187" s="576">
        <f t="shared" si="100"/>
        <v>1.867985405861426</v>
      </c>
      <c r="AF187" s="439" t="s">
        <v>321</v>
      </c>
      <c r="AG187" s="504">
        <f>AH177</f>
        <v>0.63459936214874846</v>
      </c>
      <c r="AH187" s="469">
        <f t="shared" si="88"/>
        <v>5349</v>
      </c>
      <c r="AI187" s="443">
        <f>($B187-AH187)^2/1000</f>
        <v>4.0000000000000001E-3</v>
      </c>
      <c r="AK187" s="576">
        <f t="shared" si="101"/>
        <v>2.1215484513259639</v>
      </c>
      <c r="AL187" s="439" t="s">
        <v>321</v>
      </c>
      <c r="AM187" s="504">
        <f>AN177</f>
        <v>0.63582426938428394</v>
      </c>
      <c r="AN187" s="469">
        <f t="shared" si="90"/>
        <v>5349</v>
      </c>
      <c r="AO187" s="443">
        <f t="shared" si="91"/>
        <v>4.0000000000000001E-3</v>
      </c>
      <c r="AQ187" s="576">
        <f t="shared" si="102"/>
        <v>2.3236474568642995</v>
      </c>
      <c r="AR187" s="439" t="s">
        <v>321</v>
      </c>
      <c r="AS187" s="504">
        <f>AT177</f>
        <v>0.63582426938428394</v>
      </c>
      <c r="AT187" s="469">
        <f t="shared" si="92"/>
        <v>5349</v>
      </c>
      <c r="AU187" s="443">
        <f>($B187-AT187)^2/1000</f>
        <v>4.0000000000000001E-3</v>
      </c>
      <c r="AW187" s="576">
        <f t="shared" si="103"/>
        <v>2.4916891778649708</v>
      </c>
      <c r="AX187" s="439" t="s">
        <v>321</v>
      </c>
      <c r="AY187" s="504">
        <f>AZ177</f>
        <v>0.63582426938428394</v>
      </c>
      <c r="AZ187" s="469">
        <f t="shared" si="94"/>
        <v>5349</v>
      </c>
      <c r="BA187" s="443">
        <f>($B187-AZ187)^2/1000</f>
        <v>4.0000000000000001E-3</v>
      </c>
      <c r="BC187" s="576">
        <f t="shared" si="104"/>
        <v>2.6355136687190193</v>
      </c>
      <c r="BD187" s="439" t="s">
        <v>321</v>
      </c>
      <c r="BE187" s="504">
        <f>BF177</f>
        <v>0.63582426938428394</v>
      </c>
      <c r="BF187" s="469">
        <f t="shared" si="96"/>
        <v>5349</v>
      </c>
      <c r="BG187" s="443">
        <f>($B187-BF187)^2/1000</f>
        <v>4.0000000000000001E-3</v>
      </c>
    </row>
    <row r="188" spans="1:60" ht="15" customHeight="1" thickBot="1">
      <c r="A188" s="436">
        <f t="shared" si="75"/>
        <v>2016</v>
      </c>
      <c r="B188" s="437">
        <f t="shared" si="75"/>
        <v>5403</v>
      </c>
      <c r="C188" s="580">
        <f t="shared" si="76"/>
        <v>0.9938616732865122</v>
      </c>
      <c r="D188" s="508">
        <f t="shared" si="105"/>
        <v>11</v>
      </c>
      <c r="E188" s="578" t="s">
        <v>306</v>
      </c>
      <c r="F188" s="583">
        <f>F186*-1</f>
        <v>7.6989692660366276E-3</v>
      </c>
      <c r="H188" s="558"/>
      <c r="I188" s="443">
        <f t="shared" si="78"/>
        <v>5379</v>
      </c>
      <c r="J188" s="467">
        <f t="shared" si="79"/>
        <v>0.44419766796224325</v>
      </c>
      <c r="K188" s="443">
        <f t="shared" si="80"/>
        <v>0.57599999999999996</v>
      </c>
      <c r="M188" s="576">
        <f t="shared" si="81"/>
        <v>-0.16155043803783789</v>
      </c>
      <c r="N188" s="439" t="s">
        <v>322</v>
      </c>
      <c r="O188" s="363">
        <f>SUM(Q178:Q188)</f>
        <v>56.899000000000001</v>
      </c>
      <c r="P188" s="469">
        <f t="shared" si="82"/>
        <v>5379</v>
      </c>
      <c r="Q188" s="443">
        <f>($B188-P188)^2/1000</f>
        <v>0.57599999999999996</v>
      </c>
      <c r="S188" s="584">
        <f t="shared" si="98"/>
        <v>0.9938616732865122</v>
      </c>
      <c r="T188" s="439" t="s">
        <v>322</v>
      </c>
      <c r="U188" s="363">
        <f>SUM(W178:W188)</f>
        <v>56.274999999999991</v>
      </c>
      <c r="V188" s="469">
        <f t="shared" si="84"/>
        <v>5379</v>
      </c>
      <c r="W188" s="443">
        <f>($B188-V188)^2/1000</f>
        <v>0.57599999999999996</v>
      </c>
      <c r="Y188" s="584">
        <f t="shared" si="99"/>
        <v>1.5156701294202217</v>
      </c>
      <c r="Z188" s="439" t="s">
        <v>322</v>
      </c>
      <c r="AA188" s="363">
        <f>SUM(AC178:AC188)</f>
        <v>56.274999999999991</v>
      </c>
      <c r="AB188" s="469">
        <f t="shared" si="86"/>
        <v>5379</v>
      </c>
      <c r="AC188" s="443">
        <f>($B188-AB188)^2/1000</f>
        <v>0.57599999999999996</v>
      </c>
      <c r="AE188" s="584">
        <f t="shared" si="100"/>
        <v>1.8568126182403244</v>
      </c>
      <c r="AF188" s="439" t="s">
        <v>322</v>
      </c>
      <c r="AG188" s="363">
        <f>SUM(AI178:AI188)</f>
        <v>56.624999999999993</v>
      </c>
      <c r="AH188" s="469">
        <f t="shared" si="88"/>
        <v>5379</v>
      </c>
      <c r="AI188" s="443">
        <f>($B188-AH188)^2/1000</f>
        <v>0.57599999999999996</v>
      </c>
      <c r="AK188" s="584">
        <f t="shared" si="101"/>
        <v>2.1107122373277356</v>
      </c>
      <c r="AL188" s="439" t="s">
        <v>322</v>
      </c>
      <c r="AM188" s="363">
        <f>SUM(AO178:AO188)</f>
        <v>56.437999999999995</v>
      </c>
      <c r="AN188" s="469">
        <f t="shared" si="90"/>
        <v>5379</v>
      </c>
      <c r="AO188" s="443">
        <f>($B188-AN188)^2/1000</f>
        <v>0.57599999999999996</v>
      </c>
      <c r="AQ188" s="584">
        <f t="shared" si="102"/>
        <v>2.3130245813244508</v>
      </c>
      <c r="AR188" s="439" t="s">
        <v>322</v>
      </c>
      <c r="AS188" s="363">
        <f>SUM(AU178:AU188)</f>
        <v>56.437999999999995</v>
      </c>
      <c r="AT188" s="469">
        <f t="shared" si="92"/>
        <v>5379</v>
      </c>
      <c r="AU188" s="443">
        <f>($B188-AT188)^2/1000</f>
        <v>0.57599999999999996</v>
      </c>
      <c r="AW188" s="584">
        <f t="shared" si="103"/>
        <v>2.4812136152197914</v>
      </c>
      <c r="AX188" s="439" t="s">
        <v>322</v>
      </c>
      <c r="AY188" s="363">
        <f>SUM(BA178:BA188)</f>
        <v>56.437999999999995</v>
      </c>
      <c r="AZ188" s="469">
        <f t="shared" si="94"/>
        <v>5379</v>
      </c>
      <c r="BA188" s="443">
        <f>($B188-AZ188)^2/1000</f>
        <v>0.57599999999999996</v>
      </c>
      <c r="BC188" s="584">
        <f t="shared" si="104"/>
        <v>2.625145937061951</v>
      </c>
      <c r="BD188" s="439" t="s">
        <v>322</v>
      </c>
      <c r="BE188" s="363">
        <f>SUM(BG178:BG188)</f>
        <v>56.437999999999995</v>
      </c>
      <c r="BF188" s="469">
        <f t="shared" si="96"/>
        <v>5379</v>
      </c>
      <c r="BG188" s="443">
        <f>($B188-BF188)^2/1000</f>
        <v>0.57599999999999996</v>
      </c>
    </row>
    <row r="189" spans="1:60" ht="15" customHeight="1" thickTop="1">
      <c r="A189" s="511">
        <f t="shared" si="75"/>
        <v>2017</v>
      </c>
      <c r="B189" s="459">
        <f t="shared" si="75"/>
        <v>5279</v>
      </c>
      <c r="C189" s="585"/>
      <c r="D189" s="513">
        <f t="shared" si="105"/>
        <v>12</v>
      </c>
      <c r="E189" s="462"/>
      <c r="F189" s="461"/>
      <c r="G189" s="461"/>
      <c r="H189" s="586"/>
      <c r="I189" s="464">
        <f t="shared" si="78"/>
        <v>5409</v>
      </c>
      <c r="J189" s="463"/>
      <c r="K189" s="464"/>
      <c r="M189" s="587"/>
      <c r="N189" s="461"/>
      <c r="O189" s="461"/>
      <c r="P189" s="588"/>
      <c r="Q189" s="589"/>
      <c r="S189" s="587"/>
      <c r="T189" s="461"/>
      <c r="U189" s="461"/>
      <c r="V189" s="588"/>
      <c r="W189" s="589"/>
      <c r="Y189" s="587"/>
      <c r="Z189" s="461"/>
      <c r="AA189" s="461"/>
      <c r="AB189" s="588"/>
      <c r="AC189" s="589"/>
      <c r="AE189" s="587"/>
      <c r="AF189" s="461"/>
      <c r="AG189" s="461"/>
      <c r="AH189" s="588"/>
      <c r="AI189" s="589"/>
      <c r="AK189" s="587"/>
      <c r="AL189" s="461"/>
      <c r="AM189" s="461"/>
      <c r="AN189" s="588"/>
      <c r="AO189" s="589"/>
      <c r="AQ189" s="587"/>
      <c r="AR189" s="461"/>
      <c r="AS189" s="461"/>
      <c r="AT189" s="588"/>
      <c r="AU189" s="589"/>
      <c r="AW189" s="587"/>
      <c r="AX189" s="461"/>
      <c r="AY189" s="461"/>
      <c r="AZ189" s="588"/>
      <c r="BA189" s="589"/>
      <c r="BC189" s="587"/>
      <c r="BD189" s="461"/>
      <c r="BE189" s="461"/>
      <c r="BF189" s="588"/>
      <c r="BG189" s="589"/>
    </row>
    <row r="190" spans="1:60" ht="15" customHeight="1">
      <c r="A190" s="436">
        <f>A154</f>
        <v>2018</v>
      </c>
      <c r="B190" s="437">
        <f t="shared" ref="B190:B210" si="106">ROUND(F$182/(1+EXP(F$187+F$186*D190)),$G$1)</f>
        <v>5440</v>
      </c>
      <c r="C190" s="580"/>
      <c r="D190" s="508">
        <f t="shared" si="105"/>
        <v>13</v>
      </c>
      <c r="E190" s="2318" t="s">
        <v>276</v>
      </c>
      <c r="F190" s="2320"/>
      <c r="G190" s="447">
        <f>I177</f>
        <v>0.63685100335092981</v>
      </c>
      <c r="H190" s="558"/>
      <c r="I190" s="443">
        <f t="shared" si="78"/>
        <v>5440</v>
      </c>
      <c r="J190" s="467"/>
      <c r="K190" s="443"/>
      <c r="M190" s="590"/>
      <c r="N190" s="451"/>
      <c r="O190" s="451"/>
      <c r="P190" s="493"/>
      <c r="Q190" s="492"/>
      <c r="S190" s="590"/>
      <c r="T190" s="451"/>
      <c r="U190" s="451"/>
      <c r="V190" s="493"/>
      <c r="W190" s="492"/>
      <c r="Y190" s="590"/>
      <c r="Z190" s="451"/>
      <c r="AA190" s="451"/>
      <c r="AB190" s="493"/>
      <c r="AC190" s="492"/>
      <c r="AE190" s="590"/>
      <c r="AF190" s="451"/>
      <c r="AG190" s="451"/>
      <c r="AH190" s="493"/>
      <c r="AI190" s="492"/>
      <c r="AK190" s="590"/>
      <c r="AL190" s="451"/>
      <c r="AM190" s="451"/>
      <c r="AN190" s="493"/>
      <c r="AO190" s="492"/>
      <c r="AQ190" s="590"/>
      <c r="AR190" s="451"/>
      <c r="AS190" s="451"/>
      <c r="AT190" s="493"/>
      <c r="AU190" s="492"/>
      <c r="AW190" s="590"/>
      <c r="AX190" s="451"/>
      <c r="AY190" s="451"/>
      <c r="AZ190" s="493"/>
      <c r="BA190" s="492"/>
      <c r="BC190" s="590"/>
      <c r="BD190" s="451"/>
      <c r="BE190" s="451"/>
      <c r="BF190" s="493"/>
      <c r="BG190" s="492"/>
    </row>
    <row r="191" spans="1:60" ht="15" customHeight="1">
      <c r="A191" s="436">
        <f>A155</f>
        <v>2019</v>
      </c>
      <c r="B191" s="437">
        <f t="shared" si="106"/>
        <v>5470</v>
      </c>
      <c r="C191" s="580"/>
      <c r="D191" s="508">
        <f t="shared" si="105"/>
        <v>14</v>
      </c>
      <c r="E191" s="2318" t="s">
        <v>323</v>
      </c>
      <c r="F191" s="2320"/>
      <c r="G191" s="448">
        <f>SUM(K178:K188)</f>
        <v>56.274999999999991</v>
      </c>
      <c r="H191" s="558"/>
      <c r="I191" s="443">
        <f t="shared" si="78"/>
        <v>5470</v>
      </c>
      <c r="J191" s="467"/>
      <c r="K191" s="443"/>
      <c r="M191" s="505" t="str">
        <f>E183</f>
        <v>max(y) =</v>
      </c>
      <c r="N191" s="505">
        <f>F183</f>
        <v>5412</v>
      </c>
      <c r="O191" s="505"/>
      <c r="P191" s="505"/>
      <c r="Q191" s="505"/>
      <c r="R191" s="505"/>
      <c r="S191" s="505" t="str">
        <f>M191</f>
        <v>max(y) =</v>
      </c>
      <c r="T191" s="505">
        <f>N191</f>
        <v>5412</v>
      </c>
      <c r="U191" s="505"/>
      <c r="V191" s="505"/>
      <c r="W191" s="505"/>
      <c r="X191" s="505"/>
      <c r="Y191" s="505" t="str">
        <f>S191</f>
        <v>max(y) =</v>
      </c>
      <c r="Z191" s="505">
        <f>T191</f>
        <v>5412</v>
      </c>
      <c r="AA191" s="505"/>
      <c r="AB191" s="505"/>
      <c r="AC191" s="505"/>
      <c r="AD191" s="505"/>
      <c r="AE191" s="505" t="str">
        <f>Y191</f>
        <v>max(y) =</v>
      </c>
      <c r="AF191" s="505">
        <f>Z191</f>
        <v>5412</v>
      </c>
      <c r="AG191" s="505"/>
      <c r="AH191" s="505"/>
      <c r="AI191" s="505"/>
      <c r="AJ191" s="505"/>
      <c r="AK191" s="505" t="str">
        <f>AE191</f>
        <v>max(y) =</v>
      </c>
      <c r="AL191" s="505">
        <f>AF191</f>
        <v>5412</v>
      </c>
      <c r="AM191" s="505"/>
      <c r="AN191" s="505"/>
      <c r="AO191" s="505"/>
      <c r="AP191" s="505"/>
      <c r="AQ191" s="505" t="str">
        <f>AK191</f>
        <v>max(y) =</v>
      </c>
      <c r="AR191" s="505">
        <f>AL191</f>
        <v>5412</v>
      </c>
      <c r="AS191" s="505"/>
      <c r="AT191" s="505"/>
      <c r="AU191" s="505"/>
      <c r="AV191" s="505"/>
      <c r="AW191" s="505" t="str">
        <f>AQ191</f>
        <v>max(y) =</v>
      </c>
      <c r="AX191" s="505">
        <f>AR191</f>
        <v>5412</v>
      </c>
      <c r="AY191" s="505"/>
      <c r="AZ191" s="505"/>
      <c r="BA191" s="505"/>
      <c r="BB191" s="505"/>
      <c r="BC191" s="505" t="str">
        <f>AW191</f>
        <v>max(y) =</v>
      </c>
      <c r="BD191" s="505">
        <f>AX191</f>
        <v>5412</v>
      </c>
      <c r="BE191" s="505"/>
      <c r="BF191" s="505"/>
      <c r="BG191" s="505"/>
      <c r="BH191" s="505"/>
    </row>
    <row r="192" spans="1:60" ht="15" customHeight="1">
      <c r="A192" s="436">
        <f>A156</f>
        <v>2020</v>
      </c>
      <c r="B192" s="437">
        <f t="shared" si="106"/>
        <v>5501</v>
      </c>
      <c r="C192" s="580"/>
      <c r="D192" s="508">
        <f t="shared" si="105"/>
        <v>15</v>
      </c>
      <c r="E192" s="2318" t="s">
        <v>324</v>
      </c>
      <c r="F192" s="2320"/>
      <c r="G192" s="449">
        <f>SUM(J178:J188)/D199</f>
        <v>0.56231060962110813</v>
      </c>
      <c r="H192" s="558"/>
      <c r="I192" s="443">
        <f t="shared" si="78"/>
        <v>5501</v>
      </c>
      <c r="J192" s="467"/>
      <c r="K192" s="443"/>
      <c r="M192" s="505" t="s">
        <v>326</v>
      </c>
      <c r="N192" s="505">
        <v>3</v>
      </c>
      <c r="O192" s="505"/>
      <c r="P192" s="505"/>
      <c r="Q192" s="505"/>
      <c r="R192" s="505"/>
      <c r="S192" s="505" t="s">
        <v>326</v>
      </c>
      <c r="T192" s="505">
        <f>N192</f>
        <v>3</v>
      </c>
      <c r="U192" s="505"/>
      <c r="V192" s="505"/>
      <c r="W192" s="505"/>
      <c r="X192" s="505"/>
      <c r="Y192" s="505" t="s">
        <v>326</v>
      </c>
      <c r="Z192" s="505">
        <f>T192</f>
        <v>3</v>
      </c>
      <c r="AA192" s="505"/>
      <c r="AB192" s="505"/>
      <c r="AC192" s="505"/>
      <c r="AD192" s="505"/>
      <c r="AE192" s="505" t="s">
        <v>326</v>
      </c>
      <c r="AF192" s="505">
        <f>Z192</f>
        <v>3</v>
      </c>
      <c r="AG192" s="505"/>
      <c r="AH192" s="505"/>
      <c r="AI192" s="505"/>
      <c r="AJ192" s="505"/>
      <c r="AK192" s="505" t="s">
        <v>326</v>
      </c>
      <c r="AL192" s="505">
        <f>AF192</f>
        <v>3</v>
      </c>
      <c r="AM192" s="505"/>
      <c r="AN192" s="505"/>
      <c r="AO192" s="505"/>
      <c r="AP192" s="505"/>
      <c r="AQ192" s="505" t="s">
        <v>326</v>
      </c>
      <c r="AR192" s="505">
        <f>AL192</f>
        <v>3</v>
      </c>
      <c r="AS192" s="505"/>
      <c r="AT192" s="505"/>
      <c r="AU192" s="505"/>
      <c r="AV192" s="505"/>
      <c r="AW192" s="505" t="s">
        <v>326</v>
      </c>
      <c r="AX192" s="505">
        <f>AR192</f>
        <v>3</v>
      </c>
      <c r="AY192" s="505"/>
      <c r="AZ192" s="505"/>
      <c r="BA192" s="505"/>
      <c r="BB192" s="505"/>
      <c r="BC192" s="505" t="s">
        <v>326</v>
      </c>
      <c r="BD192" s="505">
        <f>AX192</f>
        <v>3</v>
      </c>
      <c r="BE192" s="505"/>
      <c r="BF192" s="505"/>
      <c r="BG192" s="505"/>
      <c r="BH192" s="505"/>
    </row>
    <row r="193" spans="1:70" ht="15" customHeight="1">
      <c r="A193" s="436">
        <f>A157</f>
        <v>2021</v>
      </c>
      <c r="B193" s="437">
        <f t="shared" si="106"/>
        <v>5532</v>
      </c>
      <c r="C193" s="580"/>
      <c r="D193" s="508">
        <f t="shared" si="105"/>
        <v>16</v>
      </c>
      <c r="H193" s="558"/>
      <c r="I193" s="443">
        <f t="shared" si="78"/>
        <v>5532</v>
      </c>
      <c r="J193" s="467"/>
      <c r="K193" s="443"/>
      <c r="M193" s="505" t="s">
        <v>343</v>
      </c>
      <c r="N193" s="559">
        <v>100000</v>
      </c>
      <c r="O193" s="505"/>
      <c r="P193" s="505"/>
      <c r="Q193" s="505"/>
      <c r="R193" s="505"/>
      <c r="S193" s="505" t="s">
        <v>343</v>
      </c>
      <c r="T193" s="505">
        <f>N193</f>
        <v>100000</v>
      </c>
      <c r="U193" s="505"/>
      <c r="V193" s="505"/>
      <c r="W193" s="505"/>
      <c r="X193" s="505"/>
      <c r="Y193" s="505" t="s">
        <v>343</v>
      </c>
      <c r="Z193" s="505">
        <f>T193</f>
        <v>100000</v>
      </c>
      <c r="AA193" s="505"/>
      <c r="AB193" s="505"/>
      <c r="AC193" s="505"/>
      <c r="AD193" s="505"/>
      <c r="AE193" s="505" t="s">
        <v>343</v>
      </c>
      <c r="AF193" s="505">
        <f>Z193</f>
        <v>100000</v>
      </c>
      <c r="AG193" s="505"/>
      <c r="AH193" s="505"/>
      <c r="AI193" s="505"/>
      <c r="AJ193" s="505"/>
      <c r="AK193" s="505" t="s">
        <v>343</v>
      </c>
      <c r="AL193" s="505">
        <f>AF193</f>
        <v>100000</v>
      </c>
      <c r="AM193" s="505"/>
      <c r="AN193" s="505"/>
      <c r="AO193" s="505"/>
      <c r="AP193" s="505"/>
      <c r="AQ193" s="505" t="s">
        <v>343</v>
      </c>
      <c r="AR193" s="505">
        <f>AL193</f>
        <v>100000</v>
      </c>
      <c r="AS193" s="505"/>
      <c r="AT193" s="505"/>
      <c r="AU193" s="505"/>
      <c r="AV193" s="505"/>
      <c r="AW193" s="505" t="s">
        <v>343</v>
      </c>
      <c r="AX193" s="505">
        <f>AR193</f>
        <v>100000</v>
      </c>
      <c r="AY193" s="505"/>
      <c r="AZ193" s="505"/>
      <c r="BA193" s="505"/>
      <c r="BB193" s="505"/>
      <c r="BC193" s="505" t="s">
        <v>343</v>
      </c>
      <c r="BD193" s="505">
        <f>AX193</f>
        <v>100000</v>
      </c>
      <c r="BE193" s="505"/>
      <c r="BF193" s="505"/>
      <c r="BG193" s="505"/>
      <c r="BH193" s="505"/>
    </row>
    <row r="194" spans="1:70" ht="15" customHeight="1">
      <c r="A194" s="436">
        <f>A158</f>
        <v>2022</v>
      </c>
      <c r="B194" s="437">
        <f t="shared" si="106"/>
        <v>5563</v>
      </c>
      <c r="C194" s="580"/>
      <c r="D194" s="508">
        <f t="shared" si="105"/>
        <v>17</v>
      </c>
      <c r="E194" s="451"/>
      <c r="F194" s="451"/>
      <c r="G194" s="451"/>
      <c r="H194" s="558"/>
      <c r="I194" s="443">
        <f t="shared" si="78"/>
        <v>5563</v>
      </c>
      <c r="J194" s="467"/>
      <c r="K194" s="443"/>
      <c r="M194" s="590"/>
      <c r="N194" s="451"/>
      <c r="O194" s="451"/>
      <c r="P194" s="493"/>
      <c r="Q194" s="492"/>
      <c r="S194" s="590"/>
      <c r="T194" s="451"/>
      <c r="U194" s="451"/>
      <c r="V194" s="493"/>
      <c r="W194" s="492"/>
      <c r="Y194" s="590"/>
      <c r="Z194" s="451"/>
      <c r="AA194" s="451"/>
      <c r="AB194" s="493"/>
      <c r="AC194" s="492"/>
      <c r="AE194" s="590"/>
      <c r="AF194" s="451"/>
      <c r="AG194" s="451"/>
      <c r="AH194" s="493"/>
      <c r="AI194" s="492"/>
      <c r="AK194" s="590"/>
      <c r="AL194" s="451"/>
      <c r="AM194" s="451"/>
      <c r="AN194" s="493"/>
      <c r="AO194" s="492"/>
      <c r="AQ194" s="590"/>
      <c r="AR194" s="451"/>
      <c r="AS194" s="451"/>
      <c r="AT194" s="493"/>
      <c r="AU194" s="492"/>
      <c r="AW194" s="590"/>
      <c r="AX194" s="451"/>
      <c r="AY194" s="451"/>
      <c r="AZ194" s="493"/>
      <c r="BA194" s="492"/>
      <c r="BC194" s="590"/>
      <c r="BD194" s="451"/>
      <c r="BE194" s="451"/>
      <c r="BF194" s="493"/>
      <c r="BG194" s="492"/>
    </row>
    <row r="195" spans="1:70" ht="15" customHeight="1">
      <c r="A195" s="436">
        <f t="shared" ref="A195:A210" si="107">A159</f>
        <v>2023</v>
      </c>
      <c r="B195" s="437">
        <f t="shared" si="106"/>
        <v>5594</v>
      </c>
      <c r="C195" s="580"/>
      <c r="D195" s="508">
        <f t="shared" si="105"/>
        <v>18</v>
      </c>
      <c r="E195" s="451"/>
      <c r="F195" s="451"/>
      <c r="G195" s="451"/>
      <c r="H195" s="558"/>
      <c r="I195" s="443">
        <f t="shared" si="78"/>
        <v>5594</v>
      </c>
      <c r="J195" s="467"/>
      <c r="K195" s="443"/>
      <c r="M195" s="590"/>
      <c r="N195" s="451"/>
      <c r="O195" s="451"/>
      <c r="P195" s="493"/>
      <c r="Q195" s="492"/>
      <c r="S195" s="590"/>
      <c r="T195" s="451"/>
      <c r="U195" s="451"/>
      <c r="V195" s="493"/>
      <c r="W195" s="492"/>
      <c r="Y195" s="590"/>
      <c r="Z195" s="451"/>
      <c r="AA195" s="451"/>
      <c r="AB195" s="493"/>
      <c r="AC195" s="492"/>
      <c r="AE195" s="590"/>
      <c r="AF195" s="451"/>
      <c r="AG195" s="451"/>
      <c r="AH195" s="493"/>
      <c r="AI195" s="492"/>
      <c r="AK195" s="590"/>
      <c r="AL195" s="451"/>
      <c r="AM195" s="451"/>
      <c r="AN195" s="493"/>
      <c r="AO195" s="492"/>
      <c r="AQ195" s="590"/>
      <c r="AR195" s="451"/>
      <c r="AS195" s="451"/>
      <c r="AT195" s="493"/>
      <c r="AU195" s="492"/>
      <c r="AW195" s="590"/>
      <c r="AX195" s="451"/>
      <c r="AY195" s="451"/>
      <c r="AZ195" s="493"/>
      <c r="BA195" s="492"/>
      <c r="BC195" s="590"/>
      <c r="BD195" s="451"/>
      <c r="BE195" s="451"/>
      <c r="BF195" s="493"/>
      <c r="BG195" s="492"/>
    </row>
    <row r="196" spans="1:70" s="451" customFormat="1" ht="15" customHeight="1">
      <c r="A196" s="436">
        <f t="shared" si="107"/>
        <v>2024</v>
      </c>
      <c r="B196" s="437">
        <f t="shared" si="106"/>
        <v>5625</v>
      </c>
      <c r="C196" s="580"/>
      <c r="D196" s="508">
        <f t="shared" si="105"/>
        <v>19</v>
      </c>
      <c r="H196" s="558"/>
      <c r="I196" s="443">
        <f t="shared" si="78"/>
        <v>5625</v>
      </c>
      <c r="J196" s="467"/>
      <c r="K196" s="443"/>
      <c r="M196" s="590"/>
      <c r="P196" s="493"/>
      <c r="Q196" s="492"/>
      <c r="S196" s="590"/>
      <c r="V196" s="493"/>
      <c r="W196" s="492"/>
      <c r="Y196" s="590"/>
      <c r="AB196" s="493"/>
      <c r="AC196" s="492"/>
      <c r="AE196" s="590"/>
      <c r="AH196" s="493"/>
      <c r="AI196" s="492"/>
      <c r="AK196" s="590"/>
      <c r="AN196" s="493"/>
      <c r="AO196" s="492"/>
      <c r="AQ196" s="590"/>
      <c r="AT196" s="493"/>
      <c r="AU196" s="492"/>
      <c r="AW196" s="590"/>
      <c r="AZ196" s="493"/>
      <c r="BA196" s="492"/>
      <c r="BC196" s="590"/>
      <c r="BF196" s="493"/>
      <c r="BG196" s="492"/>
    </row>
    <row r="197" spans="1:70" ht="15" customHeight="1">
      <c r="A197" s="436">
        <f t="shared" si="107"/>
        <v>2025</v>
      </c>
      <c r="B197" s="437">
        <f t="shared" si="106"/>
        <v>5656</v>
      </c>
      <c r="C197" s="580"/>
      <c r="D197" s="508">
        <f t="shared" si="105"/>
        <v>20</v>
      </c>
      <c r="E197" s="519"/>
      <c r="F197" s="451"/>
      <c r="G197" s="451"/>
      <c r="H197" s="558"/>
      <c r="I197" s="443">
        <f t="shared" si="78"/>
        <v>5656</v>
      </c>
      <c r="J197" s="467"/>
      <c r="K197" s="443"/>
      <c r="M197" s="590"/>
      <c r="N197" s="451"/>
      <c r="O197" s="451"/>
      <c r="P197" s="493"/>
      <c r="Q197" s="492"/>
      <c r="S197" s="590"/>
      <c r="T197" s="451"/>
      <c r="U197" s="451"/>
      <c r="V197" s="493"/>
      <c r="W197" s="492"/>
      <c r="Y197" s="590"/>
      <c r="Z197" s="451"/>
      <c r="AA197" s="451"/>
      <c r="AB197" s="493"/>
      <c r="AC197" s="492"/>
      <c r="AE197" s="590"/>
      <c r="AF197" s="451"/>
      <c r="AG197" s="451"/>
      <c r="AH197" s="493"/>
      <c r="AI197" s="492"/>
      <c r="AK197" s="590"/>
      <c r="AL197" s="451"/>
      <c r="AM197" s="451"/>
      <c r="AN197" s="493"/>
      <c r="AO197" s="492"/>
      <c r="AQ197" s="590"/>
      <c r="AR197" s="451"/>
      <c r="AS197" s="451"/>
      <c r="AT197" s="493"/>
      <c r="AU197" s="492"/>
      <c r="AW197" s="590"/>
      <c r="AX197" s="451"/>
      <c r="AY197" s="451"/>
      <c r="AZ197" s="493"/>
      <c r="BA197" s="492"/>
      <c r="BC197" s="590"/>
      <c r="BD197" s="451"/>
      <c r="BE197" s="451"/>
      <c r="BF197" s="493"/>
      <c r="BG197" s="492"/>
      <c r="BI197" s="590"/>
      <c r="BJ197" s="451"/>
      <c r="BK197" s="451"/>
      <c r="BL197" s="493"/>
      <c r="BM197" s="492"/>
    </row>
    <row r="198" spans="1:70" s="451" customFormat="1" ht="15" customHeight="1">
      <c r="A198" s="436">
        <f t="shared" si="107"/>
        <v>2026</v>
      </c>
      <c r="B198" s="437">
        <f t="shared" si="106"/>
        <v>5687</v>
      </c>
      <c r="C198" s="580"/>
      <c r="D198" s="508">
        <f t="shared" si="105"/>
        <v>21</v>
      </c>
      <c r="E198" s="519"/>
      <c r="H198" s="591"/>
      <c r="I198" s="443">
        <f t="shared" si="78"/>
        <v>5687</v>
      </c>
      <c r="J198" s="467"/>
      <c r="K198" s="443"/>
      <c r="M198" s="590"/>
      <c r="P198" s="493"/>
      <c r="Q198" s="492"/>
      <c r="S198" s="590"/>
      <c r="V198" s="493"/>
      <c r="W198" s="492"/>
      <c r="Y198" s="590"/>
      <c r="AB198" s="493"/>
      <c r="AC198" s="492"/>
      <c r="AE198" s="590"/>
      <c r="AH198" s="493"/>
      <c r="AI198" s="492"/>
      <c r="AK198" s="590"/>
      <c r="AN198" s="493"/>
      <c r="AO198" s="492"/>
      <c r="AQ198" s="590"/>
      <c r="AT198" s="493"/>
      <c r="AU198" s="492"/>
      <c r="AW198" s="590"/>
      <c r="AZ198" s="493"/>
      <c r="BA198" s="492"/>
      <c r="BC198" s="590"/>
      <c r="BF198" s="493"/>
      <c r="BG198" s="492"/>
      <c r="BI198" s="590"/>
      <c r="BL198" s="493"/>
      <c r="BM198" s="492"/>
    </row>
    <row r="199" spans="1:70" s="451" customFormat="1" ht="15" customHeight="1" thickBot="1">
      <c r="A199" s="436">
        <f t="shared" si="107"/>
        <v>2027</v>
      </c>
      <c r="B199" s="437">
        <f t="shared" si="106"/>
        <v>5719</v>
      </c>
      <c r="C199" s="580"/>
      <c r="D199" s="508">
        <f t="shared" si="105"/>
        <v>22</v>
      </c>
      <c r="E199" s="560" t="s">
        <v>344</v>
      </c>
      <c r="F199" s="561" t="s">
        <v>332</v>
      </c>
      <c r="G199" s="561" t="s">
        <v>277</v>
      </c>
      <c r="H199" s="591"/>
      <c r="I199" s="443">
        <f t="shared" si="78"/>
        <v>5719</v>
      </c>
      <c r="J199" s="467"/>
      <c r="K199" s="443"/>
      <c r="M199" s="590"/>
      <c r="P199" s="493"/>
      <c r="Q199" s="492"/>
      <c r="S199" s="590"/>
      <c r="V199" s="493"/>
      <c r="W199" s="492"/>
      <c r="Y199" s="590"/>
      <c r="AB199" s="493"/>
      <c r="AC199" s="492"/>
      <c r="AE199" s="590"/>
      <c r="AH199" s="493"/>
      <c r="AI199" s="492"/>
      <c r="AK199" s="590"/>
      <c r="AN199" s="493"/>
      <c r="AO199" s="492"/>
      <c r="AQ199" s="590"/>
      <c r="AT199" s="493"/>
      <c r="AU199" s="492"/>
      <c r="AW199" s="590"/>
      <c r="AZ199" s="493"/>
      <c r="BA199" s="492"/>
      <c r="BC199" s="590"/>
      <c r="BF199" s="493"/>
      <c r="BG199" s="492"/>
      <c r="BI199" s="590"/>
      <c r="BL199" s="493"/>
      <c r="BM199" s="492"/>
    </row>
    <row r="200" spans="1:70" ht="15" customHeight="1" thickTop="1">
      <c r="A200" s="436">
        <f t="shared" si="107"/>
        <v>2028</v>
      </c>
      <c r="B200" s="437">
        <f t="shared" si="106"/>
        <v>5750</v>
      </c>
      <c r="C200" s="520"/>
      <c r="D200" s="508">
        <f t="shared" si="105"/>
        <v>23</v>
      </c>
      <c r="E200" s="592">
        <v>10000</v>
      </c>
      <c r="F200" s="563">
        <f>IFERROR(O187,0)</f>
        <v>0.63279200095697985</v>
      </c>
      <c r="G200" s="564">
        <f>O188</f>
        <v>56.899000000000001</v>
      </c>
      <c r="H200" s="591"/>
      <c r="I200" s="443">
        <f t="shared" si="78"/>
        <v>5750</v>
      </c>
      <c r="J200" s="469"/>
      <c r="K200" s="469"/>
      <c r="L200" s="326">
        <f>RANK(F200,$F$200:$F$207)</f>
        <v>8</v>
      </c>
    </row>
    <row r="201" spans="1:70" ht="15" customHeight="1">
      <c r="A201" s="436">
        <f t="shared" si="107"/>
        <v>2029</v>
      </c>
      <c r="B201" s="437">
        <f t="shared" si="106"/>
        <v>5782</v>
      </c>
      <c r="C201" s="520"/>
      <c r="D201" s="508">
        <f t="shared" si="105"/>
        <v>24</v>
      </c>
      <c r="E201" s="593">
        <v>20000</v>
      </c>
      <c r="F201" s="565">
        <f>IFERROR(V177,0)</f>
        <v>0.63685100335092981</v>
      </c>
      <c r="G201" s="564">
        <f>U188</f>
        <v>56.274999999999991</v>
      </c>
      <c r="H201" s="591"/>
      <c r="I201" s="443">
        <f t="shared" si="78"/>
        <v>5782</v>
      </c>
      <c r="J201" s="469"/>
      <c r="K201" s="469"/>
      <c r="L201" s="326">
        <f t="shared" ref="L201:L207" si="108">RANK(F201,$F$200:$F$207)</f>
        <v>1</v>
      </c>
    </row>
    <row r="202" spans="1:70" ht="15" customHeight="1">
      <c r="A202" s="436">
        <f t="shared" si="107"/>
        <v>2030</v>
      </c>
      <c r="B202" s="437">
        <f t="shared" si="106"/>
        <v>5813</v>
      </c>
      <c r="C202" s="520"/>
      <c r="D202" s="508">
        <f t="shared" si="105"/>
        <v>25</v>
      </c>
      <c r="E202" s="593">
        <v>30000</v>
      </c>
      <c r="F202" s="565">
        <f>IFERROR(AB177,0)</f>
        <v>0.63685100335092981</v>
      </c>
      <c r="G202" s="564">
        <f>AA188</f>
        <v>56.274999999999991</v>
      </c>
      <c r="H202" s="591"/>
      <c r="I202" s="443">
        <f t="shared" si="78"/>
        <v>5813</v>
      </c>
      <c r="J202" s="469"/>
      <c r="K202" s="469"/>
      <c r="L202" s="326">
        <f t="shared" si="108"/>
        <v>1</v>
      </c>
      <c r="BK202" s="505"/>
      <c r="BL202" s="505"/>
      <c r="BM202" s="505"/>
      <c r="BN202" s="505"/>
      <c r="BO202" s="505"/>
      <c r="BP202" s="505"/>
      <c r="BQ202" s="505"/>
      <c r="BR202" s="505"/>
    </row>
    <row r="203" spans="1:70" ht="15" customHeight="1">
      <c r="A203" s="436">
        <f t="shared" si="107"/>
        <v>2031</v>
      </c>
      <c r="B203" s="437">
        <f t="shared" si="106"/>
        <v>5845</v>
      </c>
      <c r="C203" s="520"/>
      <c r="D203" s="508">
        <f t="shared" si="105"/>
        <v>26</v>
      </c>
      <c r="E203" s="593">
        <v>40000</v>
      </c>
      <c r="F203" s="565">
        <f>IFERROR(AH177,0)</f>
        <v>0.63459936214874846</v>
      </c>
      <c r="G203" s="564">
        <f>AG188</f>
        <v>56.624999999999993</v>
      </c>
      <c r="H203" s="591"/>
      <c r="I203" s="443">
        <f t="shared" si="78"/>
        <v>5845</v>
      </c>
      <c r="J203" s="469"/>
      <c r="K203" s="469"/>
      <c r="L203" s="326">
        <f t="shared" si="108"/>
        <v>7</v>
      </c>
    </row>
    <row r="204" spans="1:70" ht="15" customHeight="1">
      <c r="A204" s="436">
        <f t="shared" si="107"/>
        <v>2032</v>
      </c>
      <c r="B204" s="437">
        <f t="shared" si="106"/>
        <v>5877</v>
      </c>
      <c r="C204" s="520"/>
      <c r="D204" s="508">
        <f t="shared" si="105"/>
        <v>27</v>
      </c>
      <c r="E204" s="593">
        <v>50000</v>
      </c>
      <c r="F204" s="565">
        <f>IFERROR(AN177,0)</f>
        <v>0.63582426938428394</v>
      </c>
      <c r="G204" s="564">
        <f>AM188</f>
        <v>56.437999999999995</v>
      </c>
      <c r="H204" s="591"/>
      <c r="I204" s="443">
        <f t="shared" si="78"/>
        <v>5877</v>
      </c>
      <c r="J204" s="469"/>
      <c r="K204" s="469"/>
      <c r="L204" s="326">
        <f t="shared" si="108"/>
        <v>3</v>
      </c>
    </row>
    <row r="205" spans="1:70" ht="15" customHeight="1">
      <c r="A205" s="436">
        <f t="shared" si="107"/>
        <v>2033</v>
      </c>
      <c r="B205" s="437">
        <f t="shared" si="106"/>
        <v>5909</v>
      </c>
      <c r="C205" s="520"/>
      <c r="D205" s="508">
        <f t="shared" si="105"/>
        <v>28</v>
      </c>
      <c r="E205" s="593">
        <v>60000</v>
      </c>
      <c r="F205" s="565">
        <f>IFERROR(AT177,0)</f>
        <v>0.63582426938428394</v>
      </c>
      <c r="G205" s="564">
        <f>AS188</f>
        <v>56.437999999999995</v>
      </c>
      <c r="H205" s="591"/>
      <c r="I205" s="443">
        <f t="shared" si="78"/>
        <v>5909</v>
      </c>
      <c r="J205" s="469"/>
      <c r="K205" s="469"/>
      <c r="L205" s="326">
        <f t="shared" si="108"/>
        <v>3</v>
      </c>
    </row>
    <row r="206" spans="1:70" ht="15" customHeight="1">
      <c r="A206" s="436">
        <f t="shared" si="107"/>
        <v>2034</v>
      </c>
      <c r="B206" s="437">
        <f t="shared" si="106"/>
        <v>5941</v>
      </c>
      <c r="C206" s="520"/>
      <c r="D206" s="508">
        <f t="shared" si="105"/>
        <v>29</v>
      </c>
      <c r="E206" s="593">
        <v>70000</v>
      </c>
      <c r="F206" s="565">
        <f>IFERROR(AZ177,0)</f>
        <v>0.63582426938428394</v>
      </c>
      <c r="G206" s="594">
        <f>AY188</f>
        <v>56.437999999999995</v>
      </c>
      <c r="H206" s="591"/>
      <c r="I206" s="443">
        <f t="shared" si="78"/>
        <v>5941</v>
      </c>
      <c r="J206" s="469"/>
      <c r="K206" s="469"/>
      <c r="L206" s="326">
        <f t="shared" si="108"/>
        <v>3</v>
      </c>
    </row>
    <row r="207" spans="1:70" ht="15" customHeight="1">
      <c r="A207" s="522">
        <f t="shared" si="107"/>
        <v>2035</v>
      </c>
      <c r="B207" s="523">
        <f t="shared" si="106"/>
        <v>5973</v>
      </c>
      <c r="C207" s="524"/>
      <c r="D207" s="525">
        <f t="shared" si="105"/>
        <v>30</v>
      </c>
      <c r="E207" s="570">
        <v>80000</v>
      </c>
      <c r="F207" s="571">
        <f>IFERROR(BF177,0)</f>
        <v>0.63582426938428394</v>
      </c>
      <c r="G207" s="595">
        <f>BE188</f>
        <v>56.437999999999995</v>
      </c>
      <c r="H207" s="596"/>
      <c r="I207" s="528">
        <f t="shared" si="78"/>
        <v>5973</v>
      </c>
      <c r="J207" s="529"/>
      <c r="K207" s="529"/>
      <c r="L207" s="326">
        <f t="shared" si="108"/>
        <v>3</v>
      </c>
    </row>
    <row r="208" spans="1:70" ht="15" customHeight="1">
      <c r="A208" s="522">
        <f t="shared" si="107"/>
        <v>2036</v>
      </c>
      <c r="B208" s="523">
        <f t="shared" si="106"/>
        <v>6006</v>
      </c>
      <c r="C208" s="524"/>
      <c r="D208" s="525">
        <f t="shared" si="105"/>
        <v>31</v>
      </c>
      <c r="E208" s="570"/>
      <c r="F208" s="571"/>
      <c r="G208" s="595"/>
      <c r="H208" s="596"/>
      <c r="I208" s="528">
        <f t="shared" si="78"/>
        <v>6006</v>
      </c>
      <c r="J208" s="529"/>
      <c r="K208" s="529"/>
    </row>
    <row r="209" spans="1:41" ht="20.100000000000001" customHeight="1">
      <c r="A209" s="522">
        <f t="shared" si="107"/>
        <v>2037</v>
      </c>
      <c r="B209" s="523">
        <f t="shared" si="106"/>
        <v>6038</v>
      </c>
      <c r="C209" s="524"/>
      <c r="D209" s="525">
        <f t="shared" si="105"/>
        <v>32</v>
      </c>
      <c r="E209" s="570"/>
      <c r="F209" s="571"/>
      <c r="G209" s="595"/>
      <c r="H209" s="596"/>
      <c r="I209" s="528">
        <f t="shared" si="78"/>
        <v>6038</v>
      </c>
      <c r="J209" s="529"/>
      <c r="K209" s="529"/>
      <c r="L209" s="578"/>
      <c r="M209" s="578"/>
      <c r="N209" s="578"/>
      <c r="O209" s="578"/>
      <c r="P209" s="578"/>
      <c r="Q209" s="578"/>
      <c r="R209" s="578"/>
      <c r="S209" s="578"/>
      <c r="T209" s="578"/>
      <c r="U209" s="578"/>
      <c r="V209" s="578"/>
      <c r="W209" s="578"/>
      <c r="X209" s="578"/>
      <c r="Y209" s="578"/>
      <c r="Z209" s="578"/>
      <c r="AA209" s="578"/>
      <c r="AB209" s="578"/>
      <c r="AC209" s="578"/>
      <c r="AD209" s="578"/>
      <c r="AE209" s="578"/>
      <c r="AF209" s="578"/>
      <c r="AG209" s="578"/>
      <c r="AH209" s="578"/>
      <c r="AI209" s="578"/>
      <c r="AJ209" s="578"/>
      <c r="AK209" s="578"/>
      <c r="AL209" s="578"/>
      <c r="AM209" s="578"/>
      <c r="AN209" s="578"/>
      <c r="AO209" s="578"/>
    </row>
    <row r="210" spans="1:41" ht="20.100000000000001" customHeight="1">
      <c r="A210" s="522">
        <f t="shared" si="107"/>
        <v>2038</v>
      </c>
      <c r="B210" s="523">
        <f t="shared" si="106"/>
        <v>6071</v>
      </c>
      <c r="C210" s="524"/>
      <c r="D210" s="525">
        <f t="shared" si="105"/>
        <v>33</v>
      </c>
      <c r="E210" s="570"/>
      <c r="F210" s="571"/>
      <c r="G210" s="595"/>
      <c r="H210" s="596"/>
      <c r="I210" s="528">
        <f t="shared" si="78"/>
        <v>6071</v>
      </c>
      <c r="J210" s="529"/>
      <c r="K210" s="529"/>
      <c r="L210" s="578"/>
      <c r="M210" s="578"/>
      <c r="N210" s="578"/>
      <c r="O210" s="578"/>
      <c r="P210" s="578"/>
      <c r="Q210" s="578"/>
      <c r="R210" s="578"/>
      <c r="S210" s="578"/>
      <c r="T210" s="578"/>
      <c r="U210" s="578"/>
      <c r="V210" s="578"/>
      <c r="W210" s="578"/>
      <c r="X210" s="578"/>
      <c r="Y210" s="578"/>
      <c r="Z210" s="578"/>
      <c r="AA210" s="578"/>
      <c r="AB210" s="578"/>
      <c r="AC210" s="578"/>
      <c r="AD210" s="578"/>
      <c r="AE210" s="578"/>
      <c r="AF210" s="578"/>
      <c r="AG210" s="578"/>
      <c r="AH210" s="578"/>
      <c r="AI210" s="578"/>
      <c r="AJ210" s="578"/>
      <c r="AK210" s="578"/>
      <c r="AL210" s="578"/>
      <c r="AM210" s="578"/>
      <c r="AN210" s="578"/>
      <c r="AO210" s="578"/>
    </row>
    <row r="211" spans="1:41" ht="20.100000000000001" customHeight="1">
      <c r="K211" s="578"/>
      <c r="L211" s="578"/>
      <c r="M211" s="578"/>
      <c r="N211" s="578"/>
      <c r="O211" s="578"/>
      <c r="P211" s="578"/>
      <c r="Q211" s="578"/>
      <c r="R211" s="578"/>
      <c r="S211" s="578"/>
      <c r="T211" s="578"/>
      <c r="U211" s="578"/>
      <c r="V211" s="578"/>
      <c r="W211" s="578"/>
      <c r="X211" s="578"/>
      <c r="Y211" s="578"/>
      <c r="Z211" s="578"/>
      <c r="AA211" s="578"/>
      <c r="AB211" s="578"/>
      <c r="AC211" s="578"/>
      <c r="AD211" s="578"/>
      <c r="AE211" s="578"/>
      <c r="AF211" s="578"/>
      <c r="AG211" s="578"/>
      <c r="AH211" s="578"/>
      <c r="AI211" s="578"/>
      <c r="AJ211" s="578"/>
      <c r="AK211" s="578"/>
      <c r="AL211" s="578"/>
      <c r="AM211" s="578"/>
      <c r="AN211" s="578"/>
      <c r="AO211" s="578"/>
    </row>
    <row r="212" spans="1:41" ht="20.100000000000001" customHeight="1">
      <c r="K212" s="578"/>
      <c r="L212" s="578"/>
      <c r="M212" s="578"/>
      <c r="N212" s="578"/>
      <c r="O212" s="578"/>
      <c r="P212" s="578"/>
      <c r="Q212" s="578"/>
      <c r="R212" s="578"/>
      <c r="S212" s="578"/>
      <c r="T212" s="578"/>
      <c r="U212" s="578"/>
      <c r="V212" s="578"/>
      <c r="W212" s="578"/>
      <c r="X212" s="578"/>
      <c r="Y212" s="578"/>
      <c r="Z212" s="578"/>
      <c r="AA212" s="578"/>
      <c r="AB212" s="578"/>
      <c r="AC212" s="578"/>
      <c r="AD212" s="578"/>
      <c r="AE212" s="578"/>
      <c r="AF212" s="578"/>
      <c r="AG212" s="578"/>
      <c r="AH212" s="578"/>
      <c r="AI212" s="578"/>
      <c r="AJ212" s="578"/>
      <c r="AK212" s="578"/>
      <c r="AL212" s="578"/>
      <c r="AM212" s="578"/>
      <c r="AN212" s="578"/>
      <c r="AO212" s="578"/>
    </row>
    <row r="213" spans="1:41" ht="20.100000000000001" customHeight="1">
      <c r="K213" s="578"/>
      <c r="L213" s="578"/>
      <c r="M213" s="578"/>
      <c r="N213" s="578"/>
      <c r="O213" s="578"/>
      <c r="P213" s="578"/>
      <c r="Q213" s="578"/>
      <c r="R213" s="578"/>
      <c r="S213" s="578"/>
      <c r="T213" s="578"/>
      <c r="U213" s="578"/>
      <c r="V213" s="578"/>
      <c r="W213" s="578"/>
      <c r="X213" s="578"/>
      <c r="Y213" s="578"/>
      <c r="Z213" s="578"/>
      <c r="AA213" s="578"/>
      <c r="AB213" s="578"/>
      <c r="AC213" s="578"/>
      <c r="AD213" s="578"/>
      <c r="AE213" s="578"/>
      <c r="AF213" s="578"/>
      <c r="AG213" s="578"/>
      <c r="AH213" s="578"/>
      <c r="AI213" s="578"/>
      <c r="AJ213" s="578"/>
      <c r="AK213" s="578"/>
      <c r="AL213" s="578"/>
      <c r="AM213" s="578"/>
      <c r="AN213" s="578"/>
      <c r="AO213" s="578"/>
    </row>
    <row r="214" spans="1:41" ht="20.100000000000001" customHeight="1"/>
    <row r="215" spans="1:41" ht="20.100000000000001" customHeight="1"/>
    <row r="216" spans="1:41" ht="20.100000000000001" customHeight="1"/>
    <row r="217" spans="1:41" ht="20.100000000000001" customHeight="1"/>
    <row r="218" spans="1:41" ht="20.100000000000001" customHeight="1"/>
    <row r="219" spans="1:41" ht="20.100000000000001" customHeight="1"/>
    <row r="220" spans="1:41" ht="20.100000000000001" customHeight="1"/>
    <row r="221" spans="1:41" ht="20.100000000000001" customHeight="1"/>
    <row r="222" spans="1:41" ht="20.100000000000001" customHeight="1"/>
    <row r="223" spans="1:41" ht="20.100000000000001" customHeight="1"/>
    <row r="224" spans="1:41" ht="20.100000000000001" customHeight="1"/>
    <row r="225" ht="20.100000000000001" customHeight="1"/>
    <row r="226" s="325" customFormat="1" ht="20.100000000000001" customHeight="1"/>
    <row r="227" s="325" customFormat="1" ht="20.100000000000001" customHeight="1"/>
    <row r="228" s="325" customFormat="1" ht="20.100000000000001" customHeight="1"/>
    <row r="229" s="325" customFormat="1" ht="20.100000000000001" customHeight="1"/>
    <row r="230" s="325" customFormat="1" ht="20.100000000000001" customHeight="1"/>
  </sheetData>
  <mergeCells count="17">
    <mergeCell ref="F154:G154"/>
    <mergeCell ref="F155:G155"/>
    <mergeCell ref="E190:F190"/>
    <mergeCell ref="E191:F191"/>
    <mergeCell ref="E192:F192"/>
    <mergeCell ref="F153:G153"/>
    <mergeCell ref="I5:J5"/>
    <mergeCell ref="A39:B39"/>
    <mergeCell ref="A40:B40"/>
    <mergeCell ref="A41:B41"/>
    <mergeCell ref="D70:E70"/>
    <mergeCell ref="D71:E71"/>
    <mergeCell ref="D72:E72"/>
    <mergeCell ref="D73:E73"/>
    <mergeCell ref="E115:F115"/>
    <mergeCell ref="E116:F116"/>
    <mergeCell ref="E117:F117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CX230"/>
  <sheetViews>
    <sheetView view="pageBreakPreview" zoomScaleNormal="100" zoomScaleSheetLayoutView="100" workbookViewId="0">
      <selection activeCell="A3" sqref="A3:F3"/>
    </sheetView>
  </sheetViews>
  <sheetFormatPr defaultRowHeight="14.85" customHeight="1"/>
  <cols>
    <col min="1" max="2" width="12.125" style="325" customWidth="1"/>
    <col min="3" max="5" width="13" style="326" customWidth="1"/>
    <col min="6" max="6" width="12.875" style="326" customWidth="1"/>
    <col min="7" max="7" width="13" style="326" customWidth="1"/>
    <col min="8" max="8" width="13.125" style="326" customWidth="1"/>
    <col min="9" max="10" width="12.125" style="326" customWidth="1"/>
    <col min="11" max="11" width="14.375" style="326" bestFit="1" customWidth="1"/>
    <col min="12" max="12" width="11" style="326" customWidth="1"/>
    <col min="13" max="13" width="10" style="326" customWidth="1"/>
    <col min="14" max="14" width="10.875" style="326" customWidth="1"/>
    <col min="15" max="15" width="13.75" style="326" customWidth="1"/>
    <col min="16" max="16" width="10" style="326" customWidth="1"/>
    <col min="17" max="17" width="13.25" style="326" customWidth="1"/>
    <col min="18" max="18" width="14.375" style="326" customWidth="1"/>
    <col min="19" max="19" width="10" style="326" customWidth="1"/>
    <col min="20" max="20" width="10.875" style="326" customWidth="1"/>
    <col min="21" max="21" width="11.375" style="326" customWidth="1"/>
    <col min="22" max="22" width="15.375" style="326" customWidth="1"/>
    <col min="23" max="24" width="10.75" style="326" customWidth="1"/>
    <col min="25" max="25" width="14.375" style="326" customWidth="1"/>
    <col min="26" max="26" width="10.75" style="326" customWidth="1"/>
    <col min="27" max="27" width="11.75" style="326" customWidth="1"/>
    <col min="28" max="28" width="10" style="326" customWidth="1"/>
    <col min="29" max="29" width="15.375" style="326" customWidth="1"/>
    <col min="30" max="30" width="10" style="326" customWidth="1"/>
    <col min="31" max="31" width="10.75" style="326" customWidth="1"/>
    <col min="32" max="32" width="14.875" style="326" customWidth="1"/>
    <col min="33" max="33" width="11.5" style="326" customWidth="1"/>
    <col min="34" max="34" width="10" style="326" customWidth="1"/>
    <col min="35" max="35" width="10.75" style="326" customWidth="1"/>
    <col min="36" max="36" width="13.5" style="326" customWidth="1"/>
    <col min="37" max="37" width="9" style="326"/>
    <col min="38" max="38" width="10.75" style="326" bestFit="1" customWidth="1"/>
    <col min="39" max="39" width="13.75" style="326" customWidth="1"/>
    <col min="40" max="40" width="9" style="326"/>
    <col min="41" max="41" width="10.625" style="326" customWidth="1"/>
    <col min="42" max="42" width="9" style="326"/>
    <col min="43" max="43" width="14.25" style="326" customWidth="1"/>
    <col min="44" max="44" width="10.75" style="326" bestFit="1" customWidth="1"/>
    <col min="45" max="45" width="11.625" style="326" customWidth="1"/>
    <col min="46" max="46" width="13.75" style="326" customWidth="1"/>
    <col min="47" max="47" width="10.625" style="326" customWidth="1"/>
    <col min="48" max="49" width="9" style="326"/>
    <col min="50" max="50" width="14.125" style="326" customWidth="1"/>
    <col min="51" max="51" width="11" style="326" customWidth="1"/>
    <col min="52" max="52" width="10.75" style="326" bestFit="1" customWidth="1"/>
    <col min="53" max="53" width="13.5" style="326" customWidth="1"/>
    <col min="54" max="55" width="9" style="326"/>
    <col min="56" max="56" width="10.75" style="326" bestFit="1" customWidth="1"/>
    <col min="57" max="57" width="14" style="326" customWidth="1"/>
    <col min="58" max="58" width="9" style="326"/>
    <col min="59" max="59" width="10.75" style="326" customWidth="1"/>
    <col min="60" max="60" width="12.75" style="326" customWidth="1"/>
    <col min="61" max="61" width="9" style="326"/>
    <col min="62" max="62" width="10.75" style="326" bestFit="1" customWidth="1"/>
    <col min="63" max="63" width="11.5" style="326" customWidth="1"/>
    <col min="64" max="64" width="13.625" style="326" customWidth="1"/>
    <col min="65" max="65" width="10.625" style="326" customWidth="1"/>
    <col min="66" max="66" width="10.75" style="326" bestFit="1" customWidth="1"/>
    <col min="67" max="67" width="12.375" style="326" customWidth="1"/>
    <col min="68" max="70" width="9" style="326"/>
    <col min="71" max="71" width="15.75" style="326" customWidth="1"/>
    <col min="72" max="72" width="9" style="326"/>
    <col min="73" max="73" width="10.75" style="326" bestFit="1" customWidth="1"/>
    <col min="74" max="74" width="12.625" style="326" customWidth="1"/>
    <col min="75" max="77" width="9" style="326"/>
    <col min="78" max="78" width="13.625" style="326" customWidth="1"/>
    <col min="79" max="79" width="9" style="326"/>
    <col min="80" max="80" width="10.75" style="326" bestFit="1" customWidth="1"/>
    <col min="81" max="81" width="12.5" style="326" customWidth="1"/>
    <col min="82" max="84" width="9" style="326"/>
    <col min="85" max="85" width="12.875" style="326" customWidth="1"/>
    <col min="86" max="86" width="9" style="326"/>
    <col min="87" max="87" width="10.75" style="326" bestFit="1" customWidth="1"/>
    <col min="88" max="88" width="13.875" style="326" customWidth="1"/>
    <col min="89" max="91" width="9" style="326"/>
    <col min="92" max="92" width="14.125" style="326" customWidth="1"/>
    <col min="93" max="93" width="9" style="326"/>
    <col min="94" max="94" width="10.75" style="326" bestFit="1" customWidth="1"/>
    <col min="95" max="95" width="13.25" style="326" customWidth="1"/>
    <col min="96" max="98" width="9" style="326"/>
    <col min="99" max="99" width="13.25" style="326" customWidth="1"/>
    <col min="100" max="100" width="9" style="326"/>
    <col min="101" max="101" width="10.75" style="326" bestFit="1" customWidth="1"/>
    <col min="102" max="102" width="13.875" style="326" customWidth="1"/>
    <col min="103" max="250" width="9" style="326"/>
    <col min="251" max="252" width="12.125" style="326" customWidth="1"/>
    <col min="253" max="255" width="13" style="326" customWidth="1"/>
    <col min="256" max="256" width="12.875" style="326" customWidth="1"/>
    <col min="257" max="257" width="13" style="326" customWidth="1"/>
    <col min="258" max="258" width="13.125" style="326" customWidth="1"/>
    <col min="259" max="260" width="12.125" style="326" customWidth="1"/>
    <col min="261" max="261" width="14.375" style="326" bestFit="1" customWidth="1"/>
    <col min="262" max="262" width="11" style="326" customWidth="1"/>
    <col min="263" max="263" width="10" style="326" customWidth="1"/>
    <col min="264" max="264" width="10.875" style="326" customWidth="1"/>
    <col min="265" max="265" width="13.75" style="326" customWidth="1"/>
    <col min="266" max="266" width="10" style="326" customWidth="1"/>
    <col min="267" max="267" width="13.25" style="326" customWidth="1"/>
    <col min="268" max="268" width="14.375" style="326" customWidth="1"/>
    <col min="269" max="269" width="10" style="326" customWidth="1"/>
    <col min="270" max="270" width="10.875" style="326" customWidth="1"/>
    <col min="271" max="271" width="11.375" style="326" customWidth="1"/>
    <col min="272" max="272" width="15.375" style="326" customWidth="1"/>
    <col min="273" max="274" width="10.75" style="326" customWidth="1"/>
    <col min="275" max="275" width="14.375" style="326" customWidth="1"/>
    <col min="276" max="276" width="10.75" style="326" customWidth="1"/>
    <col min="277" max="277" width="11.75" style="326" customWidth="1"/>
    <col min="278" max="278" width="10" style="326" customWidth="1"/>
    <col min="279" max="279" width="15.375" style="326" customWidth="1"/>
    <col min="280" max="280" width="10" style="326" customWidth="1"/>
    <col min="281" max="281" width="10.75" style="326" customWidth="1"/>
    <col min="282" max="282" width="14.875" style="326" customWidth="1"/>
    <col min="283" max="283" width="11.5" style="326" customWidth="1"/>
    <col min="284" max="284" width="10" style="326" customWidth="1"/>
    <col min="285" max="285" width="10.75" style="326" customWidth="1"/>
    <col min="286" max="286" width="13.5" style="326" customWidth="1"/>
    <col min="287" max="287" width="9" style="326"/>
    <col min="288" max="288" width="10.75" style="326" bestFit="1" customWidth="1"/>
    <col min="289" max="289" width="13.75" style="326" customWidth="1"/>
    <col min="290" max="290" width="9" style="326"/>
    <col min="291" max="291" width="10.625" style="326" customWidth="1"/>
    <col min="292" max="292" width="9" style="326"/>
    <col min="293" max="293" width="14.25" style="326" customWidth="1"/>
    <col min="294" max="294" width="10.75" style="326" bestFit="1" customWidth="1"/>
    <col min="295" max="295" width="11.625" style="326" customWidth="1"/>
    <col min="296" max="296" width="13.75" style="326" customWidth="1"/>
    <col min="297" max="297" width="10.625" style="326" customWidth="1"/>
    <col min="298" max="299" width="9" style="326"/>
    <col min="300" max="300" width="14.125" style="326" customWidth="1"/>
    <col min="301" max="301" width="11" style="326" customWidth="1"/>
    <col min="302" max="302" width="10.75" style="326" bestFit="1" customWidth="1"/>
    <col min="303" max="303" width="13.5" style="326" customWidth="1"/>
    <col min="304" max="305" width="9" style="326"/>
    <col min="306" max="306" width="10.75" style="326" bestFit="1" customWidth="1"/>
    <col min="307" max="307" width="14" style="326" customWidth="1"/>
    <col min="308" max="308" width="9" style="326"/>
    <col min="309" max="309" width="10.75" style="326" customWidth="1"/>
    <col min="310" max="310" width="12.75" style="326" customWidth="1"/>
    <col min="311" max="311" width="9" style="326"/>
    <col min="312" max="312" width="10.75" style="326" bestFit="1" customWidth="1"/>
    <col min="313" max="313" width="11.5" style="326" customWidth="1"/>
    <col min="314" max="314" width="13.625" style="326" customWidth="1"/>
    <col min="315" max="315" width="10.625" style="326" customWidth="1"/>
    <col min="316" max="316" width="10.75" style="326" bestFit="1" customWidth="1"/>
    <col min="317" max="317" width="12.375" style="326" customWidth="1"/>
    <col min="318" max="320" width="9" style="326"/>
    <col min="321" max="321" width="15.75" style="326" customWidth="1"/>
    <col min="322" max="322" width="9" style="326"/>
    <col min="323" max="323" width="10.75" style="326" bestFit="1" customWidth="1"/>
    <col min="324" max="324" width="12.625" style="326" customWidth="1"/>
    <col min="325" max="327" width="9" style="326"/>
    <col min="328" max="328" width="13.625" style="326" customWidth="1"/>
    <col min="329" max="329" width="9" style="326"/>
    <col min="330" max="330" width="10.75" style="326" bestFit="1" customWidth="1"/>
    <col min="331" max="331" width="12.5" style="326" customWidth="1"/>
    <col min="332" max="334" width="9" style="326"/>
    <col min="335" max="335" width="12.875" style="326" customWidth="1"/>
    <col min="336" max="336" width="9" style="326"/>
    <col min="337" max="337" width="10.75" style="326" bestFit="1" customWidth="1"/>
    <col min="338" max="338" width="13.875" style="326" customWidth="1"/>
    <col min="339" max="341" width="9" style="326"/>
    <col min="342" max="342" width="14.125" style="326" customWidth="1"/>
    <col min="343" max="343" width="9" style="326"/>
    <col min="344" max="344" width="10.75" style="326" bestFit="1" customWidth="1"/>
    <col min="345" max="345" width="13.25" style="326" customWidth="1"/>
    <col min="346" max="348" width="9" style="326"/>
    <col min="349" max="349" width="13.25" style="326" customWidth="1"/>
    <col min="350" max="350" width="9" style="326"/>
    <col min="351" max="351" width="10.75" style="326" bestFit="1" customWidth="1"/>
    <col min="352" max="352" width="13.875" style="326" customWidth="1"/>
    <col min="353" max="355" width="9" style="326"/>
    <col min="356" max="356" width="13.625" style="326" customWidth="1"/>
    <col min="357" max="357" width="9" style="326"/>
    <col min="358" max="358" width="10.75" style="326" bestFit="1" customWidth="1"/>
    <col min="359" max="359" width="13" style="326" customWidth="1"/>
    <col min="360" max="506" width="9" style="326"/>
    <col min="507" max="508" width="12.125" style="326" customWidth="1"/>
    <col min="509" max="511" width="13" style="326" customWidth="1"/>
    <col min="512" max="512" width="12.875" style="326" customWidth="1"/>
    <col min="513" max="513" width="13" style="326" customWidth="1"/>
    <col min="514" max="514" width="13.125" style="326" customWidth="1"/>
    <col min="515" max="516" width="12.125" style="326" customWidth="1"/>
    <col min="517" max="517" width="14.375" style="326" bestFit="1" customWidth="1"/>
    <col min="518" max="518" width="11" style="326" customWidth="1"/>
    <col min="519" max="519" width="10" style="326" customWidth="1"/>
    <col min="520" max="520" width="10.875" style="326" customWidth="1"/>
    <col min="521" max="521" width="13.75" style="326" customWidth="1"/>
    <col min="522" max="522" width="10" style="326" customWidth="1"/>
    <col min="523" max="523" width="13.25" style="326" customWidth="1"/>
    <col min="524" max="524" width="14.375" style="326" customWidth="1"/>
    <col min="525" max="525" width="10" style="326" customWidth="1"/>
    <col min="526" max="526" width="10.875" style="326" customWidth="1"/>
    <col min="527" max="527" width="11.375" style="326" customWidth="1"/>
    <col min="528" max="528" width="15.375" style="326" customWidth="1"/>
    <col min="529" max="530" width="10.75" style="326" customWidth="1"/>
    <col min="531" max="531" width="14.375" style="326" customWidth="1"/>
    <col min="532" max="532" width="10.75" style="326" customWidth="1"/>
    <col min="533" max="533" width="11.75" style="326" customWidth="1"/>
    <col min="534" max="534" width="10" style="326" customWidth="1"/>
    <col min="535" max="535" width="15.375" style="326" customWidth="1"/>
    <col min="536" max="536" width="10" style="326" customWidth="1"/>
    <col min="537" max="537" width="10.75" style="326" customWidth="1"/>
    <col min="538" max="538" width="14.875" style="326" customWidth="1"/>
    <col min="539" max="539" width="11.5" style="326" customWidth="1"/>
    <col min="540" max="540" width="10" style="326" customWidth="1"/>
    <col min="541" max="541" width="10.75" style="326" customWidth="1"/>
    <col min="542" max="542" width="13.5" style="326" customWidth="1"/>
    <col min="543" max="543" width="9" style="326"/>
    <col min="544" max="544" width="10.75" style="326" bestFit="1" customWidth="1"/>
    <col min="545" max="545" width="13.75" style="326" customWidth="1"/>
    <col min="546" max="546" width="9" style="326"/>
    <col min="547" max="547" width="10.625" style="326" customWidth="1"/>
    <col min="548" max="548" width="9" style="326"/>
    <col min="549" max="549" width="14.25" style="326" customWidth="1"/>
    <col min="550" max="550" width="10.75" style="326" bestFit="1" customWidth="1"/>
    <col min="551" max="551" width="11.625" style="326" customWidth="1"/>
    <col min="552" max="552" width="13.75" style="326" customWidth="1"/>
    <col min="553" max="553" width="10.625" style="326" customWidth="1"/>
    <col min="554" max="555" width="9" style="326"/>
    <col min="556" max="556" width="14.125" style="326" customWidth="1"/>
    <col min="557" max="557" width="11" style="326" customWidth="1"/>
    <col min="558" max="558" width="10.75" style="326" bestFit="1" customWidth="1"/>
    <col min="559" max="559" width="13.5" style="326" customWidth="1"/>
    <col min="560" max="561" width="9" style="326"/>
    <col min="562" max="562" width="10.75" style="326" bestFit="1" customWidth="1"/>
    <col min="563" max="563" width="14" style="326" customWidth="1"/>
    <col min="564" max="564" width="9" style="326"/>
    <col min="565" max="565" width="10.75" style="326" customWidth="1"/>
    <col min="566" max="566" width="12.75" style="326" customWidth="1"/>
    <col min="567" max="567" width="9" style="326"/>
    <col min="568" max="568" width="10.75" style="326" bestFit="1" customWidth="1"/>
    <col min="569" max="569" width="11.5" style="326" customWidth="1"/>
    <col min="570" max="570" width="13.625" style="326" customWidth="1"/>
    <col min="571" max="571" width="10.625" style="326" customWidth="1"/>
    <col min="572" max="572" width="10.75" style="326" bestFit="1" customWidth="1"/>
    <col min="573" max="573" width="12.375" style="326" customWidth="1"/>
    <col min="574" max="576" width="9" style="326"/>
    <col min="577" max="577" width="15.75" style="326" customWidth="1"/>
    <col min="578" max="578" width="9" style="326"/>
    <col min="579" max="579" width="10.75" style="326" bestFit="1" customWidth="1"/>
    <col min="580" max="580" width="12.625" style="326" customWidth="1"/>
    <col min="581" max="583" width="9" style="326"/>
    <col min="584" max="584" width="13.625" style="326" customWidth="1"/>
    <col min="585" max="585" width="9" style="326"/>
    <col min="586" max="586" width="10.75" style="326" bestFit="1" customWidth="1"/>
    <col min="587" max="587" width="12.5" style="326" customWidth="1"/>
    <col min="588" max="590" width="9" style="326"/>
    <col min="591" max="591" width="12.875" style="326" customWidth="1"/>
    <col min="592" max="592" width="9" style="326"/>
    <col min="593" max="593" width="10.75" style="326" bestFit="1" customWidth="1"/>
    <col min="594" max="594" width="13.875" style="326" customWidth="1"/>
    <col min="595" max="597" width="9" style="326"/>
    <col min="598" max="598" width="14.125" style="326" customWidth="1"/>
    <col min="599" max="599" width="9" style="326"/>
    <col min="600" max="600" width="10.75" style="326" bestFit="1" customWidth="1"/>
    <col min="601" max="601" width="13.25" style="326" customWidth="1"/>
    <col min="602" max="604" width="9" style="326"/>
    <col min="605" max="605" width="13.25" style="326" customWidth="1"/>
    <col min="606" max="606" width="9" style="326"/>
    <col min="607" max="607" width="10.75" style="326" bestFit="1" customWidth="1"/>
    <col min="608" max="608" width="13.875" style="326" customWidth="1"/>
    <col min="609" max="611" width="9" style="326"/>
    <col min="612" max="612" width="13.625" style="326" customWidth="1"/>
    <col min="613" max="613" width="9" style="326"/>
    <col min="614" max="614" width="10.75" style="326" bestFit="1" customWidth="1"/>
    <col min="615" max="615" width="13" style="326" customWidth="1"/>
    <col min="616" max="762" width="9" style="326"/>
    <col min="763" max="764" width="12.125" style="326" customWidth="1"/>
    <col min="765" max="767" width="13" style="326" customWidth="1"/>
    <col min="768" max="768" width="12.875" style="326" customWidth="1"/>
    <col min="769" max="769" width="13" style="326" customWidth="1"/>
    <col min="770" max="770" width="13.125" style="326" customWidth="1"/>
    <col min="771" max="772" width="12.125" style="326" customWidth="1"/>
    <col min="773" max="773" width="14.375" style="326" bestFit="1" customWidth="1"/>
    <col min="774" max="774" width="11" style="326" customWidth="1"/>
    <col min="775" max="775" width="10" style="326" customWidth="1"/>
    <col min="776" max="776" width="10.875" style="326" customWidth="1"/>
    <col min="777" max="777" width="13.75" style="326" customWidth="1"/>
    <col min="778" max="778" width="10" style="326" customWidth="1"/>
    <col min="779" max="779" width="13.25" style="326" customWidth="1"/>
    <col min="780" max="780" width="14.375" style="326" customWidth="1"/>
    <col min="781" max="781" width="10" style="326" customWidth="1"/>
    <col min="782" max="782" width="10.875" style="326" customWidth="1"/>
    <col min="783" max="783" width="11.375" style="326" customWidth="1"/>
    <col min="784" max="784" width="15.375" style="326" customWidth="1"/>
    <col min="785" max="786" width="10.75" style="326" customWidth="1"/>
    <col min="787" max="787" width="14.375" style="326" customWidth="1"/>
    <col min="788" max="788" width="10.75" style="326" customWidth="1"/>
    <col min="789" max="789" width="11.75" style="326" customWidth="1"/>
    <col min="790" max="790" width="10" style="326" customWidth="1"/>
    <col min="791" max="791" width="15.375" style="326" customWidth="1"/>
    <col min="792" max="792" width="10" style="326" customWidth="1"/>
    <col min="793" max="793" width="10.75" style="326" customWidth="1"/>
    <col min="794" max="794" width="14.875" style="326" customWidth="1"/>
    <col min="795" max="795" width="11.5" style="326" customWidth="1"/>
    <col min="796" max="796" width="10" style="326" customWidth="1"/>
    <col min="797" max="797" width="10.75" style="326" customWidth="1"/>
    <col min="798" max="798" width="13.5" style="326" customWidth="1"/>
    <col min="799" max="799" width="9" style="326"/>
    <col min="800" max="800" width="10.75" style="326" bestFit="1" customWidth="1"/>
    <col min="801" max="801" width="13.75" style="326" customWidth="1"/>
    <col min="802" max="802" width="9" style="326"/>
    <col min="803" max="803" width="10.625" style="326" customWidth="1"/>
    <col min="804" max="804" width="9" style="326"/>
    <col min="805" max="805" width="14.25" style="326" customWidth="1"/>
    <col min="806" max="806" width="10.75" style="326" bestFit="1" customWidth="1"/>
    <col min="807" max="807" width="11.625" style="326" customWidth="1"/>
    <col min="808" max="808" width="13.75" style="326" customWidth="1"/>
    <col min="809" max="809" width="10.625" style="326" customWidth="1"/>
    <col min="810" max="811" width="9" style="326"/>
    <col min="812" max="812" width="14.125" style="326" customWidth="1"/>
    <col min="813" max="813" width="11" style="326" customWidth="1"/>
    <col min="814" max="814" width="10.75" style="326" bestFit="1" customWidth="1"/>
    <col min="815" max="815" width="13.5" style="326" customWidth="1"/>
    <col min="816" max="817" width="9" style="326"/>
    <col min="818" max="818" width="10.75" style="326" bestFit="1" customWidth="1"/>
    <col min="819" max="819" width="14" style="326" customWidth="1"/>
    <col min="820" max="820" width="9" style="326"/>
    <col min="821" max="821" width="10.75" style="326" customWidth="1"/>
    <col min="822" max="822" width="12.75" style="326" customWidth="1"/>
    <col min="823" max="823" width="9" style="326"/>
    <col min="824" max="824" width="10.75" style="326" bestFit="1" customWidth="1"/>
    <col min="825" max="825" width="11.5" style="326" customWidth="1"/>
    <col min="826" max="826" width="13.625" style="326" customWidth="1"/>
    <col min="827" max="827" width="10.625" style="326" customWidth="1"/>
    <col min="828" max="828" width="10.75" style="326" bestFit="1" customWidth="1"/>
    <col min="829" max="829" width="12.375" style="326" customWidth="1"/>
    <col min="830" max="832" width="9" style="326"/>
    <col min="833" max="833" width="15.75" style="326" customWidth="1"/>
    <col min="834" max="834" width="9" style="326"/>
    <col min="835" max="835" width="10.75" style="326" bestFit="1" customWidth="1"/>
    <col min="836" max="836" width="12.625" style="326" customWidth="1"/>
    <col min="837" max="839" width="9" style="326"/>
    <col min="840" max="840" width="13.625" style="326" customWidth="1"/>
    <col min="841" max="841" width="9" style="326"/>
    <col min="842" max="842" width="10.75" style="326" bestFit="1" customWidth="1"/>
    <col min="843" max="843" width="12.5" style="326" customWidth="1"/>
    <col min="844" max="846" width="9" style="326"/>
    <col min="847" max="847" width="12.875" style="326" customWidth="1"/>
    <col min="848" max="848" width="9" style="326"/>
    <col min="849" max="849" width="10.75" style="326" bestFit="1" customWidth="1"/>
    <col min="850" max="850" width="13.875" style="326" customWidth="1"/>
    <col min="851" max="853" width="9" style="326"/>
    <col min="854" max="854" width="14.125" style="326" customWidth="1"/>
    <col min="855" max="855" width="9" style="326"/>
    <col min="856" max="856" width="10.75" style="326" bestFit="1" customWidth="1"/>
    <col min="857" max="857" width="13.25" style="326" customWidth="1"/>
    <col min="858" max="860" width="9" style="326"/>
    <col min="861" max="861" width="13.25" style="326" customWidth="1"/>
    <col min="862" max="862" width="9" style="326"/>
    <col min="863" max="863" width="10.75" style="326" bestFit="1" customWidth="1"/>
    <col min="864" max="864" width="13.875" style="326" customWidth="1"/>
    <col min="865" max="867" width="9" style="326"/>
    <col min="868" max="868" width="13.625" style="326" customWidth="1"/>
    <col min="869" max="869" width="9" style="326"/>
    <col min="870" max="870" width="10.75" style="326" bestFit="1" customWidth="1"/>
    <col min="871" max="871" width="13" style="326" customWidth="1"/>
    <col min="872" max="1018" width="9" style="326"/>
    <col min="1019" max="1020" width="12.125" style="326" customWidth="1"/>
    <col min="1021" max="1023" width="13" style="326" customWidth="1"/>
    <col min="1024" max="1024" width="12.875" style="326" customWidth="1"/>
    <col min="1025" max="1025" width="13" style="326" customWidth="1"/>
    <col min="1026" max="1026" width="13.125" style="326" customWidth="1"/>
    <col min="1027" max="1028" width="12.125" style="326" customWidth="1"/>
    <col min="1029" max="1029" width="14.375" style="326" bestFit="1" customWidth="1"/>
    <col min="1030" max="1030" width="11" style="326" customWidth="1"/>
    <col min="1031" max="1031" width="10" style="326" customWidth="1"/>
    <col min="1032" max="1032" width="10.875" style="326" customWidth="1"/>
    <col min="1033" max="1033" width="13.75" style="326" customWidth="1"/>
    <col min="1034" max="1034" width="10" style="326" customWidth="1"/>
    <col min="1035" max="1035" width="13.25" style="326" customWidth="1"/>
    <col min="1036" max="1036" width="14.375" style="326" customWidth="1"/>
    <col min="1037" max="1037" width="10" style="326" customWidth="1"/>
    <col min="1038" max="1038" width="10.875" style="326" customWidth="1"/>
    <col min="1039" max="1039" width="11.375" style="326" customWidth="1"/>
    <col min="1040" max="1040" width="15.375" style="326" customWidth="1"/>
    <col min="1041" max="1042" width="10.75" style="326" customWidth="1"/>
    <col min="1043" max="1043" width="14.375" style="326" customWidth="1"/>
    <col min="1044" max="1044" width="10.75" style="326" customWidth="1"/>
    <col min="1045" max="1045" width="11.75" style="326" customWidth="1"/>
    <col min="1046" max="1046" width="10" style="326" customWidth="1"/>
    <col min="1047" max="1047" width="15.375" style="326" customWidth="1"/>
    <col min="1048" max="1048" width="10" style="326" customWidth="1"/>
    <col min="1049" max="1049" width="10.75" style="326" customWidth="1"/>
    <col min="1050" max="1050" width="14.875" style="326" customWidth="1"/>
    <col min="1051" max="1051" width="11.5" style="326" customWidth="1"/>
    <col min="1052" max="1052" width="10" style="326" customWidth="1"/>
    <col min="1053" max="1053" width="10.75" style="326" customWidth="1"/>
    <col min="1054" max="1054" width="13.5" style="326" customWidth="1"/>
    <col min="1055" max="1055" width="9" style="326"/>
    <col min="1056" max="1056" width="10.75" style="326" bestFit="1" customWidth="1"/>
    <col min="1057" max="1057" width="13.75" style="326" customWidth="1"/>
    <col min="1058" max="1058" width="9" style="326"/>
    <col min="1059" max="1059" width="10.625" style="326" customWidth="1"/>
    <col min="1060" max="1060" width="9" style="326"/>
    <col min="1061" max="1061" width="14.25" style="326" customWidth="1"/>
    <col min="1062" max="1062" width="10.75" style="326" bestFit="1" customWidth="1"/>
    <col min="1063" max="1063" width="11.625" style="326" customWidth="1"/>
    <col min="1064" max="1064" width="13.75" style="326" customWidth="1"/>
    <col min="1065" max="1065" width="10.625" style="326" customWidth="1"/>
    <col min="1066" max="1067" width="9" style="326"/>
    <col min="1068" max="1068" width="14.125" style="326" customWidth="1"/>
    <col min="1069" max="1069" width="11" style="326" customWidth="1"/>
    <col min="1070" max="1070" width="10.75" style="326" bestFit="1" customWidth="1"/>
    <col min="1071" max="1071" width="13.5" style="326" customWidth="1"/>
    <col min="1072" max="1073" width="9" style="326"/>
    <col min="1074" max="1074" width="10.75" style="326" bestFit="1" customWidth="1"/>
    <col min="1075" max="1075" width="14" style="326" customWidth="1"/>
    <col min="1076" max="1076" width="9" style="326"/>
    <col min="1077" max="1077" width="10.75" style="326" customWidth="1"/>
    <col min="1078" max="1078" width="12.75" style="326" customWidth="1"/>
    <col min="1079" max="1079" width="9" style="326"/>
    <col min="1080" max="1080" width="10.75" style="326" bestFit="1" customWidth="1"/>
    <col min="1081" max="1081" width="11.5" style="326" customWidth="1"/>
    <col min="1082" max="1082" width="13.625" style="326" customWidth="1"/>
    <col min="1083" max="1083" width="10.625" style="326" customWidth="1"/>
    <col min="1084" max="1084" width="10.75" style="326" bestFit="1" customWidth="1"/>
    <col min="1085" max="1085" width="12.375" style="326" customWidth="1"/>
    <col min="1086" max="1088" width="9" style="326"/>
    <col min="1089" max="1089" width="15.75" style="326" customWidth="1"/>
    <col min="1090" max="1090" width="9" style="326"/>
    <col min="1091" max="1091" width="10.75" style="326" bestFit="1" customWidth="1"/>
    <col min="1092" max="1092" width="12.625" style="326" customWidth="1"/>
    <col min="1093" max="1095" width="9" style="326"/>
    <col min="1096" max="1096" width="13.625" style="326" customWidth="1"/>
    <col min="1097" max="1097" width="9" style="326"/>
    <col min="1098" max="1098" width="10.75" style="326" bestFit="1" customWidth="1"/>
    <col min="1099" max="1099" width="12.5" style="326" customWidth="1"/>
    <col min="1100" max="1102" width="9" style="326"/>
    <col min="1103" max="1103" width="12.875" style="326" customWidth="1"/>
    <col min="1104" max="1104" width="9" style="326"/>
    <col min="1105" max="1105" width="10.75" style="326" bestFit="1" customWidth="1"/>
    <col min="1106" max="1106" width="13.875" style="326" customWidth="1"/>
    <col min="1107" max="1109" width="9" style="326"/>
    <col min="1110" max="1110" width="14.125" style="326" customWidth="1"/>
    <col min="1111" max="1111" width="9" style="326"/>
    <col min="1112" max="1112" width="10.75" style="326" bestFit="1" customWidth="1"/>
    <col min="1113" max="1113" width="13.25" style="326" customWidth="1"/>
    <col min="1114" max="1116" width="9" style="326"/>
    <col min="1117" max="1117" width="13.25" style="326" customWidth="1"/>
    <col min="1118" max="1118" width="9" style="326"/>
    <col min="1119" max="1119" width="10.75" style="326" bestFit="1" customWidth="1"/>
    <col min="1120" max="1120" width="13.875" style="326" customWidth="1"/>
    <col min="1121" max="1123" width="9" style="326"/>
    <col min="1124" max="1124" width="13.625" style="326" customWidth="1"/>
    <col min="1125" max="1125" width="9" style="326"/>
    <col min="1126" max="1126" width="10.75" style="326" bestFit="1" customWidth="1"/>
    <col min="1127" max="1127" width="13" style="326" customWidth="1"/>
    <col min="1128" max="1274" width="9" style="326"/>
    <col min="1275" max="1276" width="12.125" style="326" customWidth="1"/>
    <col min="1277" max="1279" width="13" style="326" customWidth="1"/>
    <col min="1280" max="1280" width="12.875" style="326" customWidth="1"/>
    <col min="1281" max="1281" width="13" style="326" customWidth="1"/>
    <col min="1282" max="1282" width="13.125" style="326" customWidth="1"/>
    <col min="1283" max="1284" width="12.125" style="326" customWidth="1"/>
    <col min="1285" max="1285" width="14.375" style="326" bestFit="1" customWidth="1"/>
    <col min="1286" max="1286" width="11" style="326" customWidth="1"/>
    <col min="1287" max="1287" width="10" style="326" customWidth="1"/>
    <col min="1288" max="1288" width="10.875" style="326" customWidth="1"/>
    <col min="1289" max="1289" width="13.75" style="326" customWidth="1"/>
    <col min="1290" max="1290" width="10" style="326" customWidth="1"/>
    <col min="1291" max="1291" width="13.25" style="326" customWidth="1"/>
    <col min="1292" max="1292" width="14.375" style="326" customWidth="1"/>
    <col min="1293" max="1293" width="10" style="326" customWidth="1"/>
    <col min="1294" max="1294" width="10.875" style="326" customWidth="1"/>
    <col min="1295" max="1295" width="11.375" style="326" customWidth="1"/>
    <col min="1296" max="1296" width="15.375" style="326" customWidth="1"/>
    <col min="1297" max="1298" width="10.75" style="326" customWidth="1"/>
    <col min="1299" max="1299" width="14.375" style="326" customWidth="1"/>
    <col min="1300" max="1300" width="10.75" style="326" customWidth="1"/>
    <col min="1301" max="1301" width="11.75" style="326" customWidth="1"/>
    <col min="1302" max="1302" width="10" style="326" customWidth="1"/>
    <col min="1303" max="1303" width="15.375" style="326" customWidth="1"/>
    <col min="1304" max="1304" width="10" style="326" customWidth="1"/>
    <col min="1305" max="1305" width="10.75" style="326" customWidth="1"/>
    <col min="1306" max="1306" width="14.875" style="326" customWidth="1"/>
    <col min="1307" max="1307" width="11.5" style="326" customWidth="1"/>
    <col min="1308" max="1308" width="10" style="326" customWidth="1"/>
    <col min="1309" max="1309" width="10.75" style="326" customWidth="1"/>
    <col min="1310" max="1310" width="13.5" style="326" customWidth="1"/>
    <col min="1311" max="1311" width="9" style="326"/>
    <col min="1312" max="1312" width="10.75" style="326" bestFit="1" customWidth="1"/>
    <col min="1313" max="1313" width="13.75" style="326" customWidth="1"/>
    <col min="1314" max="1314" width="9" style="326"/>
    <col min="1315" max="1315" width="10.625" style="326" customWidth="1"/>
    <col min="1316" max="1316" width="9" style="326"/>
    <col min="1317" max="1317" width="14.25" style="326" customWidth="1"/>
    <col min="1318" max="1318" width="10.75" style="326" bestFit="1" customWidth="1"/>
    <col min="1319" max="1319" width="11.625" style="326" customWidth="1"/>
    <col min="1320" max="1320" width="13.75" style="326" customWidth="1"/>
    <col min="1321" max="1321" width="10.625" style="326" customWidth="1"/>
    <col min="1322" max="1323" width="9" style="326"/>
    <col min="1324" max="1324" width="14.125" style="326" customWidth="1"/>
    <col min="1325" max="1325" width="11" style="326" customWidth="1"/>
    <col min="1326" max="1326" width="10.75" style="326" bestFit="1" customWidth="1"/>
    <col min="1327" max="1327" width="13.5" style="326" customWidth="1"/>
    <col min="1328" max="1329" width="9" style="326"/>
    <col min="1330" max="1330" width="10.75" style="326" bestFit="1" customWidth="1"/>
    <col min="1331" max="1331" width="14" style="326" customWidth="1"/>
    <col min="1332" max="1332" width="9" style="326"/>
    <col min="1333" max="1333" width="10.75" style="326" customWidth="1"/>
    <col min="1334" max="1334" width="12.75" style="326" customWidth="1"/>
    <col min="1335" max="1335" width="9" style="326"/>
    <col min="1336" max="1336" width="10.75" style="326" bestFit="1" customWidth="1"/>
    <col min="1337" max="1337" width="11.5" style="326" customWidth="1"/>
    <col min="1338" max="1338" width="13.625" style="326" customWidth="1"/>
    <col min="1339" max="1339" width="10.625" style="326" customWidth="1"/>
    <col min="1340" max="1340" width="10.75" style="326" bestFit="1" customWidth="1"/>
    <col min="1341" max="1341" width="12.375" style="326" customWidth="1"/>
    <col min="1342" max="1344" width="9" style="326"/>
    <col min="1345" max="1345" width="15.75" style="326" customWidth="1"/>
    <col min="1346" max="1346" width="9" style="326"/>
    <col min="1347" max="1347" width="10.75" style="326" bestFit="1" customWidth="1"/>
    <col min="1348" max="1348" width="12.625" style="326" customWidth="1"/>
    <col min="1349" max="1351" width="9" style="326"/>
    <col min="1352" max="1352" width="13.625" style="326" customWidth="1"/>
    <col min="1353" max="1353" width="9" style="326"/>
    <col min="1354" max="1354" width="10.75" style="326" bestFit="1" customWidth="1"/>
    <col min="1355" max="1355" width="12.5" style="326" customWidth="1"/>
    <col min="1356" max="1358" width="9" style="326"/>
    <col min="1359" max="1359" width="12.875" style="326" customWidth="1"/>
    <col min="1360" max="1360" width="9" style="326"/>
    <col min="1361" max="1361" width="10.75" style="326" bestFit="1" customWidth="1"/>
    <col min="1362" max="1362" width="13.875" style="326" customWidth="1"/>
    <col min="1363" max="1365" width="9" style="326"/>
    <col min="1366" max="1366" width="14.125" style="326" customWidth="1"/>
    <col min="1367" max="1367" width="9" style="326"/>
    <col min="1368" max="1368" width="10.75" style="326" bestFit="1" customWidth="1"/>
    <col min="1369" max="1369" width="13.25" style="326" customWidth="1"/>
    <col min="1370" max="1372" width="9" style="326"/>
    <col min="1373" max="1373" width="13.25" style="326" customWidth="1"/>
    <col min="1374" max="1374" width="9" style="326"/>
    <col min="1375" max="1375" width="10.75" style="326" bestFit="1" customWidth="1"/>
    <col min="1376" max="1376" width="13.875" style="326" customWidth="1"/>
    <col min="1377" max="1379" width="9" style="326"/>
    <col min="1380" max="1380" width="13.625" style="326" customWidth="1"/>
    <col min="1381" max="1381" width="9" style="326"/>
    <col min="1382" max="1382" width="10.75" style="326" bestFit="1" customWidth="1"/>
    <col min="1383" max="1383" width="13" style="326" customWidth="1"/>
    <col min="1384" max="1530" width="9" style="326"/>
    <col min="1531" max="1532" width="12.125" style="326" customWidth="1"/>
    <col min="1533" max="1535" width="13" style="326" customWidth="1"/>
    <col min="1536" max="1536" width="12.875" style="326" customWidth="1"/>
    <col min="1537" max="1537" width="13" style="326" customWidth="1"/>
    <col min="1538" max="1538" width="13.125" style="326" customWidth="1"/>
    <col min="1539" max="1540" width="12.125" style="326" customWidth="1"/>
    <col min="1541" max="1541" width="14.375" style="326" bestFit="1" customWidth="1"/>
    <col min="1542" max="1542" width="11" style="326" customWidth="1"/>
    <col min="1543" max="1543" width="10" style="326" customWidth="1"/>
    <col min="1544" max="1544" width="10.875" style="326" customWidth="1"/>
    <col min="1545" max="1545" width="13.75" style="326" customWidth="1"/>
    <col min="1546" max="1546" width="10" style="326" customWidth="1"/>
    <col min="1547" max="1547" width="13.25" style="326" customWidth="1"/>
    <col min="1548" max="1548" width="14.375" style="326" customWidth="1"/>
    <col min="1549" max="1549" width="10" style="326" customWidth="1"/>
    <col min="1550" max="1550" width="10.875" style="326" customWidth="1"/>
    <col min="1551" max="1551" width="11.375" style="326" customWidth="1"/>
    <col min="1552" max="1552" width="15.375" style="326" customWidth="1"/>
    <col min="1553" max="1554" width="10.75" style="326" customWidth="1"/>
    <col min="1555" max="1555" width="14.375" style="326" customWidth="1"/>
    <col min="1556" max="1556" width="10.75" style="326" customWidth="1"/>
    <col min="1557" max="1557" width="11.75" style="326" customWidth="1"/>
    <col min="1558" max="1558" width="10" style="326" customWidth="1"/>
    <col min="1559" max="1559" width="15.375" style="326" customWidth="1"/>
    <col min="1560" max="1560" width="10" style="326" customWidth="1"/>
    <col min="1561" max="1561" width="10.75" style="326" customWidth="1"/>
    <col min="1562" max="1562" width="14.875" style="326" customWidth="1"/>
    <col min="1563" max="1563" width="11.5" style="326" customWidth="1"/>
    <col min="1564" max="1564" width="10" style="326" customWidth="1"/>
    <col min="1565" max="1565" width="10.75" style="326" customWidth="1"/>
    <col min="1566" max="1566" width="13.5" style="326" customWidth="1"/>
    <col min="1567" max="1567" width="9" style="326"/>
    <col min="1568" max="1568" width="10.75" style="326" bestFit="1" customWidth="1"/>
    <col min="1569" max="1569" width="13.75" style="326" customWidth="1"/>
    <col min="1570" max="1570" width="9" style="326"/>
    <col min="1571" max="1571" width="10.625" style="326" customWidth="1"/>
    <col min="1572" max="1572" width="9" style="326"/>
    <col min="1573" max="1573" width="14.25" style="326" customWidth="1"/>
    <col min="1574" max="1574" width="10.75" style="326" bestFit="1" customWidth="1"/>
    <col min="1575" max="1575" width="11.625" style="326" customWidth="1"/>
    <col min="1576" max="1576" width="13.75" style="326" customWidth="1"/>
    <col min="1577" max="1577" width="10.625" style="326" customWidth="1"/>
    <col min="1578" max="1579" width="9" style="326"/>
    <col min="1580" max="1580" width="14.125" style="326" customWidth="1"/>
    <col min="1581" max="1581" width="11" style="326" customWidth="1"/>
    <col min="1582" max="1582" width="10.75" style="326" bestFit="1" customWidth="1"/>
    <col min="1583" max="1583" width="13.5" style="326" customWidth="1"/>
    <col min="1584" max="1585" width="9" style="326"/>
    <col min="1586" max="1586" width="10.75" style="326" bestFit="1" customWidth="1"/>
    <col min="1587" max="1587" width="14" style="326" customWidth="1"/>
    <col min="1588" max="1588" width="9" style="326"/>
    <col min="1589" max="1589" width="10.75" style="326" customWidth="1"/>
    <col min="1590" max="1590" width="12.75" style="326" customWidth="1"/>
    <col min="1591" max="1591" width="9" style="326"/>
    <col min="1592" max="1592" width="10.75" style="326" bestFit="1" customWidth="1"/>
    <col min="1593" max="1593" width="11.5" style="326" customWidth="1"/>
    <col min="1594" max="1594" width="13.625" style="326" customWidth="1"/>
    <col min="1595" max="1595" width="10.625" style="326" customWidth="1"/>
    <col min="1596" max="1596" width="10.75" style="326" bestFit="1" customWidth="1"/>
    <col min="1597" max="1597" width="12.375" style="326" customWidth="1"/>
    <col min="1598" max="1600" width="9" style="326"/>
    <col min="1601" max="1601" width="15.75" style="326" customWidth="1"/>
    <col min="1602" max="1602" width="9" style="326"/>
    <col min="1603" max="1603" width="10.75" style="326" bestFit="1" customWidth="1"/>
    <col min="1604" max="1604" width="12.625" style="326" customWidth="1"/>
    <col min="1605" max="1607" width="9" style="326"/>
    <col min="1608" max="1608" width="13.625" style="326" customWidth="1"/>
    <col min="1609" max="1609" width="9" style="326"/>
    <col min="1610" max="1610" width="10.75" style="326" bestFit="1" customWidth="1"/>
    <col min="1611" max="1611" width="12.5" style="326" customWidth="1"/>
    <col min="1612" max="1614" width="9" style="326"/>
    <col min="1615" max="1615" width="12.875" style="326" customWidth="1"/>
    <col min="1616" max="1616" width="9" style="326"/>
    <col min="1617" max="1617" width="10.75" style="326" bestFit="1" customWidth="1"/>
    <col min="1618" max="1618" width="13.875" style="326" customWidth="1"/>
    <col min="1619" max="1621" width="9" style="326"/>
    <col min="1622" max="1622" width="14.125" style="326" customWidth="1"/>
    <col min="1623" max="1623" width="9" style="326"/>
    <col min="1624" max="1624" width="10.75" style="326" bestFit="1" customWidth="1"/>
    <col min="1625" max="1625" width="13.25" style="326" customWidth="1"/>
    <col min="1626" max="1628" width="9" style="326"/>
    <col min="1629" max="1629" width="13.25" style="326" customWidth="1"/>
    <col min="1630" max="1630" width="9" style="326"/>
    <col min="1631" max="1631" width="10.75" style="326" bestFit="1" customWidth="1"/>
    <col min="1632" max="1632" width="13.875" style="326" customWidth="1"/>
    <col min="1633" max="1635" width="9" style="326"/>
    <col min="1636" max="1636" width="13.625" style="326" customWidth="1"/>
    <col min="1637" max="1637" width="9" style="326"/>
    <col min="1638" max="1638" width="10.75" style="326" bestFit="1" customWidth="1"/>
    <col min="1639" max="1639" width="13" style="326" customWidth="1"/>
    <col min="1640" max="1786" width="9" style="326"/>
    <col min="1787" max="1788" width="12.125" style="326" customWidth="1"/>
    <col min="1789" max="1791" width="13" style="326" customWidth="1"/>
    <col min="1792" max="1792" width="12.875" style="326" customWidth="1"/>
    <col min="1793" max="1793" width="13" style="326" customWidth="1"/>
    <col min="1794" max="1794" width="13.125" style="326" customWidth="1"/>
    <col min="1795" max="1796" width="12.125" style="326" customWidth="1"/>
    <col min="1797" max="1797" width="14.375" style="326" bestFit="1" customWidth="1"/>
    <col min="1798" max="1798" width="11" style="326" customWidth="1"/>
    <col min="1799" max="1799" width="10" style="326" customWidth="1"/>
    <col min="1800" max="1800" width="10.875" style="326" customWidth="1"/>
    <col min="1801" max="1801" width="13.75" style="326" customWidth="1"/>
    <col min="1802" max="1802" width="10" style="326" customWidth="1"/>
    <col min="1803" max="1803" width="13.25" style="326" customWidth="1"/>
    <col min="1804" max="1804" width="14.375" style="326" customWidth="1"/>
    <col min="1805" max="1805" width="10" style="326" customWidth="1"/>
    <col min="1806" max="1806" width="10.875" style="326" customWidth="1"/>
    <col min="1807" max="1807" width="11.375" style="326" customWidth="1"/>
    <col min="1808" max="1808" width="15.375" style="326" customWidth="1"/>
    <col min="1809" max="1810" width="10.75" style="326" customWidth="1"/>
    <col min="1811" max="1811" width="14.375" style="326" customWidth="1"/>
    <col min="1812" max="1812" width="10.75" style="326" customWidth="1"/>
    <col min="1813" max="1813" width="11.75" style="326" customWidth="1"/>
    <col min="1814" max="1814" width="10" style="326" customWidth="1"/>
    <col min="1815" max="1815" width="15.375" style="326" customWidth="1"/>
    <col min="1816" max="1816" width="10" style="326" customWidth="1"/>
    <col min="1817" max="1817" width="10.75" style="326" customWidth="1"/>
    <col min="1818" max="1818" width="14.875" style="326" customWidth="1"/>
    <col min="1819" max="1819" width="11.5" style="326" customWidth="1"/>
    <col min="1820" max="1820" width="10" style="326" customWidth="1"/>
    <col min="1821" max="1821" width="10.75" style="326" customWidth="1"/>
    <col min="1822" max="1822" width="13.5" style="326" customWidth="1"/>
    <col min="1823" max="1823" width="9" style="326"/>
    <col min="1824" max="1824" width="10.75" style="326" bestFit="1" customWidth="1"/>
    <col min="1825" max="1825" width="13.75" style="326" customWidth="1"/>
    <col min="1826" max="1826" width="9" style="326"/>
    <col min="1827" max="1827" width="10.625" style="326" customWidth="1"/>
    <col min="1828" max="1828" width="9" style="326"/>
    <col min="1829" max="1829" width="14.25" style="326" customWidth="1"/>
    <col min="1830" max="1830" width="10.75" style="326" bestFit="1" customWidth="1"/>
    <col min="1831" max="1831" width="11.625" style="326" customWidth="1"/>
    <col min="1832" max="1832" width="13.75" style="326" customWidth="1"/>
    <col min="1833" max="1833" width="10.625" style="326" customWidth="1"/>
    <col min="1834" max="1835" width="9" style="326"/>
    <col min="1836" max="1836" width="14.125" style="326" customWidth="1"/>
    <col min="1837" max="1837" width="11" style="326" customWidth="1"/>
    <col min="1838" max="1838" width="10.75" style="326" bestFit="1" customWidth="1"/>
    <col min="1839" max="1839" width="13.5" style="326" customWidth="1"/>
    <col min="1840" max="1841" width="9" style="326"/>
    <col min="1842" max="1842" width="10.75" style="326" bestFit="1" customWidth="1"/>
    <col min="1843" max="1843" width="14" style="326" customWidth="1"/>
    <col min="1844" max="1844" width="9" style="326"/>
    <col min="1845" max="1845" width="10.75" style="326" customWidth="1"/>
    <col min="1846" max="1846" width="12.75" style="326" customWidth="1"/>
    <col min="1847" max="1847" width="9" style="326"/>
    <col min="1848" max="1848" width="10.75" style="326" bestFit="1" customWidth="1"/>
    <col min="1849" max="1849" width="11.5" style="326" customWidth="1"/>
    <col min="1850" max="1850" width="13.625" style="326" customWidth="1"/>
    <col min="1851" max="1851" width="10.625" style="326" customWidth="1"/>
    <col min="1852" max="1852" width="10.75" style="326" bestFit="1" customWidth="1"/>
    <col min="1853" max="1853" width="12.375" style="326" customWidth="1"/>
    <col min="1854" max="1856" width="9" style="326"/>
    <col min="1857" max="1857" width="15.75" style="326" customWidth="1"/>
    <col min="1858" max="1858" width="9" style="326"/>
    <col min="1859" max="1859" width="10.75" style="326" bestFit="1" customWidth="1"/>
    <col min="1860" max="1860" width="12.625" style="326" customWidth="1"/>
    <col min="1861" max="1863" width="9" style="326"/>
    <col min="1864" max="1864" width="13.625" style="326" customWidth="1"/>
    <col min="1865" max="1865" width="9" style="326"/>
    <col min="1866" max="1866" width="10.75" style="326" bestFit="1" customWidth="1"/>
    <col min="1867" max="1867" width="12.5" style="326" customWidth="1"/>
    <col min="1868" max="1870" width="9" style="326"/>
    <col min="1871" max="1871" width="12.875" style="326" customWidth="1"/>
    <col min="1872" max="1872" width="9" style="326"/>
    <col min="1873" max="1873" width="10.75" style="326" bestFit="1" customWidth="1"/>
    <col min="1874" max="1874" width="13.875" style="326" customWidth="1"/>
    <col min="1875" max="1877" width="9" style="326"/>
    <col min="1878" max="1878" width="14.125" style="326" customWidth="1"/>
    <col min="1879" max="1879" width="9" style="326"/>
    <col min="1880" max="1880" width="10.75" style="326" bestFit="1" customWidth="1"/>
    <col min="1881" max="1881" width="13.25" style="326" customWidth="1"/>
    <col min="1882" max="1884" width="9" style="326"/>
    <col min="1885" max="1885" width="13.25" style="326" customWidth="1"/>
    <col min="1886" max="1886" width="9" style="326"/>
    <col min="1887" max="1887" width="10.75" style="326" bestFit="1" customWidth="1"/>
    <col min="1888" max="1888" width="13.875" style="326" customWidth="1"/>
    <col min="1889" max="1891" width="9" style="326"/>
    <col min="1892" max="1892" width="13.625" style="326" customWidth="1"/>
    <col min="1893" max="1893" width="9" style="326"/>
    <col min="1894" max="1894" width="10.75" style="326" bestFit="1" customWidth="1"/>
    <col min="1895" max="1895" width="13" style="326" customWidth="1"/>
    <col min="1896" max="2042" width="9" style="326"/>
    <col min="2043" max="2044" width="12.125" style="326" customWidth="1"/>
    <col min="2045" max="2047" width="13" style="326" customWidth="1"/>
    <col min="2048" max="2048" width="12.875" style="326" customWidth="1"/>
    <col min="2049" max="2049" width="13" style="326" customWidth="1"/>
    <col min="2050" max="2050" width="13.125" style="326" customWidth="1"/>
    <col min="2051" max="2052" width="12.125" style="326" customWidth="1"/>
    <col min="2053" max="2053" width="14.375" style="326" bestFit="1" customWidth="1"/>
    <col min="2054" max="2054" width="11" style="326" customWidth="1"/>
    <col min="2055" max="2055" width="10" style="326" customWidth="1"/>
    <col min="2056" max="2056" width="10.875" style="326" customWidth="1"/>
    <col min="2057" max="2057" width="13.75" style="326" customWidth="1"/>
    <col min="2058" max="2058" width="10" style="326" customWidth="1"/>
    <col min="2059" max="2059" width="13.25" style="326" customWidth="1"/>
    <col min="2060" max="2060" width="14.375" style="326" customWidth="1"/>
    <col min="2061" max="2061" width="10" style="326" customWidth="1"/>
    <col min="2062" max="2062" width="10.875" style="326" customWidth="1"/>
    <col min="2063" max="2063" width="11.375" style="326" customWidth="1"/>
    <col min="2064" max="2064" width="15.375" style="326" customWidth="1"/>
    <col min="2065" max="2066" width="10.75" style="326" customWidth="1"/>
    <col min="2067" max="2067" width="14.375" style="326" customWidth="1"/>
    <col min="2068" max="2068" width="10.75" style="326" customWidth="1"/>
    <col min="2069" max="2069" width="11.75" style="326" customWidth="1"/>
    <col min="2070" max="2070" width="10" style="326" customWidth="1"/>
    <col min="2071" max="2071" width="15.375" style="326" customWidth="1"/>
    <col min="2072" max="2072" width="10" style="326" customWidth="1"/>
    <col min="2073" max="2073" width="10.75" style="326" customWidth="1"/>
    <col min="2074" max="2074" width="14.875" style="326" customWidth="1"/>
    <col min="2075" max="2075" width="11.5" style="326" customWidth="1"/>
    <col min="2076" max="2076" width="10" style="326" customWidth="1"/>
    <col min="2077" max="2077" width="10.75" style="326" customWidth="1"/>
    <col min="2078" max="2078" width="13.5" style="326" customWidth="1"/>
    <col min="2079" max="2079" width="9" style="326"/>
    <col min="2080" max="2080" width="10.75" style="326" bestFit="1" customWidth="1"/>
    <col min="2081" max="2081" width="13.75" style="326" customWidth="1"/>
    <col min="2082" max="2082" width="9" style="326"/>
    <col min="2083" max="2083" width="10.625" style="326" customWidth="1"/>
    <col min="2084" max="2084" width="9" style="326"/>
    <col min="2085" max="2085" width="14.25" style="326" customWidth="1"/>
    <col min="2086" max="2086" width="10.75" style="326" bestFit="1" customWidth="1"/>
    <col min="2087" max="2087" width="11.625" style="326" customWidth="1"/>
    <col min="2088" max="2088" width="13.75" style="326" customWidth="1"/>
    <col min="2089" max="2089" width="10.625" style="326" customWidth="1"/>
    <col min="2090" max="2091" width="9" style="326"/>
    <col min="2092" max="2092" width="14.125" style="326" customWidth="1"/>
    <col min="2093" max="2093" width="11" style="326" customWidth="1"/>
    <col min="2094" max="2094" width="10.75" style="326" bestFit="1" customWidth="1"/>
    <col min="2095" max="2095" width="13.5" style="326" customWidth="1"/>
    <col min="2096" max="2097" width="9" style="326"/>
    <col min="2098" max="2098" width="10.75" style="326" bestFit="1" customWidth="1"/>
    <col min="2099" max="2099" width="14" style="326" customWidth="1"/>
    <col min="2100" max="2100" width="9" style="326"/>
    <col min="2101" max="2101" width="10.75" style="326" customWidth="1"/>
    <col min="2102" max="2102" width="12.75" style="326" customWidth="1"/>
    <col min="2103" max="2103" width="9" style="326"/>
    <col min="2104" max="2104" width="10.75" style="326" bestFit="1" customWidth="1"/>
    <col min="2105" max="2105" width="11.5" style="326" customWidth="1"/>
    <col min="2106" max="2106" width="13.625" style="326" customWidth="1"/>
    <col min="2107" max="2107" width="10.625" style="326" customWidth="1"/>
    <col min="2108" max="2108" width="10.75" style="326" bestFit="1" customWidth="1"/>
    <col min="2109" max="2109" width="12.375" style="326" customWidth="1"/>
    <col min="2110" max="2112" width="9" style="326"/>
    <col min="2113" max="2113" width="15.75" style="326" customWidth="1"/>
    <col min="2114" max="2114" width="9" style="326"/>
    <col min="2115" max="2115" width="10.75" style="326" bestFit="1" customWidth="1"/>
    <col min="2116" max="2116" width="12.625" style="326" customWidth="1"/>
    <col min="2117" max="2119" width="9" style="326"/>
    <col min="2120" max="2120" width="13.625" style="326" customWidth="1"/>
    <col min="2121" max="2121" width="9" style="326"/>
    <col min="2122" max="2122" width="10.75" style="326" bestFit="1" customWidth="1"/>
    <col min="2123" max="2123" width="12.5" style="326" customWidth="1"/>
    <col min="2124" max="2126" width="9" style="326"/>
    <col min="2127" max="2127" width="12.875" style="326" customWidth="1"/>
    <col min="2128" max="2128" width="9" style="326"/>
    <col min="2129" max="2129" width="10.75" style="326" bestFit="1" customWidth="1"/>
    <col min="2130" max="2130" width="13.875" style="326" customWidth="1"/>
    <col min="2131" max="2133" width="9" style="326"/>
    <col min="2134" max="2134" width="14.125" style="326" customWidth="1"/>
    <col min="2135" max="2135" width="9" style="326"/>
    <col min="2136" max="2136" width="10.75" style="326" bestFit="1" customWidth="1"/>
    <col min="2137" max="2137" width="13.25" style="326" customWidth="1"/>
    <col min="2138" max="2140" width="9" style="326"/>
    <col min="2141" max="2141" width="13.25" style="326" customWidth="1"/>
    <col min="2142" max="2142" width="9" style="326"/>
    <col min="2143" max="2143" width="10.75" style="326" bestFit="1" customWidth="1"/>
    <col min="2144" max="2144" width="13.875" style="326" customWidth="1"/>
    <col min="2145" max="2147" width="9" style="326"/>
    <col min="2148" max="2148" width="13.625" style="326" customWidth="1"/>
    <col min="2149" max="2149" width="9" style="326"/>
    <col min="2150" max="2150" width="10.75" style="326" bestFit="1" customWidth="1"/>
    <col min="2151" max="2151" width="13" style="326" customWidth="1"/>
    <col min="2152" max="2298" width="9" style="326"/>
    <col min="2299" max="2300" width="12.125" style="326" customWidth="1"/>
    <col min="2301" max="2303" width="13" style="326" customWidth="1"/>
    <col min="2304" max="2304" width="12.875" style="326" customWidth="1"/>
    <col min="2305" max="2305" width="13" style="326" customWidth="1"/>
    <col min="2306" max="2306" width="13.125" style="326" customWidth="1"/>
    <col min="2307" max="2308" width="12.125" style="326" customWidth="1"/>
    <col min="2309" max="2309" width="14.375" style="326" bestFit="1" customWidth="1"/>
    <col min="2310" max="2310" width="11" style="326" customWidth="1"/>
    <col min="2311" max="2311" width="10" style="326" customWidth="1"/>
    <col min="2312" max="2312" width="10.875" style="326" customWidth="1"/>
    <col min="2313" max="2313" width="13.75" style="326" customWidth="1"/>
    <col min="2314" max="2314" width="10" style="326" customWidth="1"/>
    <col min="2315" max="2315" width="13.25" style="326" customWidth="1"/>
    <col min="2316" max="2316" width="14.375" style="326" customWidth="1"/>
    <col min="2317" max="2317" width="10" style="326" customWidth="1"/>
    <col min="2318" max="2318" width="10.875" style="326" customWidth="1"/>
    <col min="2319" max="2319" width="11.375" style="326" customWidth="1"/>
    <col min="2320" max="2320" width="15.375" style="326" customWidth="1"/>
    <col min="2321" max="2322" width="10.75" style="326" customWidth="1"/>
    <col min="2323" max="2323" width="14.375" style="326" customWidth="1"/>
    <col min="2324" max="2324" width="10.75" style="326" customWidth="1"/>
    <col min="2325" max="2325" width="11.75" style="326" customWidth="1"/>
    <col min="2326" max="2326" width="10" style="326" customWidth="1"/>
    <col min="2327" max="2327" width="15.375" style="326" customWidth="1"/>
    <col min="2328" max="2328" width="10" style="326" customWidth="1"/>
    <col min="2329" max="2329" width="10.75" style="326" customWidth="1"/>
    <col min="2330" max="2330" width="14.875" style="326" customWidth="1"/>
    <col min="2331" max="2331" width="11.5" style="326" customWidth="1"/>
    <col min="2332" max="2332" width="10" style="326" customWidth="1"/>
    <col min="2333" max="2333" width="10.75" style="326" customWidth="1"/>
    <col min="2334" max="2334" width="13.5" style="326" customWidth="1"/>
    <col min="2335" max="2335" width="9" style="326"/>
    <col min="2336" max="2336" width="10.75" style="326" bestFit="1" customWidth="1"/>
    <col min="2337" max="2337" width="13.75" style="326" customWidth="1"/>
    <col min="2338" max="2338" width="9" style="326"/>
    <col min="2339" max="2339" width="10.625" style="326" customWidth="1"/>
    <col min="2340" max="2340" width="9" style="326"/>
    <col min="2341" max="2341" width="14.25" style="326" customWidth="1"/>
    <col min="2342" max="2342" width="10.75" style="326" bestFit="1" customWidth="1"/>
    <col min="2343" max="2343" width="11.625" style="326" customWidth="1"/>
    <col min="2344" max="2344" width="13.75" style="326" customWidth="1"/>
    <col min="2345" max="2345" width="10.625" style="326" customWidth="1"/>
    <col min="2346" max="2347" width="9" style="326"/>
    <col min="2348" max="2348" width="14.125" style="326" customWidth="1"/>
    <col min="2349" max="2349" width="11" style="326" customWidth="1"/>
    <col min="2350" max="2350" width="10.75" style="326" bestFit="1" customWidth="1"/>
    <col min="2351" max="2351" width="13.5" style="326" customWidth="1"/>
    <col min="2352" max="2353" width="9" style="326"/>
    <col min="2354" max="2354" width="10.75" style="326" bestFit="1" customWidth="1"/>
    <col min="2355" max="2355" width="14" style="326" customWidth="1"/>
    <col min="2356" max="2356" width="9" style="326"/>
    <col min="2357" max="2357" width="10.75" style="326" customWidth="1"/>
    <col min="2358" max="2358" width="12.75" style="326" customWidth="1"/>
    <col min="2359" max="2359" width="9" style="326"/>
    <col min="2360" max="2360" width="10.75" style="326" bestFit="1" customWidth="1"/>
    <col min="2361" max="2361" width="11.5" style="326" customWidth="1"/>
    <col min="2362" max="2362" width="13.625" style="326" customWidth="1"/>
    <col min="2363" max="2363" width="10.625" style="326" customWidth="1"/>
    <col min="2364" max="2364" width="10.75" style="326" bestFit="1" customWidth="1"/>
    <col min="2365" max="2365" width="12.375" style="326" customWidth="1"/>
    <col min="2366" max="2368" width="9" style="326"/>
    <col min="2369" max="2369" width="15.75" style="326" customWidth="1"/>
    <col min="2370" max="2370" width="9" style="326"/>
    <col min="2371" max="2371" width="10.75" style="326" bestFit="1" customWidth="1"/>
    <col min="2372" max="2372" width="12.625" style="326" customWidth="1"/>
    <col min="2373" max="2375" width="9" style="326"/>
    <col min="2376" max="2376" width="13.625" style="326" customWidth="1"/>
    <col min="2377" max="2377" width="9" style="326"/>
    <col min="2378" max="2378" width="10.75" style="326" bestFit="1" customWidth="1"/>
    <col min="2379" max="2379" width="12.5" style="326" customWidth="1"/>
    <col min="2380" max="2382" width="9" style="326"/>
    <col min="2383" max="2383" width="12.875" style="326" customWidth="1"/>
    <col min="2384" max="2384" width="9" style="326"/>
    <col min="2385" max="2385" width="10.75" style="326" bestFit="1" customWidth="1"/>
    <col min="2386" max="2386" width="13.875" style="326" customWidth="1"/>
    <col min="2387" max="2389" width="9" style="326"/>
    <col min="2390" max="2390" width="14.125" style="326" customWidth="1"/>
    <col min="2391" max="2391" width="9" style="326"/>
    <col min="2392" max="2392" width="10.75" style="326" bestFit="1" customWidth="1"/>
    <col min="2393" max="2393" width="13.25" style="326" customWidth="1"/>
    <col min="2394" max="2396" width="9" style="326"/>
    <col min="2397" max="2397" width="13.25" style="326" customWidth="1"/>
    <col min="2398" max="2398" width="9" style="326"/>
    <col min="2399" max="2399" width="10.75" style="326" bestFit="1" customWidth="1"/>
    <col min="2400" max="2400" width="13.875" style="326" customWidth="1"/>
    <col min="2401" max="2403" width="9" style="326"/>
    <col min="2404" max="2404" width="13.625" style="326" customWidth="1"/>
    <col min="2405" max="2405" width="9" style="326"/>
    <col min="2406" max="2406" width="10.75" style="326" bestFit="1" customWidth="1"/>
    <col min="2407" max="2407" width="13" style="326" customWidth="1"/>
    <col min="2408" max="2554" width="9" style="326"/>
    <col min="2555" max="2556" width="12.125" style="326" customWidth="1"/>
    <col min="2557" max="2559" width="13" style="326" customWidth="1"/>
    <col min="2560" max="2560" width="12.875" style="326" customWidth="1"/>
    <col min="2561" max="2561" width="13" style="326" customWidth="1"/>
    <col min="2562" max="2562" width="13.125" style="326" customWidth="1"/>
    <col min="2563" max="2564" width="12.125" style="326" customWidth="1"/>
    <col min="2565" max="2565" width="14.375" style="326" bestFit="1" customWidth="1"/>
    <col min="2566" max="2566" width="11" style="326" customWidth="1"/>
    <col min="2567" max="2567" width="10" style="326" customWidth="1"/>
    <col min="2568" max="2568" width="10.875" style="326" customWidth="1"/>
    <col min="2569" max="2569" width="13.75" style="326" customWidth="1"/>
    <col min="2570" max="2570" width="10" style="326" customWidth="1"/>
    <col min="2571" max="2571" width="13.25" style="326" customWidth="1"/>
    <col min="2572" max="2572" width="14.375" style="326" customWidth="1"/>
    <col min="2573" max="2573" width="10" style="326" customWidth="1"/>
    <col min="2574" max="2574" width="10.875" style="326" customWidth="1"/>
    <col min="2575" max="2575" width="11.375" style="326" customWidth="1"/>
    <col min="2576" max="2576" width="15.375" style="326" customWidth="1"/>
    <col min="2577" max="2578" width="10.75" style="326" customWidth="1"/>
    <col min="2579" max="2579" width="14.375" style="326" customWidth="1"/>
    <col min="2580" max="2580" width="10.75" style="326" customWidth="1"/>
    <col min="2581" max="2581" width="11.75" style="326" customWidth="1"/>
    <col min="2582" max="2582" width="10" style="326" customWidth="1"/>
    <col min="2583" max="2583" width="15.375" style="326" customWidth="1"/>
    <col min="2584" max="2584" width="10" style="326" customWidth="1"/>
    <col min="2585" max="2585" width="10.75" style="326" customWidth="1"/>
    <col min="2586" max="2586" width="14.875" style="326" customWidth="1"/>
    <col min="2587" max="2587" width="11.5" style="326" customWidth="1"/>
    <col min="2588" max="2588" width="10" style="326" customWidth="1"/>
    <col min="2589" max="2589" width="10.75" style="326" customWidth="1"/>
    <col min="2590" max="2590" width="13.5" style="326" customWidth="1"/>
    <col min="2591" max="2591" width="9" style="326"/>
    <col min="2592" max="2592" width="10.75" style="326" bestFit="1" customWidth="1"/>
    <col min="2593" max="2593" width="13.75" style="326" customWidth="1"/>
    <col min="2594" max="2594" width="9" style="326"/>
    <col min="2595" max="2595" width="10.625" style="326" customWidth="1"/>
    <col min="2596" max="2596" width="9" style="326"/>
    <col min="2597" max="2597" width="14.25" style="326" customWidth="1"/>
    <col min="2598" max="2598" width="10.75" style="326" bestFit="1" customWidth="1"/>
    <col min="2599" max="2599" width="11.625" style="326" customWidth="1"/>
    <col min="2600" max="2600" width="13.75" style="326" customWidth="1"/>
    <col min="2601" max="2601" width="10.625" style="326" customWidth="1"/>
    <col min="2602" max="2603" width="9" style="326"/>
    <col min="2604" max="2604" width="14.125" style="326" customWidth="1"/>
    <col min="2605" max="2605" width="11" style="326" customWidth="1"/>
    <col min="2606" max="2606" width="10.75" style="326" bestFit="1" customWidth="1"/>
    <col min="2607" max="2607" width="13.5" style="326" customWidth="1"/>
    <col min="2608" max="2609" width="9" style="326"/>
    <col min="2610" max="2610" width="10.75" style="326" bestFit="1" customWidth="1"/>
    <col min="2611" max="2611" width="14" style="326" customWidth="1"/>
    <col min="2612" max="2612" width="9" style="326"/>
    <col min="2613" max="2613" width="10.75" style="326" customWidth="1"/>
    <col min="2614" max="2614" width="12.75" style="326" customWidth="1"/>
    <col min="2615" max="2615" width="9" style="326"/>
    <col min="2616" max="2616" width="10.75" style="326" bestFit="1" customWidth="1"/>
    <col min="2617" max="2617" width="11.5" style="326" customWidth="1"/>
    <col min="2618" max="2618" width="13.625" style="326" customWidth="1"/>
    <col min="2619" max="2619" width="10.625" style="326" customWidth="1"/>
    <col min="2620" max="2620" width="10.75" style="326" bestFit="1" customWidth="1"/>
    <col min="2621" max="2621" width="12.375" style="326" customWidth="1"/>
    <col min="2622" max="2624" width="9" style="326"/>
    <col min="2625" max="2625" width="15.75" style="326" customWidth="1"/>
    <col min="2626" max="2626" width="9" style="326"/>
    <col min="2627" max="2627" width="10.75" style="326" bestFit="1" customWidth="1"/>
    <col min="2628" max="2628" width="12.625" style="326" customWidth="1"/>
    <col min="2629" max="2631" width="9" style="326"/>
    <col min="2632" max="2632" width="13.625" style="326" customWidth="1"/>
    <col min="2633" max="2633" width="9" style="326"/>
    <col min="2634" max="2634" width="10.75" style="326" bestFit="1" customWidth="1"/>
    <col min="2635" max="2635" width="12.5" style="326" customWidth="1"/>
    <col min="2636" max="2638" width="9" style="326"/>
    <col min="2639" max="2639" width="12.875" style="326" customWidth="1"/>
    <col min="2640" max="2640" width="9" style="326"/>
    <col min="2641" max="2641" width="10.75" style="326" bestFit="1" customWidth="1"/>
    <col min="2642" max="2642" width="13.875" style="326" customWidth="1"/>
    <col min="2643" max="2645" width="9" style="326"/>
    <col min="2646" max="2646" width="14.125" style="326" customWidth="1"/>
    <col min="2647" max="2647" width="9" style="326"/>
    <col min="2648" max="2648" width="10.75" style="326" bestFit="1" customWidth="1"/>
    <col min="2649" max="2649" width="13.25" style="326" customWidth="1"/>
    <col min="2650" max="2652" width="9" style="326"/>
    <col min="2653" max="2653" width="13.25" style="326" customWidth="1"/>
    <col min="2654" max="2654" width="9" style="326"/>
    <col min="2655" max="2655" width="10.75" style="326" bestFit="1" customWidth="1"/>
    <col min="2656" max="2656" width="13.875" style="326" customWidth="1"/>
    <col min="2657" max="2659" width="9" style="326"/>
    <col min="2660" max="2660" width="13.625" style="326" customWidth="1"/>
    <col min="2661" max="2661" width="9" style="326"/>
    <col min="2662" max="2662" width="10.75" style="326" bestFit="1" customWidth="1"/>
    <col min="2663" max="2663" width="13" style="326" customWidth="1"/>
    <col min="2664" max="2810" width="9" style="326"/>
    <col min="2811" max="2812" width="12.125" style="326" customWidth="1"/>
    <col min="2813" max="2815" width="13" style="326" customWidth="1"/>
    <col min="2816" max="2816" width="12.875" style="326" customWidth="1"/>
    <col min="2817" max="2817" width="13" style="326" customWidth="1"/>
    <col min="2818" max="2818" width="13.125" style="326" customWidth="1"/>
    <col min="2819" max="2820" width="12.125" style="326" customWidth="1"/>
    <col min="2821" max="2821" width="14.375" style="326" bestFit="1" customWidth="1"/>
    <col min="2822" max="2822" width="11" style="326" customWidth="1"/>
    <col min="2823" max="2823" width="10" style="326" customWidth="1"/>
    <col min="2824" max="2824" width="10.875" style="326" customWidth="1"/>
    <col min="2825" max="2825" width="13.75" style="326" customWidth="1"/>
    <col min="2826" max="2826" width="10" style="326" customWidth="1"/>
    <col min="2827" max="2827" width="13.25" style="326" customWidth="1"/>
    <col min="2828" max="2828" width="14.375" style="326" customWidth="1"/>
    <col min="2829" max="2829" width="10" style="326" customWidth="1"/>
    <col min="2830" max="2830" width="10.875" style="326" customWidth="1"/>
    <col min="2831" max="2831" width="11.375" style="326" customWidth="1"/>
    <col min="2832" max="2832" width="15.375" style="326" customWidth="1"/>
    <col min="2833" max="2834" width="10.75" style="326" customWidth="1"/>
    <col min="2835" max="2835" width="14.375" style="326" customWidth="1"/>
    <col min="2836" max="2836" width="10.75" style="326" customWidth="1"/>
    <col min="2837" max="2837" width="11.75" style="326" customWidth="1"/>
    <col min="2838" max="2838" width="10" style="326" customWidth="1"/>
    <col min="2839" max="2839" width="15.375" style="326" customWidth="1"/>
    <col min="2840" max="2840" width="10" style="326" customWidth="1"/>
    <col min="2841" max="2841" width="10.75" style="326" customWidth="1"/>
    <col min="2842" max="2842" width="14.875" style="326" customWidth="1"/>
    <col min="2843" max="2843" width="11.5" style="326" customWidth="1"/>
    <col min="2844" max="2844" width="10" style="326" customWidth="1"/>
    <col min="2845" max="2845" width="10.75" style="326" customWidth="1"/>
    <col min="2846" max="2846" width="13.5" style="326" customWidth="1"/>
    <col min="2847" max="2847" width="9" style="326"/>
    <col min="2848" max="2848" width="10.75" style="326" bestFit="1" customWidth="1"/>
    <col min="2849" max="2849" width="13.75" style="326" customWidth="1"/>
    <col min="2850" max="2850" width="9" style="326"/>
    <col min="2851" max="2851" width="10.625" style="326" customWidth="1"/>
    <col min="2852" max="2852" width="9" style="326"/>
    <col min="2853" max="2853" width="14.25" style="326" customWidth="1"/>
    <col min="2854" max="2854" width="10.75" style="326" bestFit="1" customWidth="1"/>
    <col min="2855" max="2855" width="11.625" style="326" customWidth="1"/>
    <col min="2856" max="2856" width="13.75" style="326" customWidth="1"/>
    <col min="2857" max="2857" width="10.625" style="326" customWidth="1"/>
    <col min="2858" max="2859" width="9" style="326"/>
    <col min="2860" max="2860" width="14.125" style="326" customWidth="1"/>
    <col min="2861" max="2861" width="11" style="326" customWidth="1"/>
    <col min="2862" max="2862" width="10.75" style="326" bestFit="1" customWidth="1"/>
    <col min="2863" max="2863" width="13.5" style="326" customWidth="1"/>
    <col min="2864" max="2865" width="9" style="326"/>
    <col min="2866" max="2866" width="10.75" style="326" bestFit="1" customWidth="1"/>
    <col min="2867" max="2867" width="14" style="326" customWidth="1"/>
    <col min="2868" max="2868" width="9" style="326"/>
    <col min="2869" max="2869" width="10.75" style="326" customWidth="1"/>
    <col min="2870" max="2870" width="12.75" style="326" customWidth="1"/>
    <col min="2871" max="2871" width="9" style="326"/>
    <col min="2872" max="2872" width="10.75" style="326" bestFit="1" customWidth="1"/>
    <col min="2873" max="2873" width="11.5" style="326" customWidth="1"/>
    <col min="2874" max="2874" width="13.625" style="326" customWidth="1"/>
    <col min="2875" max="2875" width="10.625" style="326" customWidth="1"/>
    <col min="2876" max="2876" width="10.75" style="326" bestFit="1" customWidth="1"/>
    <col min="2877" max="2877" width="12.375" style="326" customWidth="1"/>
    <col min="2878" max="2880" width="9" style="326"/>
    <col min="2881" max="2881" width="15.75" style="326" customWidth="1"/>
    <col min="2882" max="2882" width="9" style="326"/>
    <col min="2883" max="2883" width="10.75" style="326" bestFit="1" customWidth="1"/>
    <col min="2884" max="2884" width="12.625" style="326" customWidth="1"/>
    <col min="2885" max="2887" width="9" style="326"/>
    <col min="2888" max="2888" width="13.625" style="326" customWidth="1"/>
    <col min="2889" max="2889" width="9" style="326"/>
    <col min="2890" max="2890" width="10.75" style="326" bestFit="1" customWidth="1"/>
    <col min="2891" max="2891" width="12.5" style="326" customWidth="1"/>
    <col min="2892" max="2894" width="9" style="326"/>
    <col min="2895" max="2895" width="12.875" style="326" customWidth="1"/>
    <col min="2896" max="2896" width="9" style="326"/>
    <col min="2897" max="2897" width="10.75" style="326" bestFit="1" customWidth="1"/>
    <col min="2898" max="2898" width="13.875" style="326" customWidth="1"/>
    <col min="2899" max="2901" width="9" style="326"/>
    <col min="2902" max="2902" width="14.125" style="326" customWidth="1"/>
    <col min="2903" max="2903" width="9" style="326"/>
    <col min="2904" max="2904" width="10.75" style="326" bestFit="1" customWidth="1"/>
    <col min="2905" max="2905" width="13.25" style="326" customWidth="1"/>
    <col min="2906" max="2908" width="9" style="326"/>
    <col min="2909" max="2909" width="13.25" style="326" customWidth="1"/>
    <col min="2910" max="2910" width="9" style="326"/>
    <col min="2911" max="2911" width="10.75" style="326" bestFit="1" customWidth="1"/>
    <col min="2912" max="2912" width="13.875" style="326" customWidth="1"/>
    <col min="2913" max="2915" width="9" style="326"/>
    <col min="2916" max="2916" width="13.625" style="326" customWidth="1"/>
    <col min="2917" max="2917" width="9" style="326"/>
    <col min="2918" max="2918" width="10.75" style="326" bestFit="1" customWidth="1"/>
    <col min="2919" max="2919" width="13" style="326" customWidth="1"/>
    <col min="2920" max="3066" width="9" style="326"/>
    <col min="3067" max="3068" width="12.125" style="326" customWidth="1"/>
    <col min="3069" max="3071" width="13" style="326" customWidth="1"/>
    <col min="3072" max="3072" width="12.875" style="326" customWidth="1"/>
    <col min="3073" max="3073" width="13" style="326" customWidth="1"/>
    <col min="3074" max="3074" width="13.125" style="326" customWidth="1"/>
    <col min="3075" max="3076" width="12.125" style="326" customWidth="1"/>
    <col min="3077" max="3077" width="14.375" style="326" bestFit="1" customWidth="1"/>
    <col min="3078" max="3078" width="11" style="326" customWidth="1"/>
    <col min="3079" max="3079" width="10" style="326" customWidth="1"/>
    <col min="3080" max="3080" width="10.875" style="326" customWidth="1"/>
    <col min="3081" max="3081" width="13.75" style="326" customWidth="1"/>
    <col min="3082" max="3082" width="10" style="326" customWidth="1"/>
    <col min="3083" max="3083" width="13.25" style="326" customWidth="1"/>
    <col min="3084" max="3084" width="14.375" style="326" customWidth="1"/>
    <col min="3085" max="3085" width="10" style="326" customWidth="1"/>
    <col min="3086" max="3086" width="10.875" style="326" customWidth="1"/>
    <col min="3087" max="3087" width="11.375" style="326" customWidth="1"/>
    <col min="3088" max="3088" width="15.375" style="326" customWidth="1"/>
    <col min="3089" max="3090" width="10.75" style="326" customWidth="1"/>
    <col min="3091" max="3091" width="14.375" style="326" customWidth="1"/>
    <col min="3092" max="3092" width="10.75" style="326" customWidth="1"/>
    <col min="3093" max="3093" width="11.75" style="326" customWidth="1"/>
    <col min="3094" max="3094" width="10" style="326" customWidth="1"/>
    <col min="3095" max="3095" width="15.375" style="326" customWidth="1"/>
    <col min="3096" max="3096" width="10" style="326" customWidth="1"/>
    <col min="3097" max="3097" width="10.75" style="326" customWidth="1"/>
    <col min="3098" max="3098" width="14.875" style="326" customWidth="1"/>
    <col min="3099" max="3099" width="11.5" style="326" customWidth="1"/>
    <col min="3100" max="3100" width="10" style="326" customWidth="1"/>
    <col min="3101" max="3101" width="10.75" style="326" customWidth="1"/>
    <col min="3102" max="3102" width="13.5" style="326" customWidth="1"/>
    <col min="3103" max="3103" width="9" style="326"/>
    <col min="3104" max="3104" width="10.75" style="326" bestFit="1" customWidth="1"/>
    <col min="3105" max="3105" width="13.75" style="326" customWidth="1"/>
    <col min="3106" max="3106" width="9" style="326"/>
    <col min="3107" max="3107" width="10.625" style="326" customWidth="1"/>
    <col min="3108" max="3108" width="9" style="326"/>
    <col min="3109" max="3109" width="14.25" style="326" customWidth="1"/>
    <col min="3110" max="3110" width="10.75" style="326" bestFit="1" customWidth="1"/>
    <col min="3111" max="3111" width="11.625" style="326" customWidth="1"/>
    <col min="3112" max="3112" width="13.75" style="326" customWidth="1"/>
    <col min="3113" max="3113" width="10.625" style="326" customWidth="1"/>
    <col min="3114" max="3115" width="9" style="326"/>
    <col min="3116" max="3116" width="14.125" style="326" customWidth="1"/>
    <col min="3117" max="3117" width="11" style="326" customWidth="1"/>
    <col min="3118" max="3118" width="10.75" style="326" bestFit="1" customWidth="1"/>
    <col min="3119" max="3119" width="13.5" style="326" customWidth="1"/>
    <col min="3120" max="3121" width="9" style="326"/>
    <col min="3122" max="3122" width="10.75" style="326" bestFit="1" customWidth="1"/>
    <col min="3123" max="3123" width="14" style="326" customWidth="1"/>
    <col min="3124" max="3124" width="9" style="326"/>
    <col min="3125" max="3125" width="10.75" style="326" customWidth="1"/>
    <col min="3126" max="3126" width="12.75" style="326" customWidth="1"/>
    <col min="3127" max="3127" width="9" style="326"/>
    <col min="3128" max="3128" width="10.75" style="326" bestFit="1" customWidth="1"/>
    <col min="3129" max="3129" width="11.5" style="326" customWidth="1"/>
    <col min="3130" max="3130" width="13.625" style="326" customWidth="1"/>
    <col min="3131" max="3131" width="10.625" style="326" customWidth="1"/>
    <col min="3132" max="3132" width="10.75" style="326" bestFit="1" customWidth="1"/>
    <col min="3133" max="3133" width="12.375" style="326" customWidth="1"/>
    <col min="3134" max="3136" width="9" style="326"/>
    <col min="3137" max="3137" width="15.75" style="326" customWidth="1"/>
    <col min="3138" max="3138" width="9" style="326"/>
    <col min="3139" max="3139" width="10.75" style="326" bestFit="1" customWidth="1"/>
    <col min="3140" max="3140" width="12.625" style="326" customWidth="1"/>
    <col min="3141" max="3143" width="9" style="326"/>
    <col min="3144" max="3144" width="13.625" style="326" customWidth="1"/>
    <col min="3145" max="3145" width="9" style="326"/>
    <col min="3146" max="3146" width="10.75" style="326" bestFit="1" customWidth="1"/>
    <col min="3147" max="3147" width="12.5" style="326" customWidth="1"/>
    <col min="3148" max="3150" width="9" style="326"/>
    <col min="3151" max="3151" width="12.875" style="326" customWidth="1"/>
    <col min="3152" max="3152" width="9" style="326"/>
    <col min="3153" max="3153" width="10.75" style="326" bestFit="1" customWidth="1"/>
    <col min="3154" max="3154" width="13.875" style="326" customWidth="1"/>
    <col min="3155" max="3157" width="9" style="326"/>
    <col min="3158" max="3158" width="14.125" style="326" customWidth="1"/>
    <col min="3159" max="3159" width="9" style="326"/>
    <col min="3160" max="3160" width="10.75" style="326" bestFit="1" customWidth="1"/>
    <col min="3161" max="3161" width="13.25" style="326" customWidth="1"/>
    <col min="3162" max="3164" width="9" style="326"/>
    <col min="3165" max="3165" width="13.25" style="326" customWidth="1"/>
    <col min="3166" max="3166" width="9" style="326"/>
    <col min="3167" max="3167" width="10.75" style="326" bestFit="1" customWidth="1"/>
    <col min="3168" max="3168" width="13.875" style="326" customWidth="1"/>
    <col min="3169" max="3171" width="9" style="326"/>
    <col min="3172" max="3172" width="13.625" style="326" customWidth="1"/>
    <col min="3173" max="3173" width="9" style="326"/>
    <col min="3174" max="3174" width="10.75" style="326" bestFit="1" customWidth="1"/>
    <col min="3175" max="3175" width="13" style="326" customWidth="1"/>
    <col min="3176" max="3322" width="9" style="326"/>
    <col min="3323" max="3324" width="12.125" style="326" customWidth="1"/>
    <col min="3325" max="3327" width="13" style="326" customWidth="1"/>
    <col min="3328" max="3328" width="12.875" style="326" customWidth="1"/>
    <col min="3329" max="3329" width="13" style="326" customWidth="1"/>
    <col min="3330" max="3330" width="13.125" style="326" customWidth="1"/>
    <col min="3331" max="3332" width="12.125" style="326" customWidth="1"/>
    <col min="3333" max="3333" width="14.375" style="326" bestFit="1" customWidth="1"/>
    <col min="3334" max="3334" width="11" style="326" customWidth="1"/>
    <col min="3335" max="3335" width="10" style="326" customWidth="1"/>
    <col min="3336" max="3336" width="10.875" style="326" customWidth="1"/>
    <col min="3337" max="3337" width="13.75" style="326" customWidth="1"/>
    <col min="3338" max="3338" width="10" style="326" customWidth="1"/>
    <col min="3339" max="3339" width="13.25" style="326" customWidth="1"/>
    <col min="3340" max="3340" width="14.375" style="326" customWidth="1"/>
    <col min="3341" max="3341" width="10" style="326" customWidth="1"/>
    <col min="3342" max="3342" width="10.875" style="326" customWidth="1"/>
    <col min="3343" max="3343" width="11.375" style="326" customWidth="1"/>
    <col min="3344" max="3344" width="15.375" style="326" customWidth="1"/>
    <col min="3345" max="3346" width="10.75" style="326" customWidth="1"/>
    <col min="3347" max="3347" width="14.375" style="326" customWidth="1"/>
    <col min="3348" max="3348" width="10.75" style="326" customWidth="1"/>
    <col min="3349" max="3349" width="11.75" style="326" customWidth="1"/>
    <col min="3350" max="3350" width="10" style="326" customWidth="1"/>
    <col min="3351" max="3351" width="15.375" style="326" customWidth="1"/>
    <col min="3352" max="3352" width="10" style="326" customWidth="1"/>
    <col min="3353" max="3353" width="10.75" style="326" customWidth="1"/>
    <col min="3354" max="3354" width="14.875" style="326" customWidth="1"/>
    <col min="3355" max="3355" width="11.5" style="326" customWidth="1"/>
    <col min="3356" max="3356" width="10" style="326" customWidth="1"/>
    <col min="3357" max="3357" width="10.75" style="326" customWidth="1"/>
    <col min="3358" max="3358" width="13.5" style="326" customWidth="1"/>
    <col min="3359" max="3359" width="9" style="326"/>
    <col min="3360" max="3360" width="10.75" style="326" bestFit="1" customWidth="1"/>
    <col min="3361" max="3361" width="13.75" style="326" customWidth="1"/>
    <col min="3362" max="3362" width="9" style="326"/>
    <col min="3363" max="3363" width="10.625" style="326" customWidth="1"/>
    <col min="3364" max="3364" width="9" style="326"/>
    <col min="3365" max="3365" width="14.25" style="326" customWidth="1"/>
    <col min="3366" max="3366" width="10.75" style="326" bestFit="1" customWidth="1"/>
    <col min="3367" max="3367" width="11.625" style="326" customWidth="1"/>
    <col min="3368" max="3368" width="13.75" style="326" customWidth="1"/>
    <col min="3369" max="3369" width="10.625" style="326" customWidth="1"/>
    <col min="3370" max="3371" width="9" style="326"/>
    <col min="3372" max="3372" width="14.125" style="326" customWidth="1"/>
    <col min="3373" max="3373" width="11" style="326" customWidth="1"/>
    <col min="3374" max="3374" width="10.75" style="326" bestFit="1" customWidth="1"/>
    <col min="3375" max="3375" width="13.5" style="326" customWidth="1"/>
    <col min="3376" max="3377" width="9" style="326"/>
    <col min="3378" max="3378" width="10.75" style="326" bestFit="1" customWidth="1"/>
    <col min="3379" max="3379" width="14" style="326" customWidth="1"/>
    <col min="3380" max="3380" width="9" style="326"/>
    <col min="3381" max="3381" width="10.75" style="326" customWidth="1"/>
    <col min="3382" max="3382" width="12.75" style="326" customWidth="1"/>
    <col min="3383" max="3383" width="9" style="326"/>
    <col min="3384" max="3384" width="10.75" style="326" bestFit="1" customWidth="1"/>
    <col min="3385" max="3385" width="11.5" style="326" customWidth="1"/>
    <col min="3386" max="3386" width="13.625" style="326" customWidth="1"/>
    <col min="3387" max="3387" width="10.625" style="326" customWidth="1"/>
    <col min="3388" max="3388" width="10.75" style="326" bestFit="1" customWidth="1"/>
    <col min="3389" max="3389" width="12.375" style="326" customWidth="1"/>
    <col min="3390" max="3392" width="9" style="326"/>
    <col min="3393" max="3393" width="15.75" style="326" customWidth="1"/>
    <col min="3394" max="3394" width="9" style="326"/>
    <col min="3395" max="3395" width="10.75" style="326" bestFit="1" customWidth="1"/>
    <col min="3396" max="3396" width="12.625" style="326" customWidth="1"/>
    <col min="3397" max="3399" width="9" style="326"/>
    <col min="3400" max="3400" width="13.625" style="326" customWidth="1"/>
    <col min="3401" max="3401" width="9" style="326"/>
    <col min="3402" max="3402" width="10.75" style="326" bestFit="1" customWidth="1"/>
    <col min="3403" max="3403" width="12.5" style="326" customWidth="1"/>
    <col min="3404" max="3406" width="9" style="326"/>
    <col min="3407" max="3407" width="12.875" style="326" customWidth="1"/>
    <col min="3408" max="3408" width="9" style="326"/>
    <col min="3409" max="3409" width="10.75" style="326" bestFit="1" customWidth="1"/>
    <col min="3410" max="3410" width="13.875" style="326" customWidth="1"/>
    <col min="3411" max="3413" width="9" style="326"/>
    <col min="3414" max="3414" width="14.125" style="326" customWidth="1"/>
    <col min="3415" max="3415" width="9" style="326"/>
    <col min="3416" max="3416" width="10.75" style="326" bestFit="1" customWidth="1"/>
    <col min="3417" max="3417" width="13.25" style="326" customWidth="1"/>
    <col min="3418" max="3420" width="9" style="326"/>
    <col min="3421" max="3421" width="13.25" style="326" customWidth="1"/>
    <col min="3422" max="3422" width="9" style="326"/>
    <col min="3423" max="3423" width="10.75" style="326" bestFit="1" customWidth="1"/>
    <col min="3424" max="3424" width="13.875" style="326" customWidth="1"/>
    <col min="3425" max="3427" width="9" style="326"/>
    <col min="3428" max="3428" width="13.625" style="326" customWidth="1"/>
    <col min="3429" max="3429" width="9" style="326"/>
    <col min="3430" max="3430" width="10.75" style="326" bestFit="1" customWidth="1"/>
    <col min="3431" max="3431" width="13" style="326" customWidth="1"/>
    <col min="3432" max="3578" width="9" style="326"/>
    <col min="3579" max="3580" width="12.125" style="326" customWidth="1"/>
    <col min="3581" max="3583" width="13" style="326" customWidth="1"/>
    <col min="3584" max="3584" width="12.875" style="326" customWidth="1"/>
    <col min="3585" max="3585" width="13" style="326" customWidth="1"/>
    <col min="3586" max="3586" width="13.125" style="326" customWidth="1"/>
    <col min="3587" max="3588" width="12.125" style="326" customWidth="1"/>
    <col min="3589" max="3589" width="14.375" style="326" bestFit="1" customWidth="1"/>
    <col min="3590" max="3590" width="11" style="326" customWidth="1"/>
    <col min="3591" max="3591" width="10" style="326" customWidth="1"/>
    <col min="3592" max="3592" width="10.875" style="326" customWidth="1"/>
    <col min="3593" max="3593" width="13.75" style="326" customWidth="1"/>
    <col min="3594" max="3594" width="10" style="326" customWidth="1"/>
    <col min="3595" max="3595" width="13.25" style="326" customWidth="1"/>
    <col min="3596" max="3596" width="14.375" style="326" customWidth="1"/>
    <col min="3597" max="3597" width="10" style="326" customWidth="1"/>
    <col min="3598" max="3598" width="10.875" style="326" customWidth="1"/>
    <col min="3599" max="3599" width="11.375" style="326" customWidth="1"/>
    <col min="3600" max="3600" width="15.375" style="326" customWidth="1"/>
    <col min="3601" max="3602" width="10.75" style="326" customWidth="1"/>
    <col min="3603" max="3603" width="14.375" style="326" customWidth="1"/>
    <col min="3604" max="3604" width="10.75" style="326" customWidth="1"/>
    <col min="3605" max="3605" width="11.75" style="326" customWidth="1"/>
    <col min="3606" max="3606" width="10" style="326" customWidth="1"/>
    <col min="3607" max="3607" width="15.375" style="326" customWidth="1"/>
    <col min="3608" max="3608" width="10" style="326" customWidth="1"/>
    <col min="3609" max="3609" width="10.75" style="326" customWidth="1"/>
    <col min="3610" max="3610" width="14.875" style="326" customWidth="1"/>
    <col min="3611" max="3611" width="11.5" style="326" customWidth="1"/>
    <col min="3612" max="3612" width="10" style="326" customWidth="1"/>
    <col min="3613" max="3613" width="10.75" style="326" customWidth="1"/>
    <col min="3614" max="3614" width="13.5" style="326" customWidth="1"/>
    <col min="3615" max="3615" width="9" style="326"/>
    <col min="3616" max="3616" width="10.75" style="326" bestFit="1" customWidth="1"/>
    <col min="3617" max="3617" width="13.75" style="326" customWidth="1"/>
    <col min="3618" max="3618" width="9" style="326"/>
    <col min="3619" max="3619" width="10.625" style="326" customWidth="1"/>
    <col min="3620" max="3620" width="9" style="326"/>
    <col min="3621" max="3621" width="14.25" style="326" customWidth="1"/>
    <col min="3622" max="3622" width="10.75" style="326" bestFit="1" customWidth="1"/>
    <col min="3623" max="3623" width="11.625" style="326" customWidth="1"/>
    <col min="3624" max="3624" width="13.75" style="326" customWidth="1"/>
    <col min="3625" max="3625" width="10.625" style="326" customWidth="1"/>
    <col min="3626" max="3627" width="9" style="326"/>
    <col min="3628" max="3628" width="14.125" style="326" customWidth="1"/>
    <col min="3629" max="3629" width="11" style="326" customWidth="1"/>
    <col min="3630" max="3630" width="10.75" style="326" bestFit="1" customWidth="1"/>
    <col min="3631" max="3631" width="13.5" style="326" customWidth="1"/>
    <col min="3632" max="3633" width="9" style="326"/>
    <col min="3634" max="3634" width="10.75" style="326" bestFit="1" customWidth="1"/>
    <col min="3635" max="3635" width="14" style="326" customWidth="1"/>
    <col min="3636" max="3636" width="9" style="326"/>
    <col min="3637" max="3637" width="10.75" style="326" customWidth="1"/>
    <col min="3638" max="3638" width="12.75" style="326" customWidth="1"/>
    <col min="3639" max="3639" width="9" style="326"/>
    <col min="3640" max="3640" width="10.75" style="326" bestFit="1" customWidth="1"/>
    <col min="3641" max="3641" width="11.5" style="326" customWidth="1"/>
    <col min="3642" max="3642" width="13.625" style="326" customWidth="1"/>
    <col min="3643" max="3643" width="10.625" style="326" customWidth="1"/>
    <col min="3644" max="3644" width="10.75" style="326" bestFit="1" customWidth="1"/>
    <col min="3645" max="3645" width="12.375" style="326" customWidth="1"/>
    <col min="3646" max="3648" width="9" style="326"/>
    <col min="3649" max="3649" width="15.75" style="326" customWidth="1"/>
    <col min="3650" max="3650" width="9" style="326"/>
    <col min="3651" max="3651" width="10.75" style="326" bestFit="1" customWidth="1"/>
    <col min="3652" max="3652" width="12.625" style="326" customWidth="1"/>
    <col min="3653" max="3655" width="9" style="326"/>
    <col min="3656" max="3656" width="13.625" style="326" customWidth="1"/>
    <col min="3657" max="3657" width="9" style="326"/>
    <col min="3658" max="3658" width="10.75" style="326" bestFit="1" customWidth="1"/>
    <col min="3659" max="3659" width="12.5" style="326" customWidth="1"/>
    <col min="3660" max="3662" width="9" style="326"/>
    <col min="3663" max="3663" width="12.875" style="326" customWidth="1"/>
    <col min="3664" max="3664" width="9" style="326"/>
    <col min="3665" max="3665" width="10.75" style="326" bestFit="1" customWidth="1"/>
    <col min="3666" max="3666" width="13.875" style="326" customWidth="1"/>
    <col min="3667" max="3669" width="9" style="326"/>
    <col min="3670" max="3670" width="14.125" style="326" customWidth="1"/>
    <col min="3671" max="3671" width="9" style="326"/>
    <col min="3672" max="3672" width="10.75" style="326" bestFit="1" customWidth="1"/>
    <col min="3673" max="3673" width="13.25" style="326" customWidth="1"/>
    <col min="3674" max="3676" width="9" style="326"/>
    <col min="3677" max="3677" width="13.25" style="326" customWidth="1"/>
    <col min="3678" max="3678" width="9" style="326"/>
    <col min="3679" max="3679" width="10.75" style="326" bestFit="1" customWidth="1"/>
    <col min="3680" max="3680" width="13.875" style="326" customWidth="1"/>
    <col min="3681" max="3683" width="9" style="326"/>
    <col min="3684" max="3684" width="13.625" style="326" customWidth="1"/>
    <col min="3685" max="3685" width="9" style="326"/>
    <col min="3686" max="3686" width="10.75" style="326" bestFit="1" customWidth="1"/>
    <col min="3687" max="3687" width="13" style="326" customWidth="1"/>
    <col min="3688" max="3834" width="9" style="326"/>
    <col min="3835" max="3836" width="12.125" style="326" customWidth="1"/>
    <col min="3837" max="3839" width="13" style="326" customWidth="1"/>
    <col min="3840" max="3840" width="12.875" style="326" customWidth="1"/>
    <col min="3841" max="3841" width="13" style="326" customWidth="1"/>
    <col min="3842" max="3842" width="13.125" style="326" customWidth="1"/>
    <col min="3843" max="3844" width="12.125" style="326" customWidth="1"/>
    <col min="3845" max="3845" width="14.375" style="326" bestFit="1" customWidth="1"/>
    <col min="3846" max="3846" width="11" style="326" customWidth="1"/>
    <col min="3847" max="3847" width="10" style="326" customWidth="1"/>
    <col min="3848" max="3848" width="10.875" style="326" customWidth="1"/>
    <col min="3849" max="3849" width="13.75" style="326" customWidth="1"/>
    <col min="3850" max="3850" width="10" style="326" customWidth="1"/>
    <col min="3851" max="3851" width="13.25" style="326" customWidth="1"/>
    <col min="3852" max="3852" width="14.375" style="326" customWidth="1"/>
    <col min="3853" max="3853" width="10" style="326" customWidth="1"/>
    <col min="3854" max="3854" width="10.875" style="326" customWidth="1"/>
    <col min="3855" max="3855" width="11.375" style="326" customWidth="1"/>
    <col min="3856" max="3856" width="15.375" style="326" customWidth="1"/>
    <col min="3857" max="3858" width="10.75" style="326" customWidth="1"/>
    <col min="3859" max="3859" width="14.375" style="326" customWidth="1"/>
    <col min="3860" max="3860" width="10.75" style="326" customWidth="1"/>
    <col min="3861" max="3861" width="11.75" style="326" customWidth="1"/>
    <col min="3862" max="3862" width="10" style="326" customWidth="1"/>
    <col min="3863" max="3863" width="15.375" style="326" customWidth="1"/>
    <col min="3864" max="3864" width="10" style="326" customWidth="1"/>
    <col min="3865" max="3865" width="10.75" style="326" customWidth="1"/>
    <col min="3866" max="3866" width="14.875" style="326" customWidth="1"/>
    <col min="3867" max="3867" width="11.5" style="326" customWidth="1"/>
    <col min="3868" max="3868" width="10" style="326" customWidth="1"/>
    <col min="3869" max="3869" width="10.75" style="326" customWidth="1"/>
    <col min="3870" max="3870" width="13.5" style="326" customWidth="1"/>
    <col min="3871" max="3871" width="9" style="326"/>
    <col min="3872" max="3872" width="10.75" style="326" bestFit="1" customWidth="1"/>
    <col min="3873" max="3873" width="13.75" style="326" customWidth="1"/>
    <col min="3874" max="3874" width="9" style="326"/>
    <col min="3875" max="3875" width="10.625" style="326" customWidth="1"/>
    <col min="3876" max="3876" width="9" style="326"/>
    <col min="3877" max="3877" width="14.25" style="326" customWidth="1"/>
    <col min="3878" max="3878" width="10.75" style="326" bestFit="1" customWidth="1"/>
    <col min="3879" max="3879" width="11.625" style="326" customWidth="1"/>
    <col min="3880" max="3880" width="13.75" style="326" customWidth="1"/>
    <col min="3881" max="3881" width="10.625" style="326" customWidth="1"/>
    <col min="3882" max="3883" width="9" style="326"/>
    <col min="3884" max="3884" width="14.125" style="326" customWidth="1"/>
    <col min="3885" max="3885" width="11" style="326" customWidth="1"/>
    <col min="3886" max="3886" width="10.75" style="326" bestFit="1" customWidth="1"/>
    <col min="3887" max="3887" width="13.5" style="326" customWidth="1"/>
    <col min="3888" max="3889" width="9" style="326"/>
    <col min="3890" max="3890" width="10.75" style="326" bestFit="1" customWidth="1"/>
    <col min="3891" max="3891" width="14" style="326" customWidth="1"/>
    <col min="3892" max="3892" width="9" style="326"/>
    <col min="3893" max="3893" width="10.75" style="326" customWidth="1"/>
    <col min="3894" max="3894" width="12.75" style="326" customWidth="1"/>
    <col min="3895" max="3895" width="9" style="326"/>
    <col min="3896" max="3896" width="10.75" style="326" bestFit="1" customWidth="1"/>
    <col min="3897" max="3897" width="11.5" style="326" customWidth="1"/>
    <col min="3898" max="3898" width="13.625" style="326" customWidth="1"/>
    <col min="3899" max="3899" width="10.625" style="326" customWidth="1"/>
    <col min="3900" max="3900" width="10.75" style="326" bestFit="1" customWidth="1"/>
    <col min="3901" max="3901" width="12.375" style="326" customWidth="1"/>
    <col min="3902" max="3904" width="9" style="326"/>
    <col min="3905" max="3905" width="15.75" style="326" customWidth="1"/>
    <col min="3906" max="3906" width="9" style="326"/>
    <col min="3907" max="3907" width="10.75" style="326" bestFit="1" customWidth="1"/>
    <col min="3908" max="3908" width="12.625" style="326" customWidth="1"/>
    <col min="3909" max="3911" width="9" style="326"/>
    <col min="3912" max="3912" width="13.625" style="326" customWidth="1"/>
    <col min="3913" max="3913" width="9" style="326"/>
    <col min="3914" max="3914" width="10.75" style="326" bestFit="1" customWidth="1"/>
    <col min="3915" max="3915" width="12.5" style="326" customWidth="1"/>
    <col min="3916" max="3918" width="9" style="326"/>
    <col min="3919" max="3919" width="12.875" style="326" customWidth="1"/>
    <col min="3920" max="3920" width="9" style="326"/>
    <col min="3921" max="3921" width="10.75" style="326" bestFit="1" customWidth="1"/>
    <col min="3922" max="3922" width="13.875" style="326" customWidth="1"/>
    <col min="3923" max="3925" width="9" style="326"/>
    <col min="3926" max="3926" width="14.125" style="326" customWidth="1"/>
    <col min="3927" max="3927" width="9" style="326"/>
    <col min="3928" max="3928" width="10.75" style="326" bestFit="1" customWidth="1"/>
    <col min="3929" max="3929" width="13.25" style="326" customWidth="1"/>
    <col min="3930" max="3932" width="9" style="326"/>
    <col min="3933" max="3933" width="13.25" style="326" customWidth="1"/>
    <col min="3934" max="3934" width="9" style="326"/>
    <col min="3935" max="3935" width="10.75" style="326" bestFit="1" customWidth="1"/>
    <col min="3936" max="3936" width="13.875" style="326" customWidth="1"/>
    <col min="3937" max="3939" width="9" style="326"/>
    <col min="3940" max="3940" width="13.625" style="326" customWidth="1"/>
    <col min="3941" max="3941" width="9" style="326"/>
    <col min="3942" max="3942" width="10.75" style="326" bestFit="1" customWidth="1"/>
    <col min="3943" max="3943" width="13" style="326" customWidth="1"/>
    <col min="3944" max="4090" width="9" style="326"/>
    <col min="4091" max="4092" width="12.125" style="326" customWidth="1"/>
    <col min="4093" max="4095" width="13" style="326" customWidth="1"/>
    <col min="4096" max="4096" width="12.875" style="326" customWidth="1"/>
    <col min="4097" max="4097" width="13" style="326" customWidth="1"/>
    <col min="4098" max="4098" width="13.125" style="326" customWidth="1"/>
    <col min="4099" max="4100" width="12.125" style="326" customWidth="1"/>
    <col min="4101" max="4101" width="14.375" style="326" bestFit="1" customWidth="1"/>
    <col min="4102" max="4102" width="11" style="326" customWidth="1"/>
    <col min="4103" max="4103" width="10" style="326" customWidth="1"/>
    <col min="4104" max="4104" width="10.875" style="326" customWidth="1"/>
    <col min="4105" max="4105" width="13.75" style="326" customWidth="1"/>
    <col min="4106" max="4106" width="10" style="326" customWidth="1"/>
    <col min="4107" max="4107" width="13.25" style="326" customWidth="1"/>
    <col min="4108" max="4108" width="14.375" style="326" customWidth="1"/>
    <col min="4109" max="4109" width="10" style="326" customWidth="1"/>
    <col min="4110" max="4110" width="10.875" style="326" customWidth="1"/>
    <col min="4111" max="4111" width="11.375" style="326" customWidth="1"/>
    <col min="4112" max="4112" width="15.375" style="326" customWidth="1"/>
    <col min="4113" max="4114" width="10.75" style="326" customWidth="1"/>
    <col min="4115" max="4115" width="14.375" style="326" customWidth="1"/>
    <col min="4116" max="4116" width="10.75" style="326" customWidth="1"/>
    <col min="4117" max="4117" width="11.75" style="326" customWidth="1"/>
    <col min="4118" max="4118" width="10" style="326" customWidth="1"/>
    <col min="4119" max="4119" width="15.375" style="326" customWidth="1"/>
    <col min="4120" max="4120" width="10" style="326" customWidth="1"/>
    <col min="4121" max="4121" width="10.75" style="326" customWidth="1"/>
    <col min="4122" max="4122" width="14.875" style="326" customWidth="1"/>
    <col min="4123" max="4123" width="11.5" style="326" customWidth="1"/>
    <col min="4124" max="4124" width="10" style="326" customWidth="1"/>
    <col min="4125" max="4125" width="10.75" style="326" customWidth="1"/>
    <col min="4126" max="4126" width="13.5" style="326" customWidth="1"/>
    <col min="4127" max="4127" width="9" style="326"/>
    <col min="4128" max="4128" width="10.75" style="326" bestFit="1" customWidth="1"/>
    <col min="4129" max="4129" width="13.75" style="326" customWidth="1"/>
    <col min="4130" max="4130" width="9" style="326"/>
    <col min="4131" max="4131" width="10.625" style="326" customWidth="1"/>
    <col min="4132" max="4132" width="9" style="326"/>
    <col min="4133" max="4133" width="14.25" style="326" customWidth="1"/>
    <col min="4134" max="4134" width="10.75" style="326" bestFit="1" customWidth="1"/>
    <col min="4135" max="4135" width="11.625" style="326" customWidth="1"/>
    <col min="4136" max="4136" width="13.75" style="326" customWidth="1"/>
    <col min="4137" max="4137" width="10.625" style="326" customWidth="1"/>
    <col min="4138" max="4139" width="9" style="326"/>
    <col min="4140" max="4140" width="14.125" style="326" customWidth="1"/>
    <col min="4141" max="4141" width="11" style="326" customWidth="1"/>
    <col min="4142" max="4142" width="10.75" style="326" bestFit="1" customWidth="1"/>
    <col min="4143" max="4143" width="13.5" style="326" customWidth="1"/>
    <col min="4144" max="4145" width="9" style="326"/>
    <col min="4146" max="4146" width="10.75" style="326" bestFit="1" customWidth="1"/>
    <col min="4147" max="4147" width="14" style="326" customWidth="1"/>
    <col min="4148" max="4148" width="9" style="326"/>
    <col min="4149" max="4149" width="10.75" style="326" customWidth="1"/>
    <col min="4150" max="4150" width="12.75" style="326" customWidth="1"/>
    <col min="4151" max="4151" width="9" style="326"/>
    <col min="4152" max="4152" width="10.75" style="326" bestFit="1" customWidth="1"/>
    <col min="4153" max="4153" width="11.5" style="326" customWidth="1"/>
    <col min="4154" max="4154" width="13.625" style="326" customWidth="1"/>
    <col min="4155" max="4155" width="10.625" style="326" customWidth="1"/>
    <col min="4156" max="4156" width="10.75" style="326" bestFit="1" customWidth="1"/>
    <col min="4157" max="4157" width="12.375" style="326" customWidth="1"/>
    <col min="4158" max="4160" width="9" style="326"/>
    <col min="4161" max="4161" width="15.75" style="326" customWidth="1"/>
    <col min="4162" max="4162" width="9" style="326"/>
    <col min="4163" max="4163" width="10.75" style="326" bestFit="1" customWidth="1"/>
    <col min="4164" max="4164" width="12.625" style="326" customWidth="1"/>
    <col min="4165" max="4167" width="9" style="326"/>
    <col min="4168" max="4168" width="13.625" style="326" customWidth="1"/>
    <col min="4169" max="4169" width="9" style="326"/>
    <col min="4170" max="4170" width="10.75" style="326" bestFit="1" customWidth="1"/>
    <col min="4171" max="4171" width="12.5" style="326" customWidth="1"/>
    <col min="4172" max="4174" width="9" style="326"/>
    <col min="4175" max="4175" width="12.875" style="326" customWidth="1"/>
    <col min="4176" max="4176" width="9" style="326"/>
    <col min="4177" max="4177" width="10.75" style="326" bestFit="1" customWidth="1"/>
    <col min="4178" max="4178" width="13.875" style="326" customWidth="1"/>
    <col min="4179" max="4181" width="9" style="326"/>
    <col min="4182" max="4182" width="14.125" style="326" customWidth="1"/>
    <col min="4183" max="4183" width="9" style="326"/>
    <col min="4184" max="4184" width="10.75" style="326" bestFit="1" customWidth="1"/>
    <col min="4185" max="4185" width="13.25" style="326" customWidth="1"/>
    <col min="4186" max="4188" width="9" style="326"/>
    <col min="4189" max="4189" width="13.25" style="326" customWidth="1"/>
    <col min="4190" max="4190" width="9" style="326"/>
    <col min="4191" max="4191" width="10.75" style="326" bestFit="1" customWidth="1"/>
    <col min="4192" max="4192" width="13.875" style="326" customWidth="1"/>
    <col min="4193" max="4195" width="9" style="326"/>
    <col min="4196" max="4196" width="13.625" style="326" customWidth="1"/>
    <col min="4197" max="4197" width="9" style="326"/>
    <col min="4198" max="4198" width="10.75" style="326" bestFit="1" customWidth="1"/>
    <col min="4199" max="4199" width="13" style="326" customWidth="1"/>
    <col min="4200" max="4346" width="9" style="326"/>
    <col min="4347" max="4348" width="12.125" style="326" customWidth="1"/>
    <col min="4349" max="4351" width="13" style="326" customWidth="1"/>
    <col min="4352" max="4352" width="12.875" style="326" customWidth="1"/>
    <col min="4353" max="4353" width="13" style="326" customWidth="1"/>
    <col min="4354" max="4354" width="13.125" style="326" customWidth="1"/>
    <col min="4355" max="4356" width="12.125" style="326" customWidth="1"/>
    <col min="4357" max="4357" width="14.375" style="326" bestFit="1" customWidth="1"/>
    <col min="4358" max="4358" width="11" style="326" customWidth="1"/>
    <col min="4359" max="4359" width="10" style="326" customWidth="1"/>
    <col min="4360" max="4360" width="10.875" style="326" customWidth="1"/>
    <col min="4361" max="4361" width="13.75" style="326" customWidth="1"/>
    <col min="4362" max="4362" width="10" style="326" customWidth="1"/>
    <col min="4363" max="4363" width="13.25" style="326" customWidth="1"/>
    <col min="4364" max="4364" width="14.375" style="326" customWidth="1"/>
    <col min="4365" max="4365" width="10" style="326" customWidth="1"/>
    <col min="4366" max="4366" width="10.875" style="326" customWidth="1"/>
    <col min="4367" max="4367" width="11.375" style="326" customWidth="1"/>
    <col min="4368" max="4368" width="15.375" style="326" customWidth="1"/>
    <col min="4369" max="4370" width="10.75" style="326" customWidth="1"/>
    <col min="4371" max="4371" width="14.375" style="326" customWidth="1"/>
    <col min="4372" max="4372" width="10.75" style="326" customWidth="1"/>
    <col min="4373" max="4373" width="11.75" style="326" customWidth="1"/>
    <col min="4374" max="4374" width="10" style="326" customWidth="1"/>
    <col min="4375" max="4375" width="15.375" style="326" customWidth="1"/>
    <col min="4376" max="4376" width="10" style="326" customWidth="1"/>
    <col min="4377" max="4377" width="10.75" style="326" customWidth="1"/>
    <col min="4378" max="4378" width="14.875" style="326" customWidth="1"/>
    <col min="4379" max="4379" width="11.5" style="326" customWidth="1"/>
    <col min="4380" max="4380" width="10" style="326" customWidth="1"/>
    <col min="4381" max="4381" width="10.75" style="326" customWidth="1"/>
    <col min="4382" max="4382" width="13.5" style="326" customWidth="1"/>
    <col min="4383" max="4383" width="9" style="326"/>
    <col min="4384" max="4384" width="10.75" style="326" bestFit="1" customWidth="1"/>
    <col min="4385" max="4385" width="13.75" style="326" customWidth="1"/>
    <col min="4386" max="4386" width="9" style="326"/>
    <col min="4387" max="4387" width="10.625" style="326" customWidth="1"/>
    <col min="4388" max="4388" width="9" style="326"/>
    <col min="4389" max="4389" width="14.25" style="326" customWidth="1"/>
    <col min="4390" max="4390" width="10.75" style="326" bestFit="1" customWidth="1"/>
    <col min="4391" max="4391" width="11.625" style="326" customWidth="1"/>
    <col min="4392" max="4392" width="13.75" style="326" customWidth="1"/>
    <col min="4393" max="4393" width="10.625" style="326" customWidth="1"/>
    <col min="4394" max="4395" width="9" style="326"/>
    <col min="4396" max="4396" width="14.125" style="326" customWidth="1"/>
    <col min="4397" max="4397" width="11" style="326" customWidth="1"/>
    <col min="4398" max="4398" width="10.75" style="326" bestFit="1" customWidth="1"/>
    <col min="4399" max="4399" width="13.5" style="326" customWidth="1"/>
    <col min="4400" max="4401" width="9" style="326"/>
    <col min="4402" max="4402" width="10.75" style="326" bestFit="1" customWidth="1"/>
    <col min="4403" max="4403" width="14" style="326" customWidth="1"/>
    <col min="4404" max="4404" width="9" style="326"/>
    <col min="4405" max="4405" width="10.75" style="326" customWidth="1"/>
    <col min="4406" max="4406" width="12.75" style="326" customWidth="1"/>
    <col min="4407" max="4407" width="9" style="326"/>
    <col min="4408" max="4408" width="10.75" style="326" bestFit="1" customWidth="1"/>
    <col min="4409" max="4409" width="11.5" style="326" customWidth="1"/>
    <col min="4410" max="4410" width="13.625" style="326" customWidth="1"/>
    <col min="4411" max="4411" width="10.625" style="326" customWidth="1"/>
    <col min="4412" max="4412" width="10.75" style="326" bestFit="1" customWidth="1"/>
    <col min="4413" max="4413" width="12.375" style="326" customWidth="1"/>
    <col min="4414" max="4416" width="9" style="326"/>
    <col min="4417" max="4417" width="15.75" style="326" customWidth="1"/>
    <col min="4418" max="4418" width="9" style="326"/>
    <col min="4419" max="4419" width="10.75" style="326" bestFit="1" customWidth="1"/>
    <col min="4420" max="4420" width="12.625" style="326" customWidth="1"/>
    <col min="4421" max="4423" width="9" style="326"/>
    <col min="4424" max="4424" width="13.625" style="326" customWidth="1"/>
    <col min="4425" max="4425" width="9" style="326"/>
    <col min="4426" max="4426" width="10.75" style="326" bestFit="1" customWidth="1"/>
    <col min="4427" max="4427" width="12.5" style="326" customWidth="1"/>
    <col min="4428" max="4430" width="9" style="326"/>
    <col min="4431" max="4431" width="12.875" style="326" customWidth="1"/>
    <col min="4432" max="4432" width="9" style="326"/>
    <col min="4433" max="4433" width="10.75" style="326" bestFit="1" customWidth="1"/>
    <col min="4434" max="4434" width="13.875" style="326" customWidth="1"/>
    <col min="4435" max="4437" width="9" style="326"/>
    <col min="4438" max="4438" width="14.125" style="326" customWidth="1"/>
    <col min="4439" max="4439" width="9" style="326"/>
    <col min="4440" max="4440" width="10.75" style="326" bestFit="1" customWidth="1"/>
    <col min="4441" max="4441" width="13.25" style="326" customWidth="1"/>
    <col min="4442" max="4444" width="9" style="326"/>
    <col min="4445" max="4445" width="13.25" style="326" customWidth="1"/>
    <col min="4446" max="4446" width="9" style="326"/>
    <col min="4447" max="4447" width="10.75" style="326" bestFit="1" customWidth="1"/>
    <col min="4448" max="4448" width="13.875" style="326" customWidth="1"/>
    <col min="4449" max="4451" width="9" style="326"/>
    <col min="4452" max="4452" width="13.625" style="326" customWidth="1"/>
    <col min="4453" max="4453" width="9" style="326"/>
    <col min="4454" max="4454" width="10.75" style="326" bestFit="1" customWidth="1"/>
    <col min="4455" max="4455" width="13" style="326" customWidth="1"/>
    <col min="4456" max="4602" width="9" style="326"/>
    <col min="4603" max="4604" width="12.125" style="326" customWidth="1"/>
    <col min="4605" max="4607" width="13" style="326" customWidth="1"/>
    <col min="4608" max="4608" width="12.875" style="326" customWidth="1"/>
    <col min="4609" max="4609" width="13" style="326" customWidth="1"/>
    <col min="4610" max="4610" width="13.125" style="326" customWidth="1"/>
    <col min="4611" max="4612" width="12.125" style="326" customWidth="1"/>
    <col min="4613" max="4613" width="14.375" style="326" bestFit="1" customWidth="1"/>
    <col min="4614" max="4614" width="11" style="326" customWidth="1"/>
    <col min="4615" max="4615" width="10" style="326" customWidth="1"/>
    <col min="4616" max="4616" width="10.875" style="326" customWidth="1"/>
    <col min="4617" max="4617" width="13.75" style="326" customWidth="1"/>
    <col min="4618" max="4618" width="10" style="326" customWidth="1"/>
    <col min="4619" max="4619" width="13.25" style="326" customWidth="1"/>
    <col min="4620" max="4620" width="14.375" style="326" customWidth="1"/>
    <col min="4621" max="4621" width="10" style="326" customWidth="1"/>
    <col min="4622" max="4622" width="10.875" style="326" customWidth="1"/>
    <col min="4623" max="4623" width="11.375" style="326" customWidth="1"/>
    <col min="4624" max="4624" width="15.375" style="326" customWidth="1"/>
    <col min="4625" max="4626" width="10.75" style="326" customWidth="1"/>
    <col min="4627" max="4627" width="14.375" style="326" customWidth="1"/>
    <col min="4628" max="4628" width="10.75" style="326" customWidth="1"/>
    <col min="4629" max="4629" width="11.75" style="326" customWidth="1"/>
    <col min="4630" max="4630" width="10" style="326" customWidth="1"/>
    <col min="4631" max="4631" width="15.375" style="326" customWidth="1"/>
    <col min="4632" max="4632" width="10" style="326" customWidth="1"/>
    <col min="4633" max="4633" width="10.75" style="326" customWidth="1"/>
    <col min="4634" max="4634" width="14.875" style="326" customWidth="1"/>
    <col min="4635" max="4635" width="11.5" style="326" customWidth="1"/>
    <col min="4636" max="4636" width="10" style="326" customWidth="1"/>
    <col min="4637" max="4637" width="10.75" style="326" customWidth="1"/>
    <col min="4638" max="4638" width="13.5" style="326" customWidth="1"/>
    <col min="4639" max="4639" width="9" style="326"/>
    <col min="4640" max="4640" width="10.75" style="326" bestFit="1" customWidth="1"/>
    <col min="4641" max="4641" width="13.75" style="326" customWidth="1"/>
    <col min="4642" max="4642" width="9" style="326"/>
    <col min="4643" max="4643" width="10.625" style="326" customWidth="1"/>
    <col min="4644" max="4644" width="9" style="326"/>
    <col min="4645" max="4645" width="14.25" style="326" customWidth="1"/>
    <col min="4646" max="4646" width="10.75" style="326" bestFit="1" customWidth="1"/>
    <col min="4647" max="4647" width="11.625" style="326" customWidth="1"/>
    <col min="4648" max="4648" width="13.75" style="326" customWidth="1"/>
    <col min="4649" max="4649" width="10.625" style="326" customWidth="1"/>
    <col min="4650" max="4651" width="9" style="326"/>
    <col min="4652" max="4652" width="14.125" style="326" customWidth="1"/>
    <col min="4653" max="4653" width="11" style="326" customWidth="1"/>
    <col min="4654" max="4654" width="10.75" style="326" bestFit="1" customWidth="1"/>
    <col min="4655" max="4655" width="13.5" style="326" customWidth="1"/>
    <col min="4656" max="4657" width="9" style="326"/>
    <col min="4658" max="4658" width="10.75" style="326" bestFit="1" customWidth="1"/>
    <col min="4659" max="4659" width="14" style="326" customWidth="1"/>
    <col min="4660" max="4660" width="9" style="326"/>
    <col min="4661" max="4661" width="10.75" style="326" customWidth="1"/>
    <col min="4662" max="4662" width="12.75" style="326" customWidth="1"/>
    <col min="4663" max="4663" width="9" style="326"/>
    <col min="4664" max="4664" width="10.75" style="326" bestFit="1" customWidth="1"/>
    <col min="4665" max="4665" width="11.5" style="326" customWidth="1"/>
    <col min="4666" max="4666" width="13.625" style="326" customWidth="1"/>
    <col min="4667" max="4667" width="10.625" style="326" customWidth="1"/>
    <col min="4668" max="4668" width="10.75" style="326" bestFit="1" customWidth="1"/>
    <col min="4669" max="4669" width="12.375" style="326" customWidth="1"/>
    <col min="4670" max="4672" width="9" style="326"/>
    <col min="4673" max="4673" width="15.75" style="326" customWidth="1"/>
    <col min="4674" max="4674" width="9" style="326"/>
    <col min="4675" max="4675" width="10.75" style="326" bestFit="1" customWidth="1"/>
    <col min="4676" max="4676" width="12.625" style="326" customWidth="1"/>
    <col min="4677" max="4679" width="9" style="326"/>
    <col min="4680" max="4680" width="13.625" style="326" customWidth="1"/>
    <col min="4681" max="4681" width="9" style="326"/>
    <col min="4682" max="4682" width="10.75" style="326" bestFit="1" customWidth="1"/>
    <col min="4683" max="4683" width="12.5" style="326" customWidth="1"/>
    <col min="4684" max="4686" width="9" style="326"/>
    <col min="4687" max="4687" width="12.875" style="326" customWidth="1"/>
    <col min="4688" max="4688" width="9" style="326"/>
    <col min="4689" max="4689" width="10.75" style="326" bestFit="1" customWidth="1"/>
    <col min="4690" max="4690" width="13.875" style="326" customWidth="1"/>
    <col min="4691" max="4693" width="9" style="326"/>
    <col min="4694" max="4694" width="14.125" style="326" customWidth="1"/>
    <col min="4695" max="4695" width="9" style="326"/>
    <col min="4696" max="4696" width="10.75" style="326" bestFit="1" customWidth="1"/>
    <col min="4697" max="4697" width="13.25" style="326" customWidth="1"/>
    <col min="4698" max="4700" width="9" style="326"/>
    <col min="4701" max="4701" width="13.25" style="326" customWidth="1"/>
    <col min="4702" max="4702" width="9" style="326"/>
    <col min="4703" max="4703" width="10.75" style="326" bestFit="1" customWidth="1"/>
    <col min="4704" max="4704" width="13.875" style="326" customWidth="1"/>
    <col min="4705" max="4707" width="9" style="326"/>
    <col min="4708" max="4708" width="13.625" style="326" customWidth="1"/>
    <col min="4709" max="4709" width="9" style="326"/>
    <col min="4710" max="4710" width="10.75" style="326" bestFit="1" customWidth="1"/>
    <col min="4711" max="4711" width="13" style="326" customWidth="1"/>
    <col min="4712" max="4858" width="9" style="326"/>
    <col min="4859" max="4860" width="12.125" style="326" customWidth="1"/>
    <col min="4861" max="4863" width="13" style="326" customWidth="1"/>
    <col min="4864" max="4864" width="12.875" style="326" customWidth="1"/>
    <col min="4865" max="4865" width="13" style="326" customWidth="1"/>
    <col min="4866" max="4866" width="13.125" style="326" customWidth="1"/>
    <col min="4867" max="4868" width="12.125" style="326" customWidth="1"/>
    <col min="4869" max="4869" width="14.375" style="326" bestFit="1" customWidth="1"/>
    <col min="4870" max="4870" width="11" style="326" customWidth="1"/>
    <col min="4871" max="4871" width="10" style="326" customWidth="1"/>
    <col min="4872" max="4872" width="10.875" style="326" customWidth="1"/>
    <col min="4873" max="4873" width="13.75" style="326" customWidth="1"/>
    <col min="4874" max="4874" width="10" style="326" customWidth="1"/>
    <col min="4875" max="4875" width="13.25" style="326" customWidth="1"/>
    <col min="4876" max="4876" width="14.375" style="326" customWidth="1"/>
    <col min="4877" max="4877" width="10" style="326" customWidth="1"/>
    <col min="4878" max="4878" width="10.875" style="326" customWidth="1"/>
    <col min="4879" max="4879" width="11.375" style="326" customWidth="1"/>
    <col min="4880" max="4880" width="15.375" style="326" customWidth="1"/>
    <col min="4881" max="4882" width="10.75" style="326" customWidth="1"/>
    <col min="4883" max="4883" width="14.375" style="326" customWidth="1"/>
    <col min="4884" max="4884" width="10.75" style="326" customWidth="1"/>
    <col min="4885" max="4885" width="11.75" style="326" customWidth="1"/>
    <col min="4886" max="4886" width="10" style="326" customWidth="1"/>
    <col min="4887" max="4887" width="15.375" style="326" customWidth="1"/>
    <col min="4888" max="4888" width="10" style="326" customWidth="1"/>
    <col min="4889" max="4889" width="10.75" style="326" customWidth="1"/>
    <col min="4890" max="4890" width="14.875" style="326" customWidth="1"/>
    <col min="4891" max="4891" width="11.5" style="326" customWidth="1"/>
    <col min="4892" max="4892" width="10" style="326" customWidth="1"/>
    <col min="4893" max="4893" width="10.75" style="326" customWidth="1"/>
    <col min="4894" max="4894" width="13.5" style="326" customWidth="1"/>
    <col min="4895" max="4895" width="9" style="326"/>
    <col min="4896" max="4896" width="10.75" style="326" bestFit="1" customWidth="1"/>
    <col min="4897" max="4897" width="13.75" style="326" customWidth="1"/>
    <col min="4898" max="4898" width="9" style="326"/>
    <col min="4899" max="4899" width="10.625" style="326" customWidth="1"/>
    <col min="4900" max="4900" width="9" style="326"/>
    <col min="4901" max="4901" width="14.25" style="326" customWidth="1"/>
    <col min="4902" max="4902" width="10.75" style="326" bestFit="1" customWidth="1"/>
    <col min="4903" max="4903" width="11.625" style="326" customWidth="1"/>
    <col min="4904" max="4904" width="13.75" style="326" customWidth="1"/>
    <col min="4905" max="4905" width="10.625" style="326" customWidth="1"/>
    <col min="4906" max="4907" width="9" style="326"/>
    <col min="4908" max="4908" width="14.125" style="326" customWidth="1"/>
    <col min="4909" max="4909" width="11" style="326" customWidth="1"/>
    <col min="4910" max="4910" width="10.75" style="326" bestFit="1" customWidth="1"/>
    <col min="4911" max="4911" width="13.5" style="326" customWidth="1"/>
    <col min="4912" max="4913" width="9" style="326"/>
    <col min="4914" max="4914" width="10.75" style="326" bestFit="1" customWidth="1"/>
    <col min="4915" max="4915" width="14" style="326" customWidth="1"/>
    <col min="4916" max="4916" width="9" style="326"/>
    <col min="4917" max="4917" width="10.75" style="326" customWidth="1"/>
    <col min="4918" max="4918" width="12.75" style="326" customWidth="1"/>
    <col min="4919" max="4919" width="9" style="326"/>
    <col min="4920" max="4920" width="10.75" style="326" bestFit="1" customWidth="1"/>
    <col min="4921" max="4921" width="11.5" style="326" customWidth="1"/>
    <col min="4922" max="4922" width="13.625" style="326" customWidth="1"/>
    <col min="4923" max="4923" width="10.625" style="326" customWidth="1"/>
    <col min="4924" max="4924" width="10.75" style="326" bestFit="1" customWidth="1"/>
    <col min="4925" max="4925" width="12.375" style="326" customWidth="1"/>
    <col min="4926" max="4928" width="9" style="326"/>
    <col min="4929" max="4929" width="15.75" style="326" customWidth="1"/>
    <col min="4930" max="4930" width="9" style="326"/>
    <col min="4931" max="4931" width="10.75" style="326" bestFit="1" customWidth="1"/>
    <col min="4932" max="4932" width="12.625" style="326" customWidth="1"/>
    <col min="4933" max="4935" width="9" style="326"/>
    <col min="4936" max="4936" width="13.625" style="326" customWidth="1"/>
    <col min="4937" max="4937" width="9" style="326"/>
    <col min="4938" max="4938" width="10.75" style="326" bestFit="1" customWidth="1"/>
    <col min="4939" max="4939" width="12.5" style="326" customWidth="1"/>
    <col min="4940" max="4942" width="9" style="326"/>
    <col min="4943" max="4943" width="12.875" style="326" customWidth="1"/>
    <col min="4944" max="4944" width="9" style="326"/>
    <col min="4945" max="4945" width="10.75" style="326" bestFit="1" customWidth="1"/>
    <col min="4946" max="4946" width="13.875" style="326" customWidth="1"/>
    <col min="4947" max="4949" width="9" style="326"/>
    <col min="4950" max="4950" width="14.125" style="326" customWidth="1"/>
    <col min="4951" max="4951" width="9" style="326"/>
    <col min="4952" max="4952" width="10.75" style="326" bestFit="1" customWidth="1"/>
    <col min="4953" max="4953" width="13.25" style="326" customWidth="1"/>
    <col min="4954" max="4956" width="9" style="326"/>
    <col min="4957" max="4957" width="13.25" style="326" customWidth="1"/>
    <col min="4958" max="4958" width="9" style="326"/>
    <col min="4959" max="4959" width="10.75" style="326" bestFit="1" customWidth="1"/>
    <col min="4960" max="4960" width="13.875" style="326" customWidth="1"/>
    <col min="4961" max="4963" width="9" style="326"/>
    <col min="4964" max="4964" width="13.625" style="326" customWidth="1"/>
    <col min="4965" max="4965" width="9" style="326"/>
    <col min="4966" max="4966" width="10.75" style="326" bestFit="1" customWidth="1"/>
    <col min="4967" max="4967" width="13" style="326" customWidth="1"/>
    <col min="4968" max="5114" width="9" style="326"/>
    <col min="5115" max="5116" width="12.125" style="326" customWidth="1"/>
    <col min="5117" max="5119" width="13" style="326" customWidth="1"/>
    <col min="5120" max="5120" width="12.875" style="326" customWidth="1"/>
    <col min="5121" max="5121" width="13" style="326" customWidth="1"/>
    <col min="5122" max="5122" width="13.125" style="326" customWidth="1"/>
    <col min="5123" max="5124" width="12.125" style="326" customWidth="1"/>
    <col min="5125" max="5125" width="14.375" style="326" bestFit="1" customWidth="1"/>
    <col min="5126" max="5126" width="11" style="326" customWidth="1"/>
    <col min="5127" max="5127" width="10" style="326" customWidth="1"/>
    <col min="5128" max="5128" width="10.875" style="326" customWidth="1"/>
    <col min="5129" max="5129" width="13.75" style="326" customWidth="1"/>
    <col min="5130" max="5130" width="10" style="326" customWidth="1"/>
    <col min="5131" max="5131" width="13.25" style="326" customWidth="1"/>
    <col min="5132" max="5132" width="14.375" style="326" customWidth="1"/>
    <col min="5133" max="5133" width="10" style="326" customWidth="1"/>
    <col min="5134" max="5134" width="10.875" style="326" customWidth="1"/>
    <col min="5135" max="5135" width="11.375" style="326" customWidth="1"/>
    <col min="5136" max="5136" width="15.375" style="326" customWidth="1"/>
    <col min="5137" max="5138" width="10.75" style="326" customWidth="1"/>
    <col min="5139" max="5139" width="14.375" style="326" customWidth="1"/>
    <col min="5140" max="5140" width="10.75" style="326" customWidth="1"/>
    <col min="5141" max="5141" width="11.75" style="326" customWidth="1"/>
    <col min="5142" max="5142" width="10" style="326" customWidth="1"/>
    <col min="5143" max="5143" width="15.375" style="326" customWidth="1"/>
    <col min="5144" max="5144" width="10" style="326" customWidth="1"/>
    <col min="5145" max="5145" width="10.75" style="326" customWidth="1"/>
    <col min="5146" max="5146" width="14.875" style="326" customWidth="1"/>
    <col min="5147" max="5147" width="11.5" style="326" customWidth="1"/>
    <col min="5148" max="5148" width="10" style="326" customWidth="1"/>
    <col min="5149" max="5149" width="10.75" style="326" customWidth="1"/>
    <col min="5150" max="5150" width="13.5" style="326" customWidth="1"/>
    <col min="5151" max="5151" width="9" style="326"/>
    <col min="5152" max="5152" width="10.75" style="326" bestFit="1" customWidth="1"/>
    <col min="5153" max="5153" width="13.75" style="326" customWidth="1"/>
    <col min="5154" max="5154" width="9" style="326"/>
    <col min="5155" max="5155" width="10.625" style="326" customWidth="1"/>
    <col min="5156" max="5156" width="9" style="326"/>
    <col min="5157" max="5157" width="14.25" style="326" customWidth="1"/>
    <col min="5158" max="5158" width="10.75" style="326" bestFit="1" customWidth="1"/>
    <col min="5159" max="5159" width="11.625" style="326" customWidth="1"/>
    <col min="5160" max="5160" width="13.75" style="326" customWidth="1"/>
    <col min="5161" max="5161" width="10.625" style="326" customWidth="1"/>
    <col min="5162" max="5163" width="9" style="326"/>
    <col min="5164" max="5164" width="14.125" style="326" customWidth="1"/>
    <col min="5165" max="5165" width="11" style="326" customWidth="1"/>
    <col min="5166" max="5166" width="10.75" style="326" bestFit="1" customWidth="1"/>
    <col min="5167" max="5167" width="13.5" style="326" customWidth="1"/>
    <col min="5168" max="5169" width="9" style="326"/>
    <col min="5170" max="5170" width="10.75" style="326" bestFit="1" customWidth="1"/>
    <col min="5171" max="5171" width="14" style="326" customWidth="1"/>
    <col min="5172" max="5172" width="9" style="326"/>
    <col min="5173" max="5173" width="10.75" style="326" customWidth="1"/>
    <col min="5174" max="5174" width="12.75" style="326" customWidth="1"/>
    <col min="5175" max="5175" width="9" style="326"/>
    <col min="5176" max="5176" width="10.75" style="326" bestFit="1" customWidth="1"/>
    <col min="5177" max="5177" width="11.5" style="326" customWidth="1"/>
    <col min="5178" max="5178" width="13.625" style="326" customWidth="1"/>
    <col min="5179" max="5179" width="10.625" style="326" customWidth="1"/>
    <col min="5180" max="5180" width="10.75" style="326" bestFit="1" customWidth="1"/>
    <col min="5181" max="5181" width="12.375" style="326" customWidth="1"/>
    <col min="5182" max="5184" width="9" style="326"/>
    <col min="5185" max="5185" width="15.75" style="326" customWidth="1"/>
    <col min="5186" max="5186" width="9" style="326"/>
    <col min="5187" max="5187" width="10.75" style="326" bestFit="1" customWidth="1"/>
    <col min="5188" max="5188" width="12.625" style="326" customWidth="1"/>
    <col min="5189" max="5191" width="9" style="326"/>
    <col min="5192" max="5192" width="13.625" style="326" customWidth="1"/>
    <col min="5193" max="5193" width="9" style="326"/>
    <col min="5194" max="5194" width="10.75" style="326" bestFit="1" customWidth="1"/>
    <col min="5195" max="5195" width="12.5" style="326" customWidth="1"/>
    <col min="5196" max="5198" width="9" style="326"/>
    <col min="5199" max="5199" width="12.875" style="326" customWidth="1"/>
    <col min="5200" max="5200" width="9" style="326"/>
    <col min="5201" max="5201" width="10.75" style="326" bestFit="1" customWidth="1"/>
    <col min="5202" max="5202" width="13.875" style="326" customWidth="1"/>
    <col min="5203" max="5205" width="9" style="326"/>
    <col min="5206" max="5206" width="14.125" style="326" customWidth="1"/>
    <col min="5207" max="5207" width="9" style="326"/>
    <col min="5208" max="5208" width="10.75" style="326" bestFit="1" customWidth="1"/>
    <col min="5209" max="5209" width="13.25" style="326" customWidth="1"/>
    <col min="5210" max="5212" width="9" style="326"/>
    <col min="5213" max="5213" width="13.25" style="326" customWidth="1"/>
    <col min="5214" max="5214" width="9" style="326"/>
    <col min="5215" max="5215" width="10.75" style="326" bestFit="1" customWidth="1"/>
    <col min="5216" max="5216" width="13.875" style="326" customWidth="1"/>
    <col min="5217" max="5219" width="9" style="326"/>
    <col min="5220" max="5220" width="13.625" style="326" customWidth="1"/>
    <col min="5221" max="5221" width="9" style="326"/>
    <col min="5222" max="5222" width="10.75" style="326" bestFit="1" customWidth="1"/>
    <col min="5223" max="5223" width="13" style="326" customWidth="1"/>
    <col min="5224" max="5370" width="9" style="326"/>
    <col min="5371" max="5372" width="12.125" style="326" customWidth="1"/>
    <col min="5373" max="5375" width="13" style="326" customWidth="1"/>
    <col min="5376" max="5376" width="12.875" style="326" customWidth="1"/>
    <col min="5377" max="5377" width="13" style="326" customWidth="1"/>
    <col min="5378" max="5378" width="13.125" style="326" customWidth="1"/>
    <col min="5379" max="5380" width="12.125" style="326" customWidth="1"/>
    <col min="5381" max="5381" width="14.375" style="326" bestFit="1" customWidth="1"/>
    <col min="5382" max="5382" width="11" style="326" customWidth="1"/>
    <col min="5383" max="5383" width="10" style="326" customWidth="1"/>
    <col min="5384" max="5384" width="10.875" style="326" customWidth="1"/>
    <col min="5385" max="5385" width="13.75" style="326" customWidth="1"/>
    <col min="5386" max="5386" width="10" style="326" customWidth="1"/>
    <col min="5387" max="5387" width="13.25" style="326" customWidth="1"/>
    <col min="5388" max="5388" width="14.375" style="326" customWidth="1"/>
    <col min="5389" max="5389" width="10" style="326" customWidth="1"/>
    <col min="5390" max="5390" width="10.875" style="326" customWidth="1"/>
    <col min="5391" max="5391" width="11.375" style="326" customWidth="1"/>
    <col min="5392" max="5392" width="15.375" style="326" customWidth="1"/>
    <col min="5393" max="5394" width="10.75" style="326" customWidth="1"/>
    <col min="5395" max="5395" width="14.375" style="326" customWidth="1"/>
    <col min="5396" max="5396" width="10.75" style="326" customWidth="1"/>
    <col min="5397" max="5397" width="11.75" style="326" customWidth="1"/>
    <col min="5398" max="5398" width="10" style="326" customWidth="1"/>
    <col min="5399" max="5399" width="15.375" style="326" customWidth="1"/>
    <col min="5400" max="5400" width="10" style="326" customWidth="1"/>
    <col min="5401" max="5401" width="10.75" style="326" customWidth="1"/>
    <col min="5402" max="5402" width="14.875" style="326" customWidth="1"/>
    <col min="5403" max="5403" width="11.5" style="326" customWidth="1"/>
    <col min="5404" max="5404" width="10" style="326" customWidth="1"/>
    <col min="5405" max="5405" width="10.75" style="326" customWidth="1"/>
    <col min="5406" max="5406" width="13.5" style="326" customWidth="1"/>
    <col min="5407" max="5407" width="9" style="326"/>
    <col min="5408" max="5408" width="10.75" style="326" bestFit="1" customWidth="1"/>
    <col min="5409" max="5409" width="13.75" style="326" customWidth="1"/>
    <col min="5410" max="5410" width="9" style="326"/>
    <col min="5411" max="5411" width="10.625" style="326" customWidth="1"/>
    <col min="5412" max="5412" width="9" style="326"/>
    <col min="5413" max="5413" width="14.25" style="326" customWidth="1"/>
    <col min="5414" max="5414" width="10.75" style="326" bestFit="1" customWidth="1"/>
    <col min="5415" max="5415" width="11.625" style="326" customWidth="1"/>
    <col min="5416" max="5416" width="13.75" style="326" customWidth="1"/>
    <col min="5417" max="5417" width="10.625" style="326" customWidth="1"/>
    <col min="5418" max="5419" width="9" style="326"/>
    <col min="5420" max="5420" width="14.125" style="326" customWidth="1"/>
    <col min="5421" max="5421" width="11" style="326" customWidth="1"/>
    <col min="5422" max="5422" width="10.75" style="326" bestFit="1" customWidth="1"/>
    <col min="5423" max="5423" width="13.5" style="326" customWidth="1"/>
    <col min="5424" max="5425" width="9" style="326"/>
    <col min="5426" max="5426" width="10.75" style="326" bestFit="1" customWidth="1"/>
    <col min="5427" max="5427" width="14" style="326" customWidth="1"/>
    <col min="5428" max="5428" width="9" style="326"/>
    <col min="5429" max="5429" width="10.75" style="326" customWidth="1"/>
    <col min="5430" max="5430" width="12.75" style="326" customWidth="1"/>
    <col min="5431" max="5431" width="9" style="326"/>
    <col min="5432" max="5432" width="10.75" style="326" bestFit="1" customWidth="1"/>
    <col min="5433" max="5433" width="11.5" style="326" customWidth="1"/>
    <col min="5434" max="5434" width="13.625" style="326" customWidth="1"/>
    <col min="5435" max="5435" width="10.625" style="326" customWidth="1"/>
    <col min="5436" max="5436" width="10.75" style="326" bestFit="1" customWidth="1"/>
    <col min="5437" max="5437" width="12.375" style="326" customWidth="1"/>
    <col min="5438" max="5440" width="9" style="326"/>
    <col min="5441" max="5441" width="15.75" style="326" customWidth="1"/>
    <col min="5442" max="5442" width="9" style="326"/>
    <col min="5443" max="5443" width="10.75" style="326" bestFit="1" customWidth="1"/>
    <col min="5444" max="5444" width="12.625" style="326" customWidth="1"/>
    <col min="5445" max="5447" width="9" style="326"/>
    <col min="5448" max="5448" width="13.625" style="326" customWidth="1"/>
    <col min="5449" max="5449" width="9" style="326"/>
    <col min="5450" max="5450" width="10.75" style="326" bestFit="1" customWidth="1"/>
    <col min="5451" max="5451" width="12.5" style="326" customWidth="1"/>
    <col min="5452" max="5454" width="9" style="326"/>
    <col min="5455" max="5455" width="12.875" style="326" customWidth="1"/>
    <col min="5456" max="5456" width="9" style="326"/>
    <col min="5457" max="5457" width="10.75" style="326" bestFit="1" customWidth="1"/>
    <col min="5458" max="5458" width="13.875" style="326" customWidth="1"/>
    <col min="5459" max="5461" width="9" style="326"/>
    <col min="5462" max="5462" width="14.125" style="326" customWidth="1"/>
    <col min="5463" max="5463" width="9" style="326"/>
    <col min="5464" max="5464" width="10.75" style="326" bestFit="1" customWidth="1"/>
    <col min="5465" max="5465" width="13.25" style="326" customWidth="1"/>
    <col min="5466" max="5468" width="9" style="326"/>
    <col min="5469" max="5469" width="13.25" style="326" customWidth="1"/>
    <col min="5470" max="5470" width="9" style="326"/>
    <col min="5471" max="5471" width="10.75" style="326" bestFit="1" customWidth="1"/>
    <col min="5472" max="5472" width="13.875" style="326" customWidth="1"/>
    <col min="5473" max="5475" width="9" style="326"/>
    <col min="5476" max="5476" width="13.625" style="326" customWidth="1"/>
    <col min="5477" max="5477" width="9" style="326"/>
    <col min="5478" max="5478" width="10.75" style="326" bestFit="1" customWidth="1"/>
    <col min="5479" max="5479" width="13" style="326" customWidth="1"/>
    <col min="5480" max="5626" width="9" style="326"/>
    <col min="5627" max="5628" width="12.125" style="326" customWidth="1"/>
    <col min="5629" max="5631" width="13" style="326" customWidth="1"/>
    <col min="5632" max="5632" width="12.875" style="326" customWidth="1"/>
    <col min="5633" max="5633" width="13" style="326" customWidth="1"/>
    <col min="5634" max="5634" width="13.125" style="326" customWidth="1"/>
    <col min="5635" max="5636" width="12.125" style="326" customWidth="1"/>
    <col min="5637" max="5637" width="14.375" style="326" bestFit="1" customWidth="1"/>
    <col min="5638" max="5638" width="11" style="326" customWidth="1"/>
    <col min="5639" max="5639" width="10" style="326" customWidth="1"/>
    <col min="5640" max="5640" width="10.875" style="326" customWidth="1"/>
    <col min="5641" max="5641" width="13.75" style="326" customWidth="1"/>
    <col min="5642" max="5642" width="10" style="326" customWidth="1"/>
    <col min="5643" max="5643" width="13.25" style="326" customWidth="1"/>
    <col min="5644" max="5644" width="14.375" style="326" customWidth="1"/>
    <col min="5645" max="5645" width="10" style="326" customWidth="1"/>
    <col min="5646" max="5646" width="10.875" style="326" customWidth="1"/>
    <col min="5647" max="5647" width="11.375" style="326" customWidth="1"/>
    <col min="5648" max="5648" width="15.375" style="326" customWidth="1"/>
    <col min="5649" max="5650" width="10.75" style="326" customWidth="1"/>
    <col min="5651" max="5651" width="14.375" style="326" customWidth="1"/>
    <col min="5652" max="5652" width="10.75" style="326" customWidth="1"/>
    <col min="5653" max="5653" width="11.75" style="326" customWidth="1"/>
    <col min="5654" max="5654" width="10" style="326" customWidth="1"/>
    <col min="5655" max="5655" width="15.375" style="326" customWidth="1"/>
    <col min="5656" max="5656" width="10" style="326" customWidth="1"/>
    <col min="5657" max="5657" width="10.75" style="326" customWidth="1"/>
    <col min="5658" max="5658" width="14.875" style="326" customWidth="1"/>
    <col min="5659" max="5659" width="11.5" style="326" customWidth="1"/>
    <col min="5660" max="5660" width="10" style="326" customWidth="1"/>
    <col min="5661" max="5661" width="10.75" style="326" customWidth="1"/>
    <col min="5662" max="5662" width="13.5" style="326" customWidth="1"/>
    <col min="5663" max="5663" width="9" style="326"/>
    <col min="5664" max="5664" width="10.75" style="326" bestFit="1" customWidth="1"/>
    <col min="5665" max="5665" width="13.75" style="326" customWidth="1"/>
    <col min="5666" max="5666" width="9" style="326"/>
    <col min="5667" max="5667" width="10.625" style="326" customWidth="1"/>
    <col min="5668" max="5668" width="9" style="326"/>
    <col min="5669" max="5669" width="14.25" style="326" customWidth="1"/>
    <col min="5670" max="5670" width="10.75" style="326" bestFit="1" customWidth="1"/>
    <col min="5671" max="5671" width="11.625" style="326" customWidth="1"/>
    <col min="5672" max="5672" width="13.75" style="326" customWidth="1"/>
    <col min="5673" max="5673" width="10.625" style="326" customWidth="1"/>
    <col min="5674" max="5675" width="9" style="326"/>
    <col min="5676" max="5676" width="14.125" style="326" customWidth="1"/>
    <col min="5677" max="5677" width="11" style="326" customWidth="1"/>
    <col min="5678" max="5678" width="10.75" style="326" bestFit="1" customWidth="1"/>
    <col min="5679" max="5679" width="13.5" style="326" customWidth="1"/>
    <col min="5680" max="5681" width="9" style="326"/>
    <col min="5682" max="5682" width="10.75" style="326" bestFit="1" customWidth="1"/>
    <col min="5683" max="5683" width="14" style="326" customWidth="1"/>
    <col min="5684" max="5684" width="9" style="326"/>
    <col min="5685" max="5685" width="10.75" style="326" customWidth="1"/>
    <col min="5686" max="5686" width="12.75" style="326" customWidth="1"/>
    <col min="5687" max="5687" width="9" style="326"/>
    <col min="5688" max="5688" width="10.75" style="326" bestFit="1" customWidth="1"/>
    <col min="5689" max="5689" width="11.5" style="326" customWidth="1"/>
    <col min="5690" max="5690" width="13.625" style="326" customWidth="1"/>
    <col min="5691" max="5691" width="10.625" style="326" customWidth="1"/>
    <col min="5692" max="5692" width="10.75" style="326" bestFit="1" customWidth="1"/>
    <col min="5693" max="5693" width="12.375" style="326" customWidth="1"/>
    <col min="5694" max="5696" width="9" style="326"/>
    <col min="5697" max="5697" width="15.75" style="326" customWidth="1"/>
    <col min="5698" max="5698" width="9" style="326"/>
    <col min="5699" max="5699" width="10.75" style="326" bestFit="1" customWidth="1"/>
    <col min="5700" max="5700" width="12.625" style="326" customWidth="1"/>
    <col min="5701" max="5703" width="9" style="326"/>
    <col min="5704" max="5704" width="13.625" style="326" customWidth="1"/>
    <col min="5705" max="5705" width="9" style="326"/>
    <col min="5706" max="5706" width="10.75" style="326" bestFit="1" customWidth="1"/>
    <col min="5707" max="5707" width="12.5" style="326" customWidth="1"/>
    <col min="5708" max="5710" width="9" style="326"/>
    <col min="5711" max="5711" width="12.875" style="326" customWidth="1"/>
    <col min="5712" max="5712" width="9" style="326"/>
    <col min="5713" max="5713" width="10.75" style="326" bestFit="1" customWidth="1"/>
    <col min="5714" max="5714" width="13.875" style="326" customWidth="1"/>
    <col min="5715" max="5717" width="9" style="326"/>
    <col min="5718" max="5718" width="14.125" style="326" customWidth="1"/>
    <col min="5719" max="5719" width="9" style="326"/>
    <col min="5720" max="5720" width="10.75" style="326" bestFit="1" customWidth="1"/>
    <col min="5721" max="5721" width="13.25" style="326" customWidth="1"/>
    <col min="5722" max="5724" width="9" style="326"/>
    <col min="5725" max="5725" width="13.25" style="326" customWidth="1"/>
    <col min="5726" max="5726" width="9" style="326"/>
    <col min="5727" max="5727" width="10.75" style="326" bestFit="1" customWidth="1"/>
    <col min="5728" max="5728" width="13.875" style="326" customWidth="1"/>
    <col min="5729" max="5731" width="9" style="326"/>
    <col min="5732" max="5732" width="13.625" style="326" customWidth="1"/>
    <col min="5733" max="5733" width="9" style="326"/>
    <col min="5734" max="5734" width="10.75" style="326" bestFit="1" customWidth="1"/>
    <col min="5735" max="5735" width="13" style="326" customWidth="1"/>
    <col min="5736" max="5882" width="9" style="326"/>
    <col min="5883" max="5884" width="12.125" style="326" customWidth="1"/>
    <col min="5885" max="5887" width="13" style="326" customWidth="1"/>
    <col min="5888" max="5888" width="12.875" style="326" customWidth="1"/>
    <col min="5889" max="5889" width="13" style="326" customWidth="1"/>
    <col min="5890" max="5890" width="13.125" style="326" customWidth="1"/>
    <col min="5891" max="5892" width="12.125" style="326" customWidth="1"/>
    <col min="5893" max="5893" width="14.375" style="326" bestFit="1" customWidth="1"/>
    <col min="5894" max="5894" width="11" style="326" customWidth="1"/>
    <col min="5895" max="5895" width="10" style="326" customWidth="1"/>
    <col min="5896" max="5896" width="10.875" style="326" customWidth="1"/>
    <col min="5897" max="5897" width="13.75" style="326" customWidth="1"/>
    <col min="5898" max="5898" width="10" style="326" customWidth="1"/>
    <col min="5899" max="5899" width="13.25" style="326" customWidth="1"/>
    <col min="5900" max="5900" width="14.375" style="326" customWidth="1"/>
    <col min="5901" max="5901" width="10" style="326" customWidth="1"/>
    <col min="5902" max="5902" width="10.875" style="326" customWidth="1"/>
    <col min="5903" max="5903" width="11.375" style="326" customWidth="1"/>
    <col min="5904" max="5904" width="15.375" style="326" customWidth="1"/>
    <col min="5905" max="5906" width="10.75" style="326" customWidth="1"/>
    <col min="5907" max="5907" width="14.375" style="326" customWidth="1"/>
    <col min="5908" max="5908" width="10.75" style="326" customWidth="1"/>
    <col min="5909" max="5909" width="11.75" style="326" customWidth="1"/>
    <col min="5910" max="5910" width="10" style="326" customWidth="1"/>
    <col min="5911" max="5911" width="15.375" style="326" customWidth="1"/>
    <col min="5912" max="5912" width="10" style="326" customWidth="1"/>
    <col min="5913" max="5913" width="10.75" style="326" customWidth="1"/>
    <col min="5914" max="5914" width="14.875" style="326" customWidth="1"/>
    <col min="5915" max="5915" width="11.5" style="326" customWidth="1"/>
    <col min="5916" max="5916" width="10" style="326" customWidth="1"/>
    <col min="5917" max="5917" width="10.75" style="326" customWidth="1"/>
    <col min="5918" max="5918" width="13.5" style="326" customWidth="1"/>
    <col min="5919" max="5919" width="9" style="326"/>
    <col min="5920" max="5920" width="10.75" style="326" bestFit="1" customWidth="1"/>
    <col min="5921" max="5921" width="13.75" style="326" customWidth="1"/>
    <col min="5922" max="5922" width="9" style="326"/>
    <col min="5923" max="5923" width="10.625" style="326" customWidth="1"/>
    <col min="5924" max="5924" width="9" style="326"/>
    <col min="5925" max="5925" width="14.25" style="326" customWidth="1"/>
    <col min="5926" max="5926" width="10.75" style="326" bestFit="1" customWidth="1"/>
    <col min="5927" max="5927" width="11.625" style="326" customWidth="1"/>
    <col min="5928" max="5928" width="13.75" style="326" customWidth="1"/>
    <col min="5929" max="5929" width="10.625" style="326" customWidth="1"/>
    <col min="5930" max="5931" width="9" style="326"/>
    <col min="5932" max="5932" width="14.125" style="326" customWidth="1"/>
    <col min="5933" max="5933" width="11" style="326" customWidth="1"/>
    <col min="5934" max="5934" width="10.75" style="326" bestFit="1" customWidth="1"/>
    <col min="5935" max="5935" width="13.5" style="326" customWidth="1"/>
    <col min="5936" max="5937" width="9" style="326"/>
    <col min="5938" max="5938" width="10.75" style="326" bestFit="1" customWidth="1"/>
    <col min="5939" max="5939" width="14" style="326" customWidth="1"/>
    <col min="5940" max="5940" width="9" style="326"/>
    <col min="5941" max="5941" width="10.75" style="326" customWidth="1"/>
    <col min="5942" max="5942" width="12.75" style="326" customWidth="1"/>
    <col min="5943" max="5943" width="9" style="326"/>
    <col min="5944" max="5944" width="10.75" style="326" bestFit="1" customWidth="1"/>
    <col min="5945" max="5945" width="11.5" style="326" customWidth="1"/>
    <col min="5946" max="5946" width="13.625" style="326" customWidth="1"/>
    <col min="5947" max="5947" width="10.625" style="326" customWidth="1"/>
    <col min="5948" max="5948" width="10.75" style="326" bestFit="1" customWidth="1"/>
    <col min="5949" max="5949" width="12.375" style="326" customWidth="1"/>
    <col min="5950" max="5952" width="9" style="326"/>
    <col min="5953" max="5953" width="15.75" style="326" customWidth="1"/>
    <col min="5954" max="5954" width="9" style="326"/>
    <col min="5955" max="5955" width="10.75" style="326" bestFit="1" customWidth="1"/>
    <col min="5956" max="5956" width="12.625" style="326" customWidth="1"/>
    <col min="5957" max="5959" width="9" style="326"/>
    <col min="5960" max="5960" width="13.625" style="326" customWidth="1"/>
    <col min="5961" max="5961" width="9" style="326"/>
    <col min="5962" max="5962" width="10.75" style="326" bestFit="1" customWidth="1"/>
    <col min="5963" max="5963" width="12.5" style="326" customWidth="1"/>
    <col min="5964" max="5966" width="9" style="326"/>
    <col min="5967" max="5967" width="12.875" style="326" customWidth="1"/>
    <col min="5968" max="5968" width="9" style="326"/>
    <col min="5969" max="5969" width="10.75" style="326" bestFit="1" customWidth="1"/>
    <col min="5970" max="5970" width="13.875" style="326" customWidth="1"/>
    <col min="5971" max="5973" width="9" style="326"/>
    <col min="5974" max="5974" width="14.125" style="326" customWidth="1"/>
    <col min="5975" max="5975" width="9" style="326"/>
    <col min="5976" max="5976" width="10.75" style="326" bestFit="1" customWidth="1"/>
    <col min="5977" max="5977" width="13.25" style="326" customWidth="1"/>
    <col min="5978" max="5980" width="9" style="326"/>
    <col min="5981" max="5981" width="13.25" style="326" customWidth="1"/>
    <col min="5982" max="5982" width="9" style="326"/>
    <col min="5983" max="5983" width="10.75" style="326" bestFit="1" customWidth="1"/>
    <col min="5984" max="5984" width="13.875" style="326" customWidth="1"/>
    <col min="5985" max="5987" width="9" style="326"/>
    <col min="5988" max="5988" width="13.625" style="326" customWidth="1"/>
    <col min="5989" max="5989" width="9" style="326"/>
    <col min="5990" max="5990" width="10.75" style="326" bestFit="1" customWidth="1"/>
    <col min="5991" max="5991" width="13" style="326" customWidth="1"/>
    <col min="5992" max="6138" width="9" style="326"/>
    <col min="6139" max="6140" width="12.125" style="326" customWidth="1"/>
    <col min="6141" max="6143" width="13" style="326" customWidth="1"/>
    <col min="6144" max="6144" width="12.875" style="326" customWidth="1"/>
    <col min="6145" max="6145" width="13" style="326" customWidth="1"/>
    <col min="6146" max="6146" width="13.125" style="326" customWidth="1"/>
    <col min="6147" max="6148" width="12.125" style="326" customWidth="1"/>
    <col min="6149" max="6149" width="14.375" style="326" bestFit="1" customWidth="1"/>
    <col min="6150" max="6150" width="11" style="326" customWidth="1"/>
    <col min="6151" max="6151" width="10" style="326" customWidth="1"/>
    <col min="6152" max="6152" width="10.875" style="326" customWidth="1"/>
    <col min="6153" max="6153" width="13.75" style="326" customWidth="1"/>
    <col min="6154" max="6154" width="10" style="326" customWidth="1"/>
    <col min="6155" max="6155" width="13.25" style="326" customWidth="1"/>
    <col min="6156" max="6156" width="14.375" style="326" customWidth="1"/>
    <col min="6157" max="6157" width="10" style="326" customWidth="1"/>
    <col min="6158" max="6158" width="10.875" style="326" customWidth="1"/>
    <col min="6159" max="6159" width="11.375" style="326" customWidth="1"/>
    <col min="6160" max="6160" width="15.375" style="326" customWidth="1"/>
    <col min="6161" max="6162" width="10.75" style="326" customWidth="1"/>
    <col min="6163" max="6163" width="14.375" style="326" customWidth="1"/>
    <col min="6164" max="6164" width="10.75" style="326" customWidth="1"/>
    <col min="6165" max="6165" width="11.75" style="326" customWidth="1"/>
    <col min="6166" max="6166" width="10" style="326" customWidth="1"/>
    <col min="6167" max="6167" width="15.375" style="326" customWidth="1"/>
    <col min="6168" max="6168" width="10" style="326" customWidth="1"/>
    <col min="6169" max="6169" width="10.75" style="326" customWidth="1"/>
    <col min="6170" max="6170" width="14.875" style="326" customWidth="1"/>
    <col min="6171" max="6171" width="11.5" style="326" customWidth="1"/>
    <col min="6172" max="6172" width="10" style="326" customWidth="1"/>
    <col min="6173" max="6173" width="10.75" style="326" customWidth="1"/>
    <col min="6174" max="6174" width="13.5" style="326" customWidth="1"/>
    <col min="6175" max="6175" width="9" style="326"/>
    <col min="6176" max="6176" width="10.75" style="326" bestFit="1" customWidth="1"/>
    <col min="6177" max="6177" width="13.75" style="326" customWidth="1"/>
    <col min="6178" max="6178" width="9" style="326"/>
    <col min="6179" max="6179" width="10.625" style="326" customWidth="1"/>
    <col min="6180" max="6180" width="9" style="326"/>
    <col min="6181" max="6181" width="14.25" style="326" customWidth="1"/>
    <col min="6182" max="6182" width="10.75" style="326" bestFit="1" customWidth="1"/>
    <col min="6183" max="6183" width="11.625" style="326" customWidth="1"/>
    <col min="6184" max="6184" width="13.75" style="326" customWidth="1"/>
    <col min="6185" max="6185" width="10.625" style="326" customWidth="1"/>
    <col min="6186" max="6187" width="9" style="326"/>
    <col min="6188" max="6188" width="14.125" style="326" customWidth="1"/>
    <col min="6189" max="6189" width="11" style="326" customWidth="1"/>
    <col min="6190" max="6190" width="10.75" style="326" bestFit="1" customWidth="1"/>
    <col min="6191" max="6191" width="13.5" style="326" customWidth="1"/>
    <col min="6192" max="6193" width="9" style="326"/>
    <col min="6194" max="6194" width="10.75" style="326" bestFit="1" customWidth="1"/>
    <col min="6195" max="6195" width="14" style="326" customWidth="1"/>
    <col min="6196" max="6196" width="9" style="326"/>
    <col min="6197" max="6197" width="10.75" style="326" customWidth="1"/>
    <col min="6198" max="6198" width="12.75" style="326" customWidth="1"/>
    <col min="6199" max="6199" width="9" style="326"/>
    <col min="6200" max="6200" width="10.75" style="326" bestFit="1" customWidth="1"/>
    <col min="6201" max="6201" width="11.5" style="326" customWidth="1"/>
    <col min="6202" max="6202" width="13.625" style="326" customWidth="1"/>
    <col min="6203" max="6203" width="10.625" style="326" customWidth="1"/>
    <col min="6204" max="6204" width="10.75" style="326" bestFit="1" customWidth="1"/>
    <col min="6205" max="6205" width="12.375" style="326" customWidth="1"/>
    <col min="6206" max="6208" width="9" style="326"/>
    <col min="6209" max="6209" width="15.75" style="326" customWidth="1"/>
    <col min="6210" max="6210" width="9" style="326"/>
    <col min="6211" max="6211" width="10.75" style="326" bestFit="1" customWidth="1"/>
    <col min="6212" max="6212" width="12.625" style="326" customWidth="1"/>
    <col min="6213" max="6215" width="9" style="326"/>
    <col min="6216" max="6216" width="13.625" style="326" customWidth="1"/>
    <col min="6217" max="6217" width="9" style="326"/>
    <col min="6218" max="6218" width="10.75" style="326" bestFit="1" customWidth="1"/>
    <col min="6219" max="6219" width="12.5" style="326" customWidth="1"/>
    <col min="6220" max="6222" width="9" style="326"/>
    <col min="6223" max="6223" width="12.875" style="326" customWidth="1"/>
    <col min="6224" max="6224" width="9" style="326"/>
    <col min="6225" max="6225" width="10.75" style="326" bestFit="1" customWidth="1"/>
    <col min="6226" max="6226" width="13.875" style="326" customWidth="1"/>
    <col min="6227" max="6229" width="9" style="326"/>
    <col min="6230" max="6230" width="14.125" style="326" customWidth="1"/>
    <col min="6231" max="6231" width="9" style="326"/>
    <col min="6232" max="6232" width="10.75" style="326" bestFit="1" customWidth="1"/>
    <col min="6233" max="6233" width="13.25" style="326" customWidth="1"/>
    <col min="6234" max="6236" width="9" style="326"/>
    <col min="6237" max="6237" width="13.25" style="326" customWidth="1"/>
    <col min="6238" max="6238" width="9" style="326"/>
    <col min="6239" max="6239" width="10.75" style="326" bestFit="1" customWidth="1"/>
    <col min="6240" max="6240" width="13.875" style="326" customWidth="1"/>
    <col min="6241" max="6243" width="9" style="326"/>
    <col min="6244" max="6244" width="13.625" style="326" customWidth="1"/>
    <col min="6245" max="6245" width="9" style="326"/>
    <col min="6246" max="6246" width="10.75" style="326" bestFit="1" customWidth="1"/>
    <col min="6247" max="6247" width="13" style="326" customWidth="1"/>
    <col min="6248" max="6394" width="9" style="326"/>
    <col min="6395" max="6396" width="12.125" style="326" customWidth="1"/>
    <col min="6397" max="6399" width="13" style="326" customWidth="1"/>
    <col min="6400" max="6400" width="12.875" style="326" customWidth="1"/>
    <col min="6401" max="6401" width="13" style="326" customWidth="1"/>
    <col min="6402" max="6402" width="13.125" style="326" customWidth="1"/>
    <col min="6403" max="6404" width="12.125" style="326" customWidth="1"/>
    <col min="6405" max="6405" width="14.375" style="326" bestFit="1" customWidth="1"/>
    <col min="6406" max="6406" width="11" style="326" customWidth="1"/>
    <col min="6407" max="6407" width="10" style="326" customWidth="1"/>
    <col min="6408" max="6408" width="10.875" style="326" customWidth="1"/>
    <col min="6409" max="6409" width="13.75" style="326" customWidth="1"/>
    <col min="6410" max="6410" width="10" style="326" customWidth="1"/>
    <col min="6411" max="6411" width="13.25" style="326" customWidth="1"/>
    <col min="6412" max="6412" width="14.375" style="326" customWidth="1"/>
    <col min="6413" max="6413" width="10" style="326" customWidth="1"/>
    <col min="6414" max="6414" width="10.875" style="326" customWidth="1"/>
    <col min="6415" max="6415" width="11.375" style="326" customWidth="1"/>
    <col min="6416" max="6416" width="15.375" style="326" customWidth="1"/>
    <col min="6417" max="6418" width="10.75" style="326" customWidth="1"/>
    <col min="6419" max="6419" width="14.375" style="326" customWidth="1"/>
    <col min="6420" max="6420" width="10.75" style="326" customWidth="1"/>
    <col min="6421" max="6421" width="11.75" style="326" customWidth="1"/>
    <col min="6422" max="6422" width="10" style="326" customWidth="1"/>
    <col min="6423" max="6423" width="15.375" style="326" customWidth="1"/>
    <col min="6424" max="6424" width="10" style="326" customWidth="1"/>
    <col min="6425" max="6425" width="10.75" style="326" customWidth="1"/>
    <col min="6426" max="6426" width="14.875" style="326" customWidth="1"/>
    <col min="6427" max="6427" width="11.5" style="326" customWidth="1"/>
    <col min="6428" max="6428" width="10" style="326" customWidth="1"/>
    <col min="6429" max="6429" width="10.75" style="326" customWidth="1"/>
    <col min="6430" max="6430" width="13.5" style="326" customWidth="1"/>
    <col min="6431" max="6431" width="9" style="326"/>
    <col min="6432" max="6432" width="10.75" style="326" bestFit="1" customWidth="1"/>
    <col min="6433" max="6433" width="13.75" style="326" customWidth="1"/>
    <col min="6434" max="6434" width="9" style="326"/>
    <col min="6435" max="6435" width="10.625" style="326" customWidth="1"/>
    <col min="6436" max="6436" width="9" style="326"/>
    <col min="6437" max="6437" width="14.25" style="326" customWidth="1"/>
    <col min="6438" max="6438" width="10.75" style="326" bestFit="1" customWidth="1"/>
    <col min="6439" max="6439" width="11.625" style="326" customWidth="1"/>
    <col min="6440" max="6440" width="13.75" style="326" customWidth="1"/>
    <col min="6441" max="6441" width="10.625" style="326" customWidth="1"/>
    <col min="6442" max="6443" width="9" style="326"/>
    <col min="6444" max="6444" width="14.125" style="326" customWidth="1"/>
    <col min="6445" max="6445" width="11" style="326" customWidth="1"/>
    <col min="6446" max="6446" width="10.75" style="326" bestFit="1" customWidth="1"/>
    <col min="6447" max="6447" width="13.5" style="326" customWidth="1"/>
    <col min="6448" max="6449" width="9" style="326"/>
    <col min="6450" max="6450" width="10.75" style="326" bestFit="1" customWidth="1"/>
    <col min="6451" max="6451" width="14" style="326" customWidth="1"/>
    <col min="6452" max="6452" width="9" style="326"/>
    <col min="6453" max="6453" width="10.75" style="326" customWidth="1"/>
    <col min="6454" max="6454" width="12.75" style="326" customWidth="1"/>
    <col min="6455" max="6455" width="9" style="326"/>
    <col min="6456" max="6456" width="10.75" style="326" bestFit="1" customWidth="1"/>
    <col min="6457" max="6457" width="11.5" style="326" customWidth="1"/>
    <col min="6458" max="6458" width="13.625" style="326" customWidth="1"/>
    <col min="6459" max="6459" width="10.625" style="326" customWidth="1"/>
    <col min="6460" max="6460" width="10.75" style="326" bestFit="1" customWidth="1"/>
    <col min="6461" max="6461" width="12.375" style="326" customWidth="1"/>
    <col min="6462" max="6464" width="9" style="326"/>
    <col min="6465" max="6465" width="15.75" style="326" customWidth="1"/>
    <col min="6466" max="6466" width="9" style="326"/>
    <col min="6467" max="6467" width="10.75" style="326" bestFit="1" customWidth="1"/>
    <col min="6468" max="6468" width="12.625" style="326" customWidth="1"/>
    <col min="6469" max="6471" width="9" style="326"/>
    <col min="6472" max="6472" width="13.625" style="326" customWidth="1"/>
    <col min="6473" max="6473" width="9" style="326"/>
    <col min="6474" max="6474" width="10.75" style="326" bestFit="1" customWidth="1"/>
    <col min="6475" max="6475" width="12.5" style="326" customWidth="1"/>
    <col min="6476" max="6478" width="9" style="326"/>
    <col min="6479" max="6479" width="12.875" style="326" customWidth="1"/>
    <col min="6480" max="6480" width="9" style="326"/>
    <col min="6481" max="6481" width="10.75" style="326" bestFit="1" customWidth="1"/>
    <col min="6482" max="6482" width="13.875" style="326" customWidth="1"/>
    <col min="6483" max="6485" width="9" style="326"/>
    <col min="6486" max="6486" width="14.125" style="326" customWidth="1"/>
    <col min="6487" max="6487" width="9" style="326"/>
    <col min="6488" max="6488" width="10.75" style="326" bestFit="1" customWidth="1"/>
    <col min="6489" max="6489" width="13.25" style="326" customWidth="1"/>
    <col min="6490" max="6492" width="9" style="326"/>
    <col min="6493" max="6493" width="13.25" style="326" customWidth="1"/>
    <col min="6494" max="6494" width="9" style="326"/>
    <col min="6495" max="6495" width="10.75" style="326" bestFit="1" customWidth="1"/>
    <col min="6496" max="6496" width="13.875" style="326" customWidth="1"/>
    <col min="6497" max="6499" width="9" style="326"/>
    <col min="6500" max="6500" width="13.625" style="326" customWidth="1"/>
    <col min="6501" max="6501" width="9" style="326"/>
    <col min="6502" max="6502" width="10.75" style="326" bestFit="1" customWidth="1"/>
    <col min="6503" max="6503" width="13" style="326" customWidth="1"/>
    <col min="6504" max="6650" width="9" style="326"/>
    <col min="6651" max="6652" width="12.125" style="326" customWidth="1"/>
    <col min="6653" max="6655" width="13" style="326" customWidth="1"/>
    <col min="6656" max="6656" width="12.875" style="326" customWidth="1"/>
    <col min="6657" max="6657" width="13" style="326" customWidth="1"/>
    <col min="6658" max="6658" width="13.125" style="326" customWidth="1"/>
    <col min="6659" max="6660" width="12.125" style="326" customWidth="1"/>
    <col min="6661" max="6661" width="14.375" style="326" bestFit="1" customWidth="1"/>
    <col min="6662" max="6662" width="11" style="326" customWidth="1"/>
    <col min="6663" max="6663" width="10" style="326" customWidth="1"/>
    <col min="6664" max="6664" width="10.875" style="326" customWidth="1"/>
    <col min="6665" max="6665" width="13.75" style="326" customWidth="1"/>
    <col min="6666" max="6666" width="10" style="326" customWidth="1"/>
    <col min="6667" max="6667" width="13.25" style="326" customWidth="1"/>
    <col min="6668" max="6668" width="14.375" style="326" customWidth="1"/>
    <col min="6669" max="6669" width="10" style="326" customWidth="1"/>
    <col min="6670" max="6670" width="10.875" style="326" customWidth="1"/>
    <col min="6671" max="6671" width="11.375" style="326" customWidth="1"/>
    <col min="6672" max="6672" width="15.375" style="326" customWidth="1"/>
    <col min="6673" max="6674" width="10.75" style="326" customWidth="1"/>
    <col min="6675" max="6675" width="14.375" style="326" customWidth="1"/>
    <col min="6676" max="6676" width="10.75" style="326" customWidth="1"/>
    <col min="6677" max="6677" width="11.75" style="326" customWidth="1"/>
    <col min="6678" max="6678" width="10" style="326" customWidth="1"/>
    <col min="6679" max="6679" width="15.375" style="326" customWidth="1"/>
    <col min="6680" max="6680" width="10" style="326" customWidth="1"/>
    <col min="6681" max="6681" width="10.75" style="326" customWidth="1"/>
    <col min="6682" max="6682" width="14.875" style="326" customWidth="1"/>
    <col min="6683" max="6683" width="11.5" style="326" customWidth="1"/>
    <col min="6684" max="6684" width="10" style="326" customWidth="1"/>
    <col min="6685" max="6685" width="10.75" style="326" customWidth="1"/>
    <col min="6686" max="6686" width="13.5" style="326" customWidth="1"/>
    <col min="6687" max="6687" width="9" style="326"/>
    <col min="6688" max="6688" width="10.75" style="326" bestFit="1" customWidth="1"/>
    <col min="6689" max="6689" width="13.75" style="326" customWidth="1"/>
    <col min="6690" max="6690" width="9" style="326"/>
    <col min="6691" max="6691" width="10.625" style="326" customWidth="1"/>
    <col min="6692" max="6692" width="9" style="326"/>
    <col min="6693" max="6693" width="14.25" style="326" customWidth="1"/>
    <col min="6694" max="6694" width="10.75" style="326" bestFit="1" customWidth="1"/>
    <col min="6695" max="6695" width="11.625" style="326" customWidth="1"/>
    <col min="6696" max="6696" width="13.75" style="326" customWidth="1"/>
    <col min="6697" max="6697" width="10.625" style="326" customWidth="1"/>
    <col min="6698" max="6699" width="9" style="326"/>
    <col min="6700" max="6700" width="14.125" style="326" customWidth="1"/>
    <col min="6701" max="6701" width="11" style="326" customWidth="1"/>
    <col min="6702" max="6702" width="10.75" style="326" bestFit="1" customWidth="1"/>
    <col min="6703" max="6703" width="13.5" style="326" customWidth="1"/>
    <col min="6704" max="6705" width="9" style="326"/>
    <col min="6706" max="6706" width="10.75" style="326" bestFit="1" customWidth="1"/>
    <col min="6707" max="6707" width="14" style="326" customWidth="1"/>
    <col min="6708" max="6708" width="9" style="326"/>
    <col min="6709" max="6709" width="10.75" style="326" customWidth="1"/>
    <col min="6710" max="6710" width="12.75" style="326" customWidth="1"/>
    <col min="6711" max="6711" width="9" style="326"/>
    <col min="6712" max="6712" width="10.75" style="326" bestFit="1" customWidth="1"/>
    <col min="6713" max="6713" width="11.5" style="326" customWidth="1"/>
    <col min="6714" max="6714" width="13.625" style="326" customWidth="1"/>
    <col min="6715" max="6715" width="10.625" style="326" customWidth="1"/>
    <col min="6716" max="6716" width="10.75" style="326" bestFit="1" customWidth="1"/>
    <col min="6717" max="6717" width="12.375" style="326" customWidth="1"/>
    <col min="6718" max="6720" width="9" style="326"/>
    <col min="6721" max="6721" width="15.75" style="326" customWidth="1"/>
    <col min="6722" max="6722" width="9" style="326"/>
    <col min="6723" max="6723" width="10.75" style="326" bestFit="1" customWidth="1"/>
    <col min="6724" max="6724" width="12.625" style="326" customWidth="1"/>
    <col min="6725" max="6727" width="9" style="326"/>
    <col min="6728" max="6728" width="13.625" style="326" customWidth="1"/>
    <col min="6729" max="6729" width="9" style="326"/>
    <col min="6730" max="6730" width="10.75" style="326" bestFit="1" customWidth="1"/>
    <col min="6731" max="6731" width="12.5" style="326" customWidth="1"/>
    <col min="6732" max="6734" width="9" style="326"/>
    <col min="6735" max="6735" width="12.875" style="326" customWidth="1"/>
    <col min="6736" max="6736" width="9" style="326"/>
    <col min="6737" max="6737" width="10.75" style="326" bestFit="1" customWidth="1"/>
    <col min="6738" max="6738" width="13.875" style="326" customWidth="1"/>
    <col min="6739" max="6741" width="9" style="326"/>
    <col min="6742" max="6742" width="14.125" style="326" customWidth="1"/>
    <col min="6743" max="6743" width="9" style="326"/>
    <col min="6744" max="6744" width="10.75" style="326" bestFit="1" customWidth="1"/>
    <col min="6745" max="6745" width="13.25" style="326" customWidth="1"/>
    <col min="6746" max="6748" width="9" style="326"/>
    <col min="6749" max="6749" width="13.25" style="326" customWidth="1"/>
    <col min="6750" max="6750" width="9" style="326"/>
    <col min="6751" max="6751" width="10.75" style="326" bestFit="1" customWidth="1"/>
    <col min="6752" max="6752" width="13.875" style="326" customWidth="1"/>
    <col min="6753" max="6755" width="9" style="326"/>
    <col min="6756" max="6756" width="13.625" style="326" customWidth="1"/>
    <col min="6757" max="6757" width="9" style="326"/>
    <col min="6758" max="6758" width="10.75" style="326" bestFit="1" customWidth="1"/>
    <col min="6759" max="6759" width="13" style="326" customWidth="1"/>
    <col min="6760" max="6906" width="9" style="326"/>
    <col min="6907" max="6908" width="12.125" style="326" customWidth="1"/>
    <col min="6909" max="6911" width="13" style="326" customWidth="1"/>
    <col min="6912" max="6912" width="12.875" style="326" customWidth="1"/>
    <col min="6913" max="6913" width="13" style="326" customWidth="1"/>
    <col min="6914" max="6914" width="13.125" style="326" customWidth="1"/>
    <col min="6915" max="6916" width="12.125" style="326" customWidth="1"/>
    <col min="6917" max="6917" width="14.375" style="326" bestFit="1" customWidth="1"/>
    <col min="6918" max="6918" width="11" style="326" customWidth="1"/>
    <col min="6919" max="6919" width="10" style="326" customWidth="1"/>
    <col min="6920" max="6920" width="10.875" style="326" customWidth="1"/>
    <col min="6921" max="6921" width="13.75" style="326" customWidth="1"/>
    <col min="6922" max="6922" width="10" style="326" customWidth="1"/>
    <col min="6923" max="6923" width="13.25" style="326" customWidth="1"/>
    <col min="6924" max="6924" width="14.375" style="326" customWidth="1"/>
    <col min="6925" max="6925" width="10" style="326" customWidth="1"/>
    <col min="6926" max="6926" width="10.875" style="326" customWidth="1"/>
    <col min="6927" max="6927" width="11.375" style="326" customWidth="1"/>
    <col min="6928" max="6928" width="15.375" style="326" customWidth="1"/>
    <col min="6929" max="6930" width="10.75" style="326" customWidth="1"/>
    <col min="6931" max="6931" width="14.375" style="326" customWidth="1"/>
    <col min="6932" max="6932" width="10.75" style="326" customWidth="1"/>
    <col min="6933" max="6933" width="11.75" style="326" customWidth="1"/>
    <col min="6934" max="6934" width="10" style="326" customWidth="1"/>
    <col min="6935" max="6935" width="15.375" style="326" customWidth="1"/>
    <col min="6936" max="6936" width="10" style="326" customWidth="1"/>
    <col min="6937" max="6937" width="10.75" style="326" customWidth="1"/>
    <col min="6938" max="6938" width="14.875" style="326" customWidth="1"/>
    <col min="6939" max="6939" width="11.5" style="326" customWidth="1"/>
    <col min="6940" max="6940" width="10" style="326" customWidth="1"/>
    <col min="6941" max="6941" width="10.75" style="326" customWidth="1"/>
    <col min="6942" max="6942" width="13.5" style="326" customWidth="1"/>
    <col min="6943" max="6943" width="9" style="326"/>
    <col min="6944" max="6944" width="10.75" style="326" bestFit="1" customWidth="1"/>
    <col min="6945" max="6945" width="13.75" style="326" customWidth="1"/>
    <col min="6946" max="6946" width="9" style="326"/>
    <col min="6947" max="6947" width="10.625" style="326" customWidth="1"/>
    <col min="6948" max="6948" width="9" style="326"/>
    <col min="6949" max="6949" width="14.25" style="326" customWidth="1"/>
    <col min="6950" max="6950" width="10.75" style="326" bestFit="1" customWidth="1"/>
    <col min="6951" max="6951" width="11.625" style="326" customWidth="1"/>
    <col min="6952" max="6952" width="13.75" style="326" customWidth="1"/>
    <col min="6953" max="6953" width="10.625" style="326" customWidth="1"/>
    <col min="6954" max="6955" width="9" style="326"/>
    <col min="6956" max="6956" width="14.125" style="326" customWidth="1"/>
    <col min="6957" max="6957" width="11" style="326" customWidth="1"/>
    <col min="6958" max="6958" width="10.75" style="326" bestFit="1" customWidth="1"/>
    <col min="6959" max="6959" width="13.5" style="326" customWidth="1"/>
    <col min="6960" max="6961" width="9" style="326"/>
    <col min="6962" max="6962" width="10.75" style="326" bestFit="1" customWidth="1"/>
    <col min="6963" max="6963" width="14" style="326" customWidth="1"/>
    <col min="6964" max="6964" width="9" style="326"/>
    <col min="6965" max="6965" width="10.75" style="326" customWidth="1"/>
    <col min="6966" max="6966" width="12.75" style="326" customWidth="1"/>
    <col min="6967" max="6967" width="9" style="326"/>
    <col min="6968" max="6968" width="10.75" style="326" bestFit="1" customWidth="1"/>
    <col min="6969" max="6969" width="11.5" style="326" customWidth="1"/>
    <col min="6970" max="6970" width="13.625" style="326" customWidth="1"/>
    <col min="6971" max="6971" width="10.625" style="326" customWidth="1"/>
    <col min="6972" max="6972" width="10.75" style="326" bestFit="1" customWidth="1"/>
    <col min="6973" max="6973" width="12.375" style="326" customWidth="1"/>
    <col min="6974" max="6976" width="9" style="326"/>
    <col min="6977" max="6977" width="15.75" style="326" customWidth="1"/>
    <col min="6978" max="6978" width="9" style="326"/>
    <col min="6979" max="6979" width="10.75" style="326" bestFit="1" customWidth="1"/>
    <col min="6980" max="6980" width="12.625" style="326" customWidth="1"/>
    <col min="6981" max="6983" width="9" style="326"/>
    <col min="6984" max="6984" width="13.625" style="326" customWidth="1"/>
    <col min="6985" max="6985" width="9" style="326"/>
    <col min="6986" max="6986" width="10.75" style="326" bestFit="1" customWidth="1"/>
    <col min="6987" max="6987" width="12.5" style="326" customWidth="1"/>
    <col min="6988" max="6990" width="9" style="326"/>
    <col min="6991" max="6991" width="12.875" style="326" customWidth="1"/>
    <col min="6992" max="6992" width="9" style="326"/>
    <col min="6993" max="6993" width="10.75" style="326" bestFit="1" customWidth="1"/>
    <col min="6994" max="6994" width="13.875" style="326" customWidth="1"/>
    <col min="6995" max="6997" width="9" style="326"/>
    <col min="6998" max="6998" width="14.125" style="326" customWidth="1"/>
    <col min="6999" max="6999" width="9" style="326"/>
    <col min="7000" max="7000" width="10.75" style="326" bestFit="1" customWidth="1"/>
    <col min="7001" max="7001" width="13.25" style="326" customWidth="1"/>
    <col min="7002" max="7004" width="9" style="326"/>
    <col min="7005" max="7005" width="13.25" style="326" customWidth="1"/>
    <col min="7006" max="7006" width="9" style="326"/>
    <col min="7007" max="7007" width="10.75" style="326" bestFit="1" customWidth="1"/>
    <col min="7008" max="7008" width="13.875" style="326" customWidth="1"/>
    <col min="7009" max="7011" width="9" style="326"/>
    <col min="7012" max="7012" width="13.625" style="326" customWidth="1"/>
    <col min="7013" max="7013" width="9" style="326"/>
    <col min="7014" max="7014" width="10.75" style="326" bestFit="1" customWidth="1"/>
    <col min="7015" max="7015" width="13" style="326" customWidth="1"/>
    <col min="7016" max="7162" width="9" style="326"/>
    <col min="7163" max="7164" width="12.125" style="326" customWidth="1"/>
    <col min="7165" max="7167" width="13" style="326" customWidth="1"/>
    <col min="7168" max="7168" width="12.875" style="326" customWidth="1"/>
    <col min="7169" max="7169" width="13" style="326" customWidth="1"/>
    <col min="7170" max="7170" width="13.125" style="326" customWidth="1"/>
    <col min="7171" max="7172" width="12.125" style="326" customWidth="1"/>
    <col min="7173" max="7173" width="14.375" style="326" bestFit="1" customWidth="1"/>
    <col min="7174" max="7174" width="11" style="326" customWidth="1"/>
    <col min="7175" max="7175" width="10" style="326" customWidth="1"/>
    <col min="7176" max="7176" width="10.875" style="326" customWidth="1"/>
    <col min="7177" max="7177" width="13.75" style="326" customWidth="1"/>
    <col min="7178" max="7178" width="10" style="326" customWidth="1"/>
    <col min="7179" max="7179" width="13.25" style="326" customWidth="1"/>
    <col min="7180" max="7180" width="14.375" style="326" customWidth="1"/>
    <col min="7181" max="7181" width="10" style="326" customWidth="1"/>
    <col min="7182" max="7182" width="10.875" style="326" customWidth="1"/>
    <col min="7183" max="7183" width="11.375" style="326" customWidth="1"/>
    <col min="7184" max="7184" width="15.375" style="326" customWidth="1"/>
    <col min="7185" max="7186" width="10.75" style="326" customWidth="1"/>
    <col min="7187" max="7187" width="14.375" style="326" customWidth="1"/>
    <col min="7188" max="7188" width="10.75" style="326" customWidth="1"/>
    <col min="7189" max="7189" width="11.75" style="326" customWidth="1"/>
    <col min="7190" max="7190" width="10" style="326" customWidth="1"/>
    <col min="7191" max="7191" width="15.375" style="326" customWidth="1"/>
    <col min="7192" max="7192" width="10" style="326" customWidth="1"/>
    <col min="7193" max="7193" width="10.75" style="326" customWidth="1"/>
    <col min="7194" max="7194" width="14.875" style="326" customWidth="1"/>
    <col min="7195" max="7195" width="11.5" style="326" customWidth="1"/>
    <col min="7196" max="7196" width="10" style="326" customWidth="1"/>
    <col min="7197" max="7197" width="10.75" style="326" customWidth="1"/>
    <col min="7198" max="7198" width="13.5" style="326" customWidth="1"/>
    <col min="7199" max="7199" width="9" style="326"/>
    <col min="7200" max="7200" width="10.75" style="326" bestFit="1" customWidth="1"/>
    <col min="7201" max="7201" width="13.75" style="326" customWidth="1"/>
    <col min="7202" max="7202" width="9" style="326"/>
    <col min="7203" max="7203" width="10.625" style="326" customWidth="1"/>
    <col min="7204" max="7204" width="9" style="326"/>
    <col min="7205" max="7205" width="14.25" style="326" customWidth="1"/>
    <col min="7206" max="7206" width="10.75" style="326" bestFit="1" customWidth="1"/>
    <col min="7207" max="7207" width="11.625" style="326" customWidth="1"/>
    <col min="7208" max="7208" width="13.75" style="326" customWidth="1"/>
    <col min="7209" max="7209" width="10.625" style="326" customWidth="1"/>
    <col min="7210" max="7211" width="9" style="326"/>
    <col min="7212" max="7212" width="14.125" style="326" customWidth="1"/>
    <col min="7213" max="7213" width="11" style="326" customWidth="1"/>
    <col min="7214" max="7214" width="10.75" style="326" bestFit="1" customWidth="1"/>
    <col min="7215" max="7215" width="13.5" style="326" customWidth="1"/>
    <col min="7216" max="7217" width="9" style="326"/>
    <col min="7218" max="7218" width="10.75" style="326" bestFit="1" customWidth="1"/>
    <col min="7219" max="7219" width="14" style="326" customWidth="1"/>
    <col min="7220" max="7220" width="9" style="326"/>
    <col min="7221" max="7221" width="10.75" style="326" customWidth="1"/>
    <col min="7222" max="7222" width="12.75" style="326" customWidth="1"/>
    <col min="7223" max="7223" width="9" style="326"/>
    <col min="7224" max="7224" width="10.75" style="326" bestFit="1" customWidth="1"/>
    <col min="7225" max="7225" width="11.5" style="326" customWidth="1"/>
    <col min="7226" max="7226" width="13.625" style="326" customWidth="1"/>
    <col min="7227" max="7227" width="10.625" style="326" customWidth="1"/>
    <col min="7228" max="7228" width="10.75" style="326" bestFit="1" customWidth="1"/>
    <col min="7229" max="7229" width="12.375" style="326" customWidth="1"/>
    <col min="7230" max="7232" width="9" style="326"/>
    <col min="7233" max="7233" width="15.75" style="326" customWidth="1"/>
    <col min="7234" max="7234" width="9" style="326"/>
    <col min="7235" max="7235" width="10.75" style="326" bestFit="1" customWidth="1"/>
    <col min="7236" max="7236" width="12.625" style="326" customWidth="1"/>
    <col min="7237" max="7239" width="9" style="326"/>
    <col min="7240" max="7240" width="13.625" style="326" customWidth="1"/>
    <col min="7241" max="7241" width="9" style="326"/>
    <col min="7242" max="7242" width="10.75" style="326" bestFit="1" customWidth="1"/>
    <col min="7243" max="7243" width="12.5" style="326" customWidth="1"/>
    <col min="7244" max="7246" width="9" style="326"/>
    <col min="7247" max="7247" width="12.875" style="326" customWidth="1"/>
    <col min="7248" max="7248" width="9" style="326"/>
    <col min="7249" max="7249" width="10.75" style="326" bestFit="1" customWidth="1"/>
    <col min="7250" max="7250" width="13.875" style="326" customWidth="1"/>
    <col min="7251" max="7253" width="9" style="326"/>
    <col min="7254" max="7254" width="14.125" style="326" customWidth="1"/>
    <col min="7255" max="7255" width="9" style="326"/>
    <col min="7256" max="7256" width="10.75" style="326" bestFit="1" customWidth="1"/>
    <col min="7257" max="7257" width="13.25" style="326" customWidth="1"/>
    <col min="7258" max="7260" width="9" style="326"/>
    <col min="7261" max="7261" width="13.25" style="326" customWidth="1"/>
    <col min="7262" max="7262" width="9" style="326"/>
    <col min="7263" max="7263" width="10.75" style="326" bestFit="1" customWidth="1"/>
    <col min="7264" max="7264" width="13.875" style="326" customWidth="1"/>
    <col min="7265" max="7267" width="9" style="326"/>
    <col min="7268" max="7268" width="13.625" style="326" customWidth="1"/>
    <col min="7269" max="7269" width="9" style="326"/>
    <col min="7270" max="7270" width="10.75" style="326" bestFit="1" customWidth="1"/>
    <col min="7271" max="7271" width="13" style="326" customWidth="1"/>
    <col min="7272" max="7418" width="9" style="326"/>
    <col min="7419" max="7420" width="12.125" style="326" customWidth="1"/>
    <col min="7421" max="7423" width="13" style="326" customWidth="1"/>
    <col min="7424" max="7424" width="12.875" style="326" customWidth="1"/>
    <col min="7425" max="7425" width="13" style="326" customWidth="1"/>
    <col min="7426" max="7426" width="13.125" style="326" customWidth="1"/>
    <col min="7427" max="7428" width="12.125" style="326" customWidth="1"/>
    <col min="7429" max="7429" width="14.375" style="326" bestFit="1" customWidth="1"/>
    <col min="7430" max="7430" width="11" style="326" customWidth="1"/>
    <col min="7431" max="7431" width="10" style="326" customWidth="1"/>
    <col min="7432" max="7432" width="10.875" style="326" customWidth="1"/>
    <col min="7433" max="7433" width="13.75" style="326" customWidth="1"/>
    <col min="7434" max="7434" width="10" style="326" customWidth="1"/>
    <col min="7435" max="7435" width="13.25" style="326" customWidth="1"/>
    <col min="7436" max="7436" width="14.375" style="326" customWidth="1"/>
    <col min="7437" max="7437" width="10" style="326" customWidth="1"/>
    <col min="7438" max="7438" width="10.875" style="326" customWidth="1"/>
    <col min="7439" max="7439" width="11.375" style="326" customWidth="1"/>
    <col min="7440" max="7440" width="15.375" style="326" customWidth="1"/>
    <col min="7441" max="7442" width="10.75" style="326" customWidth="1"/>
    <col min="7443" max="7443" width="14.375" style="326" customWidth="1"/>
    <col min="7444" max="7444" width="10.75" style="326" customWidth="1"/>
    <col min="7445" max="7445" width="11.75" style="326" customWidth="1"/>
    <col min="7446" max="7446" width="10" style="326" customWidth="1"/>
    <col min="7447" max="7447" width="15.375" style="326" customWidth="1"/>
    <col min="7448" max="7448" width="10" style="326" customWidth="1"/>
    <col min="7449" max="7449" width="10.75" style="326" customWidth="1"/>
    <col min="7450" max="7450" width="14.875" style="326" customWidth="1"/>
    <col min="7451" max="7451" width="11.5" style="326" customWidth="1"/>
    <col min="7452" max="7452" width="10" style="326" customWidth="1"/>
    <col min="7453" max="7453" width="10.75" style="326" customWidth="1"/>
    <col min="7454" max="7454" width="13.5" style="326" customWidth="1"/>
    <col min="7455" max="7455" width="9" style="326"/>
    <col min="7456" max="7456" width="10.75" style="326" bestFit="1" customWidth="1"/>
    <col min="7457" max="7457" width="13.75" style="326" customWidth="1"/>
    <col min="7458" max="7458" width="9" style="326"/>
    <col min="7459" max="7459" width="10.625" style="326" customWidth="1"/>
    <col min="7460" max="7460" width="9" style="326"/>
    <col min="7461" max="7461" width="14.25" style="326" customWidth="1"/>
    <col min="7462" max="7462" width="10.75" style="326" bestFit="1" customWidth="1"/>
    <col min="7463" max="7463" width="11.625" style="326" customWidth="1"/>
    <col min="7464" max="7464" width="13.75" style="326" customWidth="1"/>
    <col min="7465" max="7465" width="10.625" style="326" customWidth="1"/>
    <col min="7466" max="7467" width="9" style="326"/>
    <col min="7468" max="7468" width="14.125" style="326" customWidth="1"/>
    <col min="7469" max="7469" width="11" style="326" customWidth="1"/>
    <col min="7470" max="7470" width="10.75" style="326" bestFit="1" customWidth="1"/>
    <col min="7471" max="7471" width="13.5" style="326" customWidth="1"/>
    <col min="7472" max="7473" width="9" style="326"/>
    <col min="7474" max="7474" width="10.75" style="326" bestFit="1" customWidth="1"/>
    <col min="7475" max="7475" width="14" style="326" customWidth="1"/>
    <col min="7476" max="7476" width="9" style="326"/>
    <col min="7477" max="7477" width="10.75" style="326" customWidth="1"/>
    <col min="7478" max="7478" width="12.75" style="326" customWidth="1"/>
    <col min="7479" max="7479" width="9" style="326"/>
    <col min="7480" max="7480" width="10.75" style="326" bestFit="1" customWidth="1"/>
    <col min="7481" max="7481" width="11.5" style="326" customWidth="1"/>
    <col min="7482" max="7482" width="13.625" style="326" customWidth="1"/>
    <col min="7483" max="7483" width="10.625" style="326" customWidth="1"/>
    <col min="7484" max="7484" width="10.75" style="326" bestFit="1" customWidth="1"/>
    <col min="7485" max="7485" width="12.375" style="326" customWidth="1"/>
    <col min="7486" max="7488" width="9" style="326"/>
    <col min="7489" max="7489" width="15.75" style="326" customWidth="1"/>
    <col min="7490" max="7490" width="9" style="326"/>
    <col min="7491" max="7491" width="10.75" style="326" bestFit="1" customWidth="1"/>
    <col min="7492" max="7492" width="12.625" style="326" customWidth="1"/>
    <col min="7493" max="7495" width="9" style="326"/>
    <col min="7496" max="7496" width="13.625" style="326" customWidth="1"/>
    <col min="7497" max="7497" width="9" style="326"/>
    <col min="7498" max="7498" width="10.75" style="326" bestFit="1" customWidth="1"/>
    <col min="7499" max="7499" width="12.5" style="326" customWidth="1"/>
    <col min="7500" max="7502" width="9" style="326"/>
    <col min="7503" max="7503" width="12.875" style="326" customWidth="1"/>
    <col min="7504" max="7504" width="9" style="326"/>
    <col min="7505" max="7505" width="10.75" style="326" bestFit="1" customWidth="1"/>
    <col min="7506" max="7506" width="13.875" style="326" customWidth="1"/>
    <col min="7507" max="7509" width="9" style="326"/>
    <col min="7510" max="7510" width="14.125" style="326" customWidth="1"/>
    <col min="7511" max="7511" width="9" style="326"/>
    <col min="7512" max="7512" width="10.75" style="326" bestFit="1" customWidth="1"/>
    <col min="7513" max="7513" width="13.25" style="326" customWidth="1"/>
    <col min="7514" max="7516" width="9" style="326"/>
    <col min="7517" max="7517" width="13.25" style="326" customWidth="1"/>
    <col min="7518" max="7518" width="9" style="326"/>
    <col min="7519" max="7519" width="10.75" style="326" bestFit="1" customWidth="1"/>
    <col min="7520" max="7520" width="13.875" style="326" customWidth="1"/>
    <col min="7521" max="7523" width="9" style="326"/>
    <col min="7524" max="7524" width="13.625" style="326" customWidth="1"/>
    <col min="7525" max="7525" width="9" style="326"/>
    <col min="7526" max="7526" width="10.75" style="326" bestFit="1" customWidth="1"/>
    <col min="7527" max="7527" width="13" style="326" customWidth="1"/>
    <col min="7528" max="7674" width="9" style="326"/>
    <col min="7675" max="7676" width="12.125" style="326" customWidth="1"/>
    <col min="7677" max="7679" width="13" style="326" customWidth="1"/>
    <col min="7680" max="7680" width="12.875" style="326" customWidth="1"/>
    <col min="7681" max="7681" width="13" style="326" customWidth="1"/>
    <col min="7682" max="7682" width="13.125" style="326" customWidth="1"/>
    <col min="7683" max="7684" width="12.125" style="326" customWidth="1"/>
    <col min="7685" max="7685" width="14.375" style="326" bestFit="1" customWidth="1"/>
    <col min="7686" max="7686" width="11" style="326" customWidth="1"/>
    <col min="7687" max="7687" width="10" style="326" customWidth="1"/>
    <col min="7688" max="7688" width="10.875" style="326" customWidth="1"/>
    <col min="7689" max="7689" width="13.75" style="326" customWidth="1"/>
    <col min="7690" max="7690" width="10" style="326" customWidth="1"/>
    <col min="7691" max="7691" width="13.25" style="326" customWidth="1"/>
    <col min="7692" max="7692" width="14.375" style="326" customWidth="1"/>
    <col min="7693" max="7693" width="10" style="326" customWidth="1"/>
    <col min="7694" max="7694" width="10.875" style="326" customWidth="1"/>
    <col min="7695" max="7695" width="11.375" style="326" customWidth="1"/>
    <col min="7696" max="7696" width="15.375" style="326" customWidth="1"/>
    <col min="7697" max="7698" width="10.75" style="326" customWidth="1"/>
    <col min="7699" max="7699" width="14.375" style="326" customWidth="1"/>
    <col min="7700" max="7700" width="10.75" style="326" customWidth="1"/>
    <col min="7701" max="7701" width="11.75" style="326" customWidth="1"/>
    <col min="7702" max="7702" width="10" style="326" customWidth="1"/>
    <col min="7703" max="7703" width="15.375" style="326" customWidth="1"/>
    <col min="7704" max="7704" width="10" style="326" customWidth="1"/>
    <col min="7705" max="7705" width="10.75" style="326" customWidth="1"/>
    <col min="7706" max="7706" width="14.875" style="326" customWidth="1"/>
    <col min="7707" max="7707" width="11.5" style="326" customWidth="1"/>
    <col min="7708" max="7708" width="10" style="326" customWidth="1"/>
    <col min="7709" max="7709" width="10.75" style="326" customWidth="1"/>
    <col min="7710" max="7710" width="13.5" style="326" customWidth="1"/>
    <col min="7711" max="7711" width="9" style="326"/>
    <col min="7712" max="7712" width="10.75" style="326" bestFit="1" customWidth="1"/>
    <col min="7713" max="7713" width="13.75" style="326" customWidth="1"/>
    <col min="7714" max="7714" width="9" style="326"/>
    <col min="7715" max="7715" width="10.625" style="326" customWidth="1"/>
    <col min="7716" max="7716" width="9" style="326"/>
    <col min="7717" max="7717" width="14.25" style="326" customWidth="1"/>
    <col min="7718" max="7718" width="10.75" style="326" bestFit="1" customWidth="1"/>
    <col min="7719" max="7719" width="11.625" style="326" customWidth="1"/>
    <col min="7720" max="7720" width="13.75" style="326" customWidth="1"/>
    <col min="7721" max="7721" width="10.625" style="326" customWidth="1"/>
    <col min="7722" max="7723" width="9" style="326"/>
    <col min="7724" max="7724" width="14.125" style="326" customWidth="1"/>
    <col min="7725" max="7725" width="11" style="326" customWidth="1"/>
    <col min="7726" max="7726" width="10.75" style="326" bestFit="1" customWidth="1"/>
    <col min="7727" max="7727" width="13.5" style="326" customWidth="1"/>
    <col min="7728" max="7729" width="9" style="326"/>
    <col min="7730" max="7730" width="10.75" style="326" bestFit="1" customWidth="1"/>
    <col min="7731" max="7731" width="14" style="326" customWidth="1"/>
    <col min="7732" max="7732" width="9" style="326"/>
    <col min="7733" max="7733" width="10.75" style="326" customWidth="1"/>
    <col min="7734" max="7734" width="12.75" style="326" customWidth="1"/>
    <col min="7735" max="7735" width="9" style="326"/>
    <col min="7736" max="7736" width="10.75" style="326" bestFit="1" customWidth="1"/>
    <col min="7737" max="7737" width="11.5" style="326" customWidth="1"/>
    <col min="7738" max="7738" width="13.625" style="326" customWidth="1"/>
    <col min="7739" max="7739" width="10.625" style="326" customWidth="1"/>
    <col min="7740" max="7740" width="10.75" style="326" bestFit="1" customWidth="1"/>
    <col min="7741" max="7741" width="12.375" style="326" customWidth="1"/>
    <col min="7742" max="7744" width="9" style="326"/>
    <col min="7745" max="7745" width="15.75" style="326" customWidth="1"/>
    <col min="7746" max="7746" width="9" style="326"/>
    <col min="7747" max="7747" width="10.75" style="326" bestFit="1" customWidth="1"/>
    <col min="7748" max="7748" width="12.625" style="326" customWidth="1"/>
    <col min="7749" max="7751" width="9" style="326"/>
    <col min="7752" max="7752" width="13.625" style="326" customWidth="1"/>
    <col min="7753" max="7753" width="9" style="326"/>
    <col min="7754" max="7754" width="10.75" style="326" bestFit="1" customWidth="1"/>
    <col min="7755" max="7755" width="12.5" style="326" customWidth="1"/>
    <col min="7756" max="7758" width="9" style="326"/>
    <col min="7759" max="7759" width="12.875" style="326" customWidth="1"/>
    <col min="7760" max="7760" width="9" style="326"/>
    <col min="7761" max="7761" width="10.75" style="326" bestFit="1" customWidth="1"/>
    <col min="7762" max="7762" width="13.875" style="326" customWidth="1"/>
    <col min="7763" max="7765" width="9" style="326"/>
    <col min="7766" max="7766" width="14.125" style="326" customWidth="1"/>
    <col min="7767" max="7767" width="9" style="326"/>
    <col min="7768" max="7768" width="10.75" style="326" bestFit="1" customWidth="1"/>
    <col min="7769" max="7769" width="13.25" style="326" customWidth="1"/>
    <col min="7770" max="7772" width="9" style="326"/>
    <col min="7773" max="7773" width="13.25" style="326" customWidth="1"/>
    <col min="7774" max="7774" width="9" style="326"/>
    <col min="7775" max="7775" width="10.75" style="326" bestFit="1" customWidth="1"/>
    <col min="7776" max="7776" width="13.875" style="326" customWidth="1"/>
    <col min="7777" max="7779" width="9" style="326"/>
    <col min="7780" max="7780" width="13.625" style="326" customWidth="1"/>
    <col min="7781" max="7781" width="9" style="326"/>
    <col min="7782" max="7782" width="10.75" style="326" bestFit="1" customWidth="1"/>
    <col min="7783" max="7783" width="13" style="326" customWidth="1"/>
    <col min="7784" max="7930" width="9" style="326"/>
    <col min="7931" max="7932" width="12.125" style="326" customWidth="1"/>
    <col min="7933" max="7935" width="13" style="326" customWidth="1"/>
    <col min="7936" max="7936" width="12.875" style="326" customWidth="1"/>
    <col min="7937" max="7937" width="13" style="326" customWidth="1"/>
    <col min="7938" max="7938" width="13.125" style="326" customWidth="1"/>
    <col min="7939" max="7940" width="12.125" style="326" customWidth="1"/>
    <col min="7941" max="7941" width="14.375" style="326" bestFit="1" customWidth="1"/>
    <col min="7942" max="7942" width="11" style="326" customWidth="1"/>
    <col min="7943" max="7943" width="10" style="326" customWidth="1"/>
    <col min="7944" max="7944" width="10.875" style="326" customWidth="1"/>
    <col min="7945" max="7945" width="13.75" style="326" customWidth="1"/>
    <col min="7946" max="7946" width="10" style="326" customWidth="1"/>
    <col min="7947" max="7947" width="13.25" style="326" customWidth="1"/>
    <col min="7948" max="7948" width="14.375" style="326" customWidth="1"/>
    <col min="7949" max="7949" width="10" style="326" customWidth="1"/>
    <col min="7950" max="7950" width="10.875" style="326" customWidth="1"/>
    <col min="7951" max="7951" width="11.375" style="326" customWidth="1"/>
    <col min="7952" max="7952" width="15.375" style="326" customWidth="1"/>
    <col min="7953" max="7954" width="10.75" style="326" customWidth="1"/>
    <col min="7955" max="7955" width="14.375" style="326" customWidth="1"/>
    <col min="7956" max="7956" width="10.75" style="326" customWidth="1"/>
    <col min="7957" max="7957" width="11.75" style="326" customWidth="1"/>
    <col min="7958" max="7958" width="10" style="326" customWidth="1"/>
    <col min="7959" max="7959" width="15.375" style="326" customWidth="1"/>
    <col min="7960" max="7960" width="10" style="326" customWidth="1"/>
    <col min="7961" max="7961" width="10.75" style="326" customWidth="1"/>
    <col min="7962" max="7962" width="14.875" style="326" customWidth="1"/>
    <col min="7963" max="7963" width="11.5" style="326" customWidth="1"/>
    <col min="7964" max="7964" width="10" style="326" customWidth="1"/>
    <col min="7965" max="7965" width="10.75" style="326" customWidth="1"/>
    <col min="7966" max="7966" width="13.5" style="326" customWidth="1"/>
    <col min="7967" max="7967" width="9" style="326"/>
    <col min="7968" max="7968" width="10.75" style="326" bestFit="1" customWidth="1"/>
    <col min="7969" max="7969" width="13.75" style="326" customWidth="1"/>
    <col min="7970" max="7970" width="9" style="326"/>
    <col min="7971" max="7971" width="10.625" style="326" customWidth="1"/>
    <col min="7972" max="7972" width="9" style="326"/>
    <col min="7973" max="7973" width="14.25" style="326" customWidth="1"/>
    <col min="7974" max="7974" width="10.75" style="326" bestFit="1" customWidth="1"/>
    <col min="7975" max="7975" width="11.625" style="326" customWidth="1"/>
    <col min="7976" max="7976" width="13.75" style="326" customWidth="1"/>
    <col min="7977" max="7977" width="10.625" style="326" customWidth="1"/>
    <col min="7978" max="7979" width="9" style="326"/>
    <col min="7980" max="7980" width="14.125" style="326" customWidth="1"/>
    <col min="7981" max="7981" width="11" style="326" customWidth="1"/>
    <col min="7982" max="7982" width="10.75" style="326" bestFit="1" customWidth="1"/>
    <col min="7983" max="7983" width="13.5" style="326" customWidth="1"/>
    <col min="7984" max="7985" width="9" style="326"/>
    <col min="7986" max="7986" width="10.75" style="326" bestFit="1" customWidth="1"/>
    <col min="7987" max="7987" width="14" style="326" customWidth="1"/>
    <col min="7988" max="7988" width="9" style="326"/>
    <col min="7989" max="7989" width="10.75" style="326" customWidth="1"/>
    <col min="7990" max="7990" width="12.75" style="326" customWidth="1"/>
    <col min="7991" max="7991" width="9" style="326"/>
    <col min="7992" max="7992" width="10.75" style="326" bestFit="1" customWidth="1"/>
    <col min="7993" max="7993" width="11.5" style="326" customWidth="1"/>
    <col min="7994" max="7994" width="13.625" style="326" customWidth="1"/>
    <col min="7995" max="7995" width="10.625" style="326" customWidth="1"/>
    <col min="7996" max="7996" width="10.75" style="326" bestFit="1" customWidth="1"/>
    <col min="7997" max="7997" width="12.375" style="326" customWidth="1"/>
    <col min="7998" max="8000" width="9" style="326"/>
    <col min="8001" max="8001" width="15.75" style="326" customWidth="1"/>
    <col min="8002" max="8002" width="9" style="326"/>
    <col min="8003" max="8003" width="10.75" style="326" bestFit="1" customWidth="1"/>
    <col min="8004" max="8004" width="12.625" style="326" customWidth="1"/>
    <col min="8005" max="8007" width="9" style="326"/>
    <col min="8008" max="8008" width="13.625" style="326" customWidth="1"/>
    <col min="8009" max="8009" width="9" style="326"/>
    <col min="8010" max="8010" width="10.75" style="326" bestFit="1" customWidth="1"/>
    <col min="8011" max="8011" width="12.5" style="326" customWidth="1"/>
    <col min="8012" max="8014" width="9" style="326"/>
    <col min="8015" max="8015" width="12.875" style="326" customWidth="1"/>
    <col min="8016" max="8016" width="9" style="326"/>
    <col min="8017" max="8017" width="10.75" style="326" bestFit="1" customWidth="1"/>
    <col min="8018" max="8018" width="13.875" style="326" customWidth="1"/>
    <col min="8019" max="8021" width="9" style="326"/>
    <col min="8022" max="8022" width="14.125" style="326" customWidth="1"/>
    <col min="8023" max="8023" width="9" style="326"/>
    <col min="8024" max="8024" width="10.75" style="326" bestFit="1" customWidth="1"/>
    <col min="8025" max="8025" width="13.25" style="326" customWidth="1"/>
    <col min="8026" max="8028" width="9" style="326"/>
    <col min="8029" max="8029" width="13.25" style="326" customWidth="1"/>
    <col min="8030" max="8030" width="9" style="326"/>
    <col min="8031" max="8031" width="10.75" style="326" bestFit="1" customWidth="1"/>
    <col min="8032" max="8032" width="13.875" style="326" customWidth="1"/>
    <col min="8033" max="8035" width="9" style="326"/>
    <col min="8036" max="8036" width="13.625" style="326" customWidth="1"/>
    <col min="8037" max="8037" width="9" style="326"/>
    <col min="8038" max="8038" width="10.75" style="326" bestFit="1" customWidth="1"/>
    <col min="8039" max="8039" width="13" style="326" customWidth="1"/>
    <col min="8040" max="8186" width="9" style="326"/>
    <col min="8187" max="8188" width="12.125" style="326" customWidth="1"/>
    <col min="8189" max="8191" width="13" style="326" customWidth="1"/>
    <col min="8192" max="8192" width="12.875" style="326" customWidth="1"/>
    <col min="8193" max="8193" width="13" style="326" customWidth="1"/>
    <col min="8194" max="8194" width="13.125" style="326" customWidth="1"/>
    <col min="8195" max="8196" width="12.125" style="326" customWidth="1"/>
    <col min="8197" max="8197" width="14.375" style="326" bestFit="1" customWidth="1"/>
    <col min="8198" max="8198" width="11" style="326" customWidth="1"/>
    <col min="8199" max="8199" width="10" style="326" customWidth="1"/>
    <col min="8200" max="8200" width="10.875" style="326" customWidth="1"/>
    <col min="8201" max="8201" width="13.75" style="326" customWidth="1"/>
    <col min="8202" max="8202" width="10" style="326" customWidth="1"/>
    <col min="8203" max="8203" width="13.25" style="326" customWidth="1"/>
    <col min="8204" max="8204" width="14.375" style="326" customWidth="1"/>
    <col min="8205" max="8205" width="10" style="326" customWidth="1"/>
    <col min="8206" max="8206" width="10.875" style="326" customWidth="1"/>
    <col min="8207" max="8207" width="11.375" style="326" customWidth="1"/>
    <col min="8208" max="8208" width="15.375" style="326" customWidth="1"/>
    <col min="8209" max="8210" width="10.75" style="326" customWidth="1"/>
    <col min="8211" max="8211" width="14.375" style="326" customWidth="1"/>
    <col min="8212" max="8212" width="10.75" style="326" customWidth="1"/>
    <col min="8213" max="8213" width="11.75" style="326" customWidth="1"/>
    <col min="8214" max="8214" width="10" style="326" customWidth="1"/>
    <col min="8215" max="8215" width="15.375" style="326" customWidth="1"/>
    <col min="8216" max="8216" width="10" style="326" customWidth="1"/>
    <col min="8217" max="8217" width="10.75" style="326" customWidth="1"/>
    <col min="8218" max="8218" width="14.875" style="326" customWidth="1"/>
    <col min="8219" max="8219" width="11.5" style="326" customWidth="1"/>
    <col min="8220" max="8220" width="10" style="326" customWidth="1"/>
    <col min="8221" max="8221" width="10.75" style="326" customWidth="1"/>
    <col min="8222" max="8222" width="13.5" style="326" customWidth="1"/>
    <col min="8223" max="8223" width="9" style="326"/>
    <col min="8224" max="8224" width="10.75" style="326" bestFit="1" customWidth="1"/>
    <col min="8225" max="8225" width="13.75" style="326" customWidth="1"/>
    <col min="8226" max="8226" width="9" style="326"/>
    <col min="8227" max="8227" width="10.625" style="326" customWidth="1"/>
    <col min="8228" max="8228" width="9" style="326"/>
    <col min="8229" max="8229" width="14.25" style="326" customWidth="1"/>
    <col min="8230" max="8230" width="10.75" style="326" bestFit="1" customWidth="1"/>
    <col min="8231" max="8231" width="11.625" style="326" customWidth="1"/>
    <col min="8232" max="8232" width="13.75" style="326" customWidth="1"/>
    <col min="8233" max="8233" width="10.625" style="326" customWidth="1"/>
    <col min="8234" max="8235" width="9" style="326"/>
    <col min="8236" max="8236" width="14.125" style="326" customWidth="1"/>
    <col min="8237" max="8237" width="11" style="326" customWidth="1"/>
    <col min="8238" max="8238" width="10.75" style="326" bestFit="1" customWidth="1"/>
    <col min="8239" max="8239" width="13.5" style="326" customWidth="1"/>
    <col min="8240" max="8241" width="9" style="326"/>
    <col min="8242" max="8242" width="10.75" style="326" bestFit="1" customWidth="1"/>
    <col min="8243" max="8243" width="14" style="326" customWidth="1"/>
    <col min="8244" max="8244" width="9" style="326"/>
    <col min="8245" max="8245" width="10.75" style="326" customWidth="1"/>
    <col min="8246" max="8246" width="12.75" style="326" customWidth="1"/>
    <col min="8247" max="8247" width="9" style="326"/>
    <col min="8248" max="8248" width="10.75" style="326" bestFit="1" customWidth="1"/>
    <col min="8249" max="8249" width="11.5" style="326" customWidth="1"/>
    <col min="8250" max="8250" width="13.625" style="326" customWidth="1"/>
    <col min="8251" max="8251" width="10.625" style="326" customWidth="1"/>
    <col min="8252" max="8252" width="10.75" style="326" bestFit="1" customWidth="1"/>
    <col min="8253" max="8253" width="12.375" style="326" customWidth="1"/>
    <col min="8254" max="8256" width="9" style="326"/>
    <col min="8257" max="8257" width="15.75" style="326" customWidth="1"/>
    <col min="8258" max="8258" width="9" style="326"/>
    <col min="8259" max="8259" width="10.75" style="326" bestFit="1" customWidth="1"/>
    <col min="8260" max="8260" width="12.625" style="326" customWidth="1"/>
    <col min="8261" max="8263" width="9" style="326"/>
    <col min="8264" max="8264" width="13.625" style="326" customWidth="1"/>
    <col min="8265" max="8265" width="9" style="326"/>
    <col min="8266" max="8266" width="10.75" style="326" bestFit="1" customWidth="1"/>
    <col min="8267" max="8267" width="12.5" style="326" customWidth="1"/>
    <col min="8268" max="8270" width="9" style="326"/>
    <col min="8271" max="8271" width="12.875" style="326" customWidth="1"/>
    <col min="8272" max="8272" width="9" style="326"/>
    <col min="8273" max="8273" width="10.75" style="326" bestFit="1" customWidth="1"/>
    <col min="8274" max="8274" width="13.875" style="326" customWidth="1"/>
    <col min="8275" max="8277" width="9" style="326"/>
    <col min="8278" max="8278" width="14.125" style="326" customWidth="1"/>
    <col min="8279" max="8279" width="9" style="326"/>
    <col min="8280" max="8280" width="10.75" style="326" bestFit="1" customWidth="1"/>
    <col min="8281" max="8281" width="13.25" style="326" customWidth="1"/>
    <col min="8282" max="8284" width="9" style="326"/>
    <col min="8285" max="8285" width="13.25" style="326" customWidth="1"/>
    <col min="8286" max="8286" width="9" style="326"/>
    <col min="8287" max="8287" width="10.75" style="326" bestFit="1" customWidth="1"/>
    <col min="8288" max="8288" width="13.875" style="326" customWidth="1"/>
    <col min="8289" max="8291" width="9" style="326"/>
    <col min="8292" max="8292" width="13.625" style="326" customWidth="1"/>
    <col min="8293" max="8293" width="9" style="326"/>
    <col min="8294" max="8294" width="10.75" style="326" bestFit="1" customWidth="1"/>
    <col min="8295" max="8295" width="13" style="326" customWidth="1"/>
    <col min="8296" max="8442" width="9" style="326"/>
    <col min="8443" max="8444" width="12.125" style="326" customWidth="1"/>
    <col min="8445" max="8447" width="13" style="326" customWidth="1"/>
    <col min="8448" max="8448" width="12.875" style="326" customWidth="1"/>
    <col min="8449" max="8449" width="13" style="326" customWidth="1"/>
    <col min="8450" max="8450" width="13.125" style="326" customWidth="1"/>
    <col min="8451" max="8452" width="12.125" style="326" customWidth="1"/>
    <col min="8453" max="8453" width="14.375" style="326" bestFit="1" customWidth="1"/>
    <col min="8454" max="8454" width="11" style="326" customWidth="1"/>
    <col min="8455" max="8455" width="10" style="326" customWidth="1"/>
    <col min="8456" max="8456" width="10.875" style="326" customWidth="1"/>
    <col min="8457" max="8457" width="13.75" style="326" customWidth="1"/>
    <col min="8458" max="8458" width="10" style="326" customWidth="1"/>
    <col min="8459" max="8459" width="13.25" style="326" customWidth="1"/>
    <col min="8460" max="8460" width="14.375" style="326" customWidth="1"/>
    <col min="8461" max="8461" width="10" style="326" customWidth="1"/>
    <col min="8462" max="8462" width="10.875" style="326" customWidth="1"/>
    <col min="8463" max="8463" width="11.375" style="326" customWidth="1"/>
    <col min="8464" max="8464" width="15.375" style="326" customWidth="1"/>
    <col min="8465" max="8466" width="10.75" style="326" customWidth="1"/>
    <col min="8467" max="8467" width="14.375" style="326" customWidth="1"/>
    <col min="8468" max="8468" width="10.75" style="326" customWidth="1"/>
    <col min="8469" max="8469" width="11.75" style="326" customWidth="1"/>
    <col min="8470" max="8470" width="10" style="326" customWidth="1"/>
    <col min="8471" max="8471" width="15.375" style="326" customWidth="1"/>
    <col min="8472" max="8472" width="10" style="326" customWidth="1"/>
    <col min="8473" max="8473" width="10.75" style="326" customWidth="1"/>
    <col min="8474" max="8474" width="14.875" style="326" customWidth="1"/>
    <col min="8475" max="8475" width="11.5" style="326" customWidth="1"/>
    <col min="8476" max="8476" width="10" style="326" customWidth="1"/>
    <col min="8477" max="8477" width="10.75" style="326" customWidth="1"/>
    <col min="8478" max="8478" width="13.5" style="326" customWidth="1"/>
    <col min="8479" max="8479" width="9" style="326"/>
    <col min="8480" max="8480" width="10.75" style="326" bestFit="1" customWidth="1"/>
    <col min="8481" max="8481" width="13.75" style="326" customWidth="1"/>
    <col min="8482" max="8482" width="9" style="326"/>
    <col min="8483" max="8483" width="10.625" style="326" customWidth="1"/>
    <col min="8484" max="8484" width="9" style="326"/>
    <col min="8485" max="8485" width="14.25" style="326" customWidth="1"/>
    <col min="8486" max="8486" width="10.75" style="326" bestFit="1" customWidth="1"/>
    <col min="8487" max="8487" width="11.625" style="326" customWidth="1"/>
    <col min="8488" max="8488" width="13.75" style="326" customWidth="1"/>
    <col min="8489" max="8489" width="10.625" style="326" customWidth="1"/>
    <col min="8490" max="8491" width="9" style="326"/>
    <col min="8492" max="8492" width="14.125" style="326" customWidth="1"/>
    <col min="8493" max="8493" width="11" style="326" customWidth="1"/>
    <col min="8494" max="8494" width="10.75" style="326" bestFit="1" customWidth="1"/>
    <col min="8495" max="8495" width="13.5" style="326" customWidth="1"/>
    <col min="8496" max="8497" width="9" style="326"/>
    <col min="8498" max="8498" width="10.75" style="326" bestFit="1" customWidth="1"/>
    <col min="8499" max="8499" width="14" style="326" customWidth="1"/>
    <col min="8500" max="8500" width="9" style="326"/>
    <col min="8501" max="8501" width="10.75" style="326" customWidth="1"/>
    <col min="8502" max="8502" width="12.75" style="326" customWidth="1"/>
    <col min="8503" max="8503" width="9" style="326"/>
    <col min="8504" max="8504" width="10.75" style="326" bestFit="1" customWidth="1"/>
    <col min="8505" max="8505" width="11.5" style="326" customWidth="1"/>
    <col min="8506" max="8506" width="13.625" style="326" customWidth="1"/>
    <col min="8507" max="8507" width="10.625" style="326" customWidth="1"/>
    <col min="8508" max="8508" width="10.75" style="326" bestFit="1" customWidth="1"/>
    <col min="8509" max="8509" width="12.375" style="326" customWidth="1"/>
    <col min="8510" max="8512" width="9" style="326"/>
    <col min="8513" max="8513" width="15.75" style="326" customWidth="1"/>
    <col min="8514" max="8514" width="9" style="326"/>
    <col min="8515" max="8515" width="10.75" style="326" bestFit="1" customWidth="1"/>
    <col min="8516" max="8516" width="12.625" style="326" customWidth="1"/>
    <col min="8517" max="8519" width="9" style="326"/>
    <col min="8520" max="8520" width="13.625" style="326" customWidth="1"/>
    <col min="8521" max="8521" width="9" style="326"/>
    <col min="8522" max="8522" width="10.75" style="326" bestFit="1" customWidth="1"/>
    <col min="8523" max="8523" width="12.5" style="326" customWidth="1"/>
    <col min="8524" max="8526" width="9" style="326"/>
    <col min="8527" max="8527" width="12.875" style="326" customWidth="1"/>
    <col min="8528" max="8528" width="9" style="326"/>
    <col min="8529" max="8529" width="10.75" style="326" bestFit="1" customWidth="1"/>
    <col min="8530" max="8530" width="13.875" style="326" customWidth="1"/>
    <col min="8531" max="8533" width="9" style="326"/>
    <col min="8534" max="8534" width="14.125" style="326" customWidth="1"/>
    <col min="8535" max="8535" width="9" style="326"/>
    <col min="8536" max="8536" width="10.75" style="326" bestFit="1" customWidth="1"/>
    <col min="8537" max="8537" width="13.25" style="326" customWidth="1"/>
    <col min="8538" max="8540" width="9" style="326"/>
    <col min="8541" max="8541" width="13.25" style="326" customWidth="1"/>
    <col min="8542" max="8542" width="9" style="326"/>
    <col min="8543" max="8543" width="10.75" style="326" bestFit="1" customWidth="1"/>
    <col min="8544" max="8544" width="13.875" style="326" customWidth="1"/>
    <col min="8545" max="8547" width="9" style="326"/>
    <col min="8548" max="8548" width="13.625" style="326" customWidth="1"/>
    <col min="8549" max="8549" width="9" style="326"/>
    <col min="8550" max="8550" width="10.75" style="326" bestFit="1" customWidth="1"/>
    <col min="8551" max="8551" width="13" style="326" customWidth="1"/>
    <col min="8552" max="8698" width="9" style="326"/>
    <col min="8699" max="8700" width="12.125" style="326" customWidth="1"/>
    <col min="8701" max="8703" width="13" style="326" customWidth="1"/>
    <col min="8704" max="8704" width="12.875" style="326" customWidth="1"/>
    <col min="8705" max="8705" width="13" style="326" customWidth="1"/>
    <col min="8706" max="8706" width="13.125" style="326" customWidth="1"/>
    <col min="8707" max="8708" width="12.125" style="326" customWidth="1"/>
    <col min="8709" max="8709" width="14.375" style="326" bestFit="1" customWidth="1"/>
    <col min="8710" max="8710" width="11" style="326" customWidth="1"/>
    <col min="8711" max="8711" width="10" style="326" customWidth="1"/>
    <col min="8712" max="8712" width="10.875" style="326" customWidth="1"/>
    <col min="8713" max="8713" width="13.75" style="326" customWidth="1"/>
    <col min="8714" max="8714" width="10" style="326" customWidth="1"/>
    <col min="8715" max="8715" width="13.25" style="326" customWidth="1"/>
    <col min="8716" max="8716" width="14.375" style="326" customWidth="1"/>
    <col min="8717" max="8717" width="10" style="326" customWidth="1"/>
    <col min="8718" max="8718" width="10.875" style="326" customWidth="1"/>
    <col min="8719" max="8719" width="11.375" style="326" customWidth="1"/>
    <col min="8720" max="8720" width="15.375" style="326" customWidth="1"/>
    <col min="8721" max="8722" width="10.75" style="326" customWidth="1"/>
    <col min="8723" max="8723" width="14.375" style="326" customWidth="1"/>
    <col min="8724" max="8724" width="10.75" style="326" customWidth="1"/>
    <col min="8725" max="8725" width="11.75" style="326" customWidth="1"/>
    <col min="8726" max="8726" width="10" style="326" customWidth="1"/>
    <col min="8727" max="8727" width="15.375" style="326" customWidth="1"/>
    <col min="8728" max="8728" width="10" style="326" customWidth="1"/>
    <col min="8729" max="8729" width="10.75" style="326" customWidth="1"/>
    <col min="8730" max="8730" width="14.875" style="326" customWidth="1"/>
    <col min="8731" max="8731" width="11.5" style="326" customWidth="1"/>
    <col min="8732" max="8732" width="10" style="326" customWidth="1"/>
    <col min="8733" max="8733" width="10.75" style="326" customWidth="1"/>
    <col min="8734" max="8734" width="13.5" style="326" customWidth="1"/>
    <col min="8735" max="8735" width="9" style="326"/>
    <col min="8736" max="8736" width="10.75" style="326" bestFit="1" customWidth="1"/>
    <col min="8737" max="8737" width="13.75" style="326" customWidth="1"/>
    <col min="8738" max="8738" width="9" style="326"/>
    <col min="8739" max="8739" width="10.625" style="326" customWidth="1"/>
    <col min="8740" max="8740" width="9" style="326"/>
    <col min="8741" max="8741" width="14.25" style="326" customWidth="1"/>
    <col min="8742" max="8742" width="10.75" style="326" bestFit="1" customWidth="1"/>
    <col min="8743" max="8743" width="11.625" style="326" customWidth="1"/>
    <col min="8744" max="8744" width="13.75" style="326" customWidth="1"/>
    <col min="8745" max="8745" width="10.625" style="326" customWidth="1"/>
    <col min="8746" max="8747" width="9" style="326"/>
    <col min="8748" max="8748" width="14.125" style="326" customWidth="1"/>
    <col min="8749" max="8749" width="11" style="326" customWidth="1"/>
    <col min="8750" max="8750" width="10.75" style="326" bestFit="1" customWidth="1"/>
    <col min="8751" max="8751" width="13.5" style="326" customWidth="1"/>
    <col min="8752" max="8753" width="9" style="326"/>
    <col min="8754" max="8754" width="10.75" style="326" bestFit="1" customWidth="1"/>
    <col min="8755" max="8755" width="14" style="326" customWidth="1"/>
    <col min="8756" max="8756" width="9" style="326"/>
    <col min="8757" max="8757" width="10.75" style="326" customWidth="1"/>
    <col min="8758" max="8758" width="12.75" style="326" customWidth="1"/>
    <col min="8759" max="8759" width="9" style="326"/>
    <col min="8760" max="8760" width="10.75" style="326" bestFit="1" customWidth="1"/>
    <col min="8761" max="8761" width="11.5" style="326" customWidth="1"/>
    <col min="8762" max="8762" width="13.625" style="326" customWidth="1"/>
    <col min="8763" max="8763" width="10.625" style="326" customWidth="1"/>
    <col min="8764" max="8764" width="10.75" style="326" bestFit="1" customWidth="1"/>
    <col min="8765" max="8765" width="12.375" style="326" customWidth="1"/>
    <col min="8766" max="8768" width="9" style="326"/>
    <col min="8769" max="8769" width="15.75" style="326" customWidth="1"/>
    <col min="8770" max="8770" width="9" style="326"/>
    <col min="8771" max="8771" width="10.75" style="326" bestFit="1" customWidth="1"/>
    <col min="8772" max="8772" width="12.625" style="326" customWidth="1"/>
    <col min="8773" max="8775" width="9" style="326"/>
    <col min="8776" max="8776" width="13.625" style="326" customWidth="1"/>
    <col min="8777" max="8777" width="9" style="326"/>
    <col min="8778" max="8778" width="10.75" style="326" bestFit="1" customWidth="1"/>
    <col min="8779" max="8779" width="12.5" style="326" customWidth="1"/>
    <col min="8780" max="8782" width="9" style="326"/>
    <col min="8783" max="8783" width="12.875" style="326" customWidth="1"/>
    <col min="8784" max="8784" width="9" style="326"/>
    <col min="8785" max="8785" width="10.75" style="326" bestFit="1" customWidth="1"/>
    <col min="8786" max="8786" width="13.875" style="326" customWidth="1"/>
    <col min="8787" max="8789" width="9" style="326"/>
    <col min="8790" max="8790" width="14.125" style="326" customWidth="1"/>
    <col min="8791" max="8791" width="9" style="326"/>
    <col min="8792" max="8792" width="10.75" style="326" bestFit="1" customWidth="1"/>
    <col min="8793" max="8793" width="13.25" style="326" customWidth="1"/>
    <col min="8794" max="8796" width="9" style="326"/>
    <col min="8797" max="8797" width="13.25" style="326" customWidth="1"/>
    <col min="8798" max="8798" width="9" style="326"/>
    <col min="8799" max="8799" width="10.75" style="326" bestFit="1" customWidth="1"/>
    <col min="8800" max="8800" width="13.875" style="326" customWidth="1"/>
    <col min="8801" max="8803" width="9" style="326"/>
    <col min="8804" max="8804" width="13.625" style="326" customWidth="1"/>
    <col min="8805" max="8805" width="9" style="326"/>
    <col min="8806" max="8806" width="10.75" style="326" bestFit="1" customWidth="1"/>
    <col min="8807" max="8807" width="13" style="326" customWidth="1"/>
    <col min="8808" max="8954" width="9" style="326"/>
    <col min="8955" max="8956" width="12.125" style="326" customWidth="1"/>
    <col min="8957" max="8959" width="13" style="326" customWidth="1"/>
    <col min="8960" max="8960" width="12.875" style="326" customWidth="1"/>
    <col min="8961" max="8961" width="13" style="326" customWidth="1"/>
    <col min="8962" max="8962" width="13.125" style="326" customWidth="1"/>
    <col min="8963" max="8964" width="12.125" style="326" customWidth="1"/>
    <col min="8965" max="8965" width="14.375" style="326" bestFit="1" customWidth="1"/>
    <col min="8966" max="8966" width="11" style="326" customWidth="1"/>
    <col min="8967" max="8967" width="10" style="326" customWidth="1"/>
    <col min="8968" max="8968" width="10.875" style="326" customWidth="1"/>
    <col min="8969" max="8969" width="13.75" style="326" customWidth="1"/>
    <col min="8970" max="8970" width="10" style="326" customWidth="1"/>
    <col min="8971" max="8971" width="13.25" style="326" customWidth="1"/>
    <col min="8972" max="8972" width="14.375" style="326" customWidth="1"/>
    <col min="8973" max="8973" width="10" style="326" customWidth="1"/>
    <col min="8974" max="8974" width="10.875" style="326" customWidth="1"/>
    <col min="8975" max="8975" width="11.375" style="326" customWidth="1"/>
    <col min="8976" max="8976" width="15.375" style="326" customWidth="1"/>
    <col min="8977" max="8978" width="10.75" style="326" customWidth="1"/>
    <col min="8979" max="8979" width="14.375" style="326" customWidth="1"/>
    <col min="8980" max="8980" width="10.75" style="326" customWidth="1"/>
    <col min="8981" max="8981" width="11.75" style="326" customWidth="1"/>
    <col min="8982" max="8982" width="10" style="326" customWidth="1"/>
    <col min="8983" max="8983" width="15.375" style="326" customWidth="1"/>
    <col min="8984" max="8984" width="10" style="326" customWidth="1"/>
    <col min="8985" max="8985" width="10.75" style="326" customWidth="1"/>
    <col min="8986" max="8986" width="14.875" style="326" customWidth="1"/>
    <col min="8987" max="8987" width="11.5" style="326" customWidth="1"/>
    <col min="8988" max="8988" width="10" style="326" customWidth="1"/>
    <col min="8989" max="8989" width="10.75" style="326" customWidth="1"/>
    <col min="8990" max="8990" width="13.5" style="326" customWidth="1"/>
    <col min="8991" max="8991" width="9" style="326"/>
    <col min="8992" max="8992" width="10.75" style="326" bestFit="1" customWidth="1"/>
    <col min="8993" max="8993" width="13.75" style="326" customWidth="1"/>
    <col min="8994" max="8994" width="9" style="326"/>
    <col min="8995" max="8995" width="10.625" style="326" customWidth="1"/>
    <col min="8996" max="8996" width="9" style="326"/>
    <col min="8997" max="8997" width="14.25" style="326" customWidth="1"/>
    <col min="8998" max="8998" width="10.75" style="326" bestFit="1" customWidth="1"/>
    <col min="8999" max="8999" width="11.625" style="326" customWidth="1"/>
    <col min="9000" max="9000" width="13.75" style="326" customWidth="1"/>
    <col min="9001" max="9001" width="10.625" style="326" customWidth="1"/>
    <col min="9002" max="9003" width="9" style="326"/>
    <col min="9004" max="9004" width="14.125" style="326" customWidth="1"/>
    <col min="9005" max="9005" width="11" style="326" customWidth="1"/>
    <col min="9006" max="9006" width="10.75" style="326" bestFit="1" customWidth="1"/>
    <col min="9007" max="9007" width="13.5" style="326" customWidth="1"/>
    <col min="9008" max="9009" width="9" style="326"/>
    <col min="9010" max="9010" width="10.75" style="326" bestFit="1" customWidth="1"/>
    <col min="9011" max="9011" width="14" style="326" customWidth="1"/>
    <col min="9012" max="9012" width="9" style="326"/>
    <col min="9013" max="9013" width="10.75" style="326" customWidth="1"/>
    <col min="9014" max="9014" width="12.75" style="326" customWidth="1"/>
    <col min="9015" max="9015" width="9" style="326"/>
    <col min="9016" max="9016" width="10.75" style="326" bestFit="1" customWidth="1"/>
    <col min="9017" max="9017" width="11.5" style="326" customWidth="1"/>
    <col min="9018" max="9018" width="13.625" style="326" customWidth="1"/>
    <col min="9019" max="9019" width="10.625" style="326" customWidth="1"/>
    <col min="9020" max="9020" width="10.75" style="326" bestFit="1" customWidth="1"/>
    <col min="9021" max="9021" width="12.375" style="326" customWidth="1"/>
    <col min="9022" max="9024" width="9" style="326"/>
    <col min="9025" max="9025" width="15.75" style="326" customWidth="1"/>
    <col min="9026" max="9026" width="9" style="326"/>
    <col min="9027" max="9027" width="10.75" style="326" bestFit="1" customWidth="1"/>
    <col min="9028" max="9028" width="12.625" style="326" customWidth="1"/>
    <col min="9029" max="9031" width="9" style="326"/>
    <col min="9032" max="9032" width="13.625" style="326" customWidth="1"/>
    <col min="9033" max="9033" width="9" style="326"/>
    <col min="9034" max="9034" width="10.75" style="326" bestFit="1" customWidth="1"/>
    <col min="9035" max="9035" width="12.5" style="326" customWidth="1"/>
    <col min="9036" max="9038" width="9" style="326"/>
    <col min="9039" max="9039" width="12.875" style="326" customWidth="1"/>
    <col min="9040" max="9040" width="9" style="326"/>
    <col min="9041" max="9041" width="10.75" style="326" bestFit="1" customWidth="1"/>
    <col min="9042" max="9042" width="13.875" style="326" customWidth="1"/>
    <col min="9043" max="9045" width="9" style="326"/>
    <col min="9046" max="9046" width="14.125" style="326" customWidth="1"/>
    <col min="9047" max="9047" width="9" style="326"/>
    <col min="9048" max="9048" width="10.75" style="326" bestFit="1" customWidth="1"/>
    <col min="9049" max="9049" width="13.25" style="326" customWidth="1"/>
    <col min="9050" max="9052" width="9" style="326"/>
    <col min="9053" max="9053" width="13.25" style="326" customWidth="1"/>
    <col min="9054" max="9054" width="9" style="326"/>
    <col min="9055" max="9055" width="10.75" style="326" bestFit="1" customWidth="1"/>
    <col min="9056" max="9056" width="13.875" style="326" customWidth="1"/>
    <col min="9057" max="9059" width="9" style="326"/>
    <col min="9060" max="9060" width="13.625" style="326" customWidth="1"/>
    <col min="9061" max="9061" width="9" style="326"/>
    <col min="9062" max="9062" width="10.75" style="326" bestFit="1" customWidth="1"/>
    <col min="9063" max="9063" width="13" style="326" customWidth="1"/>
    <col min="9064" max="9210" width="9" style="326"/>
    <col min="9211" max="9212" width="12.125" style="326" customWidth="1"/>
    <col min="9213" max="9215" width="13" style="326" customWidth="1"/>
    <col min="9216" max="9216" width="12.875" style="326" customWidth="1"/>
    <col min="9217" max="9217" width="13" style="326" customWidth="1"/>
    <col min="9218" max="9218" width="13.125" style="326" customWidth="1"/>
    <col min="9219" max="9220" width="12.125" style="326" customWidth="1"/>
    <col min="9221" max="9221" width="14.375" style="326" bestFit="1" customWidth="1"/>
    <col min="9222" max="9222" width="11" style="326" customWidth="1"/>
    <col min="9223" max="9223" width="10" style="326" customWidth="1"/>
    <col min="9224" max="9224" width="10.875" style="326" customWidth="1"/>
    <col min="9225" max="9225" width="13.75" style="326" customWidth="1"/>
    <col min="9226" max="9226" width="10" style="326" customWidth="1"/>
    <col min="9227" max="9227" width="13.25" style="326" customWidth="1"/>
    <col min="9228" max="9228" width="14.375" style="326" customWidth="1"/>
    <col min="9229" max="9229" width="10" style="326" customWidth="1"/>
    <col min="9230" max="9230" width="10.875" style="326" customWidth="1"/>
    <col min="9231" max="9231" width="11.375" style="326" customWidth="1"/>
    <col min="9232" max="9232" width="15.375" style="326" customWidth="1"/>
    <col min="9233" max="9234" width="10.75" style="326" customWidth="1"/>
    <col min="9235" max="9235" width="14.375" style="326" customWidth="1"/>
    <col min="9236" max="9236" width="10.75" style="326" customWidth="1"/>
    <col min="9237" max="9237" width="11.75" style="326" customWidth="1"/>
    <col min="9238" max="9238" width="10" style="326" customWidth="1"/>
    <col min="9239" max="9239" width="15.375" style="326" customWidth="1"/>
    <col min="9240" max="9240" width="10" style="326" customWidth="1"/>
    <col min="9241" max="9241" width="10.75" style="326" customWidth="1"/>
    <col min="9242" max="9242" width="14.875" style="326" customWidth="1"/>
    <col min="9243" max="9243" width="11.5" style="326" customWidth="1"/>
    <col min="9244" max="9244" width="10" style="326" customWidth="1"/>
    <col min="9245" max="9245" width="10.75" style="326" customWidth="1"/>
    <col min="9246" max="9246" width="13.5" style="326" customWidth="1"/>
    <col min="9247" max="9247" width="9" style="326"/>
    <col min="9248" max="9248" width="10.75" style="326" bestFit="1" customWidth="1"/>
    <col min="9249" max="9249" width="13.75" style="326" customWidth="1"/>
    <col min="9250" max="9250" width="9" style="326"/>
    <col min="9251" max="9251" width="10.625" style="326" customWidth="1"/>
    <col min="9252" max="9252" width="9" style="326"/>
    <col min="9253" max="9253" width="14.25" style="326" customWidth="1"/>
    <col min="9254" max="9254" width="10.75" style="326" bestFit="1" customWidth="1"/>
    <col min="9255" max="9255" width="11.625" style="326" customWidth="1"/>
    <col min="9256" max="9256" width="13.75" style="326" customWidth="1"/>
    <col min="9257" max="9257" width="10.625" style="326" customWidth="1"/>
    <col min="9258" max="9259" width="9" style="326"/>
    <col min="9260" max="9260" width="14.125" style="326" customWidth="1"/>
    <col min="9261" max="9261" width="11" style="326" customWidth="1"/>
    <col min="9262" max="9262" width="10.75" style="326" bestFit="1" customWidth="1"/>
    <col min="9263" max="9263" width="13.5" style="326" customWidth="1"/>
    <col min="9264" max="9265" width="9" style="326"/>
    <col min="9266" max="9266" width="10.75" style="326" bestFit="1" customWidth="1"/>
    <col min="9267" max="9267" width="14" style="326" customWidth="1"/>
    <col min="9268" max="9268" width="9" style="326"/>
    <col min="9269" max="9269" width="10.75" style="326" customWidth="1"/>
    <col min="9270" max="9270" width="12.75" style="326" customWidth="1"/>
    <col min="9271" max="9271" width="9" style="326"/>
    <col min="9272" max="9272" width="10.75" style="326" bestFit="1" customWidth="1"/>
    <col min="9273" max="9273" width="11.5" style="326" customWidth="1"/>
    <col min="9274" max="9274" width="13.625" style="326" customWidth="1"/>
    <col min="9275" max="9275" width="10.625" style="326" customWidth="1"/>
    <col min="9276" max="9276" width="10.75" style="326" bestFit="1" customWidth="1"/>
    <col min="9277" max="9277" width="12.375" style="326" customWidth="1"/>
    <col min="9278" max="9280" width="9" style="326"/>
    <col min="9281" max="9281" width="15.75" style="326" customWidth="1"/>
    <col min="9282" max="9282" width="9" style="326"/>
    <col min="9283" max="9283" width="10.75" style="326" bestFit="1" customWidth="1"/>
    <col min="9284" max="9284" width="12.625" style="326" customWidth="1"/>
    <col min="9285" max="9287" width="9" style="326"/>
    <col min="9288" max="9288" width="13.625" style="326" customWidth="1"/>
    <col min="9289" max="9289" width="9" style="326"/>
    <col min="9290" max="9290" width="10.75" style="326" bestFit="1" customWidth="1"/>
    <col min="9291" max="9291" width="12.5" style="326" customWidth="1"/>
    <col min="9292" max="9294" width="9" style="326"/>
    <col min="9295" max="9295" width="12.875" style="326" customWidth="1"/>
    <col min="9296" max="9296" width="9" style="326"/>
    <col min="9297" max="9297" width="10.75" style="326" bestFit="1" customWidth="1"/>
    <col min="9298" max="9298" width="13.875" style="326" customWidth="1"/>
    <col min="9299" max="9301" width="9" style="326"/>
    <col min="9302" max="9302" width="14.125" style="326" customWidth="1"/>
    <col min="9303" max="9303" width="9" style="326"/>
    <col min="9304" max="9304" width="10.75" style="326" bestFit="1" customWidth="1"/>
    <col min="9305" max="9305" width="13.25" style="326" customWidth="1"/>
    <col min="9306" max="9308" width="9" style="326"/>
    <col min="9309" max="9309" width="13.25" style="326" customWidth="1"/>
    <col min="9310" max="9310" width="9" style="326"/>
    <col min="9311" max="9311" width="10.75" style="326" bestFit="1" customWidth="1"/>
    <col min="9312" max="9312" width="13.875" style="326" customWidth="1"/>
    <col min="9313" max="9315" width="9" style="326"/>
    <col min="9316" max="9316" width="13.625" style="326" customWidth="1"/>
    <col min="9317" max="9317" width="9" style="326"/>
    <col min="9318" max="9318" width="10.75" style="326" bestFit="1" customWidth="1"/>
    <col min="9319" max="9319" width="13" style="326" customWidth="1"/>
    <col min="9320" max="9466" width="9" style="326"/>
    <col min="9467" max="9468" width="12.125" style="326" customWidth="1"/>
    <col min="9469" max="9471" width="13" style="326" customWidth="1"/>
    <col min="9472" max="9472" width="12.875" style="326" customWidth="1"/>
    <col min="9473" max="9473" width="13" style="326" customWidth="1"/>
    <col min="9474" max="9474" width="13.125" style="326" customWidth="1"/>
    <col min="9475" max="9476" width="12.125" style="326" customWidth="1"/>
    <col min="9477" max="9477" width="14.375" style="326" bestFit="1" customWidth="1"/>
    <col min="9478" max="9478" width="11" style="326" customWidth="1"/>
    <col min="9479" max="9479" width="10" style="326" customWidth="1"/>
    <col min="9480" max="9480" width="10.875" style="326" customWidth="1"/>
    <col min="9481" max="9481" width="13.75" style="326" customWidth="1"/>
    <col min="9482" max="9482" width="10" style="326" customWidth="1"/>
    <col min="9483" max="9483" width="13.25" style="326" customWidth="1"/>
    <col min="9484" max="9484" width="14.375" style="326" customWidth="1"/>
    <col min="9485" max="9485" width="10" style="326" customWidth="1"/>
    <col min="9486" max="9486" width="10.875" style="326" customWidth="1"/>
    <col min="9487" max="9487" width="11.375" style="326" customWidth="1"/>
    <col min="9488" max="9488" width="15.375" style="326" customWidth="1"/>
    <col min="9489" max="9490" width="10.75" style="326" customWidth="1"/>
    <col min="9491" max="9491" width="14.375" style="326" customWidth="1"/>
    <col min="9492" max="9492" width="10.75" style="326" customWidth="1"/>
    <col min="9493" max="9493" width="11.75" style="326" customWidth="1"/>
    <col min="9494" max="9494" width="10" style="326" customWidth="1"/>
    <col min="9495" max="9495" width="15.375" style="326" customWidth="1"/>
    <col min="9496" max="9496" width="10" style="326" customWidth="1"/>
    <col min="9497" max="9497" width="10.75" style="326" customWidth="1"/>
    <col min="9498" max="9498" width="14.875" style="326" customWidth="1"/>
    <col min="9499" max="9499" width="11.5" style="326" customWidth="1"/>
    <col min="9500" max="9500" width="10" style="326" customWidth="1"/>
    <col min="9501" max="9501" width="10.75" style="326" customWidth="1"/>
    <col min="9502" max="9502" width="13.5" style="326" customWidth="1"/>
    <col min="9503" max="9503" width="9" style="326"/>
    <col min="9504" max="9504" width="10.75" style="326" bestFit="1" customWidth="1"/>
    <col min="9505" max="9505" width="13.75" style="326" customWidth="1"/>
    <col min="9506" max="9506" width="9" style="326"/>
    <col min="9507" max="9507" width="10.625" style="326" customWidth="1"/>
    <col min="9508" max="9508" width="9" style="326"/>
    <col min="9509" max="9509" width="14.25" style="326" customWidth="1"/>
    <col min="9510" max="9510" width="10.75" style="326" bestFit="1" customWidth="1"/>
    <col min="9511" max="9511" width="11.625" style="326" customWidth="1"/>
    <col min="9512" max="9512" width="13.75" style="326" customWidth="1"/>
    <col min="9513" max="9513" width="10.625" style="326" customWidth="1"/>
    <col min="9514" max="9515" width="9" style="326"/>
    <col min="9516" max="9516" width="14.125" style="326" customWidth="1"/>
    <col min="9517" max="9517" width="11" style="326" customWidth="1"/>
    <col min="9518" max="9518" width="10.75" style="326" bestFit="1" customWidth="1"/>
    <col min="9519" max="9519" width="13.5" style="326" customWidth="1"/>
    <col min="9520" max="9521" width="9" style="326"/>
    <col min="9522" max="9522" width="10.75" style="326" bestFit="1" customWidth="1"/>
    <col min="9523" max="9523" width="14" style="326" customWidth="1"/>
    <col min="9524" max="9524" width="9" style="326"/>
    <col min="9525" max="9525" width="10.75" style="326" customWidth="1"/>
    <col min="9526" max="9526" width="12.75" style="326" customWidth="1"/>
    <col min="9527" max="9527" width="9" style="326"/>
    <col min="9528" max="9528" width="10.75" style="326" bestFit="1" customWidth="1"/>
    <col min="9529" max="9529" width="11.5" style="326" customWidth="1"/>
    <col min="9530" max="9530" width="13.625" style="326" customWidth="1"/>
    <col min="9531" max="9531" width="10.625" style="326" customWidth="1"/>
    <col min="9532" max="9532" width="10.75" style="326" bestFit="1" customWidth="1"/>
    <col min="9533" max="9533" width="12.375" style="326" customWidth="1"/>
    <col min="9534" max="9536" width="9" style="326"/>
    <col min="9537" max="9537" width="15.75" style="326" customWidth="1"/>
    <col min="9538" max="9538" width="9" style="326"/>
    <col min="9539" max="9539" width="10.75" style="326" bestFit="1" customWidth="1"/>
    <col min="9540" max="9540" width="12.625" style="326" customWidth="1"/>
    <col min="9541" max="9543" width="9" style="326"/>
    <col min="9544" max="9544" width="13.625" style="326" customWidth="1"/>
    <col min="9545" max="9545" width="9" style="326"/>
    <col min="9546" max="9546" width="10.75" style="326" bestFit="1" customWidth="1"/>
    <col min="9547" max="9547" width="12.5" style="326" customWidth="1"/>
    <col min="9548" max="9550" width="9" style="326"/>
    <col min="9551" max="9551" width="12.875" style="326" customWidth="1"/>
    <col min="9552" max="9552" width="9" style="326"/>
    <col min="9553" max="9553" width="10.75" style="326" bestFit="1" customWidth="1"/>
    <col min="9554" max="9554" width="13.875" style="326" customWidth="1"/>
    <col min="9555" max="9557" width="9" style="326"/>
    <col min="9558" max="9558" width="14.125" style="326" customWidth="1"/>
    <col min="9559" max="9559" width="9" style="326"/>
    <col min="9560" max="9560" width="10.75" style="326" bestFit="1" customWidth="1"/>
    <col min="9561" max="9561" width="13.25" style="326" customWidth="1"/>
    <col min="9562" max="9564" width="9" style="326"/>
    <col min="9565" max="9565" width="13.25" style="326" customWidth="1"/>
    <col min="9566" max="9566" width="9" style="326"/>
    <col min="9567" max="9567" width="10.75" style="326" bestFit="1" customWidth="1"/>
    <col min="9568" max="9568" width="13.875" style="326" customWidth="1"/>
    <col min="9569" max="9571" width="9" style="326"/>
    <col min="9572" max="9572" width="13.625" style="326" customWidth="1"/>
    <col min="9573" max="9573" width="9" style="326"/>
    <col min="9574" max="9574" width="10.75" style="326" bestFit="1" customWidth="1"/>
    <col min="9575" max="9575" width="13" style="326" customWidth="1"/>
    <col min="9576" max="9722" width="9" style="326"/>
    <col min="9723" max="9724" width="12.125" style="326" customWidth="1"/>
    <col min="9725" max="9727" width="13" style="326" customWidth="1"/>
    <col min="9728" max="9728" width="12.875" style="326" customWidth="1"/>
    <col min="9729" max="9729" width="13" style="326" customWidth="1"/>
    <col min="9730" max="9730" width="13.125" style="326" customWidth="1"/>
    <col min="9731" max="9732" width="12.125" style="326" customWidth="1"/>
    <col min="9733" max="9733" width="14.375" style="326" bestFit="1" customWidth="1"/>
    <col min="9734" max="9734" width="11" style="326" customWidth="1"/>
    <col min="9735" max="9735" width="10" style="326" customWidth="1"/>
    <col min="9736" max="9736" width="10.875" style="326" customWidth="1"/>
    <col min="9737" max="9737" width="13.75" style="326" customWidth="1"/>
    <col min="9738" max="9738" width="10" style="326" customWidth="1"/>
    <col min="9739" max="9739" width="13.25" style="326" customWidth="1"/>
    <col min="9740" max="9740" width="14.375" style="326" customWidth="1"/>
    <col min="9741" max="9741" width="10" style="326" customWidth="1"/>
    <col min="9742" max="9742" width="10.875" style="326" customWidth="1"/>
    <col min="9743" max="9743" width="11.375" style="326" customWidth="1"/>
    <col min="9744" max="9744" width="15.375" style="326" customWidth="1"/>
    <col min="9745" max="9746" width="10.75" style="326" customWidth="1"/>
    <col min="9747" max="9747" width="14.375" style="326" customWidth="1"/>
    <col min="9748" max="9748" width="10.75" style="326" customWidth="1"/>
    <col min="9749" max="9749" width="11.75" style="326" customWidth="1"/>
    <col min="9750" max="9750" width="10" style="326" customWidth="1"/>
    <col min="9751" max="9751" width="15.375" style="326" customWidth="1"/>
    <col min="9752" max="9752" width="10" style="326" customWidth="1"/>
    <col min="9753" max="9753" width="10.75" style="326" customWidth="1"/>
    <col min="9754" max="9754" width="14.875" style="326" customWidth="1"/>
    <col min="9755" max="9755" width="11.5" style="326" customWidth="1"/>
    <col min="9756" max="9756" width="10" style="326" customWidth="1"/>
    <col min="9757" max="9757" width="10.75" style="326" customWidth="1"/>
    <col min="9758" max="9758" width="13.5" style="326" customWidth="1"/>
    <col min="9759" max="9759" width="9" style="326"/>
    <col min="9760" max="9760" width="10.75" style="326" bestFit="1" customWidth="1"/>
    <col min="9761" max="9761" width="13.75" style="326" customWidth="1"/>
    <col min="9762" max="9762" width="9" style="326"/>
    <col min="9763" max="9763" width="10.625" style="326" customWidth="1"/>
    <col min="9764" max="9764" width="9" style="326"/>
    <col min="9765" max="9765" width="14.25" style="326" customWidth="1"/>
    <col min="9766" max="9766" width="10.75" style="326" bestFit="1" customWidth="1"/>
    <col min="9767" max="9767" width="11.625" style="326" customWidth="1"/>
    <col min="9768" max="9768" width="13.75" style="326" customWidth="1"/>
    <col min="9769" max="9769" width="10.625" style="326" customWidth="1"/>
    <col min="9770" max="9771" width="9" style="326"/>
    <col min="9772" max="9772" width="14.125" style="326" customWidth="1"/>
    <col min="9773" max="9773" width="11" style="326" customWidth="1"/>
    <col min="9774" max="9774" width="10.75" style="326" bestFit="1" customWidth="1"/>
    <col min="9775" max="9775" width="13.5" style="326" customWidth="1"/>
    <col min="9776" max="9777" width="9" style="326"/>
    <col min="9778" max="9778" width="10.75" style="326" bestFit="1" customWidth="1"/>
    <col min="9779" max="9779" width="14" style="326" customWidth="1"/>
    <col min="9780" max="9780" width="9" style="326"/>
    <col min="9781" max="9781" width="10.75" style="326" customWidth="1"/>
    <col min="9782" max="9782" width="12.75" style="326" customWidth="1"/>
    <col min="9783" max="9783" width="9" style="326"/>
    <col min="9784" max="9784" width="10.75" style="326" bestFit="1" customWidth="1"/>
    <col min="9785" max="9785" width="11.5" style="326" customWidth="1"/>
    <col min="9786" max="9786" width="13.625" style="326" customWidth="1"/>
    <col min="9787" max="9787" width="10.625" style="326" customWidth="1"/>
    <col min="9788" max="9788" width="10.75" style="326" bestFit="1" customWidth="1"/>
    <col min="9789" max="9789" width="12.375" style="326" customWidth="1"/>
    <col min="9790" max="9792" width="9" style="326"/>
    <col min="9793" max="9793" width="15.75" style="326" customWidth="1"/>
    <col min="9794" max="9794" width="9" style="326"/>
    <col min="9795" max="9795" width="10.75" style="326" bestFit="1" customWidth="1"/>
    <col min="9796" max="9796" width="12.625" style="326" customWidth="1"/>
    <col min="9797" max="9799" width="9" style="326"/>
    <col min="9800" max="9800" width="13.625" style="326" customWidth="1"/>
    <col min="9801" max="9801" width="9" style="326"/>
    <col min="9802" max="9802" width="10.75" style="326" bestFit="1" customWidth="1"/>
    <col min="9803" max="9803" width="12.5" style="326" customWidth="1"/>
    <col min="9804" max="9806" width="9" style="326"/>
    <col min="9807" max="9807" width="12.875" style="326" customWidth="1"/>
    <col min="9808" max="9808" width="9" style="326"/>
    <col min="9809" max="9809" width="10.75" style="326" bestFit="1" customWidth="1"/>
    <col min="9810" max="9810" width="13.875" style="326" customWidth="1"/>
    <col min="9811" max="9813" width="9" style="326"/>
    <col min="9814" max="9814" width="14.125" style="326" customWidth="1"/>
    <col min="9815" max="9815" width="9" style="326"/>
    <col min="9816" max="9816" width="10.75" style="326" bestFit="1" customWidth="1"/>
    <col min="9817" max="9817" width="13.25" style="326" customWidth="1"/>
    <col min="9818" max="9820" width="9" style="326"/>
    <col min="9821" max="9821" width="13.25" style="326" customWidth="1"/>
    <col min="9822" max="9822" width="9" style="326"/>
    <col min="9823" max="9823" width="10.75" style="326" bestFit="1" customWidth="1"/>
    <col min="9824" max="9824" width="13.875" style="326" customWidth="1"/>
    <col min="9825" max="9827" width="9" style="326"/>
    <col min="9828" max="9828" width="13.625" style="326" customWidth="1"/>
    <col min="9829" max="9829" width="9" style="326"/>
    <col min="9830" max="9830" width="10.75" style="326" bestFit="1" customWidth="1"/>
    <col min="9831" max="9831" width="13" style="326" customWidth="1"/>
    <col min="9832" max="9978" width="9" style="326"/>
    <col min="9979" max="9980" width="12.125" style="326" customWidth="1"/>
    <col min="9981" max="9983" width="13" style="326" customWidth="1"/>
    <col min="9984" max="9984" width="12.875" style="326" customWidth="1"/>
    <col min="9985" max="9985" width="13" style="326" customWidth="1"/>
    <col min="9986" max="9986" width="13.125" style="326" customWidth="1"/>
    <col min="9987" max="9988" width="12.125" style="326" customWidth="1"/>
    <col min="9989" max="9989" width="14.375" style="326" bestFit="1" customWidth="1"/>
    <col min="9990" max="9990" width="11" style="326" customWidth="1"/>
    <col min="9991" max="9991" width="10" style="326" customWidth="1"/>
    <col min="9992" max="9992" width="10.875" style="326" customWidth="1"/>
    <col min="9993" max="9993" width="13.75" style="326" customWidth="1"/>
    <col min="9994" max="9994" width="10" style="326" customWidth="1"/>
    <col min="9995" max="9995" width="13.25" style="326" customWidth="1"/>
    <col min="9996" max="9996" width="14.375" style="326" customWidth="1"/>
    <col min="9997" max="9997" width="10" style="326" customWidth="1"/>
    <col min="9998" max="9998" width="10.875" style="326" customWidth="1"/>
    <col min="9999" max="9999" width="11.375" style="326" customWidth="1"/>
    <col min="10000" max="10000" width="15.375" style="326" customWidth="1"/>
    <col min="10001" max="10002" width="10.75" style="326" customWidth="1"/>
    <col min="10003" max="10003" width="14.375" style="326" customWidth="1"/>
    <col min="10004" max="10004" width="10.75" style="326" customWidth="1"/>
    <col min="10005" max="10005" width="11.75" style="326" customWidth="1"/>
    <col min="10006" max="10006" width="10" style="326" customWidth="1"/>
    <col min="10007" max="10007" width="15.375" style="326" customWidth="1"/>
    <col min="10008" max="10008" width="10" style="326" customWidth="1"/>
    <col min="10009" max="10009" width="10.75" style="326" customWidth="1"/>
    <col min="10010" max="10010" width="14.875" style="326" customWidth="1"/>
    <col min="10011" max="10011" width="11.5" style="326" customWidth="1"/>
    <col min="10012" max="10012" width="10" style="326" customWidth="1"/>
    <col min="10013" max="10013" width="10.75" style="326" customWidth="1"/>
    <col min="10014" max="10014" width="13.5" style="326" customWidth="1"/>
    <col min="10015" max="10015" width="9" style="326"/>
    <col min="10016" max="10016" width="10.75" style="326" bestFit="1" customWidth="1"/>
    <col min="10017" max="10017" width="13.75" style="326" customWidth="1"/>
    <col min="10018" max="10018" width="9" style="326"/>
    <col min="10019" max="10019" width="10.625" style="326" customWidth="1"/>
    <col min="10020" max="10020" width="9" style="326"/>
    <col min="10021" max="10021" width="14.25" style="326" customWidth="1"/>
    <col min="10022" max="10022" width="10.75" style="326" bestFit="1" customWidth="1"/>
    <col min="10023" max="10023" width="11.625" style="326" customWidth="1"/>
    <col min="10024" max="10024" width="13.75" style="326" customWidth="1"/>
    <col min="10025" max="10025" width="10.625" style="326" customWidth="1"/>
    <col min="10026" max="10027" width="9" style="326"/>
    <col min="10028" max="10028" width="14.125" style="326" customWidth="1"/>
    <col min="10029" max="10029" width="11" style="326" customWidth="1"/>
    <col min="10030" max="10030" width="10.75" style="326" bestFit="1" customWidth="1"/>
    <col min="10031" max="10031" width="13.5" style="326" customWidth="1"/>
    <col min="10032" max="10033" width="9" style="326"/>
    <col min="10034" max="10034" width="10.75" style="326" bestFit="1" customWidth="1"/>
    <col min="10035" max="10035" width="14" style="326" customWidth="1"/>
    <col min="10036" max="10036" width="9" style="326"/>
    <col min="10037" max="10037" width="10.75" style="326" customWidth="1"/>
    <col min="10038" max="10038" width="12.75" style="326" customWidth="1"/>
    <col min="10039" max="10039" width="9" style="326"/>
    <col min="10040" max="10040" width="10.75" style="326" bestFit="1" customWidth="1"/>
    <col min="10041" max="10041" width="11.5" style="326" customWidth="1"/>
    <col min="10042" max="10042" width="13.625" style="326" customWidth="1"/>
    <col min="10043" max="10043" width="10.625" style="326" customWidth="1"/>
    <col min="10044" max="10044" width="10.75" style="326" bestFit="1" customWidth="1"/>
    <col min="10045" max="10045" width="12.375" style="326" customWidth="1"/>
    <col min="10046" max="10048" width="9" style="326"/>
    <col min="10049" max="10049" width="15.75" style="326" customWidth="1"/>
    <col min="10050" max="10050" width="9" style="326"/>
    <col min="10051" max="10051" width="10.75" style="326" bestFit="1" customWidth="1"/>
    <col min="10052" max="10052" width="12.625" style="326" customWidth="1"/>
    <col min="10053" max="10055" width="9" style="326"/>
    <col min="10056" max="10056" width="13.625" style="326" customWidth="1"/>
    <col min="10057" max="10057" width="9" style="326"/>
    <col min="10058" max="10058" width="10.75" style="326" bestFit="1" customWidth="1"/>
    <col min="10059" max="10059" width="12.5" style="326" customWidth="1"/>
    <col min="10060" max="10062" width="9" style="326"/>
    <col min="10063" max="10063" width="12.875" style="326" customWidth="1"/>
    <col min="10064" max="10064" width="9" style="326"/>
    <col min="10065" max="10065" width="10.75" style="326" bestFit="1" customWidth="1"/>
    <col min="10066" max="10066" width="13.875" style="326" customWidth="1"/>
    <col min="10067" max="10069" width="9" style="326"/>
    <col min="10070" max="10070" width="14.125" style="326" customWidth="1"/>
    <col min="10071" max="10071" width="9" style="326"/>
    <col min="10072" max="10072" width="10.75" style="326" bestFit="1" customWidth="1"/>
    <col min="10073" max="10073" width="13.25" style="326" customWidth="1"/>
    <col min="10074" max="10076" width="9" style="326"/>
    <col min="10077" max="10077" width="13.25" style="326" customWidth="1"/>
    <col min="10078" max="10078" width="9" style="326"/>
    <col min="10079" max="10079" width="10.75" style="326" bestFit="1" customWidth="1"/>
    <col min="10080" max="10080" width="13.875" style="326" customWidth="1"/>
    <col min="10081" max="10083" width="9" style="326"/>
    <col min="10084" max="10084" width="13.625" style="326" customWidth="1"/>
    <col min="10085" max="10085" width="9" style="326"/>
    <col min="10086" max="10086" width="10.75" style="326" bestFit="1" customWidth="1"/>
    <col min="10087" max="10087" width="13" style="326" customWidth="1"/>
    <col min="10088" max="10234" width="9" style="326"/>
    <col min="10235" max="10236" width="12.125" style="326" customWidth="1"/>
    <col min="10237" max="10239" width="13" style="326" customWidth="1"/>
    <col min="10240" max="10240" width="12.875" style="326" customWidth="1"/>
    <col min="10241" max="10241" width="13" style="326" customWidth="1"/>
    <col min="10242" max="10242" width="13.125" style="326" customWidth="1"/>
    <col min="10243" max="10244" width="12.125" style="326" customWidth="1"/>
    <col min="10245" max="10245" width="14.375" style="326" bestFit="1" customWidth="1"/>
    <col min="10246" max="10246" width="11" style="326" customWidth="1"/>
    <col min="10247" max="10247" width="10" style="326" customWidth="1"/>
    <col min="10248" max="10248" width="10.875" style="326" customWidth="1"/>
    <col min="10249" max="10249" width="13.75" style="326" customWidth="1"/>
    <col min="10250" max="10250" width="10" style="326" customWidth="1"/>
    <col min="10251" max="10251" width="13.25" style="326" customWidth="1"/>
    <col min="10252" max="10252" width="14.375" style="326" customWidth="1"/>
    <col min="10253" max="10253" width="10" style="326" customWidth="1"/>
    <col min="10254" max="10254" width="10.875" style="326" customWidth="1"/>
    <col min="10255" max="10255" width="11.375" style="326" customWidth="1"/>
    <col min="10256" max="10256" width="15.375" style="326" customWidth="1"/>
    <col min="10257" max="10258" width="10.75" style="326" customWidth="1"/>
    <col min="10259" max="10259" width="14.375" style="326" customWidth="1"/>
    <col min="10260" max="10260" width="10.75" style="326" customWidth="1"/>
    <col min="10261" max="10261" width="11.75" style="326" customWidth="1"/>
    <col min="10262" max="10262" width="10" style="326" customWidth="1"/>
    <col min="10263" max="10263" width="15.375" style="326" customWidth="1"/>
    <col min="10264" max="10264" width="10" style="326" customWidth="1"/>
    <col min="10265" max="10265" width="10.75" style="326" customWidth="1"/>
    <col min="10266" max="10266" width="14.875" style="326" customWidth="1"/>
    <col min="10267" max="10267" width="11.5" style="326" customWidth="1"/>
    <col min="10268" max="10268" width="10" style="326" customWidth="1"/>
    <col min="10269" max="10269" width="10.75" style="326" customWidth="1"/>
    <col min="10270" max="10270" width="13.5" style="326" customWidth="1"/>
    <col min="10271" max="10271" width="9" style="326"/>
    <col min="10272" max="10272" width="10.75" style="326" bestFit="1" customWidth="1"/>
    <col min="10273" max="10273" width="13.75" style="326" customWidth="1"/>
    <col min="10274" max="10274" width="9" style="326"/>
    <col min="10275" max="10275" width="10.625" style="326" customWidth="1"/>
    <col min="10276" max="10276" width="9" style="326"/>
    <col min="10277" max="10277" width="14.25" style="326" customWidth="1"/>
    <col min="10278" max="10278" width="10.75" style="326" bestFit="1" customWidth="1"/>
    <col min="10279" max="10279" width="11.625" style="326" customWidth="1"/>
    <col min="10280" max="10280" width="13.75" style="326" customWidth="1"/>
    <col min="10281" max="10281" width="10.625" style="326" customWidth="1"/>
    <col min="10282" max="10283" width="9" style="326"/>
    <col min="10284" max="10284" width="14.125" style="326" customWidth="1"/>
    <col min="10285" max="10285" width="11" style="326" customWidth="1"/>
    <col min="10286" max="10286" width="10.75" style="326" bestFit="1" customWidth="1"/>
    <col min="10287" max="10287" width="13.5" style="326" customWidth="1"/>
    <col min="10288" max="10289" width="9" style="326"/>
    <col min="10290" max="10290" width="10.75" style="326" bestFit="1" customWidth="1"/>
    <col min="10291" max="10291" width="14" style="326" customWidth="1"/>
    <col min="10292" max="10292" width="9" style="326"/>
    <col min="10293" max="10293" width="10.75" style="326" customWidth="1"/>
    <col min="10294" max="10294" width="12.75" style="326" customWidth="1"/>
    <col min="10295" max="10295" width="9" style="326"/>
    <col min="10296" max="10296" width="10.75" style="326" bestFit="1" customWidth="1"/>
    <col min="10297" max="10297" width="11.5" style="326" customWidth="1"/>
    <col min="10298" max="10298" width="13.625" style="326" customWidth="1"/>
    <col min="10299" max="10299" width="10.625" style="326" customWidth="1"/>
    <col min="10300" max="10300" width="10.75" style="326" bestFit="1" customWidth="1"/>
    <col min="10301" max="10301" width="12.375" style="326" customWidth="1"/>
    <col min="10302" max="10304" width="9" style="326"/>
    <col min="10305" max="10305" width="15.75" style="326" customWidth="1"/>
    <col min="10306" max="10306" width="9" style="326"/>
    <col min="10307" max="10307" width="10.75" style="326" bestFit="1" customWidth="1"/>
    <col min="10308" max="10308" width="12.625" style="326" customWidth="1"/>
    <col min="10309" max="10311" width="9" style="326"/>
    <col min="10312" max="10312" width="13.625" style="326" customWidth="1"/>
    <col min="10313" max="10313" width="9" style="326"/>
    <col min="10314" max="10314" width="10.75" style="326" bestFit="1" customWidth="1"/>
    <col min="10315" max="10315" width="12.5" style="326" customWidth="1"/>
    <col min="10316" max="10318" width="9" style="326"/>
    <col min="10319" max="10319" width="12.875" style="326" customWidth="1"/>
    <col min="10320" max="10320" width="9" style="326"/>
    <col min="10321" max="10321" width="10.75" style="326" bestFit="1" customWidth="1"/>
    <col min="10322" max="10322" width="13.875" style="326" customWidth="1"/>
    <col min="10323" max="10325" width="9" style="326"/>
    <col min="10326" max="10326" width="14.125" style="326" customWidth="1"/>
    <col min="10327" max="10327" width="9" style="326"/>
    <col min="10328" max="10328" width="10.75" style="326" bestFit="1" customWidth="1"/>
    <col min="10329" max="10329" width="13.25" style="326" customWidth="1"/>
    <col min="10330" max="10332" width="9" style="326"/>
    <col min="10333" max="10333" width="13.25" style="326" customWidth="1"/>
    <col min="10334" max="10334" width="9" style="326"/>
    <col min="10335" max="10335" width="10.75" style="326" bestFit="1" customWidth="1"/>
    <col min="10336" max="10336" width="13.875" style="326" customWidth="1"/>
    <col min="10337" max="10339" width="9" style="326"/>
    <col min="10340" max="10340" width="13.625" style="326" customWidth="1"/>
    <col min="10341" max="10341" width="9" style="326"/>
    <col min="10342" max="10342" width="10.75" style="326" bestFit="1" customWidth="1"/>
    <col min="10343" max="10343" width="13" style="326" customWidth="1"/>
    <col min="10344" max="10490" width="9" style="326"/>
    <col min="10491" max="10492" width="12.125" style="326" customWidth="1"/>
    <col min="10493" max="10495" width="13" style="326" customWidth="1"/>
    <col min="10496" max="10496" width="12.875" style="326" customWidth="1"/>
    <col min="10497" max="10497" width="13" style="326" customWidth="1"/>
    <col min="10498" max="10498" width="13.125" style="326" customWidth="1"/>
    <col min="10499" max="10500" width="12.125" style="326" customWidth="1"/>
    <col min="10501" max="10501" width="14.375" style="326" bestFit="1" customWidth="1"/>
    <col min="10502" max="10502" width="11" style="326" customWidth="1"/>
    <col min="10503" max="10503" width="10" style="326" customWidth="1"/>
    <col min="10504" max="10504" width="10.875" style="326" customWidth="1"/>
    <col min="10505" max="10505" width="13.75" style="326" customWidth="1"/>
    <col min="10506" max="10506" width="10" style="326" customWidth="1"/>
    <col min="10507" max="10507" width="13.25" style="326" customWidth="1"/>
    <col min="10508" max="10508" width="14.375" style="326" customWidth="1"/>
    <col min="10509" max="10509" width="10" style="326" customWidth="1"/>
    <col min="10510" max="10510" width="10.875" style="326" customWidth="1"/>
    <col min="10511" max="10511" width="11.375" style="326" customWidth="1"/>
    <col min="10512" max="10512" width="15.375" style="326" customWidth="1"/>
    <col min="10513" max="10514" width="10.75" style="326" customWidth="1"/>
    <col min="10515" max="10515" width="14.375" style="326" customWidth="1"/>
    <col min="10516" max="10516" width="10.75" style="326" customWidth="1"/>
    <col min="10517" max="10517" width="11.75" style="326" customWidth="1"/>
    <col min="10518" max="10518" width="10" style="326" customWidth="1"/>
    <col min="10519" max="10519" width="15.375" style="326" customWidth="1"/>
    <col min="10520" max="10520" width="10" style="326" customWidth="1"/>
    <col min="10521" max="10521" width="10.75" style="326" customWidth="1"/>
    <col min="10522" max="10522" width="14.875" style="326" customWidth="1"/>
    <col min="10523" max="10523" width="11.5" style="326" customWidth="1"/>
    <col min="10524" max="10524" width="10" style="326" customWidth="1"/>
    <col min="10525" max="10525" width="10.75" style="326" customWidth="1"/>
    <col min="10526" max="10526" width="13.5" style="326" customWidth="1"/>
    <col min="10527" max="10527" width="9" style="326"/>
    <col min="10528" max="10528" width="10.75" style="326" bestFit="1" customWidth="1"/>
    <col min="10529" max="10529" width="13.75" style="326" customWidth="1"/>
    <col min="10530" max="10530" width="9" style="326"/>
    <col min="10531" max="10531" width="10.625" style="326" customWidth="1"/>
    <col min="10532" max="10532" width="9" style="326"/>
    <col min="10533" max="10533" width="14.25" style="326" customWidth="1"/>
    <col min="10534" max="10534" width="10.75" style="326" bestFit="1" customWidth="1"/>
    <col min="10535" max="10535" width="11.625" style="326" customWidth="1"/>
    <col min="10536" max="10536" width="13.75" style="326" customWidth="1"/>
    <col min="10537" max="10537" width="10.625" style="326" customWidth="1"/>
    <col min="10538" max="10539" width="9" style="326"/>
    <col min="10540" max="10540" width="14.125" style="326" customWidth="1"/>
    <col min="10541" max="10541" width="11" style="326" customWidth="1"/>
    <col min="10542" max="10542" width="10.75" style="326" bestFit="1" customWidth="1"/>
    <col min="10543" max="10543" width="13.5" style="326" customWidth="1"/>
    <col min="10544" max="10545" width="9" style="326"/>
    <col min="10546" max="10546" width="10.75" style="326" bestFit="1" customWidth="1"/>
    <col min="10547" max="10547" width="14" style="326" customWidth="1"/>
    <col min="10548" max="10548" width="9" style="326"/>
    <col min="10549" max="10549" width="10.75" style="326" customWidth="1"/>
    <col min="10550" max="10550" width="12.75" style="326" customWidth="1"/>
    <col min="10551" max="10551" width="9" style="326"/>
    <col min="10552" max="10552" width="10.75" style="326" bestFit="1" customWidth="1"/>
    <col min="10553" max="10553" width="11.5" style="326" customWidth="1"/>
    <col min="10554" max="10554" width="13.625" style="326" customWidth="1"/>
    <col min="10555" max="10555" width="10.625" style="326" customWidth="1"/>
    <col min="10556" max="10556" width="10.75" style="326" bestFit="1" customWidth="1"/>
    <col min="10557" max="10557" width="12.375" style="326" customWidth="1"/>
    <col min="10558" max="10560" width="9" style="326"/>
    <col min="10561" max="10561" width="15.75" style="326" customWidth="1"/>
    <col min="10562" max="10562" width="9" style="326"/>
    <col min="10563" max="10563" width="10.75" style="326" bestFit="1" customWidth="1"/>
    <col min="10564" max="10564" width="12.625" style="326" customWidth="1"/>
    <col min="10565" max="10567" width="9" style="326"/>
    <col min="10568" max="10568" width="13.625" style="326" customWidth="1"/>
    <col min="10569" max="10569" width="9" style="326"/>
    <col min="10570" max="10570" width="10.75" style="326" bestFit="1" customWidth="1"/>
    <col min="10571" max="10571" width="12.5" style="326" customWidth="1"/>
    <col min="10572" max="10574" width="9" style="326"/>
    <col min="10575" max="10575" width="12.875" style="326" customWidth="1"/>
    <col min="10576" max="10576" width="9" style="326"/>
    <col min="10577" max="10577" width="10.75" style="326" bestFit="1" customWidth="1"/>
    <col min="10578" max="10578" width="13.875" style="326" customWidth="1"/>
    <col min="10579" max="10581" width="9" style="326"/>
    <col min="10582" max="10582" width="14.125" style="326" customWidth="1"/>
    <col min="10583" max="10583" width="9" style="326"/>
    <col min="10584" max="10584" width="10.75" style="326" bestFit="1" customWidth="1"/>
    <col min="10585" max="10585" width="13.25" style="326" customWidth="1"/>
    <col min="10586" max="10588" width="9" style="326"/>
    <col min="10589" max="10589" width="13.25" style="326" customWidth="1"/>
    <col min="10590" max="10590" width="9" style="326"/>
    <col min="10591" max="10591" width="10.75" style="326" bestFit="1" customWidth="1"/>
    <col min="10592" max="10592" width="13.875" style="326" customWidth="1"/>
    <col min="10593" max="10595" width="9" style="326"/>
    <col min="10596" max="10596" width="13.625" style="326" customWidth="1"/>
    <col min="10597" max="10597" width="9" style="326"/>
    <col min="10598" max="10598" width="10.75" style="326" bestFit="1" customWidth="1"/>
    <col min="10599" max="10599" width="13" style="326" customWidth="1"/>
    <col min="10600" max="10746" width="9" style="326"/>
    <col min="10747" max="10748" width="12.125" style="326" customWidth="1"/>
    <col min="10749" max="10751" width="13" style="326" customWidth="1"/>
    <col min="10752" max="10752" width="12.875" style="326" customWidth="1"/>
    <col min="10753" max="10753" width="13" style="326" customWidth="1"/>
    <col min="10754" max="10754" width="13.125" style="326" customWidth="1"/>
    <col min="10755" max="10756" width="12.125" style="326" customWidth="1"/>
    <col min="10757" max="10757" width="14.375" style="326" bestFit="1" customWidth="1"/>
    <col min="10758" max="10758" width="11" style="326" customWidth="1"/>
    <col min="10759" max="10759" width="10" style="326" customWidth="1"/>
    <col min="10760" max="10760" width="10.875" style="326" customWidth="1"/>
    <col min="10761" max="10761" width="13.75" style="326" customWidth="1"/>
    <col min="10762" max="10762" width="10" style="326" customWidth="1"/>
    <col min="10763" max="10763" width="13.25" style="326" customWidth="1"/>
    <col min="10764" max="10764" width="14.375" style="326" customWidth="1"/>
    <col min="10765" max="10765" width="10" style="326" customWidth="1"/>
    <col min="10766" max="10766" width="10.875" style="326" customWidth="1"/>
    <col min="10767" max="10767" width="11.375" style="326" customWidth="1"/>
    <col min="10768" max="10768" width="15.375" style="326" customWidth="1"/>
    <col min="10769" max="10770" width="10.75" style="326" customWidth="1"/>
    <col min="10771" max="10771" width="14.375" style="326" customWidth="1"/>
    <col min="10772" max="10772" width="10.75" style="326" customWidth="1"/>
    <col min="10773" max="10773" width="11.75" style="326" customWidth="1"/>
    <col min="10774" max="10774" width="10" style="326" customWidth="1"/>
    <col min="10775" max="10775" width="15.375" style="326" customWidth="1"/>
    <col min="10776" max="10776" width="10" style="326" customWidth="1"/>
    <col min="10777" max="10777" width="10.75" style="326" customWidth="1"/>
    <col min="10778" max="10778" width="14.875" style="326" customWidth="1"/>
    <col min="10779" max="10779" width="11.5" style="326" customWidth="1"/>
    <col min="10780" max="10780" width="10" style="326" customWidth="1"/>
    <col min="10781" max="10781" width="10.75" style="326" customWidth="1"/>
    <col min="10782" max="10782" width="13.5" style="326" customWidth="1"/>
    <col min="10783" max="10783" width="9" style="326"/>
    <col min="10784" max="10784" width="10.75" style="326" bestFit="1" customWidth="1"/>
    <col min="10785" max="10785" width="13.75" style="326" customWidth="1"/>
    <col min="10786" max="10786" width="9" style="326"/>
    <col min="10787" max="10787" width="10.625" style="326" customWidth="1"/>
    <col min="10788" max="10788" width="9" style="326"/>
    <col min="10789" max="10789" width="14.25" style="326" customWidth="1"/>
    <col min="10790" max="10790" width="10.75" style="326" bestFit="1" customWidth="1"/>
    <col min="10791" max="10791" width="11.625" style="326" customWidth="1"/>
    <col min="10792" max="10792" width="13.75" style="326" customWidth="1"/>
    <col min="10793" max="10793" width="10.625" style="326" customWidth="1"/>
    <col min="10794" max="10795" width="9" style="326"/>
    <col min="10796" max="10796" width="14.125" style="326" customWidth="1"/>
    <col min="10797" max="10797" width="11" style="326" customWidth="1"/>
    <col min="10798" max="10798" width="10.75" style="326" bestFit="1" customWidth="1"/>
    <col min="10799" max="10799" width="13.5" style="326" customWidth="1"/>
    <col min="10800" max="10801" width="9" style="326"/>
    <col min="10802" max="10802" width="10.75" style="326" bestFit="1" customWidth="1"/>
    <col min="10803" max="10803" width="14" style="326" customWidth="1"/>
    <col min="10804" max="10804" width="9" style="326"/>
    <col min="10805" max="10805" width="10.75" style="326" customWidth="1"/>
    <col min="10806" max="10806" width="12.75" style="326" customWidth="1"/>
    <col min="10807" max="10807" width="9" style="326"/>
    <col min="10808" max="10808" width="10.75" style="326" bestFit="1" customWidth="1"/>
    <col min="10809" max="10809" width="11.5" style="326" customWidth="1"/>
    <col min="10810" max="10810" width="13.625" style="326" customWidth="1"/>
    <col min="10811" max="10811" width="10.625" style="326" customWidth="1"/>
    <col min="10812" max="10812" width="10.75" style="326" bestFit="1" customWidth="1"/>
    <col min="10813" max="10813" width="12.375" style="326" customWidth="1"/>
    <col min="10814" max="10816" width="9" style="326"/>
    <col min="10817" max="10817" width="15.75" style="326" customWidth="1"/>
    <col min="10818" max="10818" width="9" style="326"/>
    <col min="10819" max="10819" width="10.75" style="326" bestFit="1" customWidth="1"/>
    <col min="10820" max="10820" width="12.625" style="326" customWidth="1"/>
    <col min="10821" max="10823" width="9" style="326"/>
    <col min="10824" max="10824" width="13.625" style="326" customWidth="1"/>
    <col min="10825" max="10825" width="9" style="326"/>
    <col min="10826" max="10826" width="10.75" style="326" bestFit="1" customWidth="1"/>
    <col min="10827" max="10827" width="12.5" style="326" customWidth="1"/>
    <col min="10828" max="10830" width="9" style="326"/>
    <col min="10831" max="10831" width="12.875" style="326" customWidth="1"/>
    <col min="10832" max="10832" width="9" style="326"/>
    <col min="10833" max="10833" width="10.75" style="326" bestFit="1" customWidth="1"/>
    <col min="10834" max="10834" width="13.875" style="326" customWidth="1"/>
    <col min="10835" max="10837" width="9" style="326"/>
    <col min="10838" max="10838" width="14.125" style="326" customWidth="1"/>
    <col min="10839" max="10839" width="9" style="326"/>
    <col min="10840" max="10840" width="10.75" style="326" bestFit="1" customWidth="1"/>
    <col min="10841" max="10841" width="13.25" style="326" customWidth="1"/>
    <col min="10842" max="10844" width="9" style="326"/>
    <col min="10845" max="10845" width="13.25" style="326" customWidth="1"/>
    <col min="10846" max="10846" width="9" style="326"/>
    <col min="10847" max="10847" width="10.75" style="326" bestFit="1" customWidth="1"/>
    <col min="10848" max="10848" width="13.875" style="326" customWidth="1"/>
    <col min="10849" max="10851" width="9" style="326"/>
    <col min="10852" max="10852" width="13.625" style="326" customWidth="1"/>
    <col min="10853" max="10853" width="9" style="326"/>
    <col min="10854" max="10854" width="10.75" style="326" bestFit="1" customWidth="1"/>
    <col min="10855" max="10855" width="13" style="326" customWidth="1"/>
    <col min="10856" max="11002" width="9" style="326"/>
    <col min="11003" max="11004" width="12.125" style="326" customWidth="1"/>
    <col min="11005" max="11007" width="13" style="326" customWidth="1"/>
    <col min="11008" max="11008" width="12.875" style="326" customWidth="1"/>
    <col min="11009" max="11009" width="13" style="326" customWidth="1"/>
    <col min="11010" max="11010" width="13.125" style="326" customWidth="1"/>
    <col min="11011" max="11012" width="12.125" style="326" customWidth="1"/>
    <col min="11013" max="11013" width="14.375" style="326" bestFit="1" customWidth="1"/>
    <col min="11014" max="11014" width="11" style="326" customWidth="1"/>
    <col min="11015" max="11015" width="10" style="326" customWidth="1"/>
    <col min="11016" max="11016" width="10.875" style="326" customWidth="1"/>
    <col min="11017" max="11017" width="13.75" style="326" customWidth="1"/>
    <col min="11018" max="11018" width="10" style="326" customWidth="1"/>
    <col min="11019" max="11019" width="13.25" style="326" customWidth="1"/>
    <col min="11020" max="11020" width="14.375" style="326" customWidth="1"/>
    <col min="11021" max="11021" width="10" style="326" customWidth="1"/>
    <col min="11022" max="11022" width="10.875" style="326" customWidth="1"/>
    <col min="11023" max="11023" width="11.375" style="326" customWidth="1"/>
    <col min="11024" max="11024" width="15.375" style="326" customWidth="1"/>
    <col min="11025" max="11026" width="10.75" style="326" customWidth="1"/>
    <col min="11027" max="11027" width="14.375" style="326" customWidth="1"/>
    <col min="11028" max="11028" width="10.75" style="326" customWidth="1"/>
    <col min="11029" max="11029" width="11.75" style="326" customWidth="1"/>
    <col min="11030" max="11030" width="10" style="326" customWidth="1"/>
    <col min="11031" max="11031" width="15.375" style="326" customWidth="1"/>
    <col min="11032" max="11032" width="10" style="326" customWidth="1"/>
    <col min="11033" max="11033" width="10.75" style="326" customWidth="1"/>
    <col min="11034" max="11034" width="14.875" style="326" customWidth="1"/>
    <col min="11035" max="11035" width="11.5" style="326" customWidth="1"/>
    <col min="11036" max="11036" width="10" style="326" customWidth="1"/>
    <col min="11037" max="11037" width="10.75" style="326" customWidth="1"/>
    <col min="11038" max="11038" width="13.5" style="326" customWidth="1"/>
    <col min="11039" max="11039" width="9" style="326"/>
    <col min="11040" max="11040" width="10.75" style="326" bestFit="1" customWidth="1"/>
    <col min="11041" max="11041" width="13.75" style="326" customWidth="1"/>
    <col min="11042" max="11042" width="9" style="326"/>
    <col min="11043" max="11043" width="10.625" style="326" customWidth="1"/>
    <col min="11044" max="11044" width="9" style="326"/>
    <col min="11045" max="11045" width="14.25" style="326" customWidth="1"/>
    <col min="11046" max="11046" width="10.75" style="326" bestFit="1" customWidth="1"/>
    <col min="11047" max="11047" width="11.625" style="326" customWidth="1"/>
    <col min="11048" max="11048" width="13.75" style="326" customWidth="1"/>
    <col min="11049" max="11049" width="10.625" style="326" customWidth="1"/>
    <col min="11050" max="11051" width="9" style="326"/>
    <col min="11052" max="11052" width="14.125" style="326" customWidth="1"/>
    <col min="11053" max="11053" width="11" style="326" customWidth="1"/>
    <col min="11054" max="11054" width="10.75" style="326" bestFit="1" customWidth="1"/>
    <col min="11055" max="11055" width="13.5" style="326" customWidth="1"/>
    <col min="11056" max="11057" width="9" style="326"/>
    <col min="11058" max="11058" width="10.75" style="326" bestFit="1" customWidth="1"/>
    <col min="11059" max="11059" width="14" style="326" customWidth="1"/>
    <col min="11060" max="11060" width="9" style="326"/>
    <col min="11061" max="11061" width="10.75" style="326" customWidth="1"/>
    <col min="11062" max="11062" width="12.75" style="326" customWidth="1"/>
    <col min="11063" max="11063" width="9" style="326"/>
    <col min="11064" max="11064" width="10.75" style="326" bestFit="1" customWidth="1"/>
    <col min="11065" max="11065" width="11.5" style="326" customWidth="1"/>
    <col min="11066" max="11066" width="13.625" style="326" customWidth="1"/>
    <col min="11067" max="11067" width="10.625" style="326" customWidth="1"/>
    <col min="11068" max="11068" width="10.75" style="326" bestFit="1" customWidth="1"/>
    <col min="11069" max="11069" width="12.375" style="326" customWidth="1"/>
    <col min="11070" max="11072" width="9" style="326"/>
    <col min="11073" max="11073" width="15.75" style="326" customWidth="1"/>
    <col min="11074" max="11074" width="9" style="326"/>
    <col min="11075" max="11075" width="10.75" style="326" bestFit="1" customWidth="1"/>
    <col min="11076" max="11076" width="12.625" style="326" customWidth="1"/>
    <col min="11077" max="11079" width="9" style="326"/>
    <col min="11080" max="11080" width="13.625" style="326" customWidth="1"/>
    <col min="11081" max="11081" width="9" style="326"/>
    <col min="11082" max="11082" width="10.75" style="326" bestFit="1" customWidth="1"/>
    <col min="11083" max="11083" width="12.5" style="326" customWidth="1"/>
    <col min="11084" max="11086" width="9" style="326"/>
    <col min="11087" max="11087" width="12.875" style="326" customWidth="1"/>
    <col min="11088" max="11088" width="9" style="326"/>
    <col min="11089" max="11089" width="10.75" style="326" bestFit="1" customWidth="1"/>
    <col min="11090" max="11090" width="13.875" style="326" customWidth="1"/>
    <col min="11091" max="11093" width="9" style="326"/>
    <col min="11094" max="11094" width="14.125" style="326" customWidth="1"/>
    <col min="11095" max="11095" width="9" style="326"/>
    <col min="11096" max="11096" width="10.75" style="326" bestFit="1" customWidth="1"/>
    <col min="11097" max="11097" width="13.25" style="326" customWidth="1"/>
    <col min="11098" max="11100" width="9" style="326"/>
    <col min="11101" max="11101" width="13.25" style="326" customWidth="1"/>
    <col min="11102" max="11102" width="9" style="326"/>
    <col min="11103" max="11103" width="10.75" style="326" bestFit="1" customWidth="1"/>
    <col min="11104" max="11104" width="13.875" style="326" customWidth="1"/>
    <col min="11105" max="11107" width="9" style="326"/>
    <col min="11108" max="11108" width="13.625" style="326" customWidth="1"/>
    <col min="11109" max="11109" width="9" style="326"/>
    <col min="11110" max="11110" width="10.75" style="326" bestFit="1" customWidth="1"/>
    <col min="11111" max="11111" width="13" style="326" customWidth="1"/>
    <col min="11112" max="11258" width="9" style="326"/>
    <col min="11259" max="11260" width="12.125" style="326" customWidth="1"/>
    <col min="11261" max="11263" width="13" style="326" customWidth="1"/>
    <col min="11264" max="11264" width="12.875" style="326" customWidth="1"/>
    <col min="11265" max="11265" width="13" style="326" customWidth="1"/>
    <col min="11266" max="11266" width="13.125" style="326" customWidth="1"/>
    <col min="11267" max="11268" width="12.125" style="326" customWidth="1"/>
    <col min="11269" max="11269" width="14.375" style="326" bestFit="1" customWidth="1"/>
    <col min="11270" max="11270" width="11" style="326" customWidth="1"/>
    <col min="11271" max="11271" width="10" style="326" customWidth="1"/>
    <col min="11272" max="11272" width="10.875" style="326" customWidth="1"/>
    <col min="11273" max="11273" width="13.75" style="326" customWidth="1"/>
    <col min="11274" max="11274" width="10" style="326" customWidth="1"/>
    <col min="11275" max="11275" width="13.25" style="326" customWidth="1"/>
    <col min="11276" max="11276" width="14.375" style="326" customWidth="1"/>
    <col min="11277" max="11277" width="10" style="326" customWidth="1"/>
    <col min="11278" max="11278" width="10.875" style="326" customWidth="1"/>
    <col min="11279" max="11279" width="11.375" style="326" customWidth="1"/>
    <col min="11280" max="11280" width="15.375" style="326" customWidth="1"/>
    <col min="11281" max="11282" width="10.75" style="326" customWidth="1"/>
    <col min="11283" max="11283" width="14.375" style="326" customWidth="1"/>
    <col min="11284" max="11284" width="10.75" style="326" customWidth="1"/>
    <col min="11285" max="11285" width="11.75" style="326" customWidth="1"/>
    <col min="11286" max="11286" width="10" style="326" customWidth="1"/>
    <col min="11287" max="11287" width="15.375" style="326" customWidth="1"/>
    <col min="11288" max="11288" width="10" style="326" customWidth="1"/>
    <col min="11289" max="11289" width="10.75" style="326" customWidth="1"/>
    <col min="11290" max="11290" width="14.875" style="326" customWidth="1"/>
    <col min="11291" max="11291" width="11.5" style="326" customWidth="1"/>
    <col min="11292" max="11292" width="10" style="326" customWidth="1"/>
    <col min="11293" max="11293" width="10.75" style="326" customWidth="1"/>
    <col min="11294" max="11294" width="13.5" style="326" customWidth="1"/>
    <col min="11295" max="11295" width="9" style="326"/>
    <col min="11296" max="11296" width="10.75" style="326" bestFit="1" customWidth="1"/>
    <col min="11297" max="11297" width="13.75" style="326" customWidth="1"/>
    <col min="11298" max="11298" width="9" style="326"/>
    <col min="11299" max="11299" width="10.625" style="326" customWidth="1"/>
    <col min="11300" max="11300" width="9" style="326"/>
    <col min="11301" max="11301" width="14.25" style="326" customWidth="1"/>
    <col min="11302" max="11302" width="10.75" style="326" bestFit="1" customWidth="1"/>
    <col min="11303" max="11303" width="11.625" style="326" customWidth="1"/>
    <col min="11304" max="11304" width="13.75" style="326" customWidth="1"/>
    <col min="11305" max="11305" width="10.625" style="326" customWidth="1"/>
    <col min="11306" max="11307" width="9" style="326"/>
    <col min="11308" max="11308" width="14.125" style="326" customWidth="1"/>
    <col min="11309" max="11309" width="11" style="326" customWidth="1"/>
    <col min="11310" max="11310" width="10.75" style="326" bestFit="1" customWidth="1"/>
    <col min="11311" max="11311" width="13.5" style="326" customWidth="1"/>
    <col min="11312" max="11313" width="9" style="326"/>
    <col min="11314" max="11314" width="10.75" style="326" bestFit="1" customWidth="1"/>
    <col min="11315" max="11315" width="14" style="326" customWidth="1"/>
    <col min="11316" max="11316" width="9" style="326"/>
    <col min="11317" max="11317" width="10.75" style="326" customWidth="1"/>
    <col min="11318" max="11318" width="12.75" style="326" customWidth="1"/>
    <col min="11319" max="11319" width="9" style="326"/>
    <col min="11320" max="11320" width="10.75" style="326" bestFit="1" customWidth="1"/>
    <col min="11321" max="11321" width="11.5" style="326" customWidth="1"/>
    <col min="11322" max="11322" width="13.625" style="326" customWidth="1"/>
    <col min="11323" max="11323" width="10.625" style="326" customWidth="1"/>
    <col min="11324" max="11324" width="10.75" style="326" bestFit="1" customWidth="1"/>
    <col min="11325" max="11325" width="12.375" style="326" customWidth="1"/>
    <col min="11326" max="11328" width="9" style="326"/>
    <col min="11329" max="11329" width="15.75" style="326" customWidth="1"/>
    <col min="11330" max="11330" width="9" style="326"/>
    <col min="11331" max="11331" width="10.75" style="326" bestFit="1" customWidth="1"/>
    <col min="11332" max="11332" width="12.625" style="326" customWidth="1"/>
    <col min="11333" max="11335" width="9" style="326"/>
    <col min="11336" max="11336" width="13.625" style="326" customWidth="1"/>
    <col min="11337" max="11337" width="9" style="326"/>
    <col min="11338" max="11338" width="10.75" style="326" bestFit="1" customWidth="1"/>
    <col min="11339" max="11339" width="12.5" style="326" customWidth="1"/>
    <col min="11340" max="11342" width="9" style="326"/>
    <col min="11343" max="11343" width="12.875" style="326" customWidth="1"/>
    <col min="11344" max="11344" width="9" style="326"/>
    <col min="11345" max="11345" width="10.75" style="326" bestFit="1" customWidth="1"/>
    <col min="11346" max="11346" width="13.875" style="326" customWidth="1"/>
    <col min="11347" max="11349" width="9" style="326"/>
    <col min="11350" max="11350" width="14.125" style="326" customWidth="1"/>
    <col min="11351" max="11351" width="9" style="326"/>
    <col min="11352" max="11352" width="10.75" style="326" bestFit="1" customWidth="1"/>
    <col min="11353" max="11353" width="13.25" style="326" customWidth="1"/>
    <col min="11354" max="11356" width="9" style="326"/>
    <col min="11357" max="11357" width="13.25" style="326" customWidth="1"/>
    <col min="11358" max="11358" width="9" style="326"/>
    <col min="11359" max="11359" width="10.75" style="326" bestFit="1" customWidth="1"/>
    <col min="11360" max="11360" width="13.875" style="326" customWidth="1"/>
    <col min="11361" max="11363" width="9" style="326"/>
    <col min="11364" max="11364" width="13.625" style="326" customWidth="1"/>
    <col min="11365" max="11365" width="9" style="326"/>
    <col min="11366" max="11366" width="10.75" style="326" bestFit="1" customWidth="1"/>
    <col min="11367" max="11367" width="13" style="326" customWidth="1"/>
    <col min="11368" max="11514" width="9" style="326"/>
    <col min="11515" max="11516" width="12.125" style="326" customWidth="1"/>
    <col min="11517" max="11519" width="13" style="326" customWidth="1"/>
    <col min="11520" max="11520" width="12.875" style="326" customWidth="1"/>
    <col min="11521" max="11521" width="13" style="326" customWidth="1"/>
    <col min="11522" max="11522" width="13.125" style="326" customWidth="1"/>
    <col min="11523" max="11524" width="12.125" style="326" customWidth="1"/>
    <col min="11525" max="11525" width="14.375" style="326" bestFit="1" customWidth="1"/>
    <col min="11526" max="11526" width="11" style="326" customWidth="1"/>
    <col min="11527" max="11527" width="10" style="326" customWidth="1"/>
    <col min="11528" max="11528" width="10.875" style="326" customWidth="1"/>
    <col min="11529" max="11529" width="13.75" style="326" customWidth="1"/>
    <col min="11530" max="11530" width="10" style="326" customWidth="1"/>
    <col min="11531" max="11531" width="13.25" style="326" customWidth="1"/>
    <col min="11532" max="11532" width="14.375" style="326" customWidth="1"/>
    <col min="11533" max="11533" width="10" style="326" customWidth="1"/>
    <col min="11534" max="11534" width="10.875" style="326" customWidth="1"/>
    <col min="11535" max="11535" width="11.375" style="326" customWidth="1"/>
    <col min="11536" max="11536" width="15.375" style="326" customWidth="1"/>
    <col min="11537" max="11538" width="10.75" style="326" customWidth="1"/>
    <col min="11539" max="11539" width="14.375" style="326" customWidth="1"/>
    <col min="11540" max="11540" width="10.75" style="326" customWidth="1"/>
    <col min="11541" max="11541" width="11.75" style="326" customWidth="1"/>
    <col min="11542" max="11542" width="10" style="326" customWidth="1"/>
    <col min="11543" max="11543" width="15.375" style="326" customWidth="1"/>
    <col min="11544" max="11544" width="10" style="326" customWidth="1"/>
    <col min="11545" max="11545" width="10.75" style="326" customWidth="1"/>
    <col min="11546" max="11546" width="14.875" style="326" customWidth="1"/>
    <col min="11547" max="11547" width="11.5" style="326" customWidth="1"/>
    <col min="11548" max="11548" width="10" style="326" customWidth="1"/>
    <col min="11549" max="11549" width="10.75" style="326" customWidth="1"/>
    <col min="11550" max="11550" width="13.5" style="326" customWidth="1"/>
    <col min="11551" max="11551" width="9" style="326"/>
    <col min="11552" max="11552" width="10.75" style="326" bestFit="1" customWidth="1"/>
    <col min="11553" max="11553" width="13.75" style="326" customWidth="1"/>
    <col min="11554" max="11554" width="9" style="326"/>
    <col min="11555" max="11555" width="10.625" style="326" customWidth="1"/>
    <col min="11556" max="11556" width="9" style="326"/>
    <col min="11557" max="11557" width="14.25" style="326" customWidth="1"/>
    <col min="11558" max="11558" width="10.75" style="326" bestFit="1" customWidth="1"/>
    <col min="11559" max="11559" width="11.625" style="326" customWidth="1"/>
    <col min="11560" max="11560" width="13.75" style="326" customWidth="1"/>
    <col min="11561" max="11561" width="10.625" style="326" customWidth="1"/>
    <col min="11562" max="11563" width="9" style="326"/>
    <col min="11564" max="11564" width="14.125" style="326" customWidth="1"/>
    <col min="11565" max="11565" width="11" style="326" customWidth="1"/>
    <col min="11566" max="11566" width="10.75" style="326" bestFit="1" customWidth="1"/>
    <col min="11567" max="11567" width="13.5" style="326" customWidth="1"/>
    <col min="11568" max="11569" width="9" style="326"/>
    <col min="11570" max="11570" width="10.75" style="326" bestFit="1" customWidth="1"/>
    <col min="11571" max="11571" width="14" style="326" customWidth="1"/>
    <col min="11572" max="11572" width="9" style="326"/>
    <col min="11573" max="11573" width="10.75" style="326" customWidth="1"/>
    <col min="11574" max="11574" width="12.75" style="326" customWidth="1"/>
    <col min="11575" max="11575" width="9" style="326"/>
    <col min="11576" max="11576" width="10.75" style="326" bestFit="1" customWidth="1"/>
    <col min="11577" max="11577" width="11.5" style="326" customWidth="1"/>
    <col min="11578" max="11578" width="13.625" style="326" customWidth="1"/>
    <col min="11579" max="11579" width="10.625" style="326" customWidth="1"/>
    <col min="11580" max="11580" width="10.75" style="326" bestFit="1" customWidth="1"/>
    <col min="11581" max="11581" width="12.375" style="326" customWidth="1"/>
    <col min="11582" max="11584" width="9" style="326"/>
    <col min="11585" max="11585" width="15.75" style="326" customWidth="1"/>
    <col min="11586" max="11586" width="9" style="326"/>
    <col min="11587" max="11587" width="10.75" style="326" bestFit="1" customWidth="1"/>
    <col min="11588" max="11588" width="12.625" style="326" customWidth="1"/>
    <col min="11589" max="11591" width="9" style="326"/>
    <col min="11592" max="11592" width="13.625" style="326" customWidth="1"/>
    <col min="11593" max="11593" width="9" style="326"/>
    <col min="11594" max="11594" width="10.75" style="326" bestFit="1" customWidth="1"/>
    <col min="11595" max="11595" width="12.5" style="326" customWidth="1"/>
    <col min="11596" max="11598" width="9" style="326"/>
    <col min="11599" max="11599" width="12.875" style="326" customWidth="1"/>
    <col min="11600" max="11600" width="9" style="326"/>
    <col min="11601" max="11601" width="10.75" style="326" bestFit="1" customWidth="1"/>
    <col min="11602" max="11602" width="13.875" style="326" customWidth="1"/>
    <col min="11603" max="11605" width="9" style="326"/>
    <col min="11606" max="11606" width="14.125" style="326" customWidth="1"/>
    <col min="11607" max="11607" width="9" style="326"/>
    <col min="11608" max="11608" width="10.75" style="326" bestFit="1" customWidth="1"/>
    <col min="11609" max="11609" width="13.25" style="326" customWidth="1"/>
    <col min="11610" max="11612" width="9" style="326"/>
    <col min="11613" max="11613" width="13.25" style="326" customWidth="1"/>
    <col min="11614" max="11614" width="9" style="326"/>
    <col min="11615" max="11615" width="10.75" style="326" bestFit="1" customWidth="1"/>
    <col min="11616" max="11616" width="13.875" style="326" customWidth="1"/>
    <col min="11617" max="11619" width="9" style="326"/>
    <col min="11620" max="11620" width="13.625" style="326" customWidth="1"/>
    <col min="11621" max="11621" width="9" style="326"/>
    <col min="11622" max="11622" width="10.75" style="326" bestFit="1" customWidth="1"/>
    <col min="11623" max="11623" width="13" style="326" customWidth="1"/>
    <col min="11624" max="11770" width="9" style="326"/>
    <col min="11771" max="11772" width="12.125" style="326" customWidth="1"/>
    <col min="11773" max="11775" width="13" style="326" customWidth="1"/>
    <col min="11776" max="11776" width="12.875" style="326" customWidth="1"/>
    <col min="11777" max="11777" width="13" style="326" customWidth="1"/>
    <col min="11778" max="11778" width="13.125" style="326" customWidth="1"/>
    <col min="11779" max="11780" width="12.125" style="326" customWidth="1"/>
    <col min="11781" max="11781" width="14.375" style="326" bestFit="1" customWidth="1"/>
    <col min="11782" max="11782" width="11" style="326" customWidth="1"/>
    <col min="11783" max="11783" width="10" style="326" customWidth="1"/>
    <col min="11784" max="11784" width="10.875" style="326" customWidth="1"/>
    <col min="11785" max="11785" width="13.75" style="326" customWidth="1"/>
    <col min="11786" max="11786" width="10" style="326" customWidth="1"/>
    <col min="11787" max="11787" width="13.25" style="326" customWidth="1"/>
    <col min="11788" max="11788" width="14.375" style="326" customWidth="1"/>
    <col min="11789" max="11789" width="10" style="326" customWidth="1"/>
    <col min="11790" max="11790" width="10.875" style="326" customWidth="1"/>
    <col min="11791" max="11791" width="11.375" style="326" customWidth="1"/>
    <col min="11792" max="11792" width="15.375" style="326" customWidth="1"/>
    <col min="11793" max="11794" width="10.75" style="326" customWidth="1"/>
    <col min="11795" max="11795" width="14.375" style="326" customWidth="1"/>
    <col min="11796" max="11796" width="10.75" style="326" customWidth="1"/>
    <col min="11797" max="11797" width="11.75" style="326" customWidth="1"/>
    <col min="11798" max="11798" width="10" style="326" customWidth="1"/>
    <col min="11799" max="11799" width="15.375" style="326" customWidth="1"/>
    <col min="11800" max="11800" width="10" style="326" customWidth="1"/>
    <col min="11801" max="11801" width="10.75" style="326" customWidth="1"/>
    <col min="11802" max="11802" width="14.875" style="326" customWidth="1"/>
    <col min="11803" max="11803" width="11.5" style="326" customWidth="1"/>
    <col min="11804" max="11804" width="10" style="326" customWidth="1"/>
    <col min="11805" max="11805" width="10.75" style="326" customWidth="1"/>
    <col min="11806" max="11806" width="13.5" style="326" customWidth="1"/>
    <col min="11807" max="11807" width="9" style="326"/>
    <col min="11808" max="11808" width="10.75" style="326" bestFit="1" customWidth="1"/>
    <col min="11809" max="11809" width="13.75" style="326" customWidth="1"/>
    <col min="11810" max="11810" width="9" style="326"/>
    <col min="11811" max="11811" width="10.625" style="326" customWidth="1"/>
    <col min="11812" max="11812" width="9" style="326"/>
    <col min="11813" max="11813" width="14.25" style="326" customWidth="1"/>
    <col min="11814" max="11814" width="10.75" style="326" bestFit="1" customWidth="1"/>
    <col min="11815" max="11815" width="11.625" style="326" customWidth="1"/>
    <col min="11816" max="11816" width="13.75" style="326" customWidth="1"/>
    <col min="11817" max="11817" width="10.625" style="326" customWidth="1"/>
    <col min="11818" max="11819" width="9" style="326"/>
    <col min="11820" max="11820" width="14.125" style="326" customWidth="1"/>
    <col min="11821" max="11821" width="11" style="326" customWidth="1"/>
    <col min="11822" max="11822" width="10.75" style="326" bestFit="1" customWidth="1"/>
    <col min="11823" max="11823" width="13.5" style="326" customWidth="1"/>
    <col min="11824" max="11825" width="9" style="326"/>
    <col min="11826" max="11826" width="10.75" style="326" bestFit="1" customWidth="1"/>
    <col min="11827" max="11827" width="14" style="326" customWidth="1"/>
    <col min="11828" max="11828" width="9" style="326"/>
    <col min="11829" max="11829" width="10.75" style="326" customWidth="1"/>
    <col min="11830" max="11830" width="12.75" style="326" customWidth="1"/>
    <col min="11831" max="11831" width="9" style="326"/>
    <col min="11832" max="11832" width="10.75" style="326" bestFit="1" customWidth="1"/>
    <col min="11833" max="11833" width="11.5" style="326" customWidth="1"/>
    <col min="11834" max="11834" width="13.625" style="326" customWidth="1"/>
    <col min="11835" max="11835" width="10.625" style="326" customWidth="1"/>
    <col min="11836" max="11836" width="10.75" style="326" bestFit="1" customWidth="1"/>
    <col min="11837" max="11837" width="12.375" style="326" customWidth="1"/>
    <col min="11838" max="11840" width="9" style="326"/>
    <col min="11841" max="11841" width="15.75" style="326" customWidth="1"/>
    <col min="11842" max="11842" width="9" style="326"/>
    <col min="11843" max="11843" width="10.75" style="326" bestFit="1" customWidth="1"/>
    <col min="11844" max="11844" width="12.625" style="326" customWidth="1"/>
    <col min="11845" max="11847" width="9" style="326"/>
    <col min="11848" max="11848" width="13.625" style="326" customWidth="1"/>
    <col min="11849" max="11849" width="9" style="326"/>
    <col min="11850" max="11850" width="10.75" style="326" bestFit="1" customWidth="1"/>
    <col min="11851" max="11851" width="12.5" style="326" customWidth="1"/>
    <col min="11852" max="11854" width="9" style="326"/>
    <col min="11855" max="11855" width="12.875" style="326" customWidth="1"/>
    <col min="11856" max="11856" width="9" style="326"/>
    <col min="11857" max="11857" width="10.75" style="326" bestFit="1" customWidth="1"/>
    <col min="11858" max="11858" width="13.875" style="326" customWidth="1"/>
    <col min="11859" max="11861" width="9" style="326"/>
    <col min="11862" max="11862" width="14.125" style="326" customWidth="1"/>
    <col min="11863" max="11863" width="9" style="326"/>
    <col min="11864" max="11864" width="10.75" style="326" bestFit="1" customWidth="1"/>
    <col min="11865" max="11865" width="13.25" style="326" customWidth="1"/>
    <col min="11866" max="11868" width="9" style="326"/>
    <col min="11869" max="11869" width="13.25" style="326" customWidth="1"/>
    <col min="11870" max="11870" width="9" style="326"/>
    <col min="11871" max="11871" width="10.75" style="326" bestFit="1" customWidth="1"/>
    <col min="11872" max="11872" width="13.875" style="326" customWidth="1"/>
    <col min="11873" max="11875" width="9" style="326"/>
    <col min="11876" max="11876" width="13.625" style="326" customWidth="1"/>
    <col min="11877" max="11877" width="9" style="326"/>
    <col min="11878" max="11878" width="10.75" style="326" bestFit="1" customWidth="1"/>
    <col min="11879" max="11879" width="13" style="326" customWidth="1"/>
    <col min="11880" max="12026" width="9" style="326"/>
    <col min="12027" max="12028" width="12.125" style="326" customWidth="1"/>
    <col min="12029" max="12031" width="13" style="326" customWidth="1"/>
    <col min="12032" max="12032" width="12.875" style="326" customWidth="1"/>
    <col min="12033" max="12033" width="13" style="326" customWidth="1"/>
    <col min="12034" max="12034" width="13.125" style="326" customWidth="1"/>
    <col min="12035" max="12036" width="12.125" style="326" customWidth="1"/>
    <col min="12037" max="12037" width="14.375" style="326" bestFit="1" customWidth="1"/>
    <col min="12038" max="12038" width="11" style="326" customWidth="1"/>
    <col min="12039" max="12039" width="10" style="326" customWidth="1"/>
    <col min="12040" max="12040" width="10.875" style="326" customWidth="1"/>
    <col min="12041" max="12041" width="13.75" style="326" customWidth="1"/>
    <col min="12042" max="12042" width="10" style="326" customWidth="1"/>
    <col min="12043" max="12043" width="13.25" style="326" customWidth="1"/>
    <col min="12044" max="12044" width="14.375" style="326" customWidth="1"/>
    <col min="12045" max="12045" width="10" style="326" customWidth="1"/>
    <col min="12046" max="12046" width="10.875" style="326" customWidth="1"/>
    <col min="12047" max="12047" width="11.375" style="326" customWidth="1"/>
    <col min="12048" max="12048" width="15.375" style="326" customWidth="1"/>
    <col min="12049" max="12050" width="10.75" style="326" customWidth="1"/>
    <col min="12051" max="12051" width="14.375" style="326" customWidth="1"/>
    <col min="12052" max="12052" width="10.75" style="326" customWidth="1"/>
    <col min="12053" max="12053" width="11.75" style="326" customWidth="1"/>
    <col min="12054" max="12054" width="10" style="326" customWidth="1"/>
    <col min="12055" max="12055" width="15.375" style="326" customWidth="1"/>
    <col min="12056" max="12056" width="10" style="326" customWidth="1"/>
    <col min="12057" max="12057" width="10.75" style="326" customWidth="1"/>
    <col min="12058" max="12058" width="14.875" style="326" customWidth="1"/>
    <col min="12059" max="12059" width="11.5" style="326" customWidth="1"/>
    <col min="12060" max="12060" width="10" style="326" customWidth="1"/>
    <col min="12061" max="12061" width="10.75" style="326" customWidth="1"/>
    <col min="12062" max="12062" width="13.5" style="326" customWidth="1"/>
    <col min="12063" max="12063" width="9" style="326"/>
    <col min="12064" max="12064" width="10.75" style="326" bestFit="1" customWidth="1"/>
    <col min="12065" max="12065" width="13.75" style="326" customWidth="1"/>
    <col min="12066" max="12066" width="9" style="326"/>
    <col min="12067" max="12067" width="10.625" style="326" customWidth="1"/>
    <col min="12068" max="12068" width="9" style="326"/>
    <col min="12069" max="12069" width="14.25" style="326" customWidth="1"/>
    <col min="12070" max="12070" width="10.75" style="326" bestFit="1" customWidth="1"/>
    <col min="12071" max="12071" width="11.625" style="326" customWidth="1"/>
    <col min="12072" max="12072" width="13.75" style="326" customWidth="1"/>
    <col min="12073" max="12073" width="10.625" style="326" customWidth="1"/>
    <col min="12074" max="12075" width="9" style="326"/>
    <col min="12076" max="12076" width="14.125" style="326" customWidth="1"/>
    <col min="12077" max="12077" width="11" style="326" customWidth="1"/>
    <col min="12078" max="12078" width="10.75" style="326" bestFit="1" customWidth="1"/>
    <col min="12079" max="12079" width="13.5" style="326" customWidth="1"/>
    <col min="12080" max="12081" width="9" style="326"/>
    <col min="12082" max="12082" width="10.75" style="326" bestFit="1" customWidth="1"/>
    <col min="12083" max="12083" width="14" style="326" customWidth="1"/>
    <col min="12084" max="12084" width="9" style="326"/>
    <col min="12085" max="12085" width="10.75" style="326" customWidth="1"/>
    <col min="12086" max="12086" width="12.75" style="326" customWidth="1"/>
    <col min="12087" max="12087" width="9" style="326"/>
    <col min="12088" max="12088" width="10.75" style="326" bestFit="1" customWidth="1"/>
    <col min="12089" max="12089" width="11.5" style="326" customWidth="1"/>
    <col min="12090" max="12090" width="13.625" style="326" customWidth="1"/>
    <col min="12091" max="12091" width="10.625" style="326" customWidth="1"/>
    <col min="12092" max="12092" width="10.75" style="326" bestFit="1" customWidth="1"/>
    <col min="12093" max="12093" width="12.375" style="326" customWidth="1"/>
    <col min="12094" max="12096" width="9" style="326"/>
    <col min="12097" max="12097" width="15.75" style="326" customWidth="1"/>
    <col min="12098" max="12098" width="9" style="326"/>
    <col min="12099" max="12099" width="10.75" style="326" bestFit="1" customWidth="1"/>
    <col min="12100" max="12100" width="12.625" style="326" customWidth="1"/>
    <col min="12101" max="12103" width="9" style="326"/>
    <col min="12104" max="12104" width="13.625" style="326" customWidth="1"/>
    <col min="12105" max="12105" width="9" style="326"/>
    <col min="12106" max="12106" width="10.75" style="326" bestFit="1" customWidth="1"/>
    <col min="12107" max="12107" width="12.5" style="326" customWidth="1"/>
    <col min="12108" max="12110" width="9" style="326"/>
    <col min="12111" max="12111" width="12.875" style="326" customWidth="1"/>
    <col min="12112" max="12112" width="9" style="326"/>
    <col min="12113" max="12113" width="10.75" style="326" bestFit="1" customWidth="1"/>
    <col min="12114" max="12114" width="13.875" style="326" customWidth="1"/>
    <col min="12115" max="12117" width="9" style="326"/>
    <col min="12118" max="12118" width="14.125" style="326" customWidth="1"/>
    <col min="12119" max="12119" width="9" style="326"/>
    <col min="12120" max="12120" width="10.75" style="326" bestFit="1" customWidth="1"/>
    <col min="12121" max="12121" width="13.25" style="326" customWidth="1"/>
    <col min="12122" max="12124" width="9" style="326"/>
    <col min="12125" max="12125" width="13.25" style="326" customWidth="1"/>
    <col min="12126" max="12126" width="9" style="326"/>
    <col min="12127" max="12127" width="10.75" style="326" bestFit="1" customWidth="1"/>
    <col min="12128" max="12128" width="13.875" style="326" customWidth="1"/>
    <col min="12129" max="12131" width="9" style="326"/>
    <col min="12132" max="12132" width="13.625" style="326" customWidth="1"/>
    <col min="12133" max="12133" width="9" style="326"/>
    <col min="12134" max="12134" width="10.75" style="326" bestFit="1" customWidth="1"/>
    <col min="12135" max="12135" width="13" style="326" customWidth="1"/>
    <col min="12136" max="12282" width="9" style="326"/>
    <col min="12283" max="12284" width="12.125" style="326" customWidth="1"/>
    <col min="12285" max="12287" width="13" style="326" customWidth="1"/>
    <col min="12288" max="12288" width="12.875" style="326" customWidth="1"/>
    <col min="12289" max="12289" width="13" style="326" customWidth="1"/>
    <col min="12290" max="12290" width="13.125" style="326" customWidth="1"/>
    <col min="12291" max="12292" width="12.125" style="326" customWidth="1"/>
    <col min="12293" max="12293" width="14.375" style="326" bestFit="1" customWidth="1"/>
    <col min="12294" max="12294" width="11" style="326" customWidth="1"/>
    <col min="12295" max="12295" width="10" style="326" customWidth="1"/>
    <col min="12296" max="12296" width="10.875" style="326" customWidth="1"/>
    <col min="12297" max="12297" width="13.75" style="326" customWidth="1"/>
    <col min="12298" max="12298" width="10" style="326" customWidth="1"/>
    <col min="12299" max="12299" width="13.25" style="326" customWidth="1"/>
    <col min="12300" max="12300" width="14.375" style="326" customWidth="1"/>
    <col min="12301" max="12301" width="10" style="326" customWidth="1"/>
    <col min="12302" max="12302" width="10.875" style="326" customWidth="1"/>
    <col min="12303" max="12303" width="11.375" style="326" customWidth="1"/>
    <col min="12304" max="12304" width="15.375" style="326" customWidth="1"/>
    <col min="12305" max="12306" width="10.75" style="326" customWidth="1"/>
    <col min="12307" max="12307" width="14.375" style="326" customWidth="1"/>
    <col min="12308" max="12308" width="10.75" style="326" customWidth="1"/>
    <col min="12309" max="12309" width="11.75" style="326" customWidth="1"/>
    <col min="12310" max="12310" width="10" style="326" customWidth="1"/>
    <col min="12311" max="12311" width="15.375" style="326" customWidth="1"/>
    <col min="12312" max="12312" width="10" style="326" customWidth="1"/>
    <col min="12313" max="12313" width="10.75" style="326" customWidth="1"/>
    <col min="12314" max="12314" width="14.875" style="326" customWidth="1"/>
    <col min="12315" max="12315" width="11.5" style="326" customWidth="1"/>
    <col min="12316" max="12316" width="10" style="326" customWidth="1"/>
    <col min="12317" max="12317" width="10.75" style="326" customWidth="1"/>
    <col min="12318" max="12318" width="13.5" style="326" customWidth="1"/>
    <col min="12319" max="12319" width="9" style="326"/>
    <col min="12320" max="12320" width="10.75" style="326" bestFit="1" customWidth="1"/>
    <col min="12321" max="12321" width="13.75" style="326" customWidth="1"/>
    <col min="12322" max="12322" width="9" style="326"/>
    <col min="12323" max="12323" width="10.625" style="326" customWidth="1"/>
    <col min="12324" max="12324" width="9" style="326"/>
    <col min="12325" max="12325" width="14.25" style="326" customWidth="1"/>
    <col min="12326" max="12326" width="10.75" style="326" bestFit="1" customWidth="1"/>
    <col min="12327" max="12327" width="11.625" style="326" customWidth="1"/>
    <col min="12328" max="12328" width="13.75" style="326" customWidth="1"/>
    <col min="12329" max="12329" width="10.625" style="326" customWidth="1"/>
    <col min="12330" max="12331" width="9" style="326"/>
    <col min="12332" max="12332" width="14.125" style="326" customWidth="1"/>
    <col min="12333" max="12333" width="11" style="326" customWidth="1"/>
    <col min="12334" max="12334" width="10.75" style="326" bestFit="1" customWidth="1"/>
    <col min="12335" max="12335" width="13.5" style="326" customWidth="1"/>
    <col min="12336" max="12337" width="9" style="326"/>
    <col min="12338" max="12338" width="10.75" style="326" bestFit="1" customWidth="1"/>
    <col min="12339" max="12339" width="14" style="326" customWidth="1"/>
    <col min="12340" max="12340" width="9" style="326"/>
    <col min="12341" max="12341" width="10.75" style="326" customWidth="1"/>
    <col min="12342" max="12342" width="12.75" style="326" customWidth="1"/>
    <col min="12343" max="12343" width="9" style="326"/>
    <col min="12344" max="12344" width="10.75" style="326" bestFit="1" customWidth="1"/>
    <col min="12345" max="12345" width="11.5" style="326" customWidth="1"/>
    <col min="12346" max="12346" width="13.625" style="326" customWidth="1"/>
    <col min="12347" max="12347" width="10.625" style="326" customWidth="1"/>
    <col min="12348" max="12348" width="10.75" style="326" bestFit="1" customWidth="1"/>
    <col min="12349" max="12349" width="12.375" style="326" customWidth="1"/>
    <col min="12350" max="12352" width="9" style="326"/>
    <col min="12353" max="12353" width="15.75" style="326" customWidth="1"/>
    <col min="12354" max="12354" width="9" style="326"/>
    <col min="12355" max="12355" width="10.75" style="326" bestFit="1" customWidth="1"/>
    <col min="12356" max="12356" width="12.625" style="326" customWidth="1"/>
    <col min="12357" max="12359" width="9" style="326"/>
    <col min="12360" max="12360" width="13.625" style="326" customWidth="1"/>
    <col min="12361" max="12361" width="9" style="326"/>
    <col min="12362" max="12362" width="10.75" style="326" bestFit="1" customWidth="1"/>
    <col min="12363" max="12363" width="12.5" style="326" customWidth="1"/>
    <col min="12364" max="12366" width="9" style="326"/>
    <col min="12367" max="12367" width="12.875" style="326" customWidth="1"/>
    <col min="12368" max="12368" width="9" style="326"/>
    <col min="12369" max="12369" width="10.75" style="326" bestFit="1" customWidth="1"/>
    <col min="12370" max="12370" width="13.875" style="326" customWidth="1"/>
    <col min="12371" max="12373" width="9" style="326"/>
    <col min="12374" max="12374" width="14.125" style="326" customWidth="1"/>
    <col min="12375" max="12375" width="9" style="326"/>
    <col min="12376" max="12376" width="10.75" style="326" bestFit="1" customWidth="1"/>
    <col min="12377" max="12377" width="13.25" style="326" customWidth="1"/>
    <col min="12378" max="12380" width="9" style="326"/>
    <col min="12381" max="12381" width="13.25" style="326" customWidth="1"/>
    <col min="12382" max="12382" width="9" style="326"/>
    <col min="12383" max="12383" width="10.75" style="326" bestFit="1" customWidth="1"/>
    <col min="12384" max="12384" width="13.875" style="326" customWidth="1"/>
    <col min="12385" max="12387" width="9" style="326"/>
    <col min="12388" max="12388" width="13.625" style="326" customWidth="1"/>
    <col min="12389" max="12389" width="9" style="326"/>
    <col min="12390" max="12390" width="10.75" style="326" bestFit="1" customWidth="1"/>
    <col min="12391" max="12391" width="13" style="326" customWidth="1"/>
    <col min="12392" max="12538" width="9" style="326"/>
    <col min="12539" max="12540" width="12.125" style="326" customWidth="1"/>
    <col min="12541" max="12543" width="13" style="326" customWidth="1"/>
    <col min="12544" max="12544" width="12.875" style="326" customWidth="1"/>
    <col min="12545" max="12545" width="13" style="326" customWidth="1"/>
    <col min="12546" max="12546" width="13.125" style="326" customWidth="1"/>
    <col min="12547" max="12548" width="12.125" style="326" customWidth="1"/>
    <col min="12549" max="12549" width="14.375" style="326" bestFit="1" customWidth="1"/>
    <col min="12550" max="12550" width="11" style="326" customWidth="1"/>
    <col min="12551" max="12551" width="10" style="326" customWidth="1"/>
    <col min="12552" max="12552" width="10.875" style="326" customWidth="1"/>
    <col min="12553" max="12553" width="13.75" style="326" customWidth="1"/>
    <col min="12554" max="12554" width="10" style="326" customWidth="1"/>
    <col min="12555" max="12555" width="13.25" style="326" customWidth="1"/>
    <col min="12556" max="12556" width="14.375" style="326" customWidth="1"/>
    <col min="12557" max="12557" width="10" style="326" customWidth="1"/>
    <col min="12558" max="12558" width="10.875" style="326" customWidth="1"/>
    <col min="12559" max="12559" width="11.375" style="326" customWidth="1"/>
    <col min="12560" max="12560" width="15.375" style="326" customWidth="1"/>
    <col min="12561" max="12562" width="10.75" style="326" customWidth="1"/>
    <col min="12563" max="12563" width="14.375" style="326" customWidth="1"/>
    <col min="12564" max="12564" width="10.75" style="326" customWidth="1"/>
    <col min="12565" max="12565" width="11.75" style="326" customWidth="1"/>
    <col min="12566" max="12566" width="10" style="326" customWidth="1"/>
    <col min="12567" max="12567" width="15.375" style="326" customWidth="1"/>
    <col min="12568" max="12568" width="10" style="326" customWidth="1"/>
    <col min="12569" max="12569" width="10.75" style="326" customWidth="1"/>
    <col min="12570" max="12570" width="14.875" style="326" customWidth="1"/>
    <col min="12571" max="12571" width="11.5" style="326" customWidth="1"/>
    <col min="12572" max="12572" width="10" style="326" customWidth="1"/>
    <col min="12573" max="12573" width="10.75" style="326" customWidth="1"/>
    <col min="12574" max="12574" width="13.5" style="326" customWidth="1"/>
    <col min="12575" max="12575" width="9" style="326"/>
    <col min="12576" max="12576" width="10.75" style="326" bestFit="1" customWidth="1"/>
    <col min="12577" max="12577" width="13.75" style="326" customWidth="1"/>
    <col min="12578" max="12578" width="9" style="326"/>
    <col min="12579" max="12579" width="10.625" style="326" customWidth="1"/>
    <col min="12580" max="12580" width="9" style="326"/>
    <col min="12581" max="12581" width="14.25" style="326" customWidth="1"/>
    <col min="12582" max="12582" width="10.75" style="326" bestFit="1" customWidth="1"/>
    <col min="12583" max="12583" width="11.625" style="326" customWidth="1"/>
    <col min="12584" max="12584" width="13.75" style="326" customWidth="1"/>
    <col min="12585" max="12585" width="10.625" style="326" customWidth="1"/>
    <col min="12586" max="12587" width="9" style="326"/>
    <col min="12588" max="12588" width="14.125" style="326" customWidth="1"/>
    <col min="12589" max="12589" width="11" style="326" customWidth="1"/>
    <col min="12590" max="12590" width="10.75" style="326" bestFit="1" customWidth="1"/>
    <col min="12591" max="12591" width="13.5" style="326" customWidth="1"/>
    <col min="12592" max="12593" width="9" style="326"/>
    <col min="12594" max="12594" width="10.75" style="326" bestFit="1" customWidth="1"/>
    <col min="12595" max="12595" width="14" style="326" customWidth="1"/>
    <col min="12596" max="12596" width="9" style="326"/>
    <col min="12597" max="12597" width="10.75" style="326" customWidth="1"/>
    <col min="12598" max="12598" width="12.75" style="326" customWidth="1"/>
    <col min="12599" max="12599" width="9" style="326"/>
    <col min="12600" max="12600" width="10.75" style="326" bestFit="1" customWidth="1"/>
    <col min="12601" max="12601" width="11.5" style="326" customWidth="1"/>
    <col min="12602" max="12602" width="13.625" style="326" customWidth="1"/>
    <col min="12603" max="12603" width="10.625" style="326" customWidth="1"/>
    <col min="12604" max="12604" width="10.75" style="326" bestFit="1" customWidth="1"/>
    <col min="12605" max="12605" width="12.375" style="326" customWidth="1"/>
    <col min="12606" max="12608" width="9" style="326"/>
    <col min="12609" max="12609" width="15.75" style="326" customWidth="1"/>
    <col min="12610" max="12610" width="9" style="326"/>
    <col min="12611" max="12611" width="10.75" style="326" bestFit="1" customWidth="1"/>
    <col min="12612" max="12612" width="12.625" style="326" customWidth="1"/>
    <col min="12613" max="12615" width="9" style="326"/>
    <col min="12616" max="12616" width="13.625" style="326" customWidth="1"/>
    <col min="12617" max="12617" width="9" style="326"/>
    <col min="12618" max="12618" width="10.75" style="326" bestFit="1" customWidth="1"/>
    <col min="12619" max="12619" width="12.5" style="326" customWidth="1"/>
    <col min="12620" max="12622" width="9" style="326"/>
    <col min="12623" max="12623" width="12.875" style="326" customWidth="1"/>
    <col min="12624" max="12624" width="9" style="326"/>
    <col min="12625" max="12625" width="10.75" style="326" bestFit="1" customWidth="1"/>
    <col min="12626" max="12626" width="13.875" style="326" customWidth="1"/>
    <col min="12627" max="12629" width="9" style="326"/>
    <col min="12630" max="12630" width="14.125" style="326" customWidth="1"/>
    <col min="12631" max="12631" width="9" style="326"/>
    <col min="12632" max="12632" width="10.75" style="326" bestFit="1" customWidth="1"/>
    <col min="12633" max="12633" width="13.25" style="326" customWidth="1"/>
    <col min="12634" max="12636" width="9" style="326"/>
    <col min="12637" max="12637" width="13.25" style="326" customWidth="1"/>
    <col min="12638" max="12638" width="9" style="326"/>
    <col min="12639" max="12639" width="10.75" style="326" bestFit="1" customWidth="1"/>
    <col min="12640" max="12640" width="13.875" style="326" customWidth="1"/>
    <col min="12641" max="12643" width="9" style="326"/>
    <col min="12644" max="12644" width="13.625" style="326" customWidth="1"/>
    <col min="12645" max="12645" width="9" style="326"/>
    <col min="12646" max="12646" width="10.75" style="326" bestFit="1" customWidth="1"/>
    <col min="12647" max="12647" width="13" style="326" customWidth="1"/>
    <col min="12648" max="12794" width="9" style="326"/>
    <col min="12795" max="12796" width="12.125" style="326" customWidth="1"/>
    <col min="12797" max="12799" width="13" style="326" customWidth="1"/>
    <col min="12800" max="12800" width="12.875" style="326" customWidth="1"/>
    <col min="12801" max="12801" width="13" style="326" customWidth="1"/>
    <col min="12802" max="12802" width="13.125" style="326" customWidth="1"/>
    <col min="12803" max="12804" width="12.125" style="326" customWidth="1"/>
    <col min="12805" max="12805" width="14.375" style="326" bestFit="1" customWidth="1"/>
    <col min="12806" max="12806" width="11" style="326" customWidth="1"/>
    <col min="12807" max="12807" width="10" style="326" customWidth="1"/>
    <col min="12808" max="12808" width="10.875" style="326" customWidth="1"/>
    <col min="12809" max="12809" width="13.75" style="326" customWidth="1"/>
    <col min="12810" max="12810" width="10" style="326" customWidth="1"/>
    <col min="12811" max="12811" width="13.25" style="326" customWidth="1"/>
    <col min="12812" max="12812" width="14.375" style="326" customWidth="1"/>
    <col min="12813" max="12813" width="10" style="326" customWidth="1"/>
    <col min="12814" max="12814" width="10.875" style="326" customWidth="1"/>
    <col min="12815" max="12815" width="11.375" style="326" customWidth="1"/>
    <col min="12816" max="12816" width="15.375" style="326" customWidth="1"/>
    <col min="12817" max="12818" width="10.75" style="326" customWidth="1"/>
    <col min="12819" max="12819" width="14.375" style="326" customWidth="1"/>
    <col min="12820" max="12820" width="10.75" style="326" customWidth="1"/>
    <col min="12821" max="12821" width="11.75" style="326" customWidth="1"/>
    <col min="12822" max="12822" width="10" style="326" customWidth="1"/>
    <col min="12823" max="12823" width="15.375" style="326" customWidth="1"/>
    <col min="12824" max="12824" width="10" style="326" customWidth="1"/>
    <col min="12825" max="12825" width="10.75" style="326" customWidth="1"/>
    <col min="12826" max="12826" width="14.875" style="326" customWidth="1"/>
    <col min="12827" max="12827" width="11.5" style="326" customWidth="1"/>
    <col min="12828" max="12828" width="10" style="326" customWidth="1"/>
    <col min="12829" max="12829" width="10.75" style="326" customWidth="1"/>
    <col min="12830" max="12830" width="13.5" style="326" customWidth="1"/>
    <col min="12831" max="12831" width="9" style="326"/>
    <col min="12832" max="12832" width="10.75" style="326" bestFit="1" customWidth="1"/>
    <col min="12833" max="12833" width="13.75" style="326" customWidth="1"/>
    <col min="12834" max="12834" width="9" style="326"/>
    <col min="12835" max="12835" width="10.625" style="326" customWidth="1"/>
    <col min="12836" max="12836" width="9" style="326"/>
    <col min="12837" max="12837" width="14.25" style="326" customWidth="1"/>
    <col min="12838" max="12838" width="10.75" style="326" bestFit="1" customWidth="1"/>
    <col min="12839" max="12839" width="11.625" style="326" customWidth="1"/>
    <col min="12840" max="12840" width="13.75" style="326" customWidth="1"/>
    <col min="12841" max="12841" width="10.625" style="326" customWidth="1"/>
    <col min="12842" max="12843" width="9" style="326"/>
    <col min="12844" max="12844" width="14.125" style="326" customWidth="1"/>
    <col min="12845" max="12845" width="11" style="326" customWidth="1"/>
    <col min="12846" max="12846" width="10.75" style="326" bestFit="1" customWidth="1"/>
    <col min="12847" max="12847" width="13.5" style="326" customWidth="1"/>
    <col min="12848" max="12849" width="9" style="326"/>
    <col min="12850" max="12850" width="10.75" style="326" bestFit="1" customWidth="1"/>
    <col min="12851" max="12851" width="14" style="326" customWidth="1"/>
    <col min="12852" max="12852" width="9" style="326"/>
    <col min="12853" max="12853" width="10.75" style="326" customWidth="1"/>
    <col min="12854" max="12854" width="12.75" style="326" customWidth="1"/>
    <col min="12855" max="12855" width="9" style="326"/>
    <col min="12856" max="12856" width="10.75" style="326" bestFit="1" customWidth="1"/>
    <col min="12857" max="12857" width="11.5" style="326" customWidth="1"/>
    <col min="12858" max="12858" width="13.625" style="326" customWidth="1"/>
    <col min="12859" max="12859" width="10.625" style="326" customWidth="1"/>
    <col min="12860" max="12860" width="10.75" style="326" bestFit="1" customWidth="1"/>
    <col min="12861" max="12861" width="12.375" style="326" customWidth="1"/>
    <col min="12862" max="12864" width="9" style="326"/>
    <col min="12865" max="12865" width="15.75" style="326" customWidth="1"/>
    <col min="12866" max="12866" width="9" style="326"/>
    <col min="12867" max="12867" width="10.75" style="326" bestFit="1" customWidth="1"/>
    <col min="12868" max="12868" width="12.625" style="326" customWidth="1"/>
    <col min="12869" max="12871" width="9" style="326"/>
    <col min="12872" max="12872" width="13.625" style="326" customWidth="1"/>
    <col min="12873" max="12873" width="9" style="326"/>
    <col min="12874" max="12874" width="10.75" style="326" bestFit="1" customWidth="1"/>
    <col min="12875" max="12875" width="12.5" style="326" customWidth="1"/>
    <col min="12876" max="12878" width="9" style="326"/>
    <col min="12879" max="12879" width="12.875" style="326" customWidth="1"/>
    <col min="12880" max="12880" width="9" style="326"/>
    <col min="12881" max="12881" width="10.75" style="326" bestFit="1" customWidth="1"/>
    <col min="12882" max="12882" width="13.875" style="326" customWidth="1"/>
    <col min="12883" max="12885" width="9" style="326"/>
    <col min="12886" max="12886" width="14.125" style="326" customWidth="1"/>
    <col min="12887" max="12887" width="9" style="326"/>
    <col min="12888" max="12888" width="10.75" style="326" bestFit="1" customWidth="1"/>
    <col min="12889" max="12889" width="13.25" style="326" customWidth="1"/>
    <col min="12890" max="12892" width="9" style="326"/>
    <col min="12893" max="12893" width="13.25" style="326" customWidth="1"/>
    <col min="12894" max="12894" width="9" style="326"/>
    <col min="12895" max="12895" width="10.75" style="326" bestFit="1" customWidth="1"/>
    <col min="12896" max="12896" width="13.875" style="326" customWidth="1"/>
    <col min="12897" max="12899" width="9" style="326"/>
    <col min="12900" max="12900" width="13.625" style="326" customWidth="1"/>
    <col min="12901" max="12901" width="9" style="326"/>
    <col min="12902" max="12902" width="10.75" style="326" bestFit="1" customWidth="1"/>
    <col min="12903" max="12903" width="13" style="326" customWidth="1"/>
    <col min="12904" max="13050" width="9" style="326"/>
    <col min="13051" max="13052" width="12.125" style="326" customWidth="1"/>
    <col min="13053" max="13055" width="13" style="326" customWidth="1"/>
    <col min="13056" max="13056" width="12.875" style="326" customWidth="1"/>
    <col min="13057" max="13057" width="13" style="326" customWidth="1"/>
    <col min="13058" max="13058" width="13.125" style="326" customWidth="1"/>
    <col min="13059" max="13060" width="12.125" style="326" customWidth="1"/>
    <col min="13061" max="13061" width="14.375" style="326" bestFit="1" customWidth="1"/>
    <col min="13062" max="13062" width="11" style="326" customWidth="1"/>
    <col min="13063" max="13063" width="10" style="326" customWidth="1"/>
    <col min="13064" max="13064" width="10.875" style="326" customWidth="1"/>
    <col min="13065" max="13065" width="13.75" style="326" customWidth="1"/>
    <col min="13066" max="13066" width="10" style="326" customWidth="1"/>
    <col min="13067" max="13067" width="13.25" style="326" customWidth="1"/>
    <col min="13068" max="13068" width="14.375" style="326" customWidth="1"/>
    <col min="13069" max="13069" width="10" style="326" customWidth="1"/>
    <col min="13070" max="13070" width="10.875" style="326" customWidth="1"/>
    <col min="13071" max="13071" width="11.375" style="326" customWidth="1"/>
    <col min="13072" max="13072" width="15.375" style="326" customWidth="1"/>
    <col min="13073" max="13074" width="10.75" style="326" customWidth="1"/>
    <col min="13075" max="13075" width="14.375" style="326" customWidth="1"/>
    <col min="13076" max="13076" width="10.75" style="326" customWidth="1"/>
    <col min="13077" max="13077" width="11.75" style="326" customWidth="1"/>
    <col min="13078" max="13078" width="10" style="326" customWidth="1"/>
    <col min="13079" max="13079" width="15.375" style="326" customWidth="1"/>
    <col min="13080" max="13080" width="10" style="326" customWidth="1"/>
    <col min="13081" max="13081" width="10.75" style="326" customWidth="1"/>
    <col min="13082" max="13082" width="14.875" style="326" customWidth="1"/>
    <col min="13083" max="13083" width="11.5" style="326" customWidth="1"/>
    <col min="13084" max="13084" width="10" style="326" customWidth="1"/>
    <col min="13085" max="13085" width="10.75" style="326" customWidth="1"/>
    <col min="13086" max="13086" width="13.5" style="326" customWidth="1"/>
    <col min="13087" max="13087" width="9" style="326"/>
    <col min="13088" max="13088" width="10.75" style="326" bestFit="1" customWidth="1"/>
    <col min="13089" max="13089" width="13.75" style="326" customWidth="1"/>
    <col min="13090" max="13090" width="9" style="326"/>
    <col min="13091" max="13091" width="10.625" style="326" customWidth="1"/>
    <col min="13092" max="13092" width="9" style="326"/>
    <col min="13093" max="13093" width="14.25" style="326" customWidth="1"/>
    <col min="13094" max="13094" width="10.75" style="326" bestFit="1" customWidth="1"/>
    <col min="13095" max="13095" width="11.625" style="326" customWidth="1"/>
    <col min="13096" max="13096" width="13.75" style="326" customWidth="1"/>
    <col min="13097" max="13097" width="10.625" style="326" customWidth="1"/>
    <col min="13098" max="13099" width="9" style="326"/>
    <col min="13100" max="13100" width="14.125" style="326" customWidth="1"/>
    <col min="13101" max="13101" width="11" style="326" customWidth="1"/>
    <col min="13102" max="13102" width="10.75" style="326" bestFit="1" customWidth="1"/>
    <col min="13103" max="13103" width="13.5" style="326" customWidth="1"/>
    <col min="13104" max="13105" width="9" style="326"/>
    <col min="13106" max="13106" width="10.75" style="326" bestFit="1" customWidth="1"/>
    <col min="13107" max="13107" width="14" style="326" customWidth="1"/>
    <col min="13108" max="13108" width="9" style="326"/>
    <col min="13109" max="13109" width="10.75" style="326" customWidth="1"/>
    <col min="13110" max="13110" width="12.75" style="326" customWidth="1"/>
    <col min="13111" max="13111" width="9" style="326"/>
    <col min="13112" max="13112" width="10.75" style="326" bestFit="1" customWidth="1"/>
    <col min="13113" max="13113" width="11.5" style="326" customWidth="1"/>
    <col min="13114" max="13114" width="13.625" style="326" customWidth="1"/>
    <col min="13115" max="13115" width="10.625" style="326" customWidth="1"/>
    <col min="13116" max="13116" width="10.75" style="326" bestFit="1" customWidth="1"/>
    <col min="13117" max="13117" width="12.375" style="326" customWidth="1"/>
    <col min="13118" max="13120" width="9" style="326"/>
    <col min="13121" max="13121" width="15.75" style="326" customWidth="1"/>
    <col min="13122" max="13122" width="9" style="326"/>
    <col min="13123" max="13123" width="10.75" style="326" bestFit="1" customWidth="1"/>
    <col min="13124" max="13124" width="12.625" style="326" customWidth="1"/>
    <col min="13125" max="13127" width="9" style="326"/>
    <col min="13128" max="13128" width="13.625" style="326" customWidth="1"/>
    <col min="13129" max="13129" width="9" style="326"/>
    <col min="13130" max="13130" width="10.75" style="326" bestFit="1" customWidth="1"/>
    <col min="13131" max="13131" width="12.5" style="326" customWidth="1"/>
    <col min="13132" max="13134" width="9" style="326"/>
    <col min="13135" max="13135" width="12.875" style="326" customWidth="1"/>
    <col min="13136" max="13136" width="9" style="326"/>
    <col min="13137" max="13137" width="10.75" style="326" bestFit="1" customWidth="1"/>
    <col min="13138" max="13138" width="13.875" style="326" customWidth="1"/>
    <col min="13139" max="13141" width="9" style="326"/>
    <col min="13142" max="13142" width="14.125" style="326" customWidth="1"/>
    <col min="13143" max="13143" width="9" style="326"/>
    <col min="13144" max="13144" width="10.75" style="326" bestFit="1" customWidth="1"/>
    <col min="13145" max="13145" width="13.25" style="326" customWidth="1"/>
    <col min="13146" max="13148" width="9" style="326"/>
    <col min="13149" max="13149" width="13.25" style="326" customWidth="1"/>
    <col min="13150" max="13150" width="9" style="326"/>
    <col min="13151" max="13151" width="10.75" style="326" bestFit="1" customWidth="1"/>
    <col min="13152" max="13152" width="13.875" style="326" customWidth="1"/>
    <col min="13153" max="13155" width="9" style="326"/>
    <col min="13156" max="13156" width="13.625" style="326" customWidth="1"/>
    <col min="13157" max="13157" width="9" style="326"/>
    <col min="13158" max="13158" width="10.75" style="326" bestFit="1" customWidth="1"/>
    <col min="13159" max="13159" width="13" style="326" customWidth="1"/>
    <col min="13160" max="13306" width="9" style="326"/>
    <col min="13307" max="13308" width="12.125" style="326" customWidth="1"/>
    <col min="13309" max="13311" width="13" style="326" customWidth="1"/>
    <col min="13312" max="13312" width="12.875" style="326" customWidth="1"/>
    <col min="13313" max="13313" width="13" style="326" customWidth="1"/>
    <col min="13314" max="13314" width="13.125" style="326" customWidth="1"/>
    <col min="13315" max="13316" width="12.125" style="326" customWidth="1"/>
    <col min="13317" max="13317" width="14.375" style="326" bestFit="1" customWidth="1"/>
    <col min="13318" max="13318" width="11" style="326" customWidth="1"/>
    <col min="13319" max="13319" width="10" style="326" customWidth="1"/>
    <col min="13320" max="13320" width="10.875" style="326" customWidth="1"/>
    <col min="13321" max="13321" width="13.75" style="326" customWidth="1"/>
    <col min="13322" max="13322" width="10" style="326" customWidth="1"/>
    <col min="13323" max="13323" width="13.25" style="326" customWidth="1"/>
    <col min="13324" max="13324" width="14.375" style="326" customWidth="1"/>
    <col min="13325" max="13325" width="10" style="326" customWidth="1"/>
    <col min="13326" max="13326" width="10.875" style="326" customWidth="1"/>
    <col min="13327" max="13327" width="11.375" style="326" customWidth="1"/>
    <col min="13328" max="13328" width="15.375" style="326" customWidth="1"/>
    <col min="13329" max="13330" width="10.75" style="326" customWidth="1"/>
    <col min="13331" max="13331" width="14.375" style="326" customWidth="1"/>
    <col min="13332" max="13332" width="10.75" style="326" customWidth="1"/>
    <col min="13333" max="13333" width="11.75" style="326" customWidth="1"/>
    <col min="13334" max="13334" width="10" style="326" customWidth="1"/>
    <col min="13335" max="13335" width="15.375" style="326" customWidth="1"/>
    <col min="13336" max="13336" width="10" style="326" customWidth="1"/>
    <col min="13337" max="13337" width="10.75" style="326" customWidth="1"/>
    <col min="13338" max="13338" width="14.875" style="326" customWidth="1"/>
    <col min="13339" max="13339" width="11.5" style="326" customWidth="1"/>
    <col min="13340" max="13340" width="10" style="326" customWidth="1"/>
    <col min="13341" max="13341" width="10.75" style="326" customWidth="1"/>
    <col min="13342" max="13342" width="13.5" style="326" customWidth="1"/>
    <col min="13343" max="13343" width="9" style="326"/>
    <col min="13344" max="13344" width="10.75" style="326" bestFit="1" customWidth="1"/>
    <col min="13345" max="13345" width="13.75" style="326" customWidth="1"/>
    <col min="13346" max="13346" width="9" style="326"/>
    <col min="13347" max="13347" width="10.625" style="326" customWidth="1"/>
    <col min="13348" max="13348" width="9" style="326"/>
    <col min="13349" max="13349" width="14.25" style="326" customWidth="1"/>
    <col min="13350" max="13350" width="10.75" style="326" bestFit="1" customWidth="1"/>
    <col min="13351" max="13351" width="11.625" style="326" customWidth="1"/>
    <col min="13352" max="13352" width="13.75" style="326" customWidth="1"/>
    <col min="13353" max="13353" width="10.625" style="326" customWidth="1"/>
    <col min="13354" max="13355" width="9" style="326"/>
    <col min="13356" max="13356" width="14.125" style="326" customWidth="1"/>
    <col min="13357" max="13357" width="11" style="326" customWidth="1"/>
    <col min="13358" max="13358" width="10.75" style="326" bestFit="1" customWidth="1"/>
    <col min="13359" max="13359" width="13.5" style="326" customWidth="1"/>
    <col min="13360" max="13361" width="9" style="326"/>
    <col min="13362" max="13362" width="10.75" style="326" bestFit="1" customWidth="1"/>
    <col min="13363" max="13363" width="14" style="326" customWidth="1"/>
    <col min="13364" max="13364" width="9" style="326"/>
    <col min="13365" max="13365" width="10.75" style="326" customWidth="1"/>
    <col min="13366" max="13366" width="12.75" style="326" customWidth="1"/>
    <col min="13367" max="13367" width="9" style="326"/>
    <col min="13368" max="13368" width="10.75" style="326" bestFit="1" customWidth="1"/>
    <col min="13369" max="13369" width="11.5" style="326" customWidth="1"/>
    <col min="13370" max="13370" width="13.625" style="326" customWidth="1"/>
    <col min="13371" max="13371" width="10.625" style="326" customWidth="1"/>
    <col min="13372" max="13372" width="10.75" style="326" bestFit="1" customWidth="1"/>
    <col min="13373" max="13373" width="12.375" style="326" customWidth="1"/>
    <col min="13374" max="13376" width="9" style="326"/>
    <col min="13377" max="13377" width="15.75" style="326" customWidth="1"/>
    <col min="13378" max="13378" width="9" style="326"/>
    <col min="13379" max="13379" width="10.75" style="326" bestFit="1" customWidth="1"/>
    <col min="13380" max="13380" width="12.625" style="326" customWidth="1"/>
    <col min="13381" max="13383" width="9" style="326"/>
    <col min="13384" max="13384" width="13.625" style="326" customWidth="1"/>
    <col min="13385" max="13385" width="9" style="326"/>
    <col min="13386" max="13386" width="10.75" style="326" bestFit="1" customWidth="1"/>
    <col min="13387" max="13387" width="12.5" style="326" customWidth="1"/>
    <col min="13388" max="13390" width="9" style="326"/>
    <col min="13391" max="13391" width="12.875" style="326" customWidth="1"/>
    <col min="13392" max="13392" width="9" style="326"/>
    <col min="13393" max="13393" width="10.75" style="326" bestFit="1" customWidth="1"/>
    <col min="13394" max="13394" width="13.875" style="326" customWidth="1"/>
    <col min="13395" max="13397" width="9" style="326"/>
    <col min="13398" max="13398" width="14.125" style="326" customWidth="1"/>
    <col min="13399" max="13399" width="9" style="326"/>
    <col min="13400" max="13400" width="10.75" style="326" bestFit="1" customWidth="1"/>
    <col min="13401" max="13401" width="13.25" style="326" customWidth="1"/>
    <col min="13402" max="13404" width="9" style="326"/>
    <col min="13405" max="13405" width="13.25" style="326" customWidth="1"/>
    <col min="13406" max="13406" width="9" style="326"/>
    <col min="13407" max="13407" width="10.75" style="326" bestFit="1" customWidth="1"/>
    <col min="13408" max="13408" width="13.875" style="326" customWidth="1"/>
    <col min="13409" max="13411" width="9" style="326"/>
    <col min="13412" max="13412" width="13.625" style="326" customWidth="1"/>
    <col min="13413" max="13413" width="9" style="326"/>
    <col min="13414" max="13414" width="10.75" style="326" bestFit="1" customWidth="1"/>
    <col min="13415" max="13415" width="13" style="326" customWidth="1"/>
    <col min="13416" max="13562" width="9" style="326"/>
    <col min="13563" max="13564" width="12.125" style="326" customWidth="1"/>
    <col min="13565" max="13567" width="13" style="326" customWidth="1"/>
    <col min="13568" max="13568" width="12.875" style="326" customWidth="1"/>
    <col min="13569" max="13569" width="13" style="326" customWidth="1"/>
    <col min="13570" max="13570" width="13.125" style="326" customWidth="1"/>
    <col min="13571" max="13572" width="12.125" style="326" customWidth="1"/>
    <col min="13573" max="13573" width="14.375" style="326" bestFit="1" customWidth="1"/>
    <col min="13574" max="13574" width="11" style="326" customWidth="1"/>
    <col min="13575" max="13575" width="10" style="326" customWidth="1"/>
    <col min="13576" max="13576" width="10.875" style="326" customWidth="1"/>
    <col min="13577" max="13577" width="13.75" style="326" customWidth="1"/>
    <col min="13578" max="13578" width="10" style="326" customWidth="1"/>
    <col min="13579" max="13579" width="13.25" style="326" customWidth="1"/>
    <col min="13580" max="13580" width="14.375" style="326" customWidth="1"/>
    <col min="13581" max="13581" width="10" style="326" customWidth="1"/>
    <col min="13582" max="13582" width="10.875" style="326" customWidth="1"/>
    <col min="13583" max="13583" width="11.375" style="326" customWidth="1"/>
    <col min="13584" max="13584" width="15.375" style="326" customWidth="1"/>
    <col min="13585" max="13586" width="10.75" style="326" customWidth="1"/>
    <col min="13587" max="13587" width="14.375" style="326" customWidth="1"/>
    <col min="13588" max="13588" width="10.75" style="326" customWidth="1"/>
    <col min="13589" max="13589" width="11.75" style="326" customWidth="1"/>
    <col min="13590" max="13590" width="10" style="326" customWidth="1"/>
    <col min="13591" max="13591" width="15.375" style="326" customWidth="1"/>
    <col min="13592" max="13592" width="10" style="326" customWidth="1"/>
    <col min="13593" max="13593" width="10.75" style="326" customWidth="1"/>
    <col min="13594" max="13594" width="14.875" style="326" customWidth="1"/>
    <col min="13595" max="13595" width="11.5" style="326" customWidth="1"/>
    <col min="13596" max="13596" width="10" style="326" customWidth="1"/>
    <col min="13597" max="13597" width="10.75" style="326" customWidth="1"/>
    <col min="13598" max="13598" width="13.5" style="326" customWidth="1"/>
    <col min="13599" max="13599" width="9" style="326"/>
    <col min="13600" max="13600" width="10.75" style="326" bestFit="1" customWidth="1"/>
    <col min="13601" max="13601" width="13.75" style="326" customWidth="1"/>
    <col min="13602" max="13602" width="9" style="326"/>
    <col min="13603" max="13603" width="10.625" style="326" customWidth="1"/>
    <col min="13604" max="13604" width="9" style="326"/>
    <col min="13605" max="13605" width="14.25" style="326" customWidth="1"/>
    <col min="13606" max="13606" width="10.75" style="326" bestFit="1" customWidth="1"/>
    <col min="13607" max="13607" width="11.625" style="326" customWidth="1"/>
    <col min="13608" max="13608" width="13.75" style="326" customWidth="1"/>
    <col min="13609" max="13609" width="10.625" style="326" customWidth="1"/>
    <col min="13610" max="13611" width="9" style="326"/>
    <col min="13612" max="13612" width="14.125" style="326" customWidth="1"/>
    <col min="13613" max="13613" width="11" style="326" customWidth="1"/>
    <col min="13614" max="13614" width="10.75" style="326" bestFit="1" customWidth="1"/>
    <col min="13615" max="13615" width="13.5" style="326" customWidth="1"/>
    <col min="13616" max="13617" width="9" style="326"/>
    <col min="13618" max="13618" width="10.75" style="326" bestFit="1" customWidth="1"/>
    <col min="13619" max="13619" width="14" style="326" customWidth="1"/>
    <col min="13620" max="13620" width="9" style="326"/>
    <col min="13621" max="13621" width="10.75" style="326" customWidth="1"/>
    <col min="13622" max="13622" width="12.75" style="326" customWidth="1"/>
    <col min="13623" max="13623" width="9" style="326"/>
    <col min="13624" max="13624" width="10.75" style="326" bestFit="1" customWidth="1"/>
    <col min="13625" max="13625" width="11.5" style="326" customWidth="1"/>
    <col min="13626" max="13626" width="13.625" style="326" customWidth="1"/>
    <col min="13627" max="13627" width="10.625" style="326" customWidth="1"/>
    <col min="13628" max="13628" width="10.75" style="326" bestFit="1" customWidth="1"/>
    <col min="13629" max="13629" width="12.375" style="326" customWidth="1"/>
    <col min="13630" max="13632" width="9" style="326"/>
    <col min="13633" max="13633" width="15.75" style="326" customWidth="1"/>
    <col min="13634" max="13634" width="9" style="326"/>
    <col min="13635" max="13635" width="10.75" style="326" bestFit="1" customWidth="1"/>
    <col min="13636" max="13636" width="12.625" style="326" customWidth="1"/>
    <col min="13637" max="13639" width="9" style="326"/>
    <col min="13640" max="13640" width="13.625" style="326" customWidth="1"/>
    <col min="13641" max="13641" width="9" style="326"/>
    <col min="13642" max="13642" width="10.75" style="326" bestFit="1" customWidth="1"/>
    <col min="13643" max="13643" width="12.5" style="326" customWidth="1"/>
    <col min="13644" max="13646" width="9" style="326"/>
    <col min="13647" max="13647" width="12.875" style="326" customWidth="1"/>
    <col min="13648" max="13648" width="9" style="326"/>
    <col min="13649" max="13649" width="10.75" style="326" bestFit="1" customWidth="1"/>
    <col min="13650" max="13650" width="13.875" style="326" customWidth="1"/>
    <col min="13651" max="13653" width="9" style="326"/>
    <col min="13654" max="13654" width="14.125" style="326" customWidth="1"/>
    <col min="13655" max="13655" width="9" style="326"/>
    <col min="13656" max="13656" width="10.75" style="326" bestFit="1" customWidth="1"/>
    <col min="13657" max="13657" width="13.25" style="326" customWidth="1"/>
    <col min="13658" max="13660" width="9" style="326"/>
    <col min="13661" max="13661" width="13.25" style="326" customWidth="1"/>
    <col min="13662" max="13662" width="9" style="326"/>
    <col min="13663" max="13663" width="10.75" style="326" bestFit="1" customWidth="1"/>
    <col min="13664" max="13664" width="13.875" style="326" customWidth="1"/>
    <col min="13665" max="13667" width="9" style="326"/>
    <col min="13668" max="13668" width="13.625" style="326" customWidth="1"/>
    <col min="13669" max="13669" width="9" style="326"/>
    <col min="13670" max="13670" width="10.75" style="326" bestFit="1" customWidth="1"/>
    <col min="13671" max="13671" width="13" style="326" customWidth="1"/>
    <col min="13672" max="13818" width="9" style="326"/>
    <col min="13819" max="13820" width="12.125" style="326" customWidth="1"/>
    <col min="13821" max="13823" width="13" style="326" customWidth="1"/>
    <col min="13824" max="13824" width="12.875" style="326" customWidth="1"/>
    <col min="13825" max="13825" width="13" style="326" customWidth="1"/>
    <col min="13826" max="13826" width="13.125" style="326" customWidth="1"/>
    <col min="13827" max="13828" width="12.125" style="326" customWidth="1"/>
    <col min="13829" max="13829" width="14.375" style="326" bestFit="1" customWidth="1"/>
    <col min="13830" max="13830" width="11" style="326" customWidth="1"/>
    <col min="13831" max="13831" width="10" style="326" customWidth="1"/>
    <col min="13832" max="13832" width="10.875" style="326" customWidth="1"/>
    <col min="13833" max="13833" width="13.75" style="326" customWidth="1"/>
    <col min="13834" max="13834" width="10" style="326" customWidth="1"/>
    <col min="13835" max="13835" width="13.25" style="326" customWidth="1"/>
    <col min="13836" max="13836" width="14.375" style="326" customWidth="1"/>
    <col min="13837" max="13837" width="10" style="326" customWidth="1"/>
    <col min="13838" max="13838" width="10.875" style="326" customWidth="1"/>
    <col min="13839" max="13839" width="11.375" style="326" customWidth="1"/>
    <col min="13840" max="13840" width="15.375" style="326" customWidth="1"/>
    <col min="13841" max="13842" width="10.75" style="326" customWidth="1"/>
    <col min="13843" max="13843" width="14.375" style="326" customWidth="1"/>
    <col min="13844" max="13844" width="10.75" style="326" customWidth="1"/>
    <col min="13845" max="13845" width="11.75" style="326" customWidth="1"/>
    <col min="13846" max="13846" width="10" style="326" customWidth="1"/>
    <col min="13847" max="13847" width="15.375" style="326" customWidth="1"/>
    <col min="13848" max="13848" width="10" style="326" customWidth="1"/>
    <col min="13849" max="13849" width="10.75" style="326" customWidth="1"/>
    <col min="13850" max="13850" width="14.875" style="326" customWidth="1"/>
    <col min="13851" max="13851" width="11.5" style="326" customWidth="1"/>
    <col min="13852" max="13852" width="10" style="326" customWidth="1"/>
    <col min="13853" max="13853" width="10.75" style="326" customWidth="1"/>
    <col min="13854" max="13854" width="13.5" style="326" customWidth="1"/>
    <col min="13855" max="13855" width="9" style="326"/>
    <col min="13856" max="13856" width="10.75" style="326" bestFit="1" customWidth="1"/>
    <col min="13857" max="13857" width="13.75" style="326" customWidth="1"/>
    <col min="13858" max="13858" width="9" style="326"/>
    <col min="13859" max="13859" width="10.625" style="326" customWidth="1"/>
    <col min="13860" max="13860" width="9" style="326"/>
    <col min="13861" max="13861" width="14.25" style="326" customWidth="1"/>
    <col min="13862" max="13862" width="10.75" style="326" bestFit="1" customWidth="1"/>
    <col min="13863" max="13863" width="11.625" style="326" customWidth="1"/>
    <col min="13864" max="13864" width="13.75" style="326" customWidth="1"/>
    <col min="13865" max="13865" width="10.625" style="326" customWidth="1"/>
    <col min="13866" max="13867" width="9" style="326"/>
    <col min="13868" max="13868" width="14.125" style="326" customWidth="1"/>
    <col min="13869" max="13869" width="11" style="326" customWidth="1"/>
    <col min="13870" max="13870" width="10.75" style="326" bestFit="1" customWidth="1"/>
    <col min="13871" max="13871" width="13.5" style="326" customWidth="1"/>
    <col min="13872" max="13873" width="9" style="326"/>
    <col min="13874" max="13874" width="10.75" style="326" bestFit="1" customWidth="1"/>
    <col min="13875" max="13875" width="14" style="326" customWidth="1"/>
    <col min="13876" max="13876" width="9" style="326"/>
    <col min="13877" max="13877" width="10.75" style="326" customWidth="1"/>
    <col min="13878" max="13878" width="12.75" style="326" customWidth="1"/>
    <col min="13879" max="13879" width="9" style="326"/>
    <col min="13880" max="13880" width="10.75" style="326" bestFit="1" customWidth="1"/>
    <col min="13881" max="13881" width="11.5" style="326" customWidth="1"/>
    <col min="13882" max="13882" width="13.625" style="326" customWidth="1"/>
    <col min="13883" max="13883" width="10.625" style="326" customWidth="1"/>
    <col min="13884" max="13884" width="10.75" style="326" bestFit="1" customWidth="1"/>
    <col min="13885" max="13885" width="12.375" style="326" customWidth="1"/>
    <col min="13886" max="13888" width="9" style="326"/>
    <col min="13889" max="13889" width="15.75" style="326" customWidth="1"/>
    <col min="13890" max="13890" width="9" style="326"/>
    <col min="13891" max="13891" width="10.75" style="326" bestFit="1" customWidth="1"/>
    <col min="13892" max="13892" width="12.625" style="326" customWidth="1"/>
    <col min="13893" max="13895" width="9" style="326"/>
    <col min="13896" max="13896" width="13.625" style="326" customWidth="1"/>
    <col min="13897" max="13897" width="9" style="326"/>
    <col min="13898" max="13898" width="10.75" style="326" bestFit="1" customWidth="1"/>
    <col min="13899" max="13899" width="12.5" style="326" customWidth="1"/>
    <col min="13900" max="13902" width="9" style="326"/>
    <col min="13903" max="13903" width="12.875" style="326" customWidth="1"/>
    <col min="13904" max="13904" width="9" style="326"/>
    <col min="13905" max="13905" width="10.75" style="326" bestFit="1" customWidth="1"/>
    <col min="13906" max="13906" width="13.875" style="326" customWidth="1"/>
    <col min="13907" max="13909" width="9" style="326"/>
    <col min="13910" max="13910" width="14.125" style="326" customWidth="1"/>
    <col min="13911" max="13911" width="9" style="326"/>
    <col min="13912" max="13912" width="10.75" style="326" bestFit="1" customWidth="1"/>
    <col min="13913" max="13913" width="13.25" style="326" customWidth="1"/>
    <col min="13914" max="13916" width="9" style="326"/>
    <col min="13917" max="13917" width="13.25" style="326" customWidth="1"/>
    <col min="13918" max="13918" width="9" style="326"/>
    <col min="13919" max="13919" width="10.75" style="326" bestFit="1" customWidth="1"/>
    <col min="13920" max="13920" width="13.875" style="326" customWidth="1"/>
    <col min="13921" max="13923" width="9" style="326"/>
    <col min="13924" max="13924" width="13.625" style="326" customWidth="1"/>
    <col min="13925" max="13925" width="9" style="326"/>
    <col min="13926" max="13926" width="10.75" style="326" bestFit="1" customWidth="1"/>
    <col min="13927" max="13927" width="13" style="326" customWidth="1"/>
    <col min="13928" max="14074" width="9" style="326"/>
    <col min="14075" max="14076" width="12.125" style="326" customWidth="1"/>
    <col min="14077" max="14079" width="13" style="326" customWidth="1"/>
    <col min="14080" max="14080" width="12.875" style="326" customWidth="1"/>
    <col min="14081" max="14081" width="13" style="326" customWidth="1"/>
    <col min="14082" max="14082" width="13.125" style="326" customWidth="1"/>
    <col min="14083" max="14084" width="12.125" style="326" customWidth="1"/>
    <col min="14085" max="14085" width="14.375" style="326" bestFit="1" customWidth="1"/>
    <col min="14086" max="14086" width="11" style="326" customWidth="1"/>
    <col min="14087" max="14087" width="10" style="326" customWidth="1"/>
    <col min="14088" max="14088" width="10.875" style="326" customWidth="1"/>
    <col min="14089" max="14089" width="13.75" style="326" customWidth="1"/>
    <col min="14090" max="14090" width="10" style="326" customWidth="1"/>
    <col min="14091" max="14091" width="13.25" style="326" customWidth="1"/>
    <col min="14092" max="14092" width="14.375" style="326" customWidth="1"/>
    <col min="14093" max="14093" width="10" style="326" customWidth="1"/>
    <col min="14094" max="14094" width="10.875" style="326" customWidth="1"/>
    <col min="14095" max="14095" width="11.375" style="326" customWidth="1"/>
    <col min="14096" max="14096" width="15.375" style="326" customWidth="1"/>
    <col min="14097" max="14098" width="10.75" style="326" customWidth="1"/>
    <col min="14099" max="14099" width="14.375" style="326" customWidth="1"/>
    <col min="14100" max="14100" width="10.75" style="326" customWidth="1"/>
    <col min="14101" max="14101" width="11.75" style="326" customWidth="1"/>
    <col min="14102" max="14102" width="10" style="326" customWidth="1"/>
    <col min="14103" max="14103" width="15.375" style="326" customWidth="1"/>
    <col min="14104" max="14104" width="10" style="326" customWidth="1"/>
    <col min="14105" max="14105" width="10.75" style="326" customWidth="1"/>
    <col min="14106" max="14106" width="14.875" style="326" customWidth="1"/>
    <col min="14107" max="14107" width="11.5" style="326" customWidth="1"/>
    <col min="14108" max="14108" width="10" style="326" customWidth="1"/>
    <col min="14109" max="14109" width="10.75" style="326" customWidth="1"/>
    <col min="14110" max="14110" width="13.5" style="326" customWidth="1"/>
    <col min="14111" max="14111" width="9" style="326"/>
    <col min="14112" max="14112" width="10.75" style="326" bestFit="1" customWidth="1"/>
    <col min="14113" max="14113" width="13.75" style="326" customWidth="1"/>
    <col min="14114" max="14114" width="9" style="326"/>
    <col min="14115" max="14115" width="10.625" style="326" customWidth="1"/>
    <col min="14116" max="14116" width="9" style="326"/>
    <col min="14117" max="14117" width="14.25" style="326" customWidth="1"/>
    <col min="14118" max="14118" width="10.75" style="326" bestFit="1" customWidth="1"/>
    <col min="14119" max="14119" width="11.625" style="326" customWidth="1"/>
    <col min="14120" max="14120" width="13.75" style="326" customWidth="1"/>
    <col min="14121" max="14121" width="10.625" style="326" customWidth="1"/>
    <col min="14122" max="14123" width="9" style="326"/>
    <col min="14124" max="14124" width="14.125" style="326" customWidth="1"/>
    <col min="14125" max="14125" width="11" style="326" customWidth="1"/>
    <col min="14126" max="14126" width="10.75" style="326" bestFit="1" customWidth="1"/>
    <col min="14127" max="14127" width="13.5" style="326" customWidth="1"/>
    <col min="14128" max="14129" width="9" style="326"/>
    <col min="14130" max="14130" width="10.75" style="326" bestFit="1" customWidth="1"/>
    <col min="14131" max="14131" width="14" style="326" customWidth="1"/>
    <col min="14132" max="14132" width="9" style="326"/>
    <col min="14133" max="14133" width="10.75" style="326" customWidth="1"/>
    <col min="14134" max="14134" width="12.75" style="326" customWidth="1"/>
    <col min="14135" max="14135" width="9" style="326"/>
    <col min="14136" max="14136" width="10.75" style="326" bestFit="1" customWidth="1"/>
    <col min="14137" max="14137" width="11.5" style="326" customWidth="1"/>
    <col min="14138" max="14138" width="13.625" style="326" customWidth="1"/>
    <col min="14139" max="14139" width="10.625" style="326" customWidth="1"/>
    <col min="14140" max="14140" width="10.75" style="326" bestFit="1" customWidth="1"/>
    <col min="14141" max="14141" width="12.375" style="326" customWidth="1"/>
    <col min="14142" max="14144" width="9" style="326"/>
    <col min="14145" max="14145" width="15.75" style="326" customWidth="1"/>
    <col min="14146" max="14146" width="9" style="326"/>
    <col min="14147" max="14147" width="10.75" style="326" bestFit="1" customWidth="1"/>
    <col min="14148" max="14148" width="12.625" style="326" customWidth="1"/>
    <col min="14149" max="14151" width="9" style="326"/>
    <col min="14152" max="14152" width="13.625" style="326" customWidth="1"/>
    <col min="14153" max="14153" width="9" style="326"/>
    <col min="14154" max="14154" width="10.75" style="326" bestFit="1" customWidth="1"/>
    <col min="14155" max="14155" width="12.5" style="326" customWidth="1"/>
    <col min="14156" max="14158" width="9" style="326"/>
    <col min="14159" max="14159" width="12.875" style="326" customWidth="1"/>
    <col min="14160" max="14160" width="9" style="326"/>
    <col min="14161" max="14161" width="10.75" style="326" bestFit="1" customWidth="1"/>
    <col min="14162" max="14162" width="13.875" style="326" customWidth="1"/>
    <col min="14163" max="14165" width="9" style="326"/>
    <col min="14166" max="14166" width="14.125" style="326" customWidth="1"/>
    <col min="14167" max="14167" width="9" style="326"/>
    <col min="14168" max="14168" width="10.75" style="326" bestFit="1" customWidth="1"/>
    <col min="14169" max="14169" width="13.25" style="326" customWidth="1"/>
    <col min="14170" max="14172" width="9" style="326"/>
    <col min="14173" max="14173" width="13.25" style="326" customWidth="1"/>
    <col min="14174" max="14174" width="9" style="326"/>
    <col min="14175" max="14175" width="10.75" style="326" bestFit="1" customWidth="1"/>
    <col min="14176" max="14176" width="13.875" style="326" customWidth="1"/>
    <col min="14177" max="14179" width="9" style="326"/>
    <col min="14180" max="14180" width="13.625" style="326" customWidth="1"/>
    <col min="14181" max="14181" width="9" style="326"/>
    <col min="14182" max="14182" width="10.75" style="326" bestFit="1" customWidth="1"/>
    <col min="14183" max="14183" width="13" style="326" customWidth="1"/>
    <col min="14184" max="14330" width="9" style="326"/>
    <col min="14331" max="14332" width="12.125" style="326" customWidth="1"/>
    <col min="14333" max="14335" width="13" style="326" customWidth="1"/>
    <col min="14336" max="14336" width="12.875" style="326" customWidth="1"/>
    <col min="14337" max="14337" width="13" style="326" customWidth="1"/>
    <col min="14338" max="14338" width="13.125" style="326" customWidth="1"/>
    <col min="14339" max="14340" width="12.125" style="326" customWidth="1"/>
    <col min="14341" max="14341" width="14.375" style="326" bestFit="1" customWidth="1"/>
    <col min="14342" max="14342" width="11" style="326" customWidth="1"/>
    <col min="14343" max="14343" width="10" style="326" customWidth="1"/>
    <col min="14344" max="14344" width="10.875" style="326" customWidth="1"/>
    <col min="14345" max="14345" width="13.75" style="326" customWidth="1"/>
    <col min="14346" max="14346" width="10" style="326" customWidth="1"/>
    <col min="14347" max="14347" width="13.25" style="326" customWidth="1"/>
    <col min="14348" max="14348" width="14.375" style="326" customWidth="1"/>
    <col min="14349" max="14349" width="10" style="326" customWidth="1"/>
    <col min="14350" max="14350" width="10.875" style="326" customWidth="1"/>
    <col min="14351" max="14351" width="11.375" style="326" customWidth="1"/>
    <col min="14352" max="14352" width="15.375" style="326" customWidth="1"/>
    <col min="14353" max="14354" width="10.75" style="326" customWidth="1"/>
    <col min="14355" max="14355" width="14.375" style="326" customWidth="1"/>
    <col min="14356" max="14356" width="10.75" style="326" customWidth="1"/>
    <col min="14357" max="14357" width="11.75" style="326" customWidth="1"/>
    <col min="14358" max="14358" width="10" style="326" customWidth="1"/>
    <col min="14359" max="14359" width="15.375" style="326" customWidth="1"/>
    <col min="14360" max="14360" width="10" style="326" customWidth="1"/>
    <col min="14361" max="14361" width="10.75" style="326" customWidth="1"/>
    <col min="14362" max="14362" width="14.875" style="326" customWidth="1"/>
    <col min="14363" max="14363" width="11.5" style="326" customWidth="1"/>
    <col min="14364" max="14364" width="10" style="326" customWidth="1"/>
    <col min="14365" max="14365" width="10.75" style="326" customWidth="1"/>
    <col min="14366" max="14366" width="13.5" style="326" customWidth="1"/>
    <col min="14367" max="14367" width="9" style="326"/>
    <col min="14368" max="14368" width="10.75" style="326" bestFit="1" customWidth="1"/>
    <col min="14369" max="14369" width="13.75" style="326" customWidth="1"/>
    <col min="14370" max="14370" width="9" style="326"/>
    <col min="14371" max="14371" width="10.625" style="326" customWidth="1"/>
    <col min="14372" max="14372" width="9" style="326"/>
    <col min="14373" max="14373" width="14.25" style="326" customWidth="1"/>
    <col min="14374" max="14374" width="10.75" style="326" bestFit="1" customWidth="1"/>
    <col min="14375" max="14375" width="11.625" style="326" customWidth="1"/>
    <col min="14376" max="14376" width="13.75" style="326" customWidth="1"/>
    <col min="14377" max="14377" width="10.625" style="326" customWidth="1"/>
    <col min="14378" max="14379" width="9" style="326"/>
    <col min="14380" max="14380" width="14.125" style="326" customWidth="1"/>
    <col min="14381" max="14381" width="11" style="326" customWidth="1"/>
    <col min="14382" max="14382" width="10.75" style="326" bestFit="1" customWidth="1"/>
    <col min="14383" max="14383" width="13.5" style="326" customWidth="1"/>
    <col min="14384" max="14385" width="9" style="326"/>
    <col min="14386" max="14386" width="10.75" style="326" bestFit="1" customWidth="1"/>
    <col min="14387" max="14387" width="14" style="326" customWidth="1"/>
    <col min="14388" max="14388" width="9" style="326"/>
    <col min="14389" max="14389" width="10.75" style="326" customWidth="1"/>
    <col min="14390" max="14390" width="12.75" style="326" customWidth="1"/>
    <col min="14391" max="14391" width="9" style="326"/>
    <col min="14392" max="14392" width="10.75" style="326" bestFit="1" customWidth="1"/>
    <col min="14393" max="14393" width="11.5" style="326" customWidth="1"/>
    <col min="14394" max="14394" width="13.625" style="326" customWidth="1"/>
    <col min="14395" max="14395" width="10.625" style="326" customWidth="1"/>
    <col min="14396" max="14396" width="10.75" style="326" bestFit="1" customWidth="1"/>
    <col min="14397" max="14397" width="12.375" style="326" customWidth="1"/>
    <col min="14398" max="14400" width="9" style="326"/>
    <col min="14401" max="14401" width="15.75" style="326" customWidth="1"/>
    <col min="14402" max="14402" width="9" style="326"/>
    <col min="14403" max="14403" width="10.75" style="326" bestFit="1" customWidth="1"/>
    <col min="14404" max="14404" width="12.625" style="326" customWidth="1"/>
    <col min="14405" max="14407" width="9" style="326"/>
    <col min="14408" max="14408" width="13.625" style="326" customWidth="1"/>
    <col min="14409" max="14409" width="9" style="326"/>
    <col min="14410" max="14410" width="10.75" style="326" bestFit="1" customWidth="1"/>
    <col min="14411" max="14411" width="12.5" style="326" customWidth="1"/>
    <col min="14412" max="14414" width="9" style="326"/>
    <col min="14415" max="14415" width="12.875" style="326" customWidth="1"/>
    <col min="14416" max="14416" width="9" style="326"/>
    <col min="14417" max="14417" width="10.75" style="326" bestFit="1" customWidth="1"/>
    <col min="14418" max="14418" width="13.875" style="326" customWidth="1"/>
    <col min="14419" max="14421" width="9" style="326"/>
    <col min="14422" max="14422" width="14.125" style="326" customWidth="1"/>
    <col min="14423" max="14423" width="9" style="326"/>
    <col min="14424" max="14424" width="10.75" style="326" bestFit="1" customWidth="1"/>
    <col min="14425" max="14425" width="13.25" style="326" customWidth="1"/>
    <col min="14426" max="14428" width="9" style="326"/>
    <col min="14429" max="14429" width="13.25" style="326" customWidth="1"/>
    <col min="14430" max="14430" width="9" style="326"/>
    <col min="14431" max="14431" width="10.75" style="326" bestFit="1" customWidth="1"/>
    <col min="14432" max="14432" width="13.875" style="326" customWidth="1"/>
    <col min="14433" max="14435" width="9" style="326"/>
    <col min="14436" max="14436" width="13.625" style="326" customWidth="1"/>
    <col min="14437" max="14437" width="9" style="326"/>
    <col min="14438" max="14438" width="10.75" style="326" bestFit="1" customWidth="1"/>
    <col min="14439" max="14439" width="13" style="326" customWidth="1"/>
    <col min="14440" max="14586" width="9" style="326"/>
    <col min="14587" max="14588" width="12.125" style="326" customWidth="1"/>
    <col min="14589" max="14591" width="13" style="326" customWidth="1"/>
    <col min="14592" max="14592" width="12.875" style="326" customWidth="1"/>
    <col min="14593" max="14593" width="13" style="326" customWidth="1"/>
    <col min="14594" max="14594" width="13.125" style="326" customWidth="1"/>
    <col min="14595" max="14596" width="12.125" style="326" customWidth="1"/>
    <col min="14597" max="14597" width="14.375" style="326" bestFit="1" customWidth="1"/>
    <col min="14598" max="14598" width="11" style="326" customWidth="1"/>
    <col min="14599" max="14599" width="10" style="326" customWidth="1"/>
    <col min="14600" max="14600" width="10.875" style="326" customWidth="1"/>
    <col min="14601" max="14601" width="13.75" style="326" customWidth="1"/>
    <col min="14602" max="14602" width="10" style="326" customWidth="1"/>
    <col min="14603" max="14603" width="13.25" style="326" customWidth="1"/>
    <col min="14604" max="14604" width="14.375" style="326" customWidth="1"/>
    <col min="14605" max="14605" width="10" style="326" customWidth="1"/>
    <col min="14606" max="14606" width="10.875" style="326" customWidth="1"/>
    <col min="14607" max="14607" width="11.375" style="326" customWidth="1"/>
    <col min="14608" max="14608" width="15.375" style="326" customWidth="1"/>
    <col min="14609" max="14610" width="10.75" style="326" customWidth="1"/>
    <col min="14611" max="14611" width="14.375" style="326" customWidth="1"/>
    <col min="14612" max="14612" width="10.75" style="326" customWidth="1"/>
    <col min="14613" max="14613" width="11.75" style="326" customWidth="1"/>
    <col min="14614" max="14614" width="10" style="326" customWidth="1"/>
    <col min="14615" max="14615" width="15.375" style="326" customWidth="1"/>
    <col min="14616" max="14616" width="10" style="326" customWidth="1"/>
    <col min="14617" max="14617" width="10.75" style="326" customWidth="1"/>
    <col min="14618" max="14618" width="14.875" style="326" customWidth="1"/>
    <col min="14619" max="14619" width="11.5" style="326" customWidth="1"/>
    <col min="14620" max="14620" width="10" style="326" customWidth="1"/>
    <col min="14621" max="14621" width="10.75" style="326" customWidth="1"/>
    <col min="14622" max="14622" width="13.5" style="326" customWidth="1"/>
    <col min="14623" max="14623" width="9" style="326"/>
    <col min="14624" max="14624" width="10.75" style="326" bestFit="1" customWidth="1"/>
    <col min="14625" max="14625" width="13.75" style="326" customWidth="1"/>
    <col min="14626" max="14626" width="9" style="326"/>
    <col min="14627" max="14627" width="10.625" style="326" customWidth="1"/>
    <col min="14628" max="14628" width="9" style="326"/>
    <col min="14629" max="14629" width="14.25" style="326" customWidth="1"/>
    <col min="14630" max="14630" width="10.75" style="326" bestFit="1" customWidth="1"/>
    <col min="14631" max="14631" width="11.625" style="326" customWidth="1"/>
    <col min="14632" max="14632" width="13.75" style="326" customWidth="1"/>
    <col min="14633" max="14633" width="10.625" style="326" customWidth="1"/>
    <col min="14634" max="14635" width="9" style="326"/>
    <col min="14636" max="14636" width="14.125" style="326" customWidth="1"/>
    <col min="14637" max="14637" width="11" style="326" customWidth="1"/>
    <col min="14638" max="14638" width="10.75" style="326" bestFit="1" customWidth="1"/>
    <col min="14639" max="14639" width="13.5" style="326" customWidth="1"/>
    <col min="14640" max="14641" width="9" style="326"/>
    <col min="14642" max="14642" width="10.75" style="326" bestFit="1" customWidth="1"/>
    <col min="14643" max="14643" width="14" style="326" customWidth="1"/>
    <col min="14644" max="14644" width="9" style="326"/>
    <col min="14645" max="14645" width="10.75" style="326" customWidth="1"/>
    <col min="14646" max="14646" width="12.75" style="326" customWidth="1"/>
    <col min="14647" max="14647" width="9" style="326"/>
    <col min="14648" max="14648" width="10.75" style="326" bestFit="1" customWidth="1"/>
    <col min="14649" max="14649" width="11.5" style="326" customWidth="1"/>
    <col min="14650" max="14650" width="13.625" style="326" customWidth="1"/>
    <col min="14651" max="14651" width="10.625" style="326" customWidth="1"/>
    <col min="14652" max="14652" width="10.75" style="326" bestFit="1" customWidth="1"/>
    <col min="14653" max="14653" width="12.375" style="326" customWidth="1"/>
    <col min="14654" max="14656" width="9" style="326"/>
    <col min="14657" max="14657" width="15.75" style="326" customWidth="1"/>
    <col min="14658" max="14658" width="9" style="326"/>
    <col min="14659" max="14659" width="10.75" style="326" bestFit="1" customWidth="1"/>
    <col min="14660" max="14660" width="12.625" style="326" customWidth="1"/>
    <col min="14661" max="14663" width="9" style="326"/>
    <col min="14664" max="14664" width="13.625" style="326" customWidth="1"/>
    <col min="14665" max="14665" width="9" style="326"/>
    <col min="14666" max="14666" width="10.75" style="326" bestFit="1" customWidth="1"/>
    <col min="14667" max="14667" width="12.5" style="326" customWidth="1"/>
    <col min="14668" max="14670" width="9" style="326"/>
    <col min="14671" max="14671" width="12.875" style="326" customWidth="1"/>
    <col min="14672" max="14672" width="9" style="326"/>
    <col min="14673" max="14673" width="10.75" style="326" bestFit="1" customWidth="1"/>
    <col min="14674" max="14674" width="13.875" style="326" customWidth="1"/>
    <col min="14675" max="14677" width="9" style="326"/>
    <col min="14678" max="14678" width="14.125" style="326" customWidth="1"/>
    <col min="14679" max="14679" width="9" style="326"/>
    <col min="14680" max="14680" width="10.75" style="326" bestFit="1" customWidth="1"/>
    <col min="14681" max="14681" width="13.25" style="326" customWidth="1"/>
    <col min="14682" max="14684" width="9" style="326"/>
    <col min="14685" max="14685" width="13.25" style="326" customWidth="1"/>
    <col min="14686" max="14686" width="9" style="326"/>
    <col min="14687" max="14687" width="10.75" style="326" bestFit="1" customWidth="1"/>
    <col min="14688" max="14688" width="13.875" style="326" customWidth="1"/>
    <col min="14689" max="14691" width="9" style="326"/>
    <col min="14692" max="14692" width="13.625" style="326" customWidth="1"/>
    <col min="14693" max="14693" width="9" style="326"/>
    <col min="14694" max="14694" width="10.75" style="326" bestFit="1" customWidth="1"/>
    <col min="14695" max="14695" width="13" style="326" customWidth="1"/>
    <col min="14696" max="14842" width="9" style="326"/>
    <col min="14843" max="14844" width="12.125" style="326" customWidth="1"/>
    <col min="14845" max="14847" width="13" style="326" customWidth="1"/>
    <col min="14848" max="14848" width="12.875" style="326" customWidth="1"/>
    <col min="14849" max="14849" width="13" style="326" customWidth="1"/>
    <col min="14850" max="14850" width="13.125" style="326" customWidth="1"/>
    <col min="14851" max="14852" width="12.125" style="326" customWidth="1"/>
    <col min="14853" max="14853" width="14.375" style="326" bestFit="1" customWidth="1"/>
    <col min="14854" max="14854" width="11" style="326" customWidth="1"/>
    <col min="14855" max="14855" width="10" style="326" customWidth="1"/>
    <col min="14856" max="14856" width="10.875" style="326" customWidth="1"/>
    <col min="14857" max="14857" width="13.75" style="326" customWidth="1"/>
    <col min="14858" max="14858" width="10" style="326" customWidth="1"/>
    <col min="14859" max="14859" width="13.25" style="326" customWidth="1"/>
    <col min="14860" max="14860" width="14.375" style="326" customWidth="1"/>
    <col min="14861" max="14861" width="10" style="326" customWidth="1"/>
    <col min="14862" max="14862" width="10.875" style="326" customWidth="1"/>
    <col min="14863" max="14863" width="11.375" style="326" customWidth="1"/>
    <col min="14864" max="14864" width="15.375" style="326" customWidth="1"/>
    <col min="14865" max="14866" width="10.75" style="326" customWidth="1"/>
    <col min="14867" max="14867" width="14.375" style="326" customWidth="1"/>
    <col min="14868" max="14868" width="10.75" style="326" customWidth="1"/>
    <col min="14869" max="14869" width="11.75" style="326" customWidth="1"/>
    <col min="14870" max="14870" width="10" style="326" customWidth="1"/>
    <col min="14871" max="14871" width="15.375" style="326" customWidth="1"/>
    <col min="14872" max="14872" width="10" style="326" customWidth="1"/>
    <col min="14873" max="14873" width="10.75" style="326" customWidth="1"/>
    <col min="14874" max="14874" width="14.875" style="326" customWidth="1"/>
    <col min="14875" max="14875" width="11.5" style="326" customWidth="1"/>
    <col min="14876" max="14876" width="10" style="326" customWidth="1"/>
    <col min="14877" max="14877" width="10.75" style="326" customWidth="1"/>
    <col min="14878" max="14878" width="13.5" style="326" customWidth="1"/>
    <col min="14879" max="14879" width="9" style="326"/>
    <col min="14880" max="14880" width="10.75" style="326" bestFit="1" customWidth="1"/>
    <col min="14881" max="14881" width="13.75" style="326" customWidth="1"/>
    <col min="14882" max="14882" width="9" style="326"/>
    <col min="14883" max="14883" width="10.625" style="326" customWidth="1"/>
    <col min="14884" max="14884" width="9" style="326"/>
    <col min="14885" max="14885" width="14.25" style="326" customWidth="1"/>
    <col min="14886" max="14886" width="10.75" style="326" bestFit="1" customWidth="1"/>
    <col min="14887" max="14887" width="11.625" style="326" customWidth="1"/>
    <col min="14888" max="14888" width="13.75" style="326" customWidth="1"/>
    <col min="14889" max="14889" width="10.625" style="326" customWidth="1"/>
    <col min="14890" max="14891" width="9" style="326"/>
    <col min="14892" max="14892" width="14.125" style="326" customWidth="1"/>
    <col min="14893" max="14893" width="11" style="326" customWidth="1"/>
    <col min="14894" max="14894" width="10.75" style="326" bestFit="1" customWidth="1"/>
    <col min="14895" max="14895" width="13.5" style="326" customWidth="1"/>
    <col min="14896" max="14897" width="9" style="326"/>
    <col min="14898" max="14898" width="10.75" style="326" bestFit="1" customWidth="1"/>
    <col min="14899" max="14899" width="14" style="326" customWidth="1"/>
    <col min="14900" max="14900" width="9" style="326"/>
    <col min="14901" max="14901" width="10.75" style="326" customWidth="1"/>
    <col min="14902" max="14902" width="12.75" style="326" customWidth="1"/>
    <col min="14903" max="14903" width="9" style="326"/>
    <col min="14904" max="14904" width="10.75" style="326" bestFit="1" customWidth="1"/>
    <col min="14905" max="14905" width="11.5" style="326" customWidth="1"/>
    <col min="14906" max="14906" width="13.625" style="326" customWidth="1"/>
    <col min="14907" max="14907" width="10.625" style="326" customWidth="1"/>
    <col min="14908" max="14908" width="10.75" style="326" bestFit="1" customWidth="1"/>
    <col min="14909" max="14909" width="12.375" style="326" customWidth="1"/>
    <col min="14910" max="14912" width="9" style="326"/>
    <col min="14913" max="14913" width="15.75" style="326" customWidth="1"/>
    <col min="14914" max="14914" width="9" style="326"/>
    <col min="14915" max="14915" width="10.75" style="326" bestFit="1" customWidth="1"/>
    <col min="14916" max="14916" width="12.625" style="326" customWidth="1"/>
    <col min="14917" max="14919" width="9" style="326"/>
    <col min="14920" max="14920" width="13.625" style="326" customWidth="1"/>
    <col min="14921" max="14921" width="9" style="326"/>
    <col min="14922" max="14922" width="10.75" style="326" bestFit="1" customWidth="1"/>
    <col min="14923" max="14923" width="12.5" style="326" customWidth="1"/>
    <col min="14924" max="14926" width="9" style="326"/>
    <col min="14927" max="14927" width="12.875" style="326" customWidth="1"/>
    <col min="14928" max="14928" width="9" style="326"/>
    <col min="14929" max="14929" width="10.75" style="326" bestFit="1" customWidth="1"/>
    <col min="14930" max="14930" width="13.875" style="326" customWidth="1"/>
    <col min="14931" max="14933" width="9" style="326"/>
    <col min="14934" max="14934" width="14.125" style="326" customWidth="1"/>
    <col min="14935" max="14935" width="9" style="326"/>
    <col min="14936" max="14936" width="10.75" style="326" bestFit="1" customWidth="1"/>
    <col min="14937" max="14937" width="13.25" style="326" customWidth="1"/>
    <col min="14938" max="14940" width="9" style="326"/>
    <col min="14941" max="14941" width="13.25" style="326" customWidth="1"/>
    <col min="14942" max="14942" width="9" style="326"/>
    <col min="14943" max="14943" width="10.75" style="326" bestFit="1" customWidth="1"/>
    <col min="14944" max="14944" width="13.875" style="326" customWidth="1"/>
    <col min="14945" max="14947" width="9" style="326"/>
    <col min="14948" max="14948" width="13.625" style="326" customWidth="1"/>
    <col min="14949" max="14949" width="9" style="326"/>
    <col min="14950" max="14950" width="10.75" style="326" bestFit="1" customWidth="1"/>
    <col min="14951" max="14951" width="13" style="326" customWidth="1"/>
    <col min="14952" max="15098" width="9" style="326"/>
    <col min="15099" max="15100" width="12.125" style="326" customWidth="1"/>
    <col min="15101" max="15103" width="13" style="326" customWidth="1"/>
    <col min="15104" max="15104" width="12.875" style="326" customWidth="1"/>
    <col min="15105" max="15105" width="13" style="326" customWidth="1"/>
    <col min="15106" max="15106" width="13.125" style="326" customWidth="1"/>
    <col min="15107" max="15108" width="12.125" style="326" customWidth="1"/>
    <col min="15109" max="15109" width="14.375" style="326" bestFit="1" customWidth="1"/>
    <col min="15110" max="15110" width="11" style="326" customWidth="1"/>
    <col min="15111" max="15111" width="10" style="326" customWidth="1"/>
    <col min="15112" max="15112" width="10.875" style="326" customWidth="1"/>
    <col min="15113" max="15113" width="13.75" style="326" customWidth="1"/>
    <col min="15114" max="15114" width="10" style="326" customWidth="1"/>
    <col min="15115" max="15115" width="13.25" style="326" customWidth="1"/>
    <col min="15116" max="15116" width="14.375" style="326" customWidth="1"/>
    <col min="15117" max="15117" width="10" style="326" customWidth="1"/>
    <col min="15118" max="15118" width="10.875" style="326" customWidth="1"/>
    <col min="15119" max="15119" width="11.375" style="326" customWidth="1"/>
    <col min="15120" max="15120" width="15.375" style="326" customWidth="1"/>
    <col min="15121" max="15122" width="10.75" style="326" customWidth="1"/>
    <col min="15123" max="15123" width="14.375" style="326" customWidth="1"/>
    <col min="15124" max="15124" width="10.75" style="326" customWidth="1"/>
    <col min="15125" max="15125" width="11.75" style="326" customWidth="1"/>
    <col min="15126" max="15126" width="10" style="326" customWidth="1"/>
    <col min="15127" max="15127" width="15.375" style="326" customWidth="1"/>
    <col min="15128" max="15128" width="10" style="326" customWidth="1"/>
    <col min="15129" max="15129" width="10.75" style="326" customWidth="1"/>
    <col min="15130" max="15130" width="14.875" style="326" customWidth="1"/>
    <col min="15131" max="15131" width="11.5" style="326" customWidth="1"/>
    <col min="15132" max="15132" width="10" style="326" customWidth="1"/>
    <col min="15133" max="15133" width="10.75" style="326" customWidth="1"/>
    <col min="15134" max="15134" width="13.5" style="326" customWidth="1"/>
    <col min="15135" max="15135" width="9" style="326"/>
    <col min="15136" max="15136" width="10.75" style="326" bestFit="1" customWidth="1"/>
    <col min="15137" max="15137" width="13.75" style="326" customWidth="1"/>
    <col min="15138" max="15138" width="9" style="326"/>
    <col min="15139" max="15139" width="10.625" style="326" customWidth="1"/>
    <col min="15140" max="15140" width="9" style="326"/>
    <col min="15141" max="15141" width="14.25" style="326" customWidth="1"/>
    <col min="15142" max="15142" width="10.75" style="326" bestFit="1" customWidth="1"/>
    <col min="15143" max="15143" width="11.625" style="326" customWidth="1"/>
    <col min="15144" max="15144" width="13.75" style="326" customWidth="1"/>
    <col min="15145" max="15145" width="10.625" style="326" customWidth="1"/>
    <col min="15146" max="15147" width="9" style="326"/>
    <col min="15148" max="15148" width="14.125" style="326" customWidth="1"/>
    <col min="15149" max="15149" width="11" style="326" customWidth="1"/>
    <col min="15150" max="15150" width="10.75" style="326" bestFit="1" customWidth="1"/>
    <col min="15151" max="15151" width="13.5" style="326" customWidth="1"/>
    <col min="15152" max="15153" width="9" style="326"/>
    <col min="15154" max="15154" width="10.75" style="326" bestFit="1" customWidth="1"/>
    <col min="15155" max="15155" width="14" style="326" customWidth="1"/>
    <col min="15156" max="15156" width="9" style="326"/>
    <col min="15157" max="15157" width="10.75" style="326" customWidth="1"/>
    <col min="15158" max="15158" width="12.75" style="326" customWidth="1"/>
    <col min="15159" max="15159" width="9" style="326"/>
    <col min="15160" max="15160" width="10.75" style="326" bestFit="1" customWidth="1"/>
    <col min="15161" max="15161" width="11.5" style="326" customWidth="1"/>
    <col min="15162" max="15162" width="13.625" style="326" customWidth="1"/>
    <col min="15163" max="15163" width="10.625" style="326" customWidth="1"/>
    <col min="15164" max="15164" width="10.75" style="326" bestFit="1" customWidth="1"/>
    <col min="15165" max="15165" width="12.375" style="326" customWidth="1"/>
    <col min="15166" max="15168" width="9" style="326"/>
    <col min="15169" max="15169" width="15.75" style="326" customWidth="1"/>
    <col min="15170" max="15170" width="9" style="326"/>
    <col min="15171" max="15171" width="10.75" style="326" bestFit="1" customWidth="1"/>
    <col min="15172" max="15172" width="12.625" style="326" customWidth="1"/>
    <col min="15173" max="15175" width="9" style="326"/>
    <col min="15176" max="15176" width="13.625" style="326" customWidth="1"/>
    <col min="15177" max="15177" width="9" style="326"/>
    <col min="15178" max="15178" width="10.75" style="326" bestFit="1" customWidth="1"/>
    <col min="15179" max="15179" width="12.5" style="326" customWidth="1"/>
    <col min="15180" max="15182" width="9" style="326"/>
    <col min="15183" max="15183" width="12.875" style="326" customWidth="1"/>
    <col min="15184" max="15184" width="9" style="326"/>
    <col min="15185" max="15185" width="10.75" style="326" bestFit="1" customWidth="1"/>
    <col min="15186" max="15186" width="13.875" style="326" customWidth="1"/>
    <col min="15187" max="15189" width="9" style="326"/>
    <col min="15190" max="15190" width="14.125" style="326" customWidth="1"/>
    <col min="15191" max="15191" width="9" style="326"/>
    <col min="15192" max="15192" width="10.75" style="326" bestFit="1" customWidth="1"/>
    <col min="15193" max="15193" width="13.25" style="326" customWidth="1"/>
    <col min="15194" max="15196" width="9" style="326"/>
    <col min="15197" max="15197" width="13.25" style="326" customWidth="1"/>
    <col min="15198" max="15198" width="9" style="326"/>
    <col min="15199" max="15199" width="10.75" style="326" bestFit="1" customWidth="1"/>
    <col min="15200" max="15200" width="13.875" style="326" customWidth="1"/>
    <col min="15201" max="15203" width="9" style="326"/>
    <col min="15204" max="15204" width="13.625" style="326" customWidth="1"/>
    <col min="15205" max="15205" width="9" style="326"/>
    <col min="15206" max="15206" width="10.75" style="326" bestFit="1" customWidth="1"/>
    <col min="15207" max="15207" width="13" style="326" customWidth="1"/>
    <col min="15208" max="15354" width="9" style="326"/>
    <col min="15355" max="15356" width="12.125" style="326" customWidth="1"/>
    <col min="15357" max="15359" width="13" style="326" customWidth="1"/>
    <col min="15360" max="15360" width="12.875" style="326" customWidth="1"/>
    <col min="15361" max="15361" width="13" style="326" customWidth="1"/>
    <col min="15362" max="15362" width="13.125" style="326" customWidth="1"/>
    <col min="15363" max="15364" width="12.125" style="326" customWidth="1"/>
    <col min="15365" max="15365" width="14.375" style="326" bestFit="1" customWidth="1"/>
    <col min="15366" max="15366" width="11" style="326" customWidth="1"/>
    <col min="15367" max="15367" width="10" style="326" customWidth="1"/>
    <col min="15368" max="15368" width="10.875" style="326" customWidth="1"/>
    <col min="15369" max="15369" width="13.75" style="326" customWidth="1"/>
    <col min="15370" max="15370" width="10" style="326" customWidth="1"/>
    <col min="15371" max="15371" width="13.25" style="326" customWidth="1"/>
    <col min="15372" max="15372" width="14.375" style="326" customWidth="1"/>
    <col min="15373" max="15373" width="10" style="326" customWidth="1"/>
    <col min="15374" max="15374" width="10.875" style="326" customWidth="1"/>
    <col min="15375" max="15375" width="11.375" style="326" customWidth="1"/>
    <col min="15376" max="15376" width="15.375" style="326" customWidth="1"/>
    <col min="15377" max="15378" width="10.75" style="326" customWidth="1"/>
    <col min="15379" max="15379" width="14.375" style="326" customWidth="1"/>
    <col min="15380" max="15380" width="10.75" style="326" customWidth="1"/>
    <col min="15381" max="15381" width="11.75" style="326" customWidth="1"/>
    <col min="15382" max="15382" width="10" style="326" customWidth="1"/>
    <col min="15383" max="15383" width="15.375" style="326" customWidth="1"/>
    <col min="15384" max="15384" width="10" style="326" customWidth="1"/>
    <col min="15385" max="15385" width="10.75" style="326" customWidth="1"/>
    <col min="15386" max="15386" width="14.875" style="326" customWidth="1"/>
    <col min="15387" max="15387" width="11.5" style="326" customWidth="1"/>
    <col min="15388" max="15388" width="10" style="326" customWidth="1"/>
    <col min="15389" max="15389" width="10.75" style="326" customWidth="1"/>
    <col min="15390" max="15390" width="13.5" style="326" customWidth="1"/>
    <col min="15391" max="15391" width="9" style="326"/>
    <col min="15392" max="15392" width="10.75" style="326" bestFit="1" customWidth="1"/>
    <col min="15393" max="15393" width="13.75" style="326" customWidth="1"/>
    <col min="15394" max="15394" width="9" style="326"/>
    <col min="15395" max="15395" width="10.625" style="326" customWidth="1"/>
    <col min="15396" max="15396" width="9" style="326"/>
    <col min="15397" max="15397" width="14.25" style="326" customWidth="1"/>
    <col min="15398" max="15398" width="10.75" style="326" bestFit="1" customWidth="1"/>
    <col min="15399" max="15399" width="11.625" style="326" customWidth="1"/>
    <col min="15400" max="15400" width="13.75" style="326" customWidth="1"/>
    <col min="15401" max="15401" width="10.625" style="326" customWidth="1"/>
    <col min="15402" max="15403" width="9" style="326"/>
    <col min="15404" max="15404" width="14.125" style="326" customWidth="1"/>
    <col min="15405" max="15405" width="11" style="326" customWidth="1"/>
    <col min="15406" max="15406" width="10.75" style="326" bestFit="1" customWidth="1"/>
    <col min="15407" max="15407" width="13.5" style="326" customWidth="1"/>
    <col min="15408" max="15409" width="9" style="326"/>
    <col min="15410" max="15410" width="10.75" style="326" bestFit="1" customWidth="1"/>
    <col min="15411" max="15411" width="14" style="326" customWidth="1"/>
    <col min="15412" max="15412" width="9" style="326"/>
    <col min="15413" max="15413" width="10.75" style="326" customWidth="1"/>
    <col min="15414" max="15414" width="12.75" style="326" customWidth="1"/>
    <col min="15415" max="15415" width="9" style="326"/>
    <col min="15416" max="15416" width="10.75" style="326" bestFit="1" customWidth="1"/>
    <col min="15417" max="15417" width="11.5" style="326" customWidth="1"/>
    <col min="15418" max="15418" width="13.625" style="326" customWidth="1"/>
    <col min="15419" max="15419" width="10.625" style="326" customWidth="1"/>
    <col min="15420" max="15420" width="10.75" style="326" bestFit="1" customWidth="1"/>
    <col min="15421" max="15421" width="12.375" style="326" customWidth="1"/>
    <col min="15422" max="15424" width="9" style="326"/>
    <col min="15425" max="15425" width="15.75" style="326" customWidth="1"/>
    <col min="15426" max="15426" width="9" style="326"/>
    <col min="15427" max="15427" width="10.75" style="326" bestFit="1" customWidth="1"/>
    <col min="15428" max="15428" width="12.625" style="326" customWidth="1"/>
    <col min="15429" max="15431" width="9" style="326"/>
    <col min="15432" max="15432" width="13.625" style="326" customWidth="1"/>
    <col min="15433" max="15433" width="9" style="326"/>
    <col min="15434" max="15434" width="10.75" style="326" bestFit="1" customWidth="1"/>
    <col min="15435" max="15435" width="12.5" style="326" customWidth="1"/>
    <col min="15436" max="15438" width="9" style="326"/>
    <col min="15439" max="15439" width="12.875" style="326" customWidth="1"/>
    <col min="15440" max="15440" width="9" style="326"/>
    <col min="15441" max="15441" width="10.75" style="326" bestFit="1" customWidth="1"/>
    <col min="15442" max="15442" width="13.875" style="326" customWidth="1"/>
    <col min="15443" max="15445" width="9" style="326"/>
    <col min="15446" max="15446" width="14.125" style="326" customWidth="1"/>
    <col min="15447" max="15447" width="9" style="326"/>
    <col min="15448" max="15448" width="10.75" style="326" bestFit="1" customWidth="1"/>
    <col min="15449" max="15449" width="13.25" style="326" customWidth="1"/>
    <col min="15450" max="15452" width="9" style="326"/>
    <col min="15453" max="15453" width="13.25" style="326" customWidth="1"/>
    <col min="15454" max="15454" width="9" style="326"/>
    <col min="15455" max="15455" width="10.75" style="326" bestFit="1" customWidth="1"/>
    <col min="15456" max="15456" width="13.875" style="326" customWidth="1"/>
    <col min="15457" max="15459" width="9" style="326"/>
    <col min="15460" max="15460" width="13.625" style="326" customWidth="1"/>
    <col min="15461" max="15461" width="9" style="326"/>
    <col min="15462" max="15462" width="10.75" style="326" bestFit="1" customWidth="1"/>
    <col min="15463" max="15463" width="13" style="326" customWidth="1"/>
    <col min="15464" max="15610" width="9" style="326"/>
    <col min="15611" max="15612" width="12.125" style="326" customWidth="1"/>
    <col min="15613" max="15615" width="13" style="326" customWidth="1"/>
    <col min="15616" max="15616" width="12.875" style="326" customWidth="1"/>
    <col min="15617" max="15617" width="13" style="326" customWidth="1"/>
    <col min="15618" max="15618" width="13.125" style="326" customWidth="1"/>
    <col min="15619" max="15620" width="12.125" style="326" customWidth="1"/>
    <col min="15621" max="15621" width="14.375" style="326" bestFit="1" customWidth="1"/>
    <col min="15622" max="15622" width="11" style="326" customWidth="1"/>
    <col min="15623" max="15623" width="10" style="326" customWidth="1"/>
    <col min="15624" max="15624" width="10.875" style="326" customWidth="1"/>
    <col min="15625" max="15625" width="13.75" style="326" customWidth="1"/>
    <col min="15626" max="15626" width="10" style="326" customWidth="1"/>
    <col min="15627" max="15627" width="13.25" style="326" customWidth="1"/>
    <col min="15628" max="15628" width="14.375" style="326" customWidth="1"/>
    <col min="15629" max="15629" width="10" style="326" customWidth="1"/>
    <col min="15630" max="15630" width="10.875" style="326" customWidth="1"/>
    <col min="15631" max="15631" width="11.375" style="326" customWidth="1"/>
    <col min="15632" max="15632" width="15.375" style="326" customWidth="1"/>
    <col min="15633" max="15634" width="10.75" style="326" customWidth="1"/>
    <col min="15635" max="15635" width="14.375" style="326" customWidth="1"/>
    <col min="15636" max="15636" width="10.75" style="326" customWidth="1"/>
    <col min="15637" max="15637" width="11.75" style="326" customWidth="1"/>
    <col min="15638" max="15638" width="10" style="326" customWidth="1"/>
    <col min="15639" max="15639" width="15.375" style="326" customWidth="1"/>
    <col min="15640" max="15640" width="10" style="326" customWidth="1"/>
    <col min="15641" max="15641" width="10.75" style="326" customWidth="1"/>
    <col min="15642" max="15642" width="14.875" style="326" customWidth="1"/>
    <col min="15643" max="15643" width="11.5" style="326" customWidth="1"/>
    <col min="15644" max="15644" width="10" style="326" customWidth="1"/>
    <col min="15645" max="15645" width="10.75" style="326" customWidth="1"/>
    <col min="15646" max="15646" width="13.5" style="326" customWidth="1"/>
    <col min="15647" max="15647" width="9" style="326"/>
    <col min="15648" max="15648" width="10.75" style="326" bestFit="1" customWidth="1"/>
    <col min="15649" max="15649" width="13.75" style="326" customWidth="1"/>
    <col min="15650" max="15650" width="9" style="326"/>
    <col min="15651" max="15651" width="10.625" style="326" customWidth="1"/>
    <col min="15652" max="15652" width="9" style="326"/>
    <col min="15653" max="15653" width="14.25" style="326" customWidth="1"/>
    <col min="15654" max="15654" width="10.75" style="326" bestFit="1" customWidth="1"/>
    <col min="15655" max="15655" width="11.625" style="326" customWidth="1"/>
    <col min="15656" max="15656" width="13.75" style="326" customWidth="1"/>
    <col min="15657" max="15657" width="10.625" style="326" customWidth="1"/>
    <col min="15658" max="15659" width="9" style="326"/>
    <col min="15660" max="15660" width="14.125" style="326" customWidth="1"/>
    <col min="15661" max="15661" width="11" style="326" customWidth="1"/>
    <col min="15662" max="15662" width="10.75" style="326" bestFit="1" customWidth="1"/>
    <col min="15663" max="15663" width="13.5" style="326" customWidth="1"/>
    <col min="15664" max="15665" width="9" style="326"/>
    <col min="15666" max="15666" width="10.75" style="326" bestFit="1" customWidth="1"/>
    <col min="15667" max="15667" width="14" style="326" customWidth="1"/>
    <col min="15668" max="15668" width="9" style="326"/>
    <col min="15669" max="15669" width="10.75" style="326" customWidth="1"/>
    <col min="15670" max="15670" width="12.75" style="326" customWidth="1"/>
    <col min="15671" max="15671" width="9" style="326"/>
    <col min="15672" max="15672" width="10.75" style="326" bestFit="1" customWidth="1"/>
    <col min="15673" max="15673" width="11.5" style="326" customWidth="1"/>
    <col min="15674" max="15674" width="13.625" style="326" customWidth="1"/>
    <col min="15675" max="15675" width="10.625" style="326" customWidth="1"/>
    <col min="15676" max="15676" width="10.75" style="326" bestFit="1" customWidth="1"/>
    <col min="15677" max="15677" width="12.375" style="326" customWidth="1"/>
    <col min="15678" max="15680" width="9" style="326"/>
    <col min="15681" max="15681" width="15.75" style="326" customWidth="1"/>
    <col min="15682" max="15682" width="9" style="326"/>
    <col min="15683" max="15683" width="10.75" style="326" bestFit="1" customWidth="1"/>
    <col min="15684" max="15684" width="12.625" style="326" customWidth="1"/>
    <col min="15685" max="15687" width="9" style="326"/>
    <col min="15688" max="15688" width="13.625" style="326" customWidth="1"/>
    <col min="15689" max="15689" width="9" style="326"/>
    <col min="15690" max="15690" width="10.75" style="326" bestFit="1" customWidth="1"/>
    <col min="15691" max="15691" width="12.5" style="326" customWidth="1"/>
    <col min="15692" max="15694" width="9" style="326"/>
    <col min="15695" max="15695" width="12.875" style="326" customWidth="1"/>
    <col min="15696" max="15696" width="9" style="326"/>
    <col min="15697" max="15697" width="10.75" style="326" bestFit="1" customWidth="1"/>
    <col min="15698" max="15698" width="13.875" style="326" customWidth="1"/>
    <col min="15699" max="15701" width="9" style="326"/>
    <col min="15702" max="15702" width="14.125" style="326" customWidth="1"/>
    <col min="15703" max="15703" width="9" style="326"/>
    <col min="15704" max="15704" width="10.75" style="326" bestFit="1" customWidth="1"/>
    <col min="15705" max="15705" width="13.25" style="326" customWidth="1"/>
    <col min="15706" max="15708" width="9" style="326"/>
    <col min="15709" max="15709" width="13.25" style="326" customWidth="1"/>
    <col min="15710" max="15710" width="9" style="326"/>
    <col min="15711" max="15711" width="10.75" style="326" bestFit="1" customWidth="1"/>
    <col min="15712" max="15712" width="13.875" style="326" customWidth="1"/>
    <col min="15713" max="15715" width="9" style="326"/>
    <col min="15716" max="15716" width="13.625" style="326" customWidth="1"/>
    <col min="15717" max="15717" width="9" style="326"/>
    <col min="15718" max="15718" width="10.75" style="326" bestFit="1" customWidth="1"/>
    <col min="15719" max="15719" width="13" style="326" customWidth="1"/>
    <col min="15720" max="15866" width="9" style="326"/>
    <col min="15867" max="15868" width="12.125" style="326" customWidth="1"/>
    <col min="15869" max="15871" width="13" style="326" customWidth="1"/>
    <col min="15872" max="15872" width="12.875" style="326" customWidth="1"/>
    <col min="15873" max="15873" width="13" style="326" customWidth="1"/>
    <col min="15874" max="15874" width="13.125" style="326" customWidth="1"/>
    <col min="15875" max="15876" width="12.125" style="326" customWidth="1"/>
    <col min="15877" max="15877" width="14.375" style="326" bestFit="1" customWidth="1"/>
    <col min="15878" max="15878" width="11" style="326" customWidth="1"/>
    <col min="15879" max="15879" width="10" style="326" customWidth="1"/>
    <col min="15880" max="15880" width="10.875" style="326" customWidth="1"/>
    <col min="15881" max="15881" width="13.75" style="326" customWidth="1"/>
    <col min="15882" max="15882" width="10" style="326" customWidth="1"/>
    <col min="15883" max="15883" width="13.25" style="326" customWidth="1"/>
    <col min="15884" max="15884" width="14.375" style="326" customWidth="1"/>
    <col min="15885" max="15885" width="10" style="326" customWidth="1"/>
    <col min="15886" max="15886" width="10.875" style="326" customWidth="1"/>
    <col min="15887" max="15887" width="11.375" style="326" customWidth="1"/>
    <col min="15888" max="15888" width="15.375" style="326" customWidth="1"/>
    <col min="15889" max="15890" width="10.75" style="326" customWidth="1"/>
    <col min="15891" max="15891" width="14.375" style="326" customWidth="1"/>
    <col min="15892" max="15892" width="10.75" style="326" customWidth="1"/>
    <col min="15893" max="15893" width="11.75" style="326" customWidth="1"/>
    <col min="15894" max="15894" width="10" style="326" customWidth="1"/>
    <col min="15895" max="15895" width="15.375" style="326" customWidth="1"/>
    <col min="15896" max="15896" width="10" style="326" customWidth="1"/>
    <col min="15897" max="15897" width="10.75" style="326" customWidth="1"/>
    <col min="15898" max="15898" width="14.875" style="326" customWidth="1"/>
    <col min="15899" max="15899" width="11.5" style="326" customWidth="1"/>
    <col min="15900" max="15900" width="10" style="326" customWidth="1"/>
    <col min="15901" max="15901" width="10.75" style="326" customWidth="1"/>
    <col min="15902" max="15902" width="13.5" style="326" customWidth="1"/>
    <col min="15903" max="15903" width="9" style="326"/>
    <col min="15904" max="15904" width="10.75" style="326" bestFit="1" customWidth="1"/>
    <col min="15905" max="15905" width="13.75" style="326" customWidth="1"/>
    <col min="15906" max="15906" width="9" style="326"/>
    <col min="15907" max="15907" width="10.625" style="326" customWidth="1"/>
    <col min="15908" max="15908" width="9" style="326"/>
    <col min="15909" max="15909" width="14.25" style="326" customWidth="1"/>
    <col min="15910" max="15910" width="10.75" style="326" bestFit="1" customWidth="1"/>
    <col min="15911" max="15911" width="11.625" style="326" customWidth="1"/>
    <col min="15912" max="15912" width="13.75" style="326" customWidth="1"/>
    <col min="15913" max="15913" width="10.625" style="326" customWidth="1"/>
    <col min="15914" max="15915" width="9" style="326"/>
    <col min="15916" max="15916" width="14.125" style="326" customWidth="1"/>
    <col min="15917" max="15917" width="11" style="326" customWidth="1"/>
    <col min="15918" max="15918" width="10.75" style="326" bestFit="1" customWidth="1"/>
    <col min="15919" max="15919" width="13.5" style="326" customWidth="1"/>
    <col min="15920" max="15921" width="9" style="326"/>
    <col min="15922" max="15922" width="10.75" style="326" bestFit="1" customWidth="1"/>
    <col min="15923" max="15923" width="14" style="326" customWidth="1"/>
    <col min="15924" max="15924" width="9" style="326"/>
    <col min="15925" max="15925" width="10.75" style="326" customWidth="1"/>
    <col min="15926" max="15926" width="12.75" style="326" customWidth="1"/>
    <col min="15927" max="15927" width="9" style="326"/>
    <col min="15928" max="15928" width="10.75" style="326" bestFit="1" customWidth="1"/>
    <col min="15929" max="15929" width="11.5" style="326" customWidth="1"/>
    <col min="15930" max="15930" width="13.625" style="326" customWidth="1"/>
    <col min="15931" max="15931" width="10.625" style="326" customWidth="1"/>
    <col min="15932" max="15932" width="10.75" style="326" bestFit="1" customWidth="1"/>
    <col min="15933" max="15933" width="12.375" style="326" customWidth="1"/>
    <col min="15934" max="15936" width="9" style="326"/>
    <col min="15937" max="15937" width="15.75" style="326" customWidth="1"/>
    <col min="15938" max="15938" width="9" style="326"/>
    <col min="15939" max="15939" width="10.75" style="326" bestFit="1" customWidth="1"/>
    <col min="15940" max="15940" width="12.625" style="326" customWidth="1"/>
    <col min="15941" max="15943" width="9" style="326"/>
    <col min="15944" max="15944" width="13.625" style="326" customWidth="1"/>
    <col min="15945" max="15945" width="9" style="326"/>
    <col min="15946" max="15946" width="10.75" style="326" bestFit="1" customWidth="1"/>
    <col min="15947" max="15947" width="12.5" style="326" customWidth="1"/>
    <col min="15948" max="15950" width="9" style="326"/>
    <col min="15951" max="15951" width="12.875" style="326" customWidth="1"/>
    <col min="15952" max="15952" width="9" style="326"/>
    <col min="15953" max="15953" width="10.75" style="326" bestFit="1" customWidth="1"/>
    <col min="15954" max="15954" width="13.875" style="326" customWidth="1"/>
    <col min="15955" max="15957" width="9" style="326"/>
    <col min="15958" max="15958" width="14.125" style="326" customWidth="1"/>
    <col min="15959" max="15959" width="9" style="326"/>
    <col min="15960" max="15960" width="10.75" style="326" bestFit="1" customWidth="1"/>
    <col min="15961" max="15961" width="13.25" style="326" customWidth="1"/>
    <col min="15962" max="15964" width="9" style="326"/>
    <col min="15965" max="15965" width="13.25" style="326" customWidth="1"/>
    <col min="15966" max="15966" width="9" style="326"/>
    <col min="15967" max="15967" width="10.75" style="326" bestFit="1" customWidth="1"/>
    <col min="15968" max="15968" width="13.875" style="326" customWidth="1"/>
    <col min="15969" max="15971" width="9" style="326"/>
    <col min="15972" max="15972" width="13.625" style="326" customWidth="1"/>
    <col min="15973" max="15973" width="9" style="326"/>
    <col min="15974" max="15974" width="10.75" style="326" bestFit="1" customWidth="1"/>
    <col min="15975" max="15975" width="13" style="326" customWidth="1"/>
    <col min="15976" max="16122" width="9" style="326"/>
    <col min="16123" max="16124" width="12.125" style="326" customWidth="1"/>
    <col min="16125" max="16127" width="13" style="326" customWidth="1"/>
    <col min="16128" max="16128" width="12.875" style="326" customWidth="1"/>
    <col min="16129" max="16129" width="13" style="326" customWidth="1"/>
    <col min="16130" max="16130" width="13.125" style="326" customWidth="1"/>
    <col min="16131" max="16132" width="12.125" style="326" customWidth="1"/>
    <col min="16133" max="16133" width="14.375" style="326" bestFit="1" customWidth="1"/>
    <col min="16134" max="16134" width="11" style="326" customWidth="1"/>
    <col min="16135" max="16135" width="10" style="326" customWidth="1"/>
    <col min="16136" max="16136" width="10.875" style="326" customWidth="1"/>
    <col min="16137" max="16137" width="13.75" style="326" customWidth="1"/>
    <col min="16138" max="16138" width="10" style="326" customWidth="1"/>
    <col min="16139" max="16139" width="13.25" style="326" customWidth="1"/>
    <col min="16140" max="16140" width="14.375" style="326" customWidth="1"/>
    <col min="16141" max="16141" width="10" style="326" customWidth="1"/>
    <col min="16142" max="16142" width="10.875" style="326" customWidth="1"/>
    <col min="16143" max="16143" width="11.375" style="326" customWidth="1"/>
    <col min="16144" max="16144" width="15.375" style="326" customWidth="1"/>
    <col min="16145" max="16146" width="10.75" style="326" customWidth="1"/>
    <col min="16147" max="16147" width="14.375" style="326" customWidth="1"/>
    <col min="16148" max="16148" width="10.75" style="326" customWidth="1"/>
    <col min="16149" max="16149" width="11.75" style="326" customWidth="1"/>
    <col min="16150" max="16150" width="10" style="326" customWidth="1"/>
    <col min="16151" max="16151" width="15.375" style="326" customWidth="1"/>
    <col min="16152" max="16152" width="10" style="326" customWidth="1"/>
    <col min="16153" max="16153" width="10.75" style="326" customWidth="1"/>
    <col min="16154" max="16154" width="14.875" style="326" customWidth="1"/>
    <col min="16155" max="16155" width="11.5" style="326" customWidth="1"/>
    <col min="16156" max="16156" width="10" style="326" customWidth="1"/>
    <col min="16157" max="16157" width="10.75" style="326" customWidth="1"/>
    <col min="16158" max="16158" width="13.5" style="326" customWidth="1"/>
    <col min="16159" max="16159" width="9" style="326"/>
    <col min="16160" max="16160" width="10.75" style="326" bestFit="1" customWidth="1"/>
    <col min="16161" max="16161" width="13.75" style="326" customWidth="1"/>
    <col min="16162" max="16162" width="9" style="326"/>
    <col min="16163" max="16163" width="10.625" style="326" customWidth="1"/>
    <col min="16164" max="16164" width="9" style="326"/>
    <col min="16165" max="16165" width="14.25" style="326" customWidth="1"/>
    <col min="16166" max="16166" width="10.75" style="326" bestFit="1" customWidth="1"/>
    <col min="16167" max="16167" width="11.625" style="326" customWidth="1"/>
    <col min="16168" max="16168" width="13.75" style="326" customWidth="1"/>
    <col min="16169" max="16169" width="10.625" style="326" customWidth="1"/>
    <col min="16170" max="16171" width="9" style="326"/>
    <col min="16172" max="16172" width="14.125" style="326" customWidth="1"/>
    <col min="16173" max="16173" width="11" style="326" customWidth="1"/>
    <col min="16174" max="16174" width="10.75" style="326" bestFit="1" customWidth="1"/>
    <col min="16175" max="16175" width="13.5" style="326" customWidth="1"/>
    <col min="16176" max="16177" width="9" style="326"/>
    <col min="16178" max="16178" width="10.75" style="326" bestFit="1" customWidth="1"/>
    <col min="16179" max="16179" width="14" style="326" customWidth="1"/>
    <col min="16180" max="16180" width="9" style="326"/>
    <col min="16181" max="16181" width="10.75" style="326" customWidth="1"/>
    <col min="16182" max="16182" width="12.75" style="326" customWidth="1"/>
    <col min="16183" max="16183" width="9" style="326"/>
    <col min="16184" max="16184" width="10.75" style="326" bestFit="1" customWidth="1"/>
    <col min="16185" max="16185" width="11.5" style="326" customWidth="1"/>
    <col min="16186" max="16186" width="13.625" style="326" customWidth="1"/>
    <col min="16187" max="16187" width="10.625" style="326" customWidth="1"/>
    <col min="16188" max="16188" width="10.75" style="326" bestFit="1" customWidth="1"/>
    <col min="16189" max="16189" width="12.375" style="326" customWidth="1"/>
    <col min="16190" max="16192" width="9" style="326"/>
    <col min="16193" max="16193" width="15.75" style="326" customWidth="1"/>
    <col min="16194" max="16194" width="9" style="326"/>
    <col min="16195" max="16195" width="10.75" style="326" bestFit="1" customWidth="1"/>
    <col min="16196" max="16196" width="12.625" style="326" customWidth="1"/>
    <col min="16197" max="16199" width="9" style="326"/>
    <col min="16200" max="16200" width="13.625" style="326" customWidth="1"/>
    <col min="16201" max="16201" width="9" style="326"/>
    <col min="16202" max="16202" width="10.75" style="326" bestFit="1" customWidth="1"/>
    <col min="16203" max="16203" width="12.5" style="326" customWidth="1"/>
    <col min="16204" max="16206" width="9" style="326"/>
    <col min="16207" max="16207" width="12.875" style="326" customWidth="1"/>
    <col min="16208" max="16208" width="9" style="326"/>
    <col min="16209" max="16209" width="10.75" style="326" bestFit="1" customWidth="1"/>
    <col min="16210" max="16210" width="13.875" style="326" customWidth="1"/>
    <col min="16211" max="16213" width="9" style="326"/>
    <col min="16214" max="16214" width="14.125" style="326" customWidth="1"/>
    <col min="16215" max="16215" width="9" style="326"/>
    <col min="16216" max="16216" width="10.75" style="326" bestFit="1" customWidth="1"/>
    <col min="16217" max="16217" width="13.25" style="326" customWidth="1"/>
    <col min="16218" max="16220" width="9" style="326"/>
    <col min="16221" max="16221" width="13.25" style="326" customWidth="1"/>
    <col min="16222" max="16222" width="9" style="326"/>
    <col min="16223" max="16223" width="10.75" style="326" bestFit="1" customWidth="1"/>
    <col min="16224" max="16224" width="13.875" style="326" customWidth="1"/>
    <col min="16225" max="16227" width="9" style="326"/>
    <col min="16228" max="16228" width="13.625" style="326" customWidth="1"/>
    <col min="16229" max="16229" width="9" style="326"/>
    <col min="16230" max="16230" width="10.75" style="326" bestFit="1" customWidth="1"/>
    <col min="16231" max="16231" width="13" style="326" customWidth="1"/>
    <col min="16232" max="16384" width="9" style="326"/>
  </cols>
  <sheetData>
    <row r="1" spans="1:41" ht="18.75" customHeight="1">
      <c r="D1" s="325" t="s">
        <v>262</v>
      </c>
      <c r="E1" s="327">
        <f>A5</f>
        <v>2006</v>
      </c>
      <c r="F1" s="326" t="s">
        <v>345</v>
      </c>
      <c r="G1" s="328">
        <v>0</v>
      </c>
      <c r="H1" s="329"/>
      <c r="I1" s="328"/>
    </row>
    <row r="2" spans="1:41" ht="24.95" customHeight="1">
      <c r="A2" s="330" t="s">
        <v>2249</v>
      </c>
      <c r="C2" s="330"/>
    </row>
    <row r="3" spans="1:41" ht="9.9499999999999993" customHeight="1">
      <c r="A3" s="2262"/>
      <c r="B3" s="425"/>
      <c r="C3" s="426"/>
      <c r="D3" s="426"/>
      <c r="E3" s="426"/>
      <c r="F3" s="426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2"/>
      <c r="Z3" s="331"/>
      <c r="AA3" s="332"/>
      <c r="AB3" s="333"/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1"/>
      <c r="AN3" s="331"/>
      <c r="AO3" s="332"/>
    </row>
    <row r="4" spans="1:41" s="344" customFormat="1" ht="14.1" customHeight="1">
      <c r="A4" s="334" t="s">
        <v>264</v>
      </c>
      <c r="B4" s="335" t="s">
        <v>265</v>
      </c>
      <c r="C4" s="336" t="s">
        <v>266</v>
      </c>
      <c r="D4" s="337" t="s">
        <v>267</v>
      </c>
      <c r="E4" s="337" t="s">
        <v>268</v>
      </c>
      <c r="F4" s="338" t="s">
        <v>269</v>
      </c>
      <c r="G4" s="339" t="s">
        <v>270</v>
      </c>
      <c r="H4" s="340" t="s">
        <v>271</v>
      </c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41"/>
      <c r="W4" s="341"/>
      <c r="X4" s="341"/>
      <c r="Y4" s="342"/>
      <c r="Z4" s="341"/>
      <c r="AA4" s="342"/>
      <c r="AB4" s="343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341"/>
      <c r="AN4" s="341"/>
      <c r="AO4" s="342"/>
    </row>
    <row r="5" spans="1:41" s="344" customFormat="1" ht="14.1" customHeight="1">
      <c r="A5" s="345">
        <v>2006</v>
      </c>
      <c r="B5" s="1910">
        <f>+'1.1.2 인구분석'!E168</f>
        <v>10733</v>
      </c>
      <c r="C5" s="347">
        <f>I65</f>
        <v>10662</v>
      </c>
      <c r="D5" s="348">
        <f>I104</f>
        <v>10664</v>
      </c>
      <c r="E5" s="349">
        <f>I142</f>
        <v>10551</v>
      </c>
      <c r="F5" s="350">
        <f>I178</f>
        <v>10661</v>
      </c>
      <c r="G5" s="351">
        <f t="shared" ref="G5:G34" si="0">ROUND(SUMIF(C$38:H$38,"○",C5:H5),$G$1)</f>
        <v>21323</v>
      </c>
      <c r="H5" s="352">
        <f>B5</f>
        <v>10733</v>
      </c>
      <c r="I5" s="2316" t="s">
        <v>272</v>
      </c>
      <c r="J5" s="2317"/>
      <c r="K5" s="353"/>
      <c r="L5" s="341"/>
      <c r="M5" s="341"/>
      <c r="N5" s="341"/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2"/>
      <c r="Z5" s="341"/>
      <c r="AA5" s="342"/>
      <c r="AB5" s="343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2"/>
    </row>
    <row r="6" spans="1:41" s="344" customFormat="1" ht="14.1" customHeight="1">
      <c r="A6" s="354">
        <v>2007</v>
      </c>
      <c r="B6" s="355">
        <f>+'1.1.2 인구분석'!E169</f>
        <v>10864</v>
      </c>
      <c r="C6" s="356">
        <f t="shared" ref="C6:C37" si="1">I66</f>
        <v>10748</v>
      </c>
      <c r="D6" s="357">
        <f t="shared" ref="D6:D37" si="2">I105</f>
        <v>10748</v>
      </c>
      <c r="E6" s="358">
        <f t="shared" ref="E6:E37" si="3">I143</f>
        <v>10768</v>
      </c>
      <c r="F6" s="359">
        <f t="shared" ref="F6:F37" si="4">I179</f>
        <v>10748</v>
      </c>
      <c r="G6" s="351">
        <f t="shared" si="0"/>
        <v>21496</v>
      </c>
      <c r="H6" s="352">
        <f>B6</f>
        <v>10864</v>
      </c>
      <c r="I6" s="360" t="s">
        <v>273</v>
      </c>
      <c r="J6" s="361">
        <f>ROUND(((B15/B10)^(1/(A15-A10))-1)*100,2)</f>
        <v>0.32</v>
      </c>
      <c r="K6" s="353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2"/>
      <c r="Z6" s="341"/>
      <c r="AA6" s="342"/>
      <c r="AB6" s="343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2"/>
    </row>
    <row r="7" spans="1:41" s="344" customFormat="1" ht="14.1" customHeight="1">
      <c r="A7" s="354">
        <v>2008</v>
      </c>
      <c r="B7" s="355">
        <f>+'1.1.2 인구분석'!E170</f>
        <v>10686</v>
      </c>
      <c r="C7" s="356">
        <f t="shared" si="1"/>
        <v>10835</v>
      </c>
      <c r="D7" s="357">
        <f t="shared" si="2"/>
        <v>10832</v>
      </c>
      <c r="E7" s="358">
        <f t="shared" si="3"/>
        <v>10903</v>
      </c>
      <c r="F7" s="359">
        <f t="shared" si="4"/>
        <v>10835</v>
      </c>
      <c r="G7" s="351">
        <f t="shared" si="0"/>
        <v>21670</v>
      </c>
      <c r="H7" s="352">
        <f t="shared" ref="H7:H15" si="5">B7</f>
        <v>10686</v>
      </c>
      <c r="I7" s="360" t="s">
        <v>274</v>
      </c>
      <c r="J7" s="360">
        <f>ROUND(((B15/B5)^(1/(A15-A5))-1)*100,2)</f>
        <v>0.6</v>
      </c>
      <c r="K7" s="353"/>
      <c r="L7" s="362"/>
      <c r="M7" s="363"/>
      <c r="N7" s="341"/>
      <c r="O7" s="341"/>
      <c r="P7" s="341"/>
      <c r="Q7" s="341"/>
      <c r="R7" s="341"/>
      <c r="S7" s="341"/>
      <c r="T7" s="341"/>
      <c r="U7" s="341"/>
      <c r="V7" s="341"/>
      <c r="W7" s="341"/>
      <c r="X7" s="341"/>
      <c r="Y7" s="342"/>
      <c r="Z7" s="341"/>
      <c r="AA7" s="342"/>
      <c r="AB7" s="343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2"/>
    </row>
    <row r="8" spans="1:41" s="344" customFormat="1" ht="14.1" customHeight="1">
      <c r="A8" s="354">
        <v>2009</v>
      </c>
      <c r="B8" s="355">
        <f>+'1.1.2 인구분석'!E171</f>
        <v>10539</v>
      </c>
      <c r="C8" s="356">
        <f t="shared" si="1"/>
        <v>10921</v>
      </c>
      <c r="D8" s="357">
        <f t="shared" si="2"/>
        <v>10917</v>
      </c>
      <c r="E8" s="358">
        <f t="shared" si="3"/>
        <v>11004</v>
      </c>
      <c r="F8" s="359">
        <f t="shared" si="4"/>
        <v>10922</v>
      </c>
      <c r="G8" s="351">
        <f t="shared" si="0"/>
        <v>21843</v>
      </c>
      <c r="H8" s="352">
        <f t="shared" si="5"/>
        <v>10539</v>
      </c>
      <c r="I8" s="341"/>
      <c r="J8" s="341"/>
      <c r="K8" s="341"/>
      <c r="L8" s="341"/>
      <c r="M8" s="341"/>
      <c r="N8" s="341"/>
      <c r="O8" s="341"/>
      <c r="P8" s="341"/>
      <c r="Q8" s="341"/>
      <c r="R8" s="341"/>
      <c r="S8" s="341"/>
      <c r="T8" s="341"/>
      <c r="U8" s="341"/>
      <c r="V8" s="341"/>
      <c r="W8" s="341"/>
      <c r="X8" s="341"/>
      <c r="Y8" s="342"/>
      <c r="Z8" s="341"/>
      <c r="AA8" s="342"/>
      <c r="AB8" s="343"/>
      <c r="AC8" s="341"/>
      <c r="AD8" s="341"/>
      <c r="AE8" s="341"/>
      <c r="AF8" s="341"/>
      <c r="AG8" s="341"/>
      <c r="AH8" s="341"/>
      <c r="AI8" s="341"/>
      <c r="AJ8" s="341"/>
      <c r="AK8" s="341"/>
      <c r="AL8" s="341"/>
      <c r="AM8" s="341"/>
      <c r="AN8" s="341"/>
      <c r="AO8" s="342"/>
    </row>
    <row r="9" spans="1:41" s="344" customFormat="1" ht="14.1" customHeight="1">
      <c r="A9" s="354">
        <v>2010</v>
      </c>
      <c r="B9" s="355">
        <f>+'1.1.2 인구분석'!E172</f>
        <v>11040</v>
      </c>
      <c r="C9" s="356">
        <f t="shared" si="1"/>
        <v>11008</v>
      </c>
      <c r="D9" s="357">
        <f t="shared" si="2"/>
        <v>11003</v>
      </c>
      <c r="E9" s="358">
        <f t="shared" si="3"/>
        <v>11084</v>
      </c>
      <c r="F9" s="359">
        <f t="shared" si="4"/>
        <v>11009</v>
      </c>
      <c r="G9" s="351">
        <f t="shared" si="0"/>
        <v>22017</v>
      </c>
      <c r="H9" s="352">
        <f t="shared" si="5"/>
        <v>11040</v>
      </c>
      <c r="I9" s="341"/>
      <c r="J9" s="341"/>
      <c r="K9" s="353"/>
      <c r="L9" s="341"/>
      <c r="M9" s="341"/>
      <c r="N9" s="341"/>
      <c r="O9" s="341"/>
      <c r="P9" s="341"/>
      <c r="Q9" s="341"/>
      <c r="R9" s="341"/>
      <c r="S9" s="341"/>
      <c r="T9" s="341"/>
      <c r="U9" s="341"/>
      <c r="V9" s="341"/>
      <c r="W9" s="341"/>
      <c r="X9" s="341"/>
      <c r="Y9" s="342"/>
      <c r="Z9" s="341"/>
      <c r="AA9" s="342"/>
      <c r="AB9" s="343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2"/>
    </row>
    <row r="10" spans="1:41" s="344" customFormat="1" ht="14.1" customHeight="1">
      <c r="A10" s="354">
        <v>2011</v>
      </c>
      <c r="B10" s="355">
        <f>+'1.1.2 인구분석'!E173</f>
        <v>11213</v>
      </c>
      <c r="C10" s="356">
        <f t="shared" si="1"/>
        <v>11094</v>
      </c>
      <c r="D10" s="357">
        <f t="shared" si="2"/>
        <v>11090</v>
      </c>
      <c r="E10" s="358">
        <f t="shared" si="3"/>
        <v>11151</v>
      </c>
      <c r="F10" s="359">
        <f t="shared" si="4"/>
        <v>11095</v>
      </c>
      <c r="G10" s="351">
        <f t="shared" si="0"/>
        <v>22189</v>
      </c>
      <c r="H10" s="352">
        <f t="shared" si="5"/>
        <v>11213</v>
      </c>
      <c r="I10" s="341"/>
      <c r="J10" s="341"/>
      <c r="K10" s="353"/>
      <c r="L10" s="341"/>
      <c r="M10" s="341"/>
      <c r="N10" s="341"/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2"/>
      <c r="Z10" s="341"/>
      <c r="AA10" s="342"/>
      <c r="AB10" s="343"/>
      <c r="AC10" s="341"/>
      <c r="AD10" s="341"/>
      <c r="AE10" s="341"/>
      <c r="AF10" s="341"/>
      <c r="AG10" s="341"/>
      <c r="AH10" s="341"/>
      <c r="AI10" s="341"/>
      <c r="AJ10" s="341"/>
      <c r="AK10" s="341"/>
      <c r="AL10" s="341"/>
      <c r="AM10" s="341"/>
      <c r="AN10" s="341"/>
      <c r="AO10" s="342"/>
    </row>
    <row r="11" spans="1:41" s="344" customFormat="1" ht="14.1" customHeight="1">
      <c r="A11" s="354">
        <v>2012</v>
      </c>
      <c r="B11" s="355">
        <f>+'1.1.2 인구분석'!E174</f>
        <v>11405</v>
      </c>
      <c r="C11" s="356">
        <f t="shared" si="1"/>
        <v>11181</v>
      </c>
      <c r="D11" s="357">
        <f t="shared" si="2"/>
        <v>11177</v>
      </c>
      <c r="E11" s="358">
        <f t="shared" si="3"/>
        <v>11209</v>
      </c>
      <c r="F11" s="359">
        <f t="shared" si="4"/>
        <v>11182</v>
      </c>
      <c r="G11" s="351">
        <f t="shared" si="0"/>
        <v>22363</v>
      </c>
      <c r="H11" s="352">
        <f t="shared" si="5"/>
        <v>11405</v>
      </c>
      <c r="I11" s="341"/>
      <c r="J11" s="341"/>
      <c r="K11" s="353"/>
      <c r="L11" s="341"/>
      <c r="M11" s="341"/>
      <c r="N11" s="341"/>
      <c r="O11" s="341"/>
      <c r="P11" s="341"/>
      <c r="Q11" s="341"/>
      <c r="R11" s="341"/>
      <c r="S11" s="341"/>
      <c r="T11" s="341"/>
      <c r="U11" s="341"/>
      <c r="V11" s="341"/>
      <c r="W11" s="341"/>
      <c r="X11" s="341"/>
      <c r="Y11" s="342"/>
      <c r="Z11" s="341"/>
      <c r="AA11" s="342"/>
      <c r="AB11" s="343"/>
      <c r="AC11" s="341"/>
      <c r="AD11" s="341"/>
      <c r="AE11" s="341"/>
      <c r="AF11" s="341"/>
      <c r="AG11" s="341"/>
      <c r="AH11" s="341"/>
      <c r="AI11" s="341"/>
      <c r="AJ11" s="341"/>
      <c r="AK11" s="341"/>
      <c r="AL11" s="341"/>
      <c r="AM11" s="341"/>
      <c r="AN11" s="341"/>
      <c r="AO11" s="342"/>
    </row>
    <row r="12" spans="1:41" s="344" customFormat="1" ht="14.1" customHeight="1">
      <c r="A12" s="354">
        <v>2013</v>
      </c>
      <c r="B12" s="355">
        <f>+'1.1.2 인구분석'!E175</f>
        <v>11441</v>
      </c>
      <c r="C12" s="356">
        <f t="shared" si="1"/>
        <v>11267</v>
      </c>
      <c r="D12" s="357">
        <f t="shared" si="2"/>
        <v>11265</v>
      </c>
      <c r="E12" s="358">
        <f t="shared" si="3"/>
        <v>11259</v>
      </c>
      <c r="F12" s="359">
        <f t="shared" si="4"/>
        <v>11268</v>
      </c>
      <c r="G12" s="351">
        <f t="shared" si="0"/>
        <v>22535</v>
      </c>
      <c r="H12" s="352">
        <f t="shared" si="5"/>
        <v>11441</v>
      </c>
      <c r="I12" s="341"/>
      <c r="J12" s="341"/>
      <c r="K12" s="353"/>
      <c r="L12" s="341"/>
      <c r="M12" s="341"/>
      <c r="N12" s="341"/>
      <c r="O12" s="341"/>
      <c r="P12" s="341"/>
      <c r="Q12" s="341"/>
      <c r="R12" s="341"/>
      <c r="S12" s="341"/>
      <c r="T12" s="341"/>
      <c r="U12" s="341"/>
      <c r="V12" s="341"/>
      <c r="W12" s="341"/>
      <c r="X12" s="341"/>
      <c r="Y12" s="342"/>
      <c r="Z12" s="341"/>
      <c r="AA12" s="342"/>
      <c r="AB12" s="343"/>
      <c r="AC12" s="341"/>
      <c r="AD12" s="341"/>
      <c r="AE12" s="341"/>
      <c r="AF12" s="341"/>
      <c r="AG12" s="341"/>
      <c r="AH12" s="341"/>
      <c r="AI12" s="341"/>
      <c r="AJ12" s="341"/>
      <c r="AK12" s="341"/>
      <c r="AL12" s="341"/>
      <c r="AM12" s="341"/>
      <c r="AN12" s="341"/>
      <c r="AO12" s="342"/>
    </row>
    <row r="13" spans="1:41" s="344" customFormat="1" ht="14.1" customHeight="1">
      <c r="A13" s="354">
        <v>2014</v>
      </c>
      <c r="B13" s="355">
        <f>+'1.1.2 인구분석'!E176</f>
        <v>11333</v>
      </c>
      <c r="C13" s="356">
        <f t="shared" si="1"/>
        <v>11354</v>
      </c>
      <c r="D13" s="357">
        <f t="shared" si="2"/>
        <v>11353</v>
      </c>
      <c r="E13" s="358">
        <f t="shared" si="3"/>
        <v>11305</v>
      </c>
      <c r="F13" s="359">
        <f t="shared" si="4"/>
        <v>11354</v>
      </c>
      <c r="G13" s="351">
        <f t="shared" si="0"/>
        <v>22708</v>
      </c>
      <c r="H13" s="352">
        <f t="shared" si="5"/>
        <v>11333</v>
      </c>
      <c r="I13" s="341"/>
      <c r="J13" s="341"/>
      <c r="K13" s="353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2"/>
      <c r="Z13" s="341"/>
      <c r="AA13" s="342"/>
      <c r="AB13" s="343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2"/>
    </row>
    <row r="14" spans="1:41" s="344" customFormat="1" ht="14.1" customHeight="1">
      <c r="A14" s="386">
        <v>2015</v>
      </c>
      <c r="B14" s="2071">
        <f>+'1.1.2 인구분석'!E177</f>
        <v>11390</v>
      </c>
      <c r="C14" s="2072">
        <f t="shared" si="1"/>
        <v>11440</v>
      </c>
      <c r="D14" s="2073">
        <f t="shared" si="2"/>
        <v>11442</v>
      </c>
      <c r="E14" s="2074">
        <f t="shared" si="3"/>
        <v>11346</v>
      </c>
      <c r="F14" s="2075">
        <f t="shared" si="4"/>
        <v>11440</v>
      </c>
      <c r="G14" s="2076">
        <f t="shared" si="0"/>
        <v>22880</v>
      </c>
      <c r="H14" s="2077">
        <f t="shared" si="5"/>
        <v>11390</v>
      </c>
      <c r="I14" s="383"/>
      <c r="J14" s="383"/>
      <c r="K14" s="2078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2079"/>
      <c r="Z14" s="341"/>
      <c r="AA14" s="342"/>
      <c r="AB14" s="343"/>
      <c r="AC14" s="341"/>
      <c r="AD14" s="341"/>
      <c r="AE14" s="341"/>
      <c r="AF14" s="341"/>
      <c r="AG14" s="341"/>
      <c r="AH14" s="341"/>
      <c r="AI14" s="341"/>
      <c r="AJ14" s="341"/>
      <c r="AK14" s="341"/>
      <c r="AL14" s="341"/>
      <c r="AM14" s="341"/>
      <c r="AN14" s="341"/>
      <c r="AO14" s="342"/>
    </row>
    <row r="15" spans="1:41" s="344" customFormat="1" ht="14.1" customHeight="1" thickBot="1">
      <c r="A15" s="2010">
        <v>2016</v>
      </c>
      <c r="B15" s="1911">
        <f>+'1.1.2 인구분석'!E178</f>
        <v>11393</v>
      </c>
      <c r="C15" s="2011">
        <f t="shared" si="1"/>
        <v>11527</v>
      </c>
      <c r="D15" s="2012">
        <f t="shared" si="2"/>
        <v>11532</v>
      </c>
      <c r="E15" s="2011">
        <f t="shared" si="3"/>
        <v>11384</v>
      </c>
      <c r="F15" s="2013">
        <f t="shared" si="4"/>
        <v>11525</v>
      </c>
      <c r="G15" s="351">
        <f t="shared" si="0"/>
        <v>23052</v>
      </c>
      <c r="H15" s="352">
        <f t="shared" si="5"/>
        <v>11393</v>
      </c>
      <c r="I15" s="341"/>
      <c r="J15" s="341"/>
      <c r="K15" s="353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2"/>
      <c r="AB15" s="343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  <c r="AN15" s="341"/>
      <c r="AO15" s="342"/>
    </row>
    <row r="16" spans="1:41" s="344" customFormat="1" ht="14.1" customHeight="1" thickTop="1">
      <c r="A16" s="2114">
        <v>2017</v>
      </c>
      <c r="B16" s="2115"/>
      <c r="C16" s="2116">
        <f t="shared" si="1"/>
        <v>11613</v>
      </c>
      <c r="D16" s="2117">
        <f t="shared" si="2"/>
        <v>11623</v>
      </c>
      <c r="E16" s="2116">
        <f t="shared" si="3"/>
        <v>11419</v>
      </c>
      <c r="F16" s="2118">
        <f t="shared" si="4"/>
        <v>11611</v>
      </c>
      <c r="G16" s="364">
        <f t="shared" si="0"/>
        <v>23224</v>
      </c>
      <c r="H16" s="365"/>
      <c r="I16" s="341"/>
      <c r="J16" s="341"/>
      <c r="K16" s="353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2"/>
      <c r="AB16" s="343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  <c r="AM16" s="341"/>
      <c r="AN16" s="341"/>
      <c r="AO16" s="342"/>
    </row>
    <row r="17" spans="1:41" s="381" customFormat="1" ht="14.1" customHeight="1">
      <c r="A17" s="345">
        <v>2018</v>
      </c>
      <c r="B17" s="346"/>
      <c r="C17" s="347">
        <f t="shared" si="1"/>
        <v>11700</v>
      </c>
      <c r="D17" s="2168">
        <f t="shared" si="2"/>
        <v>11714</v>
      </c>
      <c r="E17" s="347">
        <f t="shared" si="3"/>
        <v>11452</v>
      </c>
      <c r="F17" s="2169">
        <f t="shared" si="4"/>
        <v>11696</v>
      </c>
      <c r="G17" s="2170">
        <f t="shared" si="0"/>
        <v>23396</v>
      </c>
      <c r="H17" s="2171"/>
      <c r="I17" s="2172"/>
      <c r="J17" s="2172"/>
      <c r="K17" s="2173"/>
      <c r="L17" s="2172"/>
      <c r="M17" s="2172"/>
      <c r="N17" s="2172"/>
      <c r="O17" s="2172"/>
      <c r="P17" s="2172"/>
      <c r="Q17" s="2172"/>
      <c r="R17" s="2172"/>
      <c r="S17" s="2172"/>
      <c r="T17" s="2172"/>
      <c r="U17" s="2172"/>
      <c r="V17" s="2172"/>
      <c r="W17" s="2172"/>
      <c r="X17" s="2172"/>
      <c r="Y17" s="2174"/>
      <c r="Z17" s="378"/>
      <c r="AA17" s="379"/>
      <c r="AB17" s="380"/>
      <c r="AC17" s="378"/>
      <c r="AD17" s="378"/>
      <c r="AE17" s="378"/>
      <c r="AF17" s="378"/>
      <c r="AG17" s="378"/>
      <c r="AH17" s="378"/>
      <c r="AI17" s="378"/>
      <c r="AJ17" s="378"/>
      <c r="AK17" s="378"/>
      <c r="AL17" s="378"/>
      <c r="AM17" s="378"/>
      <c r="AN17" s="378"/>
      <c r="AO17" s="379"/>
    </row>
    <row r="18" spans="1:41" s="381" customFormat="1" ht="14.1" customHeight="1">
      <c r="A18" s="354">
        <v>2019</v>
      </c>
      <c r="B18" s="355"/>
      <c r="C18" s="356">
        <f t="shared" si="1"/>
        <v>11786</v>
      </c>
      <c r="D18" s="371">
        <f t="shared" si="2"/>
        <v>11806</v>
      </c>
      <c r="E18" s="356">
        <f t="shared" si="3"/>
        <v>11482</v>
      </c>
      <c r="F18" s="372">
        <f t="shared" si="4"/>
        <v>11781</v>
      </c>
      <c r="G18" s="376">
        <f t="shared" si="0"/>
        <v>23567</v>
      </c>
      <c r="H18" s="377"/>
      <c r="I18" s="378"/>
      <c r="J18" s="378"/>
      <c r="K18" s="1912"/>
      <c r="L18" s="378"/>
      <c r="M18" s="378"/>
      <c r="N18" s="378"/>
      <c r="O18" s="378"/>
      <c r="P18" s="378"/>
      <c r="Q18" s="378"/>
      <c r="R18" s="378"/>
      <c r="S18" s="378"/>
      <c r="T18" s="378"/>
      <c r="U18" s="378"/>
      <c r="V18" s="378"/>
      <c r="W18" s="378"/>
      <c r="X18" s="378"/>
      <c r="Y18" s="379"/>
      <c r="Z18" s="378"/>
      <c r="AA18" s="379"/>
      <c r="AB18" s="380"/>
      <c r="AC18" s="378"/>
      <c r="AD18" s="378"/>
      <c r="AE18" s="378"/>
      <c r="AF18" s="378"/>
      <c r="AG18" s="378"/>
      <c r="AH18" s="378"/>
      <c r="AI18" s="378"/>
      <c r="AJ18" s="378"/>
      <c r="AK18" s="378"/>
      <c r="AL18" s="378"/>
      <c r="AM18" s="378"/>
      <c r="AN18" s="378"/>
      <c r="AO18" s="379"/>
    </row>
    <row r="19" spans="1:41" s="1929" customFormat="1" ht="14.1" customHeight="1">
      <c r="A19" s="366">
        <v>2020</v>
      </c>
      <c r="B19" s="367"/>
      <c r="C19" s="368">
        <f t="shared" si="1"/>
        <v>11873</v>
      </c>
      <c r="D19" s="369">
        <f t="shared" si="2"/>
        <v>11899</v>
      </c>
      <c r="E19" s="368">
        <f t="shared" si="3"/>
        <v>11510</v>
      </c>
      <c r="F19" s="370">
        <f t="shared" si="4"/>
        <v>11865</v>
      </c>
      <c r="G19" s="374">
        <f t="shared" si="0"/>
        <v>23738</v>
      </c>
      <c r="H19" s="373"/>
      <c r="I19" s="1925"/>
      <c r="J19" s="1925"/>
      <c r="K19" s="1926"/>
      <c r="L19" s="1925"/>
      <c r="M19" s="1925"/>
      <c r="N19" s="1925"/>
      <c r="O19" s="1925"/>
      <c r="P19" s="1925"/>
      <c r="Q19" s="1925"/>
      <c r="R19" s="1925"/>
      <c r="S19" s="1925"/>
      <c r="T19" s="1925"/>
      <c r="U19" s="1925"/>
      <c r="V19" s="1925"/>
      <c r="W19" s="1925"/>
      <c r="X19" s="1925"/>
      <c r="Y19" s="1927"/>
      <c r="Z19" s="1925"/>
      <c r="AA19" s="1927"/>
      <c r="AB19" s="1928"/>
      <c r="AC19" s="1925"/>
      <c r="AD19" s="1925"/>
      <c r="AE19" s="1925"/>
      <c r="AF19" s="1925"/>
      <c r="AG19" s="1925"/>
      <c r="AH19" s="1925"/>
      <c r="AI19" s="1925"/>
      <c r="AJ19" s="1925"/>
      <c r="AK19" s="1925"/>
      <c r="AL19" s="1925"/>
      <c r="AM19" s="1925"/>
      <c r="AN19" s="1925"/>
      <c r="AO19" s="1927"/>
    </row>
    <row r="20" spans="1:41" s="381" customFormat="1" ht="14.1" customHeight="1">
      <c r="A20" s="354">
        <v>2021</v>
      </c>
      <c r="B20" s="355"/>
      <c r="C20" s="356">
        <f t="shared" si="1"/>
        <v>11959</v>
      </c>
      <c r="D20" s="371">
        <f t="shared" si="2"/>
        <v>11992</v>
      </c>
      <c r="E20" s="356">
        <f t="shared" si="3"/>
        <v>11537</v>
      </c>
      <c r="F20" s="372">
        <f t="shared" si="4"/>
        <v>11950</v>
      </c>
      <c r="G20" s="376">
        <f t="shared" si="0"/>
        <v>23909</v>
      </c>
      <c r="H20" s="1913"/>
      <c r="I20" s="378"/>
      <c r="J20" s="378"/>
      <c r="K20" s="1912"/>
      <c r="L20" s="378"/>
      <c r="M20" s="378"/>
      <c r="N20" s="378"/>
      <c r="O20" s="378"/>
      <c r="P20" s="378"/>
      <c r="Q20" s="378"/>
      <c r="R20" s="378"/>
      <c r="S20" s="378"/>
      <c r="T20" s="378"/>
      <c r="U20" s="378"/>
      <c r="V20" s="378"/>
      <c r="W20" s="378"/>
      <c r="X20" s="378"/>
      <c r="Y20" s="379"/>
      <c r="Z20" s="378"/>
      <c r="AA20" s="379"/>
      <c r="AB20" s="380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9"/>
    </row>
    <row r="21" spans="1:41" s="381" customFormat="1" ht="14.1" customHeight="1">
      <c r="A21" s="354">
        <v>2022</v>
      </c>
      <c r="B21" s="355"/>
      <c r="C21" s="356">
        <f t="shared" si="1"/>
        <v>12046</v>
      </c>
      <c r="D21" s="371">
        <f t="shared" si="2"/>
        <v>12086</v>
      </c>
      <c r="E21" s="356">
        <f t="shared" si="3"/>
        <v>11562</v>
      </c>
      <c r="F21" s="372">
        <f t="shared" si="4"/>
        <v>12034</v>
      </c>
      <c r="G21" s="376">
        <f t="shared" si="0"/>
        <v>24080</v>
      </c>
      <c r="H21" s="377"/>
      <c r="I21" s="378"/>
      <c r="J21" s="378"/>
      <c r="K21" s="1912"/>
      <c r="L21" s="378"/>
      <c r="M21" s="378"/>
      <c r="N21" s="378"/>
      <c r="O21" s="378"/>
      <c r="P21" s="378"/>
      <c r="Q21" s="378"/>
      <c r="R21" s="378"/>
      <c r="S21" s="378"/>
      <c r="T21" s="378"/>
      <c r="U21" s="378"/>
      <c r="V21" s="378"/>
      <c r="W21" s="378"/>
      <c r="X21" s="378"/>
      <c r="Y21" s="379"/>
      <c r="Z21" s="378"/>
      <c r="AA21" s="379"/>
      <c r="AB21" s="380"/>
      <c r="AC21" s="378"/>
      <c r="AD21" s="378"/>
      <c r="AE21" s="378"/>
      <c r="AF21" s="378"/>
      <c r="AG21" s="378"/>
      <c r="AH21" s="378"/>
      <c r="AI21" s="378"/>
      <c r="AJ21" s="378"/>
      <c r="AK21" s="378"/>
      <c r="AL21" s="378"/>
      <c r="AM21" s="378"/>
      <c r="AN21" s="378"/>
      <c r="AO21" s="379"/>
    </row>
    <row r="22" spans="1:41" s="381" customFormat="1" ht="14.1" customHeight="1">
      <c r="A22" s="354">
        <v>2023</v>
      </c>
      <c r="B22" s="355"/>
      <c r="C22" s="356">
        <f t="shared" si="1"/>
        <v>12132</v>
      </c>
      <c r="D22" s="371">
        <f t="shared" si="2"/>
        <v>12181</v>
      </c>
      <c r="E22" s="356">
        <f t="shared" si="3"/>
        <v>11587</v>
      </c>
      <c r="F22" s="372">
        <f t="shared" si="4"/>
        <v>12117</v>
      </c>
      <c r="G22" s="376">
        <f t="shared" si="0"/>
        <v>24249</v>
      </c>
      <c r="H22" s="377"/>
      <c r="I22" s="378"/>
      <c r="J22" s="378"/>
      <c r="K22" s="1912"/>
      <c r="L22" s="378"/>
      <c r="M22" s="378"/>
      <c r="N22" s="378"/>
      <c r="O22" s="378"/>
      <c r="P22" s="378"/>
      <c r="Q22" s="378"/>
      <c r="R22" s="378"/>
      <c r="S22" s="378"/>
      <c r="T22" s="378"/>
      <c r="U22" s="378"/>
      <c r="V22" s="378"/>
      <c r="W22" s="378"/>
      <c r="X22" s="378"/>
      <c r="Y22" s="379"/>
      <c r="Z22" s="378"/>
      <c r="AA22" s="379"/>
      <c r="AB22" s="380"/>
      <c r="AC22" s="378"/>
      <c r="AD22" s="378"/>
      <c r="AE22" s="378"/>
      <c r="AF22" s="378"/>
      <c r="AG22" s="378"/>
      <c r="AH22" s="378"/>
      <c r="AI22" s="378"/>
      <c r="AJ22" s="378"/>
      <c r="AK22" s="378"/>
      <c r="AL22" s="378"/>
      <c r="AM22" s="378"/>
      <c r="AN22" s="378"/>
      <c r="AO22" s="379"/>
    </row>
    <row r="23" spans="1:41" s="381" customFormat="1" ht="14.1" customHeight="1">
      <c r="A23" s="354">
        <v>2024</v>
      </c>
      <c r="B23" s="355"/>
      <c r="C23" s="356">
        <f t="shared" si="1"/>
        <v>12219</v>
      </c>
      <c r="D23" s="371">
        <f t="shared" si="2"/>
        <v>12277</v>
      </c>
      <c r="E23" s="356">
        <f t="shared" si="3"/>
        <v>11610</v>
      </c>
      <c r="F23" s="372">
        <f t="shared" si="4"/>
        <v>12201</v>
      </c>
      <c r="G23" s="376">
        <f t="shared" si="0"/>
        <v>24420</v>
      </c>
      <c r="H23" s="377"/>
      <c r="I23" s="378"/>
      <c r="J23" s="378"/>
      <c r="K23" s="1912"/>
      <c r="L23" s="378"/>
      <c r="M23" s="378"/>
      <c r="N23" s="378"/>
      <c r="O23" s="378"/>
      <c r="P23" s="378"/>
      <c r="Q23" s="378"/>
      <c r="R23" s="378"/>
      <c r="S23" s="378"/>
      <c r="T23" s="378"/>
      <c r="U23" s="378"/>
      <c r="V23" s="378"/>
      <c r="W23" s="378"/>
      <c r="X23" s="378"/>
      <c r="Y23" s="379"/>
      <c r="Z23" s="378"/>
      <c r="AA23" s="379"/>
      <c r="AB23" s="380"/>
      <c r="AC23" s="378"/>
      <c r="AD23" s="378"/>
      <c r="AE23" s="378"/>
      <c r="AF23" s="378"/>
      <c r="AG23" s="378"/>
      <c r="AH23" s="378"/>
      <c r="AI23" s="378"/>
      <c r="AJ23" s="378"/>
      <c r="AK23" s="378"/>
      <c r="AL23" s="378"/>
      <c r="AM23" s="378"/>
      <c r="AN23" s="378"/>
      <c r="AO23" s="379"/>
    </row>
    <row r="24" spans="1:41" s="1929" customFormat="1" ht="14.1" customHeight="1">
      <c r="A24" s="366">
        <v>2025</v>
      </c>
      <c r="B24" s="367"/>
      <c r="C24" s="368">
        <f t="shared" si="1"/>
        <v>12305</v>
      </c>
      <c r="D24" s="369">
        <f t="shared" si="2"/>
        <v>12373</v>
      </c>
      <c r="E24" s="368">
        <f t="shared" si="3"/>
        <v>11631</v>
      </c>
      <c r="F24" s="370">
        <f t="shared" si="4"/>
        <v>12284</v>
      </c>
      <c r="G24" s="374">
        <f t="shared" si="0"/>
        <v>24589</v>
      </c>
      <c r="H24" s="373"/>
      <c r="I24" s="1925"/>
      <c r="J24" s="1925"/>
      <c r="K24" s="1926"/>
      <c r="L24" s="1925"/>
      <c r="M24" s="1925"/>
      <c r="N24" s="1925"/>
      <c r="O24" s="1925"/>
      <c r="P24" s="1925"/>
      <c r="Q24" s="1925"/>
      <c r="R24" s="1925"/>
      <c r="S24" s="1925"/>
      <c r="T24" s="1925"/>
      <c r="U24" s="1925"/>
      <c r="V24" s="1925"/>
      <c r="W24" s="1925"/>
      <c r="X24" s="1925"/>
      <c r="Y24" s="1927"/>
      <c r="Z24" s="1925"/>
      <c r="AA24" s="1927"/>
      <c r="AB24" s="1928"/>
      <c r="AC24" s="1925"/>
      <c r="AD24" s="1925"/>
      <c r="AE24" s="1925"/>
      <c r="AF24" s="1925"/>
      <c r="AG24" s="1925"/>
      <c r="AH24" s="1925"/>
      <c r="AI24" s="1925"/>
      <c r="AJ24" s="1925"/>
      <c r="AK24" s="1925"/>
      <c r="AL24" s="1925"/>
      <c r="AM24" s="1925"/>
      <c r="AN24" s="1925"/>
      <c r="AO24" s="1927"/>
    </row>
    <row r="25" spans="1:41" s="381" customFormat="1" ht="14.1" customHeight="1">
      <c r="A25" s="354">
        <v>2026</v>
      </c>
      <c r="B25" s="355"/>
      <c r="C25" s="356">
        <f t="shared" si="1"/>
        <v>12392</v>
      </c>
      <c r="D25" s="371">
        <f t="shared" si="2"/>
        <v>12471</v>
      </c>
      <c r="E25" s="356">
        <f t="shared" si="3"/>
        <v>11652</v>
      </c>
      <c r="F25" s="372">
        <f t="shared" si="4"/>
        <v>12367</v>
      </c>
      <c r="G25" s="376">
        <f t="shared" si="0"/>
        <v>24759</v>
      </c>
      <c r="H25" s="1913"/>
      <c r="I25" s="378"/>
      <c r="J25" s="378"/>
      <c r="K25" s="1912"/>
      <c r="L25" s="378"/>
      <c r="M25" s="378"/>
      <c r="N25" s="378"/>
      <c r="O25" s="378"/>
      <c r="P25" s="378"/>
      <c r="Q25" s="378"/>
      <c r="R25" s="378"/>
      <c r="S25" s="378"/>
      <c r="T25" s="378"/>
      <c r="U25" s="378"/>
      <c r="V25" s="378"/>
      <c r="W25" s="378"/>
      <c r="X25" s="378"/>
      <c r="Y25" s="379"/>
      <c r="Z25" s="378"/>
      <c r="AA25" s="379"/>
      <c r="AB25" s="380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9"/>
    </row>
    <row r="26" spans="1:41" s="381" customFormat="1" ht="14.1" customHeight="1">
      <c r="A26" s="354">
        <v>2027</v>
      </c>
      <c r="B26" s="355"/>
      <c r="C26" s="356">
        <f t="shared" si="1"/>
        <v>12478</v>
      </c>
      <c r="D26" s="371">
        <f t="shared" si="2"/>
        <v>12568</v>
      </c>
      <c r="E26" s="356">
        <f t="shared" si="3"/>
        <v>11673</v>
      </c>
      <c r="F26" s="372">
        <f t="shared" si="4"/>
        <v>12449</v>
      </c>
      <c r="G26" s="376">
        <f t="shared" si="0"/>
        <v>24927</v>
      </c>
      <c r="H26" s="375"/>
      <c r="I26" s="378"/>
      <c r="J26" s="378"/>
      <c r="K26" s="1914"/>
      <c r="L26" s="378"/>
      <c r="M26" s="378"/>
      <c r="N26" s="378"/>
      <c r="O26" s="378"/>
      <c r="P26" s="378"/>
      <c r="Q26" s="378"/>
      <c r="R26" s="378"/>
      <c r="S26" s="378"/>
      <c r="T26" s="378"/>
      <c r="U26" s="378"/>
      <c r="V26" s="378"/>
      <c r="W26" s="378"/>
      <c r="X26" s="378"/>
      <c r="Y26" s="379"/>
      <c r="Z26" s="378"/>
      <c r="AA26" s="379"/>
      <c r="AB26" s="380"/>
      <c r="AC26" s="378"/>
      <c r="AD26" s="378"/>
      <c r="AE26" s="378"/>
      <c r="AF26" s="378"/>
      <c r="AG26" s="378"/>
      <c r="AH26" s="378"/>
      <c r="AI26" s="378"/>
      <c r="AJ26" s="378"/>
      <c r="AK26" s="378"/>
      <c r="AL26" s="378"/>
      <c r="AM26" s="378"/>
      <c r="AN26" s="378"/>
      <c r="AO26" s="379"/>
    </row>
    <row r="27" spans="1:41" s="381" customFormat="1" ht="14.1" customHeight="1">
      <c r="A27" s="354">
        <v>2028</v>
      </c>
      <c r="B27" s="382"/>
      <c r="C27" s="356">
        <f t="shared" si="1"/>
        <v>12565</v>
      </c>
      <c r="D27" s="371">
        <f t="shared" si="2"/>
        <v>12667</v>
      </c>
      <c r="E27" s="356">
        <f t="shared" si="3"/>
        <v>11692</v>
      </c>
      <c r="F27" s="372">
        <f t="shared" si="4"/>
        <v>12531</v>
      </c>
      <c r="G27" s="376">
        <f t="shared" si="0"/>
        <v>25096</v>
      </c>
      <c r="H27" s="377"/>
      <c r="I27" s="378"/>
      <c r="J27" s="378"/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9"/>
      <c r="Z27" s="378"/>
      <c r="AA27" s="379"/>
      <c r="AB27" s="380"/>
      <c r="AC27" s="378"/>
      <c r="AD27" s="378"/>
      <c r="AE27" s="378"/>
      <c r="AF27" s="378"/>
      <c r="AG27" s="378"/>
      <c r="AH27" s="378"/>
      <c r="AI27" s="378"/>
      <c r="AJ27" s="378"/>
      <c r="AK27" s="378"/>
      <c r="AL27" s="378"/>
      <c r="AM27" s="378"/>
      <c r="AN27" s="378"/>
      <c r="AO27" s="379"/>
    </row>
    <row r="28" spans="1:41" s="381" customFormat="1" ht="14.1" customHeight="1">
      <c r="A28" s="386">
        <v>2029</v>
      </c>
      <c r="B28" s="387"/>
      <c r="C28" s="2072">
        <f t="shared" si="1"/>
        <v>12651</v>
      </c>
      <c r="D28" s="2175">
        <f t="shared" si="2"/>
        <v>12767</v>
      </c>
      <c r="E28" s="2072">
        <f t="shared" si="3"/>
        <v>11710</v>
      </c>
      <c r="F28" s="2176">
        <f t="shared" si="4"/>
        <v>12613</v>
      </c>
      <c r="G28" s="2177">
        <f t="shared" si="0"/>
        <v>25264</v>
      </c>
      <c r="H28" s="2178"/>
      <c r="I28" s="1916"/>
      <c r="J28" s="1916"/>
      <c r="K28" s="1916"/>
      <c r="L28" s="1916"/>
      <c r="M28" s="1916"/>
      <c r="N28" s="1916"/>
      <c r="O28" s="1916"/>
      <c r="P28" s="1916"/>
      <c r="Q28" s="1916"/>
      <c r="R28" s="1916"/>
      <c r="S28" s="1916"/>
      <c r="T28" s="1916"/>
      <c r="U28" s="1916"/>
      <c r="V28" s="1916"/>
      <c r="W28" s="1916"/>
      <c r="X28" s="1916"/>
      <c r="Y28" s="1917"/>
      <c r="Z28" s="378"/>
      <c r="AA28" s="379"/>
      <c r="AB28" s="1915"/>
      <c r="AC28" s="1916"/>
      <c r="AD28" s="1916"/>
      <c r="AE28" s="1916"/>
      <c r="AF28" s="1916"/>
      <c r="AG28" s="1916"/>
      <c r="AH28" s="1916"/>
      <c r="AI28" s="1916"/>
      <c r="AJ28" s="1916"/>
      <c r="AK28" s="1916"/>
      <c r="AL28" s="1916"/>
      <c r="AM28" s="1916"/>
      <c r="AN28" s="1916"/>
      <c r="AO28" s="1917"/>
    </row>
    <row r="29" spans="1:41" s="1929" customFormat="1" ht="14.1" customHeight="1">
      <c r="A29" s="2135">
        <v>2030</v>
      </c>
      <c r="B29" s="1911"/>
      <c r="C29" s="2136">
        <f t="shared" si="1"/>
        <v>12738</v>
      </c>
      <c r="D29" s="2137">
        <f t="shared" si="2"/>
        <v>12867</v>
      </c>
      <c r="E29" s="2136">
        <f t="shared" si="3"/>
        <v>11728</v>
      </c>
      <c r="F29" s="2138">
        <f t="shared" si="4"/>
        <v>12694</v>
      </c>
      <c r="G29" s="374">
        <f t="shared" si="0"/>
        <v>25432</v>
      </c>
      <c r="H29" s="373"/>
      <c r="I29" s="1925"/>
      <c r="J29" s="1925"/>
      <c r="K29" s="1925"/>
      <c r="L29" s="1925"/>
      <c r="M29" s="1925"/>
      <c r="N29" s="1925"/>
      <c r="O29" s="1925"/>
      <c r="P29" s="1925"/>
      <c r="Q29" s="1925"/>
      <c r="R29" s="1925"/>
      <c r="S29" s="1925"/>
      <c r="T29" s="1925"/>
      <c r="U29" s="1925"/>
      <c r="V29" s="1925"/>
      <c r="W29" s="1925"/>
      <c r="X29" s="1925"/>
      <c r="Y29" s="1925"/>
      <c r="Z29" s="1925"/>
      <c r="AA29" s="1927"/>
    </row>
    <row r="30" spans="1:41" s="381" customFormat="1" ht="14.1" customHeight="1">
      <c r="A30" s="354">
        <v>2031</v>
      </c>
      <c r="B30" s="355"/>
      <c r="C30" s="356">
        <f t="shared" si="1"/>
        <v>12824</v>
      </c>
      <c r="D30" s="371">
        <f t="shared" si="2"/>
        <v>12968</v>
      </c>
      <c r="E30" s="356">
        <f t="shared" si="3"/>
        <v>11746</v>
      </c>
      <c r="F30" s="372">
        <f t="shared" si="4"/>
        <v>12775</v>
      </c>
      <c r="G30" s="376">
        <f t="shared" si="0"/>
        <v>25599</v>
      </c>
      <c r="H30" s="1913"/>
      <c r="I30" s="378"/>
      <c r="J30" s="378"/>
      <c r="K30" s="378"/>
      <c r="L30" s="378"/>
      <c r="M30" s="378"/>
      <c r="N30" s="378"/>
      <c r="O30" s="378"/>
      <c r="P30" s="378"/>
      <c r="Q30" s="378"/>
      <c r="R30" s="378"/>
      <c r="S30" s="378"/>
      <c r="T30" s="378"/>
      <c r="U30" s="378"/>
      <c r="V30" s="378"/>
      <c r="W30" s="378"/>
      <c r="X30" s="378"/>
      <c r="Y30" s="378"/>
      <c r="Z30" s="378"/>
      <c r="AA30" s="379"/>
    </row>
    <row r="31" spans="1:41" s="381" customFormat="1" ht="14.1" customHeight="1">
      <c r="A31" s="354">
        <v>2032</v>
      </c>
      <c r="B31" s="382"/>
      <c r="C31" s="356">
        <f t="shared" si="1"/>
        <v>12911</v>
      </c>
      <c r="D31" s="371">
        <f t="shared" si="2"/>
        <v>13070</v>
      </c>
      <c r="E31" s="356">
        <f t="shared" si="3"/>
        <v>11762</v>
      </c>
      <c r="F31" s="372">
        <f t="shared" si="4"/>
        <v>12856</v>
      </c>
      <c r="G31" s="376">
        <f t="shared" si="0"/>
        <v>25767</v>
      </c>
      <c r="H31" s="377"/>
      <c r="I31" s="378"/>
      <c r="J31" s="378"/>
      <c r="K31" s="378"/>
      <c r="L31" s="378"/>
      <c r="M31" s="378"/>
      <c r="N31" s="378"/>
      <c r="O31" s="378"/>
      <c r="P31" s="378"/>
      <c r="Q31" s="378"/>
      <c r="R31" s="378"/>
      <c r="S31" s="378"/>
      <c r="T31" s="378"/>
      <c r="U31" s="378"/>
      <c r="V31" s="378"/>
      <c r="W31" s="378"/>
      <c r="X31" s="378"/>
      <c r="Y31" s="378"/>
      <c r="Z31" s="378"/>
      <c r="AA31" s="379"/>
    </row>
    <row r="32" spans="1:41" s="381" customFormat="1" ht="14.1" customHeight="1">
      <c r="A32" s="354">
        <v>2033</v>
      </c>
      <c r="B32" s="382"/>
      <c r="C32" s="356">
        <f t="shared" si="1"/>
        <v>12997</v>
      </c>
      <c r="D32" s="371">
        <f t="shared" si="2"/>
        <v>13173</v>
      </c>
      <c r="E32" s="356">
        <f t="shared" si="3"/>
        <v>11778</v>
      </c>
      <c r="F32" s="372">
        <f t="shared" si="4"/>
        <v>12936</v>
      </c>
      <c r="G32" s="376">
        <f t="shared" si="0"/>
        <v>25933</v>
      </c>
      <c r="H32" s="377"/>
      <c r="I32" s="378"/>
      <c r="J32" s="378"/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  <c r="Y32" s="378"/>
      <c r="Z32" s="378"/>
      <c r="AA32" s="379"/>
    </row>
    <row r="33" spans="1:40" s="381" customFormat="1" ht="14.1" customHeight="1">
      <c r="A33" s="354">
        <v>2034</v>
      </c>
      <c r="B33" s="382"/>
      <c r="C33" s="356">
        <f t="shared" si="1"/>
        <v>13084</v>
      </c>
      <c r="D33" s="371">
        <f t="shared" si="2"/>
        <v>13276</v>
      </c>
      <c r="E33" s="356">
        <f t="shared" si="3"/>
        <v>11794</v>
      </c>
      <c r="F33" s="372">
        <f t="shared" si="4"/>
        <v>13016</v>
      </c>
      <c r="G33" s="376">
        <f t="shared" si="0"/>
        <v>26100</v>
      </c>
      <c r="H33" s="377"/>
      <c r="I33" s="378"/>
      <c r="J33" s="378"/>
      <c r="K33" s="378"/>
      <c r="L33" s="378"/>
      <c r="M33" s="378"/>
      <c r="N33" s="378"/>
      <c r="O33" s="378"/>
      <c r="P33" s="378"/>
      <c r="Q33" s="378"/>
      <c r="R33" s="378"/>
      <c r="S33" s="378"/>
      <c r="T33" s="378"/>
      <c r="U33" s="378"/>
      <c r="V33" s="378"/>
      <c r="W33" s="378"/>
      <c r="X33" s="378"/>
      <c r="Y33" s="378"/>
      <c r="Z33" s="378"/>
      <c r="AA33" s="379"/>
    </row>
    <row r="34" spans="1:40" s="1929" customFormat="1" ht="14.1" customHeight="1">
      <c r="A34" s="366">
        <v>2035</v>
      </c>
      <c r="B34" s="367"/>
      <c r="C34" s="368">
        <f t="shared" si="1"/>
        <v>13170</v>
      </c>
      <c r="D34" s="369">
        <f t="shared" si="2"/>
        <v>13380</v>
      </c>
      <c r="E34" s="368">
        <f t="shared" si="3"/>
        <v>11809</v>
      </c>
      <c r="F34" s="370">
        <f t="shared" si="4"/>
        <v>13095</v>
      </c>
      <c r="G34" s="374">
        <f t="shared" si="0"/>
        <v>26265</v>
      </c>
      <c r="H34" s="384"/>
      <c r="I34" s="1925"/>
      <c r="J34" s="1925"/>
      <c r="K34" s="1925"/>
      <c r="L34" s="1930"/>
      <c r="M34" s="1925"/>
      <c r="N34" s="1925"/>
      <c r="O34" s="1925"/>
      <c r="P34" s="1925"/>
      <c r="Q34" s="1925"/>
      <c r="R34" s="1925"/>
      <c r="S34" s="1925"/>
      <c r="T34" s="1925"/>
      <c r="U34" s="1925"/>
      <c r="V34" s="1925"/>
      <c r="W34" s="1925"/>
      <c r="X34" s="1925"/>
      <c r="Y34" s="1925"/>
      <c r="Z34" s="1925"/>
      <c r="AA34" s="1927"/>
    </row>
    <row r="35" spans="1:40" s="381" customFormat="1" ht="14.1" customHeight="1">
      <c r="A35" s="354">
        <v>2036</v>
      </c>
      <c r="B35" s="385"/>
      <c r="C35" s="356">
        <f t="shared" si="1"/>
        <v>13257</v>
      </c>
      <c r="D35" s="371">
        <f t="shared" si="2"/>
        <v>13485</v>
      </c>
      <c r="E35" s="356">
        <f t="shared" si="3"/>
        <v>11824</v>
      </c>
      <c r="F35" s="372">
        <f t="shared" si="4"/>
        <v>13174</v>
      </c>
      <c r="G35" s="376"/>
      <c r="H35" s="377"/>
      <c r="I35" s="378"/>
      <c r="J35" s="378"/>
      <c r="K35" s="378"/>
      <c r="L35" s="410"/>
      <c r="M35" s="378"/>
      <c r="N35" s="378"/>
      <c r="O35" s="378"/>
      <c r="P35" s="378"/>
      <c r="Q35" s="378"/>
      <c r="R35" s="378"/>
      <c r="S35" s="378"/>
      <c r="T35" s="378"/>
      <c r="U35" s="378"/>
      <c r="V35" s="378"/>
      <c r="W35" s="378"/>
      <c r="X35" s="378"/>
      <c r="Y35" s="378"/>
      <c r="Z35" s="378"/>
      <c r="AA35" s="379"/>
    </row>
    <row r="36" spans="1:40" s="381" customFormat="1" ht="14.1" customHeight="1">
      <c r="A36" s="354">
        <v>2037</v>
      </c>
      <c r="B36" s="385"/>
      <c r="C36" s="356">
        <f t="shared" si="1"/>
        <v>13343</v>
      </c>
      <c r="D36" s="371">
        <f t="shared" si="2"/>
        <v>13591</v>
      </c>
      <c r="E36" s="356">
        <f t="shared" si="3"/>
        <v>11838</v>
      </c>
      <c r="F36" s="372">
        <f t="shared" si="4"/>
        <v>13252</v>
      </c>
      <c r="G36" s="376"/>
      <c r="H36" s="377"/>
      <c r="I36" s="378"/>
      <c r="J36" s="378"/>
      <c r="K36" s="378"/>
      <c r="L36" s="410"/>
      <c r="M36" s="378"/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9"/>
    </row>
    <row r="37" spans="1:40" s="381" customFormat="1" ht="14.1" customHeight="1">
      <c r="A37" s="354">
        <f t="shared" ref="A37" si="6">A36+1</f>
        <v>2038</v>
      </c>
      <c r="B37" s="385"/>
      <c r="C37" s="356">
        <f t="shared" si="1"/>
        <v>13430</v>
      </c>
      <c r="D37" s="371">
        <f t="shared" si="2"/>
        <v>13698</v>
      </c>
      <c r="E37" s="356">
        <f t="shared" si="3"/>
        <v>11852</v>
      </c>
      <c r="F37" s="372">
        <f t="shared" si="4"/>
        <v>13330</v>
      </c>
      <c r="G37" s="376"/>
      <c r="H37" s="377"/>
      <c r="I37" s="378"/>
      <c r="J37" s="378"/>
      <c r="K37" s="378"/>
      <c r="L37" s="410"/>
      <c r="M37" s="378"/>
      <c r="N37" s="378"/>
      <c r="O37" s="378"/>
      <c r="P37" s="378"/>
      <c r="Q37" s="378"/>
      <c r="R37" s="378"/>
      <c r="S37" s="378"/>
      <c r="T37" s="378"/>
      <c r="U37" s="378"/>
      <c r="V37" s="378"/>
      <c r="W37" s="378"/>
      <c r="X37" s="378"/>
      <c r="Y37" s="378"/>
      <c r="Z37" s="378"/>
      <c r="AA37" s="379"/>
    </row>
    <row r="38" spans="1:40" s="381" customFormat="1" ht="14.1" customHeight="1">
      <c r="A38" s="386" t="s">
        <v>275</v>
      </c>
      <c r="B38" s="387"/>
      <c r="C38" s="387" t="str">
        <f>IF(OR(C42=1,C42=2),"○","")</f>
        <v>○</v>
      </c>
      <c r="D38" s="387" t="str">
        <f>IF(OR(D42=1,D42=2),"○","")</f>
        <v/>
      </c>
      <c r="E38" s="387" t="str">
        <f>IF(OR(E42=1,E42=2),"○","")</f>
        <v/>
      </c>
      <c r="F38" s="1918" t="str">
        <f>IF(OR(F42=1,F42=2),"○","")</f>
        <v>○</v>
      </c>
      <c r="G38" s="1919"/>
      <c r="H38" s="1920"/>
      <c r="I38" s="378"/>
      <c r="J38" s="378"/>
      <c r="K38" s="1921"/>
      <c r="L38" s="1921"/>
      <c r="M38" s="1921"/>
      <c r="N38" s="1921"/>
      <c r="O38" s="1921"/>
      <c r="P38" s="1921"/>
      <c r="Q38" s="1921"/>
      <c r="R38" s="1921"/>
      <c r="S38" s="1921"/>
      <c r="T38" s="1922"/>
      <c r="U38" s="1922"/>
      <c r="V38" s="410"/>
      <c r="W38" s="410"/>
      <c r="X38" s="410"/>
      <c r="Y38" s="410"/>
      <c r="Z38" s="410"/>
      <c r="AA38" s="1923"/>
      <c r="AB38" s="1924"/>
      <c r="AC38" s="1924"/>
      <c r="AD38" s="1924"/>
      <c r="AE38" s="1924"/>
      <c r="AF38" s="1924"/>
      <c r="AG38" s="1924"/>
      <c r="AH38" s="1924"/>
      <c r="AI38" s="1924"/>
      <c r="AJ38" s="1924"/>
      <c r="AK38" s="1924"/>
      <c r="AL38" s="1924"/>
      <c r="AM38" s="1924"/>
      <c r="AN38" s="1924"/>
    </row>
    <row r="39" spans="1:40" s="344" customFormat="1" ht="14.1" customHeight="1">
      <c r="A39" s="2318" t="s">
        <v>276</v>
      </c>
      <c r="B39" s="2319"/>
      <c r="C39" s="392">
        <f>F70</f>
        <v>0.73078027855093131</v>
      </c>
      <c r="D39" s="393">
        <f>G115</f>
        <v>0.72979428193523177</v>
      </c>
      <c r="E39" s="393">
        <f>H153</f>
        <v>0.65899705715760293</v>
      </c>
      <c r="F39" s="394">
        <f>G190</f>
        <v>0.73141876910162251</v>
      </c>
      <c r="G39" s="395"/>
      <c r="H39" s="396"/>
      <c r="I39" s="341"/>
      <c r="J39" s="341"/>
      <c r="K39" s="362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90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</row>
    <row r="40" spans="1:40" s="344" customFormat="1" ht="14.1" customHeight="1">
      <c r="A40" s="2318" t="s">
        <v>294</v>
      </c>
      <c r="B40" s="2319"/>
      <c r="C40" s="397">
        <f>F71</f>
        <v>303.15600000000001</v>
      </c>
      <c r="D40" s="398">
        <f>G116</f>
        <v>304.3</v>
      </c>
      <c r="E40" s="398">
        <f>H154</f>
        <v>385.77499999999998</v>
      </c>
      <c r="F40" s="399">
        <f>G191</f>
        <v>302.43799999999993</v>
      </c>
      <c r="G40" s="400"/>
      <c r="H40" s="401"/>
      <c r="I40" s="341"/>
      <c r="J40" s="341"/>
      <c r="K40" s="388"/>
      <c r="L40" s="388"/>
      <c r="M40" s="388"/>
      <c r="N40" s="388"/>
      <c r="O40" s="388"/>
      <c r="P40" s="388"/>
      <c r="Q40" s="388"/>
      <c r="R40" s="388"/>
      <c r="S40" s="388"/>
      <c r="T40" s="389"/>
      <c r="U40" s="389"/>
      <c r="V40" s="362"/>
      <c r="W40" s="362"/>
      <c r="X40" s="362"/>
      <c r="Y40" s="362"/>
      <c r="Z40" s="362"/>
      <c r="AA40" s="390"/>
      <c r="AB40" s="391"/>
      <c r="AC40" s="391"/>
      <c r="AD40" s="391"/>
      <c r="AE40" s="391"/>
      <c r="AF40" s="391"/>
      <c r="AG40" s="391"/>
      <c r="AH40" s="391"/>
      <c r="AI40" s="391"/>
      <c r="AJ40" s="391"/>
      <c r="AK40" s="391"/>
      <c r="AL40" s="391"/>
      <c r="AM40" s="391"/>
      <c r="AN40" s="391"/>
    </row>
    <row r="41" spans="1:40" s="344" customFormat="1" ht="14.1" customHeight="1">
      <c r="A41" s="2318" t="s">
        <v>278</v>
      </c>
      <c r="B41" s="2319"/>
      <c r="C41" s="402">
        <f>F72</f>
        <v>1.2167909168311823</v>
      </c>
      <c r="D41" s="403">
        <f>G117</f>
        <v>1.2260159742534968</v>
      </c>
      <c r="E41" s="403">
        <f>H155</f>
        <v>1.2723086897030538</v>
      </c>
      <c r="F41" s="404">
        <f>G192</f>
        <v>0.60683937737817895</v>
      </c>
      <c r="G41" s="405"/>
      <c r="H41" s="401"/>
      <c r="I41" s="383"/>
      <c r="J41" s="383"/>
      <c r="K41" s="406"/>
      <c r="L41" s="406"/>
      <c r="M41" s="406"/>
      <c r="N41" s="406"/>
      <c r="O41" s="406"/>
      <c r="P41" s="406"/>
      <c r="Q41" s="406"/>
      <c r="R41" s="406"/>
      <c r="S41" s="406"/>
      <c r="T41" s="407"/>
      <c r="U41" s="407"/>
      <c r="V41" s="408"/>
      <c r="W41" s="408"/>
      <c r="X41" s="408"/>
      <c r="Y41" s="408"/>
      <c r="Z41" s="408"/>
      <c r="AA41" s="409"/>
      <c r="AB41" s="391"/>
      <c r="AC41" s="391"/>
      <c r="AD41" s="391"/>
      <c r="AE41" s="391"/>
      <c r="AF41" s="391"/>
      <c r="AG41" s="391"/>
      <c r="AH41" s="391"/>
      <c r="AI41" s="391"/>
      <c r="AJ41" s="391"/>
      <c r="AK41" s="391"/>
      <c r="AL41" s="391"/>
      <c r="AM41" s="391"/>
      <c r="AN41" s="391"/>
    </row>
    <row r="42" spans="1:40" s="344" customFormat="1" ht="20.100000000000001" customHeight="1">
      <c r="A42" s="410"/>
      <c r="B42" s="411"/>
      <c r="C42" s="1007">
        <f>RANK(C39,$C$39:$F$39)</f>
        <v>2</v>
      </c>
      <c r="D42" s="1007">
        <f>RANK(D39,$C$39:$F$39)</f>
        <v>3</v>
      </c>
      <c r="E42" s="1007">
        <f>RANK(E39,$C$39:$F$39)</f>
        <v>4</v>
      </c>
      <c r="F42" s="1007">
        <f>RANK(F39,$C$39:$F$39)</f>
        <v>1</v>
      </c>
      <c r="G42" s="341"/>
      <c r="H42" s="341"/>
      <c r="I42" s="341"/>
      <c r="J42" s="413"/>
      <c r="K42" s="391"/>
      <c r="L42" s="391"/>
      <c r="M42" s="391"/>
      <c r="N42" s="391"/>
      <c r="O42" s="391"/>
      <c r="P42" s="391"/>
      <c r="Q42" s="391"/>
      <c r="R42" s="391"/>
      <c r="S42" s="391"/>
      <c r="T42" s="391"/>
      <c r="U42" s="391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391"/>
      <c r="AG42" s="391"/>
      <c r="AH42" s="391"/>
      <c r="AI42" s="391"/>
      <c r="AJ42" s="391"/>
      <c r="AK42" s="391"/>
      <c r="AL42" s="391"/>
      <c r="AM42" s="391"/>
    </row>
    <row r="43" spans="1:40" s="344" customFormat="1" ht="18.95" customHeight="1">
      <c r="A43" s="414" t="s">
        <v>85</v>
      </c>
      <c r="B43" s="415" t="s">
        <v>279</v>
      </c>
      <c r="C43" s="415" t="s">
        <v>280</v>
      </c>
      <c r="D43" s="415" t="s">
        <v>281</v>
      </c>
      <c r="E43" s="415" t="s">
        <v>282</v>
      </c>
      <c r="F43" s="360" t="s">
        <v>5</v>
      </c>
      <c r="G43" s="341"/>
      <c r="H43" s="341"/>
      <c r="I43" s="341"/>
      <c r="J43" s="413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  <c r="AM43" s="391"/>
    </row>
    <row r="44" spans="1:40" s="344" customFormat="1" ht="18.95" customHeight="1">
      <c r="A44" s="416" t="s">
        <v>251</v>
      </c>
      <c r="B44" s="417">
        <f>+C19</f>
        <v>11873</v>
      </c>
      <c r="C44" s="417">
        <f>+C24</f>
        <v>12305</v>
      </c>
      <c r="D44" s="417">
        <f>+C30</f>
        <v>12824</v>
      </c>
      <c r="E44" s="418">
        <f>+C35</f>
        <v>13257</v>
      </c>
      <c r="F44" s="419" t="str">
        <f>IF(C38="","제외","")</f>
        <v/>
      </c>
      <c r="G44" s="341"/>
      <c r="H44" s="341"/>
      <c r="I44" s="341"/>
      <c r="N44" s="391"/>
      <c r="O44" s="391"/>
      <c r="P44" s="391"/>
      <c r="Q44" s="391"/>
      <c r="R44" s="391"/>
      <c r="S44" s="391"/>
      <c r="T44" s="391"/>
      <c r="U44" s="391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391"/>
      <c r="AG44" s="391"/>
      <c r="AH44" s="391"/>
      <c r="AI44" s="391"/>
      <c r="AJ44" s="391"/>
      <c r="AK44" s="391"/>
      <c r="AL44" s="391"/>
      <c r="AM44" s="391"/>
    </row>
    <row r="45" spans="1:40" s="344" customFormat="1" ht="18.95" customHeight="1">
      <c r="A45" s="416" t="s">
        <v>253</v>
      </c>
      <c r="B45" s="417">
        <f>+D19</f>
        <v>11899</v>
      </c>
      <c r="C45" s="417">
        <f>+D24</f>
        <v>12373</v>
      </c>
      <c r="D45" s="417">
        <f>+D30</f>
        <v>12968</v>
      </c>
      <c r="E45" s="418">
        <f>+D35</f>
        <v>13485</v>
      </c>
      <c r="F45" s="419" t="str">
        <f>IF(D38="","제외","")</f>
        <v>제외</v>
      </c>
      <c r="G45" s="341"/>
      <c r="H45" s="341"/>
      <c r="I45" s="341"/>
      <c r="J45" s="413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1"/>
    </row>
    <row r="46" spans="1:40" s="344" customFormat="1" ht="18.95" customHeight="1">
      <c r="A46" s="416" t="s">
        <v>254</v>
      </c>
      <c r="B46" s="417">
        <f>+E19</f>
        <v>11510</v>
      </c>
      <c r="C46" s="417">
        <f>+E24</f>
        <v>11631</v>
      </c>
      <c r="D46" s="417">
        <f>+E30</f>
        <v>11746</v>
      </c>
      <c r="E46" s="418">
        <f>+E35</f>
        <v>11824</v>
      </c>
      <c r="F46" s="419" t="str">
        <f>IF(E38="","제외","")</f>
        <v>제외</v>
      </c>
      <c r="G46" s="341"/>
      <c r="H46" s="341"/>
      <c r="I46" s="341"/>
      <c r="J46" s="413"/>
      <c r="K46" s="413"/>
      <c r="L46" s="413"/>
      <c r="M46" s="413"/>
      <c r="N46" s="391"/>
      <c r="O46" s="391"/>
      <c r="P46" s="391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  <c r="AM46" s="391"/>
    </row>
    <row r="47" spans="1:40" s="344" customFormat="1" ht="18.95" customHeight="1">
      <c r="A47" s="416" t="s">
        <v>256</v>
      </c>
      <c r="B47" s="417">
        <f>+F19</f>
        <v>11865</v>
      </c>
      <c r="C47" s="417">
        <f>+F24</f>
        <v>12284</v>
      </c>
      <c r="D47" s="417">
        <f>+F30</f>
        <v>12775</v>
      </c>
      <c r="E47" s="418">
        <f>+F35</f>
        <v>13174</v>
      </c>
      <c r="F47" s="419" t="str">
        <f>IF(F38="","제외","")</f>
        <v/>
      </c>
      <c r="G47" s="341"/>
      <c r="H47" s="341"/>
      <c r="I47" s="341"/>
      <c r="J47" s="413"/>
      <c r="K47" s="391"/>
      <c r="L47" s="391"/>
      <c r="M47" s="391"/>
      <c r="N47" s="391"/>
      <c r="O47" s="391"/>
      <c r="P47" s="391"/>
      <c r="Q47" s="391"/>
      <c r="R47" s="391"/>
      <c r="S47" s="391"/>
      <c r="T47" s="391"/>
      <c r="U47" s="391"/>
      <c r="V47" s="391"/>
      <c r="W47" s="391"/>
      <c r="X47" s="391"/>
      <c r="Y47" s="391"/>
      <c r="Z47" s="391"/>
      <c r="AA47" s="391"/>
      <c r="AB47" s="391"/>
      <c r="AC47" s="391"/>
      <c r="AD47" s="391"/>
      <c r="AE47" s="391"/>
      <c r="AF47" s="391"/>
      <c r="AG47" s="391"/>
      <c r="AH47" s="391"/>
      <c r="AI47" s="391"/>
      <c r="AJ47" s="391"/>
      <c r="AK47" s="391"/>
      <c r="AL47" s="391"/>
      <c r="AM47" s="391"/>
    </row>
    <row r="48" spans="1:40" s="344" customFormat="1" ht="18.95" customHeight="1">
      <c r="A48" s="416" t="s">
        <v>283</v>
      </c>
      <c r="B48" s="420">
        <f>ROUND(AVERAGE(B45,B47),0)</f>
        <v>11882</v>
      </c>
      <c r="C48" s="420">
        <f t="shared" ref="C48:E48" si="7">ROUND(AVERAGE(C45,C47),0)</f>
        <v>12329</v>
      </c>
      <c r="D48" s="420">
        <f t="shared" si="7"/>
        <v>12872</v>
      </c>
      <c r="E48" s="420">
        <f t="shared" si="7"/>
        <v>13330</v>
      </c>
      <c r="F48" s="419"/>
      <c r="G48" s="341"/>
      <c r="H48" s="341"/>
      <c r="I48" s="341"/>
      <c r="J48" s="413"/>
      <c r="K48" s="391"/>
      <c r="L48" s="391"/>
      <c r="M48" s="391"/>
      <c r="N48" s="391"/>
      <c r="O48" s="391"/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  <c r="AM48" s="391"/>
    </row>
    <row r="49" spans="1:40" s="344" customFormat="1" ht="18.95" customHeight="1">
      <c r="A49" s="416" t="s">
        <v>284</v>
      </c>
      <c r="B49" s="420">
        <f>B48</f>
        <v>11882</v>
      </c>
      <c r="C49" s="420">
        <f>C48</f>
        <v>12329</v>
      </c>
      <c r="D49" s="420">
        <f>D48</f>
        <v>12872</v>
      </c>
      <c r="E49" s="420">
        <f>E48</f>
        <v>13330</v>
      </c>
      <c r="F49" s="419"/>
      <c r="G49" s="341"/>
      <c r="H49" s="341"/>
      <c r="I49" s="341"/>
      <c r="J49" s="413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391"/>
      <c r="AG49" s="391"/>
      <c r="AH49" s="391"/>
      <c r="AI49" s="391"/>
      <c r="AJ49" s="391"/>
      <c r="AK49" s="391"/>
      <c r="AL49" s="391"/>
      <c r="AM49" s="391"/>
    </row>
    <row r="50" spans="1:40" s="344" customFormat="1" ht="20.100000000000001" customHeight="1">
      <c r="A50" s="410"/>
      <c r="B50" s="411"/>
      <c r="C50" s="421">
        <f>C48-B48</f>
        <v>447</v>
      </c>
      <c r="D50" s="421">
        <f>D48-C48</f>
        <v>543</v>
      </c>
      <c r="E50" s="421">
        <f>E48-D48</f>
        <v>458</v>
      </c>
      <c r="F50" s="341"/>
      <c r="G50" s="341"/>
      <c r="H50" s="341"/>
      <c r="I50" s="341"/>
      <c r="J50" s="413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391"/>
      <c r="AG50" s="391"/>
      <c r="AH50" s="391"/>
      <c r="AI50" s="391"/>
      <c r="AJ50" s="391"/>
      <c r="AK50" s="391"/>
      <c r="AL50" s="391"/>
      <c r="AM50" s="391"/>
    </row>
    <row r="51" spans="1:40" s="344" customFormat="1" ht="20.100000000000001" customHeight="1">
      <c r="A51" s="410"/>
      <c r="B51" s="422"/>
      <c r="C51" s="423">
        <f>ROUND((C48/B48)^(1/5)-1,4)</f>
        <v>7.4000000000000003E-3</v>
      </c>
      <c r="D51" s="423">
        <f>ROUND((D48/C48)^(1/5)-1,4)</f>
        <v>8.6999999999999994E-3</v>
      </c>
      <c r="E51" s="423">
        <f>ROUND((E48/D48)^(1/5)-1,4)</f>
        <v>7.0000000000000001E-3</v>
      </c>
      <c r="F51" s="341"/>
      <c r="G51" s="341"/>
      <c r="H51" s="341"/>
      <c r="I51" s="341"/>
      <c r="J51" s="413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391"/>
      <c r="AG51" s="391"/>
      <c r="AH51" s="391"/>
      <c r="AI51" s="391"/>
      <c r="AJ51" s="391"/>
      <c r="AK51" s="391"/>
      <c r="AL51" s="391"/>
      <c r="AM51" s="391"/>
    </row>
    <row r="52" spans="1:40" s="344" customFormat="1" ht="20.100000000000001" customHeight="1">
      <c r="A52" s="410"/>
      <c r="B52" s="411"/>
      <c r="C52" s="423"/>
      <c r="D52" s="423"/>
      <c r="E52" s="423"/>
      <c r="F52" s="341"/>
      <c r="G52" s="341"/>
      <c r="H52" s="341"/>
      <c r="I52" s="341"/>
      <c r="J52" s="413"/>
      <c r="K52" s="391"/>
      <c r="L52" s="391"/>
      <c r="M52" s="391"/>
      <c r="N52" s="391"/>
      <c r="O52" s="391"/>
      <c r="P52" s="391"/>
      <c r="Q52" s="391"/>
      <c r="R52" s="391"/>
      <c r="S52" s="391"/>
      <c r="T52" s="391"/>
      <c r="U52" s="391"/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391"/>
      <c r="AG52" s="391"/>
      <c r="AH52" s="391"/>
      <c r="AI52" s="391"/>
      <c r="AJ52" s="391"/>
      <c r="AK52" s="391"/>
      <c r="AL52" s="391"/>
      <c r="AM52" s="391"/>
    </row>
    <row r="53" spans="1:40" s="344" customFormat="1" ht="20.100000000000001" customHeight="1">
      <c r="A53" s="410"/>
      <c r="B53" s="411"/>
      <c r="C53" s="412"/>
      <c r="D53" s="412"/>
      <c r="E53" s="412"/>
      <c r="F53" s="341"/>
      <c r="G53" s="341"/>
      <c r="H53" s="341"/>
      <c r="I53" s="341"/>
      <c r="J53" s="413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  <c r="AF53" s="391"/>
      <c r="AG53" s="391"/>
      <c r="AH53" s="391"/>
      <c r="AI53" s="391"/>
      <c r="AJ53" s="391"/>
      <c r="AK53" s="391"/>
      <c r="AL53" s="391"/>
      <c r="AM53" s="391"/>
    </row>
    <row r="54" spans="1:40" s="344" customFormat="1" ht="20.100000000000001" customHeight="1">
      <c r="A54" s="410"/>
      <c r="B54" s="411"/>
      <c r="C54" s="412"/>
      <c r="D54" s="412"/>
      <c r="E54" s="412"/>
      <c r="F54" s="341"/>
      <c r="G54" s="341"/>
      <c r="H54" s="341"/>
      <c r="I54" s="341"/>
      <c r="J54" s="413"/>
      <c r="K54" s="391"/>
      <c r="L54" s="391"/>
      <c r="M54" s="391"/>
      <c r="N54" s="391"/>
      <c r="O54" s="391"/>
      <c r="P54" s="391"/>
      <c r="Q54" s="391"/>
      <c r="R54" s="391"/>
      <c r="S54" s="391"/>
      <c r="T54" s="391"/>
      <c r="U54" s="391"/>
      <c r="V54" s="391"/>
      <c r="W54" s="391"/>
      <c r="X54" s="391"/>
      <c r="Y54" s="391"/>
      <c r="Z54" s="391"/>
      <c r="AA54" s="391"/>
      <c r="AB54" s="391"/>
      <c r="AC54" s="391"/>
      <c r="AD54" s="391"/>
      <c r="AE54" s="391"/>
      <c r="AF54" s="391"/>
      <c r="AG54" s="391"/>
      <c r="AH54" s="391"/>
      <c r="AI54" s="391"/>
      <c r="AJ54" s="391"/>
      <c r="AK54" s="391"/>
      <c r="AL54" s="391"/>
      <c r="AM54" s="391"/>
    </row>
    <row r="55" spans="1:40" s="344" customFormat="1" ht="20.100000000000001" customHeight="1">
      <c r="A55" s="410"/>
      <c r="B55" s="411"/>
      <c r="C55" s="412"/>
      <c r="D55" s="412"/>
      <c r="E55" s="412"/>
      <c r="F55" s="341"/>
      <c r="G55" s="341"/>
      <c r="H55" s="341"/>
      <c r="I55" s="341"/>
      <c r="J55" s="413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1"/>
    </row>
    <row r="56" spans="1:40" s="344" customFormat="1" ht="20.100000000000001" customHeight="1">
      <c r="A56" s="410"/>
      <c r="B56" s="411"/>
      <c r="C56" s="412"/>
      <c r="D56" s="412"/>
      <c r="E56" s="412"/>
      <c r="F56" s="341"/>
      <c r="G56" s="341"/>
      <c r="H56" s="341"/>
      <c r="I56" s="341"/>
      <c r="J56" s="413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  <c r="AF56" s="391"/>
      <c r="AG56" s="391"/>
      <c r="AH56" s="391"/>
      <c r="AI56" s="391"/>
      <c r="AJ56" s="391"/>
      <c r="AK56" s="391"/>
      <c r="AL56" s="391"/>
      <c r="AM56" s="391"/>
    </row>
    <row r="57" spans="1:40" s="344" customFormat="1" ht="20.100000000000001" customHeight="1">
      <c r="A57" s="410"/>
      <c r="B57" s="411"/>
      <c r="C57" s="412"/>
      <c r="D57" s="412"/>
      <c r="E57" s="412"/>
      <c r="F57" s="341"/>
      <c r="G57" s="341"/>
      <c r="H57" s="341"/>
      <c r="I57" s="341"/>
      <c r="J57" s="413"/>
      <c r="K57" s="391"/>
      <c r="L57" s="391"/>
      <c r="M57" s="391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91"/>
      <c r="Y57" s="391"/>
      <c r="Z57" s="391"/>
      <c r="AA57" s="391"/>
      <c r="AB57" s="391"/>
      <c r="AC57" s="391"/>
      <c r="AD57" s="391"/>
      <c r="AE57" s="391"/>
      <c r="AF57" s="391"/>
      <c r="AG57" s="391"/>
      <c r="AH57" s="391"/>
      <c r="AI57" s="391"/>
      <c r="AJ57" s="391"/>
      <c r="AK57" s="391"/>
      <c r="AL57" s="391"/>
      <c r="AM57" s="391"/>
    </row>
    <row r="58" spans="1:40" s="344" customFormat="1" ht="20.100000000000001" customHeight="1">
      <c r="A58" s="410"/>
      <c r="B58" s="411"/>
      <c r="C58" s="412"/>
      <c r="D58" s="412"/>
      <c r="E58" s="412"/>
      <c r="F58" s="341"/>
      <c r="G58" s="341"/>
      <c r="H58" s="341"/>
      <c r="I58" s="341"/>
      <c r="J58" s="413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1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  <c r="AF58" s="391"/>
      <c r="AG58" s="391"/>
      <c r="AH58" s="391"/>
      <c r="AI58" s="391"/>
      <c r="AJ58" s="391"/>
      <c r="AK58" s="391"/>
      <c r="AL58" s="391"/>
      <c r="AM58" s="391"/>
    </row>
    <row r="59" spans="1:40" s="344" customFormat="1" ht="20.100000000000001" customHeight="1">
      <c r="A59" s="410"/>
      <c r="B59" s="411"/>
      <c r="C59" s="412"/>
      <c r="D59" s="412"/>
      <c r="E59" s="412"/>
      <c r="F59" s="341"/>
      <c r="G59" s="341"/>
      <c r="H59" s="341"/>
      <c r="I59" s="341"/>
      <c r="J59" s="413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  <c r="AF59" s="391"/>
      <c r="AG59" s="391"/>
      <c r="AH59" s="391"/>
      <c r="AI59" s="391"/>
      <c r="AJ59" s="391"/>
      <c r="AK59" s="391"/>
      <c r="AL59" s="391"/>
      <c r="AM59" s="391"/>
    </row>
    <row r="60" spans="1:40" s="344" customFormat="1" ht="20.100000000000001" customHeight="1">
      <c r="A60" s="410"/>
      <c r="B60" s="411"/>
      <c r="C60" s="412"/>
      <c r="D60" s="412"/>
      <c r="E60" s="412"/>
      <c r="F60" s="341"/>
      <c r="G60" s="341"/>
      <c r="H60" s="341"/>
      <c r="I60" s="341"/>
      <c r="J60" s="413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  <c r="Z60" s="391"/>
      <c r="AA60" s="391"/>
      <c r="AB60" s="391"/>
      <c r="AC60" s="391"/>
      <c r="AD60" s="391"/>
      <c r="AE60" s="391"/>
      <c r="AF60" s="391"/>
      <c r="AG60" s="391"/>
      <c r="AH60" s="391"/>
      <c r="AI60" s="391"/>
      <c r="AJ60" s="391"/>
      <c r="AK60" s="391"/>
      <c r="AL60" s="391"/>
      <c r="AM60" s="391"/>
    </row>
    <row r="61" spans="1:40" s="344" customFormat="1" ht="20.100000000000001" customHeight="1">
      <c r="A61" s="410"/>
      <c r="B61" s="411"/>
      <c r="C61" s="412"/>
      <c r="D61" s="412"/>
      <c r="E61" s="412"/>
      <c r="F61" s="341"/>
      <c r="G61" s="341"/>
      <c r="H61" s="341"/>
      <c r="I61" s="341"/>
      <c r="J61" s="413"/>
      <c r="K61" s="391"/>
      <c r="L61" s="391"/>
      <c r="M61" s="391"/>
      <c r="N61" s="391"/>
      <c r="O61" s="391"/>
      <c r="P61" s="391"/>
      <c r="Q61" s="391"/>
      <c r="R61" s="391"/>
      <c r="S61" s="391"/>
      <c r="T61" s="391"/>
      <c r="U61" s="391"/>
      <c r="V61" s="391"/>
      <c r="W61" s="391"/>
      <c r="X61" s="391"/>
      <c r="Y61" s="391"/>
      <c r="Z61" s="391"/>
      <c r="AA61" s="391"/>
      <c r="AB61" s="391"/>
      <c r="AC61" s="391"/>
      <c r="AD61" s="391"/>
      <c r="AE61" s="391"/>
      <c r="AF61" s="391"/>
      <c r="AG61" s="391"/>
      <c r="AH61" s="391"/>
      <c r="AI61" s="391"/>
      <c r="AJ61" s="391"/>
      <c r="AK61" s="391"/>
      <c r="AL61" s="391"/>
      <c r="AM61" s="391"/>
    </row>
    <row r="62" spans="1:40" s="344" customFormat="1" ht="20.100000000000001" customHeight="1">
      <c r="A62" s="410"/>
      <c r="B62" s="411"/>
      <c r="C62" s="412"/>
      <c r="D62" s="412"/>
      <c r="E62" s="412"/>
      <c r="F62" s="341"/>
      <c r="G62" s="341"/>
      <c r="H62" s="341"/>
      <c r="I62" s="341"/>
      <c r="J62" s="413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  <c r="Z62" s="391"/>
      <c r="AA62" s="391"/>
      <c r="AB62" s="391"/>
      <c r="AC62" s="391"/>
      <c r="AD62" s="391"/>
      <c r="AE62" s="391"/>
      <c r="AF62" s="391"/>
      <c r="AG62" s="391"/>
      <c r="AH62" s="391"/>
      <c r="AI62" s="391"/>
      <c r="AJ62" s="391"/>
      <c r="AK62" s="391"/>
      <c r="AL62" s="391"/>
      <c r="AM62" s="391"/>
      <c r="AN62" s="391"/>
    </row>
    <row r="63" spans="1:40" ht="15" customHeight="1">
      <c r="A63" s="424" t="s">
        <v>285</v>
      </c>
      <c r="B63" s="425"/>
      <c r="I63" s="426"/>
    </row>
    <row r="64" spans="1:40" ht="15" customHeight="1">
      <c r="A64" s="427" t="s">
        <v>264</v>
      </c>
      <c r="B64" s="428" t="s">
        <v>286</v>
      </c>
      <c r="C64" s="429" t="s">
        <v>287</v>
      </c>
      <c r="D64" s="430"/>
      <c r="E64" s="430"/>
      <c r="F64" s="431"/>
      <c r="G64" s="432"/>
      <c r="H64" s="432" t="s">
        <v>288</v>
      </c>
      <c r="I64" s="433">
        <f>RSQ(I65:I75,B65:B75)</f>
        <v>0.73078027855093131</v>
      </c>
      <c r="J64" s="434" t="s">
        <v>289</v>
      </c>
      <c r="K64" s="435" t="s">
        <v>290</v>
      </c>
    </row>
    <row r="65" spans="1:14" ht="15" customHeight="1">
      <c r="A65" s="436">
        <f>A5</f>
        <v>2006</v>
      </c>
      <c r="B65" s="437">
        <f>B5</f>
        <v>10733</v>
      </c>
      <c r="C65" s="438">
        <v>1</v>
      </c>
      <c r="D65" s="439" t="s">
        <v>291</v>
      </c>
      <c r="E65" s="440"/>
      <c r="F65" s="440"/>
      <c r="G65" s="441"/>
      <c r="H65" s="442"/>
      <c r="I65" s="443">
        <f t="shared" ref="I65:I97" si="8">ROUND($E$66*C65+$E$67,$G$1)</f>
        <v>10662</v>
      </c>
      <c r="J65" s="444">
        <f t="shared" ref="J65:J75" si="9">ABS(B65-I65)/B65*100</f>
        <v>0.66151122705674092</v>
      </c>
      <c r="K65" s="443">
        <f t="shared" ref="K65:K75" si="10">(B65-I65)^2/1000</f>
        <v>5.0410000000000004</v>
      </c>
      <c r="L65" s="445"/>
    </row>
    <row r="66" spans="1:14" ht="15" customHeight="1">
      <c r="A66" s="436">
        <f t="shared" ref="A66:A97" si="11">A65+1</f>
        <v>2007</v>
      </c>
      <c r="B66" s="437">
        <f t="shared" ref="B66:B75" si="12">B6</f>
        <v>10864</v>
      </c>
      <c r="C66" s="438">
        <f t="shared" ref="C66:C75" si="13">C65+1</f>
        <v>2</v>
      </c>
      <c r="D66" s="439" t="s">
        <v>292</v>
      </c>
      <c r="E66" s="363">
        <f>INDEX(LINEST(B65:B75,C65:C75),1)</f>
        <v>86.490909090909113</v>
      </c>
      <c r="F66" s="440"/>
      <c r="G66" s="441"/>
      <c r="H66" s="442"/>
      <c r="I66" s="443">
        <f t="shared" si="8"/>
        <v>10748</v>
      </c>
      <c r="J66" s="446">
        <f t="shared" si="9"/>
        <v>1.0677466863033873</v>
      </c>
      <c r="K66" s="443">
        <f>(B66-I66)^2/1000</f>
        <v>13.456</v>
      </c>
      <c r="L66" s="445">
        <f t="shared" ref="L66:L97" si="14">+I66-I65</f>
        <v>86</v>
      </c>
      <c r="M66" s="445"/>
    </row>
    <row r="67" spans="1:14" ht="15" customHeight="1">
      <c r="A67" s="436">
        <f t="shared" si="11"/>
        <v>2008</v>
      </c>
      <c r="B67" s="437">
        <f t="shared" si="12"/>
        <v>10686</v>
      </c>
      <c r="C67" s="438">
        <f t="shared" si="13"/>
        <v>3</v>
      </c>
      <c r="D67" s="439" t="s">
        <v>293</v>
      </c>
      <c r="E67" s="363">
        <f>INDEX(LINEST(B65:B75,C65:C75),2)</f>
        <v>10575.327272727272</v>
      </c>
      <c r="G67" s="441"/>
      <c r="H67" s="442"/>
      <c r="I67" s="443">
        <f t="shared" si="8"/>
        <v>10835</v>
      </c>
      <c r="J67" s="446">
        <f t="shared" si="9"/>
        <v>1.3943477447127084</v>
      </c>
      <c r="K67" s="443">
        <f>(B67-I67)^2/1000</f>
        <v>22.201000000000001</v>
      </c>
      <c r="L67" s="445">
        <f t="shared" si="14"/>
        <v>87</v>
      </c>
      <c r="M67" s="445"/>
    </row>
    <row r="68" spans="1:14" ht="15" customHeight="1">
      <c r="A68" s="436">
        <f t="shared" si="11"/>
        <v>2009</v>
      </c>
      <c r="B68" s="437">
        <f t="shared" si="12"/>
        <v>10539</v>
      </c>
      <c r="C68" s="438">
        <f t="shared" si="13"/>
        <v>4</v>
      </c>
      <c r="G68" s="442"/>
      <c r="H68" s="442"/>
      <c r="I68" s="443">
        <f t="shared" si="8"/>
        <v>10921</v>
      </c>
      <c r="J68" s="446">
        <f t="shared" si="9"/>
        <v>3.6246323180567419</v>
      </c>
      <c r="K68" s="443">
        <f t="shared" si="10"/>
        <v>145.92400000000001</v>
      </c>
      <c r="L68" s="445">
        <f t="shared" si="14"/>
        <v>86</v>
      </c>
      <c r="M68" s="445"/>
    </row>
    <row r="69" spans="1:14" ht="15" customHeight="1">
      <c r="A69" s="436">
        <f t="shared" si="11"/>
        <v>2010</v>
      </c>
      <c r="B69" s="437">
        <f t="shared" si="12"/>
        <v>11040</v>
      </c>
      <c r="C69" s="438">
        <f t="shared" si="13"/>
        <v>5</v>
      </c>
      <c r="G69" s="442"/>
      <c r="H69" s="442"/>
      <c r="I69" s="443">
        <f t="shared" si="8"/>
        <v>11008</v>
      </c>
      <c r="J69" s="446">
        <f t="shared" si="9"/>
        <v>0.28985507246376813</v>
      </c>
      <c r="K69" s="443">
        <f t="shared" si="10"/>
        <v>1.024</v>
      </c>
      <c r="L69" s="445">
        <f t="shared" si="14"/>
        <v>87</v>
      </c>
      <c r="M69" s="445"/>
    </row>
    <row r="70" spans="1:14" ht="15" customHeight="1">
      <c r="A70" s="436">
        <f t="shared" si="11"/>
        <v>2011</v>
      </c>
      <c r="B70" s="437">
        <f t="shared" si="12"/>
        <v>11213</v>
      </c>
      <c r="C70" s="438">
        <f t="shared" si="13"/>
        <v>6</v>
      </c>
      <c r="D70" s="2318" t="s">
        <v>276</v>
      </c>
      <c r="E70" s="2320"/>
      <c r="F70" s="447">
        <f>I64</f>
        <v>0.73078027855093131</v>
      </c>
      <c r="G70" s="442"/>
      <c r="H70" s="442"/>
      <c r="I70" s="443">
        <f t="shared" si="8"/>
        <v>11094</v>
      </c>
      <c r="J70" s="446">
        <f t="shared" si="9"/>
        <v>1.0612681708730938</v>
      </c>
      <c r="K70" s="443">
        <f t="shared" si="10"/>
        <v>14.161</v>
      </c>
      <c r="L70" s="445">
        <f t="shared" si="14"/>
        <v>86</v>
      </c>
      <c r="M70" s="445"/>
    </row>
    <row r="71" spans="1:14" ht="15" customHeight="1">
      <c r="A71" s="436">
        <f t="shared" si="11"/>
        <v>2012</v>
      </c>
      <c r="B71" s="437">
        <f t="shared" si="12"/>
        <v>11405</v>
      </c>
      <c r="C71" s="438">
        <f t="shared" si="13"/>
        <v>7</v>
      </c>
      <c r="D71" s="2318" t="s">
        <v>294</v>
      </c>
      <c r="E71" s="2320"/>
      <c r="F71" s="448">
        <f>SUM(K65:K75)</f>
        <v>303.15600000000001</v>
      </c>
      <c r="G71" s="442"/>
      <c r="H71" s="442"/>
      <c r="I71" s="443">
        <f t="shared" si="8"/>
        <v>11181</v>
      </c>
      <c r="J71" s="446">
        <f t="shared" si="9"/>
        <v>1.964050854888207</v>
      </c>
      <c r="K71" s="443">
        <f t="shared" si="10"/>
        <v>50.176000000000002</v>
      </c>
      <c r="L71" s="445">
        <f t="shared" si="14"/>
        <v>87</v>
      </c>
      <c r="M71" s="445"/>
    </row>
    <row r="72" spans="1:14" ht="15" customHeight="1">
      <c r="A72" s="436">
        <f t="shared" si="11"/>
        <v>2013</v>
      </c>
      <c r="B72" s="437">
        <f t="shared" si="12"/>
        <v>11441</v>
      </c>
      <c r="C72" s="438">
        <f t="shared" si="13"/>
        <v>8</v>
      </c>
      <c r="D72" s="2318" t="s">
        <v>295</v>
      </c>
      <c r="E72" s="2321"/>
      <c r="F72" s="449">
        <f>SUM(J65:J75)/C75</f>
        <v>1.2167909168311823</v>
      </c>
      <c r="G72" s="442"/>
      <c r="H72" s="442"/>
      <c r="I72" s="443">
        <f t="shared" si="8"/>
        <v>11267</v>
      </c>
      <c r="J72" s="446">
        <f t="shared" si="9"/>
        <v>1.5208460798881216</v>
      </c>
      <c r="K72" s="443">
        <f t="shared" si="10"/>
        <v>30.276</v>
      </c>
      <c r="L72" s="445">
        <f t="shared" si="14"/>
        <v>86</v>
      </c>
      <c r="M72" s="445"/>
    </row>
    <row r="73" spans="1:14" ht="15" customHeight="1">
      <c r="A73" s="436">
        <f t="shared" si="11"/>
        <v>2014</v>
      </c>
      <c r="B73" s="437">
        <f t="shared" si="12"/>
        <v>11333</v>
      </c>
      <c r="C73" s="438">
        <f t="shared" si="13"/>
        <v>9</v>
      </c>
      <c r="D73" s="2322"/>
      <c r="E73" s="2322"/>
      <c r="F73" s="450"/>
      <c r="G73" s="442"/>
      <c r="H73" s="442"/>
      <c r="I73" s="443">
        <f t="shared" si="8"/>
        <v>11354</v>
      </c>
      <c r="J73" s="446">
        <f t="shared" si="9"/>
        <v>0.18529956763434219</v>
      </c>
      <c r="K73" s="443">
        <f t="shared" si="10"/>
        <v>0.441</v>
      </c>
      <c r="L73" s="445">
        <f t="shared" si="14"/>
        <v>87</v>
      </c>
      <c r="M73" s="445"/>
    </row>
    <row r="74" spans="1:14" ht="15" customHeight="1">
      <c r="A74" s="436">
        <f t="shared" si="11"/>
        <v>2015</v>
      </c>
      <c r="B74" s="437">
        <f t="shared" si="12"/>
        <v>11390</v>
      </c>
      <c r="C74" s="438">
        <f t="shared" si="13"/>
        <v>10</v>
      </c>
      <c r="G74" s="439"/>
      <c r="H74" s="451"/>
      <c r="I74" s="443">
        <f t="shared" si="8"/>
        <v>11440</v>
      </c>
      <c r="J74" s="446">
        <f t="shared" si="9"/>
        <v>0.43898156277436351</v>
      </c>
      <c r="K74" s="443">
        <f t="shared" si="10"/>
        <v>2.5</v>
      </c>
      <c r="L74" s="445">
        <f t="shared" si="14"/>
        <v>86</v>
      </c>
      <c r="M74" s="445"/>
    </row>
    <row r="75" spans="1:14" ht="15" customHeight="1" thickBot="1">
      <c r="A75" s="452">
        <f t="shared" si="11"/>
        <v>2016</v>
      </c>
      <c r="B75" s="453">
        <f t="shared" si="12"/>
        <v>11393</v>
      </c>
      <c r="C75" s="438">
        <f t="shared" si="13"/>
        <v>11</v>
      </c>
      <c r="D75" s="454"/>
      <c r="E75" s="454"/>
      <c r="F75" s="454"/>
      <c r="G75" s="455"/>
      <c r="H75" s="454"/>
      <c r="I75" s="456">
        <f t="shared" si="8"/>
        <v>11527</v>
      </c>
      <c r="J75" s="457">
        <f t="shared" si="9"/>
        <v>1.1761608004915298</v>
      </c>
      <c r="K75" s="456">
        <f t="shared" si="10"/>
        <v>17.956</v>
      </c>
      <c r="L75" s="445">
        <f t="shared" si="14"/>
        <v>87</v>
      </c>
      <c r="M75" s="445"/>
    </row>
    <row r="76" spans="1:14" ht="15" customHeight="1" thickTop="1">
      <c r="A76" s="458">
        <f t="shared" si="11"/>
        <v>2017</v>
      </c>
      <c r="B76" s="459">
        <f t="shared" ref="B76:B97" si="15">ROUND($E$66*C76+$E$67,$G$1)</f>
        <v>11613</v>
      </c>
      <c r="C76" s="460">
        <f>C75+1</f>
        <v>12</v>
      </c>
      <c r="D76" s="461"/>
      <c r="E76" s="461"/>
      <c r="F76" s="461"/>
      <c r="G76" s="462"/>
      <c r="H76" s="461"/>
      <c r="I76" s="443">
        <f t="shared" si="8"/>
        <v>11613</v>
      </c>
      <c r="J76" s="463"/>
      <c r="K76" s="464"/>
      <c r="L76" s="445">
        <f t="shared" si="14"/>
        <v>86</v>
      </c>
    </row>
    <row r="77" spans="1:14" ht="15" customHeight="1">
      <c r="A77" s="465">
        <f t="shared" si="11"/>
        <v>2018</v>
      </c>
      <c r="B77" s="437">
        <f t="shared" si="15"/>
        <v>11700</v>
      </c>
      <c r="C77" s="466">
        <f>C76+1</f>
        <v>13</v>
      </c>
      <c r="F77" s="451"/>
      <c r="G77" s="439"/>
      <c r="H77" s="451"/>
      <c r="I77" s="443">
        <f t="shared" si="8"/>
        <v>11700</v>
      </c>
      <c r="J77" s="467"/>
      <c r="K77" s="443"/>
      <c r="L77" s="445">
        <f t="shared" si="14"/>
        <v>87</v>
      </c>
    </row>
    <row r="78" spans="1:14" ht="15" customHeight="1">
      <c r="A78" s="465">
        <f t="shared" si="11"/>
        <v>2019</v>
      </c>
      <c r="B78" s="437">
        <f t="shared" si="15"/>
        <v>11786</v>
      </c>
      <c r="C78" s="466">
        <f t="shared" ref="C78:C94" si="16">C77+1</f>
        <v>14</v>
      </c>
      <c r="F78" s="451"/>
      <c r="G78" s="439"/>
      <c r="H78" s="451"/>
      <c r="I78" s="443">
        <f t="shared" si="8"/>
        <v>11786</v>
      </c>
      <c r="J78" s="467"/>
      <c r="K78" s="443"/>
      <c r="L78" s="445">
        <f t="shared" si="14"/>
        <v>86</v>
      </c>
    </row>
    <row r="79" spans="1:14" ht="15" customHeight="1">
      <c r="A79" s="465">
        <f t="shared" si="11"/>
        <v>2020</v>
      </c>
      <c r="B79" s="437">
        <f t="shared" si="15"/>
        <v>11873</v>
      </c>
      <c r="C79" s="466">
        <f t="shared" si="16"/>
        <v>15</v>
      </c>
      <c r="F79" s="451"/>
      <c r="G79" s="439"/>
      <c r="H79" s="451"/>
      <c r="I79" s="443">
        <f t="shared" si="8"/>
        <v>11873</v>
      </c>
      <c r="J79" s="467"/>
      <c r="K79" s="443"/>
      <c r="L79" s="445">
        <f t="shared" si="14"/>
        <v>87</v>
      </c>
      <c r="N79" s="326">
        <f>1/0.75</f>
        <v>1.3333333333333333</v>
      </c>
    </row>
    <row r="80" spans="1:14" ht="15" customHeight="1">
      <c r="A80" s="465">
        <f t="shared" si="11"/>
        <v>2021</v>
      </c>
      <c r="B80" s="437">
        <f t="shared" si="15"/>
        <v>11959</v>
      </c>
      <c r="C80" s="466">
        <f t="shared" si="16"/>
        <v>16</v>
      </c>
      <c r="F80" s="451"/>
      <c r="G80" s="439"/>
      <c r="H80" s="451"/>
      <c r="I80" s="443">
        <f t="shared" si="8"/>
        <v>11959</v>
      </c>
      <c r="J80" s="467"/>
      <c r="K80" s="443"/>
      <c r="L80" s="445">
        <f t="shared" si="14"/>
        <v>86</v>
      </c>
    </row>
    <row r="81" spans="1:12" ht="15" customHeight="1">
      <c r="A81" s="465">
        <f t="shared" si="11"/>
        <v>2022</v>
      </c>
      <c r="B81" s="437">
        <f t="shared" si="15"/>
        <v>12046</v>
      </c>
      <c r="C81" s="466">
        <f t="shared" si="16"/>
        <v>17</v>
      </c>
      <c r="D81" s="439"/>
      <c r="E81" s="439"/>
      <c r="F81" s="451"/>
      <c r="G81" s="439"/>
      <c r="H81" s="451"/>
      <c r="I81" s="443">
        <f t="shared" si="8"/>
        <v>12046</v>
      </c>
      <c r="J81" s="467"/>
      <c r="K81" s="443"/>
      <c r="L81" s="445">
        <f t="shared" si="14"/>
        <v>87</v>
      </c>
    </row>
    <row r="82" spans="1:12" ht="15" customHeight="1">
      <c r="A82" s="465">
        <f t="shared" si="11"/>
        <v>2023</v>
      </c>
      <c r="B82" s="437">
        <f t="shared" si="15"/>
        <v>12132</v>
      </c>
      <c r="C82" s="466">
        <f t="shared" si="16"/>
        <v>18</v>
      </c>
      <c r="D82" s="439"/>
      <c r="E82" s="439"/>
      <c r="F82" s="451"/>
      <c r="G82" s="439"/>
      <c r="H82" s="451"/>
      <c r="I82" s="443">
        <f t="shared" si="8"/>
        <v>12132</v>
      </c>
      <c r="J82" s="467"/>
      <c r="K82" s="443"/>
      <c r="L82" s="445">
        <f t="shared" si="14"/>
        <v>86</v>
      </c>
    </row>
    <row r="83" spans="1:12" s="451" customFormat="1" ht="15" customHeight="1">
      <c r="A83" s="465">
        <f t="shared" si="11"/>
        <v>2024</v>
      </c>
      <c r="B83" s="437">
        <f t="shared" si="15"/>
        <v>12219</v>
      </c>
      <c r="C83" s="466">
        <f t="shared" si="16"/>
        <v>19</v>
      </c>
      <c r="G83" s="439"/>
      <c r="H83" s="439"/>
      <c r="I83" s="443">
        <f t="shared" si="8"/>
        <v>12219</v>
      </c>
      <c r="J83" s="467"/>
      <c r="K83" s="443"/>
      <c r="L83" s="445">
        <f t="shared" si="14"/>
        <v>87</v>
      </c>
    </row>
    <row r="84" spans="1:12" ht="15" customHeight="1">
      <c r="A84" s="465">
        <f t="shared" si="11"/>
        <v>2025</v>
      </c>
      <c r="B84" s="437">
        <f t="shared" si="15"/>
        <v>12305</v>
      </c>
      <c r="C84" s="466">
        <f t="shared" si="16"/>
        <v>20</v>
      </c>
      <c r="D84" s="451"/>
      <c r="E84" s="451"/>
      <c r="F84" s="451"/>
      <c r="G84" s="439"/>
      <c r="H84" s="451"/>
      <c r="I84" s="443">
        <f t="shared" si="8"/>
        <v>12305</v>
      </c>
      <c r="J84" s="467"/>
      <c r="K84" s="443"/>
      <c r="L84" s="445">
        <f t="shared" si="14"/>
        <v>86</v>
      </c>
    </row>
    <row r="85" spans="1:12" s="451" customFormat="1" ht="15" customHeight="1">
      <c r="A85" s="465">
        <f t="shared" si="11"/>
        <v>2026</v>
      </c>
      <c r="B85" s="437">
        <f t="shared" si="15"/>
        <v>12392</v>
      </c>
      <c r="C85" s="466">
        <f t="shared" si="16"/>
        <v>21</v>
      </c>
      <c r="G85" s="439"/>
      <c r="I85" s="443">
        <f t="shared" si="8"/>
        <v>12392</v>
      </c>
      <c r="J85" s="467"/>
      <c r="K85" s="443"/>
      <c r="L85" s="445">
        <f t="shared" si="14"/>
        <v>87</v>
      </c>
    </row>
    <row r="86" spans="1:12" s="451" customFormat="1" ht="15" customHeight="1">
      <c r="A86" s="465">
        <f t="shared" si="11"/>
        <v>2027</v>
      </c>
      <c r="B86" s="437">
        <f t="shared" si="15"/>
        <v>12478</v>
      </c>
      <c r="C86" s="466">
        <f t="shared" si="16"/>
        <v>22</v>
      </c>
      <c r="G86" s="439"/>
      <c r="I86" s="443">
        <f t="shared" si="8"/>
        <v>12478</v>
      </c>
      <c r="J86" s="467"/>
      <c r="K86" s="443"/>
      <c r="L86" s="445">
        <f t="shared" si="14"/>
        <v>86</v>
      </c>
    </row>
    <row r="87" spans="1:12" s="451" customFormat="1" ht="15" customHeight="1">
      <c r="A87" s="465">
        <f t="shared" si="11"/>
        <v>2028</v>
      </c>
      <c r="B87" s="437">
        <f t="shared" si="15"/>
        <v>12565</v>
      </c>
      <c r="C87" s="466">
        <f t="shared" si="16"/>
        <v>23</v>
      </c>
      <c r="D87" s="468"/>
      <c r="E87" s="468"/>
      <c r="I87" s="443">
        <f t="shared" si="8"/>
        <v>12565</v>
      </c>
      <c r="J87" s="469"/>
      <c r="K87" s="469"/>
      <c r="L87" s="445">
        <f t="shared" si="14"/>
        <v>87</v>
      </c>
    </row>
    <row r="88" spans="1:12" ht="15" customHeight="1">
      <c r="A88" s="465">
        <f t="shared" si="11"/>
        <v>2029</v>
      </c>
      <c r="B88" s="437">
        <f t="shared" si="15"/>
        <v>12651</v>
      </c>
      <c r="C88" s="466">
        <f t="shared" si="16"/>
        <v>24</v>
      </c>
      <c r="D88" s="468"/>
      <c r="E88" s="468"/>
      <c r="F88" s="451"/>
      <c r="G88" s="451"/>
      <c r="H88" s="451"/>
      <c r="I88" s="443">
        <f t="shared" si="8"/>
        <v>12651</v>
      </c>
      <c r="J88" s="469"/>
      <c r="K88" s="469"/>
      <c r="L88" s="445">
        <f t="shared" si="14"/>
        <v>86</v>
      </c>
    </row>
    <row r="89" spans="1:12" ht="15" customHeight="1">
      <c r="A89" s="465">
        <f t="shared" si="11"/>
        <v>2030</v>
      </c>
      <c r="B89" s="437">
        <f t="shared" si="15"/>
        <v>12738</v>
      </c>
      <c r="C89" s="466">
        <f t="shared" si="16"/>
        <v>25</v>
      </c>
      <c r="D89" s="468"/>
      <c r="E89" s="468"/>
      <c r="F89" s="451"/>
      <c r="G89" s="451"/>
      <c r="H89" s="451"/>
      <c r="I89" s="443">
        <f t="shared" si="8"/>
        <v>12738</v>
      </c>
      <c r="J89" s="469"/>
      <c r="K89" s="469"/>
      <c r="L89" s="445">
        <f t="shared" si="14"/>
        <v>87</v>
      </c>
    </row>
    <row r="90" spans="1:12" ht="15" customHeight="1">
      <c r="A90" s="465">
        <f t="shared" si="11"/>
        <v>2031</v>
      </c>
      <c r="B90" s="437">
        <f t="shared" si="15"/>
        <v>12824</v>
      </c>
      <c r="C90" s="466">
        <f t="shared" si="16"/>
        <v>26</v>
      </c>
      <c r="D90" s="468"/>
      <c r="E90" s="468"/>
      <c r="F90" s="451"/>
      <c r="G90" s="451"/>
      <c r="H90" s="451"/>
      <c r="I90" s="443">
        <f t="shared" si="8"/>
        <v>12824</v>
      </c>
      <c r="J90" s="469"/>
      <c r="K90" s="469"/>
      <c r="L90" s="445">
        <f t="shared" si="14"/>
        <v>86</v>
      </c>
    </row>
    <row r="91" spans="1:12" ht="15" customHeight="1">
      <c r="A91" s="465">
        <f t="shared" si="11"/>
        <v>2032</v>
      </c>
      <c r="B91" s="437">
        <f t="shared" si="15"/>
        <v>12911</v>
      </c>
      <c r="C91" s="466">
        <f t="shared" si="16"/>
        <v>27</v>
      </c>
      <c r="D91" s="468"/>
      <c r="E91" s="468"/>
      <c r="F91" s="451"/>
      <c r="G91" s="451"/>
      <c r="H91" s="451"/>
      <c r="I91" s="443">
        <f t="shared" si="8"/>
        <v>12911</v>
      </c>
      <c r="J91" s="469"/>
      <c r="K91" s="469"/>
      <c r="L91" s="445">
        <f t="shared" si="14"/>
        <v>87</v>
      </c>
    </row>
    <row r="92" spans="1:12" ht="15" customHeight="1">
      <c r="A92" s="465">
        <f t="shared" si="11"/>
        <v>2033</v>
      </c>
      <c r="B92" s="437">
        <f t="shared" si="15"/>
        <v>12997</v>
      </c>
      <c r="C92" s="466">
        <f t="shared" si="16"/>
        <v>28</v>
      </c>
      <c r="D92" s="468"/>
      <c r="E92" s="468"/>
      <c r="F92" s="451"/>
      <c r="G92" s="451"/>
      <c r="H92" s="451"/>
      <c r="I92" s="443">
        <f t="shared" si="8"/>
        <v>12997</v>
      </c>
      <c r="J92" s="469"/>
      <c r="K92" s="469"/>
      <c r="L92" s="445">
        <f t="shared" si="14"/>
        <v>86</v>
      </c>
    </row>
    <row r="93" spans="1:12" ht="15" customHeight="1">
      <c r="A93" s="465">
        <f t="shared" si="11"/>
        <v>2034</v>
      </c>
      <c r="B93" s="437">
        <f t="shared" si="15"/>
        <v>13084</v>
      </c>
      <c r="C93" s="466">
        <f t="shared" si="16"/>
        <v>29</v>
      </c>
      <c r="D93" s="468"/>
      <c r="E93" s="468"/>
      <c r="F93" s="451"/>
      <c r="G93" s="451"/>
      <c r="H93" s="451"/>
      <c r="I93" s="443">
        <f t="shared" si="8"/>
        <v>13084</v>
      </c>
      <c r="J93" s="469"/>
      <c r="K93" s="469"/>
      <c r="L93" s="445">
        <f t="shared" si="14"/>
        <v>87</v>
      </c>
    </row>
    <row r="94" spans="1:12" ht="15" customHeight="1">
      <c r="A94" s="470">
        <f t="shared" si="11"/>
        <v>2035</v>
      </c>
      <c r="B94" s="471">
        <f t="shared" si="15"/>
        <v>13170</v>
      </c>
      <c r="C94" s="472">
        <f t="shared" si="16"/>
        <v>30</v>
      </c>
      <c r="D94" s="473"/>
      <c r="E94" s="473"/>
      <c r="F94" s="474"/>
      <c r="G94" s="474"/>
      <c r="H94" s="474"/>
      <c r="I94" s="471">
        <f t="shared" si="8"/>
        <v>13170</v>
      </c>
      <c r="J94" s="475"/>
      <c r="K94" s="476"/>
      <c r="L94" s="445">
        <f t="shared" si="14"/>
        <v>86</v>
      </c>
    </row>
    <row r="95" spans="1:12" ht="15" customHeight="1">
      <c r="A95" s="477">
        <f t="shared" si="11"/>
        <v>2036</v>
      </c>
      <c r="B95" s="478">
        <f t="shared" si="15"/>
        <v>13257</v>
      </c>
      <c r="C95" s="479">
        <v>31</v>
      </c>
      <c r="D95" s="480"/>
      <c r="E95" s="480"/>
      <c r="F95" s="481"/>
      <c r="G95" s="481"/>
      <c r="H95" s="481"/>
      <c r="I95" s="478">
        <f t="shared" si="8"/>
        <v>13257</v>
      </c>
      <c r="J95" s="482"/>
      <c r="K95" s="483"/>
      <c r="L95" s="445">
        <f t="shared" si="14"/>
        <v>87</v>
      </c>
    </row>
    <row r="96" spans="1:12" ht="15" customHeight="1">
      <c r="A96" s="477">
        <f t="shared" si="11"/>
        <v>2037</v>
      </c>
      <c r="B96" s="478">
        <f t="shared" si="15"/>
        <v>13343</v>
      </c>
      <c r="C96" s="479">
        <v>32</v>
      </c>
      <c r="D96" s="480"/>
      <c r="E96" s="480"/>
      <c r="F96" s="481"/>
      <c r="G96" s="481"/>
      <c r="H96" s="481"/>
      <c r="I96" s="478">
        <f t="shared" si="8"/>
        <v>13343</v>
      </c>
      <c r="J96" s="482"/>
      <c r="K96" s="483"/>
      <c r="L96" s="445">
        <f t="shared" si="14"/>
        <v>86</v>
      </c>
    </row>
    <row r="97" spans="1:13" ht="15" customHeight="1">
      <c r="A97" s="484">
        <f t="shared" si="11"/>
        <v>2038</v>
      </c>
      <c r="B97" s="485">
        <f t="shared" si="15"/>
        <v>13430</v>
      </c>
      <c r="C97" s="486">
        <v>33</v>
      </c>
      <c r="D97" s="487"/>
      <c r="E97" s="487"/>
      <c r="F97" s="488"/>
      <c r="G97" s="488"/>
      <c r="H97" s="488"/>
      <c r="I97" s="485">
        <f t="shared" si="8"/>
        <v>13430</v>
      </c>
      <c r="J97" s="489"/>
      <c r="K97" s="490"/>
      <c r="L97" s="445">
        <f t="shared" si="14"/>
        <v>87</v>
      </c>
    </row>
    <row r="98" spans="1:13" ht="15" customHeight="1">
      <c r="A98" s="491"/>
      <c r="B98" s="492"/>
      <c r="C98" s="439"/>
      <c r="D98" s="468"/>
      <c r="E98" s="468"/>
      <c r="F98" s="451"/>
      <c r="G98" s="451"/>
      <c r="H98" s="451"/>
      <c r="I98" s="492"/>
      <c r="J98" s="493"/>
      <c r="K98" s="493"/>
      <c r="L98" s="445"/>
    </row>
    <row r="99" spans="1:13" ht="15" customHeight="1">
      <c r="A99" s="491"/>
      <c r="B99" s="492"/>
      <c r="C99" s="439"/>
      <c r="D99" s="468"/>
      <c r="E99" s="468"/>
      <c r="F99" s="451"/>
      <c r="G99" s="451"/>
      <c r="H99" s="451"/>
      <c r="I99" s="492"/>
      <c r="J99" s="493"/>
      <c r="K99" s="493"/>
      <c r="L99" s="445"/>
    </row>
    <row r="100" spans="1:13" ht="15" customHeight="1">
      <c r="A100" s="491"/>
      <c r="B100" s="492"/>
      <c r="C100" s="439"/>
      <c r="D100" s="468"/>
      <c r="E100" s="468"/>
      <c r="F100" s="451"/>
      <c r="G100" s="451"/>
      <c r="H100" s="451"/>
      <c r="I100" s="492"/>
      <c r="J100" s="493"/>
      <c r="K100" s="493"/>
      <c r="L100" s="445"/>
    </row>
    <row r="101" spans="1:13" ht="15" customHeight="1">
      <c r="A101" s="491"/>
      <c r="B101" s="494"/>
      <c r="C101" s="439"/>
      <c r="D101" s="468"/>
      <c r="E101" s="468"/>
      <c r="F101" s="451"/>
      <c r="G101" s="451"/>
      <c r="H101" s="451"/>
      <c r="I101" s="495"/>
      <c r="J101" s="495"/>
    </row>
    <row r="102" spans="1:13" ht="15" customHeight="1">
      <c r="A102" s="424" t="s">
        <v>296</v>
      </c>
    </row>
    <row r="103" spans="1:13" ht="15" customHeight="1">
      <c r="A103" s="427" t="s">
        <v>264</v>
      </c>
      <c r="B103" s="428" t="s">
        <v>286</v>
      </c>
      <c r="C103" s="429" t="s">
        <v>297</v>
      </c>
      <c r="D103" s="429" t="s">
        <v>287</v>
      </c>
      <c r="E103" s="496"/>
      <c r="F103" s="430"/>
      <c r="G103" s="431"/>
      <c r="H103" s="432" t="s">
        <v>288</v>
      </c>
      <c r="I103" s="433">
        <f>RSQ(I104:I114,B104:B114)</f>
        <v>0.72979428193523177</v>
      </c>
      <c r="J103" s="434" t="s">
        <v>289</v>
      </c>
      <c r="K103" s="435" t="s">
        <v>290</v>
      </c>
    </row>
    <row r="104" spans="1:13" ht="15" customHeight="1">
      <c r="A104" s="436">
        <f t="shared" ref="A104:B119" si="17">A65</f>
        <v>2006</v>
      </c>
      <c r="B104" s="437">
        <f t="shared" si="17"/>
        <v>10733</v>
      </c>
      <c r="C104" s="497">
        <f t="shared" ref="C104:C114" si="18">LN(B104)</f>
        <v>9.2810783864815249</v>
      </c>
      <c r="D104" s="438">
        <f>C65</f>
        <v>1</v>
      </c>
      <c r="E104" s="498" t="s">
        <v>298</v>
      </c>
      <c r="F104" s="499"/>
      <c r="G104" s="500"/>
      <c r="H104" s="501"/>
      <c r="I104" s="502">
        <f t="shared" ref="I104:I136" si="19">ROUND($F$111*(1+$F$112)^D104,$G$1)</f>
        <v>10664</v>
      </c>
      <c r="J104" s="444">
        <f t="shared" ref="J104:J114" si="20">ABS(B104-I104)/B104*100</f>
        <v>0.64287710798471998</v>
      </c>
      <c r="K104" s="443">
        <f t="shared" ref="K104:K114" si="21">(B104-I104)^2/1000</f>
        <v>4.7610000000000001</v>
      </c>
      <c r="L104" s="503"/>
    </row>
    <row r="105" spans="1:13" ht="15" customHeight="1">
      <c r="A105" s="436">
        <f t="shared" si="17"/>
        <v>2007</v>
      </c>
      <c r="B105" s="437">
        <f t="shared" si="17"/>
        <v>10864</v>
      </c>
      <c r="C105" s="497">
        <f>LN(B105)</f>
        <v>9.2932098497984779</v>
      </c>
      <c r="D105" s="438">
        <f t="shared" ref="D105:D136" si="22">D104+1</f>
        <v>2</v>
      </c>
      <c r="E105" s="498" t="s">
        <v>299</v>
      </c>
      <c r="F105" s="439"/>
      <c r="G105" s="500"/>
      <c r="H105" s="501"/>
      <c r="I105" s="443">
        <f t="shared" si="19"/>
        <v>10748</v>
      </c>
      <c r="J105" s="446">
        <f t="shared" si="20"/>
        <v>1.0677466863033873</v>
      </c>
      <c r="K105" s="443">
        <f t="shared" si="21"/>
        <v>13.456</v>
      </c>
      <c r="L105" s="503">
        <f>ROUND((I105/I104)^(1/1)-1,4)</f>
        <v>7.9000000000000008E-3</v>
      </c>
    </row>
    <row r="106" spans="1:13" ht="15" customHeight="1">
      <c r="A106" s="436">
        <f t="shared" si="17"/>
        <v>2008</v>
      </c>
      <c r="B106" s="437">
        <f t="shared" si="17"/>
        <v>10686</v>
      </c>
      <c r="C106" s="497">
        <f>LN(B106)</f>
        <v>9.2766897525177168</v>
      </c>
      <c r="D106" s="438">
        <f t="shared" si="22"/>
        <v>3</v>
      </c>
      <c r="E106" s="326" t="s">
        <v>300</v>
      </c>
      <c r="G106" s="451"/>
      <c r="H106" s="442"/>
      <c r="I106" s="443">
        <f t="shared" si="19"/>
        <v>10832</v>
      </c>
      <c r="J106" s="446">
        <f t="shared" si="20"/>
        <v>1.3662736290473516</v>
      </c>
      <c r="K106" s="443">
        <f t="shared" si="21"/>
        <v>21.315999999999999</v>
      </c>
      <c r="L106" s="503">
        <f t="shared" ref="L106:L136" si="23">ROUND((I106/I105)^(1/1)-1,4)</f>
        <v>7.7999999999999996E-3</v>
      </c>
      <c r="M106" s="503"/>
    </row>
    <row r="107" spans="1:13" ht="15" customHeight="1">
      <c r="A107" s="436">
        <f t="shared" si="17"/>
        <v>2009</v>
      </c>
      <c r="B107" s="437">
        <f t="shared" si="17"/>
        <v>10539</v>
      </c>
      <c r="C107" s="497">
        <f t="shared" si="18"/>
        <v>9.2628379409339363</v>
      </c>
      <c r="D107" s="438">
        <f t="shared" si="22"/>
        <v>4</v>
      </c>
      <c r="G107" s="451"/>
      <c r="H107" s="442"/>
      <c r="I107" s="443">
        <f t="shared" si="19"/>
        <v>10917</v>
      </c>
      <c r="J107" s="446">
        <f t="shared" si="20"/>
        <v>3.5866780529461995</v>
      </c>
      <c r="K107" s="443">
        <f t="shared" si="21"/>
        <v>142.88399999999999</v>
      </c>
      <c r="L107" s="503">
        <f t="shared" si="23"/>
        <v>7.7999999999999996E-3</v>
      </c>
      <c r="M107" s="503"/>
    </row>
    <row r="108" spans="1:13" ht="15" customHeight="1">
      <c r="A108" s="436">
        <f t="shared" si="17"/>
        <v>2010</v>
      </c>
      <c r="B108" s="437">
        <f t="shared" si="17"/>
        <v>11040</v>
      </c>
      <c r="C108" s="497">
        <f t="shared" si="18"/>
        <v>9.3092803198310872</v>
      </c>
      <c r="D108" s="438">
        <f t="shared" si="22"/>
        <v>5</v>
      </c>
      <c r="E108" s="329" t="s">
        <v>301</v>
      </c>
      <c r="F108" s="442" t="s">
        <v>302</v>
      </c>
      <c r="G108" s="504">
        <f>INDEX(LINEST(C104:C114,D104:D114),2)</f>
        <v>9.2668213599166087</v>
      </c>
      <c r="H108" s="442"/>
      <c r="I108" s="443">
        <f t="shared" si="19"/>
        <v>11003</v>
      </c>
      <c r="J108" s="446">
        <f t="shared" si="20"/>
        <v>0.33514492753623187</v>
      </c>
      <c r="K108" s="443">
        <f t="shared" si="21"/>
        <v>1.369</v>
      </c>
      <c r="L108" s="503">
        <f t="shared" si="23"/>
        <v>7.9000000000000008E-3</v>
      </c>
      <c r="M108" s="503"/>
    </row>
    <row r="109" spans="1:13" ht="15" customHeight="1">
      <c r="A109" s="436">
        <f t="shared" si="17"/>
        <v>2011</v>
      </c>
      <c r="B109" s="437">
        <f t="shared" si="17"/>
        <v>11213</v>
      </c>
      <c r="C109" s="497">
        <f t="shared" si="18"/>
        <v>9.3248290984608815</v>
      </c>
      <c r="D109" s="438">
        <f t="shared" si="22"/>
        <v>6</v>
      </c>
      <c r="E109" s="329" t="s">
        <v>303</v>
      </c>
      <c r="F109" s="442" t="s">
        <v>304</v>
      </c>
      <c r="G109" s="504">
        <f>INDEX(LINEST(C104:C114,D104:D114),1)</f>
        <v>7.8238752611006473E-3</v>
      </c>
      <c r="H109" s="442"/>
      <c r="I109" s="443">
        <f t="shared" si="19"/>
        <v>11090</v>
      </c>
      <c r="J109" s="446">
        <f t="shared" si="20"/>
        <v>1.0969410505663069</v>
      </c>
      <c r="K109" s="443">
        <f t="shared" si="21"/>
        <v>15.129</v>
      </c>
      <c r="L109" s="503">
        <f t="shared" si="23"/>
        <v>7.9000000000000008E-3</v>
      </c>
      <c r="M109" s="503"/>
    </row>
    <row r="110" spans="1:13" ht="15" customHeight="1">
      <c r="A110" s="436">
        <f t="shared" si="17"/>
        <v>2012</v>
      </c>
      <c r="B110" s="437">
        <f t="shared" si="17"/>
        <v>11405</v>
      </c>
      <c r="C110" s="497">
        <f t="shared" si="18"/>
        <v>9.3418071347184881</v>
      </c>
      <c r="D110" s="438">
        <f t="shared" si="22"/>
        <v>7</v>
      </c>
      <c r="H110" s="442"/>
      <c r="I110" s="443">
        <f t="shared" si="19"/>
        <v>11177</v>
      </c>
      <c r="J110" s="446">
        <f t="shared" si="20"/>
        <v>1.9991231915826393</v>
      </c>
      <c r="K110" s="443">
        <f t="shared" si="21"/>
        <v>51.984000000000002</v>
      </c>
      <c r="L110" s="503">
        <f t="shared" si="23"/>
        <v>7.7999999999999996E-3</v>
      </c>
      <c r="M110" s="503"/>
    </row>
    <row r="111" spans="1:13" ht="15" customHeight="1">
      <c r="A111" s="436">
        <f t="shared" si="17"/>
        <v>2013</v>
      </c>
      <c r="B111" s="437">
        <f t="shared" si="17"/>
        <v>11441</v>
      </c>
      <c r="C111" s="497">
        <f t="shared" si="18"/>
        <v>9.344958673700944</v>
      </c>
      <c r="D111" s="438">
        <f t="shared" si="22"/>
        <v>8</v>
      </c>
      <c r="E111" s="329" t="s">
        <v>305</v>
      </c>
      <c r="F111" s="505">
        <f>EXP(G108)</f>
        <v>10581.064978252218</v>
      </c>
      <c r="G111" s="451"/>
      <c r="H111" s="442"/>
      <c r="I111" s="443">
        <f t="shared" si="19"/>
        <v>11265</v>
      </c>
      <c r="J111" s="446">
        <f t="shared" si="20"/>
        <v>1.5383270693121232</v>
      </c>
      <c r="K111" s="443">
        <f t="shared" si="21"/>
        <v>30.975999999999999</v>
      </c>
      <c r="L111" s="503">
        <f t="shared" si="23"/>
        <v>7.9000000000000008E-3</v>
      </c>
      <c r="M111" s="503"/>
    </row>
    <row r="112" spans="1:13" ht="15" customHeight="1">
      <c r="A112" s="436">
        <f t="shared" si="17"/>
        <v>2014</v>
      </c>
      <c r="B112" s="437">
        <f t="shared" si="17"/>
        <v>11333</v>
      </c>
      <c r="C112" s="506">
        <f t="shared" si="18"/>
        <v>9.3354741027329489</v>
      </c>
      <c r="D112" s="438">
        <f t="shared" si="22"/>
        <v>9</v>
      </c>
      <c r="E112" s="329" t="s">
        <v>306</v>
      </c>
      <c r="F112" s="507">
        <f>EXP(G109)-1</f>
        <v>7.8545617500331844E-3</v>
      </c>
      <c r="G112" s="451"/>
      <c r="H112" s="442"/>
      <c r="I112" s="443">
        <f t="shared" si="19"/>
        <v>11353</v>
      </c>
      <c r="J112" s="467">
        <f t="shared" si="20"/>
        <v>0.17647577869937353</v>
      </c>
      <c r="K112" s="443">
        <f t="shared" si="21"/>
        <v>0.4</v>
      </c>
      <c r="L112" s="503">
        <f t="shared" si="23"/>
        <v>7.7999999999999996E-3</v>
      </c>
      <c r="M112" s="503"/>
    </row>
    <row r="113" spans="1:13" ht="15" customHeight="1">
      <c r="A113" s="436">
        <f t="shared" si="17"/>
        <v>2015</v>
      </c>
      <c r="B113" s="437">
        <f t="shared" si="17"/>
        <v>11390</v>
      </c>
      <c r="C113" s="506">
        <f t="shared" si="18"/>
        <v>9.3404910564412287</v>
      </c>
      <c r="D113" s="508">
        <f t="shared" si="22"/>
        <v>10</v>
      </c>
      <c r="H113" s="509"/>
      <c r="I113" s="443">
        <f t="shared" si="19"/>
        <v>11442</v>
      </c>
      <c r="J113" s="467">
        <f t="shared" si="20"/>
        <v>0.45654082528533807</v>
      </c>
      <c r="K113" s="443">
        <f t="shared" si="21"/>
        <v>2.7040000000000002</v>
      </c>
      <c r="L113" s="503">
        <f t="shared" si="23"/>
        <v>7.7999999999999996E-3</v>
      </c>
      <c r="M113" s="503"/>
    </row>
    <row r="114" spans="1:13" ht="15" customHeight="1" thickBot="1">
      <c r="A114" s="436">
        <f t="shared" si="17"/>
        <v>2016</v>
      </c>
      <c r="B114" s="437">
        <f t="shared" si="17"/>
        <v>11393</v>
      </c>
      <c r="C114" s="506">
        <f t="shared" si="18"/>
        <v>9.340754410698116</v>
      </c>
      <c r="D114" s="508">
        <f t="shared" si="22"/>
        <v>11</v>
      </c>
      <c r="G114" s="510"/>
      <c r="H114" s="509"/>
      <c r="I114" s="443">
        <f t="shared" si="19"/>
        <v>11532</v>
      </c>
      <c r="J114" s="467">
        <f t="shared" si="20"/>
        <v>1.2200473975247959</v>
      </c>
      <c r="K114" s="443">
        <f t="shared" si="21"/>
        <v>19.321000000000002</v>
      </c>
      <c r="L114" s="503">
        <f t="shared" si="23"/>
        <v>7.9000000000000008E-3</v>
      </c>
      <c r="M114" s="503"/>
    </row>
    <row r="115" spans="1:13" ht="15" customHeight="1" thickTop="1">
      <c r="A115" s="511">
        <f t="shared" si="17"/>
        <v>2017</v>
      </c>
      <c r="B115" s="459">
        <f t="shared" ref="B115:B136" si="24">ROUND($F$111*(1+$F$112)^D115,$G$1)</f>
        <v>11623</v>
      </c>
      <c r="C115" s="512"/>
      <c r="D115" s="513">
        <f t="shared" si="22"/>
        <v>12</v>
      </c>
      <c r="E115" s="2314" t="s">
        <v>276</v>
      </c>
      <c r="F115" s="2315"/>
      <c r="G115" s="514">
        <f>I103</f>
        <v>0.72979428193523177</v>
      </c>
      <c r="H115" s="515"/>
      <c r="I115" s="464">
        <f t="shared" si="19"/>
        <v>11623</v>
      </c>
      <c r="J115" s="463"/>
      <c r="K115" s="464"/>
      <c r="L115" s="503">
        <f t="shared" si="23"/>
        <v>7.9000000000000008E-3</v>
      </c>
      <c r="M115" s="503"/>
    </row>
    <row r="116" spans="1:13" ht="15" customHeight="1">
      <c r="A116" s="436">
        <f t="shared" si="17"/>
        <v>2018</v>
      </c>
      <c r="B116" s="437">
        <f t="shared" si="24"/>
        <v>11714</v>
      </c>
      <c r="C116" s="506"/>
      <c r="D116" s="508">
        <f t="shared" si="22"/>
        <v>13</v>
      </c>
      <c r="E116" s="2318" t="s">
        <v>294</v>
      </c>
      <c r="F116" s="2320"/>
      <c r="G116" s="448">
        <f>SUM(K104:K114)</f>
        <v>304.3</v>
      </c>
      <c r="H116" s="509"/>
      <c r="I116" s="443">
        <f t="shared" si="19"/>
        <v>11714</v>
      </c>
      <c r="J116" s="467"/>
      <c r="K116" s="443"/>
      <c r="L116" s="503">
        <f t="shared" si="23"/>
        <v>7.7999999999999996E-3</v>
      </c>
      <c r="M116" s="503"/>
    </row>
    <row r="117" spans="1:13" ht="15" customHeight="1">
      <c r="A117" s="436">
        <f t="shared" si="17"/>
        <v>2019</v>
      </c>
      <c r="B117" s="437">
        <f t="shared" si="24"/>
        <v>11806</v>
      </c>
      <c r="C117" s="506"/>
      <c r="D117" s="508">
        <f t="shared" si="22"/>
        <v>14</v>
      </c>
      <c r="E117" s="2318" t="s">
        <v>278</v>
      </c>
      <c r="F117" s="2320"/>
      <c r="G117" s="449">
        <f>SUM(J104:J114)/D114</f>
        <v>1.2260159742534968</v>
      </c>
      <c r="H117" s="509"/>
      <c r="I117" s="443">
        <f t="shared" si="19"/>
        <v>11806</v>
      </c>
      <c r="J117" s="467"/>
      <c r="K117" s="443"/>
      <c r="L117" s="503">
        <f t="shared" si="23"/>
        <v>7.9000000000000008E-3</v>
      </c>
      <c r="M117" s="503"/>
    </row>
    <row r="118" spans="1:13" ht="15" customHeight="1">
      <c r="A118" s="436">
        <f t="shared" si="17"/>
        <v>2020</v>
      </c>
      <c r="B118" s="437">
        <f t="shared" si="24"/>
        <v>11899</v>
      </c>
      <c r="C118" s="506"/>
      <c r="D118" s="508">
        <f t="shared" si="22"/>
        <v>15</v>
      </c>
      <c r="H118" s="509"/>
      <c r="I118" s="443">
        <f t="shared" si="19"/>
        <v>11899</v>
      </c>
      <c r="J118" s="467"/>
      <c r="K118" s="443"/>
      <c r="L118" s="503">
        <f t="shared" si="23"/>
        <v>7.9000000000000008E-3</v>
      </c>
      <c r="M118" s="503"/>
    </row>
    <row r="119" spans="1:13" ht="15" customHeight="1">
      <c r="A119" s="436">
        <f t="shared" si="17"/>
        <v>2021</v>
      </c>
      <c r="B119" s="437">
        <f t="shared" si="24"/>
        <v>11992</v>
      </c>
      <c r="C119" s="506"/>
      <c r="D119" s="508">
        <f t="shared" si="22"/>
        <v>16</v>
      </c>
      <c r="E119" s="451"/>
      <c r="F119" s="451"/>
      <c r="G119" s="451"/>
      <c r="H119" s="509"/>
      <c r="I119" s="443">
        <f t="shared" si="19"/>
        <v>11992</v>
      </c>
      <c r="J119" s="467"/>
      <c r="K119" s="443"/>
      <c r="L119" s="503">
        <f t="shared" si="23"/>
        <v>7.7999999999999996E-3</v>
      </c>
      <c r="M119" s="503"/>
    </row>
    <row r="120" spans="1:13" ht="15" customHeight="1">
      <c r="A120" s="436">
        <f t="shared" ref="A120:A136" si="25">A81</f>
        <v>2022</v>
      </c>
      <c r="B120" s="437">
        <f t="shared" si="24"/>
        <v>12086</v>
      </c>
      <c r="C120" s="506"/>
      <c r="D120" s="508">
        <f t="shared" si="22"/>
        <v>17</v>
      </c>
      <c r="E120" s="516"/>
      <c r="F120" s="517"/>
      <c r="G120" s="509"/>
      <c r="H120" s="509"/>
      <c r="I120" s="443">
        <f t="shared" si="19"/>
        <v>12086</v>
      </c>
      <c r="J120" s="467"/>
      <c r="K120" s="443"/>
      <c r="L120" s="503">
        <f t="shared" si="23"/>
        <v>7.7999999999999996E-3</v>
      </c>
      <c r="M120" s="503"/>
    </row>
    <row r="121" spans="1:13" ht="15" customHeight="1">
      <c r="A121" s="436">
        <f t="shared" si="25"/>
        <v>2023</v>
      </c>
      <c r="B121" s="437">
        <f t="shared" si="24"/>
        <v>12181</v>
      </c>
      <c r="C121" s="506"/>
      <c r="D121" s="508">
        <f t="shared" si="22"/>
        <v>18</v>
      </c>
      <c r="E121" s="509"/>
      <c r="F121" s="509"/>
      <c r="G121" s="518"/>
      <c r="H121" s="509"/>
      <c r="I121" s="443">
        <f t="shared" si="19"/>
        <v>12181</v>
      </c>
      <c r="J121" s="467"/>
      <c r="K121" s="443"/>
      <c r="L121" s="503">
        <f t="shared" si="23"/>
        <v>7.9000000000000008E-3</v>
      </c>
      <c r="M121" s="503"/>
    </row>
    <row r="122" spans="1:13" s="451" customFormat="1" ht="15" customHeight="1">
      <c r="A122" s="436">
        <f t="shared" si="25"/>
        <v>2024</v>
      </c>
      <c r="B122" s="437">
        <f t="shared" si="24"/>
        <v>12277</v>
      </c>
      <c r="C122" s="506"/>
      <c r="D122" s="508">
        <f t="shared" si="22"/>
        <v>19</v>
      </c>
      <c r="G122" s="518"/>
      <c r="H122" s="509"/>
      <c r="I122" s="443">
        <f t="shared" si="19"/>
        <v>12277</v>
      </c>
      <c r="J122" s="467"/>
      <c r="K122" s="443"/>
      <c r="L122" s="503">
        <f t="shared" si="23"/>
        <v>7.9000000000000008E-3</v>
      </c>
      <c r="M122" s="503"/>
    </row>
    <row r="123" spans="1:13" ht="15" customHeight="1">
      <c r="A123" s="436">
        <f t="shared" si="25"/>
        <v>2025</v>
      </c>
      <c r="B123" s="437">
        <f t="shared" si="24"/>
        <v>12373</v>
      </c>
      <c r="C123" s="506"/>
      <c r="D123" s="508">
        <f t="shared" si="22"/>
        <v>20</v>
      </c>
      <c r="E123" s="519"/>
      <c r="F123" s="451"/>
      <c r="G123" s="451"/>
      <c r="H123" s="451"/>
      <c r="I123" s="443">
        <f t="shared" si="19"/>
        <v>12373</v>
      </c>
      <c r="J123" s="467"/>
      <c r="K123" s="443"/>
      <c r="L123" s="503">
        <f t="shared" si="23"/>
        <v>7.7999999999999996E-3</v>
      </c>
      <c r="M123" s="503"/>
    </row>
    <row r="124" spans="1:13" s="451" customFormat="1" ht="15" customHeight="1">
      <c r="A124" s="436">
        <f t="shared" si="25"/>
        <v>2026</v>
      </c>
      <c r="B124" s="437">
        <f t="shared" si="24"/>
        <v>12471</v>
      </c>
      <c r="C124" s="506"/>
      <c r="D124" s="508">
        <f t="shared" si="22"/>
        <v>21</v>
      </c>
      <c r="E124" s="519"/>
      <c r="I124" s="443">
        <f t="shared" si="19"/>
        <v>12471</v>
      </c>
      <c r="J124" s="467"/>
      <c r="K124" s="443"/>
      <c r="L124" s="503">
        <f t="shared" si="23"/>
        <v>7.9000000000000008E-3</v>
      </c>
      <c r="M124" s="503"/>
    </row>
    <row r="125" spans="1:13" s="451" customFormat="1" ht="15" customHeight="1">
      <c r="A125" s="436">
        <f t="shared" si="25"/>
        <v>2027</v>
      </c>
      <c r="B125" s="437">
        <f t="shared" si="24"/>
        <v>12568</v>
      </c>
      <c r="C125" s="506"/>
      <c r="D125" s="508">
        <f t="shared" si="22"/>
        <v>22</v>
      </c>
      <c r="E125" s="519"/>
      <c r="I125" s="443">
        <f t="shared" si="19"/>
        <v>12568</v>
      </c>
      <c r="J125" s="467"/>
      <c r="K125" s="443"/>
      <c r="L125" s="503">
        <f t="shared" si="23"/>
        <v>7.7999999999999996E-3</v>
      </c>
      <c r="M125" s="503"/>
    </row>
    <row r="126" spans="1:13" ht="15" customHeight="1">
      <c r="A126" s="436">
        <f t="shared" si="25"/>
        <v>2028</v>
      </c>
      <c r="B126" s="437">
        <f t="shared" si="24"/>
        <v>12667</v>
      </c>
      <c r="C126" s="520"/>
      <c r="D126" s="508">
        <f t="shared" si="22"/>
        <v>23</v>
      </c>
      <c r="E126" s="521"/>
      <c r="F126" s="468"/>
      <c r="G126" s="451"/>
      <c r="H126" s="451"/>
      <c r="I126" s="443">
        <f t="shared" si="19"/>
        <v>12667</v>
      </c>
      <c r="J126" s="469"/>
      <c r="K126" s="469"/>
      <c r="L126" s="503">
        <f t="shared" si="23"/>
        <v>7.9000000000000008E-3</v>
      </c>
      <c r="M126" s="503"/>
    </row>
    <row r="127" spans="1:13" ht="15" customHeight="1">
      <c r="A127" s="436">
        <f t="shared" si="25"/>
        <v>2029</v>
      </c>
      <c r="B127" s="437">
        <f t="shared" si="24"/>
        <v>12767</v>
      </c>
      <c r="C127" s="520"/>
      <c r="D127" s="508">
        <f t="shared" si="22"/>
        <v>24</v>
      </c>
      <c r="E127" s="521"/>
      <c r="F127" s="468"/>
      <c r="G127" s="451"/>
      <c r="H127" s="451"/>
      <c r="I127" s="443">
        <f t="shared" si="19"/>
        <v>12767</v>
      </c>
      <c r="J127" s="469"/>
      <c r="K127" s="469"/>
      <c r="L127" s="503">
        <f t="shared" si="23"/>
        <v>7.9000000000000008E-3</v>
      </c>
      <c r="M127" s="503"/>
    </row>
    <row r="128" spans="1:13" ht="15" customHeight="1">
      <c r="A128" s="436">
        <f t="shared" si="25"/>
        <v>2030</v>
      </c>
      <c r="B128" s="437">
        <f t="shared" si="24"/>
        <v>12867</v>
      </c>
      <c r="C128" s="520"/>
      <c r="D128" s="508">
        <f t="shared" si="22"/>
        <v>25</v>
      </c>
      <c r="E128" s="521"/>
      <c r="F128" s="468"/>
      <c r="G128" s="451"/>
      <c r="H128" s="451"/>
      <c r="I128" s="443">
        <f t="shared" si="19"/>
        <v>12867</v>
      </c>
      <c r="J128" s="469"/>
      <c r="K128" s="469"/>
      <c r="L128" s="503">
        <f t="shared" si="23"/>
        <v>7.7999999999999996E-3</v>
      </c>
      <c r="M128" s="503"/>
    </row>
    <row r="129" spans="1:102" ht="15" customHeight="1">
      <c r="A129" s="436">
        <f t="shared" si="25"/>
        <v>2031</v>
      </c>
      <c r="B129" s="437">
        <f t="shared" si="24"/>
        <v>12968</v>
      </c>
      <c r="C129" s="520"/>
      <c r="D129" s="508">
        <f t="shared" si="22"/>
        <v>26</v>
      </c>
      <c r="E129" s="521"/>
      <c r="F129" s="468"/>
      <c r="G129" s="451"/>
      <c r="H129" s="451"/>
      <c r="I129" s="443">
        <f t="shared" si="19"/>
        <v>12968</v>
      </c>
      <c r="J129" s="469"/>
      <c r="K129" s="469"/>
      <c r="L129" s="503">
        <f t="shared" si="23"/>
        <v>7.7999999999999996E-3</v>
      </c>
      <c r="M129" s="503"/>
    </row>
    <row r="130" spans="1:102" ht="15" customHeight="1">
      <c r="A130" s="436">
        <f t="shared" si="25"/>
        <v>2032</v>
      </c>
      <c r="B130" s="437">
        <f t="shared" si="24"/>
        <v>13070</v>
      </c>
      <c r="C130" s="520"/>
      <c r="D130" s="508">
        <f t="shared" si="22"/>
        <v>27</v>
      </c>
      <c r="E130" s="521"/>
      <c r="F130" s="468"/>
      <c r="G130" s="451"/>
      <c r="H130" s="451"/>
      <c r="I130" s="443">
        <f t="shared" si="19"/>
        <v>13070</v>
      </c>
      <c r="J130" s="469"/>
      <c r="K130" s="469"/>
      <c r="L130" s="503">
        <f t="shared" si="23"/>
        <v>7.9000000000000008E-3</v>
      </c>
      <c r="M130" s="503"/>
    </row>
    <row r="131" spans="1:102" ht="15" customHeight="1">
      <c r="A131" s="436">
        <f t="shared" si="25"/>
        <v>2033</v>
      </c>
      <c r="B131" s="437">
        <f t="shared" si="24"/>
        <v>13173</v>
      </c>
      <c r="C131" s="520"/>
      <c r="D131" s="508">
        <f t="shared" si="22"/>
        <v>28</v>
      </c>
      <c r="E131" s="521"/>
      <c r="F131" s="468"/>
      <c r="G131" s="451"/>
      <c r="H131" s="451"/>
      <c r="I131" s="443">
        <f t="shared" si="19"/>
        <v>13173</v>
      </c>
      <c r="J131" s="469"/>
      <c r="K131" s="469"/>
      <c r="L131" s="503">
        <f t="shared" si="23"/>
        <v>7.9000000000000008E-3</v>
      </c>
      <c r="M131" s="503"/>
    </row>
    <row r="132" spans="1:102" ht="15" customHeight="1">
      <c r="A132" s="436">
        <f t="shared" si="25"/>
        <v>2034</v>
      </c>
      <c r="B132" s="437">
        <f t="shared" si="24"/>
        <v>13276</v>
      </c>
      <c r="C132" s="520"/>
      <c r="D132" s="508">
        <f t="shared" si="22"/>
        <v>29</v>
      </c>
      <c r="E132" s="521"/>
      <c r="F132" s="468"/>
      <c r="G132" s="451"/>
      <c r="H132" s="451"/>
      <c r="I132" s="443">
        <f t="shared" si="19"/>
        <v>13276</v>
      </c>
      <c r="J132" s="469"/>
      <c r="K132" s="469"/>
      <c r="L132" s="503">
        <f t="shared" si="23"/>
        <v>7.7999999999999996E-3</v>
      </c>
      <c r="M132" s="503"/>
    </row>
    <row r="133" spans="1:102" ht="15" customHeight="1">
      <c r="A133" s="522">
        <f t="shared" si="25"/>
        <v>2035</v>
      </c>
      <c r="B133" s="523">
        <f t="shared" si="24"/>
        <v>13380</v>
      </c>
      <c r="C133" s="524"/>
      <c r="D133" s="525">
        <f t="shared" si="22"/>
        <v>30</v>
      </c>
      <c r="E133" s="526"/>
      <c r="F133" s="527"/>
      <c r="G133" s="426"/>
      <c r="H133" s="426"/>
      <c r="I133" s="528">
        <f t="shared" si="19"/>
        <v>13380</v>
      </c>
      <c r="J133" s="529"/>
      <c r="K133" s="529"/>
      <c r="L133" s="503">
        <f t="shared" si="23"/>
        <v>7.7999999999999996E-3</v>
      </c>
      <c r="M133" s="503"/>
    </row>
    <row r="134" spans="1:102" ht="15" customHeight="1">
      <c r="A134" s="522">
        <f t="shared" si="25"/>
        <v>2036</v>
      </c>
      <c r="B134" s="523">
        <f t="shared" si="24"/>
        <v>13485</v>
      </c>
      <c r="C134" s="524"/>
      <c r="D134" s="525">
        <f t="shared" si="22"/>
        <v>31</v>
      </c>
      <c r="E134" s="526"/>
      <c r="F134" s="527"/>
      <c r="G134" s="426"/>
      <c r="H134" s="426"/>
      <c r="I134" s="528">
        <f t="shared" si="19"/>
        <v>13485</v>
      </c>
      <c r="J134" s="529"/>
      <c r="K134" s="529"/>
      <c r="L134" s="503">
        <f t="shared" si="23"/>
        <v>7.7999999999999996E-3</v>
      </c>
      <c r="M134" s="503"/>
    </row>
    <row r="135" spans="1:102" ht="15" customHeight="1">
      <c r="A135" s="522">
        <f t="shared" si="25"/>
        <v>2037</v>
      </c>
      <c r="B135" s="523">
        <f t="shared" si="24"/>
        <v>13591</v>
      </c>
      <c r="C135" s="524"/>
      <c r="D135" s="525">
        <f t="shared" si="22"/>
        <v>32</v>
      </c>
      <c r="E135" s="526"/>
      <c r="F135" s="527"/>
      <c r="G135" s="426"/>
      <c r="H135" s="426"/>
      <c r="I135" s="528">
        <f t="shared" si="19"/>
        <v>13591</v>
      </c>
      <c r="J135" s="529"/>
      <c r="K135" s="529"/>
      <c r="L135" s="503">
        <f t="shared" si="23"/>
        <v>7.9000000000000008E-3</v>
      </c>
      <c r="M135" s="503"/>
    </row>
    <row r="136" spans="1:102" ht="15" customHeight="1">
      <c r="A136" s="522">
        <f t="shared" si="25"/>
        <v>2038</v>
      </c>
      <c r="B136" s="523">
        <f t="shared" si="24"/>
        <v>13698</v>
      </c>
      <c r="C136" s="524"/>
      <c r="D136" s="525">
        <f t="shared" si="22"/>
        <v>33</v>
      </c>
      <c r="E136" s="526"/>
      <c r="F136" s="527"/>
      <c r="G136" s="426"/>
      <c r="H136" s="426"/>
      <c r="I136" s="528">
        <f t="shared" si="19"/>
        <v>13698</v>
      </c>
      <c r="J136" s="529"/>
      <c r="K136" s="529"/>
      <c r="L136" s="503">
        <f t="shared" si="23"/>
        <v>7.9000000000000008E-3</v>
      </c>
      <c r="M136" s="503"/>
    </row>
    <row r="137" spans="1:102" ht="15" customHeight="1">
      <c r="A137" s="491"/>
      <c r="B137" s="492"/>
      <c r="C137" s="451"/>
      <c r="D137" s="439"/>
      <c r="E137" s="530"/>
      <c r="F137" s="468"/>
      <c r="G137" s="451"/>
      <c r="H137" s="451"/>
      <c r="I137" s="492"/>
      <c r="J137" s="493"/>
      <c r="K137" s="493"/>
      <c r="L137" s="503"/>
      <c r="M137" s="503"/>
    </row>
    <row r="138" spans="1:102" ht="15" customHeight="1">
      <c r="A138" s="491"/>
      <c r="B138" s="492"/>
      <c r="C138" s="451"/>
      <c r="D138" s="439"/>
      <c r="E138" s="530"/>
      <c r="F138" s="468"/>
      <c r="G138" s="451"/>
      <c r="H138" s="451"/>
      <c r="I138" s="492"/>
      <c r="J138" s="493"/>
      <c r="K138" s="493"/>
      <c r="L138" s="503"/>
      <c r="M138" s="503"/>
    </row>
    <row r="139" spans="1:102" ht="15" customHeight="1">
      <c r="A139" s="491"/>
      <c r="B139" s="493"/>
      <c r="C139" s="451"/>
      <c r="D139" s="439"/>
      <c r="E139" s="530"/>
      <c r="F139" s="468"/>
      <c r="G139" s="451"/>
      <c r="H139" s="451"/>
      <c r="I139" s="531"/>
      <c r="J139" s="531"/>
    </row>
    <row r="140" spans="1:102" ht="15" customHeight="1">
      <c r="A140" s="424" t="s">
        <v>307</v>
      </c>
    </row>
    <row r="141" spans="1:102" ht="15" customHeight="1">
      <c r="A141" s="427" t="s">
        <v>264</v>
      </c>
      <c r="B141" s="428" t="s">
        <v>286</v>
      </c>
      <c r="C141" s="429" t="s">
        <v>308</v>
      </c>
      <c r="D141" s="429" t="s">
        <v>287</v>
      </c>
      <c r="E141" s="429" t="s">
        <v>309</v>
      </c>
      <c r="F141" s="496"/>
      <c r="G141" s="430"/>
      <c r="H141" s="432" t="s">
        <v>288</v>
      </c>
      <c r="I141" s="433">
        <f>RSQ(I142:I152,B142:B152)</f>
        <v>0.65899705715760293</v>
      </c>
      <c r="J141" s="434" t="s">
        <v>289</v>
      </c>
      <c r="K141" s="435" t="s">
        <v>290</v>
      </c>
      <c r="M141" s="532" t="s">
        <v>308</v>
      </c>
      <c r="N141" s="431"/>
      <c r="O141" s="432" t="s">
        <v>288</v>
      </c>
      <c r="P141" s="433">
        <f>RSQ($B142:$B152,Q142:Q152)</f>
        <v>0.65853806419395711</v>
      </c>
      <c r="Q141" s="434" t="s">
        <v>310</v>
      </c>
      <c r="R141" s="435" t="s">
        <v>290</v>
      </c>
      <c r="T141" s="532" t="s">
        <v>308</v>
      </c>
      <c r="U141" s="431"/>
      <c r="V141" s="432" t="s">
        <v>288</v>
      </c>
      <c r="W141" s="433">
        <f>RSQ($B142:$B152,X142:X152)</f>
        <v>0.65853806419395711</v>
      </c>
      <c r="X141" s="434" t="s">
        <v>310</v>
      </c>
      <c r="Y141" s="435" t="s">
        <v>290</v>
      </c>
      <c r="AA141" s="532" t="s">
        <v>308</v>
      </c>
      <c r="AB141" s="431"/>
      <c r="AC141" s="432" t="s">
        <v>288</v>
      </c>
      <c r="AD141" s="433">
        <f>RSQ($B142:$B152,AE142:AE152)</f>
        <v>0.65853806419395711</v>
      </c>
      <c r="AE141" s="434" t="s">
        <v>310</v>
      </c>
      <c r="AF141" s="435" t="s">
        <v>290</v>
      </c>
      <c r="AH141" s="532" t="s">
        <v>308</v>
      </c>
      <c r="AI141" s="431"/>
      <c r="AJ141" s="432" t="s">
        <v>288</v>
      </c>
      <c r="AK141" s="433">
        <f>RSQ($B142:$B152,AL142:AL152)</f>
        <v>0.65853806419395711</v>
      </c>
      <c r="AL141" s="434" t="s">
        <v>310</v>
      </c>
      <c r="AM141" s="435" t="s">
        <v>290</v>
      </c>
      <c r="AO141" s="532" t="s">
        <v>308</v>
      </c>
      <c r="AP141" s="431"/>
      <c r="AQ141" s="432" t="s">
        <v>288</v>
      </c>
      <c r="AR141" s="433">
        <f>RSQ($B142:$B152,AS142:AS152)</f>
        <v>0.65853806419395711</v>
      </c>
      <c r="AS141" s="434" t="s">
        <v>310</v>
      </c>
      <c r="AT141" s="435" t="s">
        <v>290</v>
      </c>
      <c r="AV141" s="532" t="s">
        <v>308</v>
      </c>
      <c r="AW141" s="431"/>
      <c r="AX141" s="432" t="s">
        <v>288</v>
      </c>
      <c r="AY141" s="433">
        <f>RSQ($B142:$B152,AZ142:AZ152)</f>
        <v>0.65853806419395711</v>
      </c>
      <c r="AZ141" s="434" t="s">
        <v>310</v>
      </c>
      <c r="BA141" s="435" t="s">
        <v>290</v>
      </c>
      <c r="BC141" s="532" t="s">
        <v>308</v>
      </c>
      <c r="BD141" s="431"/>
      <c r="BE141" s="432" t="s">
        <v>288</v>
      </c>
      <c r="BF141" s="433">
        <f>RSQ($B142:$B152,BG142:BG152)</f>
        <v>0.65853806419395711</v>
      </c>
      <c r="BG141" s="434" t="s">
        <v>310</v>
      </c>
      <c r="BH141" s="435" t="s">
        <v>290</v>
      </c>
      <c r="BJ141" s="532" t="s">
        <v>308</v>
      </c>
      <c r="BK141" s="431"/>
      <c r="BL141" s="432" t="s">
        <v>288</v>
      </c>
      <c r="BM141" s="433">
        <f>RSQ($B142:$B152,BN142:BN152)</f>
        <v>0.65890706443118641</v>
      </c>
      <c r="BN141" s="434" t="s">
        <v>310</v>
      </c>
      <c r="BO141" s="435" t="s">
        <v>290</v>
      </c>
      <c r="BQ141" s="532" t="s">
        <v>308</v>
      </c>
      <c r="BR141" s="431"/>
      <c r="BS141" s="432" t="s">
        <v>288</v>
      </c>
      <c r="BT141" s="433">
        <f>RSQ($B142:$B152,BU142:BU152)</f>
        <v>0.65890706443118641</v>
      </c>
      <c r="BU141" s="434" t="s">
        <v>310</v>
      </c>
      <c r="BV141" s="435" t="s">
        <v>290</v>
      </c>
      <c r="BX141" s="532" t="s">
        <v>308</v>
      </c>
      <c r="BY141" s="431"/>
      <c r="BZ141" s="432" t="s">
        <v>288</v>
      </c>
      <c r="CA141" s="433">
        <f>RSQ($B142:$B152,CB142:CB152)</f>
        <v>0.65890706443118641</v>
      </c>
      <c r="CB141" s="434" t="s">
        <v>310</v>
      </c>
      <c r="CC141" s="435" t="s">
        <v>290</v>
      </c>
      <c r="CE141" s="532" t="s">
        <v>308</v>
      </c>
      <c r="CF141" s="431"/>
      <c r="CG141" s="432" t="s">
        <v>288</v>
      </c>
      <c r="CH141" s="433">
        <f>RSQ($B142:$B152,CI142:CI152)</f>
        <v>0.65859657278479167</v>
      </c>
      <c r="CI141" s="434" t="s">
        <v>310</v>
      </c>
      <c r="CJ141" s="435" t="s">
        <v>290</v>
      </c>
      <c r="CL141" s="532" t="s">
        <v>308</v>
      </c>
      <c r="CM141" s="431"/>
      <c r="CN141" s="432" t="s">
        <v>288</v>
      </c>
      <c r="CO141" s="433">
        <f>RSQ($B142:$B152,CP142:CP152)</f>
        <v>0.65899705715760293</v>
      </c>
      <c r="CP141" s="434" t="s">
        <v>310</v>
      </c>
      <c r="CQ141" s="435" t="s">
        <v>290</v>
      </c>
      <c r="CS141" s="532" t="s">
        <v>308</v>
      </c>
      <c r="CT141" s="431"/>
      <c r="CU141" s="432" t="s">
        <v>288</v>
      </c>
      <c r="CV141" s="433">
        <f>RSQ($B142:$B152,CW142:CW152)</f>
        <v>0.65865498129653588</v>
      </c>
      <c r="CW141" s="434" t="s">
        <v>310</v>
      </c>
      <c r="CX141" s="435" t="s">
        <v>290</v>
      </c>
    </row>
    <row r="142" spans="1:102" ht="15" customHeight="1">
      <c r="A142" s="436">
        <f t="shared" ref="A142:B157" si="26">A104</f>
        <v>2006</v>
      </c>
      <c r="B142" s="437">
        <f t="shared" si="26"/>
        <v>10733</v>
      </c>
      <c r="C142" s="533">
        <f>LN(B142-$G$147)</f>
        <v>7.9094894926737593</v>
      </c>
      <c r="D142" s="438">
        <f t="shared" ref="D142:D174" si="27">C65</f>
        <v>1</v>
      </c>
      <c r="E142" s="534">
        <f>LN(D142)</f>
        <v>0</v>
      </c>
      <c r="F142" s="498" t="s">
        <v>311</v>
      </c>
      <c r="I142" s="502">
        <f t="shared" ref="I142:I174" si="28">ROUND($G$147+$G$150*D142^$G$148,$G$1)</f>
        <v>10551</v>
      </c>
      <c r="J142" s="444">
        <f t="shared" ref="J142:J152" si="29">ABS(B142-I142)/B142*100</f>
        <v>1.6957048355538993</v>
      </c>
      <c r="K142" s="535">
        <f>(B142-I142)^2/1000</f>
        <v>33.124000000000002</v>
      </c>
      <c r="M142" s="536">
        <f>LN($B142-$O$144)</f>
        <v>7.9490914998305167</v>
      </c>
      <c r="N142" s="331"/>
      <c r="O142" s="331"/>
      <c r="P142" s="331"/>
      <c r="Q142" s="443">
        <f t="shared" ref="Q142:Q152" si="30">ROUND($O$147*D142^$O$145+$O$144,$G$1)</f>
        <v>10550</v>
      </c>
      <c r="R142" s="502">
        <f t="shared" ref="R142:R152" si="31">($B142-Q142)^2/1000</f>
        <v>33.488999999999997</v>
      </c>
      <c r="T142" s="536">
        <f>LN($B142-$V$144)</f>
        <v>7.9455554282534893</v>
      </c>
      <c r="U142" s="331"/>
      <c r="V142" s="331"/>
      <c r="W142" s="331"/>
      <c r="X142" s="443">
        <f t="shared" ref="X142:X152" si="32">ROUND($V$147*D142^$V$145+$V$144,$G$1)</f>
        <v>10550</v>
      </c>
      <c r="Y142" s="502">
        <f t="shared" ref="Y142:Y152" si="33">($B142-X142)^2/1000</f>
        <v>33.488999999999997</v>
      </c>
      <c r="AA142" s="536">
        <f>LN($B142-$AC$144)</f>
        <v>7.9420068084898565</v>
      </c>
      <c r="AB142" s="331"/>
      <c r="AC142" s="331"/>
      <c r="AD142" s="331"/>
      <c r="AE142" s="443">
        <f t="shared" ref="AE142:AE152" si="34">ROUND($AC$147*$D142^$AC$145+$AC$144,$G$1)</f>
        <v>10550</v>
      </c>
      <c r="AF142" s="502">
        <f t="shared" ref="AF142:AF152" si="35">($B142-AE142)^2/1000</f>
        <v>33.488999999999997</v>
      </c>
      <c r="AH142" s="536">
        <f>LN($B142-$AJ$144)</f>
        <v>7.9384455511647882</v>
      </c>
      <c r="AI142" s="331"/>
      <c r="AJ142" s="331"/>
      <c r="AK142" s="331"/>
      <c r="AL142" s="443">
        <f t="shared" ref="AL142:AL152" si="36">ROUND($AJ$147*$D142^$AJ$145+$AJ$144,$G$1)</f>
        <v>10550</v>
      </c>
      <c r="AM142" s="502">
        <f t="shared" ref="AM142:AM152" si="37">($B142-AL142)^2/1000</f>
        <v>33.488999999999997</v>
      </c>
      <c r="AO142" s="536">
        <f>LN($B142-$AQ$144)</f>
        <v>7.9348715659451772</v>
      </c>
      <c r="AP142" s="331"/>
      <c r="AQ142" s="331"/>
      <c r="AR142" s="331"/>
      <c r="AS142" s="443">
        <f t="shared" ref="AS142:AS152" si="38">ROUND($AQ$147*$D142^$AQ$145+$AQ$144,$G$1)</f>
        <v>10550</v>
      </c>
      <c r="AT142" s="502">
        <f t="shared" ref="AT142:AT152" si="39">($B142-AS142)^2/1000</f>
        <v>33.488999999999997</v>
      </c>
      <c r="AV142" s="536">
        <f>LN($B142-$AX$144)</f>
        <v>7.931284761525891</v>
      </c>
      <c r="AW142" s="331"/>
      <c r="AX142" s="331"/>
      <c r="AY142" s="331"/>
      <c r="AZ142" s="443">
        <f t="shared" ref="AZ142:AZ152" si="40">ROUND($AX$147*$D142^$AX$145+$AX$144,$G$1)</f>
        <v>10550</v>
      </c>
      <c r="BA142" s="502">
        <f t="shared" ref="BA142:BA152" si="41">($B142-AZ142)^2/1000</f>
        <v>33.488999999999997</v>
      </c>
      <c r="BC142" s="536">
        <f>LN($B142-$BE$144)</f>
        <v>7.9276850456157781</v>
      </c>
      <c r="BD142" s="331"/>
      <c r="BE142" s="331"/>
      <c r="BF142" s="331"/>
      <c r="BG142" s="443">
        <f t="shared" ref="BG142:BG152" si="42">ROUND($BE$147*$D142^$BE$145+$BE$144,$G$1)</f>
        <v>10550</v>
      </c>
      <c r="BH142" s="502">
        <f t="shared" ref="BH142:BH152" si="43">($B142-BG142)^2/1000</f>
        <v>33.488999999999997</v>
      </c>
      <c r="BJ142" s="536">
        <f>LN($B142-$BL$144)</f>
        <v>7.9240723249234168</v>
      </c>
      <c r="BK142" s="331"/>
      <c r="BL142" s="331"/>
      <c r="BM142" s="331"/>
      <c r="BN142" s="443">
        <f t="shared" ref="BN142:BN152" si="44">ROUND($BL$147*$D142^$BL$145+$BL$144,$G$1)</f>
        <v>10551</v>
      </c>
      <c r="BO142" s="502">
        <f t="shared" ref="BO142:BO152" si="45">($B142-BN142)^2/1000</f>
        <v>33.124000000000002</v>
      </c>
      <c r="BQ142" s="536">
        <f>LN($B142-$BS$144)</f>
        <v>7.920446505142607</v>
      </c>
      <c r="BR142" s="331"/>
      <c r="BS142" s="331"/>
      <c r="BT142" s="331"/>
      <c r="BU142" s="443">
        <f t="shared" ref="BU142:BU152" si="46">ROUND($BS$147*$D142^$BS$145+$BS$144,$G$1)</f>
        <v>10551</v>
      </c>
      <c r="BV142" s="502">
        <f t="shared" ref="BV142:BV152" si="47">($B142-BU142)^2/1000</f>
        <v>33.124000000000002</v>
      </c>
      <c r="BX142" s="536">
        <f>LN($B142-$BZ$144)</f>
        <v>7.9168074909376029</v>
      </c>
      <c r="BY142" s="331"/>
      <c r="BZ142" s="331"/>
      <c r="CA142" s="331"/>
      <c r="CB142" s="443">
        <f t="shared" ref="CB142:CB152" si="48">ROUND($BZ$147*$D142^$BZ$145+$BZ$144,$G$1)</f>
        <v>10551</v>
      </c>
      <c r="CC142" s="502">
        <f t="shared" ref="CC142:CC152" si="49">($B142-CB142)^2/1000</f>
        <v>33.124000000000002</v>
      </c>
      <c r="CE142" s="536">
        <f>LN($B142-$CG$144)</f>
        <v>7.9131551859280682</v>
      </c>
      <c r="CF142" s="331"/>
      <c r="CG142" s="331"/>
      <c r="CH142" s="331"/>
      <c r="CI142" s="443">
        <f t="shared" ref="CI142:CI152" si="50">ROUND($CG$147*$D142^$CG$145+$CG$144,$G$1)</f>
        <v>10551</v>
      </c>
      <c r="CJ142" s="502">
        <f t="shared" ref="CJ142:CJ152" si="51">($B142-CI142)^2/1000</f>
        <v>33.124000000000002</v>
      </c>
      <c r="CL142" s="536">
        <f>LN($B142-$CN$144)</f>
        <v>7.9094894926737593</v>
      </c>
      <c r="CM142" s="331"/>
      <c r="CN142" s="331"/>
      <c r="CO142" s="331"/>
      <c r="CP142" s="443">
        <f t="shared" ref="CP142:CP152" si="52">ROUND($CN$147*$D142^$CN$145+$CN$144,$G$1)</f>
        <v>10551</v>
      </c>
      <c r="CQ142" s="502">
        <f t="shared" ref="CQ142:CQ152" si="53">($B142-CP142)^2/1000</f>
        <v>33.124000000000002</v>
      </c>
      <c r="CS142" s="536">
        <f>LN($B142-$CU$144)</f>
        <v>7.9058103126589314</v>
      </c>
      <c r="CT142" s="331"/>
      <c r="CU142" s="331"/>
      <c r="CV142" s="331"/>
      <c r="CW142" s="443">
        <f t="shared" ref="CW142:CW152" si="54">ROUND($CU$147*$D142^$CU$145+$CU$144,$G$1)</f>
        <v>10551</v>
      </c>
      <c r="CX142" s="502">
        <f t="shared" ref="CX142:CX152" si="55">($B142-CW142)^2/1000</f>
        <v>33.124000000000002</v>
      </c>
    </row>
    <row r="143" spans="1:102" ht="15" customHeight="1">
      <c r="A143" s="436">
        <f t="shared" si="26"/>
        <v>2007</v>
      </c>
      <c r="B143" s="437">
        <f t="shared" si="26"/>
        <v>10864</v>
      </c>
      <c r="C143" s="533">
        <f>LN(B143-$G$147)</f>
        <v>7.9564767980367819</v>
      </c>
      <c r="D143" s="438">
        <f t="shared" si="27"/>
        <v>2</v>
      </c>
      <c r="E143" s="534">
        <f>LN(D143)</f>
        <v>0.69314718055994529</v>
      </c>
      <c r="F143" s="498"/>
      <c r="I143" s="443">
        <f t="shared" si="28"/>
        <v>10768</v>
      </c>
      <c r="J143" s="446">
        <f>ABS(B143-I143)/B143*100</f>
        <v>0.88365243004418259</v>
      </c>
      <c r="K143" s="535">
        <f>(B143-I143)^2/1000</f>
        <v>9.2159999999999993</v>
      </c>
      <c r="M143" s="536">
        <f t="shared" ref="M143:M152" si="56">LN($B143-$O$144)</f>
        <v>7.9942949864159774</v>
      </c>
      <c r="N143" s="451"/>
      <c r="O143" s="451"/>
      <c r="P143" s="451"/>
      <c r="Q143" s="443">
        <f t="shared" si="30"/>
        <v>10768</v>
      </c>
      <c r="R143" s="443">
        <f t="shared" si="31"/>
        <v>9.2159999999999993</v>
      </c>
      <c r="T143" s="536">
        <f t="shared" ref="T143:T152" si="57">LN($B143-$V$144)</f>
        <v>7.9909154630913255</v>
      </c>
      <c r="U143" s="451"/>
      <c r="V143" s="451"/>
      <c r="W143" s="451"/>
      <c r="X143" s="443">
        <f t="shared" si="32"/>
        <v>10768</v>
      </c>
      <c r="Y143" s="443">
        <f t="shared" si="33"/>
        <v>9.2159999999999993</v>
      </c>
      <c r="AA143" s="536">
        <f t="shared" ref="AA143:AA152" si="58">LN($B143-$AC$144)</f>
        <v>7.9875244798487666</v>
      </c>
      <c r="AB143" s="451"/>
      <c r="AC143" s="451"/>
      <c r="AD143" s="451"/>
      <c r="AE143" s="443">
        <f t="shared" si="34"/>
        <v>10768</v>
      </c>
      <c r="AF143" s="443">
        <f t="shared" si="35"/>
        <v>9.2159999999999993</v>
      </c>
      <c r="AH143" s="536">
        <f t="shared" ref="AH143:AH152" si="59">LN($B143-$AJ$144)</f>
        <v>7.9841219587029268</v>
      </c>
      <c r="AI143" s="451"/>
      <c r="AJ143" s="451"/>
      <c r="AK143" s="451"/>
      <c r="AL143" s="443">
        <f t="shared" si="36"/>
        <v>10768</v>
      </c>
      <c r="AM143" s="443">
        <f t="shared" si="37"/>
        <v>9.2159999999999993</v>
      </c>
      <c r="AO143" s="536">
        <f t="shared" ref="AO143:AO152" si="60">LN($B143-$AQ$144)</f>
        <v>7.9807078208696689</v>
      </c>
      <c r="AP143" s="451"/>
      <c r="AQ143" s="451"/>
      <c r="AR143" s="451"/>
      <c r="AS143" s="443">
        <f t="shared" si="38"/>
        <v>10768</v>
      </c>
      <c r="AT143" s="443">
        <f t="shared" si="39"/>
        <v>9.2159999999999993</v>
      </c>
      <c r="AV143" s="536">
        <f t="shared" ref="AV143:AV152" si="61">LN($B143-$AX$144)</f>
        <v>7.9772819867551501</v>
      </c>
      <c r="AW143" s="451"/>
      <c r="AX143" s="451"/>
      <c r="AY143" s="451"/>
      <c r="AZ143" s="443">
        <f t="shared" si="40"/>
        <v>10768</v>
      </c>
      <c r="BA143" s="443">
        <f t="shared" si="41"/>
        <v>9.2159999999999993</v>
      </c>
      <c r="BC143" s="536">
        <f t="shared" ref="BC143:BC152" si="62">LN($B143-$BE$144)</f>
        <v>7.9738443759446866</v>
      </c>
      <c r="BD143" s="451"/>
      <c r="BE143" s="451"/>
      <c r="BF143" s="451"/>
      <c r="BG143" s="443">
        <f t="shared" si="42"/>
        <v>10768</v>
      </c>
      <c r="BH143" s="443">
        <f t="shared" si="43"/>
        <v>9.2159999999999993</v>
      </c>
      <c r="BJ143" s="536">
        <f t="shared" ref="BJ143:BJ152" si="63">LN($B143-$BL$144)</f>
        <v>7.9703949071914293</v>
      </c>
      <c r="BK143" s="451"/>
      <c r="BL143" s="451"/>
      <c r="BM143" s="451"/>
      <c r="BN143" s="443">
        <f t="shared" si="44"/>
        <v>10768</v>
      </c>
      <c r="BO143" s="443">
        <f t="shared" si="45"/>
        <v>9.2159999999999993</v>
      </c>
      <c r="BQ143" s="536">
        <f t="shared" ref="BQ143:BQ152" si="64">LN($B143-$BS$144)</f>
        <v>7.9669334984048401</v>
      </c>
      <c r="BR143" s="451"/>
      <c r="BS143" s="451"/>
      <c r="BT143" s="451"/>
      <c r="BU143" s="443">
        <f t="shared" si="46"/>
        <v>10768</v>
      </c>
      <c r="BV143" s="443">
        <f t="shared" si="47"/>
        <v>9.2159999999999993</v>
      </c>
      <c r="BX143" s="536">
        <f t="shared" ref="BX143:BX152" si="65">LN($B143-$BZ$144)</f>
        <v>7.9634600666389703</v>
      </c>
      <c r="BY143" s="451"/>
      <c r="BZ143" s="451"/>
      <c r="CA143" s="451"/>
      <c r="CB143" s="443">
        <f t="shared" si="48"/>
        <v>10768</v>
      </c>
      <c r="CC143" s="443">
        <f t="shared" si="49"/>
        <v>9.2159999999999993</v>
      </c>
      <c r="CE143" s="536">
        <f t="shared" ref="CE143:CE152" si="66">LN($B143-$CG$144)</f>
        <v>7.9599745280805365</v>
      </c>
      <c r="CF143" s="451"/>
      <c r="CG143" s="451"/>
      <c r="CH143" s="451"/>
      <c r="CI143" s="443">
        <f t="shared" si="50"/>
        <v>10768</v>
      </c>
      <c r="CJ143" s="443">
        <f t="shared" si="51"/>
        <v>9.2159999999999993</v>
      </c>
      <c r="CL143" s="536">
        <f t="shared" ref="CL143:CL152" si="67">LN($B143-$CN$144)</f>
        <v>7.9564767980367819</v>
      </c>
      <c r="CM143" s="451"/>
      <c r="CN143" s="451"/>
      <c r="CO143" s="451"/>
      <c r="CP143" s="443">
        <f t="shared" si="52"/>
        <v>10768</v>
      </c>
      <c r="CQ143" s="443">
        <f t="shared" si="53"/>
        <v>9.2159999999999993</v>
      </c>
      <c r="CS143" s="536">
        <f t="shared" ref="CS143:CS152" si="68">LN($B143-$CU$144)</f>
        <v>7.9529667909231314</v>
      </c>
      <c r="CT143" s="451"/>
      <c r="CU143" s="451"/>
      <c r="CV143" s="451"/>
      <c r="CW143" s="443">
        <f t="shared" si="54"/>
        <v>10768</v>
      </c>
      <c r="CX143" s="443">
        <f t="shared" si="55"/>
        <v>9.2159999999999993</v>
      </c>
    </row>
    <row r="144" spans="1:102" ht="15" customHeight="1">
      <c r="A144" s="436">
        <f t="shared" si="26"/>
        <v>2008</v>
      </c>
      <c r="B144" s="437">
        <f t="shared" si="26"/>
        <v>10686</v>
      </c>
      <c r="C144" s="533">
        <f>LN(B144-$G$147)</f>
        <v>7.8920784212481188</v>
      </c>
      <c r="D144" s="438">
        <f t="shared" si="27"/>
        <v>3</v>
      </c>
      <c r="E144" s="534">
        <f>LN(D144)</f>
        <v>1.0986122886681098</v>
      </c>
      <c r="F144" s="498" t="s">
        <v>312</v>
      </c>
      <c r="I144" s="443">
        <f t="shared" si="28"/>
        <v>10903</v>
      </c>
      <c r="J144" s="446">
        <f>ABS(B144-I144)/B144*100</f>
        <v>2.0306943664607897</v>
      </c>
      <c r="K144" s="535">
        <f>(B144-I144)^2/1000</f>
        <v>47.088999999999999</v>
      </c>
      <c r="M144" s="536">
        <f t="shared" si="56"/>
        <v>7.9323621543397511</v>
      </c>
      <c r="N144" s="442" t="s">
        <v>313</v>
      </c>
      <c r="O144" s="537">
        <f>F159</f>
        <v>7900</v>
      </c>
      <c r="P144" s="451"/>
      <c r="Q144" s="443">
        <f t="shared" si="30"/>
        <v>10904</v>
      </c>
      <c r="R144" s="443">
        <f t="shared" si="31"/>
        <v>47.524000000000001</v>
      </c>
      <c r="T144" s="536">
        <f t="shared" si="57"/>
        <v>7.9287663216266955</v>
      </c>
      <c r="U144" s="442" t="s">
        <v>313</v>
      </c>
      <c r="V144" s="538">
        <f>F160</f>
        <v>7910</v>
      </c>
      <c r="W144" s="451"/>
      <c r="X144" s="443">
        <f t="shared" si="32"/>
        <v>10904</v>
      </c>
      <c r="Y144" s="443">
        <f t="shared" si="33"/>
        <v>47.524000000000001</v>
      </c>
      <c r="AA144" s="536">
        <f t="shared" si="58"/>
        <v>7.9251575122247031</v>
      </c>
      <c r="AB144" s="442" t="s">
        <v>313</v>
      </c>
      <c r="AC144" s="538">
        <f>F161</f>
        <v>7920</v>
      </c>
      <c r="AD144" s="451"/>
      <c r="AE144" s="443">
        <f t="shared" si="34"/>
        <v>10904</v>
      </c>
      <c r="AF144" s="443">
        <f t="shared" si="35"/>
        <v>47.524000000000001</v>
      </c>
      <c r="AH144" s="536">
        <f t="shared" si="59"/>
        <v>7.9215356321335495</v>
      </c>
      <c r="AI144" s="442" t="s">
        <v>313</v>
      </c>
      <c r="AJ144" s="538">
        <f>F162</f>
        <v>7930</v>
      </c>
      <c r="AK144" s="451"/>
      <c r="AL144" s="443">
        <f t="shared" si="36"/>
        <v>10904</v>
      </c>
      <c r="AM144" s="443">
        <f t="shared" si="37"/>
        <v>47.524000000000001</v>
      </c>
      <c r="AO144" s="536">
        <f t="shared" si="60"/>
        <v>7.9179005863279164</v>
      </c>
      <c r="AP144" s="442" t="s">
        <v>313</v>
      </c>
      <c r="AQ144" s="538">
        <f>F163</f>
        <v>7940</v>
      </c>
      <c r="AR144" s="451"/>
      <c r="AS144" s="443">
        <f t="shared" si="38"/>
        <v>10904</v>
      </c>
      <c r="AT144" s="443">
        <f t="shared" si="39"/>
        <v>47.524000000000001</v>
      </c>
      <c r="AV144" s="536">
        <f t="shared" si="61"/>
        <v>7.914252278742441</v>
      </c>
      <c r="AW144" s="442" t="s">
        <v>313</v>
      </c>
      <c r="AX144" s="538">
        <f>F164</f>
        <v>7950</v>
      </c>
      <c r="AY144" s="538"/>
      <c r="AZ144" s="443">
        <f t="shared" si="40"/>
        <v>10904</v>
      </c>
      <c r="BA144" s="443">
        <f t="shared" si="41"/>
        <v>47.524000000000001</v>
      </c>
      <c r="BC144" s="536">
        <f t="shared" si="62"/>
        <v>7.9105906122564775</v>
      </c>
      <c r="BD144" s="442" t="s">
        <v>313</v>
      </c>
      <c r="BE144" s="538">
        <f>F165</f>
        <v>7960</v>
      </c>
      <c r="BF144" s="451"/>
      <c r="BG144" s="443">
        <f t="shared" si="42"/>
        <v>10904</v>
      </c>
      <c r="BH144" s="443">
        <f t="shared" si="43"/>
        <v>47.524000000000001</v>
      </c>
      <c r="BJ144" s="536">
        <f t="shared" si="63"/>
        <v>7.9069154886785871</v>
      </c>
      <c r="BK144" s="442" t="s">
        <v>313</v>
      </c>
      <c r="BL144" s="538">
        <f>F166</f>
        <v>7970</v>
      </c>
      <c r="BM144" s="451"/>
      <c r="BN144" s="443">
        <f t="shared" si="44"/>
        <v>10904</v>
      </c>
      <c r="BO144" s="443">
        <f t="shared" si="45"/>
        <v>47.524000000000001</v>
      </c>
      <c r="BQ144" s="536">
        <f t="shared" si="64"/>
        <v>7.9032268087307331</v>
      </c>
      <c r="BR144" s="442" t="s">
        <v>313</v>
      </c>
      <c r="BS144" s="538">
        <f>F167</f>
        <v>7980</v>
      </c>
      <c r="BT144" s="451"/>
      <c r="BU144" s="443">
        <f t="shared" si="46"/>
        <v>10904</v>
      </c>
      <c r="BV144" s="443">
        <f t="shared" si="47"/>
        <v>47.524000000000001</v>
      </c>
      <c r="BX144" s="536">
        <f t="shared" si="65"/>
        <v>7.8995244720321978</v>
      </c>
      <c r="BY144" s="442" t="s">
        <v>313</v>
      </c>
      <c r="BZ144" s="538">
        <f>F168</f>
        <v>7990</v>
      </c>
      <c r="CA144" s="451"/>
      <c r="CB144" s="443">
        <f t="shared" si="48"/>
        <v>10904</v>
      </c>
      <c r="CC144" s="443">
        <f t="shared" si="49"/>
        <v>47.524000000000001</v>
      </c>
      <c r="CE144" s="536">
        <f t="shared" si="66"/>
        <v>7.8958083770831831</v>
      </c>
      <c r="CF144" s="442" t="s">
        <v>313</v>
      </c>
      <c r="CG144" s="538">
        <f>F169</f>
        <v>8000</v>
      </c>
      <c r="CH144" s="451"/>
      <c r="CI144" s="443">
        <f t="shared" si="50"/>
        <v>10904</v>
      </c>
      <c r="CJ144" s="443">
        <f t="shared" si="51"/>
        <v>47.524000000000001</v>
      </c>
      <c r="CL144" s="536">
        <f t="shared" si="67"/>
        <v>7.8920784212481188</v>
      </c>
      <c r="CM144" s="442" t="s">
        <v>313</v>
      </c>
      <c r="CN144" s="538">
        <f>F170</f>
        <v>8010</v>
      </c>
      <c r="CO144" s="451"/>
      <c r="CP144" s="443">
        <f t="shared" si="52"/>
        <v>10903</v>
      </c>
      <c r="CQ144" s="443">
        <f t="shared" si="53"/>
        <v>47.088999999999999</v>
      </c>
      <c r="CS144" s="536">
        <f t="shared" si="68"/>
        <v>7.8883345007386536</v>
      </c>
      <c r="CT144" s="442" t="s">
        <v>313</v>
      </c>
      <c r="CU144" s="538">
        <f>F171</f>
        <v>8020</v>
      </c>
      <c r="CV144" s="451"/>
      <c r="CW144" s="443">
        <f t="shared" si="54"/>
        <v>10903</v>
      </c>
      <c r="CX144" s="443">
        <f t="shared" si="55"/>
        <v>47.088999999999999</v>
      </c>
    </row>
    <row r="145" spans="1:102" ht="15" customHeight="1">
      <c r="A145" s="436">
        <f t="shared" si="26"/>
        <v>2009</v>
      </c>
      <c r="B145" s="437">
        <f t="shared" si="26"/>
        <v>10539</v>
      </c>
      <c r="C145" s="533">
        <f t="shared" ref="C145:C152" si="69">LN(B145-$G$147)</f>
        <v>7.8355792466699654</v>
      </c>
      <c r="D145" s="438">
        <f t="shared" si="27"/>
        <v>4</v>
      </c>
      <c r="E145" s="534">
        <f t="shared" ref="E145:E152" si="70">LN(D145)</f>
        <v>1.3862943611198906</v>
      </c>
      <c r="F145" s="451" t="s">
        <v>346</v>
      </c>
      <c r="G145" s="539"/>
      <c r="H145" s="439"/>
      <c r="I145" s="443">
        <f t="shared" si="28"/>
        <v>11004</v>
      </c>
      <c r="J145" s="446">
        <f>ABS(B145-I145)/B145*100</f>
        <v>4.4121833191004836</v>
      </c>
      <c r="K145" s="535">
        <f t="shared" ref="K145:K152" si="71">(B145-I145)^2/1000</f>
        <v>216.22499999999999</v>
      </c>
      <c r="M145" s="536">
        <f t="shared" si="56"/>
        <v>7.8781553365033243</v>
      </c>
      <c r="N145" s="442" t="s">
        <v>306</v>
      </c>
      <c r="O145" s="504">
        <f>INDEX(LINEST(M142:M152,$E142:$E152),1)</f>
        <v>0.11414025940841992</v>
      </c>
      <c r="Q145" s="443">
        <f t="shared" si="30"/>
        <v>11004</v>
      </c>
      <c r="R145" s="443">
        <f t="shared" si="31"/>
        <v>216.22499999999999</v>
      </c>
      <c r="T145" s="536">
        <f t="shared" si="57"/>
        <v>7.8743588247298808</v>
      </c>
      <c r="U145" s="442" t="s">
        <v>306</v>
      </c>
      <c r="V145" s="504">
        <f>INDEX(LINEST(T142:T152,$E142:$E152),1)</f>
        <v>0.11450542035571891</v>
      </c>
      <c r="X145" s="443">
        <f t="shared" si="32"/>
        <v>11004</v>
      </c>
      <c r="Y145" s="443">
        <f t="shared" si="33"/>
        <v>216.22499999999999</v>
      </c>
      <c r="AA145" s="536">
        <f t="shared" si="58"/>
        <v>7.8705478445077119</v>
      </c>
      <c r="AB145" s="442" t="s">
        <v>306</v>
      </c>
      <c r="AC145" s="504">
        <f>INDEX(LINEST(AA142:AA152,$E142:$E152),1)</f>
        <v>0.11487293463879987</v>
      </c>
      <c r="AE145" s="443">
        <f t="shared" si="34"/>
        <v>11004</v>
      </c>
      <c r="AF145" s="443">
        <f t="shared" si="35"/>
        <v>216.22499999999999</v>
      </c>
      <c r="AH145" s="536">
        <f t="shared" si="59"/>
        <v>7.8667222851367287</v>
      </c>
      <c r="AI145" s="442" t="s">
        <v>306</v>
      </c>
      <c r="AJ145" s="504">
        <f>INDEX(LINEST(AH142:AH152,$E142:$E152),1)</f>
        <v>0.11524282517324044</v>
      </c>
      <c r="AL145" s="443">
        <f t="shared" si="36"/>
        <v>11004</v>
      </c>
      <c r="AM145" s="443">
        <f t="shared" si="37"/>
        <v>216.22499999999999</v>
      </c>
      <c r="AO145" s="536">
        <f t="shared" si="60"/>
        <v>7.8628820346414905</v>
      </c>
      <c r="AP145" s="442" t="s">
        <v>306</v>
      </c>
      <c r="AQ145" s="504">
        <f>INDEX(LINEST(AO142:AO152,$E142:$E152),1)</f>
        <v>0.11561511517432653</v>
      </c>
      <c r="AS145" s="443">
        <f t="shared" si="38"/>
        <v>11004</v>
      </c>
      <c r="AT145" s="443">
        <f t="shared" si="39"/>
        <v>216.22499999999999</v>
      </c>
      <c r="AV145" s="536">
        <f t="shared" si="61"/>
        <v>7.8590269797515377</v>
      </c>
      <c r="AW145" s="442" t="s">
        <v>306</v>
      </c>
      <c r="AX145" s="504">
        <f>INDEX(LINEST(AV142:AV152,$E142:$E152),1)</f>
        <v>0.11598982816199008</v>
      </c>
      <c r="AZ145" s="443">
        <f t="shared" si="40"/>
        <v>11004</v>
      </c>
      <c r="BA145" s="443">
        <f t="shared" si="41"/>
        <v>216.22499999999999</v>
      </c>
      <c r="BC145" s="536">
        <f t="shared" si="62"/>
        <v>7.8551570058813445</v>
      </c>
      <c r="BD145" s="442" t="s">
        <v>306</v>
      </c>
      <c r="BE145" s="504">
        <f>INDEX(LINEST(BC142:BC152,$E142:$E152),1)</f>
        <v>0.11636698796583991</v>
      </c>
      <c r="BG145" s="443">
        <f t="shared" si="42"/>
        <v>11004</v>
      </c>
      <c r="BH145" s="443">
        <f t="shared" si="43"/>
        <v>216.22499999999999</v>
      </c>
      <c r="BJ145" s="536">
        <f t="shared" si="63"/>
        <v>7.8512719971098832</v>
      </c>
      <c r="BK145" s="442" t="s">
        <v>306</v>
      </c>
      <c r="BL145" s="504">
        <f>INDEX(LINEST(BJ142:BJ152,$E142:$E152),1)</f>
        <v>0.11674661873030143</v>
      </c>
      <c r="BN145" s="443">
        <f t="shared" si="44"/>
        <v>11004</v>
      </c>
      <c r="BO145" s="443">
        <f t="shared" si="45"/>
        <v>216.22499999999999</v>
      </c>
      <c r="BQ145" s="536">
        <f t="shared" si="64"/>
        <v>7.8473718361597884</v>
      </c>
      <c r="BR145" s="442" t="s">
        <v>306</v>
      </c>
      <c r="BS145" s="504">
        <f>INDEX(LINEST(BQ142:BQ152,$E142:$E152),1)</f>
        <v>0.11712874491985005</v>
      </c>
      <c r="BU145" s="443">
        <f t="shared" si="46"/>
        <v>11004</v>
      </c>
      <c r="BV145" s="443">
        <f t="shared" si="47"/>
        <v>216.22499999999999</v>
      </c>
      <c r="BX145" s="536">
        <f t="shared" si="65"/>
        <v>7.8434564043761155</v>
      </c>
      <c r="BY145" s="442" t="s">
        <v>306</v>
      </c>
      <c r="BZ145" s="504">
        <f>INDEX(LINEST(BX142:BX152,$E142:$E152),1)</f>
        <v>0.11751339132435715</v>
      </c>
      <c r="CB145" s="443">
        <f t="shared" si="48"/>
        <v>11004</v>
      </c>
      <c r="CC145" s="443">
        <f t="shared" si="49"/>
        <v>216.22499999999999</v>
      </c>
      <c r="CE145" s="536">
        <f t="shared" si="66"/>
        <v>7.8395255817046783</v>
      </c>
      <c r="CF145" s="442" t="s">
        <v>306</v>
      </c>
      <c r="CG145" s="504">
        <f>INDEX(LINEST(CE142:CE152,$E142:$E152),1)</f>
        <v>0.11790058306454081</v>
      </c>
      <c r="CI145" s="443">
        <f t="shared" si="50"/>
        <v>11004</v>
      </c>
      <c r="CJ145" s="443">
        <f t="shared" si="51"/>
        <v>216.22499999999999</v>
      </c>
      <c r="CL145" s="536">
        <f t="shared" si="67"/>
        <v>7.8355792466699654</v>
      </c>
      <c r="CM145" s="442" t="s">
        <v>306</v>
      </c>
      <c r="CN145" s="504">
        <f>INDEX(LINEST(CL142:CL152,$E142:$E152),1)</f>
        <v>0.11829034559752616</v>
      </c>
      <c r="CP145" s="443">
        <f t="shared" si="52"/>
        <v>11004</v>
      </c>
      <c r="CQ145" s="443">
        <f t="shared" si="53"/>
        <v>216.22499999999999</v>
      </c>
      <c r="CS145" s="536">
        <f t="shared" si="68"/>
        <v>7.8316172763526106</v>
      </c>
      <c r="CT145" s="442" t="s">
        <v>306</v>
      </c>
      <c r="CU145" s="504">
        <f>INDEX(LINEST(CS142:CS152,$E142:$E152),1)</f>
        <v>0.11868270472252061</v>
      </c>
      <c r="CW145" s="443">
        <f t="shared" si="54"/>
        <v>11004</v>
      </c>
      <c r="CX145" s="443">
        <f t="shared" si="55"/>
        <v>216.22499999999999</v>
      </c>
    </row>
    <row r="146" spans="1:102" ht="15" customHeight="1">
      <c r="A146" s="436">
        <f t="shared" si="26"/>
        <v>2010</v>
      </c>
      <c r="B146" s="437">
        <f t="shared" si="26"/>
        <v>11040</v>
      </c>
      <c r="C146" s="533">
        <f t="shared" si="69"/>
        <v>8.0163178985034147</v>
      </c>
      <c r="D146" s="438">
        <f t="shared" si="27"/>
        <v>5</v>
      </c>
      <c r="E146" s="534">
        <f t="shared" si="70"/>
        <v>1.6094379124341003</v>
      </c>
      <c r="I146" s="443">
        <f t="shared" si="28"/>
        <v>11084</v>
      </c>
      <c r="J146" s="446">
        <f>ABS(B146-I146)/B146*100</f>
        <v>0.39855072463768115</v>
      </c>
      <c r="K146" s="443">
        <f t="shared" si="71"/>
        <v>1.9359999999999999</v>
      </c>
      <c r="M146" s="536">
        <f t="shared" si="56"/>
        <v>8.0519780789022999</v>
      </c>
      <c r="N146" s="442" t="s">
        <v>301</v>
      </c>
      <c r="O146" s="442" t="s">
        <v>347</v>
      </c>
      <c r="P146" s="504">
        <f>INDEX(LINEST(M142:M152,$E142:$E152),2)</f>
        <v>7.8822951641417527</v>
      </c>
      <c r="Q146" s="443">
        <f t="shared" si="30"/>
        <v>11084</v>
      </c>
      <c r="R146" s="443">
        <f t="shared" si="31"/>
        <v>1.9359999999999999</v>
      </c>
      <c r="T146" s="536">
        <f t="shared" si="57"/>
        <v>8.0487882835341988</v>
      </c>
      <c r="U146" s="442" t="s">
        <v>301</v>
      </c>
      <c r="V146" s="442" t="s">
        <v>347</v>
      </c>
      <c r="W146" s="504">
        <f>INDEX(LINEST(T142:T152,$E142:$E152),2)</f>
        <v>7.8785451056182181</v>
      </c>
      <c r="X146" s="443">
        <f t="shared" si="32"/>
        <v>11084</v>
      </c>
      <c r="Y146" s="443">
        <f t="shared" si="33"/>
        <v>1.9359999999999999</v>
      </c>
      <c r="AA146" s="536">
        <f t="shared" si="58"/>
        <v>8.0455882808035284</v>
      </c>
      <c r="AB146" s="442" t="s">
        <v>301</v>
      </c>
      <c r="AC146" s="442" t="s">
        <v>347</v>
      </c>
      <c r="AD146" s="504">
        <f>INDEX(LINEST(AA142:AA152,$E142:$E152),2)</f>
        <v>7.8747811145440956</v>
      </c>
      <c r="AE146" s="443">
        <f t="shared" si="34"/>
        <v>11084</v>
      </c>
      <c r="AF146" s="443">
        <f t="shared" si="35"/>
        <v>1.9359999999999999</v>
      </c>
      <c r="AH146" s="536">
        <f t="shared" si="59"/>
        <v>8.0423780051732798</v>
      </c>
      <c r="AI146" s="442" t="s">
        <v>301</v>
      </c>
      <c r="AJ146" s="442" t="s">
        <v>347</v>
      </c>
      <c r="AK146" s="504">
        <f>INDEX(LINEST(AH142:AH152,$E142:$E152),2)</f>
        <v>7.8710030879750006</v>
      </c>
      <c r="AL146" s="443">
        <f t="shared" si="36"/>
        <v>11084</v>
      </c>
      <c r="AM146" s="443">
        <f t="shared" si="37"/>
        <v>1.9359999999999999</v>
      </c>
      <c r="AO146" s="536">
        <f t="shared" si="60"/>
        <v>8.0391573904732372</v>
      </c>
      <c r="AP146" s="442" t="s">
        <v>301</v>
      </c>
      <c r="AQ146" s="442" t="s">
        <v>347</v>
      </c>
      <c r="AR146" s="504">
        <f>INDEX(LINEST(AO142:AO152,$E142:$E152),2)</f>
        <v>7.8672109218290673</v>
      </c>
      <c r="AS146" s="443">
        <f t="shared" si="38"/>
        <v>11084</v>
      </c>
      <c r="AT146" s="443">
        <f t="shared" si="39"/>
        <v>1.9359999999999999</v>
      </c>
      <c r="AV146" s="536">
        <f t="shared" si="61"/>
        <v>8.0359263698917918</v>
      </c>
      <c r="AW146" s="442" t="s">
        <v>301</v>
      </c>
      <c r="AX146" s="442" t="s">
        <v>347</v>
      </c>
      <c r="AY146" s="504">
        <f>INDEX(LINEST(AV142:AV152,$E142:$E152),2)</f>
        <v>7.8634045108702217</v>
      </c>
      <c r="AZ146" s="443">
        <f t="shared" si="40"/>
        <v>11084</v>
      </c>
      <c r="BA146" s="443">
        <f t="shared" si="41"/>
        <v>1.9359999999999999</v>
      </c>
      <c r="BC146" s="536">
        <f t="shared" si="62"/>
        <v>8.0326848759676199</v>
      </c>
      <c r="BD146" s="442" t="s">
        <v>301</v>
      </c>
      <c r="BE146" s="442" t="s">
        <v>347</v>
      </c>
      <c r="BF146" s="504">
        <f>INDEX(LINEST(BC142:BC152,$E142:$E152),2)</f>
        <v>7.8595837486911417</v>
      </c>
      <c r="BG146" s="443">
        <f t="shared" si="42"/>
        <v>11084</v>
      </c>
      <c r="BH146" s="443">
        <f t="shared" si="43"/>
        <v>1.9359999999999999</v>
      </c>
      <c r="BJ146" s="536">
        <f t="shared" si="63"/>
        <v>8.0294328405812436</v>
      </c>
      <c r="BK146" s="442" t="s">
        <v>301</v>
      </c>
      <c r="BL146" s="442" t="s">
        <v>347</v>
      </c>
      <c r="BM146" s="504">
        <f>INDEX(LINEST(BJ142:BJ152,$E142:$E152),2)</f>
        <v>7.8557485276958738</v>
      </c>
      <c r="BN146" s="443">
        <f t="shared" si="44"/>
        <v>11084</v>
      </c>
      <c r="BO146" s="443">
        <f t="shared" si="45"/>
        <v>1.9359999999999999</v>
      </c>
      <c r="BQ146" s="536">
        <f t="shared" si="64"/>
        <v>8.0261701949464257</v>
      </c>
      <c r="BR146" s="442" t="s">
        <v>301</v>
      </c>
      <c r="BS146" s="442" t="s">
        <v>347</v>
      </c>
      <c r="BT146" s="504">
        <f>INDEX(LINEST(BQ142:BQ152,$E142:$E152),2)</f>
        <v>7.8518987390821771</v>
      </c>
      <c r="BU146" s="443">
        <f t="shared" si="46"/>
        <v>11084</v>
      </c>
      <c r="BV146" s="443">
        <f t="shared" si="47"/>
        <v>1.9359999999999999</v>
      </c>
      <c r="BX146" s="536">
        <f t="shared" si="65"/>
        <v>8.0228968696014569</v>
      </c>
      <c r="BY146" s="442" t="s">
        <v>301</v>
      </c>
      <c r="BZ146" s="442" t="s">
        <v>347</v>
      </c>
      <c r="CA146" s="504">
        <f>INDEX(LINEST(BX142:BX152,$E142:$E152),2)</f>
        <v>7.848034272823492</v>
      </c>
      <c r="CB146" s="443">
        <f t="shared" si="48"/>
        <v>11084</v>
      </c>
      <c r="CC146" s="443">
        <f t="shared" si="49"/>
        <v>1.9359999999999999</v>
      </c>
      <c r="CE146" s="536">
        <f t="shared" si="66"/>
        <v>8.0196127944002669</v>
      </c>
      <c r="CF146" s="442" t="s">
        <v>301</v>
      </c>
      <c r="CG146" s="442" t="s">
        <v>347</v>
      </c>
      <c r="CH146" s="504">
        <f>INDEX(LINEST(CE142:CE152,$E142:$E152),2)</f>
        <v>7.8441550176505954</v>
      </c>
      <c r="CI146" s="443">
        <f t="shared" si="50"/>
        <v>11084</v>
      </c>
      <c r="CJ146" s="443">
        <f t="shared" si="51"/>
        <v>1.9359999999999999</v>
      </c>
      <c r="CL146" s="536">
        <f t="shared" si="67"/>
        <v>8.0163178985034147</v>
      </c>
      <c r="CM146" s="442" t="s">
        <v>301</v>
      </c>
      <c r="CN146" s="442" t="s">
        <v>347</v>
      </c>
      <c r="CO146" s="504">
        <f>INDEX(LINEST(CL142:CL152,$E142:$E152),2)</f>
        <v>7.8402608610329185</v>
      </c>
      <c r="CP146" s="443">
        <f t="shared" si="52"/>
        <v>11084</v>
      </c>
      <c r="CQ146" s="443">
        <f t="shared" si="53"/>
        <v>1.9359999999999999</v>
      </c>
      <c r="CS146" s="536">
        <f t="shared" si="68"/>
        <v>8.0130121103689156</v>
      </c>
      <c r="CT146" s="442" t="s">
        <v>301</v>
      </c>
      <c r="CU146" s="442" t="s">
        <v>347</v>
      </c>
      <c r="CV146" s="504">
        <f>INDEX(LINEST(CS142:CS152,$E142:$E152),2)</f>
        <v>7.8363516891594944</v>
      </c>
      <c r="CW146" s="443">
        <f t="shared" si="54"/>
        <v>11084</v>
      </c>
      <c r="CX146" s="443">
        <f t="shared" si="55"/>
        <v>1.9359999999999999</v>
      </c>
    </row>
    <row r="147" spans="1:102" ht="15" customHeight="1">
      <c r="A147" s="436">
        <f t="shared" si="26"/>
        <v>2011</v>
      </c>
      <c r="B147" s="437">
        <f t="shared" si="26"/>
        <v>11213</v>
      </c>
      <c r="C147" s="533">
        <f t="shared" si="69"/>
        <v>8.0718431496091583</v>
      </c>
      <c r="D147" s="438">
        <f t="shared" si="27"/>
        <v>6</v>
      </c>
      <c r="E147" s="534">
        <f t="shared" si="70"/>
        <v>1.791759469228055</v>
      </c>
      <c r="F147" s="540" t="s">
        <v>313</v>
      </c>
      <c r="G147" s="541">
        <f>INDEX(F159:L171,MATCH(1,L159:L171,0),1)</f>
        <v>8010</v>
      </c>
      <c r="H147" s="439"/>
      <c r="I147" s="443">
        <f t="shared" si="28"/>
        <v>11151</v>
      </c>
      <c r="J147" s="446">
        <f t="shared" si="29"/>
        <v>0.5529296352448051</v>
      </c>
      <c r="K147" s="443">
        <f t="shared" si="71"/>
        <v>3.8439999999999999</v>
      </c>
      <c r="M147" s="536">
        <f t="shared" si="56"/>
        <v>8.1056094022998959</v>
      </c>
      <c r="N147" s="442" t="s">
        <v>305</v>
      </c>
      <c r="O147" s="542">
        <f>EXP(P146)</f>
        <v>2649.9476501950176</v>
      </c>
      <c r="P147" s="451"/>
      <c r="Q147" s="443">
        <f t="shared" si="30"/>
        <v>11151</v>
      </c>
      <c r="R147" s="443">
        <f t="shared" si="31"/>
        <v>3.8439999999999999</v>
      </c>
      <c r="T147" s="536">
        <f t="shared" si="57"/>
        <v>8.1025864253907898</v>
      </c>
      <c r="U147" s="442" t="s">
        <v>305</v>
      </c>
      <c r="V147" s="542">
        <f>EXP(W146)</f>
        <v>2640.0288011786429</v>
      </c>
      <c r="W147" s="504"/>
      <c r="X147" s="443">
        <f t="shared" si="32"/>
        <v>11151</v>
      </c>
      <c r="Y147" s="443">
        <f t="shared" si="33"/>
        <v>3.8439999999999999</v>
      </c>
      <c r="AA147" s="536">
        <f t="shared" si="58"/>
        <v>8.0995542823763635</v>
      </c>
      <c r="AB147" s="442" t="s">
        <v>305</v>
      </c>
      <c r="AC147" s="542">
        <f>EXP(AD146)</f>
        <v>2630.1104343676293</v>
      </c>
      <c r="AD147" s="451"/>
      <c r="AE147" s="443">
        <f t="shared" si="34"/>
        <v>11151</v>
      </c>
      <c r="AF147" s="443">
        <f t="shared" si="35"/>
        <v>3.8439999999999999</v>
      </c>
      <c r="AH147" s="536">
        <f t="shared" si="59"/>
        <v>8.0965129175015935</v>
      </c>
      <c r="AI147" s="442" t="s">
        <v>305</v>
      </c>
      <c r="AJ147" s="542">
        <f>EXP(AK146)</f>
        <v>2620.1925540714583</v>
      </c>
      <c r="AK147" s="451"/>
      <c r="AL147" s="443">
        <f t="shared" si="36"/>
        <v>11151</v>
      </c>
      <c r="AM147" s="443">
        <f t="shared" si="37"/>
        <v>3.8439999999999999</v>
      </c>
      <c r="AO147" s="536">
        <f t="shared" si="60"/>
        <v>8.0934622745011797</v>
      </c>
      <c r="AP147" s="442" t="s">
        <v>305</v>
      </c>
      <c r="AQ147" s="542">
        <f>EXP(AR146)</f>
        <v>2610.2751646510587</v>
      </c>
      <c r="AR147" s="451"/>
      <c r="AS147" s="443">
        <f t="shared" si="38"/>
        <v>11151</v>
      </c>
      <c r="AT147" s="443">
        <f t="shared" si="39"/>
        <v>3.8439999999999999</v>
      </c>
      <c r="AV147" s="536">
        <f t="shared" si="61"/>
        <v>8.0904022965933198</v>
      </c>
      <c r="AW147" s="442" t="s">
        <v>305</v>
      </c>
      <c r="AX147" s="542">
        <f>EXP(AY146)</f>
        <v>2600.358270519604</v>
      </c>
      <c r="AY147" s="451"/>
      <c r="AZ147" s="443">
        <f t="shared" si="40"/>
        <v>11151</v>
      </c>
      <c r="BA147" s="443">
        <f t="shared" si="41"/>
        <v>3.8439999999999999</v>
      </c>
      <c r="BC147" s="536">
        <f t="shared" si="62"/>
        <v>8.0873329264733513</v>
      </c>
      <c r="BD147" s="442" t="s">
        <v>305</v>
      </c>
      <c r="BE147" s="542">
        <f>EXP(BF146)</f>
        <v>2590.441876143313</v>
      </c>
      <c r="BF147" s="451"/>
      <c r="BG147" s="443">
        <f t="shared" si="42"/>
        <v>11151</v>
      </c>
      <c r="BH147" s="443">
        <f t="shared" si="43"/>
        <v>3.8439999999999999</v>
      </c>
      <c r="BJ147" s="536">
        <f t="shared" si="63"/>
        <v>8.0842541063073181</v>
      </c>
      <c r="BK147" s="442" t="s">
        <v>305</v>
      </c>
      <c r="BL147" s="542">
        <f>EXP(BM146)</f>
        <v>2580.525986042192</v>
      </c>
      <c r="BM147" s="451"/>
      <c r="BN147" s="443">
        <f t="shared" si="44"/>
        <v>11151</v>
      </c>
      <c r="BO147" s="443">
        <f t="shared" si="45"/>
        <v>3.8439999999999999</v>
      </c>
      <c r="BQ147" s="536">
        <f t="shared" si="64"/>
        <v>8.0811657777254329</v>
      </c>
      <c r="BR147" s="442" t="s">
        <v>305</v>
      </c>
      <c r="BS147" s="542">
        <f>EXP(BT146)</f>
        <v>2570.6106047909125</v>
      </c>
      <c r="BT147" s="451"/>
      <c r="BU147" s="443">
        <f t="shared" si="46"/>
        <v>11151</v>
      </c>
      <c r="BV147" s="443">
        <f t="shared" si="47"/>
        <v>3.8439999999999999</v>
      </c>
      <c r="BX147" s="536">
        <f t="shared" si="65"/>
        <v>8.0780678818154374</v>
      </c>
      <c r="BY147" s="442" t="s">
        <v>305</v>
      </c>
      <c r="BZ147" s="542">
        <f>EXP(CA146)</f>
        <v>2560.6957370195928</v>
      </c>
      <c r="CA147" s="451"/>
      <c r="CB147" s="443">
        <f t="shared" si="48"/>
        <v>11151</v>
      </c>
      <c r="CC147" s="443">
        <f t="shared" si="49"/>
        <v>3.8439999999999999</v>
      </c>
      <c r="CE147" s="536">
        <f t="shared" si="66"/>
        <v>8.0749603591158579</v>
      </c>
      <c r="CF147" s="442" t="s">
        <v>305</v>
      </c>
      <c r="CG147" s="542">
        <f>EXP(CH146)</f>
        <v>2550.781387414645</v>
      </c>
      <c r="CH147" s="451"/>
      <c r="CI147" s="443">
        <f t="shared" si="50"/>
        <v>11151</v>
      </c>
      <c r="CJ147" s="443">
        <f t="shared" si="51"/>
        <v>3.8439999999999999</v>
      </c>
      <c r="CL147" s="536">
        <f t="shared" si="67"/>
        <v>8.0718431496091583</v>
      </c>
      <c r="CM147" s="442" t="s">
        <v>305</v>
      </c>
      <c r="CN147" s="542">
        <f>EXP(CO146)</f>
        <v>2540.8675607196583</v>
      </c>
      <c r="CO147" s="451"/>
      <c r="CP147" s="443">
        <f t="shared" si="52"/>
        <v>11151</v>
      </c>
      <c r="CQ147" s="443">
        <f t="shared" si="53"/>
        <v>3.8439999999999999</v>
      </c>
      <c r="CS147" s="536">
        <f t="shared" si="68"/>
        <v>8.0687161927147812</v>
      </c>
      <c r="CT147" s="442" t="s">
        <v>305</v>
      </c>
      <c r="CU147" s="542">
        <f>EXP(CV146)</f>
        <v>2530.9542617362495</v>
      </c>
      <c r="CV147" s="451"/>
      <c r="CW147" s="443">
        <f t="shared" si="54"/>
        <v>11151</v>
      </c>
      <c r="CX147" s="443">
        <f t="shared" si="55"/>
        <v>3.8439999999999999</v>
      </c>
    </row>
    <row r="148" spans="1:102" ht="15" customHeight="1">
      <c r="A148" s="436">
        <f t="shared" si="26"/>
        <v>2012</v>
      </c>
      <c r="B148" s="437">
        <f t="shared" si="26"/>
        <v>11405</v>
      </c>
      <c r="C148" s="533">
        <f t="shared" si="69"/>
        <v>8.1300590399927959</v>
      </c>
      <c r="D148" s="438">
        <f t="shared" si="27"/>
        <v>7</v>
      </c>
      <c r="E148" s="534">
        <f t="shared" si="70"/>
        <v>1.9459101490553132</v>
      </c>
      <c r="F148" s="540" t="s">
        <v>306</v>
      </c>
      <c r="G148" s="504">
        <f>INDEX(LINEST(C142:C152,E142:E152),1)</f>
        <v>0.11829034559752616</v>
      </c>
      <c r="H148" s="439"/>
      <c r="I148" s="443">
        <f t="shared" si="28"/>
        <v>11209</v>
      </c>
      <c r="J148" s="446">
        <f t="shared" si="29"/>
        <v>1.7185444980271809</v>
      </c>
      <c r="K148" s="443">
        <f t="shared" si="71"/>
        <v>38.415999999999997</v>
      </c>
      <c r="M148" s="536">
        <f t="shared" si="56"/>
        <v>8.1619457994686897</v>
      </c>
      <c r="Q148" s="443">
        <f t="shared" si="30"/>
        <v>11209</v>
      </c>
      <c r="R148" s="443">
        <f t="shared" si="31"/>
        <v>38.415999999999997</v>
      </c>
      <c r="T148" s="536">
        <f t="shared" si="57"/>
        <v>8.1590886546679098</v>
      </c>
      <c r="W148" s="451"/>
      <c r="X148" s="443">
        <f t="shared" si="32"/>
        <v>11209</v>
      </c>
      <c r="Y148" s="443">
        <f t="shared" si="33"/>
        <v>38.415999999999997</v>
      </c>
      <c r="AA148" s="536">
        <f t="shared" si="58"/>
        <v>8.1562233231946237</v>
      </c>
      <c r="AD148" s="451"/>
      <c r="AE148" s="443">
        <f t="shared" si="34"/>
        <v>11209</v>
      </c>
      <c r="AF148" s="443">
        <f t="shared" si="35"/>
        <v>38.415999999999997</v>
      </c>
      <c r="AH148" s="536">
        <f t="shared" si="59"/>
        <v>8.1533497579988925</v>
      </c>
      <c r="AK148" s="451"/>
      <c r="AL148" s="443">
        <f t="shared" si="36"/>
        <v>11209</v>
      </c>
      <c r="AM148" s="443">
        <f t="shared" si="37"/>
        <v>38.415999999999997</v>
      </c>
      <c r="AO148" s="536">
        <f t="shared" si="60"/>
        <v>8.1504679116240037</v>
      </c>
      <c r="AR148" s="451"/>
      <c r="AS148" s="443">
        <f t="shared" si="38"/>
        <v>11209</v>
      </c>
      <c r="AT148" s="443">
        <f t="shared" si="39"/>
        <v>38.415999999999997</v>
      </c>
      <c r="AV148" s="536">
        <f t="shared" si="61"/>
        <v>8.1475777362017698</v>
      </c>
      <c r="AY148" s="451"/>
      <c r="AZ148" s="443">
        <f t="shared" si="40"/>
        <v>11209</v>
      </c>
      <c r="BA148" s="443">
        <f t="shared" si="41"/>
        <v>38.415999999999997</v>
      </c>
      <c r="BC148" s="536">
        <f t="shared" si="62"/>
        <v>8.1446791834477583</v>
      </c>
      <c r="BF148" s="451"/>
      <c r="BG148" s="443">
        <f t="shared" si="42"/>
        <v>11209</v>
      </c>
      <c r="BH148" s="443">
        <f t="shared" si="43"/>
        <v>38.415999999999997</v>
      </c>
      <c r="BJ148" s="536">
        <f t="shared" si="63"/>
        <v>8.1417722046564496</v>
      </c>
      <c r="BM148" s="451"/>
      <c r="BN148" s="443">
        <f t="shared" si="44"/>
        <v>11209</v>
      </c>
      <c r="BO148" s="443">
        <f t="shared" si="45"/>
        <v>38.415999999999997</v>
      </c>
      <c r="BQ148" s="536">
        <f t="shared" si="64"/>
        <v>8.1388567506963252</v>
      </c>
      <c r="BT148" s="451"/>
      <c r="BU148" s="443">
        <f t="shared" si="46"/>
        <v>11209</v>
      </c>
      <c r="BV148" s="443">
        <f t="shared" si="47"/>
        <v>38.415999999999997</v>
      </c>
      <c r="BX148" s="536">
        <f t="shared" si="65"/>
        <v>8.1359327720048906</v>
      </c>
      <c r="CA148" s="451"/>
      <c r="CB148" s="443">
        <f t="shared" si="48"/>
        <v>11209</v>
      </c>
      <c r="CC148" s="443">
        <f t="shared" si="49"/>
        <v>38.415999999999997</v>
      </c>
      <c r="CE148" s="536">
        <f t="shared" si="66"/>
        <v>8.1330002185836126</v>
      </c>
      <c r="CH148" s="451"/>
      <c r="CI148" s="443">
        <f t="shared" si="50"/>
        <v>11209</v>
      </c>
      <c r="CJ148" s="443">
        <f t="shared" si="51"/>
        <v>38.415999999999997</v>
      </c>
      <c r="CL148" s="536">
        <f t="shared" si="67"/>
        <v>8.1300590399927959</v>
      </c>
      <c r="CO148" s="451"/>
      <c r="CP148" s="443">
        <f t="shared" si="52"/>
        <v>11209</v>
      </c>
      <c r="CQ148" s="443">
        <f t="shared" si="53"/>
        <v>38.415999999999997</v>
      </c>
      <c r="CS148" s="536">
        <f t="shared" si="68"/>
        <v>8.1271091853463755</v>
      </c>
      <c r="CV148" s="451"/>
      <c r="CW148" s="443">
        <f t="shared" si="54"/>
        <v>11208</v>
      </c>
      <c r="CX148" s="443">
        <f t="shared" si="55"/>
        <v>38.808999999999997</v>
      </c>
    </row>
    <row r="149" spans="1:102" ht="15" customHeight="1">
      <c r="A149" s="436">
        <f t="shared" si="26"/>
        <v>2013</v>
      </c>
      <c r="B149" s="437">
        <f t="shared" si="26"/>
        <v>11441</v>
      </c>
      <c r="C149" s="533">
        <f t="shared" si="69"/>
        <v>8.1406070428584503</v>
      </c>
      <c r="D149" s="438">
        <f t="shared" si="27"/>
        <v>8</v>
      </c>
      <c r="E149" s="543">
        <f t="shared" si="70"/>
        <v>2.0794415416798357</v>
      </c>
      <c r="F149" s="540" t="s">
        <v>301</v>
      </c>
      <c r="G149" s="504">
        <f>INDEX(LINEST(C142:C152,E142:E152),2)</f>
        <v>7.8402608610329185</v>
      </c>
      <c r="H149" s="544" t="s">
        <v>320</v>
      </c>
      <c r="I149" s="443">
        <f t="shared" si="28"/>
        <v>11259</v>
      </c>
      <c r="J149" s="446">
        <f t="shared" si="29"/>
        <v>1.5907700375841272</v>
      </c>
      <c r="K149" s="443">
        <f t="shared" si="71"/>
        <v>33.124000000000002</v>
      </c>
      <c r="M149" s="536">
        <f t="shared" si="56"/>
        <v>8.1721644521119039</v>
      </c>
      <c r="P149" s="451"/>
      <c r="Q149" s="443">
        <f t="shared" si="30"/>
        <v>11260</v>
      </c>
      <c r="R149" s="443">
        <f t="shared" si="31"/>
        <v>32.761000000000003</v>
      </c>
      <c r="T149" s="536">
        <f t="shared" si="57"/>
        <v>8.1693363959283865</v>
      </c>
      <c r="W149" s="451"/>
      <c r="X149" s="443">
        <f t="shared" si="32"/>
        <v>11260</v>
      </c>
      <c r="Y149" s="443">
        <f t="shared" si="33"/>
        <v>32.761000000000003</v>
      </c>
      <c r="AA149" s="536">
        <f t="shared" si="58"/>
        <v>8.1665003191550518</v>
      </c>
      <c r="AD149" s="451"/>
      <c r="AE149" s="443">
        <f t="shared" si="34"/>
        <v>11260</v>
      </c>
      <c r="AF149" s="443">
        <f t="shared" si="35"/>
        <v>32.761000000000003</v>
      </c>
      <c r="AH149" s="536">
        <f t="shared" si="59"/>
        <v>8.1636561761684323</v>
      </c>
      <c r="AK149" s="451"/>
      <c r="AL149" s="443">
        <f t="shared" si="36"/>
        <v>11260</v>
      </c>
      <c r="AM149" s="443">
        <f t="shared" si="37"/>
        <v>32.761000000000003</v>
      </c>
      <c r="AO149" s="536">
        <f t="shared" si="60"/>
        <v>8.160803920954665</v>
      </c>
      <c r="AR149" s="451"/>
      <c r="AS149" s="443">
        <f t="shared" si="38"/>
        <v>11260</v>
      </c>
      <c r="AT149" s="443">
        <f t="shared" si="39"/>
        <v>32.761000000000003</v>
      </c>
      <c r="AV149" s="536">
        <f t="shared" si="61"/>
        <v>8.1579435071050366</v>
      </c>
      <c r="AY149" s="451"/>
      <c r="AZ149" s="443">
        <f t="shared" si="40"/>
        <v>11260</v>
      </c>
      <c r="BA149" s="443">
        <f t="shared" si="41"/>
        <v>32.761000000000003</v>
      </c>
      <c r="BC149" s="536">
        <f t="shared" si="62"/>
        <v>8.1550748878114394</v>
      </c>
      <c r="BF149" s="451"/>
      <c r="BG149" s="443">
        <f t="shared" si="42"/>
        <v>11260</v>
      </c>
      <c r="BH149" s="443">
        <f t="shared" si="43"/>
        <v>32.761000000000003</v>
      </c>
      <c r="BJ149" s="536">
        <f t="shared" si="63"/>
        <v>8.1521980158617868</v>
      </c>
      <c r="BM149" s="451"/>
      <c r="BN149" s="443">
        <f t="shared" si="44"/>
        <v>11260</v>
      </c>
      <c r="BO149" s="443">
        <f t="shared" si="45"/>
        <v>32.761000000000003</v>
      </c>
      <c r="BQ149" s="536">
        <f t="shared" si="64"/>
        <v>8.1493128436353448</v>
      </c>
      <c r="BT149" s="451"/>
      <c r="BU149" s="443">
        <f t="shared" si="46"/>
        <v>11260</v>
      </c>
      <c r="BV149" s="443">
        <f t="shared" si="47"/>
        <v>32.761000000000003</v>
      </c>
      <c r="BX149" s="536">
        <f t="shared" si="65"/>
        <v>8.1464193230980033</v>
      </c>
      <c r="CA149" s="451"/>
      <c r="CB149" s="443">
        <f t="shared" si="48"/>
        <v>11260</v>
      </c>
      <c r="CC149" s="443">
        <f t="shared" si="49"/>
        <v>32.761000000000003</v>
      </c>
      <c r="CE149" s="536">
        <f t="shared" si="66"/>
        <v>8.1435174057974802</v>
      </c>
      <c r="CH149" s="451"/>
      <c r="CI149" s="443">
        <f t="shared" si="50"/>
        <v>11259</v>
      </c>
      <c r="CJ149" s="443">
        <f t="shared" si="51"/>
        <v>33.124000000000002</v>
      </c>
      <c r="CL149" s="536">
        <f t="shared" si="67"/>
        <v>8.1406070428584503</v>
      </c>
      <c r="CO149" s="451"/>
      <c r="CP149" s="443">
        <f t="shared" si="52"/>
        <v>11259</v>
      </c>
      <c r="CQ149" s="443">
        <f t="shared" si="53"/>
        <v>33.124000000000002</v>
      </c>
      <c r="CS149" s="536">
        <f t="shared" si="68"/>
        <v>8.1376881849776055</v>
      </c>
      <c r="CV149" s="451"/>
      <c r="CW149" s="443">
        <f t="shared" si="54"/>
        <v>11259</v>
      </c>
      <c r="CX149" s="443">
        <f t="shared" si="55"/>
        <v>33.124000000000002</v>
      </c>
    </row>
    <row r="150" spans="1:102" ht="15" customHeight="1">
      <c r="A150" s="436">
        <f t="shared" si="26"/>
        <v>2014</v>
      </c>
      <c r="B150" s="437">
        <f t="shared" si="26"/>
        <v>11333</v>
      </c>
      <c r="C150" s="545">
        <f t="shared" si="69"/>
        <v>8.1086232683545951</v>
      </c>
      <c r="D150" s="438">
        <f t="shared" si="27"/>
        <v>9</v>
      </c>
      <c r="E150" s="546">
        <f t="shared" si="70"/>
        <v>2.1972245773362196</v>
      </c>
      <c r="F150" s="540" t="s">
        <v>305</v>
      </c>
      <c r="G150" s="547">
        <f>EXP(G149)</f>
        <v>2540.8675607196583</v>
      </c>
      <c r="I150" s="443">
        <f t="shared" si="28"/>
        <v>11305</v>
      </c>
      <c r="J150" s="467">
        <f t="shared" si="29"/>
        <v>0.24706609017912293</v>
      </c>
      <c r="K150" s="443">
        <f t="shared" si="71"/>
        <v>0.78400000000000003</v>
      </c>
      <c r="M150" s="536">
        <f t="shared" si="56"/>
        <v>8.1411897934576913</v>
      </c>
      <c r="N150" s="451"/>
      <c r="O150" s="451"/>
      <c r="P150" s="510"/>
      <c r="Q150" s="443">
        <f t="shared" si="30"/>
        <v>11305</v>
      </c>
      <c r="R150" s="443">
        <f t="shared" si="31"/>
        <v>0.78400000000000003</v>
      </c>
      <c r="T150" s="536">
        <f t="shared" si="57"/>
        <v>8.1382726385301858</v>
      </c>
      <c r="U150" s="451"/>
      <c r="V150" s="451"/>
      <c r="W150" s="510"/>
      <c r="X150" s="443">
        <f t="shared" si="32"/>
        <v>11305</v>
      </c>
      <c r="Y150" s="443">
        <f t="shared" si="33"/>
        <v>0.78400000000000003</v>
      </c>
      <c r="AA150" s="536">
        <f t="shared" si="58"/>
        <v>8.1353469489067063</v>
      </c>
      <c r="AB150" s="451"/>
      <c r="AC150" s="451"/>
      <c r="AD150" s="510"/>
      <c r="AE150" s="443">
        <f t="shared" si="34"/>
        <v>11305</v>
      </c>
      <c r="AF150" s="443">
        <f t="shared" si="35"/>
        <v>0.78400000000000003</v>
      </c>
      <c r="AH150" s="536">
        <f t="shared" si="59"/>
        <v>8.1324126745009053</v>
      </c>
      <c r="AI150" s="451"/>
      <c r="AJ150" s="451"/>
      <c r="AK150" s="510"/>
      <c r="AL150" s="443">
        <f t="shared" si="36"/>
        <v>11305</v>
      </c>
      <c r="AM150" s="443">
        <f t="shared" si="37"/>
        <v>0.78400000000000003</v>
      </c>
      <c r="AO150" s="536">
        <f t="shared" si="60"/>
        <v>8.1294697647842309</v>
      </c>
      <c r="AP150" s="451"/>
      <c r="AQ150" s="451"/>
      <c r="AR150" s="510"/>
      <c r="AS150" s="443">
        <f t="shared" si="38"/>
        <v>11305</v>
      </c>
      <c r="AT150" s="443">
        <f t="shared" si="39"/>
        <v>0.78400000000000003</v>
      </c>
      <c r="AV150" s="536">
        <f t="shared" si="61"/>
        <v>8.1265181687807093</v>
      </c>
      <c r="AW150" s="451"/>
      <c r="AX150" s="451"/>
      <c r="AY150" s="510"/>
      <c r="AZ150" s="443">
        <f t="shared" si="40"/>
        <v>11305</v>
      </c>
      <c r="BA150" s="443">
        <f t="shared" si="41"/>
        <v>0.78400000000000003</v>
      </c>
      <c r="BC150" s="536">
        <f t="shared" si="62"/>
        <v>8.12355783506165</v>
      </c>
      <c r="BD150" s="451"/>
      <c r="BE150" s="451"/>
      <c r="BF150" s="510"/>
      <c r="BG150" s="443">
        <f t="shared" si="42"/>
        <v>11305</v>
      </c>
      <c r="BH150" s="443">
        <f t="shared" si="43"/>
        <v>0.78400000000000003</v>
      </c>
      <c r="BJ150" s="536">
        <f t="shared" si="63"/>
        <v>8.12058871174027</v>
      </c>
      <c r="BK150" s="451"/>
      <c r="BL150" s="451"/>
      <c r="BM150" s="510"/>
      <c r="BN150" s="443">
        <f t="shared" si="44"/>
        <v>11305</v>
      </c>
      <c r="BO150" s="443">
        <f t="shared" si="45"/>
        <v>0.78400000000000003</v>
      </c>
      <c r="BQ150" s="536">
        <f t="shared" si="64"/>
        <v>8.1176107464662284</v>
      </c>
      <c r="BR150" s="451"/>
      <c r="BS150" s="451"/>
      <c r="BT150" s="510"/>
      <c r="BU150" s="443">
        <f t="shared" si="46"/>
        <v>11305</v>
      </c>
      <c r="BV150" s="443">
        <f t="shared" si="47"/>
        <v>0.78400000000000003</v>
      </c>
      <c r="BX150" s="536">
        <f t="shared" si="65"/>
        <v>8.1146238864200981</v>
      </c>
      <c r="BY150" s="451"/>
      <c r="BZ150" s="451"/>
      <c r="CA150" s="510"/>
      <c r="CB150" s="443">
        <f t="shared" si="48"/>
        <v>11305</v>
      </c>
      <c r="CC150" s="443">
        <f t="shared" si="49"/>
        <v>0.78400000000000003</v>
      </c>
      <c r="CE150" s="536">
        <f t="shared" si="66"/>
        <v>8.1116280783077404</v>
      </c>
      <c r="CF150" s="451"/>
      <c r="CG150" s="451"/>
      <c r="CH150" s="510"/>
      <c r="CI150" s="443">
        <f t="shared" si="50"/>
        <v>11305</v>
      </c>
      <c r="CJ150" s="443">
        <f t="shared" si="51"/>
        <v>0.78400000000000003</v>
      </c>
      <c r="CL150" s="536">
        <f t="shared" si="67"/>
        <v>8.1086232683545951</v>
      </c>
      <c r="CM150" s="451"/>
      <c r="CN150" s="451"/>
      <c r="CO150" s="510"/>
      <c r="CP150" s="443">
        <f t="shared" si="52"/>
        <v>11305</v>
      </c>
      <c r="CQ150" s="443">
        <f t="shared" si="53"/>
        <v>0.78400000000000003</v>
      </c>
      <c r="CS150" s="536">
        <f t="shared" si="68"/>
        <v>8.1056094022998959</v>
      </c>
      <c r="CT150" s="451"/>
      <c r="CU150" s="451"/>
      <c r="CV150" s="510"/>
      <c r="CW150" s="443">
        <f t="shared" si="54"/>
        <v>11305</v>
      </c>
      <c r="CX150" s="443">
        <f t="shared" si="55"/>
        <v>0.78400000000000003</v>
      </c>
    </row>
    <row r="151" spans="1:102" ht="15" customHeight="1">
      <c r="A151" s="436">
        <f t="shared" si="26"/>
        <v>2015</v>
      </c>
      <c r="B151" s="437">
        <f t="shared" si="26"/>
        <v>11390</v>
      </c>
      <c r="C151" s="545">
        <f t="shared" si="69"/>
        <v>8.1256309884770648</v>
      </c>
      <c r="D151" s="438">
        <f t="shared" si="27"/>
        <v>10</v>
      </c>
      <c r="E151" s="546">
        <f t="shared" si="70"/>
        <v>2.3025850929940459</v>
      </c>
      <c r="H151" s="439"/>
      <c r="I151" s="443">
        <f t="shared" si="28"/>
        <v>11346</v>
      </c>
      <c r="J151" s="467">
        <f t="shared" si="29"/>
        <v>0.38630377524143988</v>
      </c>
      <c r="K151" s="443">
        <f t="shared" si="71"/>
        <v>1.9359999999999999</v>
      </c>
      <c r="M151" s="536">
        <f t="shared" si="56"/>
        <v>8.157657015196472</v>
      </c>
      <c r="N151" s="439" t="s">
        <v>321</v>
      </c>
      <c r="O151" s="504">
        <f>P141</f>
        <v>0.65853806419395711</v>
      </c>
      <c r="P151" s="510"/>
      <c r="Q151" s="443">
        <f t="shared" si="30"/>
        <v>11346</v>
      </c>
      <c r="R151" s="443">
        <f t="shared" si="31"/>
        <v>1.9359999999999999</v>
      </c>
      <c r="T151" s="536">
        <f t="shared" si="57"/>
        <v>8.1547875727685195</v>
      </c>
      <c r="U151" s="439" t="s">
        <v>321</v>
      </c>
      <c r="V151" s="504">
        <f>W141</f>
        <v>0.65853806419395711</v>
      </c>
      <c r="W151" s="510"/>
      <c r="X151" s="443">
        <f t="shared" si="32"/>
        <v>11346</v>
      </c>
      <c r="Y151" s="443">
        <f t="shared" si="33"/>
        <v>1.9359999999999999</v>
      </c>
      <c r="AA151" s="536">
        <f t="shared" si="58"/>
        <v>8.1519098729409052</v>
      </c>
      <c r="AB151" s="439" t="s">
        <v>321</v>
      </c>
      <c r="AC151" s="504">
        <f>AD141</f>
        <v>0.65853806419395711</v>
      </c>
      <c r="AD151" s="510"/>
      <c r="AE151" s="443">
        <f t="shared" si="34"/>
        <v>11346</v>
      </c>
      <c r="AF151" s="443">
        <f t="shared" si="35"/>
        <v>1.9359999999999999</v>
      </c>
      <c r="AH151" s="536">
        <f t="shared" si="59"/>
        <v>8.1490238680517706</v>
      </c>
      <c r="AI151" s="439" t="s">
        <v>321</v>
      </c>
      <c r="AJ151" s="504">
        <f>AK141</f>
        <v>0.65853806419395711</v>
      </c>
      <c r="AK151" s="510"/>
      <c r="AL151" s="443">
        <f t="shared" si="36"/>
        <v>11346</v>
      </c>
      <c r="AM151" s="443">
        <f t="shared" si="37"/>
        <v>1.9359999999999999</v>
      </c>
      <c r="AO151" s="536">
        <f t="shared" si="60"/>
        <v>8.1461295100254052</v>
      </c>
      <c r="AP151" s="439" t="s">
        <v>321</v>
      </c>
      <c r="AQ151" s="504">
        <f>AR141</f>
        <v>0.65853806419395711</v>
      </c>
      <c r="AR151" s="510"/>
      <c r="AS151" s="443">
        <f t="shared" si="38"/>
        <v>11346</v>
      </c>
      <c r="AT151" s="443">
        <f t="shared" si="39"/>
        <v>1.9359999999999999</v>
      </c>
      <c r="AV151" s="536">
        <f t="shared" si="61"/>
        <v>8.1432267503674449</v>
      </c>
      <c r="AW151" s="439" t="s">
        <v>321</v>
      </c>
      <c r="AX151" s="504">
        <f>AY141</f>
        <v>0.65853806419395711</v>
      </c>
      <c r="AY151" s="510"/>
      <c r="AZ151" s="443">
        <f t="shared" si="40"/>
        <v>11346</v>
      </c>
      <c r="BA151" s="443">
        <f t="shared" si="41"/>
        <v>1.9359999999999999</v>
      </c>
      <c r="BC151" s="536">
        <f t="shared" si="62"/>
        <v>8.1403155401599854</v>
      </c>
      <c r="BD151" s="439" t="s">
        <v>321</v>
      </c>
      <c r="BE151" s="504">
        <f>BF141</f>
        <v>0.65853806419395711</v>
      </c>
      <c r="BF151" s="510"/>
      <c r="BG151" s="443">
        <f t="shared" si="42"/>
        <v>11346</v>
      </c>
      <c r="BH151" s="443">
        <f t="shared" si="43"/>
        <v>1.9359999999999999</v>
      </c>
      <c r="BJ151" s="536">
        <f t="shared" si="63"/>
        <v>8.1373958300566507</v>
      </c>
      <c r="BK151" s="439" t="s">
        <v>321</v>
      </c>
      <c r="BL151" s="504">
        <f>BM141</f>
        <v>0.65890706443118641</v>
      </c>
      <c r="BM151" s="510"/>
      <c r="BN151" s="443">
        <f t="shared" si="44"/>
        <v>11346</v>
      </c>
      <c r="BO151" s="443">
        <f t="shared" si="45"/>
        <v>1.9359999999999999</v>
      </c>
      <c r="BQ151" s="536">
        <f t="shared" si="64"/>
        <v>8.1344675702775628</v>
      </c>
      <c r="BR151" s="439" t="s">
        <v>321</v>
      </c>
      <c r="BS151" s="504">
        <f>BT141</f>
        <v>0.65890706443118641</v>
      </c>
      <c r="BT151" s="510"/>
      <c r="BU151" s="443">
        <f t="shared" si="46"/>
        <v>11346</v>
      </c>
      <c r="BV151" s="443">
        <f t="shared" si="47"/>
        <v>1.9359999999999999</v>
      </c>
      <c r="BX151" s="536">
        <f t="shared" si="65"/>
        <v>8.1315307106042525</v>
      </c>
      <c r="BY151" s="439" t="s">
        <v>321</v>
      </c>
      <c r="BZ151" s="504">
        <f>CA141</f>
        <v>0.65890706443118641</v>
      </c>
      <c r="CA151" s="510"/>
      <c r="CB151" s="443">
        <f t="shared" si="48"/>
        <v>11346</v>
      </c>
      <c r="CC151" s="443">
        <f t="shared" si="49"/>
        <v>1.9359999999999999</v>
      </c>
      <c r="CE151" s="536">
        <f t="shared" si="66"/>
        <v>8.1285852003744967</v>
      </c>
      <c r="CF151" s="439" t="s">
        <v>321</v>
      </c>
      <c r="CG151" s="504">
        <f>CH141</f>
        <v>0.65859657278479167</v>
      </c>
      <c r="CH151" s="510"/>
      <c r="CI151" s="443">
        <f t="shared" si="50"/>
        <v>11346</v>
      </c>
      <c r="CJ151" s="443">
        <f t="shared" si="51"/>
        <v>1.9359999999999999</v>
      </c>
      <c r="CL151" s="536">
        <f t="shared" si="67"/>
        <v>8.1256309884770648</v>
      </c>
      <c r="CM151" s="439" t="s">
        <v>321</v>
      </c>
      <c r="CN151" s="504">
        <f>CO141</f>
        <v>0.65899705715760293</v>
      </c>
      <c r="CO151" s="510"/>
      <c r="CP151" s="443">
        <f t="shared" si="52"/>
        <v>11346</v>
      </c>
      <c r="CQ151" s="443">
        <f t="shared" si="53"/>
        <v>1.9359999999999999</v>
      </c>
      <c r="CS151" s="536">
        <f t="shared" si="68"/>
        <v>8.1226680233464066</v>
      </c>
      <c r="CT151" s="439" t="s">
        <v>321</v>
      </c>
      <c r="CU151" s="504">
        <f>CV141</f>
        <v>0.65865498129653588</v>
      </c>
      <c r="CV151" s="510"/>
      <c r="CW151" s="443">
        <f t="shared" si="54"/>
        <v>11346</v>
      </c>
      <c r="CX151" s="443">
        <f t="shared" si="55"/>
        <v>1.9359999999999999</v>
      </c>
    </row>
    <row r="152" spans="1:102" ht="15" customHeight="1" thickBot="1">
      <c r="A152" s="436">
        <f t="shared" si="26"/>
        <v>2016</v>
      </c>
      <c r="B152" s="437">
        <f t="shared" si="26"/>
        <v>11393</v>
      </c>
      <c r="C152" s="545">
        <f t="shared" si="69"/>
        <v>8.1265181687807093</v>
      </c>
      <c r="D152" s="438">
        <f t="shared" si="27"/>
        <v>11</v>
      </c>
      <c r="E152" s="546">
        <f t="shared" si="70"/>
        <v>2.3978952727983707</v>
      </c>
      <c r="I152" s="443">
        <f t="shared" si="28"/>
        <v>11384</v>
      </c>
      <c r="J152" s="467">
        <f t="shared" si="29"/>
        <v>7.8995874659878881E-2</v>
      </c>
      <c r="K152" s="443">
        <f t="shared" si="71"/>
        <v>8.1000000000000003E-2</v>
      </c>
      <c r="M152" s="536">
        <f t="shared" si="56"/>
        <v>8.1585162448068314</v>
      </c>
      <c r="N152" s="439" t="s">
        <v>322</v>
      </c>
      <c r="O152" s="548">
        <f>SUM(R142:R152)</f>
        <v>386.21199999999999</v>
      </c>
      <c r="P152" s="509"/>
      <c r="Q152" s="443">
        <f t="shared" si="30"/>
        <v>11384</v>
      </c>
      <c r="R152" s="443">
        <f t="shared" si="31"/>
        <v>8.1000000000000003E-2</v>
      </c>
      <c r="T152" s="536">
        <f t="shared" si="57"/>
        <v>8.155649270366002</v>
      </c>
      <c r="U152" s="439" t="s">
        <v>322</v>
      </c>
      <c r="V152" s="548">
        <f>SUM(Y142:Y152)</f>
        <v>386.21199999999999</v>
      </c>
      <c r="W152" s="509"/>
      <c r="X152" s="443">
        <f t="shared" si="32"/>
        <v>11384</v>
      </c>
      <c r="Y152" s="443">
        <f t="shared" si="33"/>
        <v>8.1000000000000003E-2</v>
      </c>
      <c r="AA152" s="536">
        <f t="shared" si="58"/>
        <v>8.1527740527440749</v>
      </c>
      <c r="AB152" s="439" t="s">
        <v>322</v>
      </c>
      <c r="AC152" s="548">
        <f>SUM(AF142:AF152)</f>
        <v>386.21199999999999</v>
      </c>
      <c r="AD152" s="509"/>
      <c r="AE152" s="443">
        <f t="shared" si="34"/>
        <v>11384</v>
      </c>
      <c r="AF152" s="443">
        <f t="shared" si="35"/>
        <v>8.1000000000000003E-2</v>
      </c>
      <c r="AH152" s="536">
        <f t="shared" si="59"/>
        <v>8.1498905444024228</v>
      </c>
      <c r="AI152" s="439" t="s">
        <v>322</v>
      </c>
      <c r="AJ152" s="548">
        <f>SUM(AM142:AM152)</f>
        <v>386.21199999999999</v>
      </c>
      <c r="AK152" s="509"/>
      <c r="AL152" s="443">
        <f t="shared" si="36"/>
        <v>11384</v>
      </c>
      <c r="AM152" s="443">
        <f t="shared" si="37"/>
        <v>8.1000000000000003E-2</v>
      </c>
      <c r="AO152" s="536">
        <f t="shared" si="60"/>
        <v>8.1469986973899928</v>
      </c>
      <c r="AP152" s="439" t="s">
        <v>322</v>
      </c>
      <c r="AQ152" s="548">
        <f>SUM(AT142:AT152)</f>
        <v>386.21199999999999</v>
      </c>
      <c r="AR152" s="509"/>
      <c r="AS152" s="443">
        <f t="shared" si="38"/>
        <v>11384</v>
      </c>
      <c r="AT152" s="443">
        <f t="shared" si="39"/>
        <v>8.1000000000000003E-2</v>
      </c>
      <c r="AV152" s="536">
        <f t="shared" si="61"/>
        <v>8.1440984633385245</v>
      </c>
      <c r="AW152" s="439" t="s">
        <v>322</v>
      </c>
      <c r="AX152" s="548">
        <f>SUM(BA142:BA152)</f>
        <v>386.21199999999999</v>
      </c>
      <c r="AY152" s="509"/>
      <c r="AZ152" s="443">
        <f t="shared" si="40"/>
        <v>11384</v>
      </c>
      <c r="BA152" s="443">
        <f t="shared" si="41"/>
        <v>8.1000000000000003E-2</v>
      </c>
      <c r="BC152" s="536">
        <f t="shared" si="62"/>
        <v>8.1411897934576913</v>
      </c>
      <c r="BD152" s="439" t="s">
        <v>322</v>
      </c>
      <c r="BE152" s="548">
        <f>SUM(BH142:BH152)</f>
        <v>386.21199999999999</v>
      </c>
      <c r="BF152" s="509"/>
      <c r="BG152" s="443">
        <f t="shared" si="42"/>
        <v>11384</v>
      </c>
      <c r="BH152" s="443">
        <f t="shared" si="43"/>
        <v>8.1000000000000003E-2</v>
      </c>
      <c r="BJ152" s="536">
        <f t="shared" si="63"/>
        <v>8.1382726385301858</v>
      </c>
      <c r="BK152" s="439" t="s">
        <v>322</v>
      </c>
      <c r="BL152" s="548">
        <f>SUM(BO142:BO152)</f>
        <v>385.84699999999998</v>
      </c>
      <c r="BM152" s="509"/>
      <c r="BN152" s="443">
        <f t="shared" si="44"/>
        <v>11384</v>
      </c>
      <c r="BO152" s="443">
        <f t="shared" si="45"/>
        <v>8.1000000000000003E-2</v>
      </c>
      <c r="BQ152" s="536">
        <f t="shared" si="64"/>
        <v>8.1353469489067063</v>
      </c>
      <c r="BR152" s="439" t="s">
        <v>322</v>
      </c>
      <c r="BS152" s="548">
        <f>SUM(BV142:BV152)</f>
        <v>385.84699999999998</v>
      </c>
      <c r="BT152" s="509"/>
      <c r="BU152" s="443">
        <f t="shared" si="46"/>
        <v>11384</v>
      </c>
      <c r="BV152" s="443">
        <f t="shared" si="47"/>
        <v>8.1000000000000003E-2</v>
      </c>
      <c r="BX152" s="536">
        <f t="shared" si="65"/>
        <v>8.1324126745009053</v>
      </c>
      <c r="BY152" s="439" t="s">
        <v>322</v>
      </c>
      <c r="BZ152" s="548">
        <f>SUM(CC142:CC152)</f>
        <v>385.84699999999998</v>
      </c>
      <c r="CA152" s="509"/>
      <c r="CB152" s="443">
        <f t="shared" si="48"/>
        <v>11384</v>
      </c>
      <c r="CC152" s="443">
        <f t="shared" si="49"/>
        <v>8.1000000000000003E-2</v>
      </c>
      <c r="CE152" s="536">
        <f t="shared" si="66"/>
        <v>8.1294697647842309</v>
      </c>
      <c r="CF152" s="439" t="s">
        <v>322</v>
      </c>
      <c r="CG152" s="548">
        <f>SUM(CJ142:CJ152)</f>
        <v>386.21</v>
      </c>
      <c r="CH152" s="509"/>
      <c r="CI152" s="443">
        <f t="shared" si="50"/>
        <v>11384</v>
      </c>
      <c r="CJ152" s="443">
        <f t="shared" si="51"/>
        <v>8.1000000000000003E-2</v>
      </c>
      <c r="CL152" s="536">
        <f t="shared" si="67"/>
        <v>8.1265181687807093</v>
      </c>
      <c r="CM152" s="439" t="s">
        <v>322</v>
      </c>
      <c r="CN152" s="548">
        <f>SUM(CQ142:CQ152)</f>
        <v>385.77499999999998</v>
      </c>
      <c r="CO152" s="509"/>
      <c r="CP152" s="443">
        <f t="shared" si="52"/>
        <v>11384</v>
      </c>
      <c r="CQ152" s="443">
        <f t="shared" si="53"/>
        <v>8.1000000000000003E-2</v>
      </c>
      <c r="CS152" s="536">
        <f t="shared" si="68"/>
        <v>8.12355783506165</v>
      </c>
      <c r="CT152" s="439" t="s">
        <v>322</v>
      </c>
      <c r="CU152" s="548">
        <f>SUM(CX142:CX152)</f>
        <v>386.16799999999995</v>
      </c>
      <c r="CV152" s="509"/>
      <c r="CW152" s="443">
        <f t="shared" si="54"/>
        <v>11384</v>
      </c>
      <c r="CX152" s="443">
        <f t="shared" si="55"/>
        <v>8.1000000000000003E-2</v>
      </c>
    </row>
    <row r="153" spans="1:102" ht="15" customHeight="1" thickTop="1">
      <c r="A153" s="458">
        <f t="shared" si="26"/>
        <v>2017</v>
      </c>
      <c r="B153" s="459">
        <f>ROUND($G$147+$G$150*D153^$G$148,$G$1)</f>
        <v>11419</v>
      </c>
      <c r="C153" s="549"/>
      <c r="D153" s="550">
        <f t="shared" si="27"/>
        <v>12</v>
      </c>
      <c r="E153" s="551"/>
      <c r="F153" s="2314" t="s">
        <v>276</v>
      </c>
      <c r="G153" s="2315"/>
      <c r="H153" s="514">
        <f>I141</f>
        <v>0.65899705715760293</v>
      </c>
      <c r="I153" s="464">
        <f t="shared" si="28"/>
        <v>11419</v>
      </c>
      <c r="J153" s="463"/>
      <c r="K153" s="464"/>
      <c r="M153" s="552"/>
      <c r="N153" s="553"/>
      <c r="O153" s="554"/>
      <c r="P153" s="331"/>
      <c r="Q153" s="555"/>
      <c r="R153" s="556"/>
      <c r="T153" s="552"/>
      <c r="U153" s="553"/>
      <c r="V153" s="554"/>
      <c r="W153" s="331"/>
      <c r="X153" s="555"/>
      <c r="Y153" s="556"/>
      <c r="AA153" s="552"/>
      <c r="AB153" s="553"/>
      <c r="AC153" s="554"/>
      <c r="AD153" s="331"/>
      <c r="AE153" s="555"/>
      <c r="AF153" s="556"/>
      <c r="AH153" s="552"/>
      <c r="AI153" s="553"/>
      <c r="AJ153" s="554"/>
      <c r="AK153" s="331"/>
      <c r="AL153" s="555"/>
      <c r="AM153" s="556"/>
      <c r="AO153" s="552"/>
      <c r="AP153" s="553"/>
      <c r="AQ153" s="554"/>
      <c r="AR153" s="331"/>
      <c r="AS153" s="555"/>
      <c r="AT153" s="556"/>
      <c r="AV153" s="552"/>
      <c r="AW153" s="553"/>
      <c r="AX153" s="554"/>
      <c r="AY153" s="331"/>
      <c r="AZ153" s="555"/>
      <c r="BA153" s="556"/>
      <c r="BC153" s="552"/>
      <c r="BD153" s="553"/>
      <c r="BE153" s="554"/>
      <c r="BF153" s="331"/>
      <c r="BG153" s="555"/>
      <c r="BH153" s="556"/>
      <c r="BJ153" s="552"/>
      <c r="BK153" s="553"/>
      <c r="BL153" s="554"/>
      <c r="BM153" s="331"/>
      <c r="BN153" s="555"/>
      <c r="BO153" s="556"/>
      <c r="BQ153" s="552"/>
      <c r="BR153" s="553"/>
      <c r="BS153" s="554"/>
      <c r="BT153" s="331"/>
      <c r="BU153" s="555"/>
      <c r="BV153" s="556"/>
      <c r="BX153" s="552"/>
      <c r="BY153" s="553"/>
      <c r="BZ153" s="554"/>
      <c r="CA153" s="331"/>
      <c r="CB153" s="555"/>
      <c r="CC153" s="556"/>
      <c r="CE153" s="552"/>
      <c r="CF153" s="553"/>
      <c r="CG153" s="554"/>
      <c r="CH153" s="331"/>
      <c r="CI153" s="555"/>
      <c r="CJ153" s="556"/>
      <c r="CL153" s="552"/>
      <c r="CM153" s="553"/>
      <c r="CN153" s="554"/>
      <c r="CO153" s="331"/>
      <c r="CP153" s="555"/>
      <c r="CQ153" s="556"/>
      <c r="CS153" s="552"/>
      <c r="CT153" s="553"/>
      <c r="CU153" s="554"/>
      <c r="CV153" s="331"/>
      <c r="CW153" s="555"/>
      <c r="CX153" s="556"/>
    </row>
    <row r="154" spans="1:102" ht="15" customHeight="1">
      <c r="A154" s="436">
        <f t="shared" si="26"/>
        <v>2018</v>
      </c>
      <c r="B154" s="437">
        <f>ROUND($G$147+$G$150*D154^$G$148,$G$1)</f>
        <v>11452</v>
      </c>
      <c r="C154" s="545"/>
      <c r="D154" s="438">
        <f t="shared" si="27"/>
        <v>13</v>
      </c>
      <c r="E154" s="546"/>
      <c r="F154" s="2318" t="s">
        <v>323</v>
      </c>
      <c r="G154" s="2320"/>
      <c r="H154" s="448">
        <f>SUM(K142:K152)</f>
        <v>385.77499999999998</v>
      </c>
      <c r="I154" s="443">
        <f t="shared" si="28"/>
        <v>11452</v>
      </c>
      <c r="J154" s="467"/>
      <c r="K154" s="443"/>
      <c r="M154" s="557"/>
      <c r="N154" s="439"/>
      <c r="O154" s="548"/>
      <c r="P154" s="451"/>
      <c r="Q154" s="493"/>
      <c r="R154" s="492"/>
      <c r="T154" s="557"/>
      <c r="U154" s="439"/>
      <c r="V154" s="548"/>
      <c r="W154" s="451"/>
      <c r="X154" s="493"/>
      <c r="Y154" s="492"/>
      <c r="AA154" s="557"/>
      <c r="AB154" s="439"/>
      <c r="AC154" s="548"/>
      <c r="AD154" s="451"/>
      <c r="AE154" s="493"/>
      <c r="AF154" s="492"/>
      <c r="AH154" s="557"/>
      <c r="AI154" s="439"/>
      <c r="AJ154" s="548"/>
      <c r="AK154" s="451"/>
      <c r="AL154" s="493"/>
      <c r="AM154" s="492"/>
      <c r="AO154" s="557"/>
      <c r="AP154" s="439"/>
      <c r="AQ154" s="548"/>
      <c r="AR154" s="451"/>
      <c r="AS154" s="493"/>
      <c r="AT154" s="492"/>
      <c r="AV154" s="557"/>
      <c r="AW154" s="439"/>
      <c r="AX154" s="548"/>
      <c r="AY154" s="451"/>
      <c r="AZ154" s="493"/>
      <c r="BA154" s="492"/>
      <c r="BC154" s="557"/>
      <c r="BD154" s="439"/>
      <c r="BE154" s="548"/>
      <c r="BF154" s="451"/>
      <c r="BG154" s="493"/>
      <c r="BH154" s="492"/>
      <c r="BJ154" s="557"/>
      <c r="BK154" s="439"/>
      <c r="BL154" s="548"/>
      <c r="BM154" s="451"/>
      <c r="BN154" s="493"/>
      <c r="BO154" s="492"/>
      <c r="BQ154" s="557"/>
      <c r="BR154" s="439"/>
      <c r="BS154" s="548"/>
      <c r="BT154" s="451"/>
      <c r="BU154" s="493"/>
      <c r="BV154" s="492"/>
      <c r="BX154" s="557"/>
      <c r="BY154" s="439"/>
      <c r="BZ154" s="548"/>
      <c r="CA154" s="451"/>
      <c r="CB154" s="493"/>
      <c r="CC154" s="492"/>
      <c r="CE154" s="557"/>
      <c r="CF154" s="439"/>
      <c r="CG154" s="548"/>
      <c r="CH154" s="451"/>
      <c r="CI154" s="493"/>
      <c r="CJ154" s="492"/>
      <c r="CL154" s="557"/>
      <c r="CM154" s="439"/>
      <c r="CN154" s="548"/>
      <c r="CO154" s="451"/>
      <c r="CP154" s="493"/>
      <c r="CQ154" s="492"/>
      <c r="CS154" s="557"/>
      <c r="CT154" s="439"/>
      <c r="CU154" s="548"/>
      <c r="CV154" s="451"/>
      <c r="CW154" s="493"/>
      <c r="CX154" s="492"/>
    </row>
    <row r="155" spans="1:102" ht="15" customHeight="1">
      <c r="A155" s="436">
        <f t="shared" si="26"/>
        <v>2019</v>
      </c>
      <c r="B155" s="437">
        <f t="shared" ref="B155:B174" si="72">ROUND($G$147+$G$150*D155^$G$148,$G$1)</f>
        <v>11482</v>
      </c>
      <c r="C155" s="545"/>
      <c r="D155" s="438">
        <f t="shared" si="27"/>
        <v>14</v>
      </c>
      <c r="E155" s="546"/>
      <c r="F155" s="2318" t="s">
        <v>324</v>
      </c>
      <c r="G155" s="2320"/>
      <c r="H155" s="449">
        <f>SUM(J142:J152)/D152</f>
        <v>1.2723086897030538</v>
      </c>
      <c r="I155" s="443">
        <f t="shared" si="28"/>
        <v>11482</v>
      </c>
      <c r="J155" s="467"/>
      <c r="K155" s="443"/>
      <c r="M155" s="505" t="s">
        <v>325</v>
      </c>
      <c r="N155" s="505">
        <f>MIN(B142:B152)</f>
        <v>10539</v>
      </c>
      <c r="O155" s="505"/>
      <c r="P155" s="505"/>
      <c r="Q155" s="505"/>
      <c r="R155" s="505"/>
      <c r="S155" s="505"/>
      <c r="T155" s="505" t="s">
        <v>325</v>
      </c>
      <c r="U155" s="505">
        <f>N155</f>
        <v>10539</v>
      </c>
      <c r="V155" s="505"/>
      <c r="W155" s="505"/>
      <c r="X155" s="505"/>
      <c r="Y155" s="505"/>
      <c r="Z155" s="505"/>
      <c r="AA155" s="505" t="s">
        <v>325</v>
      </c>
      <c r="AB155" s="505">
        <f>U155</f>
        <v>10539</v>
      </c>
      <c r="AH155" s="505" t="s">
        <v>325</v>
      </c>
      <c r="AI155" s="505">
        <f>AB155</f>
        <v>10539</v>
      </c>
      <c r="AO155" s="505" t="s">
        <v>325</v>
      </c>
      <c r="AP155" s="505">
        <f>AI155</f>
        <v>10539</v>
      </c>
      <c r="AV155" s="505" t="s">
        <v>325</v>
      </c>
      <c r="AW155" s="505">
        <f>AP155</f>
        <v>10539</v>
      </c>
      <c r="BC155" s="505" t="s">
        <v>325</v>
      </c>
      <c r="BD155" s="505">
        <f>AW155</f>
        <v>10539</v>
      </c>
      <c r="BJ155" s="505" t="s">
        <v>325</v>
      </c>
      <c r="BK155" s="505">
        <f>BD155</f>
        <v>10539</v>
      </c>
      <c r="BQ155" s="505" t="s">
        <v>325</v>
      </c>
      <c r="BR155" s="505">
        <f>BK155</f>
        <v>10539</v>
      </c>
      <c r="BX155" s="505" t="s">
        <v>325</v>
      </c>
      <c r="BY155" s="505">
        <f>BR155</f>
        <v>10539</v>
      </c>
      <c r="CE155" s="505" t="s">
        <v>325</v>
      </c>
      <c r="CF155" s="505">
        <f>BY155</f>
        <v>10539</v>
      </c>
      <c r="CL155" s="505" t="s">
        <v>325</v>
      </c>
      <c r="CM155" s="505">
        <f>CF155</f>
        <v>10539</v>
      </c>
      <c r="CS155" s="505" t="s">
        <v>325</v>
      </c>
      <c r="CT155" s="505">
        <f>CM155</f>
        <v>10539</v>
      </c>
    </row>
    <row r="156" spans="1:102" ht="15" customHeight="1">
      <c r="A156" s="436">
        <f t="shared" si="26"/>
        <v>2020</v>
      </c>
      <c r="B156" s="437">
        <f t="shared" si="72"/>
        <v>11510</v>
      </c>
      <c r="C156" s="545"/>
      <c r="D156" s="438">
        <f t="shared" si="27"/>
        <v>15</v>
      </c>
      <c r="E156" s="546"/>
      <c r="I156" s="443">
        <f t="shared" si="28"/>
        <v>11510</v>
      </c>
      <c r="J156" s="467"/>
      <c r="K156" s="443"/>
      <c r="M156" s="505" t="s">
        <v>326</v>
      </c>
      <c r="N156" s="505">
        <v>3</v>
      </c>
      <c r="O156" s="505"/>
      <c r="P156" s="505"/>
      <c r="Q156" s="505"/>
      <c r="R156" s="505"/>
      <c r="S156" s="505"/>
      <c r="T156" s="505" t="s">
        <v>326</v>
      </c>
      <c r="U156" s="505">
        <f>N156</f>
        <v>3</v>
      </c>
      <c r="V156" s="505"/>
      <c r="W156" s="505"/>
      <c r="X156" s="505"/>
      <c r="Y156" s="505"/>
      <c r="Z156" s="505"/>
      <c r="AA156" s="505" t="s">
        <v>326</v>
      </c>
      <c r="AB156" s="505">
        <f>U156</f>
        <v>3</v>
      </c>
      <c r="AH156" s="505" t="s">
        <v>326</v>
      </c>
      <c r="AI156" s="505">
        <f>AB156</f>
        <v>3</v>
      </c>
      <c r="AO156" s="505" t="s">
        <v>326</v>
      </c>
      <c r="AP156" s="505">
        <f>AI156</f>
        <v>3</v>
      </c>
      <c r="AV156" s="505" t="s">
        <v>326</v>
      </c>
      <c r="AW156" s="505">
        <f>AP156</f>
        <v>3</v>
      </c>
      <c r="BC156" s="505" t="s">
        <v>326</v>
      </c>
      <c r="BD156" s="505">
        <f>AW156</f>
        <v>3</v>
      </c>
      <c r="BJ156" s="505" t="s">
        <v>326</v>
      </c>
      <c r="BK156" s="505">
        <f>BD156</f>
        <v>3</v>
      </c>
      <c r="BQ156" s="505" t="s">
        <v>326</v>
      </c>
      <c r="BR156" s="505">
        <f>BK156</f>
        <v>3</v>
      </c>
      <c r="BX156" s="505" t="s">
        <v>326</v>
      </c>
      <c r="BY156" s="505">
        <f>BR156</f>
        <v>3</v>
      </c>
      <c r="CE156" s="505" t="s">
        <v>326</v>
      </c>
      <c r="CF156" s="505">
        <f>BY156</f>
        <v>3</v>
      </c>
      <c r="CL156" s="505" t="s">
        <v>326</v>
      </c>
      <c r="CM156" s="505">
        <f>CF156</f>
        <v>3</v>
      </c>
      <c r="CS156" s="505" t="s">
        <v>326</v>
      </c>
      <c r="CT156" s="505">
        <f>CM156</f>
        <v>3</v>
      </c>
    </row>
    <row r="157" spans="1:102" ht="15" customHeight="1">
      <c r="A157" s="436">
        <f t="shared" si="26"/>
        <v>2021</v>
      </c>
      <c r="B157" s="437">
        <f t="shared" si="72"/>
        <v>11537</v>
      </c>
      <c r="C157" s="545"/>
      <c r="D157" s="438">
        <f t="shared" si="27"/>
        <v>16</v>
      </c>
      <c r="E157" s="546"/>
      <c r="F157" s="519"/>
      <c r="G157" s="451"/>
      <c r="H157" s="558"/>
      <c r="I157" s="443">
        <f t="shared" si="28"/>
        <v>11537</v>
      </c>
      <c r="J157" s="467"/>
      <c r="K157" s="443"/>
      <c r="M157" s="505" t="s">
        <v>329</v>
      </c>
      <c r="N157" s="559">
        <v>150</v>
      </c>
      <c r="O157" s="505"/>
      <c r="P157" s="505"/>
      <c r="Q157" s="505"/>
      <c r="R157" s="505"/>
      <c r="S157" s="505"/>
      <c r="T157" s="505" t="s">
        <v>329</v>
      </c>
      <c r="U157" s="505">
        <f>N157</f>
        <v>150</v>
      </c>
      <c r="V157" s="505"/>
      <c r="W157" s="505"/>
      <c r="X157" s="505"/>
      <c r="Y157" s="505"/>
      <c r="Z157" s="505"/>
      <c r="AA157" s="505" t="s">
        <v>329</v>
      </c>
      <c r="AB157" s="505">
        <f>U157</f>
        <v>150</v>
      </c>
      <c r="AH157" s="505" t="s">
        <v>329</v>
      </c>
      <c r="AI157" s="505">
        <v>500</v>
      </c>
      <c r="AO157" s="505" t="s">
        <v>329</v>
      </c>
      <c r="AP157" s="505">
        <f>AI157</f>
        <v>500</v>
      </c>
      <c r="AV157" s="505" t="s">
        <v>329</v>
      </c>
      <c r="AW157" s="505">
        <f>AP157</f>
        <v>500</v>
      </c>
      <c r="BC157" s="505" t="s">
        <v>329</v>
      </c>
      <c r="BD157" s="505">
        <f>AW157</f>
        <v>500</v>
      </c>
      <c r="BJ157" s="505" t="s">
        <v>329</v>
      </c>
      <c r="BK157" s="505">
        <f>BD157</f>
        <v>500</v>
      </c>
      <c r="BQ157" s="505" t="s">
        <v>329</v>
      </c>
      <c r="BR157" s="505">
        <f>BK157</f>
        <v>500</v>
      </c>
      <c r="BX157" s="505" t="s">
        <v>329</v>
      </c>
      <c r="BY157" s="505">
        <f>BR157</f>
        <v>500</v>
      </c>
      <c r="CE157" s="505" t="s">
        <v>329</v>
      </c>
      <c r="CF157" s="505">
        <f>BY157</f>
        <v>500</v>
      </c>
      <c r="CL157" s="505" t="s">
        <v>329</v>
      </c>
      <c r="CM157" s="505">
        <f>CF157</f>
        <v>500</v>
      </c>
      <c r="CS157" s="505" t="s">
        <v>329</v>
      </c>
      <c r="CT157" s="505">
        <f>CM157</f>
        <v>500</v>
      </c>
    </row>
    <row r="158" spans="1:102" ht="15" customHeight="1" thickBot="1">
      <c r="A158" s="436">
        <f t="shared" ref="A158:A174" si="73">A120</f>
        <v>2022</v>
      </c>
      <c r="B158" s="437">
        <f t="shared" si="72"/>
        <v>11562</v>
      </c>
      <c r="C158" s="545"/>
      <c r="D158" s="438">
        <f t="shared" si="27"/>
        <v>17</v>
      </c>
      <c r="E158" s="546"/>
      <c r="F158" s="560" t="s">
        <v>331</v>
      </c>
      <c r="G158" s="561" t="s">
        <v>332</v>
      </c>
      <c r="H158" s="562" t="s">
        <v>294</v>
      </c>
      <c r="I158" s="443">
        <f t="shared" si="28"/>
        <v>11562</v>
      </c>
      <c r="J158" s="467"/>
      <c r="K158" s="443"/>
      <c r="M158" s="557"/>
      <c r="N158" s="451"/>
      <c r="O158" s="451"/>
      <c r="P158" s="451"/>
      <c r="Q158" s="493"/>
      <c r="R158" s="492"/>
      <c r="T158" s="557"/>
      <c r="U158" s="451"/>
      <c r="V158" s="451"/>
      <c r="W158" s="451"/>
      <c r="X158" s="493"/>
      <c r="Y158" s="492"/>
      <c r="AA158" s="557"/>
      <c r="AB158" s="451"/>
      <c r="AC158" s="451"/>
      <c r="AD158" s="451"/>
      <c r="AE158" s="493"/>
      <c r="AF158" s="492"/>
      <c r="AH158" s="557"/>
      <c r="AI158" s="451"/>
      <c r="AJ158" s="451"/>
      <c r="AK158" s="451"/>
      <c r="AL158" s="493"/>
      <c r="AM158" s="492"/>
      <c r="AO158" s="557"/>
      <c r="AP158" s="451"/>
      <c r="AQ158" s="451"/>
      <c r="AR158" s="451"/>
      <c r="AS158" s="493"/>
      <c r="AT158" s="492"/>
      <c r="AV158" s="557"/>
      <c r="AW158" s="451"/>
      <c r="AX158" s="451"/>
      <c r="AY158" s="451"/>
      <c r="AZ158" s="493"/>
      <c r="BA158" s="492"/>
      <c r="BC158" s="557"/>
      <c r="BD158" s="451"/>
      <c r="BE158" s="451"/>
      <c r="BF158" s="451"/>
      <c r="BG158" s="493"/>
      <c r="BH158" s="492"/>
      <c r="BJ158" s="557"/>
      <c r="BK158" s="451"/>
      <c r="BL158" s="451"/>
      <c r="BM158" s="451"/>
      <c r="BN158" s="493"/>
      <c r="BO158" s="492"/>
      <c r="BQ158" s="557"/>
      <c r="BR158" s="451"/>
      <c r="BS158" s="451"/>
      <c r="BT158" s="451"/>
      <c r="BU158" s="493"/>
      <c r="BV158" s="492"/>
      <c r="BX158" s="557"/>
      <c r="BY158" s="451"/>
      <c r="BZ158" s="451"/>
      <c r="CA158" s="451"/>
      <c r="CB158" s="493"/>
      <c r="CC158" s="492"/>
      <c r="CE158" s="557"/>
      <c r="CF158" s="451"/>
      <c r="CG158" s="451"/>
      <c r="CH158" s="451"/>
      <c r="CI158" s="493"/>
      <c r="CJ158" s="492"/>
      <c r="CL158" s="557"/>
      <c r="CM158" s="451"/>
      <c r="CN158" s="451"/>
      <c r="CO158" s="451"/>
      <c r="CP158" s="493"/>
      <c r="CQ158" s="492"/>
      <c r="CS158" s="557"/>
      <c r="CT158" s="451"/>
      <c r="CU158" s="451"/>
      <c r="CV158" s="451"/>
      <c r="CW158" s="493"/>
      <c r="CX158" s="492"/>
    </row>
    <row r="159" spans="1:102" ht="15" customHeight="1" thickTop="1">
      <c r="A159" s="436">
        <f t="shared" si="73"/>
        <v>2023</v>
      </c>
      <c r="B159" s="437">
        <f t="shared" si="72"/>
        <v>11587</v>
      </c>
      <c r="C159" s="545"/>
      <c r="D159" s="438">
        <f t="shared" si="27"/>
        <v>18</v>
      </c>
      <c r="E159" s="546"/>
      <c r="F159" s="505">
        <v>7900</v>
      </c>
      <c r="G159" s="563">
        <f>IFERROR(O151,0)</f>
        <v>0.65853806419395711</v>
      </c>
      <c r="H159" s="564">
        <f>O152</f>
        <v>386.21199999999999</v>
      </c>
      <c r="I159" s="443">
        <f t="shared" si="28"/>
        <v>11587</v>
      </c>
      <c r="J159" s="467"/>
      <c r="K159" s="443"/>
      <c r="L159" s="326">
        <f>RANK(G159,$G$159:$G$171)</f>
        <v>7</v>
      </c>
      <c r="M159" s="557"/>
      <c r="N159" s="451"/>
      <c r="O159" s="451"/>
      <c r="P159" s="451"/>
      <c r="Q159" s="493"/>
      <c r="R159" s="492"/>
      <c r="T159" s="557"/>
      <c r="U159" s="451"/>
      <c r="V159" s="451"/>
      <c r="W159" s="451"/>
      <c r="X159" s="493"/>
      <c r="Y159" s="492"/>
      <c r="AA159" s="557"/>
      <c r="AB159" s="451"/>
      <c r="AC159" s="451"/>
      <c r="AD159" s="451"/>
      <c r="AE159" s="493"/>
      <c r="AF159" s="492"/>
      <c r="AH159" s="557"/>
      <c r="AI159" s="451"/>
      <c r="AJ159" s="451"/>
      <c r="AK159" s="451"/>
      <c r="AL159" s="493"/>
      <c r="AM159" s="492"/>
      <c r="AO159" s="557"/>
      <c r="AP159" s="451"/>
      <c r="AQ159" s="451"/>
      <c r="AR159" s="451"/>
      <c r="AS159" s="493"/>
      <c r="AT159" s="492"/>
      <c r="AV159" s="557"/>
      <c r="AW159" s="451"/>
      <c r="AX159" s="451"/>
      <c r="AY159" s="451"/>
      <c r="AZ159" s="493"/>
      <c r="BA159" s="492"/>
      <c r="BC159" s="557"/>
      <c r="BD159" s="451"/>
      <c r="BE159" s="451"/>
      <c r="BF159" s="451"/>
      <c r="BG159" s="493"/>
      <c r="BH159" s="492"/>
      <c r="BJ159" s="557"/>
      <c r="BK159" s="451"/>
      <c r="BL159" s="451"/>
      <c r="BM159" s="451"/>
      <c r="BN159" s="493"/>
      <c r="BO159" s="492"/>
      <c r="BQ159" s="557"/>
      <c r="BR159" s="451"/>
      <c r="BS159" s="451"/>
      <c r="BT159" s="451"/>
      <c r="BU159" s="493"/>
      <c r="BV159" s="492"/>
      <c r="BX159" s="557"/>
      <c r="BY159" s="451"/>
      <c r="BZ159" s="451"/>
      <c r="CA159" s="451"/>
      <c r="CB159" s="493"/>
      <c r="CC159" s="492"/>
      <c r="CE159" s="557"/>
      <c r="CF159" s="451"/>
      <c r="CG159" s="451"/>
      <c r="CH159" s="451"/>
      <c r="CI159" s="493"/>
      <c r="CJ159" s="492"/>
      <c r="CL159" s="557"/>
      <c r="CM159" s="451"/>
      <c r="CN159" s="451"/>
      <c r="CO159" s="451"/>
      <c r="CP159" s="493"/>
      <c r="CQ159" s="492"/>
      <c r="CS159" s="557"/>
      <c r="CT159" s="451"/>
      <c r="CU159" s="451"/>
      <c r="CV159" s="451"/>
      <c r="CW159" s="493"/>
      <c r="CX159" s="492"/>
    </row>
    <row r="160" spans="1:102" s="451" customFormat="1" ht="15" customHeight="1">
      <c r="A160" s="436">
        <f t="shared" si="73"/>
        <v>2024</v>
      </c>
      <c r="B160" s="437">
        <f t="shared" si="72"/>
        <v>11610</v>
      </c>
      <c r="C160" s="545"/>
      <c r="D160" s="438">
        <f t="shared" si="27"/>
        <v>19</v>
      </c>
      <c r="E160" s="546"/>
      <c r="F160" s="505">
        <v>7910</v>
      </c>
      <c r="G160" s="565">
        <f>IFERROR(V151,0)</f>
        <v>0.65853806419395711</v>
      </c>
      <c r="H160" s="564">
        <f>V152</f>
        <v>386.21199999999999</v>
      </c>
      <c r="I160" s="443">
        <f t="shared" si="28"/>
        <v>11610</v>
      </c>
      <c r="J160" s="467"/>
      <c r="K160" s="443"/>
      <c r="L160" s="326">
        <f t="shared" ref="L160:L171" si="74">RANK(G160,$G$159:$G$171)</f>
        <v>7</v>
      </c>
      <c r="M160" s="557"/>
      <c r="P160" s="439"/>
      <c r="Q160" s="493"/>
      <c r="R160" s="492"/>
      <c r="T160" s="557"/>
      <c r="W160" s="439"/>
      <c r="X160" s="493"/>
      <c r="Y160" s="492"/>
      <c r="AA160" s="557"/>
      <c r="AD160" s="439"/>
      <c r="AE160" s="493"/>
      <c r="AF160" s="492"/>
      <c r="AH160" s="557"/>
      <c r="AK160" s="439"/>
      <c r="AL160" s="493"/>
      <c r="AM160" s="492"/>
      <c r="AO160" s="557"/>
      <c r="AR160" s="439"/>
      <c r="AS160" s="493"/>
      <c r="AT160" s="492"/>
      <c r="AV160" s="557"/>
      <c r="AY160" s="439"/>
      <c r="AZ160" s="493"/>
      <c r="BA160" s="492"/>
      <c r="BC160" s="557"/>
      <c r="BF160" s="439"/>
      <c r="BG160" s="493"/>
      <c r="BH160" s="492"/>
      <c r="BJ160" s="557"/>
      <c r="BM160" s="439"/>
      <c r="BN160" s="493"/>
      <c r="BO160" s="492"/>
      <c r="BQ160" s="557"/>
      <c r="BT160" s="439"/>
      <c r="BU160" s="493"/>
      <c r="BV160" s="492"/>
      <c r="BX160" s="557"/>
      <c r="CA160" s="439"/>
      <c r="CB160" s="493"/>
      <c r="CC160" s="492"/>
      <c r="CE160" s="557"/>
      <c r="CH160" s="439"/>
      <c r="CI160" s="493"/>
      <c r="CJ160" s="492"/>
      <c r="CL160" s="557"/>
      <c r="CO160" s="439"/>
      <c r="CP160" s="493"/>
      <c r="CQ160" s="492"/>
      <c r="CS160" s="557"/>
      <c r="CV160" s="439"/>
      <c r="CW160" s="493"/>
      <c r="CX160" s="492"/>
    </row>
    <row r="161" spans="1:102" ht="15" customHeight="1">
      <c r="A161" s="436">
        <f t="shared" si="73"/>
        <v>2025</v>
      </c>
      <c r="B161" s="437">
        <f t="shared" si="72"/>
        <v>11631</v>
      </c>
      <c r="C161" s="545"/>
      <c r="D161" s="438">
        <f t="shared" si="27"/>
        <v>20</v>
      </c>
      <c r="E161" s="546"/>
      <c r="F161" s="505">
        <v>7920</v>
      </c>
      <c r="G161" s="565">
        <f>IFERROR(AC151,0)</f>
        <v>0.65853806419395711</v>
      </c>
      <c r="H161" s="505">
        <f>AC152</f>
        <v>386.21199999999999</v>
      </c>
      <c r="I161" s="443">
        <f t="shared" si="28"/>
        <v>11631</v>
      </c>
      <c r="J161" s="467"/>
      <c r="K161" s="443"/>
      <c r="L161" s="326">
        <f t="shared" si="74"/>
        <v>7</v>
      </c>
      <c r="M161" s="557"/>
      <c r="N161" s="451"/>
      <c r="O161" s="451"/>
      <c r="P161" s="439"/>
      <c r="Q161" s="493"/>
      <c r="R161" s="492"/>
      <c r="T161" s="557"/>
      <c r="U161" s="451"/>
      <c r="V161" s="451"/>
      <c r="W161" s="439"/>
      <c r="X161" s="493"/>
      <c r="Y161" s="492"/>
      <c r="AA161" s="557"/>
      <c r="AB161" s="451"/>
      <c r="AC161" s="451"/>
      <c r="AD161" s="439"/>
      <c r="AE161" s="493"/>
      <c r="AF161" s="492"/>
      <c r="AH161" s="557"/>
      <c r="AI161" s="451"/>
      <c r="AJ161" s="451"/>
      <c r="AK161" s="439"/>
      <c r="AL161" s="493"/>
      <c r="AM161" s="492"/>
      <c r="AO161" s="557"/>
      <c r="AP161" s="451"/>
      <c r="AQ161" s="451"/>
      <c r="AR161" s="439"/>
      <c r="AS161" s="493"/>
      <c r="AT161" s="492"/>
      <c r="AV161" s="557"/>
      <c r="AW161" s="451"/>
      <c r="AX161" s="451"/>
      <c r="AY161" s="439"/>
      <c r="AZ161" s="493"/>
      <c r="BA161" s="492"/>
      <c r="BC161" s="557"/>
      <c r="BD161" s="451"/>
      <c r="BE161" s="451"/>
      <c r="BF161" s="439"/>
      <c r="BG161" s="493"/>
      <c r="BH161" s="492"/>
      <c r="BJ161" s="557"/>
      <c r="BK161" s="451"/>
      <c r="BL161" s="451"/>
      <c r="BM161" s="439"/>
      <c r="BN161" s="493"/>
      <c r="BO161" s="492"/>
      <c r="BQ161" s="557"/>
      <c r="BR161" s="451"/>
      <c r="BS161" s="451"/>
      <c r="BT161" s="439"/>
      <c r="BU161" s="493"/>
      <c r="BV161" s="492"/>
      <c r="BX161" s="557"/>
      <c r="BY161" s="451"/>
      <c r="BZ161" s="451"/>
      <c r="CA161" s="439"/>
      <c r="CB161" s="493"/>
      <c r="CC161" s="492"/>
      <c r="CE161" s="557"/>
      <c r="CF161" s="451"/>
      <c r="CG161" s="451"/>
      <c r="CH161" s="439"/>
      <c r="CI161" s="493"/>
      <c r="CJ161" s="492"/>
      <c r="CL161" s="557"/>
      <c r="CM161" s="451"/>
      <c r="CN161" s="451"/>
      <c r="CO161" s="439"/>
      <c r="CP161" s="493"/>
      <c r="CQ161" s="492"/>
      <c r="CS161" s="557"/>
      <c r="CT161" s="451"/>
      <c r="CU161" s="451"/>
      <c r="CV161" s="439"/>
      <c r="CW161" s="493"/>
      <c r="CX161" s="492"/>
    </row>
    <row r="162" spans="1:102" s="451" customFormat="1" ht="15" customHeight="1">
      <c r="A162" s="436">
        <f t="shared" si="73"/>
        <v>2026</v>
      </c>
      <c r="B162" s="437">
        <f t="shared" si="72"/>
        <v>11652</v>
      </c>
      <c r="C162" s="545"/>
      <c r="D162" s="438">
        <f t="shared" si="27"/>
        <v>21</v>
      </c>
      <c r="E162" s="546"/>
      <c r="F162" s="505">
        <v>7930</v>
      </c>
      <c r="G162" s="565">
        <f>IFERROR(AJ151,0)</f>
        <v>0.65853806419395711</v>
      </c>
      <c r="H162" s="505">
        <f>AJ152</f>
        <v>386.21199999999999</v>
      </c>
      <c r="I162" s="443">
        <f t="shared" si="28"/>
        <v>11652</v>
      </c>
      <c r="J162" s="467"/>
      <c r="K162" s="443"/>
      <c r="L162" s="326">
        <f t="shared" si="74"/>
        <v>7</v>
      </c>
      <c r="M162" s="557"/>
      <c r="Q162" s="493"/>
      <c r="R162" s="492"/>
      <c r="T162" s="557"/>
      <c r="X162" s="493"/>
      <c r="Y162" s="492"/>
      <c r="AA162" s="557"/>
      <c r="AE162" s="493"/>
      <c r="AF162" s="492"/>
      <c r="AH162" s="557"/>
      <c r="AL162" s="493"/>
      <c r="AM162" s="492"/>
      <c r="AO162" s="557"/>
      <c r="AS162" s="493"/>
      <c r="AT162" s="492"/>
      <c r="AV162" s="557"/>
      <c r="AZ162" s="493"/>
      <c r="BA162" s="492"/>
      <c r="BC162" s="557"/>
      <c r="BG162" s="493"/>
      <c r="BH162" s="492"/>
      <c r="BJ162" s="557"/>
      <c r="BN162" s="493"/>
      <c r="BO162" s="492"/>
      <c r="BQ162" s="557"/>
      <c r="BU162" s="493"/>
      <c r="BV162" s="492"/>
      <c r="BX162" s="557"/>
      <c r="CB162" s="493"/>
      <c r="CC162" s="492"/>
      <c r="CE162" s="557"/>
      <c r="CI162" s="493"/>
      <c r="CJ162" s="492"/>
      <c r="CL162" s="557"/>
      <c r="CP162" s="493"/>
      <c r="CQ162" s="492"/>
      <c r="CS162" s="557"/>
      <c r="CW162" s="493"/>
      <c r="CX162" s="492"/>
    </row>
    <row r="163" spans="1:102" s="451" customFormat="1" ht="15" customHeight="1">
      <c r="A163" s="436">
        <f t="shared" si="73"/>
        <v>2027</v>
      </c>
      <c r="B163" s="437">
        <f t="shared" si="72"/>
        <v>11673</v>
      </c>
      <c r="C163" s="545"/>
      <c r="D163" s="438">
        <f t="shared" si="27"/>
        <v>22</v>
      </c>
      <c r="E163" s="546"/>
      <c r="F163" s="505">
        <v>7940</v>
      </c>
      <c r="G163" s="565">
        <f>IFERROR(AQ151,0)</f>
        <v>0.65853806419395711</v>
      </c>
      <c r="H163" s="505">
        <f>AQ152</f>
        <v>386.21199999999999</v>
      </c>
      <c r="I163" s="443">
        <f t="shared" si="28"/>
        <v>11673</v>
      </c>
      <c r="J163" s="467"/>
      <c r="K163" s="443"/>
      <c r="L163" s="326">
        <f t="shared" si="74"/>
        <v>7</v>
      </c>
      <c r="M163" s="557"/>
      <c r="N163" s="538"/>
      <c r="O163" s="538"/>
      <c r="P163" s="566"/>
      <c r="Q163" s="493"/>
      <c r="R163" s="492"/>
      <c r="T163" s="557"/>
      <c r="X163" s="493"/>
      <c r="Y163" s="492"/>
      <c r="AA163" s="557"/>
      <c r="AE163" s="493"/>
      <c r="AF163" s="492"/>
      <c r="AH163" s="557"/>
      <c r="AL163" s="493"/>
      <c r="AM163" s="492"/>
      <c r="AO163" s="557"/>
      <c r="AS163" s="493"/>
      <c r="AT163" s="492"/>
      <c r="AV163" s="557"/>
      <c r="AZ163" s="493"/>
      <c r="BA163" s="492"/>
      <c r="BC163" s="557"/>
      <c r="BG163" s="493"/>
      <c r="BH163" s="492"/>
      <c r="BJ163" s="557"/>
      <c r="BN163" s="493"/>
      <c r="BO163" s="492"/>
      <c r="BQ163" s="557"/>
      <c r="BU163" s="493"/>
      <c r="BV163" s="492"/>
      <c r="BX163" s="557"/>
      <c r="CB163" s="493"/>
      <c r="CC163" s="492"/>
      <c r="CE163" s="557"/>
      <c r="CI163" s="493"/>
      <c r="CJ163" s="492"/>
      <c r="CL163" s="557"/>
      <c r="CP163" s="493"/>
      <c r="CQ163" s="492"/>
      <c r="CS163" s="557"/>
      <c r="CW163" s="493"/>
      <c r="CX163" s="492"/>
    </row>
    <row r="164" spans="1:102" ht="15" customHeight="1">
      <c r="A164" s="436">
        <f t="shared" si="73"/>
        <v>2028</v>
      </c>
      <c r="B164" s="437">
        <f t="shared" si="72"/>
        <v>11692</v>
      </c>
      <c r="C164" s="520"/>
      <c r="D164" s="438">
        <f t="shared" si="27"/>
        <v>23</v>
      </c>
      <c r="E164" s="508"/>
      <c r="F164" s="548">
        <v>7950</v>
      </c>
      <c r="G164" s="565">
        <f>IFERROR(AX151,0)</f>
        <v>0.65853806419395711</v>
      </c>
      <c r="H164" s="548">
        <f>AX152</f>
        <v>386.21199999999999</v>
      </c>
      <c r="I164" s="443">
        <f t="shared" si="28"/>
        <v>11692</v>
      </c>
      <c r="J164" s="469"/>
      <c r="K164" s="469"/>
      <c r="L164" s="326">
        <f t="shared" si="74"/>
        <v>7</v>
      </c>
    </row>
    <row r="165" spans="1:102" ht="15" customHeight="1">
      <c r="A165" s="436">
        <f t="shared" si="73"/>
        <v>2029</v>
      </c>
      <c r="B165" s="437">
        <f t="shared" si="72"/>
        <v>11710</v>
      </c>
      <c r="C165" s="520"/>
      <c r="D165" s="438">
        <f t="shared" si="27"/>
        <v>24</v>
      </c>
      <c r="E165" s="508"/>
      <c r="F165" s="548">
        <v>7960</v>
      </c>
      <c r="G165" s="565">
        <f>IFERROR(BE151,0)</f>
        <v>0.65853806419395711</v>
      </c>
      <c r="H165" s="548">
        <f>BE152</f>
        <v>386.21199999999999</v>
      </c>
      <c r="I165" s="443">
        <f t="shared" si="28"/>
        <v>11710</v>
      </c>
      <c r="J165" s="469"/>
      <c r="K165" s="469"/>
      <c r="L165" s="326">
        <f t="shared" si="74"/>
        <v>7</v>
      </c>
    </row>
    <row r="166" spans="1:102" ht="15" customHeight="1">
      <c r="A166" s="436">
        <f t="shared" si="73"/>
        <v>2030</v>
      </c>
      <c r="B166" s="437">
        <f t="shared" si="72"/>
        <v>11728</v>
      </c>
      <c r="C166" s="520"/>
      <c r="D166" s="438">
        <f t="shared" si="27"/>
        <v>25</v>
      </c>
      <c r="E166" s="508"/>
      <c r="F166" s="567">
        <v>7970</v>
      </c>
      <c r="G166" s="568">
        <f>IFERROR(BL151,0)</f>
        <v>0.65890706443118641</v>
      </c>
      <c r="H166" s="567">
        <f>BL152</f>
        <v>385.84699999999998</v>
      </c>
      <c r="I166" s="443">
        <f t="shared" si="28"/>
        <v>11728</v>
      </c>
      <c r="J166" s="469"/>
      <c r="K166" s="469"/>
      <c r="L166" s="326">
        <f t="shared" si="74"/>
        <v>2</v>
      </c>
    </row>
    <row r="167" spans="1:102" ht="15" customHeight="1">
      <c r="A167" s="436">
        <f t="shared" si="73"/>
        <v>2031</v>
      </c>
      <c r="B167" s="437">
        <f t="shared" si="72"/>
        <v>11746</v>
      </c>
      <c r="C167" s="520"/>
      <c r="D167" s="438">
        <f t="shared" si="27"/>
        <v>26</v>
      </c>
      <c r="E167" s="508"/>
      <c r="F167" s="567">
        <v>7980</v>
      </c>
      <c r="G167" s="568">
        <f>IFERROR(BS151,0)</f>
        <v>0.65890706443118641</v>
      </c>
      <c r="H167" s="567">
        <f>BS152</f>
        <v>385.84699999999998</v>
      </c>
      <c r="I167" s="443">
        <f t="shared" si="28"/>
        <v>11746</v>
      </c>
      <c r="J167" s="469"/>
      <c r="K167" s="469"/>
      <c r="L167" s="326">
        <f t="shared" si="74"/>
        <v>2</v>
      </c>
    </row>
    <row r="168" spans="1:102" ht="15" customHeight="1">
      <c r="A168" s="436">
        <f t="shared" si="73"/>
        <v>2032</v>
      </c>
      <c r="B168" s="437">
        <f t="shared" si="72"/>
        <v>11762</v>
      </c>
      <c r="C168" s="520"/>
      <c r="D168" s="438">
        <f t="shared" si="27"/>
        <v>27</v>
      </c>
      <c r="E168" s="508"/>
      <c r="F168" s="567">
        <v>7990</v>
      </c>
      <c r="G168" s="568">
        <f>IFERROR(BZ151,0)</f>
        <v>0.65890706443118641</v>
      </c>
      <c r="H168" s="567">
        <f>BZ152</f>
        <v>385.84699999999998</v>
      </c>
      <c r="I168" s="443">
        <f t="shared" si="28"/>
        <v>11762</v>
      </c>
      <c r="J168" s="469"/>
      <c r="K168" s="469"/>
      <c r="L168" s="326">
        <f t="shared" si="74"/>
        <v>2</v>
      </c>
    </row>
    <row r="169" spans="1:102" ht="15" customHeight="1">
      <c r="A169" s="436">
        <f t="shared" si="73"/>
        <v>2033</v>
      </c>
      <c r="B169" s="437">
        <f t="shared" si="72"/>
        <v>11778</v>
      </c>
      <c r="C169" s="520"/>
      <c r="D169" s="438">
        <f t="shared" si="27"/>
        <v>28</v>
      </c>
      <c r="E169" s="508"/>
      <c r="F169" s="567">
        <v>8000</v>
      </c>
      <c r="G169" s="568">
        <f>IFERROR(CG151,0)</f>
        <v>0.65859657278479167</v>
      </c>
      <c r="H169" s="567">
        <f>CG152</f>
        <v>386.21</v>
      </c>
      <c r="I169" s="443">
        <f t="shared" si="28"/>
        <v>11778</v>
      </c>
      <c r="J169" s="469"/>
      <c r="K169" s="469"/>
      <c r="L169" s="326">
        <f t="shared" si="74"/>
        <v>6</v>
      </c>
    </row>
    <row r="170" spans="1:102" ht="15" customHeight="1">
      <c r="A170" s="436">
        <f t="shared" si="73"/>
        <v>2034</v>
      </c>
      <c r="B170" s="437">
        <f t="shared" si="72"/>
        <v>11794</v>
      </c>
      <c r="C170" s="520"/>
      <c r="D170" s="438">
        <f t="shared" si="27"/>
        <v>29</v>
      </c>
      <c r="E170" s="508"/>
      <c r="F170" s="567">
        <v>8010</v>
      </c>
      <c r="G170" s="568">
        <f>IFERROR(CN151,0)</f>
        <v>0.65899705715760293</v>
      </c>
      <c r="H170" s="567">
        <f>CN152</f>
        <v>385.77499999999998</v>
      </c>
      <c r="I170" s="443">
        <f t="shared" si="28"/>
        <v>11794</v>
      </c>
      <c r="J170" s="469"/>
      <c r="K170" s="469"/>
      <c r="L170" s="326">
        <f t="shared" si="74"/>
        <v>1</v>
      </c>
    </row>
    <row r="171" spans="1:102" ht="15" customHeight="1">
      <c r="A171" s="522">
        <f t="shared" si="73"/>
        <v>2035</v>
      </c>
      <c r="B171" s="523">
        <f t="shared" si="72"/>
        <v>11809</v>
      </c>
      <c r="C171" s="524"/>
      <c r="D171" s="569">
        <f t="shared" si="27"/>
        <v>30</v>
      </c>
      <c r="E171" s="525"/>
      <c r="F171" s="570">
        <v>8020</v>
      </c>
      <c r="G171" s="571">
        <f>IFERROR(CU151,0)</f>
        <v>0.65865498129653588</v>
      </c>
      <c r="H171" s="570">
        <f>CU152</f>
        <v>386.16799999999995</v>
      </c>
      <c r="I171" s="528">
        <f t="shared" si="28"/>
        <v>11809</v>
      </c>
      <c r="J171" s="529"/>
      <c r="K171" s="529"/>
      <c r="L171" s="326">
        <f t="shared" si="74"/>
        <v>5</v>
      </c>
    </row>
    <row r="172" spans="1:102" ht="15" customHeight="1">
      <c r="A172" s="522">
        <f t="shared" si="73"/>
        <v>2036</v>
      </c>
      <c r="B172" s="523">
        <f t="shared" si="72"/>
        <v>11824</v>
      </c>
      <c r="C172" s="524"/>
      <c r="D172" s="569">
        <f t="shared" si="27"/>
        <v>31</v>
      </c>
      <c r="E172" s="525"/>
      <c r="F172" s="570"/>
      <c r="G172" s="571"/>
      <c r="H172" s="570"/>
      <c r="I172" s="528">
        <f t="shared" si="28"/>
        <v>11824</v>
      </c>
      <c r="J172" s="529"/>
      <c r="K172" s="529"/>
    </row>
    <row r="173" spans="1:102" ht="15" customHeight="1">
      <c r="A173" s="522">
        <f t="shared" si="73"/>
        <v>2037</v>
      </c>
      <c r="B173" s="523">
        <f t="shared" si="72"/>
        <v>11838</v>
      </c>
      <c r="C173" s="524"/>
      <c r="D173" s="569">
        <f t="shared" si="27"/>
        <v>32</v>
      </c>
      <c r="E173" s="525"/>
      <c r="F173" s="570"/>
      <c r="G173" s="571"/>
      <c r="H173" s="570"/>
      <c r="I173" s="528">
        <f t="shared" si="28"/>
        <v>11838</v>
      </c>
      <c r="J173" s="529"/>
      <c r="K173" s="529"/>
    </row>
    <row r="174" spans="1:102" ht="15" customHeight="1">
      <c r="A174" s="522">
        <f t="shared" si="73"/>
        <v>2038</v>
      </c>
      <c r="B174" s="523">
        <f t="shared" si="72"/>
        <v>11852</v>
      </c>
      <c r="C174" s="524"/>
      <c r="D174" s="569">
        <f t="shared" si="27"/>
        <v>33</v>
      </c>
      <c r="E174" s="525"/>
      <c r="F174" s="570"/>
      <c r="G174" s="571"/>
      <c r="H174" s="570"/>
      <c r="I174" s="528">
        <f t="shared" si="28"/>
        <v>11852</v>
      </c>
      <c r="J174" s="529"/>
      <c r="K174" s="529"/>
    </row>
    <row r="175" spans="1:102" ht="15" customHeight="1">
      <c r="A175" s="491"/>
      <c r="B175" s="494"/>
      <c r="C175" s="451"/>
      <c r="D175" s="439"/>
      <c r="E175" s="439"/>
      <c r="F175" s="530"/>
      <c r="G175" s="572"/>
      <c r="H175" s="451"/>
      <c r="I175" s="538"/>
      <c r="J175" s="538"/>
      <c r="O175" s="573"/>
    </row>
    <row r="176" spans="1:102" ht="15" customHeight="1">
      <c r="A176" s="424" t="s">
        <v>333</v>
      </c>
    </row>
    <row r="177" spans="1:60" ht="15" customHeight="1">
      <c r="A177" s="427" t="s">
        <v>264</v>
      </c>
      <c r="B177" s="428" t="s">
        <v>286</v>
      </c>
      <c r="C177" s="429" t="s">
        <v>334</v>
      </c>
      <c r="D177" s="429" t="s">
        <v>287</v>
      </c>
      <c r="E177" s="496"/>
      <c r="F177" s="430"/>
      <c r="G177" s="431"/>
      <c r="H177" s="432" t="s">
        <v>288</v>
      </c>
      <c r="I177" s="433">
        <f>RSQ(I178:I188,B178:B188)</f>
        <v>0.73141876910162251</v>
      </c>
      <c r="J177" s="434" t="s">
        <v>289</v>
      </c>
      <c r="K177" s="435" t="s">
        <v>290</v>
      </c>
      <c r="M177" s="532" t="s">
        <v>334</v>
      </c>
      <c r="N177" s="430"/>
      <c r="O177" s="432" t="s">
        <v>288</v>
      </c>
      <c r="P177" s="433" t="e">
        <f>RSQ($B178:$B188,P178:P188)</f>
        <v>#VALUE!</v>
      </c>
      <c r="Q177" s="435" t="s">
        <v>290</v>
      </c>
      <c r="S177" s="532" t="s">
        <v>334</v>
      </c>
      <c r="T177" s="430"/>
      <c r="U177" s="432" t="s">
        <v>288</v>
      </c>
      <c r="V177" s="433" t="e">
        <f>RSQ($B178:$B188,V178:V188)</f>
        <v>#VALUE!</v>
      </c>
      <c r="W177" s="435" t="s">
        <v>290</v>
      </c>
      <c r="Y177" s="532" t="s">
        <v>334</v>
      </c>
      <c r="Z177" s="430"/>
      <c r="AA177" s="432" t="s">
        <v>288</v>
      </c>
      <c r="AB177" s="433" t="e">
        <f>RSQ($B178:$B188,AB178:AB188)</f>
        <v>#VALUE!</v>
      </c>
      <c r="AC177" s="435" t="s">
        <v>290</v>
      </c>
      <c r="AE177" s="532" t="s">
        <v>334</v>
      </c>
      <c r="AF177" s="430"/>
      <c r="AG177" s="432" t="s">
        <v>288</v>
      </c>
      <c r="AH177" s="433" t="e">
        <f>RSQ($B178:$B188,AH178:AH188)</f>
        <v>#VALUE!</v>
      </c>
      <c r="AI177" s="435" t="s">
        <v>290</v>
      </c>
      <c r="AK177" s="532" t="s">
        <v>334</v>
      </c>
      <c r="AL177" s="430"/>
      <c r="AM177" s="432" t="s">
        <v>288</v>
      </c>
      <c r="AN177" s="433" t="e">
        <f>RSQ($B178:$B188,AN178:AN188)</f>
        <v>#VALUE!</v>
      </c>
      <c r="AO177" s="435" t="s">
        <v>290</v>
      </c>
      <c r="AQ177" s="532" t="s">
        <v>334</v>
      </c>
      <c r="AR177" s="430"/>
      <c r="AS177" s="432" t="s">
        <v>288</v>
      </c>
      <c r="AT177" s="433" t="e">
        <f>RSQ($B178:$B188,AT178:AT188)</f>
        <v>#VALUE!</v>
      </c>
      <c r="AU177" s="435" t="s">
        <v>290</v>
      </c>
      <c r="AW177" s="532" t="s">
        <v>334</v>
      </c>
      <c r="AX177" s="430"/>
      <c r="AY177" s="432" t="s">
        <v>288</v>
      </c>
      <c r="AZ177" s="433" t="e">
        <f>RSQ($B178:$B188,AZ178:AZ188)</f>
        <v>#VALUE!</v>
      </c>
      <c r="BA177" s="435" t="s">
        <v>290</v>
      </c>
      <c r="BC177" s="532" t="s">
        <v>334</v>
      </c>
      <c r="BD177" s="430"/>
      <c r="BE177" s="432" t="s">
        <v>288</v>
      </c>
      <c r="BF177" s="433" t="e">
        <f>RSQ($B178:$B188,BF178:BF188)</f>
        <v>#VALUE!</v>
      </c>
      <c r="BG177" s="435" t="s">
        <v>290</v>
      </c>
    </row>
    <row r="178" spans="1:60" ht="15" customHeight="1">
      <c r="A178" s="436">
        <f t="shared" ref="A178:B189" si="75">A142</f>
        <v>2006</v>
      </c>
      <c r="B178" s="437">
        <f t="shared" si="75"/>
        <v>10733</v>
      </c>
      <c r="C178" s="533">
        <f t="shared" ref="C178:C188" si="76">LN(F$182/B178-1)</f>
        <v>-0.1468634048948331</v>
      </c>
      <c r="D178" s="438">
        <f t="shared" ref="D178:D184" si="77">D142</f>
        <v>1</v>
      </c>
      <c r="E178" s="498" t="s">
        <v>335</v>
      </c>
      <c r="F178" s="439"/>
      <c r="H178" s="574"/>
      <c r="I178" s="502">
        <f t="shared" ref="I178:I210" si="78">ROUND($F$182/(1+EXP($F$187+$F$186*D178)),$G$1)</f>
        <v>10661</v>
      </c>
      <c r="J178" s="444">
        <f t="shared" ref="J178:J188" si="79">ABS(B178-I178)/B178*100</f>
        <v>0.67082828659275129</v>
      </c>
      <c r="K178" s="443">
        <f t="shared" ref="K178:K188" si="80">(B178-I178)^2/1000</f>
        <v>5.1840000000000002</v>
      </c>
      <c r="M178" s="575" t="e">
        <f t="shared" ref="M178:M188" si="81">LN($O$181/B178-1)</f>
        <v>#NUM!</v>
      </c>
      <c r="N178" s="539" t="s">
        <v>335</v>
      </c>
      <c r="O178" s="439"/>
      <c r="P178" s="469" t="e">
        <f t="shared" ref="P178:P188" si="82">ROUND(O$181/(1+EXP(O$185+O$184*$D178)),$G$1)</f>
        <v>#VALUE!</v>
      </c>
      <c r="Q178" s="502" t="e">
        <f t="shared" ref="Q178:Q183" si="83">($B178-P178)^2/1000</f>
        <v>#VALUE!</v>
      </c>
      <c r="S178" s="575" t="e">
        <f>LN($U$181/$B178-1)</f>
        <v>#NUM!</v>
      </c>
      <c r="T178" s="539" t="s">
        <v>335</v>
      </c>
      <c r="U178" s="439"/>
      <c r="V178" s="469" t="e">
        <f t="shared" ref="V178:V188" si="84">ROUND(U$181/(1+EXP(U$185+U$184*$D178)),$G$1)</f>
        <v>#VALUE!</v>
      </c>
      <c r="W178" s="502" t="e">
        <f t="shared" ref="W178:W183" si="85">($B178-V178)^2/1000</f>
        <v>#VALUE!</v>
      </c>
      <c r="Y178" s="575" t="e">
        <f>LN($AA$181/$B178-1)</f>
        <v>#NUM!</v>
      </c>
      <c r="Z178" s="539" t="s">
        <v>335</v>
      </c>
      <c r="AA178" s="439"/>
      <c r="AB178" s="469" t="e">
        <f t="shared" ref="AB178:AB188" si="86">ROUND(AA$181/(1+EXP(AA$185+AA$184*$D178)),$G$1)</f>
        <v>#VALUE!</v>
      </c>
      <c r="AC178" s="502" t="e">
        <f t="shared" ref="AC178:AC185" si="87">($B178-AB178)^2/1000</f>
        <v>#VALUE!</v>
      </c>
      <c r="AE178" s="575" t="e">
        <f>LN($AG$181/$B178-1)</f>
        <v>#NUM!</v>
      </c>
      <c r="AF178" s="539" t="s">
        <v>335</v>
      </c>
      <c r="AG178" s="439"/>
      <c r="AH178" s="469" t="e">
        <f t="shared" ref="AH178:AH188" si="88">ROUND(AG$181/(1+EXP(AG$185+AG$184*$D178)),$G$1)</f>
        <v>#VALUE!</v>
      </c>
      <c r="AI178" s="502" t="e">
        <f t="shared" ref="AI178:AI185" si="89">($B178-AH178)^2/1000</f>
        <v>#VALUE!</v>
      </c>
      <c r="AK178" s="575" t="e">
        <f>LN($AM$181/$B178-1)</f>
        <v>#NUM!</v>
      </c>
      <c r="AL178" s="539" t="s">
        <v>335</v>
      </c>
      <c r="AM178" s="439"/>
      <c r="AN178" s="469" t="e">
        <f t="shared" ref="AN178:AN188" si="90">ROUND(AM$181/(1+EXP(AM$185+AM$184*$D178)),$G$1)</f>
        <v>#VALUE!</v>
      </c>
      <c r="AO178" s="502" t="e">
        <f t="shared" ref="AO178:AO187" si="91">($B178-AN178)^2/1000</f>
        <v>#VALUE!</v>
      </c>
      <c r="AQ178" s="575" t="e">
        <f>LN($AS$181/$B178-1)</f>
        <v>#NUM!</v>
      </c>
      <c r="AR178" s="539" t="s">
        <v>335</v>
      </c>
      <c r="AS178" s="439"/>
      <c r="AT178" s="469" t="e">
        <f t="shared" ref="AT178:AT188" si="92">ROUND(AS$181/(1+EXP(AS$185+AS$184*$D178)),$G$1)</f>
        <v>#VALUE!</v>
      </c>
      <c r="AU178" s="502" t="e">
        <f t="shared" ref="AU178:AU185" si="93">($B178-AT178)^2/1000</f>
        <v>#VALUE!</v>
      </c>
      <c r="AW178" s="575" t="e">
        <f>LN($AY$181/$B178-1)</f>
        <v>#NUM!</v>
      </c>
      <c r="AX178" s="539" t="s">
        <v>335</v>
      </c>
      <c r="AY178" s="439"/>
      <c r="AZ178" s="469" t="e">
        <f t="shared" ref="AZ178:AZ188" si="94">ROUND(AY$181/(1+EXP(AY$185+AY$184*$D178)),$G$1)</f>
        <v>#VALUE!</v>
      </c>
      <c r="BA178" s="502" t="e">
        <f t="shared" ref="BA178:BA185" si="95">($B178-AZ178)^2/1000</f>
        <v>#VALUE!</v>
      </c>
      <c r="BC178" s="575" t="e">
        <f>LN($BE$181/$B178-1)</f>
        <v>#NUM!</v>
      </c>
      <c r="BD178" s="539" t="s">
        <v>335</v>
      </c>
      <c r="BE178" s="439"/>
      <c r="BF178" s="469" t="e">
        <f t="shared" ref="BF178:BF188" si="96">ROUND(BE$181/(1+EXP(BE$185+BE$184*$D178)),$G$1)</f>
        <v>#VALUE!</v>
      </c>
      <c r="BG178" s="502" t="e">
        <f t="shared" ref="BG178:BG185" si="97">($B178-BF178)^2/1000</f>
        <v>#VALUE!</v>
      </c>
    </row>
    <row r="179" spans="1:60" ht="15" customHeight="1">
      <c r="A179" s="436">
        <f t="shared" si="75"/>
        <v>2007</v>
      </c>
      <c r="B179" s="437">
        <f t="shared" si="75"/>
        <v>10864</v>
      </c>
      <c r="C179" s="533">
        <f t="shared" si="76"/>
        <v>-0.17323191790268602</v>
      </c>
      <c r="D179" s="438">
        <f t="shared" si="77"/>
        <v>2</v>
      </c>
      <c r="E179" s="498" t="s">
        <v>336</v>
      </c>
      <c r="F179" s="439"/>
      <c r="H179" s="574"/>
      <c r="I179" s="443">
        <f t="shared" si="78"/>
        <v>10748</v>
      </c>
      <c r="J179" s="446">
        <f t="shared" si="79"/>
        <v>1.0677466863033873</v>
      </c>
      <c r="K179" s="443">
        <f t="shared" si="80"/>
        <v>13.456</v>
      </c>
      <c r="M179" s="576" t="e">
        <f t="shared" si="81"/>
        <v>#NUM!</v>
      </c>
      <c r="N179" s="539"/>
      <c r="O179" s="439"/>
      <c r="P179" s="469" t="e">
        <f t="shared" si="82"/>
        <v>#VALUE!</v>
      </c>
      <c r="Q179" s="443" t="e">
        <f t="shared" si="83"/>
        <v>#VALUE!</v>
      </c>
      <c r="S179" s="576" t="e">
        <f t="shared" ref="S179:S188" si="98">LN($U$181/$B179-1)</f>
        <v>#NUM!</v>
      </c>
      <c r="T179" s="539"/>
      <c r="U179" s="439"/>
      <c r="V179" s="469" t="e">
        <f t="shared" si="84"/>
        <v>#VALUE!</v>
      </c>
      <c r="W179" s="443" t="e">
        <f t="shared" si="85"/>
        <v>#VALUE!</v>
      </c>
      <c r="Y179" s="576" t="e">
        <f t="shared" ref="Y179:Y188" si="99">LN($AA$181/$B179-1)</f>
        <v>#NUM!</v>
      </c>
      <c r="Z179" s="539"/>
      <c r="AA179" s="439"/>
      <c r="AB179" s="469" t="e">
        <f t="shared" si="86"/>
        <v>#VALUE!</v>
      </c>
      <c r="AC179" s="443" t="e">
        <f t="shared" si="87"/>
        <v>#VALUE!</v>
      </c>
      <c r="AE179" s="576" t="e">
        <f t="shared" ref="AE179:AE188" si="100">LN($AG$181/$B179-1)</f>
        <v>#NUM!</v>
      </c>
      <c r="AF179" s="539"/>
      <c r="AG179" s="439"/>
      <c r="AH179" s="469" t="e">
        <f t="shared" si="88"/>
        <v>#VALUE!</v>
      </c>
      <c r="AI179" s="443" t="e">
        <f t="shared" si="89"/>
        <v>#VALUE!</v>
      </c>
      <c r="AK179" s="576" t="e">
        <f t="shared" ref="AK179:AK188" si="101">LN($AM$181/$B179-1)</f>
        <v>#NUM!</v>
      </c>
      <c r="AL179" s="539"/>
      <c r="AM179" s="439"/>
      <c r="AN179" s="469" t="e">
        <f t="shared" si="90"/>
        <v>#VALUE!</v>
      </c>
      <c r="AO179" s="443" t="e">
        <f t="shared" si="91"/>
        <v>#VALUE!</v>
      </c>
      <c r="AQ179" s="576" t="e">
        <f t="shared" ref="AQ179:AQ188" si="102">LN($AS$181/$B179-1)</f>
        <v>#NUM!</v>
      </c>
      <c r="AR179" s="539"/>
      <c r="AS179" s="439"/>
      <c r="AT179" s="469" t="e">
        <f t="shared" si="92"/>
        <v>#VALUE!</v>
      </c>
      <c r="AU179" s="443" t="e">
        <f t="shared" si="93"/>
        <v>#VALUE!</v>
      </c>
      <c r="AW179" s="576" t="e">
        <f t="shared" ref="AW179:AW188" si="103">LN($AY$181/$B179-1)</f>
        <v>#NUM!</v>
      </c>
      <c r="AX179" s="539"/>
      <c r="AY179" s="439"/>
      <c r="AZ179" s="469" t="e">
        <f t="shared" si="94"/>
        <v>#VALUE!</v>
      </c>
      <c r="BA179" s="443" t="e">
        <f t="shared" si="95"/>
        <v>#VALUE!</v>
      </c>
      <c r="BC179" s="576" t="e">
        <f t="shared" ref="BC179:BC188" si="104">LN($BE$181/$B179-1)</f>
        <v>#NUM!</v>
      </c>
      <c r="BD179" s="539"/>
      <c r="BE179" s="439"/>
      <c r="BF179" s="469" t="e">
        <f t="shared" si="96"/>
        <v>#VALUE!</v>
      </c>
      <c r="BG179" s="443" t="e">
        <f t="shared" si="97"/>
        <v>#VALUE!</v>
      </c>
    </row>
    <row r="180" spans="1:60" ht="15" customHeight="1">
      <c r="A180" s="436">
        <f t="shared" si="75"/>
        <v>2008</v>
      </c>
      <c r="B180" s="437">
        <f t="shared" si="75"/>
        <v>10686</v>
      </c>
      <c r="C180" s="533">
        <f t="shared" si="76"/>
        <v>-0.13741582897539412</v>
      </c>
      <c r="D180" s="438">
        <f t="shared" si="77"/>
        <v>3</v>
      </c>
      <c r="H180" s="574"/>
      <c r="I180" s="443">
        <f t="shared" si="78"/>
        <v>10835</v>
      </c>
      <c r="J180" s="446">
        <f t="shared" si="79"/>
        <v>1.3943477447127084</v>
      </c>
      <c r="K180" s="443">
        <f t="shared" si="80"/>
        <v>22.201000000000001</v>
      </c>
      <c r="M180" s="576" t="e">
        <f t="shared" si="81"/>
        <v>#NUM!</v>
      </c>
      <c r="N180" s="539" t="s">
        <v>336</v>
      </c>
      <c r="O180" s="439"/>
      <c r="P180" s="469" t="e">
        <f t="shared" si="82"/>
        <v>#VALUE!</v>
      </c>
      <c r="Q180" s="443" t="e">
        <f t="shared" si="83"/>
        <v>#VALUE!</v>
      </c>
      <c r="S180" s="576" t="e">
        <f t="shared" si="98"/>
        <v>#NUM!</v>
      </c>
      <c r="T180" s="539" t="s">
        <v>336</v>
      </c>
      <c r="U180" s="439"/>
      <c r="V180" s="469" t="e">
        <f t="shared" si="84"/>
        <v>#VALUE!</v>
      </c>
      <c r="W180" s="443" t="e">
        <f t="shared" si="85"/>
        <v>#VALUE!</v>
      </c>
      <c r="Y180" s="576" t="e">
        <f t="shared" si="99"/>
        <v>#NUM!</v>
      </c>
      <c r="Z180" s="539" t="s">
        <v>336</v>
      </c>
      <c r="AA180" s="439"/>
      <c r="AB180" s="469" t="e">
        <f t="shared" si="86"/>
        <v>#VALUE!</v>
      </c>
      <c r="AC180" s="443" t="e">
        <f t="shared" si="87"/>
        <v>#VALUE!</v>
      </c>
      <c r="AE180" s="576" t="e">
        <f t="shared" si="100"/>
        <v>#NUM!</v>
      </c>
      <c r="AF180" s="539" t="s">
        <v>336</v>
      </c>
      <c r="AG180" s="439"/>
      <c r="AH180" s="469" t="e">
        <f t="shared" si="88"/>
        <v>#VALUE!</v>
      </c>
      <c r="AI180" s="443" t="e">
        <f t="shared" si="89"/>
        <v>#VALUE!</v>
      </c>
      <c r="AK180" s="576" t="e">
        <f t="shared" si="101"/>
        <v>#NUM!</v>
      </c>
      <c r="AL180" s="539" t="s">
        <v>336</v>
      </c>
      <c r="AM180" s="439"/>
      <c r="AN180" s="469" t="e">
        <f t="shared" si="90"/>
        <v>#VALUE!</v>
      </c>
      <c r="AO180" s="443" t="e">
        <f t="shared" si="91"/>
        <v>#VALUE!</v>
      </c>
      <c r="AQ180" s="576" t="e">
        <f t="shared" si="102"/>
        <v>#NUM!</v>
      </c>
      <c r="AR180" s="539" t="s">
        <v>336</v>
      </c>
      <c r="AS180" s="439"/>
      <c r="AT180" s="469" t="e">
        <f t="shared" si="92"/>
        <v>#VALUE!</v>
      </c>
      <c r="AU180" s="443" t="e">
        <f t="shared" si="93"/>
        <v>#VALUE!</v>
      </c>
      <c r="AW180" s="576" t="e">
        <f t="shared" si="103"/>
        <v>#NUM!</v>
      </c>
      <c r="AX180" s="539" t="s">
        <v>336</v>
      </c>
      <c r="AY180" s="439"/>
      <c r="AZ180" s="469" t="e">
        <f t="shared" si="94"/>
        <v>#VALUE!</v>
      </c>
      <c r="BA180" s="443" t="e">
        <f t="shared" si="95"/>
        <v>#VALUE!</v>
      </c>
      <c r="BC180" s="576" t="e">
        <f t="shared" si="104"/>
        <v>#NUM!</v>
      </c>
      <c r="BD180" s="539" t="s">
        <v>336</v>
      </c>
      <c r="BE180" s="439"/>
      <c r="BF180" s="469" t="e">
        <f t="shared" si="96"/>
        <v>#VALUE!</v>
      </c>
      <c r="BG180" s="443" t="e">
        <f t="shared" si="97"/>
        <v>#VALUE!</v>
      </c>
    </row>
    <row r="181" spans="1:60" ht="15" customHeight="1">
      <c r="A181" s="436">
        <f t="shared" si="75"/>
        <v>2009</v>
      </c>
      <c r="B181" s="437">
        <f t="shared" si="75"/>
        <v>10539</v>
      </c>
      <c r="C181" s="533">
        <f t="shared" si="76"/>
        <v>-0.10790457622949243</v>
      </c>
      <c r="D181" s="438">
        <f t="shared" si="77"/>
        <v>4</v>
      </c>
      <c r="E181" s="540"/>
      <c r="G181" s="451"/>
      <c r="H181" s="442"/>
      <c r="I181" s="443">
        <f t="shared" si="78"/>
        <v>10922</v>
      </c>
      <c r="J181" s="446">
        <f t="shared" si="79"/>
        <v>3.6341208843343771</v>
      </c>
      <c r="K181" s="443">
        <f t="shared" si="80"/>
        <v>146.68899999999999</v>
      </c>
      <c r="M181" s="576" t="e">
        <f t="shared" si="81"/>
        <v>#NUM!</v>
      </c>
      <c r="N181" s="439" t="s">
        <v>337</v>
      </c>
      <c r="O181" s="577">
        <f>E200</f>
        <v>10000</v>
      </c>
      <c r="P181" s="469" t="e">
        <f t="shared" si="82"/>
        <v>#VALUE!</v>
      </c>
      <c r="Q181" s="443" t="e">
        <f t="shared" si="83"/>
        <v>#VALUE!</v>
      </c>
      <c r="S181" s="576" t="e">
        <f t="shared" si="98"/>
        <v>#NUM!</v>
      </c>
      <c r="T181" s="439" t="s">
        <v>337</v>
      </c>
      <c r="U181" s="363">
        <f>E201</f>
        <v>10100</v>
      </c>
      <c r="V181" s="469" t="e">
        <f t="shared" si="84"/>
        <v>#VALUE!</v>
      </c>
      <c r="W181" s="443" t="e">
        <f t="shared" si="85"/>
        <v>#VALUE!</v>
      </c>
      <c r="Y181" s="576" t="e">
        <f t="shared" si="99"/>
        <v>#NUM!</v>
      </c>
      <c r="Z181" s="439" t="s">
        <v>337</v>
      </c>
      <c r="AA181" s="363">
        <f>E202</f>
        <v>10200</v>
      </c>
      <c r="AB181" s="469" t="e">
        <f t="shared" si="86"/>
        <v>#VALUE!</v>
      </c>
      <c r="AC181" s="443" t="e">
        <f t="shared" si="87"/>
        <v>#VALUE!</v>
      </c>
      <c r="AE181" s="576" t="e">
        <f t="shared" si="100"/>
        <v>#NUM!</v>
      </c>
      <c r="AF181" s="439" t="s">
        <v>337</v>
      </c>
      <c r="AG181" s="363">
        <f>E203</f>
        <v>10300</v>
      </c>
      <c r="AH181" s="469" t="e">
        <f t="shared" si="88"/>
        <v>#VALUE!</v>
      </c>
      <c r="AI181" s="443" t="e">
        <f t="shared" si="89"/>
        <v>#VALUE!</v>
      </c>
      <c r="AK181" s="576" t="e">
        <f t="shared" si="101"/>
        <v>#NUM!</v>
      </c>
      <c r="AL181" s="439" t="s">
        <v>337</v>
      </c>
      <c r="AM181" s="363">
        <f>E204</f>
        <v>10400</v>
      </c>
      <c r="AN181" s="469" t="e">
        <f t="shared" si="90"/>
        <v>#VALUE!</v>
      </c>
      <c r="AO181" s="443" t="e">
        <f t="shared" si="91"/>
        <v>#VALUE!</v>
      </c>
      <c r="AQ181" s="576" t="e">
        <f t="shared" si="102"/>
        <v>#NUM!</v>
      </c>
      <c r="AR181" s="439" t="s">
        <v>337</v>
      </c>
      <c r="AS181" s="363">
        <f>E205</f>
        <v>10500</v>
      </c>
      <c r="AT181" s="469" t="e">
        <f t="shared" si="92"/>
        <v>#VALUE!</v>
      </c>
      <c r="AU181" s="443" t="e">
        <f t="shared" si="93"/>
        <v>#VALUE!</v>
      </c>
      <c r="AW181" s="576" t="e">
        <f t="shared" si="103"/>
        <v>#NUM!</v>
      </c>
      <c r="AX181" s="439" t="s">
        <v>337</v>
      </c>
      <c r="AY181" s="363">
        <f>E206</f>
        <v>10450</v>
      </c>
      <c r="AZ181" s="469" t="e">
        <f t="shared" si="94"/>
        <v>#VALUE!</v>
      </c>
      <c r="BA181" s="443" t="e">
        <f t="shared" si="95"/>
        <v>#VALUE!</v>
      </c>
      <c r="BC181" s="576" t="e">
        <f t="shared" si="104"/>
        <v>#NUM!</v>
      </c>
      <c r="BD181" s="439" t="s">
        <v>337</v>
      </c>
      <c r="BE181" s="363">
        <f>E207</f>
        <v>10410</v>
      </c>
      <c r="BF181" s="469" t="e">
        <f t="shared" si="96"/>
        <v>#VALUE!</v>
      </c>
      <c r="BG181" s="443" t="e">
        <f t="shared" si="97"/>
        <v>#VALUE!</v>
      </c>
    </row>
    <row r="182" spans="1:60" ht="15" customHeight="1">
      <c r="A182" s="436">
        <f t="shared" si="75"/>
        <v>2010</v>
      </c>
      <c r="B182" s="437">
        <f t="shared" si="75"/>
        <v>11040</v>
      </c>
      <c r="C182" s="533">
        <f t="shared" si="76"/>
        <v>-0.20875481386211009</v>
      </c>
      <c r="D182" s="438">
        <f t="shared" si="77"/>
        <v>5</v>
      </c>
      <c r="E182" s="540" t="s">
        <v>337</v>
      </c>
      <c r="F182" s="577">
        <v>20000</v>
      </c>
      <c r="G182" s="451"/>
      <c r="I182" s="443">
        <f t="shared" si="78"/>
        <v>11009</v>
      </c>
      <c r="J182" s="446">
        <f t="shared" si="79"/>
        <v>0.28079710144927539</v>
      </c>
      <c r="K182" s="443">
        <f t="shared" si="80"/>
        <v>0.96099999999999997</v>
      </c>
      <c r="M182" s="576" t="e">
        <f t="shared" si="81"/>
        <v>#NUM!</v>
      </c>
      <c r="N182" s="578" t="s">
        <v>338</v>
      </c>
      <c r="O182" s="505">
        <f>MAX($B178:$B188)</f>
        <v>11441</v>
      </c>
      <c r="P182" s="469" t="e">
        <f t="shared" si="82"/>
        <v>#VALUE!</v>
      </c>
      <c r="Q182" s="443" t="e">
        <f t="shared" si="83"/>
        <v>#VALUE!</v>
      </c>
      <c r="S182" s="576" t="e">
        <f t="shared" si="98"/>
        <v>#NUM!</v>
      </c>
      <c r="T182" s="578" t="s">
        <v>338</v>
      </c>
      <c r="U182" s="505">
        <f>MAX($B178:$B188)</f>
        <v>11441</v>
      </c>
      <c r="V182" s="469" t="e">
        <f t="shared" si="84"/>
        <v>#VALUE!</v>
      </c>
      <c r="W182" s="443" t="e">
        <f t="shared" si="85"/>
        <v>#VALUE!</v>
      </c>
      <c r="Y182" s="576" t="e">
        <f t="shared" si="99"/>
        <v>#NUM!</v>
      </c>
      <c r="Z182" s="578" t="s">
        <v>338</v>
      </c>
      <c r="AA182" s="505">
        <f>MAX($B178:$B188)</f>
        <v>11441</v>
      </c>
      <c r="AB182" s="469" t="e">
        <f t="shared" si="86"/>
        <v>#VALUE!</v>
      </c>
      <c r="AC182" s="443" t="e">
        <f t="shared" si="87"/>
        <v>#VALUE!</v>
      </c>
      <c r="AE182" s="576" t="e">
        <f t="shared" si="100"/>
        <v>#NUM!</v>
      </c>
      <c r="AF182" s="578" t="s">
        <v>338</v>
      </c>
      <c r="AG182" s="505">
        <f>MAX($B178:$B188)</f>
        <v>11441</v>
      </c>
      <c r="AH182" s="469" t="e">
        <f t="shared" si="88"/>
        <v>#VALUE!</v>
      </c>
      <c r="AI182" s="443" t="e">
        <f t="shared" si="89"/>
        <v>#VALUE!</v>
      </c>
      <c r="AK182" s="576" t="e">
        <f t="shared" si="101"/>
        <v>#NUM!</v>
      </c>
      <c r="AL182" s="578" t="s">
        <v>338</v>
      </c>
      <c r="AM182" s="505">
        <f>MAX($B178:$B188)</f>
        <v>11441</v>
      </c>
      <c r="AN182" s="469" t="e">
        <f t="shared" si="90"/>
        <v>#VALUE!</v>
      </c>
      <c r="AO182" s="443" t="e">
        <f t="shared" si="91"/>
        <v>#VALUE!</v>
      </c>
      <c r="AQ182" s="576" t="e">
        <f t="shared" si="102"/>
        <v>#NUM!</v>
      </c>
      <c r="AR182" s="578" t="s">
        <v>338</v>
      </c>
      <c r="AS182" s="505">
        <f>MAX($B178:$B188)</f>
        <v>11441</v>
      </c>
      <c r="AT182" s="469" t="e">
        <f t="shared" si="92"/>
        <v>#VALUE!</v>
      </c>
      <c r="AU182" s="443" t="e">
        <f t="shared" si="93"/>
        <v>#VALUE!</v>
      </c>
      <c r="AW182" s="576" t="e">
        <f t="shared" si="103"/>
        <v>#NUM!</v>
      </c>
      <c r="AX182" s="578" t="s">
        <v>338</v>
      </c>
      <c r="AY182" s="505">
        <f>MAX($B178:$B188)</f>
        <v>11441</v>
      </c>
      <c r="AZ182" s="469" t="e">
        <f t="shared" si="94"/>
        <v>#VALUE!</v>
      </c>
      <c r="BA182" s="443" t="e">
        <f t="shared" si="95"/>
        <v>#VALUE!</v>
      </c>
      <c r="BC182" s="576" t="e">
        <f t="shared" si="104"/>
        <v>#NUM!</v>
      </c>
      <c r="BD182" s="578" t="s">
        <v>338</v>
      </c>
      <c r="BE182" s="505">
        <f>MAX($B178:$B188)</f>
        <v>11441</v>
      </c>
      <c r="BF182" s="469" t="e">
        <f t="shared" si="96"/>
        <v>#VALUE!</v>
      </c>
      <c r="BG182" s="443" t="e">
        <f t="shared" si="97"/>
        <v>#VALUE!</v>
      </c>
    </row>
    <row r="183" spans="1:60" ht="15" customHeight="1">
      <c r="A183" s="436">
        <f t="shared" si="75"/>
        <v>2011</v>
      </c>
      <c r="B183" s="437">
        <f t="shared" si="75"/>
        <v>11213</v>
      </c>
      <c r="C183" s="533">
        <f t="shared" si="76"/>
        <v>-0.24380046296503749</v>
      </c>
      <c r="D183" s="438">
        <f t="shared" si="77"/>
        <v>6</v>
      </c>
      <c r="E183" s="578" t="s">
        <v>338</v>
      </c>
      <c r="F183" s="505">
        <f>MAX(B178:B188)</f>
        <v>11441</v>
      </c>
      <c r="G183" s="451"/>
      <c r="H183" s="442"/>
      <c r="I183" s="443">
        <f t="shared" si="78"/>
        <v>11095</v>
      </c>
      <c r="J183" s="446">
        <f t="shared" si="79"/>
        <v>1.0523499509497904</v>
      </c>
      <c r="K183" s="443">
        <f t="shared" si="80"/>
        <v>13.923999999999999</v>
      </c>
      <c r="M183" s="576" t="e">
        <f t="shared" si="81"/>
        <v>#NUM!</v>
      </c>
      <c r="N183" s="578" t="s">
        <v>339</v>
      </c>
      <c r="O183" s="505">
        <f>AVERAGE($B184:$B188)</f>
        <v>11392.4</v>
      </c>
      <c r="P183" s="469" t="e">
        <f t="shared" si="82"/>
        <v>#VALUE!</v>
      </c>
      <c r="Q183" s="443" t="e">
        <f t="shared" si="83"/>
        <v>#VALUE!</v>
      </c>
      <c r="S183" s="576" t="e">
        <f t="shared" si="98"/>
        <v>#NUM!</v>
      </c>
      <c r="T183" s="578" t="s">
        <v>339</v>
      </c>
      <c r="U183" s="505">
        <f>AVERAGE($B184:$B188)</f>
        <v>11392.4</v>
      </c>
      <c r="V183" s="469" t="e">
        <f t="shared" si="84"/>
        <v>#VALUE!</v>
      </c>
      <c r="W183" s="443" t="e">
        <f t="shared" si="85"/>
        <v>#VALUE!</v>
      </c>
      <c r="Y183" s="576" t="e">
        <f t="shared" si="99"/>
        <v>#NUM!</v>
      </c>
      <c r="Z183" s="578" t="s">
        <v>339</v>
      </c>
      <c r="AA183" s="505">
        <f>AVERAGE($B184:$B188)</f>
        <v>11392.4</v>
      </c>
      <c r="AB183" s="469" t="e">
        <f t="shared" si="86"/>
        <v>#VALUE!</v>
      </c>
      <c r="AC183" s="443" t="e">
        <f t="shared" si="87"/>
        <v>#VALUE!</v>
      </c>
      <c r="AE183" s="576" t="e">
        <f t="shared" si="100"/>
        <v>#NUM!</v>
      </c>
      <c r="AF183" s="578" t="s">
        <v>339</v>
      </c>
      <c r="AG183" s="505">
        <f>AVERAGE($B184:$B188)</f>
        <v>11392.4</v>
      </c>
      <c r="AH183" s="469" t="e">
        <f t="shared" si="88"/>
        <v>#VALUE!</v>
      </c>
      <c r="AI183" s="443" t="e">
        <f t="shared" si="89"/>
        <v>#VALUE!</v>
      </c>
      <c r="AK183" s="576" t="e">
        <f t="shared" si="101"/>
        <v>#NUM!</v>
      </c>
      <c r="AL183" s="578" t="s">
        <v>339</v>
      </c>
      <c r="AM183" s="505">
        <f>AVERAGE($B184:$B188)</f>
        <v>11392.4</v>
      </c>
      <c r="AN183" s="469" t="e">
        <f t="shared" si="90"/>
        <v>#VALUE!</v>
      </c>
      <c r="AO183" s="443" t="e">
        <f t="shared" si="91"/>
        <v>#VALUE!</v>
      </c>
      <c r="AQ183" s="576" t="e">
        <f t="shared" si="102"/>
        <v>#NUM!</v>
      </c>
      <c r="AR183" s="578" t="s">
        <v>339</v>
      </c>
      <c r="AS183" s="505">
        <f>AVERAGE($B184:$B188)</f>
        <v>11392.4</v>
      </c>
      <c r="AT183" s="469" t="e">
        <f t="shared" si="92"/>
        <v>#VALUE!</v>
      </c>
      <c r="AU183" s="443" t="e">
        <f t="shared" si="93"/>
        <v>#VALUE!</v>
      </c>
      <c r="AW183" s="576" t="e">
        <f t="shared" si="103"/>
        <v>#NUM!</v>
      </c>
      <c r="AX183" s="578" t="s">
        <v>339</v>
      </c>
      <c r="AY183" s="505">
        <f>AVERAGE($B184:$B188)</f>
        <v>11392.4</v>
      </c>
      <c r="AZ183" s="469" t="e">
        <f t="shared" si="94"/>
        <v>#VALUE!</v>
      </c>
      <c r="BA183" s="443" t="e">
        <f t="shared" si="95"/>
        <v>#VALUE!</v>
      </c>
      <c r="BC183" s="576" t="e">
        <f t="shared" si="104"/>
        <v>#NUM!</v>
      </c>
      <c r="BD183" s="578" t="s">
        <v>339</v>
      </c>
      <c r="BE183" s="505">
        <f>AVERAGE($B184:$B188)</f>
        <v>11392.4</v>
      </c>
      <c r="BF183" s="469" t="e">
        <f t="shared" si="96"/>
        <v>#VALUE!</v>
      </c>
      <c r="BG183" s="443" t="e">
        <f t="shared" si="97"/>
        <v>#VALUE!</v>
      </c>
    </row>
    <row r="184" spans="1:60" ht="15" customHeight="1">
      <c r="A184" s="436">
        <f t="shared" si="75"/>
        <v>2012</v>
      </c>
      <c r="B184" s="437">
        <f t="shared" si="75"/>
        <v>11405</v>
      </c>
      <c r="C184" s="533">
        <f t="shared" si="76"/>
        <v>-0.28287121690153894</v>
      </c>
      <c r="D184" s="438">
        <f t="shared" si="77"/>
        <v>7</v>
      </c>
      <c r="E184" s="578" t="s">
        <v>339</v>
      </c>
      <c r="F184" s="505">
        <f>AVERAGE(B184:B188)</f>
        <v>11392.4</v>
      </c>
      <c r="G184" s="451"/>
      <c r="H184" s="442"/>
      <c r="I184" s="443">
        <f t="shared" si="78"/>
        <v>11182</v>
      </c>
      <c r="J184" s="446">
        <f t="shared" si="79"/>
        <v>1.955282770714599</v>
      </c>
      <c r="K184" s="443">
        <f t="shared" si="80"/>
        <v>49.728999999999999</v>
      </c>
      <c r="M184" s="576" t="e">
        <f t="shared" si="81"/>
        <v>#NUM!</v>
      </c>
      <c r="N184" s="579" t="s">
        <v>340</v>
      </c>
      <c r="O184" s="504" t="e">
        <f>INDEX(LINEST(M178:M188,$D178:$D188),1)</f>
        <v>#VALUE!</v>
      </c>
      <c r="P184" s="469" t="e">
        <f t="shared" si="82"/>
        <v>#VALUE!</v>
      </c>
      <c r="Q184" s="443" t="e">
        <f>($B184-P184)^2/1000</f>
        <v>#VALUE!</v>
      </c>
      <c r="S184" s="576" t="e">
        <f t="shared" si="98"/>
        <v>#NUM!</v>
      </c>
      <c r="T184" s="579" t="s">
        <v>340</v>
      </c>
      <c r="U184" s="504" t="e">
        <f>INDEX(LINEST(S178:S188,$D178:$D188),1)</f>
        <v>#VALUE!</v>
      </c>
      <c r="V184" s="469" t="e">
        <f t="shared" si="84"/>
        <v>#VALUE!</v>
      </c>
      <c r="W184" s="443" t="e">
        <f>($B184-V184)^2/1000</f>
        <v>#VALUE!</v>
      </c>
      <c r="Y184" s="576" t="e">
        <f t="shared" si="99"/>
        <v>#NUM!</v>
      </c>
      <c r="Z184" s="579" t="s">
        <v>340</v>
      </c>
      <c r="AA184" s="504" t="e">
        <f>INDEX(LINEST(Y178:Y188,$D178:$D188),1)</f>
        <v>#VALUE!</v>
      </c>
      <c r="AB184" s="469" t="e">
        <f t="shared" si="86"/>
        <v>#VALUE!</v>
      </c>
      <c r="AC184" s="443" t="e">
        <f t="shared" si="87"/>
        <v>#VALUE!</v>
      </c>
      <c r="AE184" s="576" t="e">
        <f t="shared" si="100"/>
        <v>#NUM!</v>
      </c>
      <c r="AF184" s="579" t="s">
        <v>340</v>
      </c>
      <c r="AG184" s="504" t="e">
        <f>INDEX(LINEST(AE178:AE188,$D178:$D188),1)</f>
        <v>#VALUE!</v>
      </c>
      <c r="AH184" s="469" t="e">
        <f t="shared" si="88"/>
        <v>#VALUE!</v>
      </c>
      <c r="AI184" s="443" t="e">
        <f t="shared" si="89"/>
        <v>#VALUE!</v>
      </c>
      <c r="AK184" s="576" t="e">
        <f t="shared" si="101"/>
        <v>#NUM!</v>
      </c>
      <c r="AL184" s="579" t="s">
        <v>340</v>
      </c>
      <c r="AM184" s="504" t="e">
        <f>INDEX(LINEST(AK178:AK188,$D178:$D188),1)</f>
        <v>#VALUE!</v>
      </c>
      <c r="AN184" s="469" t="e">
        <f t="shared" si="90"/>
        <v>#VALUE!</v>
      </c>
      <c r="AO184" s="443" t="e">
        <f t="shared" si="91"/>
        <v>#VALUE!</v>
      </c>
      <c r="AQ184" s="576" t="e">
        <f t="shared" si="102"/>
        <v>#NUM!</v>
      </c>
      <c r="AR184" s="579" t="s">
        <v>340</v>
      </c>
      <c r="AS184" s="504" t="e">
        <f>INDEX(LINEST(AQ178:AQ188,$D178:$D188),1)</f>
        <v>#VALUE!</v>
      </c>
      <c r="AT184" s="469" t="e">
        <f t="shared" si="92"/>
        <v>#VALUE!</v>
      </c>
      <c r="AU184" s="443" t="e">
        <f t="shared" si="93"/>
        <v>#VALUE!</v>
      </c>
      <c r="AW184" s="576" t="e">
        <f t="shared" si="103"/>
        <v>#NUM!</v>
      </c>
      <c r="AX184" s="579" t="s">
        <v>340</v>
      </c>
      <c r="AY184" s="504" t="e">
        <f>INDEX(LINEST(AW178:AW188,$D178:$D188),1)</f>
        <v>#VALUE!</v>
      </c>
      <c r="AZ184" s="469" t="e">
        <f t="shared" si="94"/>
        <v>#VALUE!</v>
      </c>
      <c r="BA184" s="443" t="e">
        <f t="shared" si="95"/>
        <v>#VALUE!</v>
      </c>
      <c r="BC184" s="576" t="e">
        <f t="shared" si="104"/>
        <v>#NUM!</v>
      </c>
      <c r="BD184" s="579" t="s">
        <v>340</v>
      </c>
      <c r="BE184" s="504" t="e">
        <f>INDEX(LINEST(BC178:BC188,$D178:$D188),1)</f>
        <v>#VALUE!</v>
      </c>
      <c r="BF184" s="469" t="e">
        <f t="shared" si="96"/>
        <v>#VALUE!</v>
      </c>
      <c r="BG184" s="443" t="e">
        <f t="shared" si="97"/>
        <v>#VALUE!</v>
      </c>
    </row>
    <row r="185" spans="1:60" ht="15" customHeight="1">
      <c r="A185" s="436">
        <f t="shared" si="75"/>
        <v>2013</v>
      </c>
      <c r="B185" s="437">
        <f t="shared" si="75"/>
        <v>11441</v>
      </c>
      <c r="C185" s="533">
        <f t="shared" si="76"/>
        <v>-0.2902200338193342</v>
      </c>
      <c r="D185" s="438">
        <f t="shared" ref="D185:D210" si="105">D184+1</f>
        <v>8</v>
      </c>
      <c r="G185" s="451"/>
      <c r="H185" s="442"/>
      <c r="I185" s="443">
        <f t="shared" si="78"/>
        <v>11268</v>
      </c>
      <c r="J185" s="446">
        <f t="shared" si="79"/>
        <v>1.5121055851761209</v>
      </c>
      <c r="K185" s="443">
        <f t="shared" si="80"/>
        <v>29.928999999999998</v>
      </c>
      <c r="M185" s="576" t="e">
        <f t="shared" si="81"/>
        <v>#NUM!</v>
      </c>
      <c r="N185" s="439" t="s">
        <v>305</v>
      </c>
      <c r="O185" s="504" t="e">
        <f>INDEX(LINEST(M178:M188,$D178:$D188),2)</f>
        <v>#VALUE!</v>
      </c>
      <c r="P185" s="469" t="e">
        <f t="shared" si="82"/>
        <v>#VALUE!</v>
      </c>
      <c r="Q185" s="443" t="e">
        <f>($B185-P185)^2/1000</f>
        <v>#VALUE!</v>
      </c>
      <c r="S185" s="576" t="e">
        <f t="shared" si="98"/>
        <v>#NUM!</v>
      </c>
      <c r="T185" s="439" t="s">
        <v>305</v>
      </c>
      <c r="U185" s="504" t="e">
        <f>INDEX(LINEST(S178:S188,$D178:$D188),2)</f>
        <v>#VALUE!</v>
      </c>
      <c r="V185" s="469" t="e">
        <f t="shared" si="84"/>
        <v>#VALUE!</v>
      </c>
      <c r="W185" s="443" t="e">
        <f>($B185-V185)^2/1000</f>
        <v>#VALUE!</v>
      </c>
      <c r="Y185" s="576" t="e">
        <f t="shared" si="99"/>
        <v>#NUM!</v>
      </c>
      <c r="Z185" s="439" t="s">
        <v>305</v>
      </c>
      <c r="AA185" s="504" t="e">
        <f>INDEX(LINEST(Y178:Y188,$D178:$D188),2)</f>
        <v>#VALUE!</v>
      </c>
      <c r="AB185" s="469" t="e">
        <f t="shared" si="86"/>
        <v>#VALUE!</v>
      </c>
      <c r="AC185" s="443" t="e">
        <f t="shared" si="87"/>
        <v>#VALUE!</v>
      </c>
      <c r="AE185" s="576" t="e">
        <f t="shared" si="100"/>
        <v>#NUM!</v>
      </c>
      <c r="AF185" s="439" t="s">
        <v>305</v>
      </c>
      <c r="AG185" s="504" t="e">
        <f>INDEX(LINEST(AE178:AE188,$D178:$D188),2)</f>
        <v>#VALUE!</v>
      </c>
      <c r="AH185" s="469" t="e">
        <f t="shared" si="88"/>
        <v>#VALUE!</v>
      </c>
      <c r="AI185" s="443" t="e">
        <f t="shared" si="89"/>
        <v>#VALUE!</v>
      </c>
      <c r="AK185" s="576" t="e">
        <f t="shared" si="101"/>
        <v>#NUM!</v>
      </c>
      <c r="AL185" s="439" t="s">
        <v>305</v>
      </c>
      <c r="AM185" s="504" t="e">
        <f>INDEX(LINEST(AK178:AK188,$D178:$D188),2)</f>
        <v>#VALUE!</v>
      </c>
      <c r="AN185" s="469" t="e">
        <f t="shared" si="90"/>
        <v>#VALUE!</v>
      </c>
      <c r="AO185" s="443" t="e">
        <f t="shared" si="91"/>
        <v>#VALUE!</v>
      </c>
      <c r="AQ185" s="576" t="e">
        <f t="shared" si="102"/>
        <v>#NUM!</v>
      </c>
      <c r="AR185" s="439" t="s">
        <v>305</v>
      </c>
      <c r="AS185" s="504" t="e">
        <f>INDEX(LINEST(AQ178:AQ188,$D178:$D188),2)</f>
        <v>#VALUE!</v>
      </c>
      <c r="AT185" s="469" t="e">
        <f t="shared" si="92"/>
        <v>#VALUE!</v>
      </c>
      <c r="AU185" s="443" t="e">
        <f t="shared" si="93"/>
        <v>#VALUE!</v>
      </c>
      <c r="AW185" s="576" t="e">
        <f t="shared" si="103"/>
        <v>#NUM!</v>
      </c>
      <c r="AX185" s="439" t="s">
        <v>305</v>
      </c>
      <c r="AY185" s="504" t="e">
        <f>INDEX(LINEST(AW178:AW188,$D178:$D188),2)</f>
        <v>#VALUE!</v>
      </c>
      <c r="AZ185" s="469" t="e">
        <f t="shared" si="94"/>
        <v>#VALUE!</v>
      </c>
      <c r="BA185" s="443" t="e">
        <f t="shared" si="95"/>
        <v>#VALUE!</v>
      </c>
      <c r="BC185" s="576" t="e">
        <f t="shared" si="104"/>
        <v>#NUM!</v>
      </c>
      <c r="BD185" s="439" t="s">
        <v>305</v>
      </c>
      <c r="BE185" s="504" t="e">
        <f>INDEX(LINEST(BC178:BC188,$D178:$D188),2)</f>
        <v>#VALUE!</v>
      </c>
      <c r="BF185" s="469" t="e">
        <f t="shared" si="96"/>
        <v>#VALUE!</v>
      </c>
      <c r="BG185" s="443" t="e">
        <f t="shared" si="97"/>
        <v>#VALUE!</v>
      </c>
    </row>
    <row r="186" spans="1:60" ht="15" customHeight="1">
      <c r="A186" s="436">
        <f t="shared" si="75"/>
        <v>2014</v>
      </c>
      <c r="B186" s="437">
        <f t="shared" si="75"/>
        <v>11333</v>
      </c>
      <c r="C186" s="580">
        <f t="shared" si="76"/>
        <v>-0.2681961135986034</v>
      </c>
      <c r="D186" s="508">
        <f t="shared" si="105"/>
        <v>9</v>
      </c>
      <c r="E186" s="581" t="s">
        <v>340</v>
      </c>
      <c r="F186" s="504">
        <f>INDEX(LINEST(C178:C188,D178:D188),1)</f>
        <v>-1.7501871293862215E-2</v>
      </c>
      <c r="G186" s="582"/>
      <c r="H186" s="442"/>
      <c r="I186" s="443">
        <f t="shared" si="78"/>
        <v>11354</v>
      </c>
      <c r="J186" s="467">
        <f t="shared" si="79"/>
        <v>0.18529956763434219</v>
      </c>
      <c r="K186" s="443">
        <f t="shared" si="80"/>
        <v>0.441</v>
      </c>
      <c r="M186" s="576" t="e">
        <f t="shared" si="81"/>
        <v>#NUM!</v>
      </c>
      <c r="N186" s="578" t="s">
        <v>306</v>
      </c>
      <c r="O186" s="583" t="e">
        <f>O184*-1</f>
        <v>#VALUE!</v>
      </c>
      <c r="P186" s="469" t="e">
        <f t="shared" si="82"/>
        <v>#VALUE!</v>
      </c>
      <c r="Q186" s="443" t="e">
        <f>($B186-P186)^2/1000</f>
        <v>#VALUE!</v>
      </c>
      <c r="S186" s="576" t="e">
        <f t="shared" si="98"/>
        <v>#NUM!</v>
      </c>
      <c r="T186" s="578" t="s">
        <v>306</v>
      </c>
      <c r="U186" s="583" t="e">
        <f>U184*-1</f>
        <v>#VALUE!</v>
      </c>
      <c r="V186" s="469" t="e">
        <f t="shared" si="84"/>
        <v>#VALUE!</v>
      </c>
      <c r="W186" s="443" t="e">
        <f>($B186-V186)^2/1000</f>
        <v>#VALUE!</v>
      </c>
      <c r="Y186" s="576" t="e">
        <f t="shared" si="99"/>
        <v>#NUM!</v>
      </c>
      <c r="Z186" s="578" t="s">
        <v>306</v>
      </c>
      <c r="AA186" s="583" t="e">
        <f>AA184*-1</f>
        <v>#VALUE!</v>
      </c>
      <c r="AB186" s="469" t="e">
        <f t="shared" si="86"/>
        <v>#VALUE!</v>
      </c>
      <c r="AC186" s="443" t="e">
        <f>($B186-AB186)^2/1000</f>
        <v>#VALUE!</v>
      </c>
      <c r="AE186" s="576" t="e">
        <f t="shared" si="100"/>
        <v>#NUM!</v>
      </c>
      <c r="AF186" s="578" t="s">
        <v>306</v>
      </c>
      <c r="AG186" s="583" t="e">
        <f>AG184*-1</f>
        <v>#VALUE!</v>
      </c>
      <c r="AH186" s="469" t="e">
        <f t="shared" si="88"/>
        <v>#VALUE!</v>
      </c>
      <c r="AI186" s="443" t="e">
        <f>($B186-AH186)^2/1000</f>
        <v>#VALUE!</v>
      </c>
      <c r="AK186" s="576" t="e">
        <f t="shared" si="101"/>
        <v>#NUM!</v>
      </c>
      <c r="AL186" s="578" t="s">
        <v>306</v>
      </c>
      <c r="AM186" s="583" t="e">
        <f>AM184*-1</f>
        <v>#VALUE!</v>
      </c>
      <c r="AN186" s="469" t="e">
        <f t="shared" si="90"/>
        <v>#VALUE!</v>
      </c>
      <c r="AO186" s="443" t="e">
        <f t="shared" si="91"/>
        <v>#VALUE!</v>
      </c>
      <c r="AQ186" s="576" t="e">
        <f t="shared" si="102"/>
        <v>#NUM!</v>
      </c>
      <c r="AR186" s="578" t="s">
        <v>306</v>
      </c>
      <c r="AS186" s="583" t="e">
        <f>AS184*-1</f>
        <v>#VALUE!</v>
      </c>
      <c r="AT186" s="469" t="e">
        <f t="shared" si="92"/>
        <v>#VALUE!</v>
      </c>
      <c r="AU186" s="443" t="e">
        <f>($B186-AT186)^2/1000</f>
        <v>#VALUE!</v>
      </c>
      <c r="AW186" s="576" t="e">
        <f t="shared" si="103"/>
        <v>#NUM!</v>
      </c>
      <c r="AX186" s="578" t="s">
        <v>306</v>
      </c>
      <c r="AY186" s="583" t="e">
        <f>AY184*-1</f>
        <v>#VALUE!</v>
      </c>
      <c r="AZ186" s="469" t="e">
        <f t="shared" si="94"/>
        <v>#VALUE!</v>
      </c>
      <c r="BA186" s="443" t="e">
        <f>($B186-AZ186)^2/1000</f>
        <v>#VALUE!</v>
      </c>
      <c r="BC186" s="576" t="e">
        <f t="shared" si="104"/>
        <v>#NUM!</v>
      </c>
      <c r="BD186" s="578" t="s">
        <v>306</v>
      </c>
      <c r="BE186" s="583" t="e">
        <f>BE184*-1</f>
        <v>#VALUE!</v>
      </c>
      <c r="BF186" s="469" t="e">
        <f t="shared" si="96"/>
        <v>#VALUE!</v>
      </c>
      <c r="BG186" s="443" t="e">
        <f>($B186-BF186)^2/1000</f>
        <v>#VALUE!</v>
      </c>
    </row>
    <row r="187" spans="1:60" ht="15" customHeight="1">
      <c r="A187" s="436">
        <f t="shared" si="75"/>
        <v>2015</v>
      </c>
      <c r="B187" s="437">
        <f t="shared" si="75"/>
        <v>11390</v>
      </c>
      <c r="C187" s="580">
        <f t="shared" si="76"/>
        <v>-0.27981145901945148</v>
      </c>
      <c r="D187" s="508">
        <f t="shared" si="105"/>
        <v>10</v>
      </c>
      <c r="E187" s="540" t="s">
        <v>305</v>
      </c>
      <c r="F187" s="504">
        <f>INDEX(LINEST(C178:C188,D178:D188),2)</f>
        <v>-0.1149426935292924</v>
      </c>
      <c r="G187" s="451"/>
      <c r="H187" s="439"/>
      <c r="I187" s="443">
        <f t="shared" si="78"/>
        <v>11440</v>
      </c>
      <c r="J187" s="467">
        <f t="shared" si="79"/>
        <v>0.43898156277436351</v>
      </c>
      <c r="K187" s="443">
        <f t="shared" si="80"/>
        <v>2.5</v>
      </c>
      <c r="M187" s="576" t="e">
        <f t="shared" si="81"/>
        <v>#NUM!</v>
      </c>
      <c r="N187" s="439" t="s">
        <v>321</v>
      </c>
      <c r="O187" s="504" t="e">
        <f>P177</f>
        <v>#VALUE!</v>
      </c>
      <c r="P187" s="469" t="e">
        <f t="shared" si="82"/>
        <v>#VALUE!</v>
      </c>
      <c r="Q187" s="443" t="e">
        <f>($B187-P187)^2/1000</f>
        <v>#VALUE!</v>
      </c>
      <c r="S187" s="576" t="e">
        <f t="shared" si="98"/>
        <v>#NUM!</v>
      </c>
      <c r="T187" s="439" t="s">
        <v>321</v>
      </c>
      <c r="U187" s="504" t="e">
        <f>V177</f>
        <v>#VALUE!</v>
      </c>
      <c r="V187" s="469" t="e">
        <f t="shared" si="84"/>
        <v>#VALUE!</v>
      </c>
      <c r="W187" s="443" t="e">
        <f>($B187-V187)^2/1000</f>
        <v>#VALUE!</v>
      </c>
      <c r="Y187" s="576" t="e">
        <f t="shared" si="99"/>
        <v>#NUM!</v>
      </c>
      <c r="Z187" s="439" t="s">
        <v>321</v>
      </c>
      <c r="AA187" s="504" t="e">
        <f>AB177</f>
        <v>#VALUE!</v>
      </c>
      <c r="AB187" s="469" t="e">
        <f t="shared" si="86"/>
        <v>#VALUE!</v>
      </c>
      <c r="AC187" s="443" t="e">
        <f>($B187-AB187)^2/1000</f>
        <v>#VALUE!</v>
      </c>
      <c r="AE187" s="576" t="e">
        <f t="shared" si="100"/>
        <v>#NUM!</v>
      </c>
      <c r="AF187" s="439" t="s">
        <v>321</v>
      </c>
      <c r="AG187" s="504" t="e">
        <f>AH177</f>
        <v>#VALUE!</v>
      </c>
      <c r="AH187" s="469" t="e">
        <f t="shared" si="88"/>
        <v>#VALUE!</v>
      </c>
      <c r="AI187" s="443" t="e">
        <f>($B187-AH187)^2/1000</f>
        <v>#VALUE!</v>
      </c>
      <c r="AK187" s="576" t="e">
        <f t="shared" si="101"/>
        <v>#NUM!</v>
      </c>
      <c r="AL187" s="439" t="s">
        <v>321</v>
      </c>
      <c r="AM187" s="504" t="e">
        <f>AN177</f>
        <v>#VALUE!</v>
      </c>
      <c r="AN187" s="469" t="e">
        <f t="shared" si="90"/>
        <v>#VALUE!</v>
      </c>
      <c r="AO187" s="443" t="e">
        <f t="shared" si="91"/>
        <v>#VALUE!</v>
      </c>
      <c r="AQ187" s="576" t="e">
        <f t="shared" si="102"/>
        <v>#NUM!</v>
      </c>
      <c r="AR187" s="439" t="s">
        <v>321</v>
      </c>
      <c r="AS187" s="504" t="e">
        <f>AT177</f>
        <v>#VALUE!</v>
      </c>
      <c r="AT187" s="469" t="e">
        <f t="shared" si="92"/>
        <v>#VALUE!</v>
      </c>
      <c r="AU187" s="443" t="e">
        <f>($B187-AT187)^2/1000</f>
        <v>#VALUE!</v>
      </c>
      <c r="AW187" s="576" t="e">
        <f t="shared" si="103"/>
        <v>#NUM!</v>
      </c>
      <c r="AX187" s="439" t="s">
        <v>321</v>
      </c>
      <c r="AY187" s="504" t="e">
        <f>AZ177</f>
        <v>#VALUE!</v>
      </c>
      <c r="AZ187" s="469" t="e">
        <f t="shared" si="94"/>
        <v>#VALUE!</v>
      </c>
      <c r="BA187" s="443" t="e">
        <f>($B187-AZ187)^2/1000</f>
        <v>#VALUE!</v>
      </c>
      <c r="BC187" s="576" t="e">
        <f t="shared" si="104"/>
        <v>#NUM!</v>
      </c>
      <c r="BD187" s="439" t="s">
        <v>321</v>
      </c>
      <c r="BE187" s="504" t="e">
        <f>BF177</f>
        <v>#VALUE!</v>
      </c>
      <c r="BF187" s="469" t="e">
        <f t="shared" si="96"/>
        <v>#VALUE!</v>
      </c>
      <c r="BG187" s="443" t="e">
        <f>($B187-BF187)^2/1000</f>
        <v>#VALUE!</v>
      </c>
    </row>
    <row r="188" spans="1:60" ht="15" customHeight="1" thickBot="1">
      <c r="A188" s="436">
        <f t="shared" si="75"/>
        <v>2016</v>
      </c>
      <c r="B188" s="437">
        <f t="shared" si="75"/>
        <v>11393</v>
      </c>
      <c r="C188" s="580">
        <f t="shared" si="76"/>
        <v>-0.28042330604864135</v>
      </c>
      <c r="D188" s="508">
        <f t="shared" si="105"/>
        <v>11</v>
      </c>
      <c r="E188" s="578" t="s">
        <v>306</v>
      </c>
      <c r="F188" s="583">
        <f>F186*-1</f>
        <v>1.7501871293862215E-2</v>
      </c>
      <c r="H188" s="558"/>
      <c r="I188" s="443">
        <f t="shared" si="78"/>
        <v>11525</v>
      </c>
      <c r="J188" s="467">
        <f t="shared" si="79"/>
        <v>1.1586061616782235</v>
      </c>
      <c r="K188" s="443">
        <f t="shared" si="80"/>
        <v>17.423999999999999</v>
      </c>
      <c r="M188" s="576" t="e">
        <f t="shared" si="81"/>
        <v>#NUM!</v>
      </c>
      <c r="N188" s="439" t="s">
        <v>322</v>
      </c>
      <c r="O188" s="363" t="e">
        <f>SUM(Q178:Q188)</f>
        <v>#VALUE!</v>
      </c>
      <c r="P188" s="469" t="e">
        <f t="shared" si="82"/>
        <v>#VALUE!</v>
      </c>
      <c r="Q188" s="443" t="e">
        <f>($B188-P188)^2/1000</f>
        <v>#VALUE!</v>
      </c>
      <c r="S188" s="584" t="e">
        <f t="shared" si="98"/>
        <v>#NUM!</v>
      </c>
      <c r="T188" s="439" t="s">
        <v>322</v>
      </c>
      <c r="U188" s="363" t="e">
        <f>SUM(W178:W188)</f>
        <v>#VALUE!</v>
      </c>
      <c r="V188" s="469" t="e">
        <f t="shared" si="84"/>
        <v>#VALUE!</v>
      </c>
      <c r="W188" s="443" t="e">
        <f>($B188-V188)^2/1000</f>
        <v>#VALUE!</v>
      </c>
      <c r="Y188" s="584" t="e">
        <f t="shared" si="99"/>
        <v>#NUM!</v>
      </c>
      <c r="Z188" s="439" t="s">
        <v>322</v>
      </c>
      <c r="AA188" s="363" t="e">
        <f>SUM(AC178:AC188)</f>
        <v>#VALUE!</v>
      </c>
      <c r="AB188" s="469" t="e">
        <f t="shared" si="86"/>
        <v>#VALUE!</v>
      </c>
      <c r="AC188" s="443" t="e">
        <f>($B188-AB188)^2/1000</f>
        <v>#VALUE!</v>
      </c>
      <c r="AE188" s="584" t="e">
        <f t="shared" si="100"/>
        <v>#NUM!</v>
      </c>
      <c r="AF188" s="439" t="s">
        <v>322</v>
      </c>
      <c r="AG188" s="363" t="e">
        <f>SUM(AI178:AI188)</f>
        <v>#VALUE!</v>
      </c>
      <c r="AH188" s="469" t="e">
        <f t="shared" si="88"/>
        <v>#VALUE!</v>
      </c>
      <c r="AI188" s="443" t="e">
        <f>($B188-AH188)^2/1000</f>
        <v>#VALUE!</v>
      </c>
      <c r="AK188" s="584" t="e">
        <f t="shared" si="101"/>
        <v>#NUM!</v>
      </c>
      <c r="AL188" s="439" t="s">
        <v>322</v>
      </c>
      <c r="AM188" s="363" t="e">
        <f>SUM(AO178:AO188)</f>
        <v>#VALUE!</v>
      </c>
      <c r="AN188" s="469" t="e">
        <f t="shared" si="90"/>
        <v>#VALUE!</v>
      </c>
      <c r="AO188" s="443" t="e">
        <f>($B188-AN188)^2/1000</f>
        <v>#VALUE!</v>
      </c>
      <c r="AQ188" s="584" t="e">
        <f t="shared" si="102"/>
        <v>#NUM!</v>
      </c>
      <c r="AR188" s="439" t="s">
        <v>322</v>
      </c>
      <c r="AS188" s="363" t="e">
        <f>SUM(AU178:AU188)</f>
        <v>#VALUE!</v>
      </c>
      <c r="AT188" s="469" t="e">
        <f t="shared" si="92"/>
        <v>#VALUE!</v>
      </c>
      <c r="AU188" s="443" t="e">
        <f>($B188-AT188)^2/1000</f>
        <v>#VALUE!</v>
      </c>
      <c r="AW188" s="584" t="e">
        <f t="shared" si="103"/>
        <v>#NUM!</v>
      </c>
      <c r="AX188" s="439" t="s">
        <v>322</v>
      </c>
      <c r="AY188" s="363" t="e">
        <f>SUM(BA178:BA188)</f>
        <v>#VALUE!</v>
      </c>
      <c r="AZ188" s="469" t="e">
        <f t="shared" si="94"/>
        <v>#VALUE!</v>
      </c>
      <c r="BA188" s="443" t="e">
        <f>($B188-AZ188)^2/1000</f>
        <v>#VALUE!</v>
      </c>
      <c r="BC188" s="584" t="e">
        <f t="shared" si="104"/>
        <v>#NUM!</v>
      </c>
      <c r="BD188" s="439" t="s">
        <v>322</v>
      </c>
      <c r="BE188" s="363" t="e">
        <f>SUM(BG178:BG188)</f>
        <v>#VALUE!</v>
      </c>
      <c r="BF188" s="469" t="e">
        <f t="shared" si="96"/>
        <v>#VALUE!</v>
      </c>
      <c r="BG188" s="443" t="e">
        <f>($B188-BF188)^2/1000</f>
        <v>#VALUE!</v>
      </c>
    </row>
    <row r="189" spans="1:60" ht="15" customHeight="1" thickTop="1">
      <c r="A189" s="511">
        <f t="shared" si="75"/>
        <v>2017</v>
      </c>
      <c r="B189" s="459">
        <f t="shared" si="75"/>
        <v>11419</v>
      </c>
      <c r="C189" s="585"/>
      <c r="D189" s="513">
        <f t="shared" si="105"/>
        <v>12</v>
      </c>
      <c r="E189" s="462"/>
      <c r="F189" s="461"/>
      <c r="G189" s="461"/>
      <c r="H189" s="586"/>
      <c r="I189" s="464">
        <f t="shared" si="78"/>
        <v>11611</v>
      </c>
      <c r="J189" s="463"/>
      <c r="K189" s="464"/>
      <c r="M189" s="587"/>
      <c r="N189" s="461"/>
      <c r="O189" s="461"/>
      <c r="P189" s="588"/>
      <c r="Q189" s="589"/>
      <c r="S189" s="587"/>
      <c r="T189" s="461"/>
      <c r="U189" s="461"/>
      <c r="V189" s="588"/>
      <c r="W189" s="589"/>
      <c r="Y189" s="587"/>
      <c r="Z189" s="461"/>
      <c r="AA189" s="461"/>
      <c r="AB189" s="588"/>
      <c r="AC189" s="589"/>
      <c r="AE189" s="587"/>
      <c r="AF189" s="461"/>
      <c r="AG189" s="461"/>
      <c r="AH189" s="588"/>
      <c r="AI189" s="589"/>
      <c r="AK189" s="587"/>
      <c r="AL189" s="461"/>
      <c r="AM189" s="461"/>
      <c r="AN189" s="588"/>
      <c r="AO189" s="589"/>
      <c r="AQ189" s="587"/>
      <c r="AR189" s="461"/>
      <c r="AS189" s="461"/>
      <c r="AT189" s="588"/>
      <c r="AU189" s="589"/>
      <c r="AW189" s="587"/>
      <c r="AX189" s="461"/>
      <c r="AY189" s="461"/>
      <c r="AZ189" s="588"/>
      <c r="BA189" s="589"/>
      <c r="BC189" s="587"/>
      <c r="BD189" s="461"/>
      <c r="BE189" s="461"/>
      <c r="BF189" s="588"/>
      <c r="BG189" s="589"/>
    </row>
    <row r="190" spans="1:60" ht="15" customHeight="1">
      <c r="A190" s="436">
        <f>A154</f>
        <v>2018</v>
      </c>
      <c r="B190" s="437">
        <f t="shared" ref="B190:B210" si="106">ROUND(F$182/(1+EXP(F$187+F$186*D190)),$G$1)</f>
        <v>11696</v>
      </c>
      <c r="C190" s="580"/>
      <c r="D190" s="508">
        <f t="shared" si="105"/>
        <v>13</v>
      </c>
      <c r="E190" s="2318" t="s">
        <v>276</v>
      </c>
      <c r="F190" s="2320"/>
      <c r="G190" s="447">
        <f>I177</f>
        <v>0.73141876910162251</v>
      </c>
      <c r="H190" s="558"/>
      <c r="I190" s="443">
        <f t="shared" si="78"/>
        <v>11696</v>
      </c>
      <c r="J190" s="467"/>
      <c r="K190" s="443"/>
      <c r="M190" s="590"/>
      <c r="N190" s="451"/>
      <c r="O190" s="451"/>
      <c r="P190" s="493"/>
      <c r="Q190" s="492"/>
      <c r="S190" s="590"/>
      <c r="T190" s="451"/>
      <c r="U190" s="451"/>
      <c r="V190" s="493"/>
      <c r="W190" s="492"/>
      <c r="Y190" s="590"/>
      <c r="Z190" s="451"/>
      <c r="AA190" s="451"/>
      <c r="AB190" s="493"/>
      <c r="AC190" s="492"/>
      <c r="AE190" s="590"/>
      <c r="AF190" s="451"/>
      <c r="AG190" s="451"/>
      <c r="AH190" s="493"/>
      <c r="AI190" s="492"/>
      <c r="AK190" s="590"/>
      <c r="AL190" s="451"/>
      <c r="AM190" s="451"/>
      <c r="AN190" s="493"/>
      <c r="AO190" s="492"/>
      <c r="AQ190" s="590"/>
      <c r="AR190" s="451"/>
      <c r="AS190" s="451"/>
      <c r="AT190" s="493"/>
      <c r="AU190" s="492"/>
      <c r="AW190" s="590"/>
      <c r="AX190" s="451"/>
      <c r="AY190" s="451"/>
      <c r="AZ190" s="493"/>
      <c r="BA190" s="492"/>
      <c r="BC190" s="590"/>
      <c r="BD190" s="451"/>
      <c r="BE190" s="451"/>
      <c r="BF190" s="493"/>
      <c r="BG190" s="492"/>
    </row>
    <row r="191" spans="1:60" ht="15" customHeight="1">
      <c r="A191" s="436">
        <f>A155</f>
        <v>2019</v>
      </c>
      <c r="B191" s="437">
        <f t="shared" si="106"/>
        <v>11781</v>
      </c>
      <c r="C191" s="580"/>
      <c r="D191" s="508">
        <f t="shared" si="105"/>
        <v>14</v>
      </c>
      <c r="E191" s="2318" t="s">
        <v>323</v>
      </c>
      <c r="F191" s="2320"/>
      <c r="G191" s="448">
        <f>SUM(K178:K188)</f>
        <v>302.43799999999993</v>
      </c>
      <c r="H191" s="558"/>
      <c r="I191" s="443">
        <f t="shared" si="78"/>
        <v>11781</v>
      </c>
      <c r="J191" s="467"/>
      <c r="K191" s="443"/>
      <c r="M191" s="505" t="str">
        <f>E183</f>
        <v>max(y) =</v>
      </c>
      <c r="N191" s="505">
        <f>F183</f>
        <v>11441</v>
      </c>
      <c r="O191" s="505"/>
      <c r="P191" s="505"/>
      <c r="Q191" s="505"/>
      <c r="R191" s="505"/>
      <c r="S191" s="505" t="str">
        <f>M191</f>
        <v>max(y) =</v>
      </c>
      <c r="T191" s="505">
        <f>N191</f>
        <v>11441</v>
      </c>
      <c r="U191" s="505"/>
      <c r="V191" s="505"/>
      <c r="W191" s="505"/>
      <c r="X191" s="505"/>
      <c r="Y191" s="505" t="str">
        <f>S191</f>
        <v>max(y) =</v>
      </c>
      <c r="Z191" s="505">
        <f>T191</f>
        <v>11441</v>
      </c>
      <c r="AA191" s="505"/>
      <c r="AB191" s="505"/>
      <c r="AC191" s="505"/>
      <c r="AD191" s="505"/>
      <c r="AE191" s="505" t="str">
        <f>Y191</f>
        <v>max(y) =</v>
      </c>
      <c r="AF191" s="505">
        <f>Z191</f>
        <v>11441</v>
      </c>
      <c r="AG191" s="505"/>
      <c r="AH191" s="505"/>
      <c r="AI191" s="505"/>
      <c r="AJ191" s="505"/>
      <c r="AK191" s="505" t="str">
        <f>AE191</f>
        <v>max(y) =</v>
      </c>
      <c r="AL191" s="505">
        <f>AF191</f>
        <v>11441</v>
      </c>
      <c r="AM191" s="505"/>
      <c r="AN191" s="505"/>
      <c r="AO191" s="505"/>
      <c r="AP191" s="505"/>
      <c r="AQ191" s="505" t="str">
        <f>AK191</f>
        <v>max(y) =</v>
      </c>
      <c r="AR191" s="505">
        <f>AL191</f>
        <v>11441</v>
      </c>
      <c r="AS191" s="505"/>
      <c r="AT191" s="505"/>
      <c r="AU191" s="505"/>
      <c r="AV191" s="505"/>
      <c r="AW191" s="505" t="str">
        <f>AQ191</f>
        <v>max(y) =</v>
      </c>
      <c r="AX191" s="505">
        <f>AR191</f>
        <v>11441</v>
      </c>
      <c r="AY191" s="505"/>
      <c r="AZ191" s="505"/>
      <c r="BA191" s="505"/>
      <c r="BB191" s="505"/>
      <c r="BC191" s="505" t="str">
        <f>AW191</f>
        <v>max(y) =</v>
      </c>
      <c r="BD191" s="505">
        <f>AX191</f>
        <v>11441</v>
      </c>
      <c r="BE191" s="505"/>
      <c r="BF191" s="505"/>
      <c r="BG191" s="505"/>
      <c r="BH191" s="505"/>
    </row>
    <row r="192" spans="1:60" ht="15" customHeight="1">
      <c r="A192" s="436">
        <f>A156</f>
        <v>2020</v>
      </c>
      <c r="B192" s="437">
        <f t="shared" si="106"/>
        <v>11865</v>
      </c>
      <c r="C192" s="580"/>
      <c r="D192" s="508">
        <f t="shared" si="105"/>
        <v>15</v>
      </c>
      <c r="E192" s="2318" t="s">
        <v>324</v>
      </c>
      <c r="F192" s="2320"/>
      <c r="G192" s="449">
        <f>SUM(J178:J188)/D199</f>
        <v>0.60683937737817895</v>
      </c>
      <c r="H192" s="558"/>
      <c r="I192" s="443">
        <f t="shared" si="78"/>
        <v>11865</v>
      </c>
      <c r="J192" s="467"/>
      <c r="K192" s="443"/>
      <c r="M192" s="505" t="s">
        <v>326</v>
      </c>
      <c r="N192" s="505">
        <v>3</v>
      </c>
      <c r="O192" s="505"/>
      <c r="P192" s="505"/>
      <c r="Q192" s="505"/>
      <c r="R192" s="505"/>
      <c r="S192" s="505" t="s">
        <v>326</v>
      </c>
      <c r="T192" s="505">
        <f>N192</f>
        <v>3</v>
      </c>
      <c r="U192" s="505"/>
      <c r="V192" s="505"/>
      <c r="W192" s="505"/>
      <c r="X192" s="505"/>
      <c r="Y192" s="505" t="s">
        <v>326</v>
      </c>
      <c r="Z192" s="505">
        <f>T192</f>
        <v>3</v>
      </c>
      <c r="AA192" s="505"/>
      <c r="AB192" s="505"/>
      <c r="AC192" s="505"/>
      <c r="AD192" s="505"/>
      <c r="AE192" s="505" t="s">
        <v>326</v>
      </c>
      <c r="AF192" s="505">
        <f>Z192</f>
        <v>3</v>
      </c>
      <c r="AG192" s="505"/>
      <c r="AH192" s="505"/>
      <c r="AI192" s="505"/>
      <c r="AJ192" s="505"/>
      <c r="AK192" s="505" t="s">
        <v>326</v>
      </c>
      <c r="AL192" s="505">
        <f>AF192</f>
        <v>3</v>
      </c>
      <c r="AM192" s="505"/>
      <c r="AN192" s="505"/>
      <c r="AO192" s="505"/>
      <c r="AP192" s="505"/>
      <c r="AQ192" s="505" t="s">
        <v>326</v>
      </c>
      <c r="AR192" s="505">
        <f>AL192</f>
        <v>3</v>
      </c>
      <c r="AS192" s="505"/>
      <c r="AT192" s="505"/>
      <c r="AU192" s="505"/>
      <c r="AV192" s="505"/>
      <c r="AW192" s="505" t="s">
        <v>326</v>
      </c>
      <c r="AX192" s="505">
        <f>AR192</f>
        <v>3</v>
      </c>
      <c r="AY192" s="505"/>
      <c r="AZ192" s="505"/>
      <c r="BA192" s="505"/>
      <c r="BB192" s="505"/>
      <c r="BC192" s="505" t="s">
        <v>326</v>
      </c>
      <c r="BD192" s="505">
        <f>AX192</f>
        <v>3</v>
      </c>
      <c r="BE192" s="505"/>
      <c r="BF192" s="505"/>
      <c r="BG192" s="505"/>
      <c r="BH192" s="505"/>
    </row>
    <row r="193" spans="1:70" ht="15" customHeight="1">
      <c r="A193" s="436">
        <f>A157</f>
        <v>2021</v>
      </c>
      <c r="B193" s="437">
        <f t="shared" si="106"/>
        <v>11950</v>
      </c>
      <c r="C193" s="580"/>
      <c r="D193" s="508">
        <f t="shared" si="105"/>
        <v>16</v>
      </c>
      <c r="H193" s="558"/>
      <c r="I193" s="443">
        <f t="shared" si="78"/>
        <v>11950</v>
      </c>
      <c r="J193" s="467"/>
      <c r="K193" s="443"/>
      <c r="M193" s="505" t="s">
        <v>343</v>
      </c>
      <c r="N193" s="559">
        <v>100000</v>
      </c>
      <c r="O193" s="505"/>
      <c r="P193" s="505"/>
      <c r="Q193" s="505"/>
      <c r="R193" s="505"/>
      <c r="S193" s="505" t="s">
        <v>343</v>
      </c>
      <c r="T193" s="505">
        <f>N193</f>
        <v>100000</v>
      </c>
      <c r="U193" s="505"/>
      <c r="V193" s="505"/>
      <c r="W193" s="505"/>
      <c r="X193" s="505"/>
      <c r="Y193" s="505" t="s">
        <v>343</v>
      </c>
      <c r="Z193" s="505">
        <f>T193</f>
        <v>100000</v>
      </c>
      <c r="AA193" s="505"/>
      <c r="AB193" s="505"/>
      <c r="AC193" s="505"/>
      <c r="AD193" s="505"/>
      <c r="AE193" s="505" t="s">
        <v>343</v>
      </c>
      <c r="AF193" s="505">
        <f>Z193</f>
        <v>100000</v>
      </c>
      <c r="AG193" s="505"/>
      <c r="AH193" s="505"/>
      <c r="AI193" s="505"/>
      <c r="AJ193" s="505"/>
      <c r="AK193" s="505" t="s">
        <v>343</v>
      </c>
      <c r="AL193" s="505">
        <f>AF193</f>
        <v>100000</v>
      </c>
      <c r="AM193" s="505"/>
      <c r="AN193" s="505"/>
      <c r="AO193" s="505"/>
      <c r="AP193" s="505"/>
      <c r="AQ193" s="505" t="s">
        <v>343</v>
      </c>
      <c r="AR193" s="505">
        <f>AL193</f>
        <v>100000</v>
      </c>
      <c r="AS193" s="505"/>
      <c r="AT193" s="505"/>
      <c r="AU193" s="505"/>
      <c r="AV193" s="505"/>
      <c r="AW193" s="505" t="s">
        <v>343</v>
      </c>
      <c r="AX193" s="505">
        <f>AR193</f>
        <v>100000</v>
      </c>
      <c r="AY193" s="505"/>
      <c r="AZ193" s="505"/>
      <c r="BA193" s="505"/>
      <c r="BB193" s="505"/>
      <c r="BC193" s="505" t="s">
        <v>343</v>
      </c>
      <c r="BD193" s="505">
        <f>AX193</f>
        <v>100000</v>
      </c>
      <c r="BE193" s="505"/>
      <c r="BF193" s="505"/>
      <c r="BG193" s="505"/>
      <c r="BH193" s="505"/>
    </row>
    <row r="194" spans="1:70" ht="15" customHeight="1">
      <c r="A194" s="436">
        <f>A158</f>
        <v>2022</v>
      </c>
      <c r="B194" s="437">
        <f t="shared" si="106"/>
        <v>12034</v>
      </c>
      <c r="C194" s="580"/>
      <c r="D194" s="508">
        <f t="shared" si="105"/>
        <v>17</v>
      </c>
      <c r="E194" s="451"/>
      <c r="F194" s="451"/>
      <c r="G194" s="451"/>
      <c r="H194" s="558"/>
      <c r="I194" s="443">
        <f t="shared" si="78"/>
        <v>12034</v>
      </c>
      <c r="J194" s="467"/>
      <c r="K194" s="443"/>
      <c r="M194" s="590"/>
      <c r="N194" s="451"/>
      <c r="O194" s="451"/>
      <c r="P194" s="493"/>
      <c r="Q194" s="492"/>
      <c r="S194" s="590"/>
      <c r="T194" s="451"/>
      <c r="U194" s="451"/>
      <c r="V194" s="493"/>
      <c r="W194" s="492"/>
      <c r="Y194" s="590"/>
      <c r="Z194" s="451"/>
      <c r="AA194" s="451"/>
      <c r="AB194" s="493"/>
      <c r="AC194" s="492"/>
      <c r="AE194" s="590"/>
      <c r="AF194" s="451"/>
      <c r="AG194" s="451"/>
      <c r="AH194" s="493"/>
      <c r="AI194" s="492"/>
      <c r="AK194" s="590"/>
      <c r="AL194" s="451"/>
      <c r="AM194" s="451"/>
      <c r="AN194" s="493"/>
      <c r="AO194" s="492"/>
      <c r="AQ194" s="590"/>
      <c r="AR194" s="451"/>
      <c r="AS194" s="451"/>
      <c r="AT194" s="493"/>
      <c r="AU194" s="492"/>
      <c r="AW194" s="590"/>
      <c r="AX194" s="451"/>
      <c r="AY194" s="451"/>
      <c r="AZ194" s="493"/>
      <c r="BA194" s="492"/>
      <c r="BC194" s="590"/>
      <c r="BD194" s="451"/>
      <c r="BE194" s="451"/>
      <c r="BF194" s="493"/>
      <c r="BG194" s="492"/>
    </row>
    <row r="195" spans="1:70" ht="15" customHeight="1">
      <c r="A195" s="436">
        <f t="shared" ref="A195:A210" si="107">A159</f>
        <v>2023</v>
      </c>
      <c r="B195" s="437">
        <f t="shared" si="106"/>
        <v>12117</v>
      </c>
      <c r="C195" s="580"/>
      <c r="D195" s="508">
        <f t="shared" si="105"/>
        <v>18</v>
      </c>
      <c r="E195" s="451"/>
      <c r="F195" s="451"/>
      <c r="G195" s="451"/>
      <c r="H195" s="558"/>
      <c r="I195" s="443">
        <f t="shared" si="78"/>
        <v>12117</v>
      </c>
      <c r="J195" s="467"/>
      <c r="K195" s="443"/>
      <c r="M195" s="590"/>
      <c r="N195" s="451"/>
      <c r="O195" s="451"/>
      <c r="P195" s="493"/>
      <c r="Q195" s="492"/>
      <c r="S195" s="590"/>
      <c r="T195" s="451"/>
      <c r="U195" s="451"/>
      <c r="V195" s="493"/>
      <c r="W195" s="492"/>
      <c r="Y195" s="590"/>
      <c r="Z195" s="451"/>
      <c r="AA195" s="451"/>
      <c r="AB195" s="493"/>
      <c r="AC195" s="492"/>
      <c r="AE195" s="590"/>
      <c r="AF195" s="451"/>
      <c r="AG195" s="451"/>
      <c r="AH195" s="493"/>
      <c r="AI195" s="492"/>
      <c r="AK195" s="590"/>
      <c r="AL195" s="451"/>
      <c r="AM195" s="451"/>
      <c r="AN195" s="493"/>
      <c r="AO195" s="492"/>
      <c r="AQ195" s="590"/>
      <c r="AR195" s="451"/>
      <c r="AS195" s="451"/>
      <c r="AT195" s="493"/>
      <c r="AU195" s="492"/>
      <c r="AW195" s="590"/>
      <c r="AX195" s="451"/>
      <c r="AY195" s="451"/>
      <c r="AZ195" s="493"/>
      <c r="BA195" s="492"/>
      <c r="BC195" s="590"/>
      <c r="BD195" s="451"/>
      <c r="BE195" s="451"/>
      <c r="BF195" s="493"/>
      <c r="BG195" s="492"/>
    </row>
    <row r="196" spans="1:70" s="451" customFormat="1" ht="15" customHeight="1">
      <c r="A196" s="436">
        <f t="shared" si="107"/>
        <v>2024</v>
      </c>
      <c r="B196" s="437">
        <f t="shared" si="106"/>
        <v>12201</v>
      </c>
      <c r="C196" s="580"/>
      <c r="D196" s="508">
        <f t="shared" si="105"/>
        <v>19</v>
      </c>
      <c r="H196" s="558"/>
      <c r="I196" s="443">
        <f t="shared" si="78"/>
        <v>12201</v>
      </c>
      <c r="J196" s="467"/>
      <c r="K196" s="443"/>
      <c r="M196" s="590"/>
      <c r="P196" s="493"/>
      <c r="Q196" s="492"/>
      <c r="S196" s="590"/>
      <c r="V196" s="493"/>
      <c r="W196" s="492"/>
      <c r="Y196" s="590"/>
      <c r="AB196" s="493"/>
      <c r="AC196" s="492"/>
      <c r="AE196" s="590"/>
      <c r="AH196" s="493"/>
      <c r="AI196" s="492"/>
      <c r="AK196" s="590"/>
      <c r="AN196" s="493"/>
      <c r="AO196" s="492"/>
      <c r="AQ196" s="590"/>
      <c r="AT196" s="493"/>
      <c r="AU196" s="492"/>
      <c r="AW196" s="590"/>
      <c r="AZ196" s="493"/>
      <c r="BA196" s="492"/>
      <c r="BC196" s="590"/>
      <c r="BF196" s="493"/>
      <c r="BG196" s="492"/>
    </row>
    <row r="197" spans="1:70" ht="15" customHeight="1">
      <c r="A197" s="436">
        <f t="shared" si="107"/>
        <v>2025</v>
      </c>
      <c r="B197" s="437">
        <f t="shared" si="106"/>
        <v>12284</v>
      </c>
      <c r="C197" s="580"/>
      <c r="D197" s="508">
        <f t="shared" si="105"/>
        <v>20</v>
      </c>
      <c r="E197" s="519"/>
      <c r="F197" s="451"/>
      <c r="G197" s="451"/>
      <c r="H197" s="558"/>
      <c r="I197" s="443">
        <f t="shared" si="78"/>
        <v>12284</v>
      </c>
      <c r="J197" s="467"/>
      <c r="K197" s="443"/>
      <c r="M197" s="590"/>
      <c r="N197" s="451"/>
      <c r="O197" s="451"/>
      <c r="P197" s="493"/>
      <c r="Q197" s="492"/>
      <c r="S197" s="590"/>
      <c r="T197" s="451"/>
      <c r="U197" s="451"/>
      <c r="V197" s="493"/>
      <c r="W197" s="492"/>
      <c r="Y197" s="590"/>
      <c r="Z197" s="451"/>
      <c r="AA197" s="451"/>
      <c r="AB197" s="493"/>
      <c r="AC197" s="492"/>
      <c r="AE197" s="590"/>
      <c r="AF197" s="451"/>
      <c r="AG197" s="451"/>
      <c r="AH197" s="493"/>
      <c r="AI197" s="492"/>
      <c r="AK197" s="590"/>
      <c r="AL197" s="451"/>
      <c r="AM197" s="451"/>
      <c r="AN197" s="493"/>
      <c r="AO197" s="492"/>
      <c r="AQ197" s="590"/>
      <c r="AR197" s="451"/>
      <c r="AS197" s="451"/>
      <c r="AT197" s="493"/>
      <c r="AU197" s="492"/>
      <c r="AW197" s="590"/>
      <c r="AX197" s="451"/>
      <c r="AY197" s="451"/>
      <c r="AZ197" s="493"/>
      <c r="BA197" s="492"/>
      <c r="BC197" s="590"/>
      <c r="BD197" s="451"/>
      <c r="BE197" s="451"/>
      <c r="BF197" s="493"/>
      <c r="BG197" s="492"/>
      <c r="BI197" s="590"/>
      <c r="BJ197" s="451"/>
      <c r="BK197" s="451"/>
      <c r="BL197" s="493"/>
      <c r="BM197" s="492"/>
    </row>
    <row r="198" spans="1:70" s="451" customFormat="1" ht="15" customHeight="1">
      <c r="A198" s="436">
        <f t="shared" si="107"/>
        <v>2026</v>
      </c>
      <c r="B198" s="437">
        <f t="shared" si="106"/>
        <v>12367</v>
      </c>
      <c r="C198" s="580"/>
      <c r="D198" s="508">
        <f t="shared" si="105"/>
        <v>21</v>
      </c>
      <c r="E198" s="519"/>
      <c r="H198" s="591"/>
      <c r="I198" s="443">
        <f t="shared" si="78"/>
        <v>12367</v>
      </c>
      <c r="J198" s="467"/>
      <c r="K198" s="443"/>
      <c r="M198" s="590"/>
      <c r="P198" s="493"/>
      <c r="Q198" s="492"/>
      <c r="S198" s="590"/>
      <c r="V198" s="493"/>
      <c r="W198" s="492"/>
      <c r="Y198" s="590"/>
      <c r="AB198" s="493"/>
      <c r="AC198" s="492"/>
      <c r="AE198" s="590"/>
      <c r="AH198" s="493"/>
      <c r="AI198" s="492"/>
      <c r="AK198" s="590"/>
      <c r="AN198" s="493"/>
      <c r="AO198" s="492"/>
      <c r="AQ198" s="590"/>
      <c r="AT198" s="493"/>
      <c r="AU198" s="492"/>
      <c r="AW198" s="590"/>
      <c r="AZ198" s="493"/>
      <c r="BA198" s="492"/>
      <c r="BC198" s="590"/>
      <c r="BF198" s="493"/>
      <c r="BG198" s="492"/>
      <c r="BI198" s="590"/>
      <c r="BL198" s="493"/>
      <c r="BM198" s="492"/>
    </row>
    <row r="199" spans="1:70" s="451" customFormat="1" ht="15" customHeight="1" thickBot="1">
      <c r="A199" s="436">
        <f t="shared" si="107"/>
        <v>2027</v>
      </c>
      <c r="B199" s="437">
        <f t="shared" si="106"/>
        <v>12449</v>
      </c>
      <c r="C199" s="580"/>
      <c r="D199" s="508">
        <f t="shared" si="105"/>
        <v>22</v>
      </c>
      <c r="E199" s="560" t="s">
        <v>344</v>
      </c>
      <c r="F199" s="561" t="s">
        <v>332</v>
      </c>
      <c r="G199" s="561" t="s">
        <v>294</v>
      </c>
      <c r="H199" s="591"/>
      <c r="I199" s="443">
        <f t="shared" si="78"/>
        <v>12449</v>
      </c>
      <c r="J199" s="467"/>
      <c r="K199" s="443"/>
      <c r="M199" s="590"/>
      <c r="P199" s="493"/>
      <c r="Q199" s="492"/>
      <c r="S199" s="590"/>
      <c r="V199" s="493"/>
      <c r="W199" s="492"/>
      <c r="Y199" s="590"/>
      <c r="AB199" s="493"/>
      <c r="AC199" s="492"/>
      <c r="AE199" s="590"/>
      <c r="AH199" s="493"/>
      <c r="AI199" s="492"/>
      <c r="AK199" s="590"/>
      <c r="AN199" s="493"/>
      <c r="AO199" s="492"/>
      <c r="AQ199" s="590"/>
      <c r="AT199" s="493"/>
      <c r="AU199" s="492"/>
      <c r="AW199" s="590"/>
      <c r="AZ199" s="493"/>
      <c r="BA199" s="492"/>
      <c r="BC199" s="590"/>
      <c r="BF199" s="493"/>
      <c r="BG199" s="492"/>
      <c r="BI199" s="590"/>
      <c r="BL199" s="493"/>
      <c r="BM199" s="492"/>
    </row>
    <row r="200" spans="1:70" ht="15" customHeight="1" thickTop="1">
      <c r="A200" s="436">
        <f t="shared" si="107"/>
        <v>2028</v>
      </c>
      <c r="B200" s="437">
        <f t="shared" si="106"/>
        <v>12531</v>
      </c>
      <c r="C200" s="520"/>
      <c r="D200" s="508">
        <f t="shared" si="105"/>
        <v>23</v>
      </c>
      <c r="E200" s="592">
        <v>10000</v>
      </c>
      <c r="F200" s="563">
        <f>IFERROR(O187,0)</f>
        <v>0</v>
      </c>
      <c r="G200" s="564" t="e">
        <f>O188</f>
        <v>#VALUE!</v>
      </c>
      <c r="H200" s="591"/>
      <c r="I200" s="443">
        <f t="shared" si="78"/>
        <v>12531</v>
      </c>
      <c r="J200" s="469"/>
      <c r="K200" s="469"/>
      <c r="L200" s="326">
        <f>RANK(F200,$F$200:$F$207)</f>
        <v>1</v>
      </c>
      <c r="N200" s="326">
        <f>INDEX(E200:L207,MATCH(1,L200:L207,0),1)</f>
        <v>10000</v>
      </c>
    </row>
    <row r="201" spans="1:70" ht="15" customHeight="1">
      <c r="A201" s="436">
        <f t="shared" si="107"/>
        <v>2029</v>
      </c>
      <c r="B201" s="437">
        <f t="shared" si="106"/>
        <v>12613</v>
      </c>
      <c r="C201" s="520"/>
      <c r="D201" s="508">
        <f t="shared" si="105"/>
        <v>24</v>
      </c>
      <c r="E201" s="593">
        <v>10100</v>
      </c>
      <c r="F201" s="565">
        <f>IFERROR(V177,0)</f>
        <v>0</v>
      </c>
      <c r="G201" s="564" t="e">
        <f>U188</f>
        <v>#VALUE!</v>
      </c>
      <c r="H201" s="591"/>
      <c r="I201" s="443">
        <f t="shared" si="78"/>
        <v>12613</v>
      </c>
      <c r="J201" s="469"/>
      <c r="K201" s="469"/>
      <c r="L201" s="326">
        <f t="shared" ref="L201:L207" si="108">RANK(F201,$F$200:$F$207)</f>
        <v>1</v>
      </c>
    </row>
    <row r="202" spans="1:70" ht="15" customHeight="1">
      <c r="A202" s="436">
        <f t="shared" si="107"/>
        <v>2030</v>
      </c>
      <c r="B202" s="437">
        <f t="shared" si="106"/>
        <v>12694</v>
      </c>
      <c r="C202" s="520"/>
      <c r="D202" s="508">
        <f t="shared" si="105"/>
        <v>25</v>
      </c>
      <c r="E202" s="593">
        <v>10200</v>
      </c>
      <c r="F202" s="565">
        <f>IFERROR(AB177,0)</f>
        <v>0</v>
      </c>
      <c r="G202" s="564" t="e">
        <f>AA188</f>
        <v>#VALUE!</v>
      </c>
      <c r="H202" s="591"/>
      <c r="I202" s="443">
        <f t="shared" si="78"/>
        <v>12694</v>
      </c>
      <c r="J202" s="469"/>
      <c r="K202" s="469"/>
      <c r="L202" s="326">
        <f t="shared" si="108"/>
        <v>1</v>
      </c>
      <c r="BK202" s="505"/>
      <c r="BL202" s="505"/>
      <c r="BM202" s="505"/>
      <c r="BN202" s="505"/>
      <c r="BO202" s="505"/>
      <c r="BP202" s="505"/>
      <c r="BQ202" s="505"/>
      <c r="BR202" s="505"/>
    </row>
    <row r="203" spans="1:70" ht="15" customHeight="1">
      <c r="A203" s="436">
        <f t="shared" si="107"/>
        <v>2031</v>
      </c>
      <c r="B203" s="437">
        <f t="shared" si="106"/>
        <v>12775</v>
      </c>
      <c r="C203" s="520"/>
      <c r="D203" s="508">
        <f t="shared" si="105"/>
        <v>26</v>
      </c>
      <c r="E203" s="593">
        <v>10300</v>
      </c>
      <c r="F203" s="565">
        <f>IFERROR(AH177,0)</f>
        <v>0</v>
      </c>
      <c r="G203" s="564" t="e">
        <f>AG188</f>
        <v>#VALUE!</v>
      </c>
      <c r="H203" s="591"/>
      <c r="I203" s="443">
        <f t="shared" si="78"/>
        <v>12775</v>
      </c>
      <c r="J203" s="469"/>
      <c r="K203" s="469"/>
      <c r="L203" s="326">
        <f t="shared" si="108"/>
        <v>1</v>
      </c>
    </row>
    <row r="204" spans="1:70" ht="15" customHeight="1">
      <c r="A204" s="436">
        <f t="shared" si="107"/>
        <v>2032</v>
      </c>
      <c r="B204" s="437">
        <f t="shared" si="106"/>
        <v>12856</v>
      </c>
      <c r="C204" s="520"/>
      <c r="D204" s="508">
        <f t="shared" si="105"/>
        <v>27</v>
      </c>
      <c r="E204" s="593">
        <v>10400</v>
      </c>
      <c r="F204" s="565">
        <f>IFERROR(AN177,0)</f>
        <v>0</v>
      </c>
      <c r="G204" s="564" t="e">
        <f>AM188</f>
        <v>#VALUE!</v>
      </c>
      <c r="H204" s="591"/>
      <c r="I204" s="443">
        <f t="shared" si="78"/>
        <v>12856</v>
      </c>
      <c r="J204" s="469"/>
      <c r="K204" s="469"/>
      <c r="L204" s="326">
        <f t="shared" si="108"/>
        <v>1</v>
      </c>
    </row>
    <row r="205" spans="1:70" ht="15" customHeight="1">
      <c r="A205" s="436">
        <f t="shared" si="107"/>
        <v>2033</v>
      </c>
      <c r="B205" s="437">
        <f t="shared" si="106"/>
        <v>12936</v>
      </c>
      <c r="C205" s="520"/>
      <c r="D205" s="508">
        <f t="shared" si="105"/>
        <v>28</v>
      </c>
      <c r="E205" s="593">
        <v>10500</v>
      </c>
      <c r="F205" s="565">
        <f>IFERROR(AT177,0)</f>
        <v>0</v>
      </c>
      <c r="G205" s="564" t="e">
        <f>AS188</f>
        <v>#VALUE!</v>
      </c>
      <c r="H205" s="591"/>
      <c r="I205" s="443">
        <f t="shared" si="78"/>
        <v>12936</v>
      </c>
      <c r="J205" s="469"/>
      <c r="K205" s="469"/>
      <c r="L205" s="326">
        <f t="shared" si="108"/>
        <v>1</v>
      </c>
    </row>
    <row r="206" spans="1:70" ht="15" customHeight="1">
      <c r="A206" s="436">
        <f t="shared" si="107"/>
        <v>2034</v>
      </c>
      <c r="B206" s="437">
        <f t="shared" si="106"/>
        <v>13016</v>
      </c>
      <c r="C206" s="520"/>
      <c r="D206" s="508">
        <f t="shared" si="105"/>
        <v>29</v>
      </c>
      <c r="E206" s="593">
        <v>10450</v>
      </c>
      <c r="F206" s="565">
        <f>IFERROR(AZ177,0)</f>
        <v>0</v>
      </c>
      <c r="G206" s="594" t="e">
        <f>AY188</f>
        <v>#VALUE!</v>
      </c>
      <c r="H206" s="591"/>
      <c r="I206" s="443">
        <f t="shared" si="78"/>
        <v>13016</v>
      </c>
      <c r="J206" s="469"/>
      <c r="K206" s="469"/>
      <c r="L206" s="326">
        <f t="shared" si="108"/>
        <v>1</v>
      </c>
    </row>
    <row r="207" spans="1:70" ht="15" customHeight="1">
      <c r="A207" s="522">
        <f t="shared" si="107"/>
        <v>2035</v>
      </c>
      <c r="B207" s="523">
        <f t="shared" si="106"/>
        <v>13095</v>
      </c>
      <c r="C207" s="524"/>
      <c r="D207" s="525">
        <f t="shared" si="105"/>
        <v>30</v>
      </c>
      <c r="E207" s="570">
        <v>10410</v>
      </c>
      <c r="F207" s="571">
        <f>IFERROR(BF177,0)</f>
        <v>0</v>
      </c>
      <c r="G207" s="595" t="e">
        <f>BE188</f>
        <v>#VALUE!</v>
      </c>
      <c r="H207" s="596"/>
      <c r="I207" s="528">
        <f t="shared" si="78"/>
        <v>13095</v>
      </c>
      <c r="J207" s="529"/>
      <c r="K207" s="529"/>
      <c r="L207" s="326">
        <f t="shared" si="108"/>
        <v>1</v>
      </c>
    </row>
    <row r="208" spans="1:70" ht="15" customHeight="1">
      <c r="A208" s="522">
        <f t="shared" si="107"/>
        <v>2036</v>
      </c>
      <c r="B208" s="523">
        <f t="shared" si="106"/>
        <v>13174</v>
      </c>
      <c r="C208" s="524"/>
      <c r="D208" s="525">
        <f t="shared" si="105"/>
        <v>31</v>
      </c>
      <c r="E208" s="570"/>
      <c r="F208" s="571"/>
      <c r="G208" s="595"/>
      <c r="H208" s="596"/>
      <c r="I208" s="528">
        <f t="shared" si="78"/>
        <v>13174</v>
      </c>
      <c r="J208" s="529"/>
      <c r="K208" s="529"/>
    </row>
    <row r="209" spans="1:41" ht="20.100000000000001" customHeight="1">
      <c r="A209" s="522">
        <f t="shared" si="107"/>
        <v>2037</v>
      </c>
      <c r="B209" s="523">
        <f t="shared" si="106"/>
        <v>13252</v>
      </c>
      <c r="C209" s="524"/>
      <c r="D209" s="525">
        <f t="shared" si="105"/>
        <v>32</v>
      </c>
      <c r="E209" s="570"/>
      <c r="F209" s="571"/>
      <c r="G209" s="595"/>
      <c r="H209" s="596"/>
      <c r="I209" s="528">
        <f t="shared" si="78"/>
        <v>13252</v>
      </c>
      <c r="J209" s="529"/>
      <c r="K209" s="529"/>
      <c r="L209" s="578"/>
      <c r="M209" s="578"/>
      <c r="N209" s="578"/>
      <c r="O209" s="578"/>
      <c r="P209" s="578"/>
      <c r="Q209" s="578"/>
      <c r="R209" s="578"/>
      <c r="S209" s="578"/>
      <c r="T209" s="578"/>
      <c r="U209" s="578"/>
      <c r="V209" s="578"/>
      <c r="W209" s="578"/>
      <c r="X209" s="578"/>
      <c r="Y209" s="578"/>
      <c r="Z209" s="578"/>
      <c r="AA209" s="578"/>
      <c r="AB209" s="578"/>
      <c r="AC209" s="578"/>
      <c r="AD209" s="578"/>
      <c r="AE209" s="578"/>
      <c r="AF209" s="578"/>
      <c r="AG209" s="578"/>
      <c r="AH209" s="578"/>
      <c r="AI209" s="578"/>
      <c r="AJ209" s="578"/>
      <c r="AK209" s="578"/>
      <c r="AL209" s="578"/>
      <c r="AM209" s="578"/>
      <c r="AN209" s="578"/>
      <c r="AO209" s="578"/>
    </row>
    <row r="210" spans="1:41" ht="20.100000000000001" customHeight="1">
      <c r="A210" s="522">
        <f t="shared" si="107"/>
        <v>2038</v>
      </c>
      <c r="B210" s="523">
        <f t="shared" si="106"/>
        <v>13330</v>
      </c>
      <c r="C210" s="524"/>
      <c r="D210" s="525">
        <f t="shared" si="105"/>
        <v>33</v>
      </c>
      <c r="E210" s="570"/>
      <c r="F210" s="571"/>
      <c r="G210" s="595"/>
      <c r="H210" s="596"/>
      <c r="I210" s="528">
        <f t="shared" si="78"/>
        <v>13330</v>
      </c>
      <c r="J210" s="529"/>
      <c r="K210" s="529"/>
      <c r="L210" s="578"/>
      <c r="M210" s="578"/>
      <c r="N210" s="578"/>
      <c r="O210" s="578"/>
      <c r="P210" s="578"/>
      <c r="Q210" s="578"/>
      <c r="R210" s="578"/>
      <c r="S210" s="578"/>
      <c r="T210" s="578"/>
      <c r="U210" s="578"/>
      <c r="V210" s="578"/>
      <c r="W210" s="578"/>
      <c r="X210" s="578"/>
      <c r="Y210" s="578"/>
      <c r="Z210" s="578"/>
      <c r="AA210" s="578"/>
      <c r="AB210" s="578"/>
      <c r="AC210" s="578"/>
      <c r="AD210" s="578"/>
      <c r="AE210" s="578"/>
      <c r="AF210" s="578"/>
      <c r="AG210" s="578"/>
      <c r="AH210" s="578"/>
      <c r="AI210" s="578"/>
      <c r="AJ210" s="578"/>
      <c r="AK210" s="578"/>
      <c r="AL210" s="578"/>
      <c r="AM210" s="578"/>
      <c r="AN210" s="578"/>
      <c r="AO210" s="578"/>
    </row>
    <row r="211" spans="1:41" ht="20.100000000000001" customHeight="1">
      <c r="K211" s="578"/>
      <c r="L211" s="578"/>
      <c r="M211" s="578"/>
      <c r="N211" s="578"/>
      <c r="O211" s="578"/>
      <c r="P211" s="578"/>
      <c r="Q211" s="578"/>
      <c r="R211" s="578"/>
      <c r="S211" s="578"/>
      <c r="T211" s="578"/>
      <c r="U211" s="578"/>
      <c r="V211" s="578"/>
      <c r="W211" s="578"/>
      <c r="X211" s="578"/>
      <c r="Y211" s="578"/>
      <c r="Z211" s="578"/>
      <c r="AA211" s="578"/>
      <c r="AB211" s="578"/>
      <c r="AC211" s="578"/>
      <c r="AD211" s="578"/>
      <c r="AE211" s="578"/>
      <c r="AF211" s="578"/>
      <c r="AG211" s="578"/>
      <c r="AH211" s="578"/>
      <c r="AI211" s="578"/>
      <c r="AJ211" s="578"/>
      <c r="AK211" s="578"/>
      <c r="AL211" s="578"/>
      <c r="AM211" s="578"/>
      <c r="AN211" s="578"/>
      <c r="AO211" s="578"/>
    </row>
    <row r="212" spans="1:41" ht="20.100000000000001" customHeight="1">
      <c r="K212" s="578"/>
      <c r="L212" s="578"/>
      <c r="M212" s="578"/>
      <c r="N212" s="578"/>
      <c r="O212" s="578"/>
      <c r="P212" s="578"/>
      <c r="Q212" s="578"/>
      <c r="R212" s="578"/>
      <c r="S212" s="578"/>
      <c r="T212" s="578"/>
      <c r="U212" s="578"/>
      <c r="V212" s="578"/>
      <c r="W212" s="578"/>
      <c r="X212" s="578"/>
      <c r="Y212" s="578"/>
      <c r="Z212" s="578"/>
      <c r="AA212" s="578"/>
      <c r="AB212" s="578"/>
      <c r="AC212" s="578"/>
      <c r="AD212" s="578"/>
      <c r="AE212" s="578"/>
      <c r="AF212" s="578"/>
      <c r="AG212" s="578"/>
      <c r="AH212" s="578"/>
      <c r="AI212" s="578"/>
      <c r="AJ212" s="578"/>
      <c r="AK212" s="578"/>
      <c r="AL212" s="578"/>
      <c r="AM212" s="578"/>
      <c r="AN212" s="578"/>
      <c r="AO212" s="578"/>
    </row>
    <row r="213" spans="1:41" ht="20.100000000000001" customHeight="1">
      <c r="K213" s="578"/>
      <c r="L213" s="578"/>
      <c r="M213" s="578"/>
      <c r="N213" s="578"/>
      <c r="O213" s="578"/>
      <c r="P213" s="578"/>
      <c r="Q213" s="578"/>
      <c r="R213" s="578"/>
      <c r="S213" s="578"/>
      <c r="T213" s="578"/>
      <c r="U213" s="578"/>
      <c r="V213" s="578"/>
      <c r="W213" s="578"/>
      <c r="X213" s="578"/>
      <c r="Y213" s="578"/>
      <c r="Z213" s="578"/>
      <c r="AA213" s="578"/>
      <c r="AB213" s="578"/>
      <c r="AC213" s="578"/>
      <c r="AD213" s="578"/>
      <c r="AE213" s="578"/>
      <c r="AF213" s="578"/>
      <c r="AG213" s="578"/>
      <c r="AH213" s="578"/>
      <c r="AI213" s="578"/>
      <c r="AJ213" s="578"/>
      <c r="AK213" s="578"/>
      <c r="AL213" s="578"/>
      <c r="AM213" s="578"/>
      <c r="AN213" s="578"/>
      <c r="AO213" s="578"/>
    </row>
    <row r="214" spans="1:41" ht="20.100000000000001" customHeight="1"/>
    <row r="215" spans="1:41" ht="20.100000000000001" customHeight="1"/>
    <row r="216" spans="1:41" ht="20.100000000000001" customHeight="1"/>
    <row r="217" spans="1:41" ht="20.100000000000001" customHeight="1"/>
    <row r="218" spans="1:41" ht="20.100000000000001" customHeight="1"/>
    <row r="219" spans="1:41" ht="20.100000000000001" customHeight="1"/>
    <row r="220" spans="1:41" ht="20.100000000000001" customHeight="1"/>
    <row r="221" spans="1:41" ht="20.100000000000001" customHeight="1"/>
    <row r="222" spans="1:41" ht="20.100000000000001" customHeight="1"/>
    <row r="223" spans="1:41" ht="20.100000000000001" customHeight="1"/>
    <row r="224" spans="1:41" ht="20.100000000000001" customHeight="1"/>
    <row r="225" ht="20.100000000000001" customHeight="1"/>
    <row r="226" s="325" customFormat="1" ht="20.100000000000001" customHeight="1"/>
    <row r="227" s="325" customFormat="1" ht="20.100000000000001" customHeight="1"/>
    <row r="228" s="325" customFormat="1" ht="20.100000000000001" customHeight="1"/>
    <row r="229" s="325" customFormat="1" ht="20.100000000000001" customHeight="1"/>
    <row r="230" s="325" customFormat="1" ht="20.100000000000001" customHeight="1"/>
  </sheetData>
  <mergeCells count="17">
    <mergeCell ref="F154:G154"/>
    <mergeCell ref="F155:G155"/>
    <mergeCell ref="E190:F190"/>
    <mergeCell ref="E191:F191"/>
    <mergeCell ref="E192:F192"/>
    <mergeCell ref="F153:G153"/>
    <mergeCell ref="I5:J5"/>
    <mergeCell ref="A39:B39"/>
    <mergeCell ref="A40:B40"/>
    <mergeCell ref="A41:B41"/>
    <mergeCell ref="D70:E70"/>
    <mergeCell ref="D71:E71"/>
    <mergeCell ref="D72:E72"/>
    <mergeCell ref="D73:E73"/>
    <mergeCell ref="E115:F115"/>
    <mergeCell ref="E116:F116"/>
    <mergeCell ref="E117:F117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Y182"/>
  <sheetViews>
    <sheetView view="pageBreakPreview" zoomScaleNormal="100" zoomScaleSheetLayoutView="100" workbookViewId="0"/>
  </sheetViews>
  <sheetFormatPr defaultRowHeight="13.5"/>
  <cols>
    <col min="1" max="2" width="9" style="1401"/>
    <col min="3" max="11" width="9.25" style="1401" customWidth="1"/>
    <col min="12" max="12" width="6.5" style="1401" customWidth="1"/>
    <col min="13" max="13" width="7.875" style="1401" bestFit="1" customWidth="1"/>
    <col min="14" max="16" width="6.5" style="1401" customWidth="1"/>
    <col min="17" max="232" width="9" style="1401"/>
    <col min="233" max="241" width="9.25" style="1401" customWidth="1"/>
    <col min="242" max="242" width="9" style="1401"/>
    <col min="243" max="243" width="9.75" style="1401" bestFit="1" customWidth="1"/>
    <col min="244" max="272" width="6.5" style="1401" customWidth="1"/>
    <col min="273" max="488" width="9" style="1401"/>
    <col min="489" max="497" width="9.25" style="1401" customWidth="1"/>
    <col min="498" max="498" width="9" style="1401"/>
    <col min="499" max="499" width="9.75" style="1401" bestFit="1" customWidth="1"/>
    <col min="500" max="528" width="6.5" style="1401" customWidth="1"/>
    <col min="529" max="744" width="9" style="1401"/>
    <col min="745" max="753" width="9.25" style="1401" customWidth="1"/>
    <col min="754" max="754" width="9" style="1401"/>
    <col min="755" max="755" width="9.75" style="1401" bestFit="1" customWidth="1"/>
    <col min="756" max="784" width="6.5" style="1401" customWidth="1"/>
    <col min="785" max="1000" width="9" style="1401"/>
    <col min="1001" max="1009" width="9.25" style="1401" customWidth="1"/>
    <col min="1010" max="1010" width="9" style="1401"/>
    <col min="1011" max="1011" width="9.75" style="1401" bestFit="1" customWidth="1"/>
    <col min="1012" max="1040" width="6.5" style="1401" customWidth="1"/>
    <col min="1041" max="1256" width="9" style="1401"/>
    <col min="1257" max="1265" width="9.25" style="1401" customWidth="1"/>
    <col min="1266" max="1266" width="9" style="1401"/>
    <col min="1267" max="1267" width="9.75" style="1401" bestFit="1" customWidth="1"/>
    <col min="1268" max="1296" width="6.5" style="1401" customWidth="1"/>
    <col min="1297" max="1512" width="9" style="1401"/>
    <col min="1513" max="1521" width="9.25" style="1401" customWidth="1"/>
    <col min="1522" max="1522" width="9" style="1401"/>
    <col min="1523" max="1523" width="9.75" style="1401" bestFit="1" customWidth="1"/>
    <col min="1524" max="1552" width="6.5" style="1401" customWidth="1"/>
    <col min="1553" max="1768" width="9" style="1401"/>
    <col min="1769" max="1777" width="9.25" style="1401" customWidth="1"/>
    <col min="1778" max="1778" width="9" style="1401"/>
    <col min="1779" max="1779" width="9.75" style="1401" bestFit="1" customWidth="1"/>
    <col min="1780" max="1808" width="6.5" style="1401" customWidth="1"/>
    <col min="1809" max="2024" width="9" style="1401"/>
    <col min="2025" max="2033" width="9.25" style="1401" customWidth="1"/>
    <col min="2034" max="2034" width="9" style="1401"/>
    <col min="2035" max="2035" width="9.75" style="1401" bestFit="1" customWidth="1"/>
    <col min="2036" max="2064" width="6.5" style="1401" customWidth="1"/>
    <col min="2065" max="2280" width="9" style="1401"/>
    <col min="2281" max="2289" width="9.25" style="1401" customWidth="1"/>
    <col min="2290" max="2290" width="9" style="1401"/>
    <col min="2291" max="2291" width="9.75" style="1401" bestFit="1" customWidth="1"/>
    <col min="2292" max="2320" width="6.5" style="1401" customWidth="1"/>
    <col min="2321" max="2536" width="9" style="1401"/>
    <col min="2537" max="2545" width="9.25" style="1401" customWidth="1"/>
    <col min="2546" max="2546" width="9" style="1401"/>
    <col min="2547" max="2547" width="9.75" style="1401" bestFit="1" customWidth="1"/>
    <col min="2548" max="2576" width="6.5" style="1401" customWidth="1"/>
    <col min="2577" max="2792" width="9" style="1401"/>
    <col min="2793" max="2801" width="9.25" style="1401" customWidth="1"/>
    <col min="2802" max="2802" width="9" style="1401"/>
    <col min="2803" max="2803" width="9.75" style="1401" bestFit="1" customWidth="1"/>
    <col min="2804" max="2832" width="6.5" style="1401" customWidth="1"/>
    <col min="2833" max="3048" width="9" style="1401"/>
    <col min="3049" max="3057" width="9.25" style="1401" customWidth="1"/>
    <col min="3058" max="3058" width="9" style="1401"/>
    <col min="3059" max="3059" width="9.75" style="1401" bestFit="1" customWidth="1"/>
    <col min="3060" max="3088" width="6.5" style="1401" customWidth="1"/>
    <col min="3089" max="3304" width="9" style="1401"/>
    <col min="3305" max="3313" width="9.25" style="1401" customWidth="1"/>
    <col min="3314" max="3314" width="9" style="1401"/>
    <col min="3315" max="3315" width="9.75" style="1401" bestFit="1" customWidth="1"/>
    <col min="3316" max="3344" width="6.5" style="1401" customWidth="1"/>
    <col min="3345" max="3560" width="9" style="1401"/>
    <col min="3561" max="3569" width="9.25" style="1401" customWidth="1"/>
    <col min="3570" max="3570" width="9" style="1401"/>
    <col min="3571" max="3571" width="9.75" style="1401" bestFit="1" customWidth="1"/>
    <col min="3572" max="3600" width="6.5" style="1401" customWidth="1"/>
    <col min="3601" max="3816" width="9" style="1401"/>
    <col min="3817" max="3825" width="9.25" style="1401" customWidth="1"/>
    <col min="3826" max="3826" width="9" style="1401"/>
    <col min="3827" max="3827" width="9.75" style="1401" bestFit="1" customWidth="1"/>
    <col min="3828" max="3856" width="6.5" style="1401" customWidth="1"/>
    <col min="3857" max="4072" width="9" style="1401"/>
    <col min="4073" max="4081" width="9.25" style="1401" customWidth="1"/>
    <col min="4082" max="4082" width="9" style="1401"/>
    <col min="4083" max="4083" width="9.75" style="1401" bestFit="1" customWidth="1"/>
    <col min="4084" max="4112" width="6.5" style="1401" customWidth="1"/>
    <col min="4113" max="4328" width="9" style="1401"/>
    <col min="4329" max="4337" width="9.25" style="1401" customWidth="1"/>
    <col min="4338" max="4338" width="9" style="1401"/>
    <col min="4339" max="4339" width="9.75" style="1401" bestFit="1" customWidth="1"/>
    <col min="4340" max="4368" width="6.5" style="1401" customWidth="1"/>
    <col min="4369" max="4584" width="9" style="1401"/>
    <col min="4585" max="4593" width="9.25" style="1401" customWidth="1"/>
    <col min="4594" max="4594" width="9" style="1401"/>
    <col min="4595" max="4595" width="9.75" style="1401" bestFit="1" customWidth="1"/>
    <col min="4596" max="4624" width="6.5" style="1401" customWidth="1"/>
    <col min="4625" max="4840" width="9" style="1401"/>
    <col min="4841" max="4849" width="9.25" style="1401" customWidth="1"/>
    <col min="4850" max="4850" width="9" style="1401"/>
    <col min="4851" max="4851" width="9.75" style="1401" bestFit="1" customWidth="1"/>
    <col min="4852" max="4880" width="6.5" style="1401" customWidth="1"/>
    <col min="4881" max="5096" width="9" style="1401"/>
    <col min="5097" max="5105" width="9.25" style="1401" customWidth="1"/>
    <col min="5106" max="5106" width="9" style="1401"/>
    <col min="5107" max="5107" width="9.75" style="1401" bestFit="1" customWidth="1"/>
    <col min="5108" max="5136" width="6.5" style="1401" customWidth="1"/>
    <col min="5137" max="5352" width="9" style="1401"/>
    <col min="5353" max="5361" width="9.25" style="1401" customWidth="1"/>
    <col min="5362" max="5362" width="9" style="1401"/>
    <col min="5363" max="5363" width="9.75" style="1401" bestFit="1" customWidth="1"/>
    <col min="5364" max="5392" width="6.5" style="1401" customWidth="1"/>
    <col min="5393" max="5608" width="9" style="1401"/>
    <col min="5609" max="5617" width="9.25" style="1401" customWidth="1"/>
    <col min="5618" max="5618" width="9" style="1401"/>
    <col min="5619" max="5619" width="9.75" style="1401" bestFit="1" customWidth="1"/>
    <col min="5620" max="5648" width="6.5" style="1401" customWidth="1"/>
    <col min="5649" max="5864" width="9" style="1401"/>
    <col min="5865" max="5873" width="9.25" style="1401" customWidth="1"/>
    <col min="5874" max="5874" width="9" style="1401"/>
    <col min="5875" max="5875" width="9.75" style="1401" bestFit="1" customWidth="1"/>
    <col min="5876" max="5904" width="6.5" style="1401" customWidth="1"/>
    <col min="5905" max="6120" width="9" style="1401"/>
    <col min="6121" max="6129" width="9.25" style="1401" customWidth="1"/>
    <col min="6130" max="6130" width="9" style="1401"/>
    <col min="6131" max="6131" width="9.75" style="1401" bestFit="1" customWidth="1"/>
    <col min="6132" max="6160" width="6.5" style="1401" customWidth="1"/>
    <col min="6161" max="6376" width="9" style="1401"/>
    <col min="6377" max="6385" width="9.25" style="1401" customWidth="1"/>
    <col min="6386" max="6386" width="9" style="1401"/>
    <col min="6387" max="6387" width="9.75" style="1401" bestFit="1" customWidth="1"/>
    <col min="6388" max="6416" width="6.5" style="1401" customWidth="1"/>
    <col min="6417" max="6632" width="9" style="1401"/>
    <col min="6633" max="6641" width="9.25" style="1401" customWidth="1"/>
    <col min="6642" max="6642" width="9" style="1401"/>
    <col min="6643" max="6643" width="9.75" style="1401" bestFit="1" customWidth="1"/>
    <col min="6644" max="6672" width="6.5" style="1401" customWidth="1"/>
    <col min="6673" max="6888" width="9" style="1401"/>
    <col min="6889" max="6897" width="9.25" style="1401" customWidth="1"/>
    <col min="6898" max="6898" width="9" style="1401"/>
    <col min="6899" max="6899" width="9.75" style="1401" bestFit="1" customWidth="1"/>
    <col min="6900" max="6928" width="6.5" style="1401" customWidth="1"/>
    <col min="6929" max="7144" width="9" style="1401"/>
    <col min="7145" max="7153" width="9.25" style="1401" customWidth="1"/>
    <col min="7154" max="7154" width="9" style="1401"/>
    <col min="7155" max="7155" width="9.75" style="1401" bestFit="1" customWidth="1"/>
    <col min="7156" max="7184" width="6.5" style="1401" customWidth="1"/>
    <col min="7185" max="7400" width="9" style="1401"/>
    <col min="7401" max="7409" width="9.25" style="1401" customWidth="1"/>
    <col min="7410" max="7410" width="9" style="1401"/>
    <col min="7411" max="7411" width="9.75" style="1401" bestFit="1" customWidth="1"/>
    <col min="7412" max="7440" width="6.5" style="1401" customWidth="1"/>
    <col min="7441" max="7656" width="9" style="1401"/>
    <col min="7657" max="7665" width="9.25" style="1401" customWidth="1"/>
    <col min="7666" max="7666" width="9" style="1401"/>
    <col min="7667" max="7667" width="9.75" style="1401" bestFit="1" customWidth="1"/>
    <col min="7668" max="7696" width="6.5" style="1401" customWidth="1"/>
    <col min="7697" max="7912" width="9" style="1401"/>
    <col min="7913" max="7921" width="9.25" style="1401" customWidth="1"/>
    <col min="7922" max="7922" width="9" style="1401"/>
    <col min="7923" max="7923" width="9.75" style="1401" bestFit="1" customWidth="1"/>
    <col min="7924" max="7952" width="6.5" style="1401" customWidth="1"/>
    <col min="7953" max="8168" width="9" style="1401"/>
    <col min="8169" max="8177" width="9.25" style="1401" customWidth="1"/>
    <col min="8178" max="8178" width="9" style="1401"/>
    <col min="8179" max="8179" width="9.75" style="1401" bestFit="1" customWidth="1"/>
    <col min="8180" max="8208" width="6.5" style="1401" customWidth="1"/>
    <col min="8209" max="8424" width="9" style="1401"/>
    <col min="8425" max="8433" width="9.25" style="1401" customWidth="1"/>
    <col min="8434" max="8434" width="9" style="1401"/>
    <col min="8435" max="8435" width="9.75" style="1401" bestFit="1" customWidth="1"/>
    <col min="8436" max="8464" width="6.5" style="1401" customWidth="1"/>
    <col min="8465" max="8680" width="9" style="1401"/>
    <col min="8681" max="8689" width="9.25" style="1401" customWidth="1"/>
    <col min="8690" max="8690" width="9" style="1401"/>
    <col min="8691" max="8691" width="9.75" style="1401" bestFit="1" customWidth="1"/>
    <col min="8692" max="8720" width="6.5" style="1401" customWidth="1"/>
    <col min="8721" max="8936" width="9" style="1401"/>
    <col min="8937" max="8945" width="9.25" style="1401" customWidth="1"/>
    <col min="8946" max="8946" width="9" style="1401"/>
    <col min="8947" max="8947" width="9.75" style="1401" bestFit="1" customWidth="1"/>
    <col min="8948" max="8976" width="6.5" style="1401" customWidth="1"/>
    <col min="8977" max="9192" width="9" style="1401"/>
    <col min="9193" max="9201" width="9.25" style="1401" customWidth="1"/>
    <col min="9202" max="9202" width="9" style="1401"/>
    <col min="9203" max="9203" width="9.75" style="1401" bestFit="1" customWidth="1"/>
    <col min="9204" max="9232" width="6.5" style="1401" customWidth="1"/>
    <col min="9233" max="9448" width="9" style="1401"/>
    <col min="9449" max="9457" width="9.25" style="1401" customWidth="1"/>
    <col min="9458" max="9458" width="9" style="1401"/>
    <col min="9459" max="9459" width="9.75" style="1401" bestFit="1" customWidth="1"/>
    <col min="9460" max="9488" width="6.5" style="1401" customWidth="1"/>
    <col min="9489" max="9704" width="9" style="1401"/>
    <col min="9705" max="9713" width="9.25" style="1401" customWidth="1"/>
    <col min="9714" max="9714" width="9" style="1401"/>
    <col min="9715" max="9715" width="9.75" style="1401" bestFit="1" customWidth="1"/>
    <col min="9716" max="9744" width="6.5" style="1401" customWidth="1"/>
    <col min="9745" max="9960" width="9" style="1401"/>
    <col min="9961" max="9969" width="9.25" style="1401" customWidth="1"/>
    <col min="9970" max="9970" width="9" style="1401"/>
    <col min="9971" max="9971" width="9.75" style="1401" bestFit="1" customWidth="1"/>
    <col min="9972" max="10000" width="6.5" style="1401" customWidth="1"/>
    <col min="10001" max="10216" width="9" style="1401"/>
    <col min="10217" max="10225" width="9.25" style="1401" customWidth="1"/>
    <col min="10226" max="10226" width="9" style="1401"/>
    <col min="10227" max="10227" width="9.75" style="1401" bestFit="1" customWidth="1"/>
    <col min="10228" max="10256" width="6.5" style="1401" customWidth="1"/>
    <col min="10257" max="10472" width="9" style="1401"/>
    <col min="10473" max="10481" width="9.25" style="1401" customWidth="1"/>
    <col min="10482" max="10482" width="9" style="1401"/>
    <col min="10483" max="10483" width="9.75" style="1401" bestFit="1" customWidth="1"/>
    <col min="10484" max="10512" width="6.5" style="1401" customWidth="1"/>
    <col min="10513" max="10728" width="9" style="1401"/>
    <col min="10729" max="10737" width="9.25" style="1401" customWidth="1"/>
    <col min="10738" max="10738" width="9" style="1401"/>
    <col min="10739" max="10739" width="9.75" style="1401" bestFit="1" customWidth="1"/>
    <col min="10740" max="10768" width="6.5" style="1401" customWidth="1"/>
    <col min="10769" max="10984" width="9" style="1401"/>
    <col min="10985" max="10993" width="9.25" style="1401" customWidth="1"/>
    <col min="10994" max="10994" width="9" style="1401"/>
    <col min="10995" max="10995" width="9.75" style="1401" bestFit="1" customWidth="1"/>
    <col min="10996" max="11024" width="6.5" style="1401" customWidth="1"/>
    <col min="11025" max="11240" width="9" style="1401"/>
    <col min="11241" max="11249" width="9.25" style="1401" customWidth="1"/>
    <col min="11250" max="11250" width="9" style="1401"/>
    <col min="11251" max="11251" width="9.75" style="1401" bestFit="1" customWidth="1"/>
    <col min="11252" max="11280" width="6.5" style="1401" customWidth="1"/>
    <col min="11281" max="11496" width="9" style="1401"/>
    <col min="11497" max="11505" width="9.25" style="1401" customWidth="1"/>
    <col min="11506" max="11506" width="9" style="1401"/>
    <col min="11507" max="11507" width="9.75" style="1401" bestFit="1" customWidth="1"/>
    <col min="11508" max="11536" width="6.5" style="1401" customWidth="1"/>
    <col min="11537" max="11752" width="9" style="1401"/>
    <col min="11753" max="11761" width="9.25" style="1401" customWidth="1"/>
    <col min="11762" max="11762" width="9" style="1401"/>
    <col min="11763" max="11763" width="9.75" style="1401" bestFit="1" customWidth="1"/>
    <col min="11764" max="11792" width="6.5" style="1401" customWidth="1"/>
    <col min="11793" max="12008" width="9" style="1401"/>
    <col min="12009" max="12017" width="9.25" style="1401" customWidth="1"/>
    <col min="12018" max="12018" width="9" style="1401"/>
    <col min="12019" max="12019" width="9.75" style="1401" bestFit="1" customWidth="1"/>
    <col min="12020" max="12048" width="6.5" style="1401" customWidth="1"/>
    <col min="12049" max="12264" width="9" style="1401"/>
    <col min="12265" max="12273" width="9.25" style="1401" customWidth="1"/>
    <col min="12274" max="12274" width="9" style="1401"/>
    <col min="12275" max="12275" width="9.75" style="1401" bestFit="1" customWidth="1"/>
    <col min="12276" max="12304" width="6.5" style="1401" customWidth="1"/>
    <col min="12305" max="12520" width="9" style="1401"/>
    <col min="12521" max="12529" width="9.25" style="1401" customWidth="1"/>
    <col min="12530" max="12530" width="9" style="1401"/>
    <col min="12531" max="12531" width="9.75" style="1401" bestFit="1" customWidth="1"/>
    <col min="12532" max="12560" width="6.5" style="1401" customWidth="1"/>
    <col min="12561" max="12776" width="9" style="1401"/>
    <col min="12777" max="12785" width="9.25" style="1401" customWidth="1"/>
    <col min="12786" max="12786" width="9" style="1401"/>
    <col min="12787" max="12787" width="9.75" style="1401" bestFit="1" customWidth="1"/>
    <col min="12788" max="12816" width="6.5" style="1401" customWidth="1"/>
    <col min="12817" max="13032" width="9" style="1401"/>
    <col min="13033" max="13041" width="9.25" style="1401" customWidth="1"/>
    <col min="13042" max="13042" width="9" style="1401"/>
    <col min="13043" max="13043" width="9.75" style="1401" bestFit="1" customWidth="1"/>
    <col min="13044" max="13072" width="6.5" style="1401" customWidth="1"/>
    <col min="13073" max="13288" width="9" style="1401"/>
    <col min="13289" max="13297" width="9.25" style="1401" customWidth="1"/>
    <col min="13298" max="13298" width="9" style="1401"/>
    <col min="13299" max="13299" width="9.75" style="1401" bestFit="1" customWidth="1"/>
    <col min="13300" max="13328" width="6.5" style="1401" customWidth="1"/>
    <col min="13329" max="13544" width="9" style="1401"/>
    <col min="13545" max="13553" width="9.25" style="1401" customWidth="1"/>
    <col min="13554" max="13554" width="9" style="1401"/>
    <col min="13555" max="13555" width="9.75" style="1401" bestFit="1" customWidth="1"/>
    <col min="13556" max="13584" width="6.5" style="1401" customWidth="1"/>
    <col min="13585" max="13800" width="9" style="1401"/>
    <col min="13801" max="13809" width="9.25" style="1401" customWidth="1"/>
    <col min="13810" max="13810" width="9" style="1401"/>
    <col min="13811" max="13811" width="9.75" style="1401" bestFit="1" customWidth="1"/>
    <col min="13812" max="13840" width="6.5" style="1401" customWidth="1"/>
    <col min="13841" max="14056" width="9" style="1401"/>
    <col min="14057" max="14065" width="9.25" style="1401" customWidth="1"/>
    <col min="14066" max="14066" width="9" style="1401"/>
    <col min="14067" max="14067" width="9.75" style="1401" bestFit="1" customWidth="1"/>
    <col min="14068" max="14096" width="6.5" style="1401" customWidth="1"/>
    <col min="14097" max="14312" width="9" style="1401"/>
    <col min="14313" max="14321" width="9.25" style="1401" customWidth="1"/>
    <col min="14322" max="14322" width="9" style="1401"/>
    <col min="14323" max="14323" width="9.75" style="1401" bestFit="1" customWidth="1"/>
    <col min="14324" max="14352" width="6.5" style="1401" customWidth="1"/>
    <col min="14353" max="14568" width="9" style="1401"/>
    <col min="14569" max="14577" width="9.25" style="1401" customWidth="1"/>
    <col min="14578" max="14578" width="9" style="1401"/>
    <col min="14579" max="14579" width="9.75" style="1401" bestFit="1" customWidth="1"/>
    <col min="14580" max="14608" width="6.5" style="1401" customWidth="1"/>
    <col min="14609" max="14824" width="9" style="1401"/>
    <col min="14825" max="14833" width="9.25" style="1401" customWidth="1"/>
    <col min="14834" max="14834" width="9" style="1401"/>
    <col min="14835" max="14835" width="9.75" style="1401" bestFit="1" customWidth="1"/>
    <col min="14836" max="14864" width="6.5" style="1401" customWidth="1"/>
    <col min="14865" max="15080" width="9" style="1401"/>
    <col min="15081" max="15089" width="9.25" style="1401" customWidth="1"/>
    <col min="15090" max="15090" width="9" style="1401"/>
    <col min="15091" max="15091" width="9.75" style="1401" bestFit="1" customWidth="1"/>
    <col min="15092" max="15120" width="6.5" style="1401" customWidth="1"/>
    <col min="15121" max="15336" width="9" style="1401"/>
    <col min="15337" max="15345" width="9.25" style="1401" customWidth="1"/>
    <col min="15346" max="15346" width="9" style="1401"/>
    <col min="15347" max="15347" width="9.75" style="1401" bestFit="1" customWidth="1"/>
    <col min="15348" max="15376" width="6.5" style="1401" customWidth="1"/>
    <col min="15377" max="15592" width="9" style="1401"/>
    <col min="15593" max="15601" width="9.25" style="1401" customWidth="1"/>
    <col min="15602" max="15602" width="9" style="1401"/>
    <col min="15603" max="15603" width="9.75" style="1401" bestFit="1" customWidth="1"/>
    <col min="15604" max="15632" width="6.5" style="1401" customWidth="1"/>
    <col min="15633" max="15848" width="9" style="1401"/>
    <col min="15849" max="15857" width="9.25" style="1401" customWidth="1"/>
    <col min="15858" max="15858" width="9" style="1401"/>
    <col min="15859" max="15859" width="9.75" style="1401" bestFit="1" customWidth="1"/>
    <col min="15860" max="15888" width="6.5" style="1401" customWidth="1"/>
    <col min="15889" max="16104" width="9" style="1401"/>
    <col min="16105" max="16113" width="9.25" style="1401" customWidth="1"/>
    <col min="16114" max="16114" width="9" style="1401"/>
    <col min="16115" max="16115" width="9.75" style="1401" bestFit="1" customWidth="1"/>
    <col min="16116" max="16144" width="6.5" style="1401" customWidth="1"/>
    <col min="16145" max="16384" width="9" style="1401"/>
  </cols>
  <sheetData>
    <row r="1" spans="1:25" s="1384" customFormat="1" ht="23.25" customHeight="1">
      <c r="A1" s="1382" t="s">
        <v>1507</v>
      </c>
      <c r="B1" s="1383"/>
      <c r="D1" s="1383"/>
      <c r="E1" s="1383"/>
      <c r="L1" s="1383"/>
      <c r="M1" s="1383"/>
    </row>
    <row r="2" spans="1:25" s="1386" customFormat="1" ht="23.25" customHeight="1">
      <c r="A2" s="1382" t="s">
        <v>1508</v>
      </c>
      <c r="B2" s="1385"/>
      <c r="K2" s="1387"/>
      <c r="L2" s="1385"/>
      <c r="M2" s="1383"/>
    </row>
    <row r="3" spans="1:25" s="1388" customFormat="1" ht="37.5" customHeight="1">
      <c r="A3" s="2325" t="s">
        <v>1509</v>
      </c>
      <c r="B3" s="2323" t="s">
        <v>1510</v>
      </c>
      <c r="C3" s="2323" t="s">
        <v>1511</v>
      </c>
      <c r="D3" s="2323"/>
      <c r="E3" s="2328" t="s">
        <v>1512</v>
      </c>
      <c r="F3" s="2323" t="s">
        <v>1513</v>
      </c>
      <c r="G3" s="2323"/>
      <c r="H3" s="2323"/>
      <c r="I3" s="2323" t="s">
        <v>1514</v>
      </c>
      <c r="J3" s="2323"/>
      <c r="K3" s="2324"/>
      <c r="L3" s="2059"/>
      <c r="M3" s="2059"/>
      <c r="N3" s="2059"/>
      <c r="O3" s="2059"/>
      <c r="P3" s="2059"/>
      <c r="Q3" s="2059"/>
      <c r="R3" s="2059"/>
      <c r="S3" s="2059"/>
      <c r="T3" s="2059"/>
      <c r="U3" s="2059"/>
      <c r="V3" s="2059"/>
      <c r="W3" s="2059"/>
      <c r="X3" s="2059"/>
      <c r="Y3" s="2060"/>
    </row>
    <row r="4" spans="1:25" s="1388" customFormat="1" ht="37.5" customHeight="1">
      <c r="A4" s="2326"/>
      <c r="B4" s="2327"/>
      <c r="C4" s="1947" t="s">
        <v>1515</v>
      </c>
      <c r="D4" s="1947" t="s">
        <v>1516</v>
      </c>
      <c r="E4" s="2327"/>
      <c r="F4" s="1947" t="s">
        <v>1517</v>
      </c>
      <c r="G4" s="1947" t="s">
        <v>1518</v>
      </c>
      <c r="H4" s="1947" t="s">
        <v>1516</v>
      </c>
      <c r="I4" s="1947" t="s">
        <v>1519</v>
      </c>
      <c r="J4" s="1947" t="s">
        <v>1520</v>
      </c>
      <c r="K4" s="1389" t="s">
        <v>1516</v>
      </c>
      <c r="L4" s="2061"/>
      <c r="M4" s="2061"/>
      <c r="N4" s="2061"/>
      <c r="O4" s="2061"/>
      <c r="P4" s="2061"/>
      <c r="Q4" s="2061"/>
      <c r="R4" s="2061"/>
      <c r="S4" s="2061"/>
      <c r="T4" s="2061"/>
      <c r="U4" s="2061"/>
      <c r="V4" s="2061"/>
      <c r="W4" s="2061"/>
      <c r="X4" s="2061"/>
      <c r="Y4" s="2062"/>
    </row>
    <row r="5" spans="1:25" s="1388" customFormat="1" ht="37.5" customHeight="1">
      <c r="A5" s="1931">
        <v>2006</v>
      </c>
      <c r="B5" s="1391">
        <v>33014</v>
      </c>
      <c r="C5" s="1392">
        <v>90159</v>
      </c>
      <c r="D5" s="1393"/>
      <c r="E5" s="1394">
        <f>ROUND(C5/B5,2)</f>
        <v>2.73</v>
      </c>
      <c r="F5" s="1392">
        <v>769</v>
      </c>
      <c r="G5" s="1392">
        <v>725</v>
      </c>
      <c r="H5" s="1393"/>
      <c r="I5" s="1392">
        <v>11978</v>
      </c>
      <c r="J5" s="1392">
        <v>11268</v>
      </c>
      <c r="K5" s="1395"/>
      <c r="L5" s="2061"/>
      <c r="M5" s="2061"/>
      <c r="N5" s="2061"/>
      <c r="O5" s="2061"/>
      <c r="P5" s="2061"/>
      <c r="Q5" s="2061"/>
      <c r="R5" s="2061"/>
      <c r="S5" s="2061"/>
      <c r="T5" s="2061"/>
      <c r="U5" s="2061"/>
      <c r="V5" s="2061"/>
      <c r="W5" s="2061"/>
      <c r="X5" s="2061"/>
      <c r="Y5" s="2062"/>
    </row>
    <row r="6" spans="1:25" s="1388" customFormat="1" ht="37.5" customHeight="1">
      <c r="A6" s="1390">
        <f>A5+1</f>
        <v>2007</v>
      </c>
      <c r="B6" s="1391">
        <v>34408</v>
      </c>
      <c r="C6" s="1392">
        <v>92520</v>
      </c>
      <c r="D6" s="1393">
        <f t="shared" ref="D6:D14" si="0">(C6-C5)/C5</f>
        <v>2.6187069510531395E-2</v>
      </c>
      <c r="E6" s="1394">
        <f t="shared" ref="E6:E14" si="1">ROUND(C6/B6,2)</f>
        <v>2.69</v>
      </c>
      <c r="F6" s="1392">
        <v>875</v>
      </c>
      <c r="G6" s="1392">
        <v>772</v>
      </c>
      <c r="H6" s="1393">
        <f t="shared" ref="H6:H10" si="2">(F6-G6)/C5</f>
        <v>1.1424261582315687E-3</v>
      </c>
      <c r="I6" s="1392">
        <v>12941</v>
      </c>
      <c r="J6" s="1392">
        <v>11577</v>
      </c>
      <c r="K6" s="1395">
        <f t="shared" ref="K6:K12" si="3">(I6-J6)/C5</f>
        <v>1.5128827959493784E-2</v>
      </c>
      <c r="L6" s="2061"/>
      <c r="M6" s="2063">
        <f>+J6-I6</f>
        <v>-1364</v>
      </c>
      <c r="N6" s="2061"/>
      <c r="O6" s="2061"/>
      <c r="P6" s="2061"/>
      <c r="Q6" s="2061"/>
      <c r="R6" s="2061"/>
      <c r="S6" s="2061"/>
      <c r="T6" s="2061"/>
      <c r="U6" s="2061"/>
      <c r="V6" s="2061"/>
      <c r="W6" s="2061"/>
      <c r="X6" s="2061"/>
      <c r="Y6" s="2062"/>
    </row>
    <row r="7" spans="1:25" s="1388" customFormat="1" ht="37.5" customHeight="1">
      <c r="A7" s="1390">
        <f t="shared" ref="A7:A15" si="4">A6+1</f>
        <v>2008</v>
      </c>
      <c r="B7" s="1391">
        <v>35684</v>
      </c>
      <c r="C7" s="1392">
        <v>94144</v>
      </c>
      <c r="D7" s="1393">
        <f t="shared" si="0"/>
        <v>1.7552961521833117E-2</v>
      </c>
      <c r="E7" s="1394">
        <f t="shared" si="1"/>
        <v>2.64</v>
      </c>
      <c r="F7" s="1392">
        <v>824</v>
      </c>
      <c r="G7" s="1392">
        <v>697</v>
      </c>
      <c r="H7" s="1397">
        <f t="shared" si="2"/>
        <v>1.3726761781236488E-3</v>
      </c>
      <c r="I7" s="1392">
        <v>12813</v>
      </c>
      <c r="J7" s="1392">
        <v>11896</v>
      </c>
      <c r="K7" s="1395">
        <f t="shared" si="3"/>
        <v>9.9113705144833544E-3</v>
      </c>
      <c r="L7" s="2061"/>
      <c r="M7" s="2063">
        <f t="shared" ref="M7:M15" si="5">+J7-I7</f>
        <v>-917</v>
      </c>
      <c r="N7" s="2061"/>
      <c r="O7" s="2061"/>
      <c r="P7" s="2061"/>
      <c r="Q7" s="2061"/>
      <c r="R7" s="2061"/>
      <c r="S7" s="2061"/>
      <c r="T7" s="2061"/>
      <c r="U7" s="2061"/>
      <c r="V7" s="2061"/>
      <c r="W7" s="2061"/>
      <c r="X7" s="2061"/>
      <c r="Y7" s="2062"/>
    </row>
    <row r="8" spans="1:25" s="1388" customFormat="1" ht="37.5" customHeight="1">
      <c r="A8" s="1390">
        <f t="shared" si="4"/>
        <v>2009</v>
      </c>
      <c r="B8" s="1391">
        <v>36457</v>
      </c>
      <c r="C8" s="1392">
        <v>94580</v>
      </c>
      <c r="D8" s="1393">
        <f t="shared" si="0"/>
        <v>4.6312032630863361E-3</v>
      </c>
      <c r="E8" s="1394">
        <f t="shared" si="1"/>
        <v>2.59</v>
      </c>
      <c r="F8" s="1392">
        <v>842</v>
      </c>
      <c r="G8" s="1392">
        <v>770</v>
      </c>
      <c r="H8" s="1393">
        <f t="shared" si="2"/>
        <v>7.647858599592114E-4</v>
      </c>
      <c r="I8" s="1392">
        <v>11336</v>
      </c>
      <c r="J8" s="1392">
        <v>11347</v>
      </c>
      <c r="K8" s="1395">
        <f t="shared" si="3"/>
        <v>-1.1684228416043508E-4</v>
      </c>
      <c r="L8" s="2061"/>
      <c r="M8" s="2063">
        <f t="shared" si="5"/>
        <v>11</v>
      </c>
      <c r="N8" s="2061"/>
      <c r="O8" s="2061"/>
      <c r="P8" s="2061"/>
      <c r="Q8" s="2061"/>
      <c r="R8" s="2061"/>
      <c r="S8" s="2061"/>
      <c r="T8" s="2061"/>
      <c r="U8" s="2061"/>
      <c r="V8" s="2061"/>
      <c r="W8" s="2061"/>
      <c r="X8" s="2061"/>
      <c r="Y8" s="2062"/>
    </row>
    <row r="9" spans="1:25" s="1388" customFormat="1" ht="37.5" customHeight="1">
      <c r="A9" s="1390">
        <f t="shared" si="4"/>
        <v>2010</v>
      </c>
      <c r="B9" s="1391">
        <v>37887</v>
      </c>
      <c r="C9" s="1392">
        <v>96214</v>
      </c>
      <c r="D9" s="1393">
        <f t="shared" si="0"/>
        <v>1.7276379784309581E-2</v>
      </c>
      <c r="E9" s="1394">
        <f t="shared" si="1"/>
        <v>2.54</v>
      </c>
      <c r="F9" s="1392">
        <v>841</v>
      </c>
      <c r="G9" s="1392">
        <v>747</v>
      </c>
      <c r="H9" s="1393">
        <f t="shared" si="2"/>
        <v>9.9386762529075912E-4</v>
      </c>
      <c r="I9" s="1392">
        <v>11419</v>
      </c>
      <c r="J9" s="1392">
        <v>11138</v>
      </c>
      <c r="K9" s="1395">
        <f t="shared" si="3"/>
        <v>2.9710298160287589E-3</v>
      </c>
      <c r="L9" s="2061"/>
      <c r="M9" s="2063">
        <f t="shared" si="5"/>
        <v>-281</v>
      </c>
      <c r="N9" s="2061"/>
      <c r="O9" s="2061"/>
      <c r="P9" s="2061"/>
      <c r="Q9" s="2061"/>
      <c r="R9" s="2061"/>
      <c r="S9" s="2061"/>
      <c r="T9" s="2061"/>
      <c r="U9" s="2061"/>
      <c r="V9" s="2061"/>
      <c r="W9" s="2061"/>
      <c r="X9" s="2061"/>
      <c r="Y9" s="2062"/>
    </row>
    <row r="10" spans="1:25" s="1388" customFormat="1" ht="37.5" customHeight="1">
      <c r="A10" s="1390">
        <f t="shared" si="4"/>
        <v>2011</v>
      </c>
      <c r="B10" s="1391">
        <v>38518</v>
      </c>
      <c r="C10" s="1392">
        <v>96993</v>
      </c>
      <c r="D10" s="1393">
        <f t="shared" si="0"/>
        <v>8.0965348078242249E-3</v>
      </c>
      <c r="E10" s="1394">
        <f t="shared" si="1"/>
        <v>2.52</v>
      </c>
      <c r="F10" s="1392">
        <v>787</v>
      </c>
      <c r="G10" s="1392">
        <v>749</v>
      </c>
      <c r="H10" s="1393">
        <f t="shared" si="2"/>
        <v>3.9495291745484024E-4</v>
      </c>
      <c r="I10" s="1392">
        <v>11643</v>
      </c>
      <c r="J10" s="1392">
        <v>11178</v>
      </c>
      <c r="K10" s="1395">
        <f t="shared" si="3"/>
        <v>4.8329764899079138E-3</v>
      </c>
      <c r="L10" s="2061"/>
      <c r="M10" s="2063">
        <f t="shared" si="5"/>
        <v>-465</v>
      </c>
      <c r="N10" s="2061"/>
      <c r="O10" s="2061"/>
      <c r="P10" s="2061"/>
      <c r="Q10" s="2061"/>
      <c r="R10" s="2061"/>
      <c r="S10" s="2061"/>
      <c r="T10" s="2061"/>
      <c r="U10" s="2061"/>
      <c r="V10" s="2061"/>
      <c r="W10" s="2061"/>
      <c r="X10" s="2061"/>
      <c r="Y10" s="2062"/>
    </row>
    <row r="11" spans="1:25" s="1388" customFormat="1" ht="37.5" customHeight="1">
      <c r="A11" s="1390">
        <f t="shared" si="4"/>
        <v>2012</v>
      </c>
      <c r="B11" s="1391">
        <v>39536</v>
      </c>
      <c r="C11" s="1392">
        <v>98279</v>
      </c>
      <c r="D11" s="1393">
        <f t="shared" si="0"/>
        <v>1.3258688771354634E-2</v>
      </c>
      <c r="E11" s="1394">
        <f t="shared" si="1"/>
        <v>2.4900000000000002</v>
      </c>
      <c r="F11" s="1392">
        <v>848</v>
      </c>
      <c r="G11" s="1392">
        <v>772</v>
      </c>
      <c r="H11" s="1393">
        <f>(F11-G11)/C10</f>
        <v>7.8356170032888972E-4</v>
      </c>
      <c r="I11" s="1392">
        <v>11371</v>
      </c>
      <c r="J11" s="1392">
        <v>10100</v>
      </c>
      <c r="K11" s="1395">
        <f t="shared" si="3"/>
        <v>1.3104038435763406E-2</v>
      </c>
      <c r="L11" s="2061"/>
      <c r="M11" s="2063">
        <f t="shared" si="5"/>
        <v>-1271</v>
      </c>
      <c r="N11" s="2061"/>
      <c r="O11" s="2061"/>
      <c r="P11" s="2061"/>
      <c r="Q11" s="2061"/>
      <c r="R11" s="2061"/>
      <c r="S11" s="2061"/>
      <c r="T11" s="2061"/>
      <c r="U11" s="2061"/>
      <c r="V11" s="2061"/>
      <c r="W11" s="2061"/>
      <c r="X11" s="2061"/>
      <c r="Y11" s="2062"/>
    </row>
    <row r="12" spans="1:25" s="1388" customFormat="1" ht="37.5" customHeight="1">
      <c r="A12" s="1390">
        <f t="shared" si="4"/>
        <v>2013</v>
      </c>
      <c r="B12" s="1391">
        <v>40307</v>
      </c>
      <c r="C12" s="1392">
        <v>99952</v>
      </c>
      <c r="D12" s="1393">
        <f t="shared" si="0"/>
        <v>1.7022965231636464E-2</v>
      </c>
      <c r="E12" s="1394">
        <f t="shared" si="1"/>
        <v>2.48</v>
      </c>
      <c r="F12" s="1392">
        <v>742</v>
      </c>
      <c r="G12" s="1392">
        <v>846</v>
      </c>
      <c r="H12" s="1393">
        <f>(F12-G12)/C11</f>
        <v>-1.0582118255171502E-3</v>
      </c>
      <c r="I12" s="1392">
        <v>10555</v>
      </c>
      <c r="J12" s="1392">
        <v>10107</v>
      </c>
      <c r="K12" s="1395">
        <f t="shared" si="3"/>
        <v>4.5584509406892621E-3</v>
      </c>
      <c r="L12" s="2061"/>
      <c r="M12" s="2063">
        <f t="shared" si="5"/>
        <v>-448</v>
      </c>
      <c r="N12" s="2061"/>
      <c r="O12" s="2061"/>
      <c r="P12" s="2061"/>
      <c r="Q12" s="2061"/>
      <c r="R12" s="2061"/>
      <c r="S12" s="2061"/>
      <c r="T12" s="2061"/>
      <c r="U12" s="2061"/>
      <c r="V12" s="2061"/>
      <c r="W12" s="2061"/>
      <c r="X12" s="2061"/>
      <c r="Y12" s="2062"/>
    </row>
    <row r="13" spans="1:25" s="1388" customFormat="1" ht="37.5" customHeight="1">
      <c r="A13" s="1390">
        <f t="shared" si="4"/>
        <v>2014</v>
      </c>
      <c r="B13" s="1391">
        <v>41749</v>
      </c>
      <c r="C13" s="1392">
        <v>102796</v>
      </c>
      <c r="D13" s="1393">
        <f t="shared" si="0"/>
        <v>2.8453657755722749E-2</v>
      </c>
      <c r="E13" s="1394">
        <f t="shared" si="1"/>
        <v>2.46</v>
      </c>
      <c r="F13" s="1392">
        <v>716</v>
      </c>
      <c r="G13" s="1392">
        <v>811</v>
      </c>
      <c r="H13" s="1393">
        <f>(F13-G13)/C12</f>
        <v>-9.5045621898511283E-4</v>
      </c>
      <c r="I13" s="1392">
        <v>13053</v>
      </c>
      <c r="J13" s="1392">
        <v>11188</v>
      </c>
      <c r="K13" s="1395">
        <f t="shared" ref="K13:K14" si="6">(I13-J13)/C12</f>
        <v>1.8658956299023532E-2</v>
      </c>
      <c r="L13" s="2061"/>
      <c r="M13" s="2063">
        <f t="shared" si="5"/>
        <v>-1865</v>
      </c>
      <c r="N13" s="2061"/>
      <c r="O13" s="2061"/>
      <c r="P13" s="2061"/>
      <c r="Q13" s="2061"/>
      <c r="R13" s="2061"/>
      <c r="S13" s="2061"/>
      <c r="T13" s="2061"/>
      <c r="U13" s="2061"/>
      <c r="V13" s="2061"/>
      <c r="W13" s="2061"/>
      <c r="X13" s="2061"/>
      <c r="Y13" s="2062"/>
    </row>
    <row r="14" spans="1:25" s="1388" customFormat="1" ht="37.5" customHeight="1">
      <c r="A14" s="2064">
        <f t="shared" si="4"/>
        <v>2015</v>
      </c>
      <c r="B14" s="2065">
        <v>43279</v>
      </c>
      <c r="C14" s="2066">
        <v>104316</v>
      </c>
      <c r="D14" s="1398">
        <f t="shared" si="0"/>
        <v>1.4786567570722596E-2</v>
      </c>
      <c r="E14" s="2067">
        <f t="shared" si="1"/>
        <v>2.41</v>
      </c>
      <c r="F14" s="2066">
        <v>756</v>
      </c>
      <c r="G14" s="2066">
        <v>830</v>
      </c>
      <c r="H14" s="1398">
        <f>(F14-G14)/C13</f>
        <v>-7.1987236857465266E-4</v>
      </c>
      <c r="I14" s="2066">
        <v>13038</v>
      </c>
      <c r="J14" s="2066">
        <v>11943</v>
      </c>
      <c r="K14" s="1399">
        <f t="shared" si="6"/>
        <v>1.0652165453908713E-2</v>
      </c>
      <c r="L14" s="2068"/>
      <c r="M14" s="2069">
        <f t="shared" si="5"/>
        <v>-1095</v>
      </c>
      <c r="N14" s="2068"/>
      <c r="O14" s="2068"/>
      <c r="P14" s="2068"/>
      <c r="Q14" s="2068"/>
      <c r="R14" s="2068"/>
      <c r="S14" s="2068"/>
      <c r="T14" s="2068"/>
      <c r="U14" s="2068"/>
      <c r="V14" s="2068"/>
      <c r="W14" s="2068"/>
      <c r="X14" s="2068"/>
      <c r="Y14" s="2070"/>
    </row>
    <row r="15" spans="1:25" s="1388" customFormat="1" ht="37.5" customHeight="1">
      <c r="A15" s="1931">
        <f t="shared" si="4"/>
        <v>2016</v>
      </c>
      <c r="B15" s="2005">
        <v>44649</v>
      </c>
      <c r="C15" s="2006">
        <v>106419</v>
      </c>
      <c r="D15" s="2007">
        <f t="shared" ref="D15" si="7">(C15-C14)/C14</f>
        <v>2.0159898769124582E-2</v>
      </c>
      <c r="E15" s="2008">
        <f t="shared" ref="E15" si="8">ROUND(C15/B15,2)</f>
        <v>2.38</v>
      </c>
      <c r="F15" s="2006">
        <v>772</v>
      </c>
      <c r="G15" s="2006">
        <v>815</v>
      </c>
      <c r="H15" s="2007">
        <f>(F15-G15)/C14</f>
        <v>-4.1220905709574753E-4</v>
      </c>
      <c r="I15" s="2006">
        <v>12210</v>
      </c>
      <c r="J15" s="2006">
        <v>10825</v>
      </c>
      <c r="K15" s="2009">
        <f t="shared" ref="K15" si="9">(I15-J15)/C14</f>
        <v>1.3276966141339776E-2</v>
      </c>
      <c r="M15" s="1396">
        <f t="shared" si="5"/>
        <v>-1385</v>
      </c>
    </row>
    <row r="16" spans="1:25" s="1388" customFormat="1" ht="37.5" customHeight="1">
      <c r="A16" s="2109" t="s">
        <v>1521</v>
      </c>
      <c r="B16" s="2110"/>
      <c r="C16" s="2111"/>
      <c r="D16" s="2112">
        <f>AVERAGE(D11:D15)</f>
        <v>1.8736355619712205E-2</v>
      </c>
      <c r="E16" s="2111"/>
      <c r="F16" s="2111"/>
      <c r="G16" s="2111"/>
      <c r="H16" s="2112">
        <f>AVERAGE(H11:H15)</f>
        <v>-4.7143755396875472E-4</v>
      </c>
      <c r="I16" s="2111"/>
      <c r="J16" s="2111"/>
      <c r="K16" s="2113">
        <f>AVERAGE(K11:K15)</f>
        <v>1.2050115454144937E-2</v>
      </c>
    </row>
    <row r="17" spans="1:25" s="1388" customFormat="1" ht="37.5" customHeight="1">
      <c r="A17" s="2158" t="s">
        <v>1522</v>
      </c>
      <c r="B17" s="2159"/>
      <c r="C17" s="2160"/>
      <c r="D17" s="2161">
        <f>AVERAGE(D6:D15)</f>
        <v>1.674259269861457E-2</v>
      </c>
      <c r="E17" s="2160"/>
      <c r="F17" s="2160"/>
      <c r="G17" s="2160"/>
      <c r="H17" s="2161">
        <f>AVERAGE(H6:H15)</f>
        <v>2.311520969216255E-4</v>
      </c>
      <c r="I17" s="2160"/>
      <c r="J17" s="2160"/>
      <c r="K17" s="2162">
        <f>AVERAGE(K6:K15)</f>
        <v>9.2977939766478064E-3</v>
      </c>
      <c r="L17" s="2059"/>
      <c r="M17" s="2059"/>
      <c r="N17" s="2059"/>
      <c r="O17" s="2059"/>
      <c r="P17" s="2059"/>
      <c r="Q17" s="2059"/>
      <c r="R17" s="2059"/>
      <c r="S17" s="2059"/>
      <c r="T17" s="2059"/>
      <c r="U17" s="2059"/>
      <c r="V17" s="2059"/>
      <c r="W17" s="2059"/>
      <c r="X17" s="2059"/>
      <c r="Y17" s="2060"/>
    </row>
    <row r="18" spans="1:25" s="1388" customFormat="1" ht="18.75" customHeight="1">
      <c r="A18" s="2163" t="s">
        <v>1538</v>
      </c>
      <c r="B18" s="2164"/>
      <c r="C18" s="2165"/>
      <c r="D18" s="2165"/>
      <c r="E18" s="2165"/>
      <c r="F18" s="2165"/>
      <c r="G18" s="2165"/>
      <c r="H18" s="2165"/>
      <c r="I18" s="2165"/>
      <c r="J18" s="2165"/>
      <c r="K18" s="2165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2"/>
    </row>
    <row r="19" spans="1:25" s="1388" customFormat="1" ht="15" customHeight="1">
      <c r="A19" s="2166"/>
      <c r="B19" s="2061"/>
      <c r="C19" s="2061"/>
      <c r="D19" s="2061"/>
      <c r="E19" s="2061"/>
      <c r="F19" s="2061"/>
      <c r="G19" s="2061"/>
      <c r="H19" s="2061"/>
      <c r="I19" s="2061"/>
      <c r="J19" s="2061"/>
      <c r="K19" s="2061"/>
      <c r="L19" s="2061"/>
      <c r="M19" s="2061"/>
      <c r="N19" s="2061"/>
      <c r="O19" s="2061"/>
      <c r="P19" s="2061"/>
      <c r="Q19" s="2061"/>
      <c r="R19" s="2061"/>
      <c r="S19" s="2061"/>
      <c r="T19" s="2061"/>
      <c r="U19" s="2061"/>
      <c r="V19" s="2061"/>
      <c r="W19" s="2061"/>
      <c r="X19" s="2061"/>
      <c r="Y19" s="2062"/>
    </row>
    <row r="20" spans="1:25" s="1388" customFormat="1" ht="15" customHeight="1">
      <c r="A20" s="2166"/>
      <c r="B20" s="2061"/>
      <c r="C20" s="2061"/>
      <c r="D20" s="2061"/>
      <c r="E20" s="2061"/>
      <c r="F20" s="2061"/>
      <c r="G20" s="2061"/>
      <c r="H20" s="2061"/>
      <c r="I20" s="2061"/>
      <c r="J20" s="2061"/>
      <c r="K20" s="2061"/>
      <c r="L20" s="2061"/>
      <c r="M20" s="2061"/>
      <c r="N20" s="2061"/>
      <c r="O20" s="2061"/>
      <c r="P20" s="2061"/>
      <c r="Q20" s="2061"/>
      <c r="R20" s="2061"/>
      <c r="S20" s="2061"/>
      <c r="T20" s="2061"/>
      <c r="U20" s="2061"/>
      <c r="V20" s="2061"/>
      <c r="W20" s="2061"/>
      <c r="X20" s="2061"/>
      <c r="Y20" s="2062"/>
    </row>
    <row r="21" spans="1:25" s="1388" customFormat="1" ht="15" customHeight="1">
      <c r="A21" s="2166"/>
      <c r="B21" s="2061"/>
      <c r="C21" s="2061"/>
      <c r="D21" s="2061"/>
      <c r="E21" s="2061"/>
      <c r="F21" s="2061"/>
      <c r="G21" s="2061"/>
      <c r="H21" s="2061"/>
      <c r="I21" s="2061"/>
      <c r="J21" s="2061"/>
      <c r="K21" s="2061"/>
      <c r="L21" s="2061"/>
      <c r="M21" s="2061"/>
      <c r="N21" s="2061"/>
      <c r="O21" s="2061"/>
      <c r="P21" s="2061"/>
      <c r="Q21" s="2061"/>
      <c r="R21" s="2061"/>
      <c r="S21" s="2061"/>
      <c r="T21" s="2061"/>
      <c r="U21" s="2061"/>
      <c r="V21" s="2061"/>
      <c r="W21" s="2061"/>
      <c r="X21" s="2061"/>
      <c r="Y21" s="2062"/>
    </row>
    <row r="22" spans="1:25" s="1388" customFormat="1" ht="15" customHeight="1">
      <c r="A22" s="2166"/>
      <c r="B22" s="2061"/>
      <c r="C22" s="2061"/>
      <c r="D22" s="2061"/>
      <c r="E22" s="2061"/>
      <c r="F22" s="2061"/>
      <c r="G22" s="2061"/>
      <c r="H22" s="2061"/>
      <c r="I22" s="2061"/>
      <c r="J22" s="2061"/>
      <c r="K22" s="2061"/>
      <c r="L22" s="2061"/>
      <c r="M22" s="2061"/>
      <c r="N22" s="2061"/>
      <c r="O22" s="2061"/>
      <c r="P22" s="2061"/>
      <c r="Q22" s="2061"/>
      <c r="R22" s="2061"/>
      <c r="S22" s="2061"/>
      <c r="T22" s="2061"/>
      <c r="U22" s="2061"/>
      <c r="V22" s="2061"/>
      <c r="W22" s="2061"/>
      <c r="X22" s="2061"/>
      <c r="Y22" s="2062"/>
    </row>
    <row r="23" spans="1:25" s="1388" customFormat="1" ht="15" customHeight="1">
      <c r="A23" s="2166"/>
      <c r="B23" s="2061"/>
      <c r="C23" s="2061"/>
      <c r="D23" s="2061"/>
      <c r="E23" s="2061"/>
      <c r="F23" s="2061"/>
      <c r="G23" s="2061"/>
      <c r="H23" s="2061"/>
      <c r="I23" s="2061"/>
      <c r="J23" s="2061"/>
      <c r="K23" s="2061"/>
      <c r="L23" s="2061"/>
      <c r="M23" s="2061"/>
      <c r="N23" s="2061"/>
      <c r="O23" s="2061"/>
      <c r="P23" s="2061"/>
      <c r="Q23" s="2061"/>
      <c r="R23" s="2061"/>
      <c r="S23" s="2061"/>
      <c r="T23" s="2061"/>
      <c r="U23" s="2061"/>
      <c r="V23" s="2061"/>
      <c r="W23" s="2061"/>
      <c r="X23" s="2061"/>
      <c r="Y23" s="2062"/>
    </row>
    <row r="24" spans="1:25" s="1388" customFormat="1" ht="15" customHeight="1">
      <c r="A24" s="2166"/>
      <c r="B24" s="2061"/>
      <c r="C24" s="2061"/>
      <c r="D24" s="2061"/>
      <c r="E24" s="2061"/>
      <c r="F24" s="2061"/>
      <c r="G24" s="2061"/>
      <c r="H24" s="2061"/>
      <c r="I24" s="2061"/>
      <c r="J24" s="2061"/>
      <c r="K24" s="2061"/>
      <c r="L24" s="2061"/>
      <c r="M24" s="2061"/>
      <c r="N24" s="2061"/>
      <c r="O24" s="2061"/>
      <c r="P24" s="2061"/>
      <c r="Q24" s="2061"/>
      <c r="R24" s="2061"/>
      <c r="S24" s="2061"/>
      <c r="T24" s="2061"/>
      <c r="U24" s="2061"/>
      <c r="V24" s="2061"/>
      <c r="W24" s="2061"/>
      <c r="X24" s="2061"/>
      <c r="Y24" s="2062"/>
    </row>
    <row r="25" spans="1:25" s="1388" customFormat="1" ht="15" customHeight="1">
      <c r="A25" s="2166"/>
      <c r="B25" s="2061"/>
      <c r="C25" s="2061"/>
      <c r="D25" s="2061"/>
      <c r="E25" s="2061"/>
      <c r="F25" s="2061"/>
      <c r="G25" s="2061"/>
      <c r="H25" s="2061"/>
      <c r="I25" s="2061"/>
      <c r="J25" s="2061"/>
      <c r="K25" s="2061"/>
      <c r="L25" s="2061"/>
      <c r="M25" s="2061"/>
      <c r="N25" s="2061"/>
      <c r="O25" s="2061"/>
      <c r="P25" s="2061"/>
      <c r="Q25" s="2061"/>
      <c r="R25" s="2061"/>
      <c r="S25" s="2061"/>
      <c r="T25" s="2061"/>
      <c r="U25" s="2061"/>
      <c r="V25" s="2061"/>
      <c r="W25" s="2061"/>
      <c r="X25" s="2061"/>
      <c r="Y25" s="2062"/>
    </row>
    <row r="26" spans="1:25" s="1388" customFormat="1" ht="15" customHeight="1">
      <c r="A26" s="2166"/>
      <c r="B26" s="2061"/>
      <c r="C26" s="2061"/>
      <c r="D26" s="2061"/>
      <c r="E26" s="2061"/>
      <c r="F26" s="2061"/>
      <c r="G26" s="2061"/>
      <c r="H26" s="2061"/>
      <c r="I26" s="2061"/>
      <c r="J26" s="2061"/>
      <c r="K26" s="2061"/>
      <c r="L26" s="2061"/>
      <c r="M26" s="2061"/>
      <c r="N26" s="2061"/>
      <c r="O26" s="2061"/>
      <c r="P26" s="2061"/>
      <c r="Q26" s="2061"/>
      <c r="R26" s="2061"/>
      <c r="S26" s="2061"/>
      <c r="T26" s="2061"/>
      <c r="U26" s="2061"/>
      <c r="V26" s="2061"/>
      <c r="W26" s="2061"/>
      <c r="X26" s="2061"/>
      <c r="Y26" s="2062"/>
    </row>
    <row r="27" spans="1:25" s="1388" customFormat="1" ht="15" customHeight="1">
      <c r="A27" s="2166"/>
      <c r="B27" s="2061"/>
      <c r="C27" s="2061"/>
      <c r="D27" s="2061"/>
      <c r="E27" s="2061"/>
      <c r="F27" s="2061"/>
      <c r="G27" s="2061"/>
      <c r="H27" s="2061"/>
      <c r="I27" s="2061"/>
      <c r="J27" s="2061"/>
      <c r="K27" s="2061"/>
      <c r="L27" s="2061"/>
      <c r="M27" s="2061"/>
      <c r="N27" s="2061"/>
      <c r="O27" s="2061"/>
      <c r="P27" s="2061"/>
      <c r="Q27" s="2061"/>
      <c r="R27" s="2061"/>
      <c r="S27" s="2061"/>
      <c r="T27" s="2061"/>
      <c r="U27" s="2061"/>
      <c r="V27" s="2061"/>
      <c r="W27" s="2061"/>
      <c r="X27" s="2061"/>
      <c r="Y27" s="2062"/>
    </row>
    <row r="28" spans="1:25" s="1388" customFormat="1" ht="15" customHeight="1">
      <c r="A28" s="2167"/>
      <c r="B28" s="2068"/>
      <c r="C28" s="2068"/>
      <c r="D28" s="2068"/>
      <c r="E28" s="2068"/>
      <c r="F28" s="2068"/>
      <c r="G28" s="2068"/>
      <c r="H28" s="2068"/>
      <c r="I28" s="2068"/>
      <c r="J28" s="2068"/>
      <c r="K28" s="2068"/>
      <c r="L28" s="2068"/>
      <c r="M28" s="2068"/>
      <c r="N28" s="2068"/>
      <c r="O28" s="2068"/>
      <c r="P28" s="2068"/>
      <c r="Q28" s="2068"/>
      <c r="R28" s="2068"/>
      <c r="S28" s="2068"/>
      <c r="T28" s="2068"/>
      <c r="U28" s="2068"/>
      <c r="V28" s="2068"/>
      <c r="W28" s="2068"/>
      <c r="X28" s="2068"/>
      <c r="Y28" s="2070"/>
    </row>
    <row r="29" spans="1:25" s="1388" customFormat="1" ht="15" customHeight="1"/>
    <row r="30" spans="1:25" s="1388" customFormat="1" ht="15" customHeight="1"/>
    <row r="31" spans="1:25" s="1388" customFormat="1" ht="15" customHeight="1"/>
    <row r="32" spans="1:25" s="1388" customFormat="1" ht="15" customHeight="1"/>
    <row r="33" s="1388" customFormat="1" ht="15" customHeight="1"/>
    <row r="34" s="1400" customFormat="1" ht="15" customHeight="1"/>
    <row r="35" s="1400" customFormat="1" ht="15" customHeight="1"/>
    <row r="36" s="1400" customFormat="1" ht="15" customHeight="1"/>
    <row r="37" s="1400" customFormat="1" ht="15" customHeight="1"/>
    <row r="38" s="1400" customFormat="1" ht="15" customHeight="1"/>
    <row r="39" s="1400" customFormat="1" ht="15" customHeight="1"/>
    <row r="40" s="1400" customFormat="1" ht="15" customHeight="1"/>
    <row r="41" s="1400" customFormat="1" ht="15" customHeight="1"/>
    <row r="42" s="1400" customFormat="1" ht="15" customHeight="1"/>
    <row r="43" s="1400" customFormat="1" ht="15" customHeight="1"/>
    <row r="44" s="1400" customFormat="1" ht="15" customHeight="1"/>
    <row r="45" s="1400" customFormat="1" ht="15" customHeight="1"/>
    <row r="46" s="1400" customFormat="1" ht="15" customHeight="1"/>
    <row r="47" s="1400" customFormat="1" ht="15" customHeight="1"/>
    <row r="48" s="1400" customFormat="1" ht="15" customHeight="1"/>
    <row r="49" s="1400" customFormat="1" ht="15" customHeight="1"/>
    <row r="50" s="1400" customFormat="1" ht="15" customHeight="1"/>
    <row r="51" s="1400" customFormat="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</sheetData>
  <mergeCells count="6">
    <mergeCell ref="I3:K3"/>
    <mergeCell ref="A3:A4"/>
    <mergeCell ref="B3:B4"/>
    <mergeCell ref="C3:D3"/>
    <mergeCell ref="E3:E4"/>
    <mergeCell ref="F3:H3"/>
  </mergeCells>
  <phoneticPr fontId="3" type="noConversion"/>
  <printOptions horizontalCentered="1"/>
  <pageMargins left="0.39370078740157483" right="0.39370078740157483" top="0.78740157480314965" bottom="0.78740157480314965" header="0.51181102362204722" footer="0.51181102362204722"/>
  <pageSetup paperSize="9" scale="86" fitToHeight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AF52"/>
  <sheetViews>
    <sheetView view="pageBreakPreview" zoomScaleNormal="100" zoomScaleSheetLayoutView="100" workbookViewId="0"/>
  </sheetViews>
  <sheetFormatPr defaultRowHeight="13.5" outlineLevelCol="1"/>
  <cols>
    <col min="1" max="2" width="2" style="1424" customWidth="1"/>
    <col min="3" max="3" width="7.625" style="1424" customWidth="1"/>
    <col min="4" max="6" width="7.625" style="1424" hidden="1" customWidth="1" outlineLevel="1"/>
    <col min="7" max="7" width="7.625" style="1424" customWidth="1" collapsed="1"/>
    <col min="8" max="25" width="7.625" style="1424" customWidth="1"/>
    <col min="26" max="26" width="7.625" style="1424" hidden="1" customWidth="1"/>
    <col min="27" max="255" width="9" style="1424"/>
    <col min="256" max="256" width="1" style="1424" customWidth="1"/>
    <col min="257" max="258" width="2" style="1424" customWidth="1"/>
    <col min="259" max="282" width="7.625" style="1424" customWidth="1"/>
    <col min="283" max="511" width="9" style="1424"/>
    <col min="512" max="512" width="1" style="1424" customWidth="1"/>
    <col min="513" max="514" width="2" style="1424" customWidth="1"/>
    <col min="515" max="538" width="7.625" style="1424" customWidth="1"/>
    <col min="539" max="767" width="9" style="1424"/>
    <col min="768" max="768" width="1" style="1424" customWidth="1"/>
    <col min="769" max="770" width="2" style="1424" customWidth="1"/>
    <col min="771" max="794" width="7.625" style="1424" customWidth="1"/>
    <col min="795" max="1023" width="9" style="1424"/>
    <col min="1024" max="1024" width="1" style="1424" customWidth="1"/>
    <col min="1025" max="1026" width="2" style="1424" customWidth="1"/>
    <col min="1027" max="1050" width="7.625" style="1424" customWidth="1"/>
    <col min="1051" max="1279" width="9" style="1424"/>
    <col min="1280" max="1280" width="1" style="1424" customWidth="1"/>
    <col min="1281" max="1282" width="2" style="1424" customWidth="1"/>
    <col min="1283" max="1306" width="7.625" style="1424" customWidth="1"/>
    <col min="1307" max="1535" width="9" style="1424"/>
    <col min="1536" max="1536" width="1" style="1424" customWidth="1"/>
    <col min="1537" max="1538" width="2" style="1424" customWidth="1"/>
    <col min="1539" max="1562" width="7.625" style="1424" customWidth="1"/>
    <col min="1563" max="1791" width="9" style="1424"/>
    <col min="1792" max="1792" width="1" style="1424" customWidth="1"/>
    <col min="1793" max="1794" width="2" style="1424" customWidth="1"/>
    <col min="1795" max="1818" width="7.625" style="1424" customWidth="1"/>
    <col min="1819" max="2047" width="9" style="1424"/>
    <col min="2048" max="2048" width="1" style="1424" customWidth="1"/>
    <col min="2049" max="2050" width="2" style="1424" customWidth="1"/>
    <col min="2051" max="2074" width="7.625" style="1424" customWidth="1"/>
    <col min="2075" max="2303" width="9" style="1424"/>
    <col min="2304" max="2304" width="1" style="1424" customWidth="1"/>
    <col min="2305" max="2306" width="2" style="1424" customWidth="1"/>
    <col min="2307" max="2330" width="7.625" style="1424" customWidth="1"/>
    <col min="2331" max="2559" width="9" style="1424"/>
    <col min="2560" max="2560" width="1" style="1424" customWidth="1"/>
    <col min="2561" max="2562" width="2" style="1424" customWidth="1"/>
    <col min="2563" max="2586" width="7.625" style="1424" customWidth="1"/>
    <col min="2587" max="2815" width="9" style="1424"/>
    <col min="2816" max="2816" width="1" style="1424" customWidth="1"/>
    <col min="2817" max="2818" width="2" style="1424" customWidth="1"/>
    <col min="2819" max="2842" width="7.625" style="1424" customWidth="1"/>
    <col min="2843" max="3071" width="9" style="1424"/>
    <col min="3072" max="3072" width="1" style="1424" customWidth="1"/>
    <col min="3073" max="3074" width="2" style="1424" customWidth="1"/>
    <col min="3075" max="3098" width="7.625" style="1424" customWidth="1"/>
    <col min="3099" max="3327" width="9" style="1424"/>
    <col min="3328" max="3328" width="1" style="1424" customWidth="1"/>
    <col min="3329" max="3330" width="2" style="1424" customWidth="1"/>
    <col min="3331" max="3354" width="7.625" style="1424" customWidth="1"/>
    <col min="3355" max="3583" width="9" style="1424"/>
    <col min="3584" max="3584" width="1" style="1424" customWidth="1"/>
    <col min="3585" max="3586" width="2" style="1424" customWidth="1"/>
    <col min="3587" max="3610" width="7.625" style="1424" customWidth="1"/>
    <col min="3611" max="3839" width="9" style="1424"/>
    <col min="3840" max="3840" width="1" style="1424" customWidth="1"/>
    <col min="3841" max="3842" width="2" style="1424" customWidth="1"/>
    <col min="3843" max="3866" width="7.625" style="1424" customWidth="1"/>
    <col min="3867" max="4095" width="9" style="1424"/>
    <col min="4096" max="4096" width="1" style="1424" customWidth="1"/>
    <col min="4097" max="4098" width="2" style="1424" customWidth="1"/>
    <col min="4099" max="4122" width="7.625" style="1424" customWidth="1"/>
    <col min="4123" max="4351" width="9" style="1424"/>
    <col min="4352" max="4352" width="1" style="1424" customWidth="1"/>
    <col min="4353" max="4354" width="2" style="1424" customWidth="1"/>
    <col min="4355" max="4378" width="7.625" style="1424" customWidth="1"/>
    <col min="4379" max="4607" width="9" style="1424"/>
    <col min="4608" max="4608" width="1" style="1424" customWidth="1"/>
    <col min="4609" max="4610" width="2" style="1424" customWidth="1"/>
    <col min="4611" max="4634" width="7.625" style="1424" customWidth="1"/>
    <col min="4635" max="4863" width="9" style="1424"/>
    <col min="4864" max="4864" width="1" style="1424" customWidth="1"/>
    <col min="4865" max="4866" width="2" style="1424" customWidth="1"/>
    <col min="4867" max="4890" width="7.625" style="1424" customWidth="1"/>
    <col min="4891" max="5119" width="9" style="1424"/>
    <col min="5120" max="5120" width="1" style="1424" customWidth="1"/>
    <col min="5121" max="5122" width="2" style="1424" customWidth="1"/>
    <col min="5123" max="5146" width="7.625" style="1424" customWidth="1"/>
    <col min="5147" max="5375" width="9" style="1424"/>
    <col min="5376" max="5376" width="1" style="1424" customWidth="1"/>
    <col min="5377" max="5378" width="2" style="1424" customWidth="1"/>
    <col min="5379" max="5402" width="7.625" style="1424" customWidth="1"/>
    <col min="5403" max="5631" width="9" style="1424"/>
    <col min="5632" max="5632" width="1" style="1424" customWidth="1"/>
    <col min="5633" max="5634" width="2" style="1424" customWidth="1"/>
    <col min="5635" max="5658" width="7.625" style="1424" customWidth="1"/>
    <col min="5659" max="5887" width="9" style="1424"/>
    <col min="5888" max="5888" width="1" style="1424" customWidth="1"/>
    <col min="5889" max="5890" width="2" style="1424" customWidth="1"/>
    <col min="5891" max="5914" width="7.625" style="1424" customWidth="1"/>
    <col min="5915" max="6143" width="9" style="1424"/>
    <col min="6144" max="6144" width="1" style="1424" customWidth="1"/>
    <col min="6145" max="6146" width="2" style="1424" customWidth="1"/>
    <col min="6147" max="6170" width="7.625" style="1424" customWidth="1"/>
    <col min="6171" max="6399" width="9" style="1424"/>
    <col min="6400" max="6400" width="1" style="1424" customWidth="1"/>
    <col min="6401" max="6402" width="2" style="1424" customWidth="1"/>
    <col min="6403" max="6426" width="7.625" style="1424" customWidth="1"/>
    <col min="6427" max="6655" width="9" style="1424"/>
    <col min="6656" max="6656" width="1" style="1424" customWidth="1"/>
    <col min="6657" max="6658" width="2" style="1424" customWidth="1"/>
    <col min="6659" max="6682" width="7.625" style="1424" customWidth="1"/>
    <col min="6683" max="6911" width="9" style="1424"/>
    <col min="6912" max="6912" width="1" style="1424" customWidth="1"/>
    <col min="6913" max="6914" width="2" style="1424" customWidth="1"/>
    <col min="6915" max="6938" width="7.625" style="1424" customWidth="1"/>
    <col min="6939" max="7167" width="9" style="1424"/>
    <col min="7168" max="7168" width="1" style="1424" customWidth="1"/>
    <col min="7169" max="7170" width="2" style="1424" customWidth="1"/>
    <col min="7171" max="7194" width="7.625" style="1424" customWidth="1"/>
    <col min="7195" max="7423" width="9" style="1424"/>
    <col min="7424" max="7424" width="1" style="1424" customWidth="1"/>
    <col min="7425" max="7426" width="2" style="1424" customWidth="1"/>
    <col min="7427" max="7450" width="7.625" style="1424" customWidth="1"/>
    <col min="7451" max="7679" width="9" style="1424"/>
    <col min="7680" max="7680" width="1" style="1424" customWidth="1"/>
    <col min="7681" max="7682" width="2" style="1424" customWidth="1"/>
    <col min="7683" max="7706" width="7.625" style="1424" customWidth="1"/>
    <col min="7707" max="7935" width="9" style="1424"/>
    <col min="7936" max="7936" width="1" style="1424" customWidth="1"/>
    <col min="7937" max="7938" width="2" style="1424" customWidth="1"/>
    <col min="7939" max="7962" width="7.625" style="1424" customWidth="1"/>
    <col min="7963" max="8191" width="9" style="1424"/>
    <col min="8192" max="8192" width="1" style="1424" customWidth="1"/>
    <col min="8193" max="8194" width="2" style="1424" customWidth="1"/>
    <col min="8195" max="8218" width="7.625" style="1424" customWidth="1"/>
    <col min="8219" max="8447" width="9" style="1424"/>
    <col min="8448" max="8448" width="1" style="1424" customWidth="1"/>
    <col min="8449" max="8450" width="2" style="1424" customWidth="1"/>
    <col min="8451" max="8474" width="7.625" style="1424" customWidth="1"/>
    <col min="8475" max="8703" width="9" style="1424"/>
    <col min="8704" max="8704" width="1" style="1424" customWidth="1"/>
    <col min="8705" max="8706" width="2" style="1424" customWidth="1"/>
    <col min="8707" max="8730" width="7.625" style="1424" customWidth="1"/>
    <col min="8731" max="8959" width="9" style="1424"/>
    <col min="8960" max="8960" width="1" style="1424" customWidth="1"/>
    <col min="8961" max="8962" width="2" style="1424" customWidth="1"/>
    <col min="8963" max="8986" width="7.625" style="1424" customWidth="1"/>
    <col min="8987" max="9215" width="9" style="1424"/>
    <col min="9216" max="9216" width="1" style="1424" customWidth="1"/>
    <col min="9217" max="9218" width="2" style="1424" customWidth="1"/>
    <col min="9219" max="9242" width="7.625" style="1424" customWidth="1"/>
    <col min="9243" max="9471" width="9" style="1424"/>
    <col min="9472" max="9472" width="1" style="1424" customWidth="1"/>
    <col min="9473" max="9474" width="2" style="1424" customWidth="1"/>
    <col min="9475" max="9498" width="7.625" style="1424" customWidth="1"/>
    <col min="9499" max="9727" width="9" style="1424"/>
    <col min="9728" max="9728" width="1" style="1424" customWidth="1"/>
    <col min="9729" max="9730" width="2" style="1424" customWidth="1"/>
    <col min="9731" max="9754" width="7.625" style="1424" customWidth="1"/>
    <col min="9755" max="9983" width="9" style="1424"/>
    <col min="9984" max="9984" width="1" style="1424" customWidth="1"/>
    <col min="9985" max="9986" width="2" style="1424" customWidth="1"/>
    <col min="9987" max="10010" width="7.625" style="1424" customWidth="1"/>
    <col min="10011" max="10239" width="9" style="1424"/>
    <col min="10240" max="10240" width="1" style="1424" customWidth="1"/>
    <col min="10241" max="10242" width="2" style="1424" customWidth="1"/>
    <col min="10243" max="10266" width="7.625" style="1424" customWidth="1"/>
    <col min="10267" max="10495" width="9" style="1424"/>
    <col min="10496" max="10496" width="1" style="1424" customWidth="1"/>
    <col min="10497" max="10498" width="2" style="1424" customWidth="1"/>
    <col min="10499" max="10522" width="7.625" style="1424" customWidth="1"/>
    <col min="10523" max="10751" width="9" style="1424"/>
    <col min="10752" max="10752" width="1" style="1424" customWidth="1"/>
    <col min="10753" max="10754" width="2" style="1424" customWidth="1"/>
    <col min="10755" max="10778" width="7.625" style="1424" customWidth="1"/>
    <col min="10779" max="11007" width="9" style="1424"/>
    <col min="11008" max="11008" width="1" style="1424" customWidth="1"/>
    <col min="11009" max="11010" width="2" style="1424" customWidth="1"/>
    <col min="11011" max="11034" width="7.625" style="1424" customWidth="1"/>
    <col min="11035" max="11263" width="9" style="1424"/>
    <col min="11264" max="11264" width="1" style="1424" customWidth="1"/>
    <col min="11265" max="11266" width="2" style="1424" customWidth="1"/>
    <col min="11267" max="11290" width="7.625" style="1424" customWidth="1"/>
    <col min="11291" max="11519" width="9" style="1424"/>
    <col min="11520" max="11520" width="1" style="1424" customWidth="1"/>
    <col min="11521" max="11522" width="2" style="1424" customWidth="1"/>
    <col min="11523" max="11546" width="7.625" style="1424" customWidth="1"/>
    <col min="11547" max="11775" width="9" style="1424"/>
    <col min="11776" max="11776" width="1" style="1424" customWidth="1"/>
    <col min="11777" max="11778" width="2" style="1424" customWidth="1"/>
    <col min="11779" max="11802" width="7.625" style="1424" customWidth="1"/>
    <col min="11803" max="12031" width="9" style="1424"/>
    <col min="12032" max="12032" width="1" style="1424" customWidth="1"/>
    <col min="12033" max="12034" width="2" style="1424" customWidth="1"/>
    <col min="12035" max="12058" width="7.625" style="1424" customWidth="1"/>
    <col min="12059" max="12287" width="9" style="1424"/>
    <col min="12288" max="12288" width="1" style="1424" customWidth="1"/>
    <col min="12289" max="12290" width="2" style="1424" customWidth="1"/>
    <col min="12291" max="12314" width="7.625" style="1424" customWidth="1"/>
    <col min="12315" max="12543" width="9" style="1424"/>
    <col min="12544" max="12544" width="1" style="1424" customWidth="1"/>
    <col min="12545" max="12546" width="2" style="1424" customWidth="1"/>
    <col min="12547" max="12570" width="7.625" style="1424" customWidth="1"/>
    <col min="12571" max="12799" width="9" style="1424"/>
    <col min="12800" max="12800" width="1" style="1424" customWidth="1"/>
    <col min="12801" max="12802" width="2" style="1424" customWidth="1"/>
    <col min="12803" max="12826" width="7.625" style="1424" customWidth="1"/>
    <col min="12827" max="13055" width="9" style="1424"/>
    <col min="13056" max="13056" width="1" style="1424" customWidth="1"/>
    <col min="13057" max="13058" width="2" style="1424" customWidth="1"/>
    <col min="13059" max="13082" width="7.625" style="1424" customWidth="1"/>
    <col min="13083" max="13311" width="9" style="1424"/>
    <col min="13312" max="13312" width="1" style="1424" customWidth="1"/>
    <col min="13313" max="13314" width="2" style="1424" customWidth="1"/>
    <col min="13315" max="13338" width="7.625" style="1424" customWidth="1"/>
    <col min="13339" max="13567" width="9" style="1424"/>
    <col min="13568" max="13568" width="1" style="1424" customWidth="1"/>
    <col min="13569" max="13570" width="2" style="1424" customWidth="1"/>
    <col min="13571" max="13594" width="7.625" style="1424" customWidth="1"/>
    <col min="13595" max="13823" width="9" style="1424"/>
    <col min="13824" max="13824" width="1" style="1424" customWidth="1"/>
    <col min="13825" max="13826" width="2" style="1424" customWidth="1"/>
    <col min="13827" max="13850" width="7.625" style="1424" customWidth="1"/>
    <col min="13851" max="14079" width="9" style="1424"/>
    <col min="14080" max="14080" width="1" style="1424" customWidth="1"/>
    <col min="14081" max="14082" width="2" style="1424" customWidth="1"/>
    <col min="14083" max="14106" width="7.625" style="1424" customWidth="1"/>
    <col min="14107" max="14335" width="9" style="1424"/>
    <col min="14336" max="14336" width="1" style="1424" customWidth="1"/>
    <col min="14337" max="14338" width="2" style="1424" customWidth="1"/>
    <col min="14339" max="14362" width="7.625" style="1424" customWidth="1"/>
    <col min="14363" max="14591" width="9" style="1424"/>
    <col min="14592" max="14592" width="1" style="1424" customWidth="1"/>
    <col min="14593" max="14594" width="2" style="1424" customWidth="1"/>
    <col min="14595" max="14618" width="7.625" style="1424" customWidth="1"/>
    <col min="14619" max="14847" width="9" style="1424"/>
    <col min="14848" max="14848" width="1" style="1424" customWidth="1"/>
    <col min="14849" max="14850" width="2" style="1424" customWidth="1"/>
    <col min="14851" max="14874" width="7.625" style="1424" customWidth="1"/>
    <col min="14875" max="15103" width="9" style="1424"/>
    <col min="15104" max="15104" width="1" style="1424" customWidth="1"/>
    <col min="15105" max="15106" width="2" style="1424" customWidth="1"/>
    <col min="15107" max="15130" width="7.625" style="1424" customWidth="1"/>
    <col min="15131" max="15359" width="9" style="1424"/>
    <col min="15360" max="15360" width="1" style="1424" customWidth="1"/>
    <col min="15361" max="15362" width="2" style="1424" customWidth="1"/>
    <col min="15363" max="15386" width="7.625" style="1424" customWidth="1"/>
    <col min="15387" max="15615" width="9" style="1424"/>
    <col min="15616" max="15616" width="1" style="1424" customWidth="1"/>
    <col min="15617" max="15618" width="2" style="1424" customWidth="1"/>
    <col min="15619" max="15642" width="7.625" style="1424" customWidth="1"/>
    <col min="15643" max="15871" width="9" style="1424"/>
    <col min="15872" max="15872" width="1" style="1424" customWidth="1"/>
    <col min="15873" max="15874" width="2" style="1424" customWidth="1"/>
    <col min="15875" max="15898" width="7.625" style="1424" customWidth="1"/>
    <col min="15899" max="16127" width="9" style="1424"/>
    <col min="16128" max="16128" width="1" style="1424" customWidth="1"/>
    <col min="16129" max="16130" width="2" style="1424" customWidth="1"/>
    <col min="16131" max="16154" width="7.625" style="1424" customWidth="1"/>
    <col min="16155" max="16384" width="9" style="1424"/>
  </cols>
  <sheetData>
    <row r="1" spans="1:32" s="1384" customFormat="1" ht="22.5" customHeight="1">
      <c r="A1" s="1382" t="s">
        <v>1523</v>
      </c>
      <c r="AB1" s="1402"/>
      <c r="AC1" s="1386"/>
      <c r="AD1" s="1403"/>
      <c r="AE1" s="1402"/>
      <c r="AF1" s="1402"/>
    </row>
    <row r="2" spans="1:32" s="1386" customFormat="1" ht="22.5" customHeight="1">
      <c r="A2" s="1404" t="s">
        <v>1524</v>
      </c>
      <c r="J2" s="1387"/>
      <c r="AB2" s="1402"/>
      <c r="AD2" s="1403"/>
      <c r="AE2" s="1402"/>
      <c r="AF2" s="1402"/>
    </row>
    <row r="3" spans="1:32" s="1408" customFormat="1" ht="35.25" customHeight="1">
      <c r="A3" s="2338" t="s">
        <v>1525</v>
      </c>
      <c r="B3" s="2339"/>
      <c r="C3" s="2340"/>
      <c r="D3" s="1405">
        <v>2014</v>
      </c>
      <c r="E3" s="1405">
        <f>D3+1</f>
        <v>2015</v>
      </c>
      <c r="F3" s="1405">
        <f t="shared" ref="F3:Z3" si="0">E3+1</f>
        <v>2016</v>
      </c>
      <c r="G3" s="1405">
        <f t="shared" si="0"/>
        <v>2017</v>
      </c>
      <c r="H3" s="1405">
        <f t="shared" si="0"/>
        <v>2018</v>
      </c>
      <c r="I3" s="1405">
        <f t="shared" si="0"/>
        <v>2019</v>
      </c>
      <c r="J3" s="1405">
        <f t="shared" si="0"/>
        <v>2020</v>
      </c>
      <c r="K3" s="1405">
        <f t="shared" si="0"/>
        <v>2021</v>
      </c>
      <c r="L3" s="1405">
        <f t="shared" si="0"/>
        <v>2022</v>
      </c>
      <c r="M3" s="1405">
        <f t="shared" si="0"/>
        <v>2023</v>
      </c>
      <c r="N3" s="1405">
        <f t="shared" si="0"/>
        <v>2024</v>
      </c>
      <c r="O3" s="1405">
        <f t="shared" si="0"/>
        <v>2025</v>
      </c>
      <c r="P3" s="1405">
        <f t="shared" si="0"/>
        <v>2026</v>
      </c>
      <c r="Q3" s="1405">
        <f t="shared" si="0"/>
        <v>2027</v>
      </c>
      <c r="R3" s="1405">
        <f t="shared" si="0"/>
        <v>2028</v>
      </c>
      <c r="S3" s="1405">
        <f t="shared" si="0"/>
        <v>2029</v>
      </c>
      <c r="T3" s="1405">
        <f t="shared" si="0"/>
        <v>2030</v>
      </c>
      <c r="U3" s="1405">
        <f t="shared" si="0"/>
        <v>2031</v>
      </c>
      <c r="V3" s="1405">
        <f t="shared" si="0"/>
        <v>2032</v>
      </c>
      <c r="W3" s="1405">
        <f t="shared" si="0"/>
        <v>2033</v>
      </c>
      <c r="X3" s="1405">
        <f t="shared" si="0"/>
        <v>2034</v>
      </c>
      <c r="Y3" s="1406">
        <f t="shared" si="0"/>
        <v>2035</v>
      </c>
      <c r="Z3" s="1407">
        <f t="shared" si="0"/>
        <v>2036</v>
      </c>
      <c r="AB3" s="1408">
        <v>2015</v>
      </c>
      <c r="AC3" s="1408">
        <v>2020</v>
      </c>
      <c r="AD3" s="1408">
        <v>2025</v>
      </c>
      <c r="AE3" s="1408">
        <v>2030</v>
      </c>
      <c r="AF3" s="1408">
        <v>2035</v>
      </c>
    </row>
    <row r="4" spans="1:32" s="1408" customFormat="1" ht="35.25" customHeight="1">
      <c r="A4" s="2329" t="s">
        <v>1526</v>
      </c>
      <c r="B4" s="2330"/>
      <c r="C4" s="2331"/>
      <c r="D4" s="1409">
        <f>D5</f>
        <v>102796</v>
      </c>
      <c r="E4" s="1409">
        <f>E5</f>
        <v>104316</v>
      </c>
      <c r="F4" s="1409">
        <f t="shared" ref="F4:Y4" si="1">F5</f>
        <v>106419</v>
      </c>
      <c r="G4" s="1409">
        <f t="shared" si="1"/>
        <v>108412.90422869415</v>
      </c>
      <c r="H4" s="1409">
        <f t="shared" si="1"/>
        <v>110444.16695608877</v>
      </c>
      <c r="I4" s="1409">
        <f t="shared" si="1"/>
        <v>112513.48814430092</v>
      </c>
      <c r="J4" s="1409">
        <f t="shared" si="1"/>
        <v>114621.58087018682</v>
      </c>
      <c r="K4" s="1409">
        <f t="shared" si="1"/>
        <v>116769.17157106426</v>
      </c>
      <c r="L4" s="1409">
        <f t="shared" si="1"/>
        <v>118957.00029503889</v>
      </c>
      <c r="M4" s="1409">
        <f t="shared" si="1"/>
        <v>121185.82095602094</v>
      </c>
      <c r="N4" s="1409">
        <f t="shared" si="1"/>
        <v>123456.40159351971</v>
      </c>
      <c r="O4" s="1409">
        <f t="shared" si="1"/>
        <v>125769.52463730592</v>
      </c>
      <c r="P4" s="1409">
        <f t="shared" si="1"/>
        <v>128125.98717703263</v>
      </c>
      <c r="Q4" s="1409">
        <f t="shared" si="1"/>
        <v>130526.6012369082</v>
      </c>
      <c r="R4" s="1409">
        <f t="shared" si="1"/>
        <v>132972.19405551528</v>
      </c>
      <c r="S4" s="1409">
        <f t="shared" si="1"/>
        <v>135463.6083708728</v>
      </c>
      <c r="T4" s="1409">
        <f t="shared" si="1"/>
        <v>138001.70271083887</v>
      </c>
      <c r="U4" s="1409">
        <f t="shared" si="1"/>
        <v>140587.35168895498</v>
      </c>
      <c r="V4" s="1409">
        <f t="shared" si="1"/>
        <v>143221.4463058328</v>
      </c>
      <c r="W4" s="1409">
        <f t="shared" si="1"/>
        <v>145904.89425618836</v>
      </c>
      <c r="X4" s="1409">
        <f t="shared" si="1"/>
        <v>148638.62024162881</v>
      </c>
      <c r="Y4" s="1422">
        <f t="shared" si="1"/>
        <v>151423.56628929934</v>
      </c>
      <c r="Z4" s="1979" t="e">
        <f>Z5+#REF!+#REF!</f>
        <v>#REF!</v>
      </c>
      <c r="AB4" s="1410">
        <f>+E4</f>
        <v>104316</v>
      </c>
      <c r="AC4" s="1410">
        <f>+J4</f>
        <v>114621.58087018682</v>
      </c>
      <c r="AD4" s="1410">
        <f>+Q4</f>
        <v>130526.6012369082</v>
      </c>
      <c r="AE4" s="1410">
        <f>+T4</f>
        <v>138001.70271083887</v>
      </c>
      <c r="AF4" s="1410">
        <f>+Y4</f>
        <v>151423.56628929934</v>
      </c>
    </row>
    <row r="5" spans="1:32" s="1408" customFormat="1" ht="35.25" customHeight="1">
      <c r="A5" s="2332"/>
      <c r="B5" s="2334" t="s">
        <v>1527</v>
      </c>
      <c r="C5" s="2335"/>
      <c r="D5" s="1411">
        <f t="shared" ref="D5:Y5" si="2">SUM(D6:D14)</f>
        <v>102796</v>
      </c>
      <c r="E5" s="1412">
        <f t="shared" si="2"/>
        <v>104316</v>
      </c>
      <c r="F5" s="1412">
        <f t="shared" si="2"/>
        <v>106419</v>
      </c>
      <c r="G5" s="1412">
        <f t="shared" si="2"/>
        <v>108412.90422869415</v>
      </c>
      <c r="H5" s="1412">
        <f t="shared" si="2"/>
        <v>110444.16695608877</v>
      </c>
      <c r="I5" s="1412">
        <f t="shared" si="2"/>
        <v>112513.48814430092</v>
      </c>
      <c r="J5" s="1412">
        <f t="shared" si="2"/>
        <v>114621.58087018682</v>
      </c>
      <c r="K5" s="1412">
        <f t="shared" si="2"/>
        <v>116769.17157106426</v>
      </c>
      <c r="L5" s="1412">
        <f t="shared" si="2"/>
        <v>118957.00029503889</v>
      </c>
      <c r="M5" s="1412">
        <f t="shared" si="2"/>
        <v>121185.82095602094</v>
      </c>
      <c r="N5" s="1412">
        <f t="shared" si="2"/>
        <v>123456.40159351971</v>
      </c>
      <c r="O5" s="1412">
        <f t="shared" si="2"/>
        <v>125769.52463730592</v>
      </c>
      <c r="P5" s="1412">
        <f t="shared" si="2"/>
        <v>128125.98717703263</v>
      </c>
      <c r="Q5" s="1412">
        <f t="shared" si="2"/>
        <v>130526.6012369082</v>
      </c>
      <c r="R5" s="1412">
        <f t="shared" si="2"/>
        <v>132972.19405551528</v>
      </c>
      <c r="S5" s="1412">
        <f t="shared" si="2"/>
        <v>135463.6083708728</v>
      </c>
      <c r="T5" s="1412">
        <f t="shared" si="2"/>
        <v>138001.70271083887</v>
      </c>
      <c r="U5" s="1412">
        <f t="shared" si="2"/>
        <v>140587.35168895498</v>
      </c>
      <c r="V5" s="1412">
        <f t="shared" si="2"/>
        <v>143221.4463058328</v>
      </c>
      <c r="W5" s="1412">
        <f t="shared" si="2"/>
        <v>145904.89425618836</v>
      </c>
      <c r="X5" s="1412">
        <f t="shared" si="2"/>
        <v>148638.62024162881</v>
      </c>
      <c r="Y5" s="1413">
        <f t="shared" si="2"/>
        <v>151423.56628929934</v>
      </c>
      <c r="Z5" s="1980">
        <f t="shared" ref="Z5" si="3">Z6</f>
        <v>27624.258909610824</v>
      </c>
      <c r="AB5" s="1414" t="e">
        <f>+AB6+#REF!+#REF!</f>
        <v>#REF!</v>
      </c>
      <c r="AC5" s="1414" t="e">
        <f>+AC6+#REF!+#REF!</f>
        <v>#REF!</v>
      </c>
      <c r="AD5" s="1414" t="e">
        <f>+AD6+#REF!+#REF!</f>
        <v>#REF!</v>
      </c>
      <c r="AE5" s="1414" t="e">
        <f>+AE6+#REF!+#REF!</f>
        <v>#REF!</v>
      </c>
      <c r="AF5" s="1414" t="e">
        <f>+AF6+#REF!+#REF!</f>
        <v>#REF!</v>
      </c>
    </row>
    <row r="6" spans="1:32" s="1408" customFormat="1" ht="35.25" customHeight="1">
      <c r="A6" s="2332"/>
      <c r="B6" s="2336"/>
      <c r="C6" s="1415" t="s">
        <v>1528</v>
      </c>
      <c r="D6" s="1416">
        <f>'1.1.1 과거인구현황'!K9</f>
        <v>19214</v>
      </c>
      <c r="E6" s="1416">
        <f>'1.1.1 과거인구현황'!L9</f>
        <v>18986</v>
      </c>
      <c r="F6" s="1416">
        <f>'1.1.1 과거인구현황'!M9</f>
        <v>19057</v>
      </c>
      <c r="G6" s="1417">
        <f>F6+F6*'1.3 출생·사망 및 전입·전출에 의한 인구추정'!$D$16</f>
        <v>19414.058729044857</v>
      </c>
      <c r="H6" s="1417">
        <f>G6+G6*'1.3 출생·사망 및 전입·전출에 의한 인구추정'!$D$16</f>
        <v>19777.80743741422</v>
      </c>
      <c r="I6" s="1417">
        <f>H6+H6*'1.3 출생·사망 및 전입·전출에 의한 인구추정'!$D$16</f>
        <v>20148.371470939801</v>
      </c>
      <c r="J6" s="1417">
        <f>I6+I6*'1.3 출생·사망 및 전입·전출에 의한 인구추정'!$D$16</f>
        <v>20525.878523977393</v>
      </c>
      <c r="K6" s="1417">
        <f>J6+J6*'1.3 출생·사망 및 전입·전출에 의한 인구추정'!$D$16</f>
        <v>20910.458683409648</v>
      </c>
      <c r="L6" s="1417">
        <f>K6+K6*'1.3 출생·사망 및 전입·전출에 의한 인구추정'!$D$16</f>
        <v>21302.244473473311</v>
      </c>
      <c r="M6" s="1417">
        <f>L6+L6*'1.3 출생·사망 및 전입·전출에 의한 인구추정'!$D$16</f>
        <v>21701.370901426355</v>
      </c>
      <c r="N6" s="1417">
        <f>M6+M6*'1.3 출생·사망 및 전입·전출에 의한 인구추정'!$D$16</f>
        <v>22107.975504070753</v>
      </c>
      <c r="O6" s="1417">
        <f>N6+N6*'1.3 출생·사망 및 전입·전출에 의한 인구추정'!$D$16</f>
        <v>22522.198395146908</v>
      </c>
      <c r="P6" s="1417">
        <f>O6+O6*'1.3 출생·사망 및 전입·전출에 의한 인구추정'!$D$16</f>
        <v>22944.182313616093</v>
      </c>
      <c r="Q6" s="1417">
        <f>P6+P6*'1.3 출생·사망 및 전입·전출에 의한 인구추정'!$D$16</f>
        <v>23374.072672847517</v>
      </c>
      <c r="R6" s="1417">
        <f>Q6+Q6*'1.3 출생·사망 및 전입·전출에 의한 인구추정'!$D$16</f>
        <v>23812.017610726984</v>
      </c>
      <c r="S6" s="1417">
        <f>R6+R6*'1.3 출생·사망 및 전입·전출에 의한 인구추정'!$D$16</f>
        <v>24258.168040704415</v>
      </c>
      <c r="T6" s="1417">
        <f>S6+S6*'1.3 출생·사망 및 전입·전출에 의한 인구추정'!$D$16</f>
        <v>24712.677703797792</v>
      </c>
      <c r="U6" s="1417">
        <f>T6+T6*'1.3 출생·사망 및 전입·전출에 의한 인구추정'!$D$16</f>
        <v>25175.703221571479</v>
      </c>
      <c r="V6" s="1417">
        <f>U6+U6*'1.3 출생·사망 및 전입·전출에 의한 인구추정'!$D$16</f>
        <v>25647.404150107177</v>
      </c>
      <c r="W6" s="1417">
        <f>V6+V6*'1.3 출생·사망 및 전입·전출에 의한 인구추정'!$D$16</f>
        <v>26127.943034986067</v>
      </c>
      <c r="X6" s="1417">
        <f>W6+W6*'1.3 출생·사망 및 전입·전출에 의한 인구추정'!$D$16</f>
        <v>26617.485467301147</v>
      </c>
      <c r="Y6" s="1418">
        <f>X6+X6*'1.3 출생·사망 및 전입·전출에 의한 인구추정'!$D$16</f>
        <v>27116.200140719022</v>
      </c>
      <c r="Z6" s="1981">
        <f>Y6+Y6*'1.3 출생·사망 및 전입·전출에 의한 인구추정'!$D$16</f>
        <v>27624.258909610824</v>
      </c>
      <c r="AB6" s="1410">
        <f>+E6</f>
        <v>18986</v>
      </c>
      <c r="AC6" s="1410">
        <f>+J6</f>
        <v>20525.878523977393</v>
      </c>
      <c r="AD6" s="1410">
        <f>+Q6</f>
        <v>23374.072672847517</v>
      </c>
      <c r="AE6" s="1410">
        <f>+T6</f>
        <v>24712.677703797792</v>
      </c>
      <c r="AF6" s="1410">
        <f>+Y6</f>
        <v>27116.200140719022</v>
      </c>
    </row>
    <row r="7" spans="1:32" s="1408" customFormat="1" ht="35.25" customHeight="1">
      <c r="A7" s="2332"/>
      <c r="B7" s="2336"/>
      <c r="C7" s="1415" t="s">
        <v>1529</v>
      </c>
      <c r="D7" s="1416">
        <f>'1.1.1 과거인구현황'!K11</f>
        <v>23362</v>
      </c>
      <c r="E7" s="1416">
        <f>'1.1.1 과거인구현황'!L11</f>
        <v>23334</v>
      </c>
      <c r="F7" s="1416">
        <f>'1.1.1 과거인구현황'!M11</f>
        <v>23398</v>
      </c>
      <c r="G7" s="1417">
        <f>F7+F7*'1.3 출생·사망 및 전입·전출에 의한 인구추정'!$D$16</f>
        <v>23836.393248790027</v>
      </c>
      <c r="H7" s="1417">
        <f>G7+G7*'1.3 출생·사망 및 전입·전출에 의한 인구추정'!$D$16</f>
        <v>24283.000389390665</v>
      </c>
      <c r="I7" s="1417">
        <f>H7+H7*'1.3 출생·사망 및 전입·전출에 의한 인구추정'!$D$16</f>
        <v>24737.975320199897</v>
      </c>
      <c r="J7" s="1417">
        <f>I7+I7*'1.3 출생·사망 및 전입·전출에 의한 인구추정'!$D$16</f>
        <v>25201.474823110828</v>
      </c>
      <c r="K7" s="1417">
        <f>J7+J7*'1.3 출생·사망 및 전입·전출에 의한 인구추정'!$D$16</f>
        <v>25673.658617537854</v>
      </c>
      <c r="L7" s="1417">
        <f>K7+K7*'1.3 출생·사망 및 전입·전출에 의한 인구추정'!$D$16</f>
        <v>26154.689415455134</v>
      </c>
      <c r="M7" s="1417">
        <f>L7+L7*'1.3 출생·사망 및 전입·전출에 의한 인구추정'!$D$16</f>
        <v>26644.732977466225</v>
      </c>
      <c r="N7" s="1417">
        <f>M7+M7*'1.3 출생·사망 및 전입·전출에 의한 인구추정'!$D$16</f>
        <v>27143.958169924306</v>
      </c>
      <c r="O7" s="1417">
        <f>N7+N7*'1.3 출생·사망 및 전입·전출에 의한 인구추정'!$D$16</f>
        <v>27652.537023122601</v>
      </c>
      <c r="P7" s="1417">
        <f>O7+O7*'1.3 출생·사망 및 전입·전출에 의한 인구추정'!$D$16</f>
        <v>28170.644790575083</v>
      </c>
      <c r="Q7" s="1417">
        <f>P7+P7*'1.3 출생·사망 및 전입·전출에 의한 인구추정'!$D$16</f>
        <v>28698.460009407892</v>
      </c>
      <c r="R7" s="1417">
        <f>Q7+Q7*'1.3 출생·사망 및 전입·전출에 의한 인구추정'!$D$16</f>
        <v>29236.164561882248</v>
      </c>
      <c r="S7" s="1417">
        <f>R7+R7*'1.3 출생·사망 및 전입·전출에 의한 인구추정'!$D$16</f>
        <v>29783.943738070102</v>
      </c>
      <c r="T7" s="1417">
        <f>S7+S7*'1.3 출생·사망 및 전입·전출에 의한 인구추정'!$D$16</f>
        <v>30341.986299704084</v>
      </c>
      <c r="U7" s="1417">
        <f>T7+T7*'1.3 출생·사망 및 전입·전출에 의한 인구추정'!$D$16</f>
        <v>30910.484545223775</v>
      </c>
      <c r="V7" s="1417">
        <f>U7+U7*'1.3 출생·사망 및 전입·전출에 의한 인구추정'!$D$16</f>
        <v>31489.634376040707</v>
      </c>
      <c r="W7" s="1417">
        <f>V7+V7*'1.3 출생·사망 및 전입·전출에 의한 인구추정'!$D$16</f>
        <v>32079.63536404492</v>
      </c>
      <c r="X7" s="1417">
        <f>W7+W7*'1.3 출생·사망 및 전입·전출에 의한 인구추정'!$D$16</f>
        <v>32680.69082037636</v>
      </c>
      <c r="Y7" s="1418">
        <f>X7+X7*'1.3 출생·사망 및 전입·전출에 의한 인구추정'!$D$16</f>
        <v>33293.007865484797</v>
      </c>
      <c r="Z7" s="1981">
        <f>Y7+Y7*'1.3 출생·사망 및 전입·전출에 의한 인구추정'!$D$16</f>
        <v>33916.797500502398</v>
      </c>
      <c r="AB7" s="1410">
        <f t="shared" ref="AB7:AB14" si="4">+E7</f>
        <v>23334</v>
      </c>
      <c r="AC7" s="1410">
        <f t="shared" ref="AC7:AC14" si="5">+J7</f>
        <v>25201.474823110828</v>
      </c>
      <c r="AD7" s="1410">
        <f t="shared" ref="AD7:AD14" si="6">+Q7</f>
        <v>28698.460009407892</v>
      </c>
      <c r="AE7" s="1410">
        <f t="shared" ref="AE7:AE14" si="7">+T7</f>
        <v>30341.986299704084</v>
      </c>
      <c r="AF7" s="1410">
        <f t="shared" ref="AF7:AF14" si="8">+Y7</f>
        <v>33293.007865484797</v>
      </c>
    </row>
    <row r="8" spans="1:32" s="1408" customFormat="1" ht="35.25" customHeight="1">
      <c r="A8" s="2332"/>
      <c r="B8" s="2336"/>
      <c r="C8" s="1415" t="s">
        <v>1530</v>
      </c>
      <c r="D8" s="1416">
        <f>'1.1.1 과거인구현황'!K13</f>
        <v>3233</v>
      </c>
      <c r="E8" s="1416">
        <f>'1.1.1 과거인구현황'!L13</f>
        <v>3221</v>
      </c>
      <c r="F8" s="1416">
        <f>'1.1.1 과거인구현황'!M13</f>
        <v>3240</v>
      </c>
      <c r="G8" s="1417">
        <f>F8+F8*'1.3 출생·사망 및 전입·전출에 의한 인구추정'!$D$16</f>
        <v>3300.7057922078675</v>
      </c>
      <c r="H8" s="1417">
        <f>G8+G8*'1.3 출생·사망 및 전입·전출에 의한 인구추정'!$D$16</f>
        <v>3362.548989726718</v>
      </c>
      <c r="I8" s="1417">
        <f>H8+H8*'1.3 출생·사망 및 전입·전출에 의한 인구추정'!$D$16</f>
        <v>3425.5509033869416</v>
      </c>
      <c r="J8" s="1417">
        <f>I8+I8*'1.3 출생·사망 및 전입·전출에 의한 인구추정'!$D$16</f>
        <v>3489.7332433062256</v>
      </c>
      <c r="K8" s="1417">
        <f>J8+J8*'1.3 출생·사망 및 전입·전출에 의한 인구추정'!$D$16</f>
        <v>3555.1181263707426</v>
      </c>
      <c r="L8" s="1417">
        <f>K8+K8*'1.3 출생·사망 및 전입·전출에 의한 인구추정'!$D$16</f>
        <v>3621.7280838565098</v>
      </c>
      <c r="M8" s="1417">
        <f>L8+L8*'1.3 출생·사망 및 전입·전출에 의한 인구추정'!$D$16</f>
        <v>3689.5860691935441</v>
      </c>
      <c r="N8" s="1417">
        <f>M8+M8*'1.3 출생·사망 및 전입·전출에 의한 인구추정'!$D$16</f>
        <v>3758.7154658754903</v>
      </c>
      <c r="O8" s="1417">
        <f>N8+N8*'1.3 출생·사망 및 전입·전출에 의한 인구추정'!$D$16</f>
        <v>3829.1400955174458</v>
      </c>
      <c r="P8" s="1417">
        <f>O8+O8*'1.3 출생·사망 및 전입·전출에 의한 인구추정'!$D$16</f>
        <v>3900.8842260647593</v>
      </c>
      <c r="Q8" s="1417">
        <f>P8+P8*'1.3 출생·사망 및 전입·전출에 의한 인구추정'!$D$16</f>
        <v>3973.9725801556347</v>
      </c>
      <c r="R8" s="1417">
        <f>Q8+Q8*'1.3 출생·사망 및 전입·전출에 의한 인구추정'!$D$16</f>
        <v>4048.4303436404157</v>
      </c>
      <c r="S8" s="1417">
        <f>R8+R8*'1.3 출생·사망 및 전입·전출에 의한 인구추정'!$D$16</f>
        <v>4124.2831742604958</v>
      </c>
      <c r="T8" s="1417">
        <f>S8+S8*'1.3 출생·사망 및 전입·전출에 의한 인구추정'!$D$16</f>
        <v>4201.5572104898356</v>
      </c>
      <c r="U8" s="1417">
        <f>T8+T8*'1.3 출생·사망 및 전입·전출에 의한 인구추정'!$D$16</f>
        <v>4280.2790805421391</v>
      </c>
      <c r="V8" s="1417">
        <f>U8+U8*'1.3 출생·사망 및 전입·전출에 의한 인구추정'!$D$16</f>
        <v>4360.4759115467914</v>
      </c>
      <c r="W8" s="1417">
        <f>V8+V8*'1.3 출생·사망 및 전입·전출에 의한 인구추정'!$D$16</f>
        <v>4442.1753388967209</v>
      </c>
      <c r="X8" s="1417">
        <f>W8+W8*'1.3 출생·사망 및 전입·전출에 의한 인구추정'!$D$16</f>
        <v>4525.4055157714056</v>
      </c>
      <c r="Y8" s="1418">
        <f>X8+X8*'1.3 출생·사망 및 전입·전출에 의한 인구추정'!$D$16</f>
        <v>4610.1951228383059</v>
      </c>
      <c r="Z8" s="1981">
        <f>Y8+Y8*'1.3 출생·사망 및 전입·전출에 의한 인구추정'!$D$16</f>
        <v>4696.5733781360668</v>
      </c>
      <c r="AB8" s="1410">
        <f t="shared" si="4"/>
        <v>3221</v>
      </c>
      <c r="AC8" s="1410">
        <f t="shared" si="5"/>
        <v>3489.7332433062256</v>
      </c>
      <c r="AD8" s="1410">
        <f t="shared" si="6"/>
        <v>3973.9725801556347</v>
      </c>
      <c r="AE8" s="1410">
        <f t="shared" si="7"/>
        <v>4201.5572104898356</v>
      </c>
      <c r="AF8" s="1410">
        <f t="shared" si="8"/>
        <v>4610.1951228383059</v>
      </c>
    </row>
    <row r="9" spans="1:32" s="1408" customFormat="1" ht="35.25" customHeight="1">
      <c r="A9" s="2332"/>
      <c r="B9" s="2336"/>
      <c r="C9" s="1415" t="s">
        <v>1531</v>
      </c>
      <c r="D9" s="1416">
        <f>'1.1.1 과거인구현황'!K15</f>
        <v>3270</v>
      </c>
      <c r="E9" s="1416">
        <f>'1.1.1 과거인구현황'!L15</f>
        <v>3243</v>
      </c>
      <c r="F9" s="1416">
        <f>'1.1.1 과거인구현황'!M15</f>
        <v>3317</v>
      </c>
      <c r="G9" s="1417">
        <f>F9+F9*'1.3 출생·사망 및 전입·전출에 의한 인구추정'!$D$16</f>
        <v>3379.1484915905853</v>
      </c>
      <c r="H9" s="1417">
        <f>G9+G9*'1.3 출생·사망 및 전입·전출에 의한 인구추정'!$D$16</f>
        <v>3442.4614194208407</v>
      </c>
      <c r="I9" s="1417">
        <f>H9+H9*'1.3 출생·사망 및 전입·전출에 의한 인구추정'!$D$16</f>
        <v>3506.960600782249</v>
      </c>
      <c r="J9" s="1417">
        <f>I9+I9*'1.3 출생·사망 및 전입·전출에 의한 인구추정'!$D$16</f>
        <v>3572.6682617428246</v>
      </c>
      <c r="K9" s="1417">
        <f>J9+J9*'1.3 출생·사망 및 전입·전출에 의한 인구추정'!$D$16</f>
        <v>3639.6070448060973</v>
      </c>
      <c r="L9" s="1417">
        <f>K9+K9*'1.3 출생·사망 및 전입·전출에 의한 인구추정'!$D$16</f>
        <v>3707.8000167135942</v>
      </c>
      <c r="M9" s="1417">
        <f>L9+L9*'1.3 출생·사망 및 전입·전출에 의한 인구추정'!$D$16</f>
        <v>3777.2706763935148</v>
      </c>
      <c r="N9" s="1417">
        <f>M9+M9*'1.3 출생·사망 및 전입·전출에 의한 인구추정'!$D$16</f>
        <v>3848.0429630583344</v>
      </c>
      <c r="O9" s="1417">
        <f>N9+N9*'1.3 출생·사망 및 전입·전출에 의한 인구추정'!$D$16</f>
        <v>3920.1412644541265</v>
      </c>
      <c r="P9" s="1417">
        <f>O9+O9*'1.3 출생·사망 및 전입·전출에 의한 인구추정'!$D$16</f>
        <v>3993.5904252644473</v>
      </c>
      <c r="Q9" s="1417">
        <f>P9+P9*'1.3 출생·사망 및 전입·전출에 의한 인구추정'!$D$16</f>
        <v>4068.4157556716796</v>
      </c>
      <c r="R9" s="1417">
        <f>Q9+Q9*'1.3 출생·사망 및 전입·전출에 의한 인구추정'!$D$16</f>
        <v>4144.643040078784</v>
      </c>
      <c r="S9" s="1417">
        <f>R9+R9*'1.3 출생·사망 및 전입·전출에 의한 인구추정'!$D$16</f>
        <v>4222.2985459944648</v>
      </c>
      <c r="T9" s="1417">
        <f>S9+S9*'1.3 출생·사망 및 전입·전출에 의한 인구추정'!$D$16</f>
        <v>4301.4090330848112</v>
      </c>
      <c r="U9" s="1417">
        <f>T9+T9*'1.3 출생·사망 및 전입·전출에 의한 인구추정'!$D$16</f>
        <v>4382.0017623945305</v>
      </c>
      <c r="V9" s="1417">
        <f>U9+U9*'1.3 출생·사망 및 전입·전출에 의한 인구추정'!$D$16</f>
        <v>4464.1045057409601</v>
      </c>
      <c r="W9" s="1417">
        <f>V9+V9*'1.3 출생·사망 및 전입·전출에 의한 인구추정'!$D$16</f>
        <v>4547.745555284082</v>
      </c>
      <c r="X9" s="1417">
        <f>W9+W9*'1.3 출생·사망 및 전입·전출에 의한 인구추정'!$D$16</f>
        <v>4632.95373327585</v>
      </c>
      <c r="Y9" s="1418">
        <f>X9+X9*'1.3 출생·사망 및 전입·전출에 의한 인구추정'!$D$16</f>
        <v>4719.7584019921796</v>
      </c>
      <c r="Z9" s="1981">
        <f>Y9+Y9*'1.3 출생·사망 및 전입·전출에 의한 인구추정'!$D$16</f>
        <v>4808.18947385103</v>
      </c>
      <c r="AB9" s="1410">
        <f t="shared" si="4"/>
        <v>3243</v>
      </c>
      <c r="AC9" s="1410">
        <f t="shared" si="5"/>
        <v>3572.6682617428246</v>
      </c>
      <c r="AD9" s="1410">
        <f t="shared" si="6"/>
        <v>4068.4157556716796</v>
      </c>
      <c r="AE9" s="1410">
        <f t="shared" si="7"/>
        <v>4301.4090330848112</v>
      </c>
      <c r="AF9" s="1410">
        <f t="shared" si="8"/>
        <v>4719.7584019921796</v>
      </c>
    </row>
    <row r="10" spans="1:32" s="1408" customFormat="1" ht="35.25" customHeight="1">
      <c r="A10" s="2332"/>
      <c r="B10" s="2336"/>
      <c r="C10" s="1415" t="s">
        <v>1532</v>
      </c>
      <c r="D10" s="1416">
        <f>'1.1.1 과거인구현황'!K17</f>
        <v>8143</v>
      </c>
      <c r="E10" s="1416">
        <f>'1.1.1 과거인구현황'!L17</f>
        <v>10418</v>
      </c>
      <c r="F10" s="1416">
        <f>'1.1.1 과거인구현황'!M17</f>
        <v>12254</v>
      </c>
      <c r="G10" s="1417">
        <f>F10+F10*'1.3 출생·사망 및 전입·전출에 의한 인구추정'!$D$16</f>
        <v>12483.595301763953</v>
      </c>
      <c r="H10" s="1417">
        <f>G10+G10*'1.3 출생·사망 및 전입·전출에 의한 인구추정'!$D$16</f>
        <v>12717.492382750372</v>
      </c>
      <c r="I10" s="1417">
        <f>H10+H10*'1.3 출생·사망 및 전입·전출에 의한 인구추정'!$D$16</f>
        <v>12955.771842624563</v>
      </c>
      <c r="J10" s="1417">
        <f>I10+I10*'1.3 출생·사망 및 전입·전출에 의한 인구추정'!$D$16</f>
        <v>13198.51579119583</v>
      </c>
      <c r="K10" s="1417">
        <f>J10+J10*'1.3 출생·사망 및 전입·전출에 의한 인구추정'!$D$16</f>
        <v>13445.807876712062</v>
      </c>
      <c r="L10" s="1417">
        <f>K10+K10*'1.3 출생·사망 및 전입·전출에 의한 인구추정'!$D$16</f>
        <v>13697.733314684467</v>
      </c>
      <c r="M10" s="1417">
        <f>L10+L10*'1.3 출생·사망 및 전입·전출에 의한 인구추정'!$D$16</f>
        <v>13954.378917252374</v>
      </c>
      <c r="N10" s="1417">
        <f>M10+M10*'1.3 출생·사망 및 전입·전출에 의한 인구추정'!$D$16</f>
        <v>14215.833123098229</v>
      </c>
      <c r="O10" s="1417">
        <f>N10+N10*'1.3 출생·사망 및 전입·전출에 의한 인구추정'!$D$16</f>
        <v>14482.186027923082</v>
      </c>
      <c r="P10" s="1417">
        <f>O10+O10*'1.3 출생·사망 및 전입·전출에 의한 인구추정'!$D$16</f>
        <v>14753.529415493076</v>
      </c>
      <c r="Q10" s="1417">
        <f>P10+P10*'1.3 출생·사망 및 전입·전출에 의한 인구추정'!$D$16</f>
        <v>15029.956789267639</v>
      </c>
      <c r="R10" s="1417">
        <f>Q10+Q10*'1.3 출생·사망 및 전입·전출에 의한 인구추정'!$D$16</f>
        <v>15311.563404620265</v>
      </c>
      <c r="S10" s="1417">
        <f>R10+R10*'1.3 출생·사망 및 전입·전출에 의한 인구추정'!$D$16</f>
        <v>15598.446301663002</v>
      </c>
      <c r="T10" s="1417">
        <f>S10+S10*'1.3 출생·사망 및 전입·전출에 의한 인구추정'!$D$16</f>
        <v>15890.704338685944</v>
      </c>
      <c r="U10" s="1417">
        <f>T10+T10*'1.3 출생·사망 및 전입·전출에 의한 인구추정'!$D$16</f>
        <v>16188.438226223268</v>
      </c>
      <c r="V10" s="1417">
        <f>U10+U10*'1.3 출생·사망 및 전입·전출에 의한 인구추정'!$D$16</f>
        <v>16491.75056175753</v>
      </c>
      <c r="W10" s="1417">
        <f>V10+V10*'1.3 출생·사망 및 전입·전출에 의한 인구추정'!$D$16</f>
        <v>16800.745865074208</v>
      </c>
      <c r="X10" s="1417">
        <f>W10+W10*'1.3 출생·사망 및 전입·전출에 의한 인구추정'!$D$16</f>
        <v>17115.530614278647</v>
      </c>
      <c r="Y10" s="1418">
        <f>X10+X10*'1.3 출생·사망 및 전입·전출에 의한 인구추정'!$D$16</f>
        <v>17436.213282487843</v>
      </c>
      <c r="Z10" s="1981">
        <f>Y10+Y10*'1.3 출생·사망 및 전입·전출에 의한 인구추정'!$D$16</f>
        <v>17762.904375209684</v>
      </c>
      <c r="AB10" s="1410">
        <f t="shared" si="4"/>
        <v>10418</v>
      </c>
      <c r="AC10" s="1410">
        <f t="shared" si="5"/>
        <v>13198.51579119583</v>
      </c>
      <c r="AD10" s="1410">
        <f t="shared" si="6"/>
        <v>15029.956789267639</v>
      </c>
      <c r="AE10" s="1410">
        <f t="shared" si="7"/>
        <v>15890.704338685944</v>
      </c>
      <c r="AF10" s="1410">
        <f t="shared" si="8"/>
        <v>17436.213282487843</v>
      </c>
    </row>
    <row r="11" spans="1:32" s="1408" customFormat="1" ht="35.25" customHeight="1">
      <c r="A11" s="2332"/>
      <c r="B11" s="2336"/>
      <c r="C11" s="1415" t="s">
        <v>1533</v>
      </c>
      <c r="D11" s="1416">
        <f>'1.1.1 과거인구현황'!K19</f>
        <v>19132</v>
      </c>
      <c r="E11" s="1416">
        <f>'1.1.1 과거인구현황'!L19</f>
        <v>18802</v>
      </c>
      <c r="F11" s="1416">
        <f>'1.1.1 과거인구현황'!M19</f>
        <v>18744</v>
      </c>
      <c r="G11" s="1419">
        <f>F11+F11*'1.3 출생·사망 및 전입·전출에 의한 인구추정'!$D$16</f>
        <v>19095.194249735887</v>
      </c>
      <c r="H11" s="1417">
        <f>G11+G11*'1.3 출생·사망 및 전입·전출에 의한 인구추정'!$D$16</f>
        <v>19452.968599826421</v>
      </c>
      <c r="I11" s="1417">
        <f>H11+H11*'1.3 출생·사망 및 전입·전출에 의한 인구추정'!$D$16</f>
        <v>19817.446337371865</v>
      </c>
      <c r="J11" s="1417">
        <f>I11+I11*'1.3 출생·사망 및 전입·전출에 의한 인구추정'!$D$16</f>
        <v>20188.753059423427</v>
      </c>
      <c r="K11" s="1417">
        <f>J11+J11*'1.3 출생·사망 및 전입·전출에 의한 인구추정'!$D$16</f>
        <v>20567.016716263337</v>
      </c>
      <c r="L11" s="1417">
        <f>K11+K11*'1.3 출생·사망 및 전입·전출에 의한 인구추정'!$D$16</f>
        <v>20952.367655495811</v>
      </c>
      <c r="M11" s="1417">
        <f>L11+L11*'1.3 출생·사망 및 전입·전출에 의한 인구추정'!$D$16</f>
        <v>21344.938666964135</v>
      </c>
      <c r="N11" s="1417">
        <f>M11+M11*'1.3 출생·사망 및 전입·전출에 의한 인구추정'!$D$16</f>
        <v>21744.865028509321</v>
      </c>
      <c r="O11" s="1417">
        <f>N11+N11*'1.3 출생·사망 및 전입·전출에 의한 인구추정'!$D$16</f>
        <v>22152.284552586116</v>
      </c>
      <c r="P11" s="1417">
        <f>O11+O11*'1.3 출생·사망 및 전입·전출에 의한 인구추정'!$D$16</f>
        <v>22567.337633752428</v>
      </c>
      <c r="Q11" s="1417">
        <f>P11+P11*'1.3 출생·사망 및 전입·전출에 의한 인구추정'!$D$16</f>
        <v>22990.167297048527</v>
      </c>
      <c r="R11" s="1417">
        <f>Q11+Q11*'1.3 출생·사망 및 전입·전출에 의한 인구추정'!$D$16</f>
        <v>23420.919247282705</v>
      </c>
      <c r="S11" s="1417">
        <f>R11+R11*'1.3 출생·사망 및 전입·전출에 의한 인구추정'!$D$16</f>
        <v>23859.741919240358</v>
      </c>
      <c r="T11" s="1417">
        <f>S11+S11*'1.3 출생·사망 및 전입·전출에 의한 인구추정'!$D$16</f>
        <v>24306.7865288338</v>
      </c>
      <c r="U11" s="1417">
        <f>T11+T11*'1.3 출생·사망 및 전입·전출에 의한 인구추정'!$D$16</f>
        <v>24762.207125210462</v>
      </c>
      <c r="V11" s="1417">
        <f>U11+U11*'1.3 출생·사망 및 전입·전출에 의한 인구추정'!$D$16</f>
        <v>25226.160643837375</v>
      </c>
      <c r="W11" s="1417">
        <f>V11+V11*'1.3 출생·사망 및 전입·전출에 의한 인구추정'!$D$16</f>
        <v>25698.806960580299</v>
      </c>
      <c r="X11" s="1417">
        <f>W11+W11*'1.3 출생·사망 및 전입·전출에 의한 인구추정'!$D$16</f>
        <v>26180.308946796067</v>
      </c>
      <c r="Y11" s="1418">
        <f>X11+X11*'1.3 출생·사망 및 전입·전출에 의한 인구추정'!$D$16</f>
        <v>26670.832525457172</v>
      </c>
      <c r="Z11" s="1981">
        <f>Y11+Y11*'1.3 출생·사망 및 전입·전출에 의한 인구추정'!$D$16</f>
        <v>27170.546728327925</v>
      </c>
      <c r="AB11" s="1410">
        <f t="shared" si="4"/>
        <v>18802</v>
      </c>
      <c r="AC11" s="1410">
        <f t="shared" si="5"/>
        <v>20188.753059423427</v>
      </c>
      <c r="AD11" s="1410">
        <f t="shared" si="6"/>
        <v>22990.167297048527</v>
      </c>
      <c r="AE11" s="1410">
        <f t="shared" si="7"/>
        <v>24306.7865288338</v>
      </c>
      <c r="AF11" s="1410">
        <f t="shared" si="8"/>
        <v>26670.832525457172</v>
      </c>
    </row>
    <row r="12" spans="1:32" s="1408" customFormat="1" ht="35.25" customHeight="1">
      <c r="A12" s="2332"/>
      <c r="B12" s="2336"/>
      <c r="C12" s="1415" t="s">
        <v>1534</v>
      </c>
      <c r="D12" s="1416">
        <f>'1.1.1 과거인구현황'!K21</f>
        <v>9739</v>
      </c>
      <c r="E12" s="1416">
        <f>'1.1.1 과거인구현황'!L21</f>
        <v>9571</v>
      </c>
      <c r="F12" s="1416">
        <f>'1.1.1 과거인구현황'!M21</f>
        <v>9613</v>
      </c>
      <c r="G12" s="1417">
        <f>F12+F12*'1.3 출생·사망 및 전입·전출에 의한 인구추정'!$D$16</f>
        <v>9793.1125865722934</v>
      </c>
      <c r="H12" s="1417">
        <f>G12+G12*'1.3 출생·사망 및 전입·전출에 의한 인구추정'!$D$16</f>
        <v>9976.5998266181923</v>
      </c>
      <c r="I12" s="1417">
        <f>H12+H12*'1.3 출생·사망 및 전입·전출에 의한 인구추정'!$D$16</f>
        <v>10163.52494884527</v>
      </c>
      <c r="J12" s="1417">
        <f>I12+I12*'1.3 출생·사망 및 전입·전출에 의한 인구추정'!$D$16</f>
        <v>10353.952366636653</v>
      </c>
      <c r="K12" s="1417">
        <f>J12+J12*'1.3 출생·사망 및 전입·전출에 의한 인구추정'!$D$16</f>
        <v>10547.947700247518</v>
      </c>
      <c r="L12" s="1417">
        <f>K12+K12*'1.3 출생·사망 및 전입·전출에 의한 인구추정'!$D$16</f>
        <v>10745.57779941748</v>
      </c>
      <c r="M12" s="1417">
        <f>L12+L12*'1.3 출생·사망 및 전입·전출에 의한 인구추정'!$D$16</f>
        <v>10946.910766406651</v>
      </c>
      <c r="N12" s="1417">
        <f>M12+M12*'1.3 출생·사망 및 전입·전출에 의한 인구추정'!$D$16</f>
        <v>11152.015979463302</v>
      </c>
      <c r="O12" s="1417">
        <f>N12+N12*'1.3 출생·사망 및 전입·전출에 의한 인구추정'!$D$16</f>
        <v>11360.96411673124</v>
      </c>
      <c r="P12" s="1417">
        <f>O12+O12*'1.3 출생·사망 및 전입·전출에 의한 인구추정'!$D$16</f>
        <v>11573.827180605107</v>
      </c>
      <c r="Q12" s="1417">
        <f>P12+P12*'1.3 출생·사망 및 전입·전출에 의한 인구추정'!$D$16</f>
        <v>11790.678522542015</v>
      </c>
      <c r="R12" s="1417">
        <f>Q12+Q12*'1.3 출생·사망 및 전입·전출에 의한 인구추정'!$D$16</f>
        <v>12011.592868338066</v>
      </c>
      <c r="S12" s="1417">
        <f>R12+R12*'1.3 출생·사망 및 전입·전출에 의한 인구추정'!$D$16</f>
        <v>12236.646343878447</v>
      </c>
      <c r="T12" s="1417">
        <f>S12+S12*'1.3 출생·사망 및 전입·전출에 의한 인구추정'!$D$16</f>
        <v>12465.916501370004</v>
      </c>
      <c r="U12" s="1417">
        <f>T12+T12*'1.3 출생·사망 및 전입·전출에 의한 인구추정'!$D$16</f>
        <v>12699.482346065312</v>
      </c>
      <c r="V12" s="1417">
        <f>U12+U12*'1.3 출생·사망 및 전입·전출에 의한 인구추정'!$D$16</f>
        <v>12937.424363487447</v>
      </c>
      <c r="W12" s="1417">
        <f>V12+V12*'1.3 출생·사망 및 전입·전출에 의한 인구추정'!$D$16</f>
        <v>13179.824547164877</v>
      </c>
      <c r="X12" s="1417">
        <f>W12+W12*'1.3 출생·사망 및 전입·전출에 의한 인구추정'!$D$16</f>
        <v>13426.76642688597</v>
      </c>
      <c r="Y12" s="1418">
        <f>X12+X12*'1.3 출생·사망 및 전입·전출에 의한 인구추정'!$D$16</f>
        <v>13678.335097482917</v>
      </c>
      <c r="Z12" s="1981">
        <f>Y12+Y12*'1.3 출생·사망 및 전입·전출에 의한 인구추정'!$D$16</f>
        <v>13934.617248154947</v>
      </c>
      <c r="AB12" s="1410">
        <f t="shared" si="4"/>
        <v>9571</v>
      </c>
      <c r="AC12" s="1410">
        <f t="shared" si="5"/>
        <v>10353.952366636653</v>
      </c>
      <c r="AD12" s="1410">
        <f t="shared" si="6"/>
        <v>11790.678522542015</v>
      </c>
      <c r="AE12" s="1410">
        <f t="shared" si="7"/>
        <v>12465.916501370004</v>
      </c>
      <c r="AF12" s="1410">
        <f t="shared" si="8"/>
        <v>13678.335097482917</v>
      </c>
    </row>
    <row r="13" spans="1:32" s="1408" customFormat="1" ht="35.25" customHeight="1">
      <c r="A13" s="2332"/>
      <c r="B13" s="2336"/>
      <c r="C13" s="1415" t="s">
        <v>1535</v>
      </c>
      <c r="D13" s="1416">
        <f>'1.1.1 과거인구현황'!K23</f>
        <v>5370</v>
      </c>
      <c r="E13" s="1416">
        <f>'1.1.1 과거인구현황'!L23</f>
        <v>5351</v>
      </c>
      <c r="F13" s="1416">
        <f>'1.1.1 과거인구현황'!M23</f>
        <v>5403</v>
      </c>
      <c r="G13" s="1417">
        <f>F13+F13*'1.3 출생·사망 및 전입·전출에 의한 인구추정'!$D$16</f>
        <v>5504.2325294133052</v>
      </c>
      <c r="H13" s="1417">
        <f>G13+G13*'1.3 출생·사망 및 전입·전출에 의한 인구추정'!$D$16</f>
        <v>5607.3617874979809</v>
      </c>
      <c r="I13" s="1417">
        <f>H13+H13*'1.3 출생·사망 및 전입·전출에 의한 인구추정'!$D$16</f>
        <v>5712.4233120369281</v>
      </c>
      <c r="J13" s="1417">
        <f>I13+I13*'1.3 출생·사망 및 전입·전출에 의한 인구추정'!$D$16</f>
        <v>5819.4533066615859</v>
      </c>
      <c r="K13" s="1417">
        <f>J13+J13*'1.3 출생·사망 및 전입·전출에 의한 인구추정'!$D$16</f>
        <v>5928.4886533275076</v>
      </c>
      <c r="L13" s="1417">
        <f>K13+K13*'1.3 출생·사망 및 전입·전출에 의한 인구추정'!$D$16</f>
        <v>6039.5669250236806</v>
      </c>
      <c r="M13" s="1417">
        <f>L13+L13*'1.3 출생·사망 및 전입·전출에 의한 인구추정'!$D$16</f>
        <v>6152.7263987199758</v>
      </c>
      <c r="N13" s="1417">
        <f>M13+M13*'1.3 출생·사망 및 전입·전출에 의한 인구추정'!$D$16</f>
        <v>6268.0060685571843</v>
      </c>
      <c r="O13" s="1417">
        <f>N13+N13*'1.3 출생·사망 및 전입·전출에 의한 인구추정'!$D$16</f>
        <v>6385.4456592841861</v>
      </c>
      <c r="P13" s="1417">
        <f>O13+O13*'1.3 출생·사망 및 전입·전출에 의한 인구추정'!$D$16</f>
        <v>6505.0856399468821</v>
      </c>
      <c r="Q13" s="1417">
        <f>P13+P13*'1.3 출생·사망 및 전입·전출에 의한 인구추정'!$D$16</f>
        <v>6626.9672378336099</v>
      </c>
      <c r="R13" s="1417">
        <f>Q13+Q13*'1.3 출생·사망 및 전입·전출에 의한 인구추정'!$D$16</f>
        <v>6751.1324526818426</v>
      </c>
      <c r="S13" s="1417">
        <f>R13+R13*'1.3 출생·사망 및 전입·전출에 의한 인구추정'!$D$16</f>
        <v>6877.6240711510691</v>
      </c>
      <c r="T13" s="1417">
        <f>S13+S13*'1.3 출생·사망 및 전입·전출에 의한 인구추정'!$D$16</f>
        <v>7006.4856815668481</v>
      </c>
      <c r="U13" s="1417">
        <f>T13+T13*'1.3 출생·사망 및 전입·전출에 의한 인구추정'!$D$16</f>
        <v>7137.7616889411065</v>
      </c>
      <c r="V13" s="1417">
        <f>U13+U13*'1.3 출생·사망 및 전입·전출에 의한 인구추정'!$D$16</f>
        <v>7271.4973302738645</v>
      </c>
      <c r="W13" s="1417">
        <f>V13+V13*'1.3 출생·사망 및 전입·전출에 의한 인구추정'!$D$16</f>
        <v>7407.738690141663</v>
      </c>
      <c r="X13" s="1417">
        <f>W13+W13*'1.3 출생·사망 및 전입·전출에 의한 인구추정'!$D$16</f>
        <v>7546.5327165780582</v>
      </c>
      <c r="Y13" s="1418">
        <f>X13+X13*'1.3 출생·사망 및 전입·전출에 의한 인구추정'!$D$16</f>
        <v>7687.9272372516571</v>
      </c>
      <c r="Z13" s="1981">
        <f>Y13+Y13*'1.3 출생·사망 및 전입·전출에 의한 인구추정'!$D$16</f>
        <v>7831.9709759472753</v>
      </c>
      <c r="AB13" s="1410">
        <f t="shared" si="4"/>
        <v>5351</v>
      </c>
      <c r="AC13" s="1410">
        <f t="shared" si="5"/>
        <v>5819.4533066615859</v>
      </c>
      <c r="AD13" s="1410">
        <f t="shared" si="6"/>
        <v>6626.9672378336099</v>
      </c>
      <c r="AE13" s="1410">
        <f t="shared" si="7"/>
        <v>7006.4856815668481</v>
      </c>
      <c r="AF13" s="1410">
        <f t="shared" si="8"/>
        <v>7687.9272372516571</v>
      </c>
    </row>
    <row r="14" spans="1:32" s="1408" customFormat="1" ht="35.25" customHeight="1">
      <c r="A14" s="2333"/>
      <c r="B14" s="2337"/>
      <c r="C14" s="1425" t="s">
        <v>1536</v>
      </c>
      <c r="D14" s="1426">
        <f>'1.1.1 과거인구현황'!K25</f>
        <v>11333</v>
      </c>
      <c r="E14" s="1426">
        <f>'1.1.1 과거인구현황'!L25</f>
        <v>11390</v>
      </c>
      <c r="F14" s="1426">
        <f>'1.1.1 과거인구현황'!M25</f>
        <v>11393</v>
      </c>
      <c r="G14" s="1427">
        <f>F14+F14*'1.3 출생·사망 및 전입·전출에 의한 인구추정'!$D$16</f>
        <v>11606.463299575382</v>
      </c>
      <c r="H14" s="1427">
        <f>G14+G14*'1.3 출생·사망 및 전입·전출에 의한 인구추정'!$D$16</f>
        <v>11823.926123443365</v>
      </c>
      <c r="I14" s="1427">
        <f>H14+H14*'1.3 출생·사망 및 전입·전출에 의한 인구추정'!$D$16</f>
        <v>12045.463408113405</v>
      </c>
      <c r="J14" s="1427">
        <f>I14+I14*'1.3 출생·사망 및 전입·전출에 의한 인구추정'!$D$16</f>
        <v>12271.151494132047</v>
      </c>
      <c r="K14" s="1427">
        <f>J14+J14*'1.3 출생·사망 및 전입·전출에 의한 인구추정'!$D$16</f>
        <v>12501.068152389469</v>
      </c>
      <c r="L14" s="1427">
        <f>K14+K14*'1.3 출생·사망 및 전입·전출에 의한 인구추정'!$D$16</f>
        <v>12735.292610918897</v>
      </c>
      <c r="M14" s="1427">
        <f>L14+L14*'1.3 출생·사망 및 전입·전출에 의한 인구추정'!$D$16</f>
        <v>12973.905582198167</v>
      </c>
      <c r="N14" s="1427">
        <f>M14+M14*'1.3 출생·사망 및 전입·전출에 의한 인구추정'!$D$16</f>
        <v>13216.989290962802</v>
      </c>
      <c r="O14" s="1427">
        <f>N14+N14*'1.3 출생·사망 및 전입·전출에 의한 인구추정'!$D$16</f>
        <v>13464.627502540208</v>
      </c>
      <c r="P14" s="1427">
        <f>O14+O14*'1.3 출생·사망 및 전입·전출에 의한 인구추정'!$D$16</f>
        <v>13716.905551714759</v>
      </c>
      <c r="Q14" s="1427">
        <f>P14+P14*'1.3 출생·사망 및 전입·전출에 의한 인구추정'!$D$16</f>
        <v>13973.910372133691</v>
      </c>
      <c r="R14" s="1427">
        <f>Q14+Q14*'1.3 출생·사망 및 전입·전출에 의한 인구추정'!$D$16</f>
        <v>14235.730526263973</v>
      </c>
      <c r="S14" s="1427">
        <f>R14+R14*'1.3 출생·사망 및 전입·전출에 의한 인구추정'!$D$16</f>
        <v>14502.456235910448</v>
      </c>
      <c r="T14" s="1427">
        <f>S14+S14*'1.3 출생·사망 및 전입·전출에 의한 인구추정'!$D$16</f>
        <v>14774.179413305779</v>
      </c>
      <c r="U14" s="1427">
        <f>T14+T14*'1.3 출생·사망 및 전입·전출에 의한 인구추정'!$D$16</f>
        <v>15050.993692782908</v>
      </c>
      <c r="V14" s="1427">
        <f>U14+U14*'1.3 출생·사망 및 전입·전출에 의한 인구추정'!$D$16</f>
        <v>15332.994463040934</v>
      </c>
      <c r="W14" s="1427">
        <f>V14+V14*'1.3 출생·사망 및 전입·전출에 의한 인구추정'!$D$16</f>
        <v>15620.278900015546</v>
      </c>
      <c r="X14" s="1427">
        <f>W14+W14*'1.3 출생·사망 및 전입·전출에 의한 인구추정'!$D$16</f>
        <v>15912.946000365324</v>
      </c>
      <c r="Y14" s="1428">
        <f>X14+X14*'1.3 출생·사망 및 전입·전출에 의한 인구추정'!$D$16</f>
        <v>16211.096615585446</v>
      </c>
      <c r="Z14" s="1981">
        <f>Y14+Y14*'1.3 출생·사망 및 전입·전출에 의한 인구추정'!$D$16</f>
        <v>16514.833486760566</v>
      </c>
      <c r="AB14" s="1410">
        <f t="shared" si="4"/>
        <v>11390</v>
      </c>
      <c r="AC14" s="1410">
        <f t="shared" si="5"/>
        <v>12271.151494132047</v>
      </c>
      <c r="AD14" s="1410">
        <f t="shared" si="6"/>
        <v>13973.910372133691</v>
      </c>
      <c r="AE14" s="1410">
        <f t="shared" si="7"/>
        <v>14774.179413305779</v>
      </c>
      <c r="AF14" s="1410">
        <f t="shared" si="8"/>
        <v>16211.096615585446</v>
      </c>
    </row>
    <row r="15" spans="1:32" s="1408" customFormat="1" ht="22.5" customHeight="1">
      <c r="A15" s="1420"/>
      <c r="AB15" s="1396"/>
      <c r="AC15" s="1388"/>
      <c r="AD15" s="1421"/>
      <c r="AE15" s="1396"/>
      <c r="AF15" s="1396"/>
    </row>
    <row r="16" spans="1:32" s="1386" customFormat="1" ht="22.5" customHeight="1">
      <c r="A16" s="1404" t="s">
        <v>1537</v>
      </c>
      <c r="J16" s="1387"/>
      <c r="AB16" s="1402"/>
      <c r="AD16" s="1403"/>
      <c r="AE16" s="1402"/>
      <c r="AF16" s="1402"/>
    </row>
    <row r="17" spans="1:32" s="1408" customFormat="1" ht="35.25" customHeight="1">
      <c r="A17" s="2338" t="s">
        <v>1525</v>
      </c>
      <c r="B17" s="2339"/>
      <c r="C17" s="2340"/>
      <c r="D17" s="1405">
        <v>2014</v>
      </c>
      <c r="E17" s="1405">
        <f t="shared" ref="E17:Z17" si="9">D17+1</f>
        <v>2015</v>
      </c>
      <c r="F17" s="1405">
        <f t="shared" si="9"/>
        <v>2016</v>
      </c>
      <c r="G17" s="1405">
        <f t="shared" si="9"/>
        <v>2017</v>
      </c>
      <c r="H17" s="1405">
        <f t="shared" si="9"/>
        <v>2018</v>
      </c>
      <c r="I17" s="1405">
        <f t="shared" si="9"/>
        <v>2019</v>
      </c>
      <c r="J17" s="1405">
        <f t="shared" si="9"/>
        <v>2020</v>
      </c>
      <c r="K17" s="1405">
        <f t="shared" si="9"/>
        <v>2021</v>
      </c>
      <c r="L17" s="1405">
        <f t="shared" si="9"/>
        <v>2022</v>
      </c>
      <c r="M17" s="1405">
        <f t="shared" si="9"/>
        <v>2023</v>
      </c>
      <c r="N17" s="1405">
        <f t="shared" si="9"/>
        <v>2024</v>
      </c>
      <c r="O17" s="1405">
        <f t="shared" si="9"/>
        <v>2025</v>
      </c>
      <c r="P17" s="1405">
        <f t="shared" si="9"/>
        <v>2026</v>
      </c>
      <c r="Q17" s="1405">
        <f t="shared" si="9"/>
        <v>2027</v>
      </c>
      <c r="R17" s="1405">
        <f t="shared" si="9"/>
        <v>2028</v>
      </c>
      <c r="S17" s="1405">
        <f t="shared" si="9"/>
        <v>2029</v>
      </c>
      <c r="T17" s="1405">
        <f t="shared" si="9"/>
        <v>2030</v>
      </c>
      <c r="U17" s="1405">
        <f t="shared" si="9"/>
        <v>2031</v>
      </c>
      <c r="V17" s="1405">
        <f t="shared" si="9"/>
        <v>2032</v>
      </c>
      <c r="W17" s="1405">
        <f t="shared" si="9"/>
        <v>2033</v>
      </c>
      <c r="X17" s="1405">
        <f t="shared" si="9"/>
        <v>2034</v>
      </c>
      <c r="Y17" s="1406">
        <f t="shared" si="9"/>
        <v>2035</v>
      </c>
      <c r="Z17" s="1407">
        <f t="shared" si="9"/>
        <v>2036</v>
      </c>
      <c r="AB17" s="1408">
        <v>2015</v>
      </c>
      <c r="AC17" s="1408">
        <v>2020</v>
      </c>
      <c r="AD17" s="1408">
        <v>2025</v>
      </c>
      <c r="AE17" s="1408">
        <v>2030</v>
      </c>
      <c r="AF17" s="1408">
        <v>2035</v>
      </c>
    </row>
    <row r="18" spans="1:32" s="1408" customFormat="1" ht="35.25" customHeight="1">
      <c r="A18" s="2329" t="s">
        <v>1526</v>
      </c>
      <c r="B18" s="2330"/>
      <c r="C18" s="2331"/>
      <c r="D18" s="1409">
        <f>+D19</f>
        <v>102796</v>
      </c>
      <c r="E18" s="1409">
        <f>+E19</f>
        <v>104316</v>
      </c>
      <c r="F18" s="1409">
        <f t="shared" ref="F18:Y18" si="10">+F19</f>
        <v>106419</v>
      </c>
      <c r="G18" s="1409">
        <f t="shared" si="10"/>
        <v>108200.72997239386</v>
      </c>
      <c r="H18" s="1409">
        <f t="shared" si="10"/>
        <v>110012.29072401443</v>
      </c>
      <c r="I18" s="1409">
        <f t="shared" si="10"/>
        <v>111854.18169944818</v>
      </c>
      <c r="J18" s="1409">
        <f t="shared" si="10"/>
        <v>113726.91070527886</v>
      </c>
      <c r="K18" s="1409">
        <f t="shared" si="10"/>
        <v>115630.99405008905</v>
      </c>
      <c r="L18" s="1409">
        <f t="shared" si="10"/>
        <v>117566.95668680563</v>
      </c>
      <c r="M18" s="1409">
        <f t="shared" si="10"/>
        <v>119535.3323574285</v>
      </c>
      <c r="N18" s="1409">
        <f t="shared" si="10"/>
        <v>121536.66374018244</v>
      </c>
      <c r="O18" s="1409">
        <f t="shared" si="10"/>
        <v>123571.5025991328</v>
      </c>
      <c r="P18" s="1409">
        <f t="shared" si="10"/>
        <v>125640.40993630585</v>
      </c>
      <c r="Q18" s="1409">
        <f t="shared" si="10"/>
        <v>127743.9561463564</v>
      </c>
      <c r="R18" s="1409">
        <f t="shared" si="10"/>
        <v>129882.72117382452</v>
      </c>
      <c r="S18" s="1409">
        <f t="shared" si="10"/>
        <v>132057.29467302561</v>
      </c>
      <c r="T18" s="1409">
        <f t="shared" si="10"/>
        <v>134268.276170617</v>
      </c>
      <c r="U18" s="1409">
        <f t="shared" si="10"/>
        <v>136516.27523088671</v>
      </c>
      <c r="V18" s="1409">
        <f t="shared" si="10"/>
        <v>138801.91162380943</v>
      </c>
      <c r="W18" s="1409">
        <f t="shared" si="10"/>
        <v>141125.81549591594</v>
      </c>
      <c r="X18" s="1409">
        <f t="shared" si="10"/>
        <v>143488.62754402391</v>
      </c>
      <c r="Y18" s="1422">
        <f t="shared" si="10"/>
        <v>145890.9991918767</v>
      </c>
      <c r="Z18" s="1979" t="e">
        <f>#REF!+#REF!+Z19</f>
        <v>#REF!</v>
      </c>
      <c r="AB18" s="1410">
        <f>+E18</f>
        <v>104316</v>
      </c>
      <c r="AC18" s="1410">
        <f>+J18</f>
        <v>113726.91070527886</v>
      </c>
      <c r="AD18" s="1410">
        <f>+Q18</f>
        <v>127743.9561463564</v>
      </c>
      <c r="AE18" s="1410">
        <f>+T18</f>
        <v>134268.276170617</v>
      </c>
      <c r="AF18" s="1410">
        <f>+Y18</f>
        <v>145890.9991918767</v>
      </c>
    </row>
    <row r="19" spans="1:32" s="1408" customFormat="1" ht="35.25" customHeight="1">
      <c r="A19" s="2332"/>
      <c r="B19" s="2334" t="s">
        <v>1527</v>
      </c>
      <c r="C19" s="2335"/>
      <c r="D19" s="1411">
        <f t="shared" ref="D19:Z19" si="11">SUM(D20:D28)</f>
        <v>102796</v>
      </c>
      <c r="E19" s="1412">
        <f t="shared" si="11"/>
        <v>104316</v>
      </c>
      <c r="F19" s="1412">
        <f t="shared" si="11"/>
        <v>106419</v>
      </c>
      <c r="G19" s="1412">
        <f t="shared" si="11"/>
        <v>108200.72997239386</v>
      </c>
      <c r="H19" s="1412">
        <f t="shared" si="11"/>
        <v>110012.29072401443</v>
      </c>
      <c r="I19" s="1412">
        <f t="shared" si="11"/>
        <v>111854.18169944818</v>
      </c>
      <c r="J19" s="1412">
        <f t="shared" si="11"/>
        <v>113726.91070527886</v>
      </c>
      <c r="K19" s="1412">
        <f t="shared" si="11"/>
        <v>115630.99405008905</v>
      </c>
      <c r="L19" s="1412">
        <f t="shared" si="11"/>
        <v>117566.95668680563</v>
      </c>
      <c r="M19" s="1412">
        <f t="shared" si="11"/>
        <v>119535.3323574285</v>
      </c>
      <c r="N19" s="1412">
        <f t="shared" si="11"/>
        <v>121536.66374018244</v>
      </c>
      <c r="O19" s="1412">
        <f t="shared" si="11"/>
        <v>123571.5025991328</v>
      </c>
      <c r="P19" s="1412">
        <f t="shared" si="11"/>
        <v>125640.40993630585</v>
      </c>
      <c r="Q19" s="1412">
        <f t="shared" si="11"/>
        <v>127743.9561463564</v>
      </c>
      <c r="R19" s="1412">
        <f t="shared" si="11"/>
        <v>129882.72117382452</v>
      </c>
      <c r="S19" s="1412">
        <f t="shared" si="11"/>
        <v>132057.29467302561</v>
      </c>
      <c r="T19" s="1412">
        <f t="shared" si="11"/>
        <v>134268.276170617</v>
      </c>
      <c r="U19" s="1412">
        <f t="shared" si="11"/>
        <v>136516.27523088671</v>
      </c>
      <c r="V19" s="1412">
        <f t="shared" si="11"/>
        <v>138801.91162380943</v>
      </c>
      <c r="W19" s="1412">
        <f t="shared" si="11"/>
        <v>141125.81549591594</v>
      </c>
      <c r="X19" s="1412">
        <f t="shared" si="11"/>
        <v>143488.62754402391</v>
      </c>
      <c r="Y19" s="1413">
        <f t="shared" si="11"/>
        <v>145890.9991918767</v>
      </c>
      <c r="Z19" s="1980">
        <f t="shared" si="11"/>
        <v>140802.54660566326</v>
      </c>
      <c r="AB19" s="1423">
        <f>SUM(AB20:AB28)</f>
        <v>98965</v>
      </c>
      <c r="AC19" s="1423">
        <f>SUM(AC20:AC28)</f>
        <v>107952.88070555493</v>
      </c>
      <c r="AD19" s="1423">
        <f>SUM(AD20:AD28)</f>
        <v>121258.26660728196</v>
      </c>
      <c r="AE19" s="1423">
        <f>SUM(AE20:AE28)</f>
        <v>127451.34032128705</v>
      </c>
      <c r="AF19" s="1423">
        <f>SUM(AF20:AF28)</f>
        <v>138483.96596816936</v>
      </c>
    </row>
    <row r="20" spans="1:32" s="1408" customFormat="1" ht="35.25" customHeight="1">
      <c r="A20" s="2332"/>
      <c r="B20" s="2336"/>
      <c r="C20" s="1415" t="s">
        <v>1528</v>
      </c>
      <c r="D20" s="1416">
        <f t="shared" ref="D20:E28" si="12">D6</f>
        <v>19214</v>
      </c>
      <c r="E20" s="1416">
        <f t="shared" si="12"/>
        <v>18986</v>
      </c>
      <c r="F20" s="1416">
        <f t="shared" ref="F20" si="13">F6</f>
        <v>19057</v>
      </c>
      <c r="G20" s="1417">
        <f>F20+F20*'1.3 출생·사망 및 전입·전출에 의한 인구추정'!$D$17</f>
        <v>19376.063589057499</v>
      </c>
      <c r="H20" s="1417">
        <f>G20+G20*'1.3 출생·사망 및 전입·전출에 의한 인구추정'!$D$17</f>
        <v>19700.469129831545</v>
      </c>
      <c r="I20" s="1417">
        <f>H20+H20*'1.3 출생·사망 및 전입·전출에 의한 인구추정'!$D$17</f>
        <v>20030.306060443945</v>
      </c>
      <c r="J20" s="1417">
        <f>I20+I20*'1.3 출생·사망 및 전입·전출에 의한 인구추정'!$D$17</f>
        <v>20365.665316442548</v>
      </c>
      <c r="K20" s="1417">
        <f>J20+J20*'1.3 출생·사망 및 전입·전출에 의한 인구추정'!$D$17</f>
        <v>20706.639355872048</v>
      </c>
      <c r="L20" s="1417">
        <f>K20+K20*'1.3 출생·사망 및 전입·전출에 의한 인구추정'!$D$17</f>
        <v>21053.322184764518</v>
      </c>
      <c r="M20" s="1417">
        <f>L20+L20*'1.3 출생·사망 및 전입·전출에 의한 인구추정'!$D$17</f>
        <v>21405.809383056738</v>
      </c>
      <c r="N20" s="1417">
        <f>M20+M20*'1.3 출생·사망 및 전입·전출에 의한 인구추정'!$D$17</f>
        <v>21764.19813094144</v>
      </c>
      <c r="O20" s="1417">
        <f>N20+N20*'1.3 출생·사망 및 전입·전출에 의한 인구추정'!$D$17</f>
        <v>22128.587235659743</v>
      </c>
      <c r="P20" s="1417">
        <f>O20+O20*'1.3 출생·사망 및 전입·전출에 의한 인구추정'!$D$17</f>
        <v>22499.077158742155</v>
      </c>
      <c r="Q20" s="1417">
        <f>P20+P20*'1.3 출생·사망 및 전입·전출에 의한 인구추정'!$D$17</f>
        <v>22875.770043705677</v>
      </c>
      <c r="R20" s="1417">
        <f>Q20+Q20*'1.3 출생·사망 및 전입·전출에 의한 인구추정'!$D$17</f>
        <v>23258.769744214609</v>
      </c>
      <c r="S20" s="1417">
        <f>R20+R20*'1.3 출생·사망 및 전입·전출에 의한 인구추정'!$D$17</f>
        <v>23648.181852712853</v>
      </c>
      <c r="T20" s="1417">
        <f>S20+S20*'1.3 출생·사망 및 전입·전출에 의한 인구추정'!$D$17</f>
        <v>24044.113729535591</v>
      </c>
      <c r="U20" s="1417">
        <f>T20+T20*'1.3 출생·사망 및 전입·전출에 의한 인구추정'!$D$17</f>
        <v>24446.674532508372</v>
      </c>
      <c r="V20" s="1417">
        <f>U20+U20*'1.3 출생·사망 및 전입·전출에 의한 인구추정'!$D$17</f>
        <v>24855.975247041755</v>
      </c>
      <c r="W20" s="1417">
        <f>V20+V20*'1.3 출생·사망 및 전입·전출에 의한 인구추정'!$D$17</f>
        <v>25272.128716729821</v>
      </c>
      <c r="X20" s="1417">
        <f>W20+W20*'1.3 출생·사망 및 전입·전출에 의한 인구추정'!$D$17</f>
        <v>25695.249674460989</v>
      </c>
      <c r="Y20" s="1418">
        <f>X20+X20*'1.3 출생·사망 및 전입·전출에 의한 인구추정'!$D$17</f>
        <v>26125.454774049696</v>
      </c>
      <c r="Z20" s="1981">
        <f>Y20+Y20*'1.3 출생·사망 및 전입·전출에 의한 인구추정'!$D$17</f>
        <v>26562.862622397686</v>
      </c>
      <c r="AB20" s="1410">
        <f t="shared" ref="AB20:AB28" si="14">+E20</f>
        <v>18986</v>
      </c>
      <c r="AC20" s="1410">
        <f t="shared" ref="AC20:AC28" si="15">+J20</f>
        <v>20365.665316442548</v>
      </c>
      <c r="AD20" s="1410">
        <f t="shared" ref="AD20:AD28" si="16">+Q20</f>
        <v>22875.770043705677</v>
      </c>
      <c r="AE20" s="1410">
        <f t="shared" ref="AE20:AE28" si="17">+T20</f>
        <v>24044.113729535591</v>
      </c>
      <c r="AF20" s="1410">
        <f t="shared" ref="AF20:AF28" si="18">+Y20</f>
        <v>26125.454774049696</v>
      </c>
    </row>
    <row r="21" spans="1:32" s="1408" customFormat="1" ht="35.25" customHeight="1">
      <c r="A21" s="2332"/>
      <c r="B21" s="2336"/>
      <c r="C21" s="1415" t="s">
        <v>1529</v>
      </c>
      <c r="D21" s="1416">
        <f t="shared" si="12"/>
        <v>23362</v>
      </c>
      <c r="E21" s="1416">
        <f t="shared" si="12"/>
        <v>23334</v>
      </c>
      <c r="F21" s="1416">
        <f t="shared" ref="F21" si="19">F7</f>
        <v>23398</v>
      </c>
      <c r="G21" s="1417">
        <f>F21+F21*'1.3 출생·사망 및 전입·전출에 의한 인구추정'!$D$17</f>
        <v>23789.743183962182</v>
      </c>
      <c r="H21" s="1417">
        <f>G21+G21*'1.3 출생·사망 및 전입·전출에 의한 인구추정'!$D$17</f>
        <v>24188.045164495903</v>
      </c>
      <c r="I21" s="1417">
        <f>H21+H21*'1.3 출생·사망 및 전입·전출에 의한 인구추정'!$D$17</f>
        <v>24593.015752860752</v>
      </c>
      <c r="J21" s="1417">
        <f>I21+I21*'1.3 출생·사망 및 전입·전출에 의한 인구추정'!$D$17</f>
        <v>25004.76659884151</v>
      </c>
      <c r="K21" s="1417">
        <f>J21+J21*'1.3 출생·사망 및 전입·전출에 의한 인구추정'!$D$17</f>
        <v>25423.411221529834</v>
      </c>
      <c r="L21" s="1417">
        <f>K21+K21*'1.3 출생·사망 및 전입·전출에 의한 인구추정'!$D$17</f>
        <v>25849.065040621295</v>
      </c>
      <c r="M21" s="1417">
        <f>L21+L21*'1.3 출생·사망 및 전입·전출에 의한 인구추정'!$D$17</f>
        <v>26281.845408236415</v>
      </c>
      <c r="N21" s="1417">
        <f>M21+M21*'1.3 출생·사망 및 전입·전출에 의한 인구추정'!$D$17</f>
        <v>26721.871641274472</v>
      </c>
      <c r="O21" s="1417">
        <f>N21+N21*'1.3 출생·사망 및 전입·전출에 의한 인구추정'!$D$17</f>
        <v>27169.265054308991</v>
      </c>
      <c r="P21" s="1417">
        <f>O21+O21*'1.3 출생·사망 및 전입·전출에 의한 인구추정'!$D$17</f>
        <v>27624.148993033989</v>
      </c>
      <c r="Q21" s="1417">
        <f>P21+P21*'1.3 출생·사망 및 전입·전출에 의한 인구추정'!$D$17</f>
        <v>28086.6488682702</v>
      </c>
      <c r="R21" s="1417">
        <f>Q21+Q21*'1.3 출생·사망 및 전입·전출에 의한 인구추정'!$D$17</f>
        <v>28556.892190540653</v>
      </c>
      <c r="S21" s="1417">
        <f>R21+R21*'1.3 출생·사망 및 전입·전출에 의한 인구추정'!$D$17</f>
        <v>29035.008605225121</v>
      </c>
      <c r="T21" s="1417">
        <f>S21+S21*'1.3 출생·사망 및 전입·전출에 의한 인구추정'!$D$17</f>
        <v>29521.129928303173</v>
      </c>
      <c r="U21" s="1417">
        <f>T21+T21*'1.3 출생·사망 및 전입·전출에 의한 인구추정'!$D$17</f>
        <v>30015.390182695635</v>
      </c>
      <c r="V21" s="1417">
        <f>U21+U21*'1.3 출생·사망 및 전입·전출에 의한 인구추정'!$D$17</f>
        <v>30517.925635214502</v>
      </c>
      <c r="W21" s="1417">
        <f>V21+V21*'1.3 출생·사망 및 전입·전출에 의한 인구추정'!$D$17</f>
        <v>31028.874834131508</v>
      </c>
      <c r="X21" s="1417">
        <f>W21+W21*'1.3 출생·사망 및 전입·전출에 의한 인구추정'!$D$17</f>
        <v>31548.378647375663</v>
      </c>
      <c r="Y21" s="1418">
        <f>X21+X21*'1.3 출생·사망 및 전입·전출에 의한 인구추정'!$D$17</f>
        <v>32076.580301370341</v>
      </c>
      <c r="Z21" s="1981">
        <f>Y21+Y21*'1.3 출생·사망 및 전입·전출에 의한 인구추정'!$D$17</f>
        <v>32613.625420520588</v>
      </c>
      <c r="AB21" s="1410">
        <f t="shared" si="14"/>
        <v>23334</v>
      </c>
      <c r="AC21" s="1410">
        <f t="shared" si="15"/>
        <v>25004.76659884151</v>
      </c>
      <c r="AD21" s="1410">
        <f t="shared" si="16"/>
        <v>28086.6488682702</v>
      </c>
      <c r="AE21" s="1410">
        <f t="shared" si="17"/>
        <v>29521.129928303173</v>
      </c>
      <c r="AF21" s="1410">
        <f t="shared" si="18"/>
        <v>32076.580301370341</v>
      </c>
    </row>
    <row r="22" spans="1:32" s="1408" customFormat="1" ht="35.25" customHeight="1">
      <c r="A22" s="2332"/>
      <c r="B22" s="2336"/>
      <c r="C22" s="1415" t="s">
        <v>1530</v>
      </c>
      <c r="D22" s="1416">
        <f t="shared" si="12"/>
        <v>3233</v>
      </c>
      <c r="E22" s="1416">
        <f t="shared" si="12"/>
        <v>3221</v>
      </c>
      <c r="F22" s="1416">
        <f t="shared" ref="F22" si="20">F8</f>
        <v>3240</v>
      </c>
      <c r="G22" s="1417">
        <f>F22+F22*'1.3 출생·사망 및 전입·전출에 의한 인구추정'!$D$17</f>
        <v>3294.2460003435112</v>
      </c>
      <c r="H22" s="1417">
        <f>G22+G22*'1.3 출생·사망 및 전입·전출에 의한 인구추정'!$D$17</f>
        <v>3349.4002193763026</v>
      </c>
      <c r="I22" s="1417">
        <f>H22+H22*'1.3 출생·사망 및 전입·전출에 의한 인구추정'!$D$17</f>
        <v>3405.4778630339702</v>
      </c>
      <c r="J22" s="1417">
        <f>I22+I22*'1.3 출생·사망 및 전입·전출에 의한 인구추정'!$D$17</f>
        <v>3462.4943918388963</v>
      </c>
      <c r="K22" s="1417">
        <f>J22+J22*'1.3 출생·사망 및 전입·전출에 의한 인구추정'!$D$17</f>
        <v>3520.4655251626918</v>
      </c>
      <c r="L22" s="1417">
        <f>K22+K22*'1.3 출생·사망 및 전입·전출에 의한 인구추정'!$D$17</f>
        <v>3579.4072455600049</v>
      </c>
      <c r="M22" s="1417">
        <f>L22+L22*'1.3 출생·사망 및 전입·전출에 의한 인구추정'!$D$17</f>
        <v>3639.3358031748858</v>
      </c>
      <c r="N22" s="1417">
        <f>M22+M22*'1.3 출생·사망 및 전입·전출에 의한 인구추정'!$D$17</f>
        <v>3700.2677202209284</v>
      </c>
      <c r="O22" s="1417">
        <f>N22+N22*'1.3 출생·사망 및 전입·전출에 의한 인구추정'!$D$17</f>
        <v>3762.2197955364186</v>
      </c>
      <c r="P22" s="1417">
        <f>O22+O22*'1.3 출생·사망 및 전입·전출에 의한 인구추정'!$D$17</f>
        <v>3825.2091092157498</v>
      </c>
      <c r="Q22" s="1417">
        <f>P22+P22*'1.3 출생·사망 및 전입·전출에 의한 인구추정'!$D$17</f>
        <v>3889.2530273183793</v>
      </c>
      <c r="R22" s="1417">
        <f>Q22+Q22*'1.3 출생·사망 및 전입·전출에 의한 인구추정'!$D$17</f>
        <v>3954.3692066566246</v>
      </c>
      <c r="S22" s="1417">
        <f>R22+R22*'1.3 출생·사망 및 전입·전출에 의한 인구추정'!$D$17</f>
        <v>4020.5755996636199</v>
      </c>
      <c r="T22" s="1417">
        <f>S22+S22*'1.3 출생·사망 및 전입·전출에 의한 인구추정'!$D$17</f>
        <v>4087.890459342776</v>
      </c>
      <c r="U22" s="1417">
        <f>T22+T22*'1.3 출생·사망 및 전입·전출에 의한 인구추정'!$D$17</f>
        <v>4156.3323443001045</v>
      </c>
      <c r="V22" s="1417">
        <f>U22+U22*'1.3 출생·사망 및 전입·전출에 의한 인구추정'!$D$17</f>
        <v>4225.9201238607993</v>
      </c>
      <c r="W22" s="1417">
        <f>V22+V22*'1.3 출생·사망 및 전입·전출에 의한 인구추정'!$D$17</f>
        <v>4296.6729832714791</v>
      </c>
      <c r="X22" s="1417">
        <f>W22+W22*'1.3 출생·사망 및 전입·전출에 의한 인구추정'!$D$17</f>
        <v>4368.6104289895347</v>
      </c>
      <c r="Y22" s="1418">
        <f>X22+X22*'1.3 출생·사망 및 전입·전출에 의한 인구추정'!$D$17</f>
        <v>4441.7522940610261</v>
      </c>
      <c r="Z22" s="1981">
        <f>Y22+Y22*'1.3 출생·사망 및 전입·전출에 의한 인구추정'!$D$17</f>
        <v>4516.1187435886268</v>
      </c>
      <c r="AB22" s="1410">
        <f t="shared" si="14"/>
        <v>3221</v>
      </c>
      <c r="AC22" s="1410">
        <f t="shared" si="15"/>
        <v>3462.4943918388963</v>
      </c>
      <c r="AD22" s="1410">
        <f t="shared" si="16"/>
        <v>3889.2530273183793</v>
      </c>
      <c r="AE22" s="1410">
        <f t="shared" si="17"/>
        <v>4087.890459342776</v>
      </c>
      <c r="AF22" s="1410">
        <f t="shared" si="18"/>
        <v>4441.7522940610261</v>
      </c>
    </row>
    <row r="23" spans="1:32" s="1408" customFormat="1" ht="35.25" customHeight="1">
      <c r="A23" s="2332"/>
      <c r="B23" s="2336"/>
      <c r="C23" s="1415" t="s">
        <v>1531</v>
      </c>
      <c r="D23" s="1416">
        <f t="shared" si="12"/>
        <v>3270</v>
      </c>
      <c r="E23" s="1416">
        <f t="shared" si="12"/>
        <v>3243</v>
      </c>
      <c r="F23" s="1416">
        <f t="shared" ref="F23" si="21">F9</f>
        <v>3317</v>
      </c>
      <c r="G23" s="1417">
        <f>F23+F23*'1.3 출생·사망 및 전입·전출에 의한 인구추정'!$D$17</f>
        <v>3372.5351799813047</v>
      </c>
      <c r="H23" s="1417">
        <f>G23+G23*'1.3 출생·사망 및 전입·전출에 의한 인구추정'!$D$17</f>
        <v>3429.0001628614805</v>
      </c>
      <c r="I23" s="1417">
        <f>H23+H23*'1.3 출생·사망 및 전입·전출에 의한 인구추정'!$D$17</f>
        <v>3486.410515951753</v>
      </c>
      <c r="J23" s="1417">
        <f>I23+I23*'1.3 출생·사망 및 전입·전출에 의한 인구추정'!$D$17</f>
        <v>3544.7820672005</v>
      </c>
      <c r="K23" s="1417">
        <f>J23+J23*'1.3 출생·사망 및 전입·전출에 의한 인구추정'!$D$17</f>
        <v>3604.1309095569909</v>
      </c>
      <c r="L23" s="1417">
        <f>K23+K23*'1.3 출생·사망 및 전입·전출에 의한 인구추정'!$D$17</f>
        <v>3664.473405408191</v>
      </c>
      <c r="M23" s="1417">
        <f>L23+L23*'1.3 출생·사망 및 전입·전출에 의한 인구추정'!$D$17</f>
        <v>3725.8261910898455</v>
      </c>
      <c r="N23" s="1417">
        <f>M23+M23*'1.3 출생·사망 및 전입·전출에 의한 인구추정'!$D$17</f>
        <v>3788.2061814730932</v>
      </c>
      <c r="O23" s="1417">
        <f>N23+N23*'1.3 출생·사망 및 전입·전출에 의한 인구추정'!$D$17</f>
        <v>3851.6305746278713</v>
      </c>
      <c r="P23" s="1417">
        <f>O23+O23*'1.3 출생·사망 및 전입·전출에 의한 인구추정'!$D$17</f>
        <v>3916.1168565643966</v>
      </c>
      <c r="Q23" s="1417">
        <f>P23+P23*'1.3 출생·사망 및 전입·전출에 의한 인구추정'!$D$17</f>
        <v>3981.6828060540329</v>
      </c>
      <c r="R23" s="1417">
        <f>Q23+Q23*'1.3 출생·사망 및 전입·전출에 의한 인구추정'!$D$17</f>
        <v>4048.3464995308723</v>
      </c>
      <c r="S23" s="1417">
        <f>R23+R23*'1.3 출생·사망 및 전입·전출에 의한 인구추정'!$D$17</f>
        <v>4116.1263160753797</v>
      </c>
      <c r="T23" s="1417">
        <f>S23+S23*'1.3 출생·사망 및 전입·전출에 의한 인구추정'!$D$17</f>
        <v>4185.0409424814789</v>
      </c>
      <c r="U23" s="1417">
        <f>T23+T23*'1.3 출생·사망 및 전입·전출에 의한 인구추정'!$D$17</f>
        <v>4255.1093784084724</v>
      </c>
      <c r="V23" s="1417">
        <f>U23+U23*'1.3 출생·사망 및 전입·전출에 의한 인구추정'!$D$17</f>
        <v>4326.3509416192201</v>
      </c>
      <c r="W23" s="1417">
        <f>V23+V23*'1.3 출생·사망 및 전입·전출에 의한 인구추정'!$D$17</f>
        <v>4398.7852733060181</v>
      </c>
      <c r="X23" s="1417">
        <f>W23+W23*'1.3 출생·사망 및 전입·전출에 의한 인구추정'!$D$17</f>
        <v>4472.4323435056449</v>
      </c>
      <c r="Y23" s="1418">
        <f>X23+X23*'1.3 출생·사망 및 전입·전출에 의한 인구추정'!$D$17</f>
        <v>4547.3124566050701</v>
      </c>
      <c r="Z23" s="1981">
        <f>Y23+Y23*'1.3 출생·사망 및 전입·전출에 의한 인구추정'!$D$17</f>
        <v>4623.4462569393454</v>
      </c>
      <c r="AB23" s="1410">
        <f t="shared" si="14"/>
        <v>3243</v>
      </c>
      <c r="AC23" s="1410">
        <f t="shared" si="15"/>
        <v>3544.7820672005</v>
      </c>
      <c r="AD23" s="1410">
        <f t="shared" si="16"/>
        <v>3981.6828060540329</v>
      </c>
      <c r="AE23" s="1410">
        <f t="shared" si="17"/>
        <v>4185.0409424814789</v>
      </c>
      <c r="AF23" s="1410">
        <f t="shared" si="18"/>
        <v>4547.3124566050701</v>
      </c>
    </row>
    <row r="24" spans="1:32" s="1408" customFormat="1" ht="35.25" customHeight="1">
      <c r="A24" s="2332"/>
      <c r="B24" s="2336"/>
      <c r="C24" s="1415" t="s">
        <v>1532</v>
      </c>
      <c r="D24" s="1416">
        <f t="shared" si="12"/>
        <v>8143</v>
      </c>
      <c r="E24" s="1416">
        <f t="shared" si="12"/>
        <v>10418</v>
      </c>
      <c r="F24" s="1416">
        <f t="shared" ref="F24" si="22">F10</f>
        <v>12254</v>
      </c>
      <c r="G24" s="1417">
        <f>F24+F24*'1.3 출생·사망 및 전입·전출에 의한 인구추정'!$D$17</f>
        <v>12459.163730928823</v>
      </c>
      <c r="H24" s="1417">
        <f>G24+G24*'1.3 출생·사망 및 전입·전출에 의한 인구추정'!$D$17</f>
        <v>12667.762434641116</v>
      </c>
      <c r="I24" s="1417">
        <f>H24+H24*'1.3 출생·사망 및 전입·전출에 의한 인구추정'!$D$17</f>
        <v>12879.853621487122</v>
      </c>
      <c r="J24" s="1417">
        <f>I24+I24*'1.3 출생·사망 및 전입·전출에 의한 인구추정'!$D$17</f>
        <v>13095.495764689456</v>
      </c>
      <c r="K24" s="1417">
        <f>J24+J24*'1.3 출생·사망 및 전입·전출에 의한 인구추정'!$D$17</f>
        <v>13314.748316464083</v>
      </c>
      <c r="L24" s="1417">
        <f>K24+K24*'1.3 출생·사망 및 전입·전출에 의한 인구추정'!$D$17</f>
        <v>13537.671724411206</v>
      </c>
      <c r="M24" s="1417">
        <f>L24+L24*'1.3 출생·사망 및 전입·전출에 의한 인구추정'!$D$17</f>
        <v>13764.327448180575</v>
      </c>
      <c r="N24" s="1417">
        <f>M24+M24*'1.3 출생·사망 및 전입·전출에 의한 인구추정'!$D$17</f>
        <v>13994.777976415822</v>
      </c>
      <c r="O24" s="1417">
        <f>N24+N24*'1.3 출생·사망 및 전입·전출에 의한 인구추정'!$D$17</f>
        <v>14229.086843982494</v>
      </c>
      <c r="P24" s="1417">
        <f>O24+O24*'1.3 출생·사망 및 전입·전출에 의한 인구추정'!$D$17</f>
        <v>14467.318649484507</v>
      </c>
      <c r="Q24" s="1417">
        <f>P24+P24*'1.3 출생·사망 및 전입·전출에 의한 인구추정'!$D$17</f>
        <v>14709.539073073896</v>
      </c>
      <c r="R24" s="1417">
        <f>Q24+Q24*'1.3 출생·사망 및 전입·전출에 의한 인구추정'!$D$17</f>
        <v>14955.814894558729</v>
      </c>
      <c r="S24" s="1417">
        <f>R24+R24*'1.3 출생·사망 및 전입·전출에 의한 인구추정'!$D$17</f>
        <v>15206.2140118142</v>
      </c>
      <c r="T24" s="1417">
        <f>S24+S24*'1.3 출생·사망 및 전입·전출에 의한 인구추정'!$D$17</f>
        <v>15460.805459501971</v>
      </c>
      <c r="U24" s="1417">
        <f>T24+T24*'1.3 출생·사망 및 전입·전출에 의한 인구추정'!$D$17</f>
        <v>15719.659428102928</v>
      </c>
      <c r="V24" s="1417">
        <f>U24+U24*'1.3 출생·사망 및 전입·전출에 의한 인구추정'!$D$17</f>
        <v>15982.847283268593</v>
      </c>
      <c r="W24" s="1417">
        <f>V24+V24*'1.3 출생·사망 및 전입·전출에 의한 인구추정'!$D$17</f>
        <v>16250.441585496517</v>
      </c>
      <c r="X24" s="1417">
        <f>W24+W24*'1.3 출생·사망 및 전입·전출에 의한 인구추정'!$D$17</f>
        <v>16522.516110135115</v>
      </c>
      <c r="Y24" s="1418">
        <f>X24+X24*'1.3 출생·사망 및 전입·전출에 의한 인구추정'!$D$17</f>
        <v>16799.145867723404</v>
      </c>
      <c r="Z24" s="1981">
        <f>Y24+Y24*'1.3 출생·사망 및 전입·전출에 의한 인구추정'!$D$17</f>
        <v>17080.40712467131</v>
      </c>
      <c r="AB24" s="1410">
        <f t="shared" si="14"/>
        <v>10418</v>
      </c>
      <c r="AC24" s="1410">
        <f t="shared" si="15"/>
        <v>13095.495764689456</v>
      </c>
      <c r="AD24" s="1410">
        <f t="shared" si="16"/>
        <v>14709.539073073896</v>
      </c>
      <c r="AE24" s="1410">
        <f t="shared" si="17"/>
        <v>15460.805459501971</v>
      </c>
      <c r="AF24" s="1410">
        <f t="shared" si="18"/>
        <v>16799.145867723404</v>
      </c>
    </row>
    <row r="25" spans="1:32" s="1408" customFormat="1" ht="35.25" customHeight="1">
      <c r="A25" s="2332"/>
      <c r="B25" s="2336"/>
      <c r="C25" s="1415" t="s">
        <v>1533</v>
      </c>
      <c r="D25" s="1416">
        <f t="shared" si="12"/>
        <v>19132</v>
      </c>
      <c r="E25" s="1416">
        <f t="shared" si="12"/>
        <v>18802</v>
      </c>
      <c r="F25" s="1416">
        <f t="shared" ref="F25" si="23">F11</f>
        <v>18744</v>
      </c>
      <c r="G25" s="1417">
        <f>F25+F25*'1.3 출생·사망 및 전입·전출에 의한 인구추정'!$D$17</f>
        <v>19057.823157542833</v>
      </c>
      <c r="H25" s="1417">
        <f>G25+G25*'1.3 출생·사망 및 전입·전출에 의한 인구추정'!$D$17</f>
        <v>19376.900528391798</v>
      </c>
      <c r="I25" s="1417">
        <f>H25+H25*'1.3 출생·사망 및 전입·전출에 의한 인구추정'!$D$17</f>
        <v>19701.320081700233</v>
      </c>
      <c r="J25" s="1417">
        <f>I25+I25*'1.3 출생·사망 및 전입·전출에 의한 인구추정'!$D$17</f>
        <v>20031.171259453175</v>
      </c>
      <c r="K25" s="1417">
        <f>J25+J25*'1.3 출생·사망 및 전입·전출에 의한 인구추정'!$D$17</f>
        <v>20366.545001126393</v>
      </c>
      <c r="L25" s="1417">
        <f>K25+K25*'1.3 출생·사망 및 전입·전출에 의한 인구추정'!$D$17</f>
        <v>20707.533768758258</v>
      </c>
      <c r="M25" s="1417">
        <f>L25+L25*'1.3 출생·사망 및 전입·전출에 의한 인구추정'!$D$17</f>
        <v>21054.231572441386</v>
      </c>
      <c r="N25" s="1417">
        <f>M25+M25*'1.3 출생·사망 및 전입·전출에 의한 인구추정'!$D$17</f>
        <v>21406.733996241084</v>
      </c>
      <c r="O25" s="1417">
        <f>N25+N25*'1.3 출생·사망 및 전입·전출에 의한 인구추정'!$D$17</f>
        <v>21765.138224547736</v>
      </c>
      <c r="P25" s="1417">
        <f>O25+O25*'1.3 출생·사망 및 전입·전출에 의한 인구추정'!$D$17</f>
        <v>22129.543068870385</v>
      </c>
      <c r="Q25" s="1417">
        <f>P25+P25*'1.3 출생·사망 및 전입·전출에 의한 인구추정'!$D$17</f>
        <v>22500.048995078931</v>
      </c>
      <c r="R25" s="1417">
        <f>Q25+Q25*'1.3 출생·사망 및 전입·전출에 의한 인구추정'!$D$17</f>
        <v>22876.758151102411</v>
      </c>
      <c r="S25" s="1417">
        <f>R25+R25*'1.3 출생·사망 및 전입·전출에 의한 인구추정'!$D$17</f>
        <v>23259.77439509103</v>
      </c>
      <c r="T25" s="1417">
        <f>S25+S25*'1.3 출생·사망 및 전입·전출에 의한 인구추정'!$D$17</f>
        <v>23649.203324049704</v>
      </c>
      <c r="U25" s="1417">
        <f>T25+T25*'1.3 출생·사망 및 전입·전출에 의한 인구추정'!$D$17</f>
        <v>24045.152302950992</v>
      </c>
      <c r="V25" s="1417">
        <f>U25+U25*'1.3 출생·사망 및 전입·전출에 의한 인구추정'!$D$17</f>
        <v>24447.730494335454</v>
      </c>
      <c r="W25" s="1417">
        <f>V25+V25*'1.3 출생·사망 및 전입·전출에 의한 인구추정'!$D$17</f>
        <v>24857.048888407611</v>
      </c>
      <c r="X25" s="1417">
        <f>W25+W25*'1.3 출생·사망 및 전입·전출에 의한 인구추정'!$D$17</f>
        <v>25273.220333635771</v>
      </c>
      <c r="Y25" s="1418">
        <f>X25+X25*'1.3 출생·사망 및 전입·전출에 의한 인구추정'!$D$17</f>
        <v>25696.35956786418</v>
      </c>
      <c r="Z25" s="1981">
        <f>Y25+Y25*'1.3 출생·사망 및 전입·전출에 의한 인구추정'!$D$17</f>
        <v>26126.583249946078</v>
      </c>
      <c r="AB25" s="1410">
        <f t="shared" si="14"/>
        <v>18802</v>
      </c>
      <c r="AC25" s="1410">
        <f t="shared" si="15"/>
        <v>20031.171259453175</v>
      </c>
      <c r="AD25" s="1410">
        <f t="shared" si="16"/>
        <v>22500.048995078931</v>
      </c>
      <c r="AE25" s="1410">
        <f t="shared" si="17"/>
        <v>23649.203324049704</v>
      </c>
      <c r="AF25" s="1410">
        <f t="shared" si="18"/>
        <v>25696.35956786418</v>
      </c>
    </row>
    <row r="26" spans="1:32" s="1408" customFormat="1" ht="35.25" customHeight="1">
      <c r="A26" s="2332"/>
      <c r="B26" s="2336"/>
      <c r="C26" s="1415" t="s">
        <v>1534</v>
      </c>
      <c r="D26" s="1416">
        <f t="shared" si="12"/>
        <v>9739</v>
      </c>
      <c r="E26" s="1416">
        <f t="shared" si="12"/>
        <v>9571</v>
      </c>
      <c r="F26" s="1416">
        <f t="shared" ref="F26" si="24">F12</f>
        <v>9613</v>
      </c>
      <c r="G26" s="1417">
        <f>F26+F26*'1.3 출생·사망 및 전입·전출에 의한 인구추정'!$D$17</f>
        <v>9773.9465436117825</v>
      </c>
      <c r="H26" s="1417">
        <f>G26+G26*'1.3 출생·사망 및 전입·전출에 의한 인구추정'!$D$17</f>
        <v>9937.5877496495068</v>
      </c>
      <c r="I26" s="1417">
        <f>H26+H26*'1.3 출생·사망 및 전입·전출에 의한 인구추정'!$D$17</f>
        <v>10103.96873374863</v>
      </c>
      <c r="J26" s="1417">
        <f>I26+I26*'1.3 출생·사망 및 전입·전출에 의한 인구추정'!$D$17</f>
        <v>10273.135366897321</v>
      </c>
      <c r="K26" s="1417">
        <f>J26+J26*'1.3 출생·사망 및 전입·전출에 의한 인구추정'!$D$17</f>
        <v>10445.134288083014</v>
      </c>
      <c r="L26" s="1417">
        <f>K26+K26*'1.3 출생·사망 및 전입·전출에 의한 인구추정'!$D$17</f>
        <v>10620.012917150721</v>
      </c>
      <c r="M26" s="1417">
        <f>L26+L26*'1.3 출생·사망 및 전입·전출에 의한 인구추정'!$D$17</f>
        <v>10797.819467876601</v>
      </c>
      <c r="N26" s="1417">
        <f>M26+M26*'1.3 출생·사망 및 전입·전출에 의한 인구추정'!$D$17</f>
        <v>10978.602961260431</v>
      </c>
      <c r="O26" s="1417">
        <f>N26+N26*'1.3 출생·사망 및 전입·전출에 의한 인구추정'!$D$17</f>
        <v>11162.413239040618</v>
      </c>
      <c r="P26" s="1417">
        <f>O26+O26*'1.3 출생·사망 및 전입·전출에 의한 인구추정'!$D$17</f>
        <v>11349.300977435498</v>
      </c>
      <c r="Q26" s="1417">
        <f>P26+P26*'1.3 출생·사망 및 전입·전출에 의한 인구추정'!$D$17</f>
        <v>11539.317701114689</v>
      </c>
      <c r="R26" s="1417">
        <f>Q26+Q26*'1.3 출생·사망 및 전입·전출에 의한 인구추정'!$D$17</f>
        <v>11732.515797404365</v>
      </c>
      <c r="S26" s="1417">
        <f>R26+R26*'1.3 출생·사망 및 전입·전출에 의한 인구추정'!$D$17</f>
        <v>11928.948530730368</v>
      </c>
      <c r="T26" s="1417">
        <f>S26+S26*'1.3 출생·사망 및 전입·전출에 의한 인구추정'!$D$17</f>
        <v>12128.670057303123</v>
      </c>
      <c r="U26" s="1417">
        <f>T26+T26*'1.3 출생·사망 및 전입·전출에 의한 인구추정'!$D$17</f>
        <v>12331.735440048431</v>
      </c>
      <c r="V26" s="1417">
        <f>U26+U26*'1.3 출생·사망 및 전입·전출에 의한 인구추정'!$D$17</f>
        <v>12538.200663788233</v>
      </c>
      <c r="W26" s="1417">
        <f>V26+V26*'1.3 출생·사망 및 전입·전출에 의한 인구추정'!$D$17</f>
        <v>12748.122650675539</v>
      </c>
      <c r="X26" s="1417">
        <f>W26+W26*'1.3 출생·사망 및 전입·전출에 의한 인구추정'!$D$17</f>
        <v>12961.559275887783</v>
      </c>
      <c r="Y26" s="1418">
        <f>X26+X26*'1.3 출생·사망 및 전입·전출에 의한 인구추정'!$D$17</f>
        <v>13178.569383582922</v>
      </c>
      <c r="Z26" s="1981">
        <f>Y26+Y26*'1.3 출생·사망 및 전입·전출에 의한 인구추정'!$D$17</f>
        <v>13399.212803122684</v>
      </c>
      <c r="AB26" s="1410">
        <f t="shared" si="14"/>
        <v>9571</v>
      </c>
      <c r="AC26" s="1410">
        <f t="shared" si="15"/>
        <v>10273.135366897321</v>
      </c>
      <c r="AD26" s="1410">
        <f t="shared" si="16"/>
        <v>11539.317701114689</v>
      </c>
      <c r="AE26" s="1410">
        <f t="shared" si="17"/>
        <v>12128.670057303123</v>
      </c>
      <c r="AF26" s="1410">
        <f t="shared" si="18"/>
        <v>13178.569383582922</v>
      </c>
    </row>
    <row r="27" spans="1:32" s="1408" customFormat="1" ht="35.25" customHeight="1">
      <c r="A27" s="2332"/>
      <c r="B27" s="2336"/>
      <c r="C27" s="1415" t="s">
        <v>1535</v>
      </c>
      <c r="D27" s="1416">
        <f t="shared" si="12"/>
        <v>5370</v>
      </c>
      <c r="E27" s="1416">
        <f t="shared" si="12"/>
        <v>5351</v>
      </c>
      <c r="F27" s="1416">
        <f t="shared" ref="F27" si="25">F13</f>
        <v>5403</v>
      </c>
      <c r="G27" s="1417">
        <f>F27+F27*'1.3 출생·사망 및 전입·전출에 의한 인구추정'!$D$17</f>
        <v>5493.4602283506147</v>
      </c>
      <c r="H27" s="1417">
        <f>G27+G27*'1.3 출생·사망 및 전입·전출에 의한 인구추정'!$D$17</f>
        <v>5585.4349954599274</v>
      </c>
      <c r="I27" s="1417">
        <f>H27+H27*'1.3 출생·사망 및 전입·전출에 의한 인구추정'!$D$17</f>
        <v>5678.9496586335008</v>
      </c>
      <c r="J27" s="1417">
        <f>I27+I27*'1.3 출생·사망 및 전입·전출에 의한 인구추정'!$D$17</f>
        <v>5774.0299997239381</v>
      </c>
      <c r="K27" s="1417">
        <f>J27+J27*'1.3 출생·사망 및 전입·전출에 의한 인구추정'!$D$17</f>
        <v>5870.7022322388975</v>
      </c>
      <c r="L27" s="1417">
        <f>K27+K27*'1.3 출생·사망 및 전입·전출에 의한 인구추정'!$D$17</f>
        <v>5968.9930085681208</v>
      </c>
      <c r="M27" s="1417">
        <f>L27+L27*'1.3 출생·사망 및 전입·전출에 의한 인구추정'!$D$17</f>
        <v>6068.9294273314545</v>
      </c>
      <c r="N27" s="1417">
        <f>M27+M27*'1.3 출생·사망 및 전입·전출에 의한 인구추정'!$D$17</f>
        <v>6170.5390408499015</v>
      </c>
      <c r="O27" s="1417">
        <f>N27+N27*'1.3 출생·사망 및 전입·전출에 의한 인구추정'!$D$17</f>
        <v>6273.8498627417512</v>
      </c>
      <c r="P27" s="1417">
        <f>O27+O27*'1.3 출생·사망 및 전입·전출에 의한 인구추정'!$D$17</f>
        <v>6378.8903756458949</v>
      </c>
      <c r="Q27" s="1417">
        <f>P27+P27*'1.3 출생·사망 및 전입·전출에 의한 인구추정'!$D$17</f>
        <v>6485.6895390744467</v>
      </c>
      <c r="R27" s="1417">
        <f>Q27+Q27*'1.3 출생·사망 및 전입·전출에 의한 인구추정'!$D$17</f>
        <v>6594.2767973968357</v>
      </c>
      <c r="S27" s="1417">
        <f>R27+R27*'1.3 출생·사망 및 전입·전출에 의한 인구추정'!$D$17</f>
        <v>6704.6820879575753</v>
      </c>
      <c r="T27" s="1417">
        <f>S27+S27*'1.3 출생·사망 및 전입·전출에 의한 인구추정'!$D$17</f>
        <v>6816.935849329946</v>
      </c>
      <c r="U27" s="1417">
        <f>T27+T27*'1.3 출생·사망 및 전입·전출에 의한 인구추정'!$D$17</f>
        <v>6931.0690297078618</v>
      </c>
      <c r="V27" s="1417">
        <f>U27+U27*'1.3 출생·사망 및 전입·전출에 의한 인구추정'!$D$17</f>
        <v>7047.1130954382425</v>
      </c>
      <c r="W27" s="1417">
        <f>V27+V27*'1.3 출생·사망 및 전입·전출에 의한 인구추정'!$D$17</f>
        <v>7165.1000396962381</v>
      </c>
      <c r="X27" s="1417">
        <f>W27+W27*'1.3 출생·사망 및 전입·전출에 의한 인구추정'!$D$17</f>
        <v>7285.0623913056997</v>
      </c>
      <c r="Y27" s="1418">
        <f>X27+X27*'1.3 출생·사망 및 전입·전출에 의한 인구추정'!$D$17</f>
        <v>7407.0332237073262</v>
      </c>
      <c r="Z27" s="1981"/>
      <c r="AB27" s="1410"/>
      <c r="AC27" s="1410"/>
      <c r="AD27" s="1410"/>
      <c r="AE27" s="1410"/>
      <c r="AF27" s="1410"/>
    </row>
    <row r="28" spans="1:32" s="1408" customFormat="1" ht="35.25" customHeight="1">
      <c r="A28" s="2333"/>
      <c r="B28" s="2337"/>
      <c r="C28" s="1425" t="s">
        <v>1536</v>
      </c>
      <c r="D28" s="1426">
        <f t="shared" si="12"/>
        <v>11333</v>
      </c>
      <c r="E28" s="1426">
        <f t="shared" si="12"/>
        <v>11390</v>
      </c>
      <c r="F28" s="1426">
        <f t="shared" ref="F28" si="26">F14</f>
        <v>11393</v>
      </c>
      <c r="G28" s="1427">
        <f>F28+F28*'1.3 출생·사망 및 전입·전출에 의한 인구추정'!$D$17</f>
        <v>11583.748358615316</v>
      </c>
      <c r="H28" s="1427">
        <f>G28+G28*'1.3 출생·사망 및 전입·전출에 의한 인구추정'!$D$17</f>
        <v>11777.690339306857</v>
      </c>
      <c r="I28" s="1427">
        <f>H28+H28*'1.3 출생·사망 및 전입·전출에 의한 인구추정'!$D$17</f>
        <v>11974.879411588279</v>
      </c>
      <c r="J28" s="1427">
        <f>I28+I28*'1.3 출생·사망 및 전입·전출에 의한 인구추정'!$D$17</f>
        <v>12175.369940191527</v>
      </c>
      <c r="K28" s="1427">
        <f>J28+J28*'1.3 출생·사망 및 전입·전출에 의한 인구추정'!$D$17</f>
        <v>12379.217200055109</v>
      </c>
      <c r="L28" s="1427">
        <f>K28+K28*'1.3 출생·사망 및 전입·전출에 의한 인구추정'!$D$17</f>
        <v>12586.477391563316</v>
      </c>
      <c r="M28" s="1427">
        <f>L28+L28*'1.3 출생·사망 및 전입·전출에 의한 인구추정'!$D$17</f>
        <v>12797.20765604058</v>
      </c>
      <c r="N28" s="1427">
        <f>M28+M28*'1.3 출생·사망 및 전입·전출에 의한 인구추정'!$D$17</f>
        <v>13011.466091505259</v>
      </c>
      <c r="O28" s="1427">
        <f>N28+N28*'1.3 출생·사망 및 전입·전출에 의한 인구추정'!$D$17</f>
        <v>13229.311768687166</v>
      </c>
      <c r="P28" s="1427">
        <f>O28+O28*'1.3 출생·사망 및 전입·전출에 의한 인구추정'!$D$17</f>
        <v>13450.804747313285</v>
      </c>
      <c r="Q28" s="1427">
        <f>P28+P28*'1.3 출생·사망 및 전입·전출에 의한 인구추정'!$D$17</f>
        <v>13676.006092666143</v>
      </c>
      <c r="R28" s="1427">
        <f>Q28+Q28*'1.3 출생·사망 및 전입·전출에 의한 인구추정'!$D$17</f>
        <v>13904.977892419423</v>
      </c>
      <c r="S28" s="1427">
        <f>R28+R28*'1.3 출생·사망 및 전입·전출에 의한 인구추정'!$D$17</f>
        <v>14137.783273755442</v>
      </c>
      <c r="T28" s="1427">
        <f>S28+S28*'1.3 출생·사망 및 전입·전출에 의한 인구추정'!$D$17</f>
        <v>14374.486420769215</v>
      </c>
      <c r="U28" s="1427">
        <f>T28+T28*'1.3 출생·사망 및 전입·전출에 의한 인구추정'!$D$17</f>
        <v>14615.15259216392</v>
      </c>
      <c r="V28" s="1427">
        <f>U28+U28*'1.3 출생·사망 및 전입·전출에 의한 인구추정'!$D$17</f>
        <v>14859.848139242622</v>
      </c>
      <c r="W28" s="1427">
        <f>V28+V28*'1.3 출생·사망 및 전입·전출에 의한 인구추정'!$D$17</f>
        <v>15108.640524201226</v>
      </c>
      <c r="X28" s="1427">
        <f>W28+W28*'1.3 출생·사망 및 전입·전출에 의한 인구추정'!$D$17</f>
        <v>15361.59833872771</v>
      </c>
      <c r="Y28" s="1428">
        <f>X28+X28*'1.3 출생·사망 및 전입·전출에 의한 인구추정'!$D$17</f>
        <v>15618.791322912743</v>
      </c>
      <c r="Z28" s="1981">
        <f>Y28+Y28*'1.3 출생·사망 및 전입·전출에 의한 인구추정'!$D$17</f>
        <v>15880.290384476926</v>
      </c>
      <c r="AB28" s="1410">
        <f t="shared" si="14"/>
        <v>11390</v>
      </c>
      <c r="AC28" s="1410">
        <f t="shared" si="15"/>
        <v>12175.369940191527</v>
      </c>
      <c r="AD28" s="1410">
        <f t="shared" si="16"/>
        <v>13676.006092666143</v>
      </c>
      <c r="AE28" s="1410">
        <f t="shared" si="17"/>
        <v>14374.486420769215</v>
      </c>
      <c r="AF28" s="1410">
        <f t="shared" si="18"/>
        <v>15618.791322912743</v>
      </c>
    </row>
    <row r="29" spans="1:32" ht="15" customHeight="1"/>
    <row r="30" spans="1:32" ht="15" customHeight="1"/>
    <row r="31" spans="1:32" ht="15" customHeight="1"/>
    <row r="32" spans="1: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</sheetData>
  <mergeCells count="10">
    <mergeCell ref="A18:C18"/>
    <mergeCell ref="A19:A28"/>
    <mergeCell ref="B19:C19"/>
    <mergeCell ref="B20:B28"/>
    <mergeCell ref="A3:C3"/>
    <mergeCell ref="A4:C4"/>
    <mergeCell ref="A5:A14"/>
    <mergeCell ref="B5:C5"/>
    <mergeCell ref="B6:B14"/>
    <mergeCell ref="A17:C17"/>
  </mergeCells>
  <phoneticPr fontId="3" type="noConversion"/>
  <printOptions horizontalCentered="1"/>
  <pageMargins left="0.59055118110236227" right="0.39370078740157483" top="0.59055118110236227" bottom="0.59055118110236227" header="0.51181102362204722" footer="0.51181102362204722"/>
  <pageSetup paperSize="9" scale="66" orientation="landscape" r:id="rId1"/>
  <headerFooter alignWithMargins="0"/>
  <rowBreaks count="1" manualBreakCount="1">
    <brk id="15" max="24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BP96"/>
  <sheetViews>
    <sheetView view="pageBreakPreview" zoomScaleNormal="100" zoomScaleSheetLayoutView="100" workbookViewId="0">
      <pane ySplit="3" topLeftCell="A24" activePane="bottomLeft" state="frozen"/>
      <selection pane="bottomLeft" activeCell="AG40" sqref="AG40"/>
    </sheetView>
  </sheetViews>
  <sheetFormatPr defaultRowHeight="15" customHeight="1" outlineLevelRow="1" outlineLevelCol="1"/>
  <cols>
    <col min="1" max="1" width="11.875" style="49" customWidth="1"/>
    <col min="2" max="2" width="21.25" style="49" bestFit="1" customWidth="1"/>
    <col min="3" max="3" width="9.625" style="49" hidden="1" customWidth="1" outlineLevel="1"/>
    <col min="4" max="4" width="9.625" style="49" customWidth="1" collapsed="1"/>
    <col min="5" max="7" width="9.625" style="49" hidden="1" customWidth="1" outlineLevel="1"/>
    <col min="8" max="8" width="9.625" style="49" customWidth="1" collapsed="1"/>
    <col min="9" max="12" width="9.625" style="49" hidden="1" customWidth="1" outlineLevel="1"/>
    <col min="13" max="13" width="9.625" style="49" customWidth="1" collapsed="1"/>
    <col min="14" max="17" width="9.625" style="49" hidden="1" customWidth="1" outlineLevel="1"/>
    <col min="18" max="18" width="9.625" style="49" customWidth="1" collapsed="1"/>
    <col min="19" max="22" width="9.625" style="49" hidden="1" customWidth="1" outlineLevel="1"/>
    <col min="23" max="23" width="9.625" style="49" customWidth="1" collapsed="1"/>
    <col min="24" max="25" width="9" style="49"/>
    <col min="26" max="26" width="9.75" style="49" bestFit="1" customWidth="1"/>
    <col min="27" max="27" width="13.875" style="49" customWidth="1"/>
    <col min="28" max="28" width="9" style="49" hidden="1" customWidth="1" outlineLevel="1"/>
    <col min="29" max="29" width="9" style="49" customWidth="1" collapsed="1"/>
    <col min="30" max="32" width="9" style="49" hidden="1" customWidth="1" outlineLevel="1"/>
    <col min="33" max="33" width="9" style="49" collapsed="1"/>
    <col min="34" max="37" width="9" style="49" hidden="1" customWidth="1" outlineLevel="1"/>
    <col min="38" max="38" width="9" style="49" collapsed="1"/>
    <col min="39" max="42" width="9" style="49" hidden="1" customWidth="1" outlineLevel="1"/>
    <col min="43" max="43" width="9" style="49" collapsed="1"/>
    <col min="44" max="47" width="9" style="49" hidden="1" customWidth="1" outlineLevel="1"/>
    <col min="48" max="48" width="9" style="49" collapsed="1"/>
    <col min="49" max="50" width="9" style="49"/>
    <col min="51" max="51" width="11.75" style="49" customWidth="1"/>
    <col min="52" max="63" width="9" style="49"/>
    <col min="64" max="64" width="11.125" style="49" customWidth="1"/>
    <col min="65" max="252" width="9" style="49"/>
    <col min="253" max="253" width="7.375" style="49" bestFit="1" customWidth="1"/>
    <col min="254" max="254" width="12.75" style="49" customWidth="1"/>
    <col min="255" max="255" width="10.5" style="49" customWidth="1"/>
    <col min="256" max="257" width="0" style="49" hidden="1" customWidth="1"/>
    <col min="258" max="258" width="10.5" style="49" customWidth="1"/>
    <col min="259" max="262" width="0" style="49" hidden="1" customWidth="1"/>
    <col min="263" max="263" width="10.5" style="49" customWidth="1"/>
    <col min="264" max="267" width="0" style="49" hidden="1" customWidth="1"/>
    <col min="268" max="268" width="10.5" style="49" customWidth="1"/>
    <col min="269" max="272" width="0" style="49" hidden="1" customWidth="1"/>
    <col min="273" max="273" width="10.5" style="49" customWidth="1"/>
    <col min="274" max="508" width="9" style="49"/>
    <col min="509" max="509" width="7.375" style="49" bestFit="1" customWidth="1"/>
    <col min="510" max="510" width="12.75" style="49" customWidth="1"/>
    <col min="511" max="511" width="10.5" style="49" customWidth="1"/>
    <col min="512" max="513" width="0" style="49" hidden="1" customWidth="1"/>
    <col min="514" max="514" width="10.5" style="49" customWidth="1"/>
    <col min="515" max="518" width="0" style="49" hidden="1" customWidth="1"/>
    <col min="519" max="519" width="10.5" style="49" customWidth="1"/>
    <col min="520" max="523" width="0" style="49" hidden="1" customWidth="1"/>
    <col min="524" max="524" width="10.5" style="49" customWidth="1"/>
    <col min="525" max="528" width="0" style="49" hidden="1" customWidth="1"/>
    <col min="529" max="529" width="10.5" style="49" customWidth="1"/>
    <col min="530" max="764" width="9" style="49"/>
    <col min="765" max="765" width="7.375" style="49" bestFit="1" customWidth="1"/>
    <col min="766" max="766" width="12.75" style="49" customWidth="1"/>
    <col min="767" max="767" width="10.5" style="49" customWidth="1"/>
    <col min="768" max="769" width="0" style="49" hidden="1" customWidth="1"/>
    <col min="770" max="770" width="10.5" style="49" customWidth="1"/>
    <col min="771" max="774" width="0" style="49" hidden="1" customWidth="1"/>
    <col min="775" max="775" width="10.5" style="49" customWidth="1"/>
    <col min="776" max="779" width="0" style="49" hidden="1" customWidth="1"/>
    <col min="780" max="780" width="10.5" style="49" customWidth="1"/>
    <col min="781" max="784" width="0" style="49" hidden="1" customWidth="1"/>
    <col min="785" max="785" width="10.5" style="49" customWidth="1"/>
    <col min="786" max="1020" width="9" style="49"/>
    <col min="1021" max="1021" width="7.375" style="49" bestFit="1" customWidth="1"/>
    <col min="1022" max="1022" width="12.75" style="49" customWidth="1"/>
    <col min="1023" max="1023" width="10.5" style="49" customWidth="1"/>
    <col min="1024" max="1025" width="0" style="49" hidden="1" customWidth="1"/>
    <col min="1026" max="1026" width="10.5" style="49" customWidth="1"/>
    <col min="1027" max="1030" width="0" style="49" hidden="1" customWidth="1"/>
    <col min="1031" max="1031" width="10.5" style="49" customWidth="1"/>
    <col min="1032" max="1035" width="0" style="49" hidden="1" customWidth="1"/>
    <col min="1036" max="1036" width="10.5" style="49" customWidth="1"/>
    <col min="1037" max="1040" width="0" style="49" hidden="1" customWidth="1"/>
    <col min="1041" max="1041" width="10.5" style="49" customWidth="1"/>
    <col min="1042" max="1276" width="9" style="49"/>
    <col min="1277" max="1277" width="7.375" style="49" bestFit="1" customWidth="1"/>
    <col min="1278" max="1278" width="12.75" style="49" customWidth="1"/>
    <col min="1279" max="1279" width="10.5" style="49" customWidth="1"/>
    <col min="1280" max="1281" width="0" style="49" hidden="1" customWidth="1"/>
    <col min="1282" max="1282" width="10.5" style="49" customWidth="1"/>
    <col min="1283" max="1286" width="0" style="49" hidden="1" customWidth="1"/>
    <col min="1287" max="1287" width="10.5" style="49" customWidth="1"/>
    <col min="1288" max="1291" width="0" style="49" hidden="1" customWidth="1"/>
    <col min="1292" max="1292" width="10.5" style="49" customWidth="1"/>
    <col min="1293" max="1296" width="0" style="49" hidden="1" customWidth="1"/>
    <col min="1297" max="1297" width="10.5" style="49" customWidth="1"/>
    <col min="1298" max="1532" width="9" style="49"/>
    <col min="1533" max="1533" width="7.375" style="49" bestFit="1" customWidth="1"/>
    <col min="1534" max="1534" width="12.75" style="49" customWidth="1"/>
    <col min="1535" max="1535" width="10.5" style="49" customWidth="1"/>
    <col min="1536" max="1537" width="0" style="49" hidden="1" customWidth="1"/>
    <col min="1538" max="1538" width="10.5" style="49" customWidth="1"/>
    <col min="1539" max="1542" width="0" style="49" hidden="1" customWidth="1"/>
    <col min="1543" max="1543" width="10.5" style="49" customWidth="1"/>
    <col min="1544" max="1547" width="0" style="49" hidden="1" customWidth="1"/>
    <col min="1548" max="1548" width="10.5" style="49" customWidth="1"/>
    <col min="1549" max="1552" width="0" style="49" hidden="1" customWidth="1"/>
    <col min="1553" max="1553" width="10.5" style="49" customWidth="1"/>
    <col min="1554" max="1788" width="9" style="49"/>
    <col min="1789" max="1789" width="7.375" style="49" bestFit="1" customWidth="1"/>
    <col min="1790" max="1790" width="12.75" style="49" customWidth="1"/>
    <col min="1791" max="1791" width="10.5" style="49" customWidth="1"/>
    <col min="1792" max="1793" width="0" style="49" hidden="1" customWidth="1"/>
    <col min="1794" max="1794" width="10.5" style="49" customWidth="1"/>
    <col min="1795" max="1798" width="0" style="49" hidden="1" customWidth="1"/>
    <col min="1799" max="1799" width="10.5" style="49" customWidth="1"/>
    <col min="1800" max="1803" width="0" style="49" hidden="1" customWidth="1"/>
    <col min="1804" max="1804" width="10.5" style="49" customWidth="1"/>
    <col min="1805" max="1808" width="0" style="49" hidden="1" customWidth="1"/>
    <col min="1809" max="1809" width="10.5" style="49" customWidth="1"/>
    <col min="1810" max="2044" width="9" style="49"/>
    <col min="2045" max="2045" width="7.375" style="49" bestFit="1" customWidth="1"/>
    <col min="2046" max="2046" width="12.75" style="49" customWidth="1"/>
    <col min="2047" max="2047" width="10.5" style="49" customWidth="1"/>
    <col min="2048" max="2049" width="0" style="49" hidden="1" customWidth="1"/>
    <col min="2050" max="2050" width="10.5" style="49" customWidth="1"/>
    <col min="2051" max="2054" width="0" style="49" hidden="1" customWidth="1"/>
    <col min="2055" max="2055" width="10.5" style="49" customWidth="1"/>
    <col min="2056" max="2059" width="0" style="49" hidden="1" customWidth="1"/>
    <col min="2060" max="2060" width="10.5" style="49" customWidth="1"/>
    <col min="2061" max="2064" width="0" style="49" hidden="1" customWidth="1"/>
    <col min="2065" max="2065" width="10.5" style="49" customWidth="1"/>
    <col min="2066" max="2300" width="9" style="49"/>
    <col min="2301" max="2301" width="7.375" style="49" bestFit="1" customWidth="1"/>
    <col min="2302" max="2302" width="12.75" style="49" customWidth="1"/>
    <col min="2303" max="2303" width="10.5" style="49" customWidth="1"/>
    <col min="2304" max="2305" width="0" style="49" hidden="1" customWidth="1"/>
    <col min="2306" max="2306" width="10.5" style="49" customWidth="1"/>
    <col min="2307" max="2310" width="0" style="49" hidden="1" customWidth="1"/>
    <col min="2311" max="2311" width="10.5" style="49" customWidth="1"/>
    <col min="2312" max="2315" width="0" style="49" hidden="1" customWidth="1"/>
    <col min="2316" max="2316" width="10.5" style="49" customWidth="1"/>
    <col min="2317" max="2320" width="0" style="49" hidden="1" customWidth="1"/>
    <col min="2321" max="2321" width="10.5" style="49" customWidth="1"/>
    <col min="2322" max="2556" width="9" style="49"/>
    <col min="2557" max="2557" width="7.375" style="49" bestFit="1" customWidth="1"/>
    <col min="2558" max="2558" width="12.75" style="49" customWidth="1"/>
    <col min="2559" max="2559" width="10.5" style="49" customWidth="1"/>
    <col min="2560" max="2561" width="0" style="49" hidden="1" customWidth="1"/>
    <col min="2562" max="2562" width="10.5" style="49" customWidth="1"/>
    <col min="2563" max="2566" width="0" style="49" hidden="1" customWidth="1"/>
    <col min="2567" max="2567" width="10.5" style="49" customWidth="1"/>
    <col min="2568" max="2571" width="0" style="49" hidden="1" customWidth="1"/>
    <col min="2572" max="2572" width="10.5" style="49" customWidth="1"/>
    <col min="2573" max="2576" width="0" style="49" hidden="1" customWidth="1"/>
    <col min="2577" max="2577" width="10.5" style="49" customWidth="1"/>
    <col min="2578" max="2812" width="9" style="49"/>
    <col min="2813" max="2813" width="7.375" style="49" bestFit="1" customWidth="1"/>
    <col min="2814" max="2814" width="12.75" style="49" customWidth="1"/>
    <col min="2815" max="2815" width="10.5" style="49" customWidth="1"/>
    <col min="2816" max="2817" width="0" style="49" hidden="1" customWidth="1"/>
    <col min="2818" max="2818" width="10.5" style="49" customWidth="1"/>
    <col min="2819" max="2822" width="0" style="49" hidden="1" customWidth="1"/>
    <col min="2823" max="2823" width="10.5" style="49" customWidth="1"/>
    <col min="2824" max="2827" width="0" style="49" hidden="1" customWidth="1"/>
    <col min="2828" max="2828" width="10.5" style="49" customWidth="1"/>
    <col min="2829" max="2832" width="0" style="49" hidden="1" customWidth="1"/>
    <col min="2833" max="2833" width="10.5" style="49" customWidth="1"/>
    <col min="2834" max="3068" width="9" style="49"/>
    <col min="3069" max="3069" width="7.375" style="49" bestFit="1" customWidth="1"/>
    <col min="3070" max="3070" width="12.75" style="49" customWidth="1"/>
    <col min="3071" max="3071" width="10.5" style="49" customWidth="1"/>
    <col min="3072" max="3073" width="0" style="49" hidden="1" customWidth="1"/>
    <col min="3074" max="3074" width="10.5" style="49" customWidth="1"/>
    <col min="3075" max="3078" width="0" style="49" hidden="1" customWidth="1"/>
    <col min="3079" max="3079" width="10.5" style="49" customWidth="1"/>
    <col min="3080" max="3083" width="0" style="49" hidden="1" customWidth="1"/>
    <col min="3084" max="3084" width="10.5" style="49" customWidth="1"/>
    <col min="3085" max="3088" width="0" style="49" hidden="1" customWidth="1"/>
    <col min="3089" max="3089" width="10.5" style="49" customWidth="1"/>
    <col min="3090" max="3324" width="9" style="49"/>
    <col min="3325" max="3325" width="7.375" style="49" bestFit="1" customWidth="1"/>
    <col min="3326" max="3326" width="12.75" style="49" customWidth="1"/>
    <col min="3327" max="3327" width="10.5" style="49" customWidth="1"/>
    <col min="3328" max="3329" width="0" style="49" hidden="1" customWidth="1"/>
    <col min="3330" max="3330" width="10.5" style="49" customWidth="1"/>
    <col min="3331" max="3334" width="0" style="49" hidden="1" customWidth="1"/>
    <col min="3335" max="3335" width="10.5" style="49" customWidth="1"/>
    <col min="3336" max="3339" width="0" style="49" hidden="1" customWidth="1"/>
    <col min="3340" max="3340" width="10.5" style="49" customWidth="1"/>
    <col min="3341" max="3344" width="0" style="49" hidden="1" customWidth="1"/>
    <col min="3345" max="3345" width="10.5" style="49" customWidth="1"/>
    <col min="3346" max="3580" width="9" style="49"/>
    <col min="3581" max="3581" width="7.375" style="49" bestFit="1" customWidth="1"/>
    <col min="3582" max="3582" width="12.75" style="49" customWidth="1"/>
    <col min="3583" max="3583" width="10.5" style="49" customWidth="1"/>
    <col min="3584" max="3585" width="0" style="49" hidden="1" customWidth="1"/>
    <col min="3586" max="3586" width="10.5" style="49" customWidth="1"/>
    <col min="3587" max="3590" width="0" style="49" hidden="1" customWidth="1"/>
    <col min="3591" max="3591" width="10.5" style="49" customWidth="1"/>
    <col min="3592" max="3595" width="0" style="49" hidden="1" customWidth="1"/>
    <col min="3596" max="3596" width="10.5" style="49" customWidth="1"/>
    <col min="3597" max="3600" width="0" style="49" hidden="1" customWidth="1"/>
    <col min="3601" max="3601" width="10.5" style="49" customWidth="1"/>
    <col min="3602" max="3836" width="9" style="49"/>
    <col min="3837" max="3837" width="7.375" style="49" bestFit="1" customWidth="1"/>
    <col min="3838" max="3838" width="12.75" style="49" customWidth="1"/>
    <col min="3839" max="3839" width="10.5" style="49" customWidth="1"/>
    <col min="3840" max="3841" width="0" style="49" hidden="1" customWidth="1"/>
    <col min="3842" max="3842" width="10.5" style="49" customWidth="1"/>
    <col min="3843" max="3846" width="0" style="49" hidden="1" customWidth="1"/>
    <col min="3847" max="3847" width="10.5" style="49" customWidth="1"/>
    <col min="3848" max="3851" width="0" style="49" hidden="1" customWidth="1"/>
    <col min="3852" max="3852" width="10.5" style="49" customWidth="1"/>
    <col min="3853" max="3856" width="0" style="49" hidden="1" customWidth="1"/>
    <col min="3857" max="3857" width="10.5" style="49" customWidth="1"/>
    <col min="3858" max="4092" width="9" style="49"/>
    <col min="4093" max="4093" width="7.375" style="49" bestFit="1" customWidth="1"/>
    <col min="4094" max="4094" width="12.75" style="49" customWidth="1"/>
    <col min="4095" max="4095" width="10.5" style="49" customWidth="1"/>
    <col min="4096" max="4097" width="0" style="49" hidden="1" customWidth="1"/>
    <col min="4098" max="4098" width="10.5" style="49" customWidth="1"/>
    <col min="4099" max="4102" width="0" style="49" hidden="1" customWidth="1"/>
    <col min="4103" max="4103" width="10.5" style="49" customWidth="1"/>
    <col min="4104" max="4107" width="0" style="49" hidden="1" customWidth="1"/>
    <col min="4108" max="4108" width="10.5" style="49" customWidth="1"/>
    <col min="4109" max="4112" width="0" style="49" hidden="1" customWidth="1"/>
    <col min="4113" max="4113" width="10.5" style="49" customWidth="1"/>
    <col min="4114" max="4348" width="9" style="49"/>
    <col min="4349" max="4349" width="7.375" style="49" bestFit="1" customWidth="1"/>
    <col min="4350" max="4350" width="12.75" style="49" customWidth="1"/>
    <col min="4351" max="4351" width="10.5" style="49" customWidth="1"/>
    <col min="4352" max="4353" width="0" style="49" hidden="1" customWidth="1"/>
    <col min="4354" max="4354" width="10.5" style="49" customWidth="1"/>
    <col min="4355" max="4358" width="0" style="49" hidden="1" customWidth="1"/>
    <col min="4359" max="4359" width="10.5" style="49" customWidth="1"/>
    <col min="4360" max="4363" width="0" style="49" hidden="1" customWidth="1"/>
    <col min="4364" max="4364" width="10.5" style="49" customWidth="1"/>
    <col min="4365" max="4368" width="0" style="49" hidden="1" customWidth="1"/>
    <col min="4369" max="4369" width="10.5" style="49" customWidth="1"/>
    <col min="4370" max="4604" width="9" style="49"/>
    <col min="4605" max="4605" width="7.375" style="49" bestFit="1" customWidth="1"/>
    <col min="4606" max="4606" width="12.75" style="49" customWidth="1"/>
    <col min="4607" max="4607" width="10.5" style="49" customWidth="1"/>
    <col min="4608" max="4609" width="0" style="49" hidden="1" customWidth="1"/>
    <col min="4610" max="4610" width="10.5" style="49" customWidth="1"/>
    <col min="4611" max="4614" width="0" style="49" hidden="1" customWidth="1"/>
    <col min="4615" max="4615" width="10.5" style="49" customWidth="1"/>
    <col min="4616" max="4619" width="0" style="49" hidden="1" customWidth="1"/>
    <col min="4620" max="4620" width="10.5" style="49" customWidth="1"/>
    <col min="4621" max="4624" width="0" style="49" hidden="1" customWidth="1"/>
    <col min="4625" max="4625" width="10.5" style="49" customWidth="1"/>
    <col min="4626" max="4860" width="9" style="49"/>
    <col min="4861" max="4861" width="7.375" style="49" bestFit="1" customWidth="1"/>
    <col min="4862" max="4862" width="12.75" style="49" customWidth="1"/>
    <col min="4863" max="4863" width="10.5" style="49" customWidth="1"/>
    <col min="4864" max="4865" width="0" style="49" hidden="1" customWidth="1"/>
    <col min="4866" max="4866" width="10.5" style="49" customWidth="1"/>
    <col min="4867" max="4870" width="0" style="49" hidden="1" customWidth="1"/>
    <col min="4871" max="4871" width="10.5" style="49" customWidth="1"/>
    <col min="4872" max="4875" width="0" style="49" hidden="1" customWidth="1"/>
    <col min="4876" max="4876" width="10.5" style="49" customWidth="1"/>
    <col min="4877" max="4880" width="0" style="49" hidden="1" customWidth="1"/>
    <col min="4881" max="4881" width="10.5" style="49" customWidth="1"/>
    <col min="4882" max="5116" width="9" style="49"/>
    <col min="5117" max="5117" width="7.375" style="49" bestFit="1" customWidth="1"/>
    <col min="5118" max="5118" width="12.75" style="49" customWidth="1"/>
    <col min="5119" max="5119" width="10.5" style="49" customWidth="1"/>
    <col min="5120" max="5121" width="0" style="49" hidden="1" customWidth="1"/>
    <col min="5122" max="5122" width="10.5" style="49" customWidth="1"/>
    <col min="5123" max="5126" width="0" style="49" hidden="1" customWidth="1"/>
    <col min="5127" max="5127" width="10.5" style="49" customWidth="1"/>
    <col min="5128" max="5131" width="0" style="49" hidden="1" customWidth="1"/>
    <col min="5132" max="5132" width="10.5" style="49" customWidth="1"/>
    <col min="5133" max="5136" width="0" style="49" hidden="1" customWidth="1"/>
    <col min="5137" max="5137" width="10.5" style="49" customWidth="1"/>
    <col min="5138" max="5372" width="9" style="49"/>
    <col min="5373" max="5373" width="7.375" style="49" bestFit="1" customWidth="1"/>
    <col min="5374" max="5374" width="12.75" style="49" customWidth="1"/>
    <col min="5375" max="5375" width="10.5" style="49" customWidth="1"/>
    <col min="5376" max="5377" width="0" style="49" hidden="1" customWidth="1"/>
    <col min="5378" max="5378" width="10.5" style="49" customWidth="1"/>
    <col min="5379" max="5382" width="0" style="49" hidden="1" customWidth="1"/>
    <col min="5383" max="5383" width="10.5" style="49" customWidth="1"/>
    <col min="5384" max="5387" width="0" style="49" hidden="1" customWidth="1"/>
    <col min="5388" max="5388" width="10.5" style="49" customWidth="1"/>
    <col min="5389" max="5392" width="0" style="49" hidden="1" customWidth="1"/>
    <col min="5393" max="5393" width="10.5" style="49" customWidth="1"/>
    <col min="5394" max="5628" width="9" style="49"/>
    <col min="5629" max="5629" width="7.375" style="49" bestFit="1" customWidth="1"/>
    <col min="5630" max="5630" width="12.75" style="49" customWidth="1"/>
    <col min="5631" max="5631" width="10.5" style="49" customWidth="1"/>
    <col min="5632" max="5633" width="0" style="49" hidden="1" customWidth="1"/>
    <col min="5634" max="5634" width="10.5" style="49" customWidth="1"/>
    <col min="5635" max="5638" width="0" style="49" hidden="1" customWidth="1"/>
    <col min="5639" max="5639" width="10.5" style="49" customWidth="1"/>
    <col min="5640" max="5643" width="0" style="49" hidden="1" customWidth="1"/>
    <col min="5644" max="5644" width="10.5" style="49" customWidth="1"/>
    <col min="5645" max="5648" width="0" style="49" hidden="1" customWidth="1"/>
    <col min="5649" max="5649" width="10.5" style="49" customWidth="1"/>
    <col min="5650" max="5884" width="9" style="49"/>
    <col min="5885" max="5885" width="7.375" style="49" bestFit="1" customWidth="1"/>
    <col min="5886" max="5886" width="12.75" style="49" customWidth="1"/>
    <col min="5887" max="5887" width="10.5" style="49" customWidth="1"/>
    <col min="5888" max="5889" width="0" style="49" hidden="1" customWidth="1"/>
    <col min="5890" max="5890" width="10.5" style="49" customWidth="1"/>
    <col min="5891" max="5894" width="0" style="49" hidden="1" customWidth="1"/>
    <col min="5895" max="5895" width="10.5" style="49" customWidth="1"/>
    <col min="5896" max="5899" width="0" style="49" hidden="1" customWidth="1"/>
    <col min="5900" max="5900" width="10.5" style="49" customWidth="1"/>
    <col min="5901" max="5904" width="0" style="49" hidden="1" customWidth="1"/>
    <col min="5905" max="5905" width="10.5" style="49" customWidth="1"/>
    <col min="5906" max="6140" width="9" style="49"/>
    <col min="6141" max="6141" width="7.375" style="49" bestFit="1" customWidth="1"/>
    <col min="6142" max="6142" width="12.75" style="49" customWidth="1"/>
    <col min="6143" max="6143" width="10.5" style="49" customWidth="1"/>
    <col min="6144" max="6145" width="0" style="49" hidden="1" customWidth="1"/>
    <col min="6146" max="6146" width="10.5" style="49" customWidth="1"/>
    <col min="6147" max="6150" width="0" style="49" hidden="1" customWidth="1"/>
    <col min="6151" max="6151" width="10.5" style="49" customWidth="1"/>
    <col min="6152" max="6155" width="0" style="49" hidden="1" customWidth="1"/>
    <col min="6156" max="6156" width="10.5" style="49" customWidth="1"/>
    <col min="6157" max="6160" width="0" style="49" hidden="1" customWidth="1"/>
    <col min="6161" max="6161" width="10.5" style="49" customWidth="1"/>
    <col min="6162" max="6396" width="9" style="49"/>
    <col min="6397" max="6397" width="7.375" style="49" bestFit="1" customWidth="1"/>
    <col min="6398" max="6398" width="12.75" style="49" customWidth="1"/>
    <col min="6399" max="6399" width="10.5" style="49" customWidth="1"/>
    <col min="6400" max="6401" width="0" style="49" hidden="1" customWidth="1"/>
    <col min="6402" max="6402" width="10.5" style="49" customWidth="1"/>
    <col min="6403" max="6406" width="0" style="49" hidden="1" customWidth="1"/>
    <col min="6407" max="6407" width="10.5" style="49" customWidth="1"/>
    <col min="6408" max="6411" width="0" style="49" hidden="1" customWidth="1"/>
    <col min="6412" max="6412" width="10.5" style="49" customWidth="1"/>
    <col min="6413" max="6416" width="0" style="49" hidden="1" customWidth="1"/>
    <col min="6417" max="6417" width="10.5" style="49" customWidth="1"/>
    <col min="6418" max="6652" width="9" style="49"/>
    <col min="6653" max="6653" width="7.375" style="49" bestFit="1" customWidth="1"/>
    <col min="6654" max="6654" width="12.75" style="49" customWidth="1"/>
    <col min="6655" max="6655" width="10.5" style="49" customWidth="1"/>
    <col min="6656" max="6657" width="0" style="49" hidden="1" customWidth="1"/>
    <col min="6658" max="6658" width="10.5" style="49" customWidth="1"/>
    <col min="6659" max="6662" width="0" style="49" hidden="1" customWidth="1"/>
    <col min="6663" max="6663" width="10.5" style="49" customWidth="1"/>
    <col min="6664" max="6667" width="0" style="49" hidden="1" customWidth="1"/>
    <col min="6668" max="6668" width="10.5" style="49" customWidth="1"/>
    <col min="6669" max="6672" width="0" style="49" hidden="1" customWidth="1"/>
    <col min="6673" max="6673" width="10.5" style="49" customWidth="1"/>
    <col min="6674" max="6908" width="9" style="49"/>
    <col min="6909" max="6909" width="7.375" style="49" bestFit="1" customWidth="1"/>
    <col min="6910" max="6910" width="12.75" style="49" customWidth="1"/>
    <col min="6911" max="6911" width="10.5" style="49" customWidth="1"/>
    <col min="6912" max="6913" width="0" style="49" hidden="1" customWidth="1"/>
    <col min="6914" max="6914" width="10.5" style="49" customWidth="1"/>
    <col min="6915" max="6918" width="0" style="49" hidden="1" customWidth="1"/>
    <col min="6919" max="6919" width="10.5" style="49" customWidth="1"/>
    <col min="6920" max="6923" width="0" style="49" hidden="1" customWidth="1"/>
    <col min="6924" max="6924" width="10.5" style="49" customWidth="1"/>
    <col min="6925" max="6928" width="0" style="49" hidden="1" customWidth="1"/>
    <col min="6929" max="6929" width="10.5" style="49" customWidth="1"/>
    <col min="6930" max="7164" width="9" style="49"/>
    <col min="7165" max="7165" width="7.375" style="49" bestFit="1" customWidth="1"/>
    <col min="7166" max="7166" width="12.75" style="49" customWidth="1"/>
    <col min="7167" max="7167" width="10.5" style="49" customWidth="1"/>
    <col min="7168" max="7169" width="0" style="49" hidden="1" customWidth="1"/>
    <col min="7170" max="7170" width="10.5" style="49" customWidth="1"/>
    <col min="7171" max="7174" width="0" style="49" hidden="1" customWidth="1"/>
    <col min="7175" max="7175" width="10.5" style="49" customWidth="1"/>
    <col min="7176" max="7179" width="0" style="49" hidden="1" customWidth="1"/>
    <col min="7180" max="7180" width="10.5" style="49" customWidth="1"/>
    <col min="7181" max="7184" width="0" style="49" hidden="1" customWidth="1"/>
    <col min="7185" max="7185" width="10.5" style="49" customWidth="1"/>
    <col min="7186" max="7420" width="9" style="49"/>
    <col min="7421" max="7421" width="7.375" style="49" bestFit="1" customWidth="1"/>
    <col min="7422" max="7422" width="12.75" style="49" customWidth="1"/>
    <col min="7423" max="7423" width="10.5" style="49" customWidth="1"/>
    <col min="7424" max="7425" width="0" style="49" hidden="1" customWidth="1"/>
    <col min="7426" max="7426" width="10.5" style="49" customWidth="1"/>
    <col min="7427" max="7430" width="0" style="49" hidden="1" customWidth="1"/>
    <col min="7431" max="7431" width="10.5" style="49" customWidth="1"/>
    <col min="7432" max="7435" width="0" style="49" hidden="1" customWidth="1"/>
    <col min="7436" max="7436" width="10.5" style="49" customWidth="1"/>
    <col min="7437" max="7440" width="0" style="49" hidden="1" customWidth="1"/>
    <col min="7441" max="7441" width="10.5" style="49" customWidth="1"/>
    <col min="7442" max="7676" width="9" style="49"/>
    <col min="7677" max="7677" width="7.375" style="49" bestFit="1" customWidth="1"/>
    <col min="7678" max="7678" width="12.75" style="49" customWidth="1"/>
    <col min="7679" max="7679" width="10.5" style="49" customWidth="1"/>
    <col min="7680" max="7681" width="0" style="49" hidden="1" customWidth="1"/>
    <col min="7682" max="7682" width="10.5" style="49" customWidth="1"/>
    <col min="7683" max="7686" width="0" style="49" hidden="1" customWidth="1"/>
    <col min="7687" max="7687" width="10.5" style="49" customWidth="1"/>
    <col min="7688" max="7691" width="0" style="49" hidden="1" customWidth="1"/>
    <col min="7692" max="7692" width="10.5" style="49" customWidth="1"/>
    <col min="7693" max="7696" width="0" style="49" hidden="1" customWidth="1"/>
    <col min="7697" max="7697" width="10.5" style="49" customWidth="1"/>
    <col min="7698" max="7932" width="9" style="49"/>
    <col min="7933" max="7933" width="7.375" style="49" bestFit="1" customWidth="1"/>
    <col min="7934" max="7934" width="12.75" style="49" customWidth="1"/>
    <col min="7935" max="7935" width="10.5" style="49" customWidth="1"/>
    <col min="7936" max="7937" width="0" style="49" hidden="1" customWidth="1"/>
    <col min="7938" max="7938" width="10.5" style="49" customWidth="1"/>
    <col min="7939" max="7942" width="0" style="49" hidden="1" customWidth="1"/>
    <col min="7943" max="7943" width="10.5" style="49" customWidth="1"/>
    <col min="7944" max="7947" width="0" style="49" hidden="1" customWidth="1"/>
    <col min="7948" max="7948" width="10.5" style="49" customWidth="1"/>
    <col min="7949" max="7952" width="0" style="49" hidden="1" customWidth="1"/>
    <col min="7953" max="7953" width="10.5" style="49" customWidth="1"/>
    <col min="7954" max="8188" width="9" style="49"/>
    <col min="8189" max="8189" width="7.375" style="49" bestFit="1" customWidth="1"/>
    <col min="8190" max="8190" width="12.75" style="49" customWidth="1"/>
    <col min="8191" max="8191" width="10.5" style="49" customWidth="1"/>
    <col min="8192" max="8193" width="0" style="49" hidden="1" customWidth="1"/>
    <col min="8194" max="8194" width="10.5" style="49" customWidth="1"/>
    <col min="8195" max="8198" width="0" style="49" hidden="1" customWidth="1"/>
    <col min="8199" max="8199" width="10.5" style="49" customWidth="1"/>
    <col min="8200" max="8203" width="0" style="49" hidden="1" customWidth="1"/>
    <col min="8204" max="8204" width="10.5" style="49" customWidth="1"/>
    <col min="8205" max="8208" width="0" style="49" hidden="1" customWidth="1"/>
    <col min="8209" max="8209" width="10.5" style="49" customWidth="1"/>
    <col min="8210" max="8444" width="9" style="49"/>
    <col min="8445" max="8445" width="7.375" style="49" bestFit="1" customWidth="1"/>
    <col min="8446" max="8446" width="12.75" style="49" customWidth="1"/>
    <col min="8447" max="8447" width="10.5" style="49" customWidth="1"/>
    <col min="8448" max="8449" width="0" style="49" hidden="1" customWidth="1"/>
    <col min="8450" max="8450" width="10.5" style="49" customWidth="1"/>
    <col min="8451" max="8454" width="0" style="49" hidden="1" customWidth="1"/>
    <col min="8455" max="8455" width="10.5" style="49" customWidth="1"/>
    <col min="8456" max="8459" width="0" style="49" hidden="1" customWidth="1"/>
    <col min="8460" max="8460" width="10.5" style="49" customWidth="1"/>
    <col min="8461" max="8464" width="0" style="49" hidden="1" customWidth="1"/>
    <col min="8465" max="8465" width="10.5" style="49" customWidth="1"/>
    <col min="8466" max="8700" width="9" style="49"/>
    <col min="8701" max="8701" width="7.375" style="49" bestFit="1" customWidth="1"/>
    <col min="8702" max="8702" width="12.75" style="49" customWidth="1"/>
    <col min="8703" max="8703" width="10.5" style="49" customWidth="1"/>
    <col min="8704" max="8705" width="0" style="49" hidden="1" customWidth="1"/>
    <col min="8706" max="8706" width="10.5" style="49" customWidth="1"/>
    <col min="8707" max="8710" width="0" style="49" hidden="1" customWidth="1"/>
    <col min="8711" max="8711" width="10.5" style="49" customWidth="1"/>
    <col min="8712" max="8715" width="0" style="49" hidden="1" customWidth="1"/>
    <col min="8716" max="8716" width="10.5" style="49" customWidth="1"/>
    <col min="8717" max="8720" width="0" style="49" hidden="1" customWidth="1"/>
    <col min="8721" max="8721" width="10.5" style="49" customWidth="1"/>
    <col min="8722" max="8956" width="9" style="49"/>
    <col min="8957" max="8957" width="7.375" style="49" bestFit="1" customWidth="1"/>
    <col min="8958" max="8958" width="12.75" style="49" customWidth="1"/>
    <col min="8959" max="8959" width="10.5" style="49" customWidth="1"/>
    <col min="8960" max="8961" width="0" style="49" hidden="1" customWidth="1"/>
    <col min="8962" max="8962" width="10.5" style="49" customWidth="1"/>
    <col min="8963" max="8966" width="0" style="49" hidden="1" customWidth="1"/>
    <col min="8967" max="8967" width="10.5" style="49" customWidth="1"/>
    <col min="8968" max="8971" width="0" style="49" hidden="1" customWidth="1"/>
    <col min="8972" max="8972" width="10.5" style="49" customWidth="1"/>
    <col min="8973" max="8976" width="0" style="49" hidden="1" customWidth="1"/>
    <col min="8977" max="8977" width="10.5" style="49" customWidth="1"/>
    <col min="8978" max="9212" width="9" style="49"/>
    <col min="9213" max="9213" width="7.375" style="49" bestFit="1" customWidth="1"/>
    <col min="9214" max="9214" width="12.75" style="49" customWidth="1"/>
    <col min="9215" max="9215" width="10.5" style="49" customWidth="1"/>
    <col min="9216" max="9217" width="0" style="49" hidden="1" customWidth="1"/>
    <col min="9218" max="9218" width="10.5" style="49" customWidth="1"/>
    <col min="9219" max="9222" width="0" style="49" hidden="1" customWidth="1"/>
    <col min="9223" max="9223" width="10.5" style="49" customWidth="1"/>
    <col min="9224" max="9227" width="0" style="49" hidden="1" customWidth="1"/>
    <col min="9228" max="9228" width="10.5" style="49" customWidth="1"/>
    <col min="9229" max="9232" width="0" style="49" hidden="1" customWidth="1"/>
    <col min="9233" max="9233" width="10.5" style="49" customWidth="1"/>
    <col min="9234" max="9468" width="9" style="49"/>
    <col min="9469" max="9469" width="7.375" style="49" bestFit="1" customWidth="1"/>
    <col min="9470" max="9470" width="12.75" style="49" customWidth="1"/>
    <col min="9471" max="9471" width="10.5" style="49" customWidth="1"/>
    <col min="9472" max="9473" width="0" style="49" hidden="1" customWidth="1"/>
    <col min="9474" max="9474" width="10.5" style="49" customWidth="1"/>
    <col min="9475" max="9478" width="0" style="49" hidden="1" customWidth="1"/>
    <col min="9479" max="9479" width="10.5" style="49" customWidth="1"/>
    <col min="9480" max="9483" width="0" style="49" hidden="1" customWidth="1"/>
    <col min="9484" max="9484" width="10.5" style="49" customWidth="1"/>
    <col min="9485" max="9488" width="0" style="49" hidden="1" customWidth="1"/>
    <col min="9489" max="9489" width="10.5" style="49" customWidth="1"/>
    <col min="9490" max="9724" width="9" style="49"/>
    <col min="9725" max="9725" width="7.375" style="49" bestFit="1" customWidth="1"/>
    <col min="9726" max="9726" width="12.75" style="49" customWidth="1"/>
    <col min="9727" max="9727" width="10.5" style="49" customWidth="1"/>
    <col min="9728" max="9729" width="0" style="49" hidden="1" customWidth="1"/>
    <col min="9730" max="9730" width="10.5" style="49" customWidth="1"/>
    <col min="9731" max="9734" width="0" style="49" hidden="1" customWidth="1"/>
    <col min="9735" max="9735" width="10.5" style="49" customWidth="1"/>
    <col min="9736" max="9739" width="0" style="49" hidden="1" customWidth="1"/>
    <col min="9740" max="9740" width="10.5" style="49" customWidth="1"/>
    <col min="9741" max="9744" width="0" style="49" hidden="1" customWidth="1"/>
    <col min="9745" max="9745" width="10.5" style="49" customWidth="1"/>
    <col min="9746" max="9980" width="9" style="49"/>
    <col min="9981" max="9981" width="7.375" style="49" bestFit="1" customWidth="1"/>
    <col min="9982" max="9982" width="12.75" style="49" customWidth="1"/>
    <col min="9983" max="9983" width="10.5" style="49" customWidth="1"/>
    <col min="9984" max="9985" width="0" style="49" hidden="1" customWidth="1"/>
    <col min="9986" max="9986" width="10.5" style="49" customWidth="1"/>
    <col min="9987" max="9990" width="0" style="49" hidden="1" customWidth="1"/>
    <col min="9991" max="9991" width="10.5" style="49" customWidth="1"/>
    <col min="9992" max="9995" width="0" style="49" hidden="1" customWidth="1"/>
    <col min="9996" max="9996" width="10.5" style="49" customWidth="1"/>
    <col min="9997" max="10000" width="0" style="49" hidden="1" customWidth="1"/>
    <col min="10001" max="10001" width="10.5" style="49" customWidth="1"/>
    <col min="10002" max="10236" width="9" style="49"/>
    <col min="10237" max="10237" width="7.375" style="49" bestFit="1" customWidth="1"/>
    <col min="10238" max="10238" width="12.75" style="49" customWidth="1"/>
    <col min="10239" max="10239" width="10.5" style="49" customWidth="1"/>
    <col min="10240" max="10241" width="0" style="49" hidden="1" customWidth="1"/>
    <col min="10242" max="10242" width="10.5" style="49" customWidth="1"/>
    <col min="10243" max="10246" width="0" style="49" hidden="1" customWidth="1"/>
    <col min="10247" max="10247" width="10.5" style="49" customWidth="1"/>
    <col min="10248" max="10251" width="0" style="49" hidden="1" customWidth="1"/>
    <col min="10252" max="10252" width="10.5" style="49" customWidth="1"/>
    <col min="10253" max="10256" width="0" style="49" hidden="1" customWidth="1"/>
    <col min="10257" max="10257" width="10.5" style="49" customWidth="1"/>
    <col min="10258" max="10492" width="9" style="49"/>
    <col min="10493" max="10493" width="7.375" style="49" bestFit="1" customWidth="1"/>
    <col min="10494" max="10494" width="12.75" style="49" customWidth="1"/>
    <col min="10495" max="10495" width="10.5" style="49" customWidth="1"/>
    <col min="10496" max="10497" width="0" style="49" hidden="1" customWidth="1"/>
    <col min="10498" max="10498" width="10.5" style="49" customWidth="1"/>
    <col min="10499" max="10502" width="0" style="49" hidden="1" customWidth="1"/>
    <col min="10503" max="10503" width="10.5" style="49" customWidth="1"/>
    <col min="10504" max="10507" width="0" style="49" hidden="1" customWidth="1"/>
    <col min="10508" max="10508" width="10.5" style="49" customWidth="1"/>
    <col min="10509" max="10512" width="0" style="49" hidden="1" customWidth="1"/>
    <col min="10513" max="10513" width="10.5" style="49" customWidth="1"/>
    <col min="10514" max="10748" width="9" style="49"/>
    <col min="10749" max="10749" width="7.375" style="49" bestFit="1" customWidth="1"/>
    <col min="10750" max="10750" width="12.75" style="49" customWidth="1"/>
    <col min="10751" max="10751" width="10.5" style="49" customWidth="1"/>
    <col min="10752" max="10753" width="0" style="49" hidden="1" customWidth="1"/>
    <col min="10754" max="10754" width="10.5" style="49" customWidth="1"/>
    <col min="10755" max="10758" width="0" style="49" hidden="1" customWidth="1"/>
    <col min="10759" max="10759" width="10.5" style="49" customWidth="1"/>
    <col min="10760" max="10763" width="0" style="49" hidden="1" customWidth="1"/>
    <col min="10764" max="10764" width="10.5" style="49" customWidth="1"/>
    <col min="10765" max="10768" width="0" style="49" hidden="1" customWidth="1"/>
    <col min="10769" max="10769" width="10.5" style="49" customWidth="1"/>
    <col min="10770" max="11004" width="9" style="49"/>
    <col min="11005" max="11005" width="7.375" style="49" bestFit="1" customWidth="1"/>
    <col min="11006" max="11006" width="12.75" style="49" customWidth="1"/>
    <col min="11007" max="11007" width="10.5" style="49" customWidth="1"/>
    <col min="11008" max="11009" width="0" style="49" hidden="1" customWidth="1"/>
    <col min="11010" max="11010" width="10.5" style="49" customWidth="1"/>
    <col min="11011" max="11014" width="0" style="49" hidden="1" customWidth="1"/>
    <col min="11015" max="11015" width="10.5" style="49" customWidth="1"/>
    <col min="11016" max="11019" width="0" style="49" hidden="1" customWidth="1"/>
    <col min="11020" max="11020" width="10.5" style="49" customWidth="1"/>
    <col min="11021" max="11024" width="0" style="49" hidden="1" customWidth="1"/>
    <col min="11025" max="11025" width="10.5" style="49" customWidth="1"/>
    <col min="11026" max="11260" width="9" style="49"/>
    <col min="11261" max="11261" width="7.375" style="49" bestFit="1" customWidth="1"/>
    <col min="11262" max="11262" width="12.75" style="49" customWidth="1"/>
    <col min="11263" max="11263" width="10.5" style="49" customWidth="1"/>
    <col min="11264" max="11265" width="0" style="49" hidden="1" customWidth="1"/>
    <col min="11266" max="11266" width="10.5" style="49" customWidth="1"/>
    <col min="11267" max="11270" width="0" style="49" hidden="1" customWidth="1"/>
    <col min="11271" max="11271" width="10.5" style="49" customWidth="1"/>
    <col min="11272" max="11275" width="0" style="49" hidden="1" customWidth="1"/>
    <col min="11276" max="11276" width="10.5" style="49" customWidth="1"/>
    <col min="11277" max="11280" width="0" style="49" hidden="1" customWidth="1"/>
    <col min="11281" max="11281" width="10.5" style="49" customWidth="1"/>
    <col min="11282" max="11516" width="9" style="49"/>
    <col min="11517" max="11517" width="7.375" style="49" bestFit="1" customWidth="1"/>
    <col min="11518" max="11518" width="12.75" style="49" customWidth="1"/>
    <col min="11519" max="11519" width="10.5" style="49" customWidth="1"/>
    <col min="11520" max="11521" width="0" style="49" hidden="1" customWidth="1"/>
    <col min="11522" max="11522" width="10.5" style="49" customWidth="1"/>
    <col min="11523" max="11526" width="0" style="49" hidden="1" customWidth="1"/>
    <col min="11527" max="11527" width="10.5" style="49" customWidth="1"/>
    <col min="11528" max="11531" width="0" style="49" hidden="1" customWidth="1"/>
    <col min="11532" max="11532" width="10.5" style="49" customWidth="1"/>
    <col min="11533" max="11536" width="0" style="49" hidden="1" customWidth="1"/>
    <col min="11537" max="11537" width="10.5" style="49" customWidth="1"/>
    <col min="11538" max="11772" width="9" style="49"/>
    <col min="11773" max="11773" width="7.375" style="49" bestFit="1" customWidth="1"/>
    <col min="11774" max="11774" width="12.75" style="49" customWidth="1"/>
    <col min="11775" max="11775" width="10.5" style="49" customWidth="1"/>
    <col min="11776" max="11777" width="0" style="49" hidden="1" customWidth="1"/>
    <col min="11778" max="11778" width="10.5" style="49" customWidth="1"/>
    <col min="11779" max="11782" width="0" style="49" hidden="1" customWidth="1"/>
    <col min="11783" max="11783" width="10.5" style="49" customWidth="1"/>
    <col min="11784" max="11787" width="0" style="49" hidden="1" customWidth="1"/>
    <col min="11788" max="11788" width="10.5" style="49" customWidth="1"/>
    <col min="11789" max="11792" width="0" style="49" hidden="1" customWidth="1"/>
    <col min="11793" max="11793" width="10.5" style="49" customWidth="1"/>
    <col min="11794" max="12028" width="9" style="49"/>
    <col min="12029" max="12029" width="7.375" style="49" bestFit="1" customWidth="1"/>
    <col min="12030" max="12030" width="12.75" style="49" customWidth="1"/>
    <col min="12031" max="12031" width="10.5" style="49" customWidth="1"/>
    <col min="12032" max="12033" width="0" style="49" hidden="1" customWidth="1"/>
    <col min="12034" max="12034" width="10.5" style="49" customWidth="1"/>
    <col min="12035" max="12038" width="0" style="49" hidden="1" customWidth="1"/>
    <col min="12039" max="12039" width="10.5" style="49" customWidth="1"/>
    <col min="12040" max="12043" width="0" style="49" hidden="1" customWidth="1"/>
    <col min="12044" max="12044" width="10.5" style="49" customWidth="1"/>
    <col min="12045" max="12048" width="0" style="49" hidden="1" customWidth="1"/>
    <col min="12049" max="12049" width="10.5" style="49" customWidth="1"/>
    <col min="12050" max="12284" width="9" style="49"/>
    <col min="12285" max="12285" width="7.375" style="49" bestFit="1" customWidth="1"/>
    <col min="12286" max="12286" width="12.75" style="49" customWidth="1"/>
    <col min="12287" max="12287" width="10.5" style="49" customWidth="1"/>
    <col min="12288" max="12289" width="0" style="49" hidden="1" customWidth="1"/>
    <col min="12290" max="12290" width="10.5" style="49" customWidth="1"/>
    <col min="12291" max="12294" width="0" style="49" hidden="1" customWidth="1"/>
    <col min="12295" max="12295" width="10.5" style="49" customWidth="1"/>
    <col min="12296" max="12299" width="0" style="49" hidden="1" customWidth="1"/>
    <col min="12300" max="12300" width="10.5" style="49" customWidth="1"/>
    <col min="12301" max="12304" width="0" style="49" hidden="1" customWidth="1"/>
    <col min="12305" max="12305" width="10.5" style="49" customWidth="1"/>
    <col min="12306" max="12540" width="9" style="49"/>
    <col min="12541" max="12541" width="7.375" style="49" bestFit="1" customWidth="1"/>
    <col min="12542" max="12542" width="12.75" style="49" customWidth="1"/>
    <col min="12543" max="12543" width="10.5" style="49" customWidth="1"/>
    <col min="12544" max="12545" width="0" style="49" hidden="1" customWidth="1"/>
    <col min="12546" max="12546" width="10.5" style="49" customWidth="1"/>
    <col min="12547" max="12550" width="0" style="49" hidden="1" customWidth="1"/>
    <col min="12551" max="12551" width="10.5" style="49" customWidth="1"/>
    <col min="12552" max="12555" width="0" style="49" hidden="1" customWidth="1"/>
    <col min="12556" max="12556" width="10.5" style="49" customWidth="1"/>
    <col min="12557" max="12560" width="0" style="49" hidden="1" customWidth="1"/>
    <col min="12561" max="12561" width="10.5" style="49" customWidth="1"/>
    <col min="12562" max="12796" width="9" style="49"/>
    <col min="12797" max="12797" width="7.375" style="49" bestFit="1" customWidth="1"/>
    <col min="12798" max="12798" width="12.75" style="49" customWidth="1"/>
    <col min="12799" max="12799" width="10.5" style="49" customWidth="1"/>
    <col min="12800" max="12801" width="0" style="49" hidden="1" customWidth="1"/>
    <col min="12802" max="12802" width="10.5" style="49" customWidth="1"/>
    <col min="12803" max="12806" width="0" style="49" hidden="1" customWidth="1"/>
    <col min="12807" max="12807" width="10.5" style="49" customWidth="1"/>
    <col min="12808" max="12811" width="0" style="49" hidden="1" customWidth="1"/>
    <col min="12812" max="12812" width="10.5" style="49" customWidth="1"/>
    <col min="12813" max="12816" width="0" style="49" hidden="1" customWidth="1"/>
    <col min="12817" max="12817" width="10.5" style="49" customWidth="1"/>
    <col min="12818" max="13052" width="9" style="49"/>
    <col min="13053" max="13053" width="7.375" style="49" bestFit="1" customWidth="1"/>
    <col min="13054" max="13054" width="12.75" style="49" customWidth="1"/>
    <col min="13055" max="13055" width="10.5" style="49" customWidth="1"/>
    <col min="13056" max="13057" width="0" style="49" hidden="1" customWidth="1"/>
    <col min="13058" max="13058" width="10.5" style="49" customWidth="1"/>
    <col min="13059" max="13062" width="0" style="49" hidden="1" customWidth="1"/>
    <col min="13063" max="13063" width="10.5" style="49" customWidth="1"/>
    <col min="13064" max="13067" width="0" style="49" hidden="1" customWidth="1"/>
    <col min="13068" max="13068" width="10.5" style="49" customWidth="1"/>
    <col min="13069" max="13072" width="0" style="49" hidden="1" customWidth="1"/>
    <col min="13073" max="13073" width="10.5" style="49" customWidth="1"/>
    <col min="13074" max="13308" width="9" style="49"/>
    <col min="13309" max="13309" width="7.375" style="49" bestFit="1" customWidth="1"/>
    <col min="13310" max="13310" width="12.75" style="49" customWidth="1"/>
    <col min="13311" max="13311" width="10.5" style="49" customWidth="1"/>
    <col min="13312" max="13313" width="0" style="49" hidden="1" customWidth="1"/>
    <col min="13314" max="13314" width="10.5" style="49" customWidth="1"/>
    <col min="13315" max="13318" width="0" style="49" hidden="1" customWidth="1"/>
    <col min="13319" max="13319" width="10.5" style="49" customWidth="1"/>
    <col min="13320" max="13323" width="0" style="49" hidden="1" customWidth="1"/>
    <col min="13324" max="13324" width="10.5" style="49" customWidth="1"/>
    <col min="13325" max="13328" width="0" style="49" hidden="1" customWidth="1"/>
    <col min="13329" max="13329" width="10.5" style="49" customWidth="1"/>
    <col min="13330" max="13564" width="9" style="49"/>
    <col min="13565" max="13565" width="7.375" style="49" bestFit="1" customWidth="1"/>
    <col min="13566" max="13566" width="12.75" style="49" customWidth="1"/>
    <col min="13567" max="13567" width="10.5" style="49" customWidth="1"/>
    <col min="13568" max="13569" width="0" style="49" hidden="1" customWidth="1"/>
    <col min="13570" max="13570" width="10.5" style="49" customWidth="1"/>
    <col min="13571" max="13574" width="0" style="49" hidden="1" customWidth="1"/>
    <col min="13575" max="13575" width="10.5" style="49" customWidth="1"/>
    <col min="13576" max="13579" width="0" style="49" hidden="1" customWidth="1"/>
    <col min="13580" max="13580" width="10.5" style="49" customWidth="1"/>
    <col min="13581" max="13584" width="0" style="49" hidden="1" customWidth="1"/>
    <col min="13585" max="13585" width="10.5" style="49" customWidth="1"/>
    <col min="13586" max="13820" width="9" style="49"/>
    <col min="13821" max="13821" width="7.375" style="49" bestFit="1" customWidth="1"/>
    <col min="13822" max="13822" width="12.75" style="49" customWidth="1"/>
    <col min="13823" max="13823" width="10.5" style="49" customWidth="1"/>
    <col min="13824" max="13825" width="0" style="49" hidden="1" customWidth="1"/>
    <col min="13826" max="13826" width="10.5" style="49" customWidth="1"/>
    <col min="13827" max="13830" width="0" style="49" hidden="1" customWidth="1"/>
    <col min="13831" max="13831" width="10.5" style="49" customWidth="1"/>
    <col min="13832" max="13835" width="0" style="49" hidden="1" customWidth="1"/>
    <col min="13836" max="13836" width="10.5" style="49" customWidth="1"/>
    <col min="13837" max="13840" width="0" style="49" hidden="1" customWidth="1"/>
    <col min="13841" max="13841" width="10.5" style="49" customWidth="1"/>
    <col min="13842" max="14076" width="9" style="49"/>
    <col min="14077" max="14077" width="7.375" style="49" bestFit="1" customWidth="1"/>
    <col min="14078" max="14078" width="12.75" style="49" customWidth="1"/>
    <col min="14079" max="14079" width="10.5" style="49" customWidth="1"/>
    <col min="14080" max="14081" width="0" style="49" hidden="1" customWidth="1"/>
    <col min="14082" max="14082" width="10.5" style="49" customWidth="1"/>
    <col min="14083" max="14086" width="0" style="49" hidden="1" customWidth="1"/>
    <col min="14087" max="14087" width="10.5" style="49" customWidth="1"/>
    <col min="14088" max="14091" width="0" style="49" hidden="1" customWidth="1"/>
    <col min="14092" max="14092" width="10.5" style="49" customWidth="1"/>
    <col min="14093" max="14096" width="0" style="49" hidden="1" customWidth="1"/>
    <col min="14097" max="14097" width="10.5" style="49" customWidth="1"/>
    <col min="14098" max="14332" width="9" style="49"/>
    <col min="14333" max="14333" width="7.375" style="49" bestFit="1" customWidth="1"/>
    <col min="14334" max="14334" width="12.75" style="49" customWidth="1"/>
    <col min="14335" max="14335" width="10.5" style="49" customWidth="1"/>
    <col min="14336" max="14337" width="0" style="49" hidden="1" customWidth="1"/>
    <col min="14338" max="14338" width="10.5" style="49" customWidth="1"/>
    <col min="14339" max="14342" width="0" style="49" hidden="1" customWidth="1"/>
    <col min="14343" max="14343" width="10.5" style="49" customWidth="1"/>
    <col min="14344" max="14347" width="0" style="49" hidden="1" customWidth="1"/>
    <col min="14348" max="14348" width="10.5" style="49" customWidth="1"/>
    <col min="14349" max="14352" width="0" style="49" hidden="1" customWidth="1"/>
    <col min="14353" max="14353" width="10.5" style="49" customWidth="1"/>
    <col min="14354" max="14588" width="9" style="49"/>
    <col min="14589" max="14589" width="7.375" style="49" bestFit="1" customWidth="1"/>
    <col min="14590" max="14590" width="12.75" style="49" customWidth="1"/>
    <col min="14591" max="14591" width="10.5" style="49" customWidth="1"/>
    <col min="14592" max="14593" width="0" style="49" hidden="1" customWidth="1"/>
    <col min="14594" max="14594" width="10.5" style="49" customWidth="1"/>
    <col min="14595" max="14598" width="0" style="49" hidden="1" customWidth="1"/>
    <col min="14599" max="14599" width="10.5" style="49" customWidth="1"/>
    <col min="14600" max="14603" width="0" style="49" hidden="1" customWidth="1"/>
    <col min="14604" max="14604" width="10.5" style="49" customWidth="1"/>
    <col min="14605" max="14608" width="0" style="49" hidden="1" customWidth="1"/>
    <col min="14609" max="14609" width="10.5" style="49" customWidth="1"/>
    <col min="14610" max="14844" width="9" style="49"/>
    <col min="14845" max="14845" width="7.375" style="49" bestFit="1" customWidth="1"/>
    <col min="14846" max="14846" width="12.75" style="49" customWidth="1"/>
    <col min="14847" max="14847" width="10.5" style="49" customWidth="1"/>
    <col min="14848" max="14849" width="0" style="49" hidden="1" customWidth="1"/>
    <col min="14850" max="14850" width="10.5" style="49" customWidth="1"/>
    <col min="14851" max="14854" width="0" style="49" hidden="1" customWidth="1"/>
    <col min="14855" max="14855" width="10.5" style="49" customWidth="1"/>
    <col min="14856" max="14859" width="0" style="49" hidden="1" customWidth="1"/>
    <col min="14860" max="14860" width="10.5" style="49" customWidth="1"/>
    <col min="14861" max="14864" width="0" style="49" hidden="1" customWidth="1"/>
    <col min="14865" max="14865" width="10.5" style="49" customWidth="1"/>
    <col min="14866" max="15100" width="9" style="49"/>
    <col min="15101" max="15101" width="7.375" style="49" bestFit="1" customWidth="1"/>
    <col min="15102" max="15102" width="12.75" style="49" customWidth="1"/>
    <col min="15103" max="15103" width="10.5" style="49" customWidth="1"/>
    <col min="15104" max="15105" width="0" style="49" hidden="1" customWidth="1"/>
    <col min="15106" max="15106" width="10.5" style="49" customWidth="1"/>
    <col min="15107" max="15110" width="0" style="49" hidden="1" customWidth="1"/>
    <col min="15111" max="15111" width="10.5" style="49" customWidth="1"/>
    <col min="15112" max="15115" width="0" style="49" hidden="1" customWidth="1"/>
    <col min="15116" max="15116" width="10.5" style="49" customWidth="1"/>
    <col min="15117" max="15120" width="0" style="49" hidden="1" customWidth="1"/>
    <col min="15121" max="15121" width="10.5" style="49" customWidth="1"/>
    <col min="15122" max="15356" width="9" style="49"/>
    <col min="15357" max="15357" width="7.375" style="49" bestFit="1" customWidth="1"/>
    <col min="15358" max="15358" width="12.75" style="49" customWidth="1"/>
    <col min="15359" max="15359" width="10.5" style="49" customWidth="1"/>
    <col min="15360" max="15361" width="0" style="49" hidden="1" customWidth="1"/>
    <col min="15362" max="15362" width="10.5" style="49" customWidth="1"/>
    <col min="15363" max="15366" width="0" style="49" hidden="1" customWidth="1"/>
    <col min="15367" max="15367" width="10.5" style="49" customWidth="1"/>
    <col min="15368" max="15371" width="0" style="49" hidden="1" customWidth="1"/>
    <col min="15372" max="15372" width="10.5" style="49" customWidth="1"/>
    <col min="15373" max="15376" width="0" style="49" hidden="1" customWidth="1"/>
    <col min="15377" max="15377" width="10.5" style="49" customWidth="1"/>
    <col min="15378" max="15612" width="9" style="49"/>
    <col min="15613" max="15613" width="7.375" style="49" bestFit="1" customWidth="1"/>
    <col min="15614" max="15614" width="12.75" style="49" customWidth="1"/>
    <col min="15615" max="15615" width="10.5" style="49" customWidth="1"/>
    <col min="15616" max="15617" width="0" style="49" hidden="1" customWidth="1"/>
    <col min="15618" max="15618" width="10.5" style="49" customWidth="1"/>
    <col min="15619" max="15622" width="0" style="49" hidden="1" customWidth="1"/>
    <col min="15623" max="15623" width="10.5" style="49" customWidth="1"/>
    <col min="15624" max="15627" width="0" style="49" hidden="1" customWidth="1"/>
    <col min="15628" max="15628" width="10.5" style="49" customWidth="1"/>
    <col min="15629" max="15632" width="0" style="49" hidden="1" customWidth="1"/>
    <col min="15633" max="15633" width="10.5" style="49" customWidth="1"/>
    <col min="15634" max="15868" width="9" style="49"/>
    <col min="15869" max="15869" width="7.375" style="49" bestFit="1" customWidth="1"/>
    <col min="15870" max="15870" width="12.75" style="49" customWidth="1"/>
    <col min="15871" max="15871" width="10.5" style="49" customWidth="1"/>
    <col min="15872" max="15873" width="0" style="49" hidden="1" customWidth="1"/>
    <col min="15874" max="15874" width="10.5" style="49" customWidth="1"/>
    <col min="15875" max="15878" width="0" style="49" hidden="1" customWidth="1"/>
    <col min="15879" max="15879" width="10.5" style="49" customWidth="1"/>
    <col min="15880" max="15883" width="0" style="49" hidden="1" customWidth="1"/>
    <col min="15884" max="15884" width="10.5" style="49" customWidth="1"/>
    <col min="15885" max="15888" width="0" style="49" hidden="1" customWidth="1"/>
    <col min="15889" max="15889" width="10.5" style="49" customWidth="1"/>
    <col min="15890" max="16124" width="9" style="49"/>
    <col min="16125" max="16125" width="7.375" style="49" bestFit="1" customWidth="1"/>
    <col min="16126" max="16126" width="12.75" style="49" customWidth="1"/>
    <col min="16127" max="16127" width="10.5" style="49" customWidth="1"/>
    <col min="16128" max="16129" width="0" style="49" hidden="1" customWidth="1"/>
    <col min="16130" max="16130" width="10.5" style="49" customWidth="1"/>
    <col min="16131" max="16134" width="0" style="49" hidden="1" customWidth="1"/>
    <col min="16135" max="16135" width="10.5" style="49" customWidth="1"/>
    <col min="16136" max="16139" width="0" style="49" hidden="1" customWidth="1"/>
    <col min="16140" max="16140" width="10.5" style="49" customWidth="1"/>
    <col min="16141" max="16144" width="0" style="49" hidden="1" customWidth="1"/>
    <col min="16145" max="16145" width="10.5" style="49" customWidth="1"/>
    <col min="16146" max="16384" width="9" style="49"/>
  </cols>
  <sheetData>
    <row r="1" spans="1:68" ht="24.95" customHeight="1">
      <c r="A1" s="638" t="s">
        <v>1501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AA1" s="693"/>
      <c r="AW1" s="52">
        <f>AB7+AB10+AB13+AB16+AB19+AB22+AB25+AB28+AB31+AB34</f>
        <v>104316</v>
      </c>
      <c r="AX1" s="52">
        <f>+AG7+AG10+AG13+AG16+AG19+AG22+AG31+AG34</f>
        <v>105939</v>
      </c>
      <c r="AY1" s="52">
        <f>+AL7+AL10+AL13+AL16+AL19+AL22+AL31+AL34</f>
        <v>108664</v>
      </c>
      <c r="AZ1" s="52">
        <f>+AQ7+AQ10+AQ13+AQ16+AQ19+AQ22+AQ31+AQ34</f>
        <v>110453</v>
      </c>
      <c r="BA1" s="52">
        <f>+AV7+AV10+AV13+AV16+AV19+AV22+AV31+AV34</f>
        <v>127881</v>
      </c>
    </row>
    <row r="2" spans="1:68" ht="15" customHeight="1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AA2" s="693"/>
      <c r="BF2" s="693" t="s">
        <v>630</v>
      </c>
      <c r="BG2" s="693"/>
      <c r="BH2" s="693"/>
      <c r="BI2" s="693"/>
      <c r="BJ2" s="693"/>
      <c r="BK2" s="693"/>
      <c r="BL2" s="693"/>
      <c r="BM2" s="693"/>
      <c r="BN2" s="693"/>
    </row>
    <row r="3" spans="1:68" s="51" customFormat="1" ht="24.6" customHeight="1">
      <c r="A3" s="2350" t="s">
        <v>85</v>
      </c>
      <c r="B3" s="2351"/>
      <c r="C3" s="54" t="s">
        <v>100</v>
      </c>
      <c r="D3" s="54" t="s">
        <v>101</v>
      </c>
      <c r="E3" s="53" t="s">
        <v>102</v>
      </c>
      <c r="F3" s="50" t="s">
        <v>103</v>
      </c>
      <c r="G3" s="53" t="s">
        <v>104</v>
      </c>
      <c r="H3" s="56" t="s">
        <v>105</v>
      </c>
      <c r="I3" s="53" t="s">
        <v>106</v>
      </c>
      <c r="J3" s="50" t="s">
        <v>107</v>
      </c>
      <c r="K3" s="53" t="s">
        <v>108</v>
      </c>
      <c r="L3" s="50" t="s">
        <v>109</v>
      </c>
      <c r="M3" s="54" t="s">
        <v>110</v>
      </c>
      <c r="N3" s="50" t="s">
        <v>114</v>
      </c>
      <c r="O3" s="53" t="s">
        <v>115</v>
      </c>
      <c r="P3" s="50" t="s">
        <v>116</v>
      </c>
      <c r="Q3" s="53" t="s">
        <v>117</v>
      </c>
      <c r="R3" s="56" t="s">
        <v>118</v>
      </c>
      <c r="S3" s="53" t="s">
        <v>119</v>
      </c>
      <c r="T3" s="50" t="s">
        <v>120</v>
      </c>
      <c r="U3" s="53" t="s">
        <v>121</v>
      </c>
      <c r="V3" s="50" t="s">
        <v>122</v>
      </c>
      <c r="W3" s="56" t="s">
        <v>123</v>
      </c>
      <c r="X3" s="725" t="s">
        <v>142</v>
      </c>
      <c r="Y3" s="2054"/>
      <c r="Z3" s="2358"/>
      <c r="AA3" s="2345"/>
      <c r="AB3" s="606" t="s">
        <v>100</v>
      </c>
      <c r="AC3" s="606" t="s">
        <v>101</v>
      </c>
      <c r="AD3" s="606" t="s">
        <v>102</v>
      </c>
      <c r="AE3" s="606" t="s">
        <v>103</v>
      </c>
      <c r="AF3" s="606" t="s">
        <v>104</v>
      </c>
      <c r="AG3" s="606" t="s">
        <v>105</v>
      </c>
      <c r="AH3" s="606" t="s">
        <v>106</v>
      </c>
      <c r="AI3" s="606" t="s">
        <v>107</v>
      </c>
      <c r="AJ3" s="606" t="s">
        <v>108</v>
      </c>
      <c r="AK3" s="606" t="s">
        <v>109</v>
      </c>
      <c r="AL3" s="606" t="s">
        <v>110</v>
      </c>
      <c r="AM3" s="606" t="s">
        <v>114</v>
      </c>
      <c r="AN3" s="606" t="s">
        <v>115</v>
      </c>
      <c r="AO3" s="606" t="s">
        <v>116</v>
      </c>
      <c r="AP3" s="606" t="s">
        <v>117</v>
      </c>
      <c r="AQ3" s="606" t="s">
        <v>118</v>
      </c>
      <c r="AR3" s="606" t="s">
        <v>119</v>
      </c>
      <c r="AS3" s="606" t="s">
        <v>120</v>
      </c>
      <c r="AT3" s="606" t="s">
        <v>121</v>
      </c>
      <c r="AU3" s="606" t="s">
        <v>122</v>
      </c>
      <c r="AV3" s="606" t="s">
        <v>123</v>
      </c>
      <c r="AX3" s="2344"/>
      <c r="AY3" s="2345"/>
      <c r="AZ3" s="606" t="s">
        <v>1219</v>
      </c>
      <c r="BA3" s="606" t="s">
        <v>105</v>
      </c>
      <c r="BB3" s="606" t="s">
        <v>110</v>
      </c>
      <c r="BC3" s="606" t="s">
        <v>118</v>
      </c>
      <c r="BD3" s="606" t="s">
        <v>123</v>
      </c>
      <c r="BF3" s="701"/>
      <c r="BG3" s="606" t="s">
        <v>1219</v>
      </c>
      <c r="BH3" s="606" t="s">
        <v>105</v>
      </c>
      <c r="BI3" s="606" t="s">
        <v>110</v>
      </c>
      <c r="BJ3" s="606" t="s">
        <v>118</v>
      </c>
      <c r="BK3" s="606" t="s">
        <v>123</v>
      </c>
      <c r="BL3" s="701" t="s">
        <v>626</v>
      </c>
      <c r="BM3" s="693"/>
      <c r="BN3" s="693"/>
    </row>
    <row r="4" spans="1:68" ht="24.6" customHeight="1">
      <c r="A4" s="1948" t="s">
        <v>701</v>
      </c>
      <c r="B4" s="80" t="s">
        <v>111</v>
      </c>
      <c r="C4" s="58">
        <f>+'조성법총괄(내부이동률 적용 전)출력x'!C4</f>
        <v>18986</v>
      </c>
      <c r="D4" s="58">
        <f>+'조성법총괄(내부이동률 적용 전)출력x'!D4</f>
        <v>19057</v>
      </c>
      <c r="E4" s="59">
        <f>+'조성법총괄(내부이동률 적용 전)출력x'!E4</f>
        <v>19015</v>
      </c>
      <c r="F4" s="59">
        <f>+'조성법총괄(내부이동률 적용 전)출력x'!F4</f>
        <v>18973</v>
      </c>
      <c r="G4" s="59">
        <f>+'조성법총괄(내부이동률 적용 전)출력x'!G4</f>
        <v>18931</v>
      </c>
      <c r="H4" s="58">
        <f>+'조성법총괄(내부이동률 적용 전)출력x'!H4</f>
        <v>18888</v>
      </c>
      <c r="I4" s="59">
        <f>+'조성법총괄(내부이동률 적용 전)출력x'!I4</f>
        <v>18884</v>
      </c>
      <c r="J4" s="59">
        <f>+'조성법총괄(내부이동률 적용 전)출력x'!J4</f>
        <v>18880</v>
      </c>
      <c r="K4" s="59">
        <f>+'조성법총괄(내부이동률 적용 전)출력x'!K4</f>
        <v>18876</v>
      </c>
      <c r="L4" s="59">
        <f>+'조성법총괄(내부이동률 적용 전)출력x'!L4</f>
        <v>18872</v>
      </c>
      <c r="M4" s="58">
        <f>+'조성법총괄(내부이동률 적용 전)출력x'!M4</f>
        <v>18866</v>
      </c>
      <c r="N4" s="59">
        <f>+'조성법총괄(내부이동률 적용 전)출력x'!N4</f>
        <v>18839</v>
      </c>
      <c r="O4" s="59">
        <f>+'조성법총괄(내부이동률 적용 전)출력x'!O4</f>
        <v>18812</v>
      </c>
      <c r="P4" s="59">
        <f>+'조성법총괄(내부이동률 적용 전)출력x'!P4</f>
        <v>18785</v>
      </c>
      <c r="Q4" s="59">
        <f>+'조성법총괄(내부이동률 적용 전)출력x'!Q4</f>
        <v>18758</v>
      </c>
      <c r="R4" s="58">
        <f>+'조성법총괄(내부이동률 적용 전)출력x'!R4</f>
        <v>18729</v>
      </c>
      <c r="S4" s="59">
        <f>+'조성법총괄(내부이동률 적용 전)출력x'!S4</f>
        <v>18681</v>
      </c>
      <c r="T4" s="59">
        <f>+'조성법총괄(내부이동률 적용 전)출력x'!T4</f>
        <v>18633</v>
      </c>
      <c r="U4" s="59">
        <f>+'조성법총괄(내부이동률 적용 전)출력x'!U4</f>
        <v>18585</v>
      </c>
      <c r="V4" s="59">
        <f>+'조성법총괄(내부이동률 적용 전)출력x'!V4</f>
        <v>18537</v>
      </c>
      <c r="W4" s="58">
        <f>+'조성법총괄(내부이동률 적용 전)출력x'!W4</f>
        <v>18491</v>
      </c>
      <c r="X4" s="77"/>
      <c r="Y4" s="2056"/>
      <c r="Z4" s="2352" t="s">
        <v>700</v>
      </c>
      <c r="AA4" s="607" t="s">
        <v>434</v>
      </c>
      <c r="AB4" s="608">
        <f t="shared" ref="AB4:AV4" si="0">SUM(AB5:AB6)</f>
        <v>104316</v>
      </c>
      <c r="AC4" s="608">
        <f t="shared" si="0"/>
        <v>106419</v>
      </c>
      <c r="AD4" s="608">
        <f t="shared" si="0"/>
        <v>104399</v>
      </c>
      <c r="AE4" s="608">
        <f t="shared" si="0"/>
        <v>104234</v>
      </c>
      <c r="AF4" s="608">
        <f t="shared" si="0"/>
        <v>102610</v>
      </c>
      <c r="AG4" s="608">
        <f t="shared" si="0"/>
        <v>107564</v>
      </c>
      <c r="AH4" s="608">
        <f t="shared" si="0"/>
        <v>108242</v>
      </c>
      <c r="AI4" s="608">
        <f t="shared" si="0"/>
        <v>108805</v>
      </c>
      <c r="AJ4" s="608">
        <f t="shared" si="0"/>
        <v>108961</v>
      </c>
      <c r="AK4" s="608">
        <f t="shared" si="0"/>
        <v>109117</v>
      </c>
      <c r="AL4" s="608">
        <f t="shared" si="0"/>
        <v>110539</v>
      </c>
      <c r="AM4" s="608">
        <f t="shared" si="0"/>
        <v>110617</v>
      </c>
      <c r="AN4" s="608">
        <f t="shared" si="0"/>
        <v>110577</v>
      </c>
      <c r="AO4" s="608">
        <f t="shared" si="0"/>
        <v>110537</v>
      </c>
      <c r="AP4" s="608">
        <f t="shared" si="0"/>
        <v>110497</v>
      </c>
      <c r="AQ4" s="608">
        <f t="shared" si="0"/>
        <v>111974</v>
      </c>
      <c r="AR4" s="608">
        <f t="shared" si="0"/>
        <v>111846</v>
      </c>
      <c r="AS4" s="608">
        <f t="shared" si="0"/>
        <v>111718</v>
      </c>
      <c r="AT4" s="608">
        <f t="shared" si="0"/>
        <v>111590</v>
      </c>
      <c r="AU4" s="608">
        <f t="shared" si="0"/>
        <v>111462</v>
      </c>
      <c r="AV4" s="608">
        <f t="shared" si="0"/>
        <v>133252</v>
      </c>
      <c r="AX4" s="2341" t="s">
        <v>700</v>
      </c>
      <c r="AY4" s="607" t="s">
        <v>170</v>
      </c>
      <c r="AZ4" s="608">
        <f t="shared" ref="AZ4:AZ36" si="1">AC4</f>
        <v>106419</v>
      </c>
      <c r="BA4" s="608">
        <f>+AG4</f>
        <v>107564</v>
      </c>
      <c r="BB4" s="608">
        <f>+AL4</f>
        <v>110539</v>
      </c>
      <c r="BC4" s="608">
        <f>+AQ4</f>
        <v>111974</v>
      </c>
      <c r="BD4" s="608">
        <f>+AV4</f>
        <v>133252</v>
      </c>
      <c r="BF4" s="767" t="s">
        <v>690</v>
      </c>
      <c r="BG4" s="608">
        <f>SUM(BG5:BG13)</f>
        <v>106419</v>
      </c>
      <c r="BH4" s="608">
        <f>SUM(BH5:BH13)</f>
        <v>99160</v>
      </c>
      <c r="BI4" s="608">
        <f>SUM(BI5:BI13)</f>
        <v>98657</v>
      </c>
      <c r="BJ4" s="608">
        <f>SUM(BJ5:BJ13)</f>
        <v>98451</v>
      </c>
      <c r="BK4" s="608">
        <f>SUM(BK5:BK13)</f>
        <v>93633</v>
      </c>
      <c r="BL4" s="607"/>
      <c r="BM4" s="693"/>
      <c r="BN4" s="693"/>
      <c r="BO4" s="703"/>
      <c r="BP4" s="703"/>
    </row>
    <row r="5" spans="1:68" ht="24.6" hidden="1" customHeight="1" outlineLevel="1">
      <c r="A5" s="1949"/>
      <c r="B5" s="81" t="s">
        <v>578</v>
      </c>
      <c r="C5" s="79">
        <f>+'1.4.2내부이동근거'!D136</f>
        <v>0</v>
      </c>
      <c r="D5" s="79">
        <f>+'1.4.2내부이동근거'!E136</f>
        <v>0</v>
      </c>
      <c r="E5" s="90">
        <f>+'1.4.2내부이동근거'!F136</f>
        <v>-455</v>
      </c>
      <c r="F5" s="90">
        <f>+'1.4.2내부이동근거'!G136</f>
        <v>-820</v>
      </c>
      <c r="G5" s="90">
        <f>+'1.4.2내부이동근거'!H136</f>
        <v>-820</v>
      </c>
      <c r="H5" s="79">
        <f>+'1.4.2내부이동근거'!I136</f>
        <v>-1685</v>
      </c>
      <c r="I5" s="90">
        <f>+'1.4.2내부이동근거'!J136</f>
        <v>-1685</v>
      </c>
      <c r="J5" s="90">
        <f>+'1.4.2내부이동근거'!K136</f>
        <v>-1685</v>
      </c>
      <c r="K5" s="90">
        <f>+'1.4.2내부이동근거'!L136</f>
        <v>-1685</v>
      </c>
      <c r="L5" s="90">
        <f>+'1.4.2내부이동근거'!M136</f>
        <v>-1685</v>
      </c>
      <c r="M5" s="79">
        <f>+'1.4.2내부이동근거'!N136</f>
        <v>-1685</v>
      </c>
      <c r="N5" s="90">
        <f>+'1.4.2내부이동근거'!O136</f>
        <v>-1685</v>
      </c>
      <c r="O5" s="90">
        <f>+'1.4.2내부이동근거'!P136</f>
        <v>-1685</v>
      </c>
      <c r="P5" s="90">
        <f>+'1.4.2내부이동근거'!Q136</f>
        <v>-1685</v>
      </c>
      <c r="Q5" s="90">
        <f>+'1.4.2내부이동근거'!R136</f>
        <v>-1685</v>
      </c>
      <c r="R5" s="79">
        <f>+'1.4.2내부이동근거'!S136</f>
        <v>-1685</v>
      </c>
      <c r="S5" s="90">
        <f>+'1.4.2내부이동근거'!T136</f>
        <v>-1685</v>
      </c>
      <c r="T5" s="90">
        <f>+'1.4.2내부이동근거'!U136</f>
        <v>-1685</v>
      </c>
      <c r="U5" s="90">
        <f>+'1.4.2내부이동근거'!V136</f>
        <v>-1685</v>
      </c>
      <c r="V5" s="90">
        <f>+'1.4.2내부이동근거'!W136</f>
        <v>-1685</v>
      </c>
      <c r="W5" s="79">
        <f>+'1.4.2내부이동근거'!X136</f>
        <v>-1685</v>
      </c>
      <c r="X5" s="78"/>
      <c r="Y5" s="2056"/>
      <c r="Z5" s="2353"/>
      <c r="AA5" s="607" t="s">
        <v>435</v>
      </c>
      <c r="AB5" s="608">
        <f t="shared" ref="AB5:AV5" si="2">+C78</f>
        <v>104316</v>
      </c>
      <c r="AC5" s="608">
        <f t="shared" si="2"/>
        <v>106419</v>
      </c>
      <c r="AD5" s="608">
        <f t="shared" si="2"/>
        <v>103608</v>
      </c>
      <c r="AE5" s="608">
        <f t="shared" si="2"/>
        <v>102414</v>
      </c>
      <c r="AF5" s="608">
        <f t="shared" si="2"/>
        <v>100245</v>
      </c>
      <c r="AG5" s="608">
        <f t="shared" si="2"/>
        <v>98660</v>
      </c>
      <c r="AH5" s="608">
        <f t="shared" si="2"/>
        <v>98816</v>
      </c>
      <c r="AI5" s="608">
        <f t="shared" si="2"/>
        <v>98972</v>
      </c>
      <c r="AJ5" s="608">
        <f t="shared" si="2"/>
        <v>99128</v>
      </c>
      <c r="AK5" s="608">
        <f t="shared" si="2"/>
        <v>99284</v>
      </c>
      <c r="AL5" s="608">
        <f t="shared" si="2"/>
        <v>98157</v>
      </c>
      <c r="AM5" s="608">
        <f t="shared" si="2"/>
        <v>98117</v>
      </c>
      <c r="AN5" s="608">
        <f t="shared" si="2"/>
        <v>98077</v>
      </c>
      <c r="AO5" s="608">
        <f t="shared" si="2"/>
        <v>98037</v>
      </c>
      <c r="AP5" s="608">
        <f t="shared" si="2"/>
        <v>97997</v>
      </c>
      <c r="AQ5" s="608">
        <f t="shared" si="2"/>
        <v>97951</v>
      </c>
      <c r="AR5" s="608">
        <f t="shared" si="2"/>
        <v>97823</v>
      </c>
      <c r="AS5" s="608">
        <f t="shared" si="2"/>
        <v>97695</v>
      </c>
      <c r="AT5" s="608">
        <f t="shared" si="2"/>
        <v>97567</v>
      </c>
      <c r="AU5" s="608">
        <f t="shared" si="2"/>
        <v>97439</v>
      </c>
      <c r="AV5" s="608">
        <f t="shared" si="2"/>
        <v>93133</v>
      </c>
      <c r="AW5" s="52"/>
      <c r="AX5" s="2342"/>
      <c r="AY5" s="607" t="s">
        <v>435</v>
      </c>
      <c r="AZ5" s="608">
        <f t="shared" si="1"/>
        <v>106419</v>
      </c>
      <c r="BA5" s="608">
        <f t="shared" ref="BA5:BA36" si="3">+AG5</f>
        <v>98660</v>
      </c>
      <c r="BB5" s="608">
        <f t="shared" ref="BB5:BB36" si="4">+AL5</f>
        <v>98157</v>
      </c>
      <c r="BC5" s="608">
        <f t="shared" ref="BC5:BC36" si="5">+AQ5</f>
        <v>97951</v>
      </c>
      <c r="BD5" s="608">
        <f t="shared" ref="BD5:BD36" si="6">+AV5</f>
        <v>93133</v>
      </c>
      <c r="BF5" s="767" t="s">
        <v>691</v>
      </c>
      <c r="BG5" s="608">
        <f>+D4+D5</f>
        <v>19057</v>
      </c>
      <c r="BH5" s="608">
        <f>+H4+H5</f>
        <v>17203</v>
      </c>
      <c r="BI5" s="608">
        <f>+M4+M5</f>
        <v>17181</v>
      </c>
      <c r="BJ5" s="608">
        <f>+R4+R5</f>
        <v>17044</v>
      </c>
      <c r="BK5" s="608">
        <f>+W4+W5</f>
        <v>16806</v>
      </c>
      <c r="BL5" s="607"/>
      <c r="BM5" s="693"/>
      <c r="BN5" s="693"/>
    </row>
    <row r="6" spans="1:68" ht="24.6" hidden="1" customHeight="1" outlineLevel="1">
      <c r="A6" s="1949"/>
      <c r="B6" s="81" t="s">
        <v>165</v>
      </c>
      <c r="C6" s="79"/>
      <c r="D6" s="79"/>
      <c r="E6" s="79">
        <f>'1.4.2내부이동근거'!Q6</f>
        <v>-75</v>
      </c>
      <c r="F6" s="79">
        <f>E6</f>
        <v>-75</v>
      </c>
      <c r="G6" s="79">
        <f t="shared" ref="G6:W6" si="7">F6</f>
        <v>-75</v>
      </c>
      <c r="H6" s="79">
        <f t="shared" si="7"/>
        <v>-75</v>
      </c>
      <c r="I6" s="79">
        <f t="shared" si="7"/>
        <v>-75</v>
      </c>
      <c r="J6" s="79">
        <f t="shared" si="7"/>
        <v>-75</v>
      </c>
      <c r="K6" s="79">
        <f t="shared" si="7"/>
        <v>-75</v>
      </c>
      <c r="L6" s="79">
        <f t="shared" si="7"/>
        <v>-75</v>
      </c>
      <c r="M6" s="79">
        <f t="shared" si="7"/>
        <v>-75</v>
      </c>
      <c r="N6" s="79">
        <f t="shared" si="7"/>
        <v>-75</v>
      </c>
      <c r="O6" s="79">
        <f t="shared" si="7"/>
        <v>-75</v>
      </c>
      <c r="P6" s="79">
        <f t="shared" si="7"/>
        <v>-75</v>
      </c>
      <c r="Q6" s="79">
        <f t="shared" si="7"/>
        <v>-75</v>
      </c>
      <c r="R6" s="79">
        <f t="shared" si="7"/>
        <v>-75</v>
      </c>
      <c r="S6" s="79">
        <f t="shared" si="7"/>
        <v>-75</v>
      </c>
      <c r="T6" s="79">
        <f t="shared" si="7"/>
        <v>-75</v>
      </c>
      <c r="U6" s="79">
        <f t="shared" si="7"/>
        <v>-75</v>
      </c>
      <c r="V6" s="79">
        <f t="shared" si="7"/>
        <v>-75</v>
      </c>
      <c r="W6" s="79">
        <f t="shared" si="7"/>
        <v>-75</v>
      </c>
      <c r="X6" s="78"/>
      <c r="Y6" s="2056"/>
      <c r="Z6" s="2354"/>
      <c r="AA6" s="607" t="s">
        <v>436</v>
      </c>
      <c r="AB6" s="608">
        <f t="shared" ref="AB6:AV6" si="8">SUM(C79:C80)</f>
        <v>0</v>
      </c>
      <c r="AC6" s="608">
        <f t="shared" si="8"/>
        <v>0</v>
      </c>
      <c r="AD6" s="608">
        <f t="shared" si="8"/>
        <v>791</v>
      </c>
      <c r="AE6" s="608">
        <f t="shared" si="8"/>
        <v>1820</v>
      </c>
      <c r="AF6" s="608">
        <f t="shared" si="8"/>
        <v>2365</v>
      </c>
      <c r="AG6" s="608">
        <f t="shared" si="8"/>
        <v>8904</v>
      </c>
      <c r="AH6" s="608">
        <f t="shared" si="8"/>
        <v>9426</v>
      </c>
      <c r="AI6" s="608">
        <f t="shared" si="8"/>
        <v>9833</v>
      </c>
      <c r="AJ6" s="608">
        <f t="shared" si="8"/>
        <v>9833</v>
      </c>
      <c r="AK6" s="608">
        <f t="shared" si="8"/>
        <v>9833</v>
      </c>
      <c r="AL6" s="608">
        <f t="shared" si="8"/>
        <v>12382</v>
      </c>
      <c r="AM6" s="608">
        <f t="shared" si="8"/>
        <v>12500</v>
      </c>
      <c r="AN6" s="608">
        <f t="shared" si="8"/>
        <v>12500</v>
      </c>
      <c r="AO6" s="608">
        <f t="shared" si="8"/>
        <v>12500</v>
      </c>
      <c r="AP6" s="608">
        <f t="shared" si="8"/>
        <v>12500</v>
      </c>
      <c r="AQ6" s="608">
        <f t="shared" si="8"/>
        <v>14023</v>
      </c>
      <c r="AR6" s="608">
        <f t="shared" si="8"/>
        <v>14023</v>
      </c>
      <c r="AS6" s="608">
        <f t="shared" si="8"/>
        <v>14023</v>
      </c>
      <c r="AT6" s="608">
        <f t="shared" si="8"/>
        <v>14023</v>
      </c>
      <c r="AU6" s="608">
        <f t="shared" si="8"/>
        <v>14023</v>
      </c>
      <c r="AV6" s="608">
        <f t="shared" si="8"/>
        <v>40119</v>
      </c>
      <c r="AX6" s="2343"/>
      <c r="AY6" s="607" t="s">
        <v>149</v>
      </c>
      <c r="AZ6" s="608">
        <f t="shared" si="1"/>
        <v>0</v>
      </c>
      <c r="BA6" s="608">
        <f t="shared" si="3"/>
        <v>8904</v>
      </c>
      <c r="BB6" s="608">
        <f t="shared" si="4"/>
        <v>12382</v>
      </c>
      <c r="BC6" s="608">
        <f t="shared" si="5"/>
        <v>14023</v>
      </c>
      <c r="BD6" s="608">
        <f t="shared" si="6"/>
        <v>40119</v>
      </c>
      <c r="BF6" s="767" t="s">
        <v>692</v>
      </c>
      <c r="BG6" s="608">
        <f>+D11+D12</f>
        <v>23398</v>
      </c>
      <c r="BH6" s="608">
        <f>+H11+H12</f>
        <v>22317</v>
      </c>
      <c r="BI6" s="608">
        <f>+M11+M12</f>
        <v>22492</v>
      </c>
      <c r="BJ6" s="608">
        <f>+R11+R12</f>
        <v>22720</v>
      </c>
      <c r="BK6" s="608">
        <f>+W11+W12</f>
        <v>22902</v>
      </c>
      <c r="BL6" s="607"/>
      <c r="BM6" s="693"/>
      <c r="BN6" s="693"/>
    </row>
    <row r="7" spans="1:68" ht="24.6" customHeight="1" collapsed="1">
      <c r="A7" s="1949"/>
      <c r="B7" s="81" t="s">
        <v>1459</v>
      </c>
      <c r="C7" s="79"/>
      <c r="D7" s="79">
        <f>SUM(D5:D6)</f>
        <v>0</v>
      </c>
      <c r="E7" s="79">
        <f t="shared" ref="E7:W7" si="9">SUM(E5:E6)</f>
        <v>-530</v>
      </c>
      <c r="F7" s="79">
        <f t="shared" si="9"/>
        <v>-895</v>
      </c>
      <c r="G7" s="79">
        <f t="shared" si="9"/>
        <v>-895</v>
      </c>
      <c r="H7" s="79">
        <f t="shared" si="9"/>
        <v>-1760</v>
      </c>
      <c r="I7" s="79">
        <f t="shared" si="9"/>
        <v>-1760</v>
      </c>
      <c r="J7" s="79">
        <f t="shared" si="9"/>
        <v>-1760</v>
      </c>
      <c r="K7" s="79">
        <f t="shared" si="9"/>
        <v>-1760</v>
      </c>
      <c r="L7" s="79">
        <f t="shared" si="9"/>
        <v>-1760</v>
      </c>
      <c r="M7" s="79">
        <f t="shared" si="9"/>
        <v>-1760</v>
      </c>
      <c r="N7" s="79">
        <f t="shared" si="9"/>
        <v>-1760</v>
      </c>
      <c r="O7" s="79">
        <f t="shared" si="9"/>
        <v>-1760</v>
      </c>
      <c r="P7" s="79">
        <f t="shared" si="9"/>
        <v>-1760</v>
      </c>
      <c r="Q7" s="79">
        <f t="shared" si="9"/>
        <v>-1760</v>
      </c>
      <c r="R7" s="79">
        <f t="shared" si="9"/>
        <v>-1760</v>
      </c>
      <c r="S7" s="79">
        <f t="shared" si="9"/>
        <v>-1760</v>
      </c>
      <c r="T7" s="79">
        <f t="shared" si="9"/>
        <v>-1760</v>
      </c>
      <c r="U7" s="79">
        <f t="shared" si="9"/>
        <v>-1760</v>
      </c>
      <c r="V7" s="79">
        <f t="shared" si="9"/>
        <v>-1760</v>
      </c>
      <c r="W7" s="79">
        <f t="shared" si="9"/>
        <v>-1760</v>
      </c>
      <c r="X7" s="78"/>
      <c r="Y7" s="2056"/>
      <c r="Z7" s="2352" t="s">
        <v>676</v>
      </c>
      <c r="AA7" s="607" t="s">
        <v>434</v>
      </c>
      <c r="AB7" s="608">
        <f t="shared" ref="AB7:AV7" si="10">SUM(AB8:AB9)</f>
        <v>18986</v>
      </c>
      <c r="AC7" s="608">
        <f t="shared" si="10"/>
        <v>19057</v>
      </c>
      <c r="AD7" s="608">
        <f t="shared" si="10"/>
        <v>18683</v>
      </c>
      <c r="AE7" s="608">
        <f t="shared" si="10"/>
        <v>18435</v>
      </c>
      <c r="AF7" s="608">
        <f t="shared" si="10"/>
        <v>18393</v>
      </c>
      <c r="AG7" s="608">
        <f t="shared" si="10"/>
        <v>17861</v>
      </c>
      <c r="AH7" s="608">
        <f t="shared" si="10"/>
        <v>17857</v>
      </c>
      <c r="AI7" s="608">
        <f t="shared" si="10"/>
        <v>17853</v>
      </c>
      <c r="AJ7" s="608">
        <f t="shared" si="10"/>
        <v>17849</v>
      </c>
      <c r="AK7" s="608">
        <f t="shared" si="10"/>
        <v>17845</v>
      </c>
      <c r="AL7" s="608">
        <f t="shared" si="10"/>
        <v>17839</v>
      </c>
      <c r="AM7" s="608">
        <f t="shared" si="10"/>
        <v>17812</v>
      </c>
      <c r="AN7" s="608">
        <f t="shared" si="10"/>
        <v>17785</v>
      </c>
      <c r="AO7" s="608">
        <f t="shared" si="10"/>
        <v>17758</v>
      </c>
      <c r="AP7" s="608">
        <f t="shared" si="10"/>
        <v>17731</v>
      </c>
      <c r="AQ7" s="608">
        <f t="shared" si="10"/>
        <v>17702</v>
      </c>
      <c r="AR7" s="608">
        <f t="shared" si="10"/>
        <v>17654</v>
      </c>
      <c r="AS7" s="608">
        <f t="shared" si="10"/>
        <v>17606</v>
      </c>
      <c r="AT7" s="608">
        <f t="shared" si="10"/>
        <v>17558</v>
      </c>
      <c r="AU7" s="608">
        <f t="shared" si="10"/>
        <v>17510</v>
      </c>
      <c r="AV7" s="608">
        <f t="shared" si="10"/>
        <v>21608</v>
      </c>
      <c r="AX7" s="2341" t="s">
        <v>676</v>
      </c>
      <c r="AY7" s="607" t="s">
        <v>170</v>
      </c>
      <c r="AZ7" s="608">
        <f t="shared" si="1"/>
        <v>19057</v>
      </c>
      <c r="BA7" s="608">
        <f t="shared" si="3"/>
        <v>17861</v>
      </c>
      <c r="BB7" s="608">
        <f t="shared" si="4"/>
        <v>17839</v>
      </c>
      <c r="BC7" s="608">
        <f t="shared" si="5"/>
        <v>17702</v>
      </c>
      <c r="BD7" s="608">
        <f t="shared" si="6"/>
        <v>21608</v>
      </c>
      <c r="BF7" s="767" t="s">
        <v>693</v>
      </c>
      <c r="BG7" s="608">
        <f>+D18+D19</f>
        <v>3240</v>
      </c>
      <c r="BH7" s="608">
        <f>+H18+H19</f>
        <v>2864</v>
      </c>
      <c r="BI7" s="608">
        <f>+M18+M19</f>
        <v>2650</v>
      </c>
      <c r="BJ7" s="608">
        <f>+R18+R19</f>
        <v>2435</v>
      </c>
      <c r="BK7" s="608">
        <f>+W18+W19</f>
        <v>1335</v>
      </c>
      <c r="BL7" s="607"/>
      <c r="BM7" s="693"/>
      <c r="BN7" s="693"/>
    </row>
    <row r="8" spans="1:68" ht="24.6" customHeight="1">
      <c r="A8" s="1949"/>
      <c r="B8" s="81" t="s">
        <v>143</v>
      </c>
      <c r="C8" s="79">
        <f t="shared" ref="C8:W8" si="11">SUM(C4:C6)</f>
        <v>18986</v>
      </c>
      <c r="D8" s="79">
        <f t="shared" si="11"/>
        <v>19057</v>
      </c>
      <c r="E8" s="90">
        <f t="shared" si="11"/>
        <v>18485</v>
      </c>
      <c r="F8" s="90">
        <f t="shared" si="11"/>
        <v>18078</v>
      </c>
      <c r="G8" s="90">
        <f t="shared" si="11"/>
        <v>18036</v>
      </c>
      <c r="H8" s="79">
        <f t="shared" si="11"/>
        <v>17128</v>
      </c>
      <c r="I8" s="90">
        <f t="shared" si="11"/>
        <v>17124</v>
      </c>
      <c r="J8" s="90">
        <f t="shared" si="11"/>
        <v>17120</v>
      </c>
      <c r="K8" s="90">
        <f t="shared" si="11"/>
        <v>17116</v>
      </c>
      <c r="L8" s="90">
        <f t="shared" si="11"/>
        <v>17112</v>
      </c>
      <c r="M8" s="79">
        <f t="shared" si="11"/>
        <v>17106</v>
      </c>
      <c r="N8" s="90">
        <f t="shared" si="11"/>
        <v>17079</v>
      </c>
      <c r="O8" s="90">
        <f t="shared" si="11"/>
        <v>17052</v>
      </c>
      <c r="P8" s="90">
        <f t="shared" si="11"/>
        <v>17025</v>
      </c>
      <c r="Q8" s="90">
        <f t="shared" si="11"/>
        <v>16998</v>
      </c>
      <c r="R8" s="79">
        <f t="shared" si="11"/>
        <v>16969</v>
      </c>
      <c r="S8" s="90">
        <f t="shared" si="11"/>
        <v>16921</v>
      </c>
      <c r="T8" s="90">
        <f t="shared" si="11"/>
        <v>16873</v>
      </c>
      <c r="U8" s="90">
        <f t="shared" si="11"/>
        <v>16825</v>
      </c>
      <c r="V8" s="90">
        <f t="shared" si="11"/>
        <v>16777</v>
      </c>
      <c r="W8" s="79">
        <f t="shared" si="11"/>
        <v>16731</v>
      </c>
      <c r="X8" s="78"/>
      <c r="Y8" s="2056"/>
      <c r="Z8" s="2353"/>
      <c r="AA8" s="607" t="s">
        <v>435</v>
      </c>
      <c r="AB8" s="608">
        <f t="shared" ref="AB8:AK9" si="12">+C8</f>
        <v>18986</v>
      </c>
      <c r="AC8" s="608">
        <f t="shared" si="12"/>
        <v>19057</v>
      </c>
      <c r="AD8" s="608">
        <f t="shared" si="12"/>
        <v>18485</v>
      </c>
      <c r="AE8" s="608">
        <f t="shared" si="12"/>
        <v>18078</v>
      </c>
      <c r="AF8" s="608">
        <f t="shared" si="12"/>
        <v>18036</v>
      </c>
      <c r="AG8" s="608">
        <f t="shared" si="12"/>
        <v>17128</v>
      </c>
      <c r="AH8" s="608">
        <f t="shared" si="12"/>
        <v>17124</v>
      </c>
      <c r="AI8" s="608">
        <f t="shared" si="12"/>
        <v>17120</v>
      </c>
      <c r="AJ8" s="608">
        <f t="shared" si="12"/>
        <v>17116</v>
      </c>
      <c r="AK8" s="608">
        <f t="shared" si="12"/>
        <v>17112</v>
      </c>
      <c r="AL8" s="608">
        <f t="shared" ref="AL8:AU9" si="13">+M8</f>
        <v>17106</v>
      </c>
      <c r="AM8" s="608">
        <f t="shared" si="13"/>
        <v>17079</v>
      </c>
      <c r="AN8" s="608">
        <f t="shared" si="13"/>
        <v>17052</v>
      </c>
      <c r="AO8" s="608">
        <f t="shared" si="13"/>
        <v>17025</v>
      </c>
      <c r="AP8" s="608">
        <f t="shared" si="13"/>
        <v>16998</v>
      </c>
      <c r="AQ8" s="608">
        <f t="shared" si="13"/>
        <v>16969</v>
      </c>
      <c r="AR8" s="608">
        <f t="shared" si="13"/>
        <v>16921</v>
      </c>
      <c r="AS8" s="608">
        <f t="shared" si="13"/>
        <v>16873</v>
      </c>
      <c r="AT8" s="608">
        <f t="shared" si="13"/>
        <v>16825</v>
      </c>
      <c r="AU8" s="608">
        <f t="shared" si="13"/>
        <v>16777</v>
      </c>
      <c r="AV8" s="608">
        <f t="shared" ref="AV8:AV9" si="14">+W8</f>
        <v>16731</v>
      </c>
      <c r="AX8" s="2342"/>
      <c r="AY8" s="607" t="s">
        <v>435</v>
      </c>
      <c r="AZ8" s="608">
        <f t="shared" si="1"/>
        <v>19057</v>
      </c>
      <c r="BA8" s="608">
        <f t="shared" si="3"/>
        <v>17128</v>
      </c>
      <c r="BB8" s="608">
        <f t="shared" si="4"/>
        <v>17106</v>
      </c>
      <c r="BC8" s="608">
        <f t="shared" si="5"/>
        <v>16969</v>
      </c>
      <c r="BD8" s="608">
        <f t="shared" si="6"/>
        <v>16731</v>
      </c>
      <c r="BF8" s="767" t="s">
        <v>694</v>
      </c>
      <c r="BG8" s="608">
        <f>+D25+D26</f>
        <v>3317</v>
      </c>
      <c r="BH8" s="608">
        <f>+H25+H26</f>
        <v>2936</v>
      </c>
      <c r="BI8" s="608">
        <f>+M25+M26</f>
        <v>2734</v>
      </c>
      <c r="BJ8" s="608">
        <f>+R25+R26</f>
        <v>2523</v>
      </c>
      <c r="BK8" s="608">
        <f>+W25+W26</f>
        <v>1421</v>
      </c>
      <c r="BL8" s="607"/>
      <c r="BM8" s="693"/>
      <c r="BN8" s="693"/>
    </row>
    <row r="9" spans="1:68" ht="24.6" customHeight="1">
      <c r="A9" s="1949"/>
      <c r="B9" s="82" t="s">
        <v>2250</v>
      </c>
      <c r="C9" s="85">
        <f>+'조성법총괄(내부이동률 적용 전)출력x'!C5</f>
        <v>0</v>
      </c>
      <c r="D9" s="85">
        <f>+'조성법총괄(내부이동률 적용 전)출력x'!D5</f>
        <v>0</v>
      </c>
      <c r="E9" s="84">
        <f>+'조성법총괄(내부이동률 적용 전)출력x'!E5</f>
        <v>198</v>
      </c>
      <c r="F9" s="84">
        <f>+'조성법총괄(내부이동률 적용 전)출력x'!F5</f>
        <v>357</v>
      </c>
      <c r="G9" s="84">
        <f>+'조성법총괄(내부이동률 적용 전)출력x'!G5</f>
        <v>357</v>
      </c>
      <c r="H9" s="85">
        <f>+'조성법총괄(내부이동률 적용 전)출력x'!H5</f>
        <v>733</v>
      </c>
      <c r="I9" s="84">
        <f>+'조성법총괄(내부이동률 적용 전)출력x'!I5</f>
        <v>733</v>
      </c>
      <c r="J9" s="84">
        <f>+'조성법총괄(내부이동률 적용 전)출력x'!J5</f>
        <v>733</v>
      </c>
      <c r="K9" s="84">
        <f>+'조성법총괄(내부이동률 적용 전)출력x'!K5</f>
        <v>733</v>
      </c>
      <c r="L9" s="84">
        <f>+'조성법총괄(내부이동률 적용 전)출력x'!L5</f>
        <v>733</v>
      </c>
      <c r="M9" s="85">
        <f>+'조성법총괄(내부이동률 적용 전)출력x'!M5</f>
        <v>733</v>
      </c>
      <c r="N9" s="84">
        <f>+'조성법총괄(내부이동률 적용 전)출력x'!N5</f>
        <v>733</v>
      </c>
      <c r="O9" s="84">
        <f>+'조성법총괄(내부이동률 적용 전)출력x'!O5</f>
        <v>733</v>
      </c>
      <c r="P9" s="84">
        <f>+'조성법총괄(내부이동률 적용 전)출력x'!P5</f>
        <v>733</v>
      </c>
      <c r="Q9" s="84">
        <f>+'조성법총괄(내부이동률 적용 전)출력x'!Q5</f>
        <v>733</v>
      </c>
      <c r="R9" s="85">
        <f>+'조성법총괄(내부이동률 적용 전)출력x'!R5</f>
        <v>733</v>
      </c>
      <c r="S9" s="84">
        <f>+'조성법총괄(내부이동률 적용 전)출력x'!S5</f>
        <v>733</v>
      </c>
      <c r="T9" s="84">
        <f>+'조성법총괄(내부이동률 적용 전)출력x'!T5</f>
        <v>733</v>
      </c>
      <c r="U9" s="84">
        <f>+'조성법총괄(내부이동률 적용 전)출력x'!U5</f>
        <v>733</v>
      </c>
      <c r="V9" s="84">
        <f>+'조성법총괄(내부이동률 적용 전)출력x'!V5</f>
        <v>733</v>
      </c>
      <c r="W9" s="85">
        <f>+'조성법총괄(내부이동률 적용 전)출력x'!W5</f>
        <v>4877</v>
      </c>
      <c r="X9" s="86"/>
      <c r="Y9" s="2056"/>
      <c r="Z9" s="2354"/>
      <c r="AA9" s="607" t="s">
        <v>436</v>
      </c>
      <c r="AB9" s="608">
        <f t="shared" si="12"/>
        <v>0</v>
      </c>
      <c r="AC9" s="608">
        <f t="shared" si="12"/>
        <v>0</v>
      </c>
      <c r="AD9" s="608">
        <f t="shared" si="12"/>
        <v>198</v>
      </c>
      <c r="AE9" s="608">
        <f t="shared" si="12"/>
        <v>357</v>
      </c>
      <c r="AF9" s="608">
        <f t="shared" si="12"/>
        <v>357</v>
      </c>
      <c r="AG9" s="608">
        <f t="shared" si="12"/>
        <v>733</v>
      </c>
      <c r="AH9" s="608">
        <f t="shared" si="12"/>
        <v>733</v>
      </c>
      <c r="AI9" s="608">
        <f t="shared" si="12"/>
        <v>733</v>
      </c>
      <c r="AJ9" s="608">
        <f t="shared" si="12"/>
        <v>733</v>
      </c>
      <c r="AK9" s="608">
        <f t="shared" si="12"/>
        <v>733</v>
      </c>
      <c r="AL9" s="608">
        <f t="shared" si="13"/>
        <v>733</v>
      </c>
      <c r="AM9" s="608">
        <f t="shared" si="13"/>
        <v>733</v>
      </c>
      <c r="AN9" s="608">
        <f t="shared" si="13"/>
        <v>733</v>
      </c>
      <c r="AO9" s="608">
        <f t="shared" si="13"/>
        <v>733</v>
      </c>
      <c r="AP9" s="608">
        <f t="shared" si="13"/>
        <v>733</v>
      </c>
      <c r="AQ9" s="608">
        <f t="shared" si="13"/>
        <v>733</v>
      </c>
      <c r="AR9" s="608">
        <f t="shared" si="13"/>
        <v>733</v>
      </c>
      <c r="AS9" s="608">
        <f t="shared" si="13"/>
        <v>733</v>
      </c>
      <c r="AT9" s="608">
        <f t="shared" si="13"/>
        <v>733</v>
      </c>
      <c r="AU9" s="608">
        <f t="shared" si="13"/>
        <v>733</v>
      </c>
      <c r="AV9" s="608">
        <f t="shared" si="14"/>
        <v>4877</v>
      </c>
      <c r="AX9" s="2343"/>
      <c r="AY9" s="607" t="s">
        <v>149</v>
      </c>
      <c r="AZ9" s="608">
        <f t="shared" si="1"/>
        <v>0</v>
      </c>
      <c r="BA9" s="608">
        <f t="shared" si="3"/>
        <v>733</v>
      </c>
      <c r="BB9" s="608">
        <f t="shared" si="4"/>
        <v>733</v>
      </c>
      <c r="BC9" s="608">
        <f t="shared" si="5"/>
        <v>733</v>
      </c>
      <c r="BD9" s="608">
        <f t="shared" si="6"/>
        <v>4877</v>
      </c>
      <c r="BF9" s="767" t="s">
        <v>695</v>
      </c>
      <c r="BG9" s="608">
        <f>+D32+D33</f>
        <v>12254</v>
      </c>
      <c r="BH9" s="608">
        <f>+H32+H33</f>
        <v>11461</v>
      </c>
      <c r="BI9" s="608">
        <f>+M32+M33</f>
        <v>11765</v>
      </c>
      <c r="BJ9" s="608">
        <f>+R32+R33</f>
        <v>11863</v>
      </c>
      <c r="BK9" s="608">
        <f>+W32+W33</f>
        <v>11518</v>
      </c>
      <c r="BL9" s="607"/>
      <c r="BM9" s="693"/>
      <c r="BN9" s="693"/>
    </row>
    <row r="10" spans="1:68" ht="24.6" customHeight="1">
      <c r="A10" s="2346" t="s">
        <v>144</v>
      </c>
      <c r="B10" s="2347"/>
      <c r="C10" s="87">
        <f t="shared" ref="C10:V10" si="15">SUM(C8,C9)</f>
        <v>18986</v>
      </c>
      <c r="D10" s="87">
        <f t="shared" si="15"/>
        <v>19057</v>
      </c>
      <c r="E10" s="89">
        <f t="shared" si="15"/>
        <v>18683</v>
      </c>
      <c r="F10" s="89">
        <f t="shared" si="15"/>
        <v>18435</v>
      </c>
      <c r="G10" s="89">
        <f t="shared" si="15"/>
        <v>18393</v>
      </c>
      <c r="H10" s="87">
        <f t="shared" si="15"/>
        <v>17861</v>
      </c>
      <c r="I10" s="89">
        <f t="shared" si="15"/>
        <v>17857</v>
      </c>
      <c r="J10" s="89">
        <f t="shared" si="15"/>
        <v>17853</v>
      </c>
      <c r="K10" s="89">
        <f t="shared" si="15"/>
        <v>17849</v>
      </c>
      <c r="L10" s="89">
        <f t="shared" si="15"/>
        <v>17845</v>
      </c>
      <c r="M10" s="87">
        <f t="shared" si="15"/>
        <v>17839</v>
      </c>
      <c r="N10" s="89">
        <f t="shared" si="15"/>
        <v>17812</v>
      </c>
      <c r="O10" s="89">
        <f t="shared" si="15"/>
        <v>17785</v>
      </c>
      <c r="P10" s="89">
        <f t="shared" si="15"/>
        <v>17758</v>
      </c>
      <c r="Q10" s="89">
        <f t="shared" si="15"/>
        <v>17731</v>
      </c>
      <c r="R10" s="87">
        <f t="shared" si="15"/>
        <v>17702</v>
      </c>
      <c r="S10" s="89">
        <f t="shared" si="15"/>
        <v>17654</v>
      </c>
      <c r="T10" s="89">
        <f t="shared" si="15"/>
        <v>17606</v>
      </c>
      <c r="U10" s="89">
        <f t="shared" si="15"/>
        <v>17558</v>
      </c>
      <c r="V10" s="89">
        <f t="shared" si="15"/>
        <v>17510</v>
      </c>
      <c r="W10" s="87">
        <f>SUM(W8:W9)</f>
        <v>21608</v>
      </c>
      <c r="X10" s="88"/>
      <c r="Y10" s="2056"/>
      <c r="Z10" s="2352" t="s">
        <v>678</v>
      </c>
      <c r="AA10" s="607" t="s">
        <v>434</v>
      </c>
      <c r="AB10" s="608">
        <f t="shared" ref="AB10:AV10" si="16">SUM(AB11:AB12)</f>
        <v>23334</v>
      </c>
      <c r="AC10" s="608">
        <f t="shared" si="16"/>
        <v>23398</v>
      </c>
      <c r="AD10" s="608">
        <f t="shared" si="16"/>
        <v>23626</v>
      </c>
      <c r="AE10" s="608">
        <f t="shared" si="16"/>
        <v>23662</v>
      </c>
      <c r="AF10" s="608">
        <f t="shared" si="16"/>
        <v>23698</v>
      </c>
      <c r="AG10" s="608">
        <f t="shared" si="16"/>
        <v>25066</v>
      </c>
      <c r="AH10" s="608">
        <f t="shared" si="16"/>
        <v>25139</v>
      </c>
      <c r="AI10" s="608">
        <f t="shared" si="16"/>
        <v>25212</v>
      </c>
      <c r="AJ10" s="608">
        <f t="shared" si="16"/>
        <v>25285</v>
      </c>
      <c r="AK10" s="608">
        <f t="shared" si="16"/>
        <v>25358</v>
      </c>
      <c r="AL10" s="608">
        <f t="shared" si="16"/>
        <v>25687</v>
      </c>
      <c r="AM10" s="608">
        <f t="shared" si="16"/>
        <v>25733</v>
      </c>
      <c r="AN10" s="608">
        <f t="shared" si="16"/>
        <v>25779</v>
      </c>
      <c r="AO10" s="608">
        <f t="shared" si="16"/>
        <v>25825</v>
      </c>
      <c r="AP10" s="608">
        <f t="shared" si="16"/>
        <v>25871</v>
      </c>
      <c r="AQ10" s="608">
        <f t="shared" si="16"/>
        <v>25915</v>
      </c>
      <c r="AR10" s="608">
        <f t="shared" si="16"/>
        <v>25951</v>
      </c>
      <c r="AS10" s="608">
        <f t="shared" si="16"/>
        <v>25987</v>
      </c>
      <c r="AT10" s="608">
        <f t="shared" si="16"/>
        <v>26023</v>
      </c>
      <c r="AU10" s="608">
        <f t="shared" si="16"/>
        <v>26059</v>
      </c>
      <c r="AV10" s="608">
        <f t="shared" si="16"/>
        <v>30985</v>
      </c>
      <c r="AX10" s="2341" t="s">
        <v>678</v>
      </c>
      <c r="AY10" s="607" t="s">
        <v>170</v>
      </c>
      <c r="AZ10" s="608">
        <f t="shared" si="1"/>
        <v>23398</v>
      </c>
      <c r="BA10" s="608">
        <f t="shared" si="3"/>
        <v>25066</v>
      </c>
      <c r="BB10" s="608">
        <f t="shared" si="4"/>
        <v>25687</v>
      </c>
      <c r="BC10" s="608">
        <f t="shared" si="5"/>
        <v>25915</v>
      </c>
      <c r="BD10" s="608">
        <f t="shared" si="6"/>
        <v>30985</v>
      </c>
      <c r="BF10" s="767" t="s">
        <v>696</v>
      </c>
      <c r="BG10" s="608">
        <f>+D40+D41</f>
        <v>18744</v>
      </c>
      <c r="BH10" s="608">
        <f>+H40+H41</f>
        <v>17966</v>
      </c>
      <c r="BI10" s="608">
        <f>+M40+M41</f>
        <v>18294</v>
      </c>
      <c r="BJ10" s="608">
        <f>+R40+R41</f>
        <v>18751</v>
      </c>
      <c r="BK10" s="608">
        <f>+W40+W41</f>
        <v>18249</v>
      </c>
      <c r="BL10" s="607"/>
      <c r="BM10" s="693"/>
      <c r="BN10" s="693"/>
    </row>
    <row r="11" spans="1:68" ht="24.6" customHeight="1">
      <c r="A11" s="1948" t="s">
        <v>702</v>
      </c>
      <c r="B11" s="83" t="s">
        <v>111</v>
      </c>
      <c r="C11" s="58">
        <f>+'조성법총괄(내부이동률 적용 전)출력x'!C7</f>
        <v>23334</v>
      </c>
      <c r="D11" s="58">
        <f>+'조성법총괄(내부이동률 적용 전)출력x'!D7</f>
        <v>23398</v>
      </c>
      <c r="E11" s="59">
        <f>+'조성법총괄(내부이동률 적용 전)출력x'!E7</f>
        <v>23434</v>
      </c>
      <c r="F11" s="59">
        <f>+'조성법총괄(내부이동률 적용 전)출력x'!F7</f>
        <v>23470</v>
      </c>
      <c r="G11" s="59">
        <f>+'조성법총괄(내부이동률 적용 전)출력x'!G7</f>
        <v>23506</v>
      </c>
      <c r="H11" s="58">
        <f>+'조성법총괄(내부이동률 적용 전)출력x'!H7</f>
        <v>23543</v>
      </c>
      <c r="I11" s="59">
        <f>+'조성법총괄(내부이동률 적용 전)출력x'!I7</f>
        <v>23616</v>
      </c>
      <c r="J11" s="59">
        <f>+'조성법총괄(내부이동률 적용 전)출력x'!J7</f>
        <v>23689</v>
      </c>
      <c r="K11" s="59">
        <f>+'조성법총괄(내부이동률 적용 전)출력x'!K7</f>
        <v>23762</v>
      </c>
      <c r="L11" s="59">
        <f>+'조성법총괄(내부이동률 적용 전)출력x'!L7</f>
        <v>23835</v>
      </c>
      <c r="M11" s="58">
        <f>+'조성법총괄(내부이동률 적용 전)출력x'!M7</f>
        <v>23906</v>
      </c>
      <c r="N11" s="59">
        <f>+'조성법총괄(내부이동률 적용 전)출력x'!N7</f>
        <v>23952</v>
      </c>
      <c r="O11" s="59">
        <f>+'조성법총괄(내부이동률 적용 전)출력x'!O7</f>
        <v>23998</v>
      </c>
      <c r="P11" s="59">
        <f>+'조성법총괄(내부이동률 적용 전)출력x'!P7</f>
        <v>24044</v>
      </c>
      <c r="Q11" s="59">
        <f>+'조성법총괄(내부이동률 적용 전)출력x'!Q7</f>
        <v>24090</v>
      </c>
      <c r="R11" s="58">
        <f>+'조성법총괄(내부이동률 적용 전)출력x'!R7</f>
        <v>24134</v>
      </c>
      <c r="S11" s="59">
        <f>+'조성법총괄(내부이동률 적용 전)출력x'!S7</f>
        <v>24170</v>
      </c>
      <c r="T11" s="59">
        <f>+'조성법총괄(내부이동률 적용 전)출력x'!T7</f>
        <v>24206</v>
      </c>
      <c r="U11" s="59">
        <f>+'조성법총괄(내부이동률 적용 전)출력x'!U7</f>
        <v>24242</v>
      </c>
      <c r="V11" s="59">
        <f>+'조성법총괄(내부이동률 적용 전)출력x'!V7</f>
        <v>24278</v>
      </c>
      <c r="W11" s="58">
        <f>+'조성법총괄(내부이동률 적용 전)출력x'!W7</f>
        <v>24316</v>
      </c>
      <c r="X11" s="77"/>
      <c r="Y11" s="2056"/>
      <c r="Z11" s="2353"/>
      <c r="AA11" s="607" t="s">
        <v>435</v>
      </c>
      <c r="AB11" s="608">
        <f t="shared" ref="AB11:AK12" si="17">+C15</f>
        <v>23334</v>
      </c>
      <c r="AC11" s="608">
        <f t="shared" si="17"/>
        <v>23398</v>
      </c>
      <c r="AD11" s="608">
        <f t="shared" si="17"/>
        <v>23033</v>
      </c>
      <c r="AE11" s="608">
        <f t="shared" si="17"/>
        <v>23069</v>
      </c>
      <c r="AF11" s="608">
        <f t="shared" si="17"/>
        <v>23105</v>
      </c>
      <c r="AG11" s="608">
        <f t="shared" si="17"/>
        <v>22167</v>
      </c>
      <c r="AH11" s="608">
        <f t="shared" si="17"/>
        <v>22240</v>
      </c>
      <c r="AI11" s="608">
        <f t="shared" si="17"/>
        <v>22313</v>
      </c>
      <c r="AJ11" s="608">
        <f t="shared" si="17"/>
        <v>22386</v>
      </c>
      <c r="AK11" s="608">
        <f t="shared" si="17"/>
        <v>22459</v>
      </c>
      <c r="AL11" s="608">
        <f t="shared" ref="AL11:AU12" si="18">+M15</f>
        <v>22342</v>
      </c>
      <c r="AM11" s="608">
        <f t="shared" si="18"/>
        <v>22388</v>
      </c>
      <c r="AN11" s="608">
        <f t="shared" si="18"/>
        <v>22434</v>
      </c>
      <c r="AO11" s="608">
        <f t="shared" si="18"/>
        <v>22480</v>
      </c>
      <c r="AP11" s="608">
        <f t="shared" si="18"/>
        <v>22526</v>
      </c>
      <c r="AQ11" s="608">
        <f t="shared" si="18"/>
        <v>22570</v>
      </c>
      <c r="AR11" s="608">
        <f t="shared" si="18"/>
        <v>22606</v>
      </c>
      <c r="AS11" s="608">
        <f t="shared" si="18"/>
        <v>22642</v>
      </c>
      <c r="AT11" s="608">
        <f t="shared" si="18"/>
        <v>22678</v>
      </c>
      <c r="AU11" s="608">
        <f t="shared" si="18"/>
        <v>22714</v>
      </c>
      <c r="AV11" s="608">
        <f t="shared" ref="AV11:AV12" si="19">+W15</f>
        <v>22752</v>
      </c>
      <c r="AX11" s="2342"/>
      <c r="AY11" s="607" t="s">
        <v>435</v>
      </c>
      <c r="AZ11" s="608">
        <f t="shared" si="1"/>
        <v>23398</v>
      </c>
      <c r="BA11" s="608">
        <f t="shared" si="3"/>
        <v>22167</v>
      </c>
      <c r="BB11" s="608">
        <f t="shared" si="4"/>
        <v>22342</v>
      </c>
      <c r="BC11" s="608">
        <f t="shared" si="5"/>
        <v>22570</v>
      </c>
      <c r="BD11" s="608">
        <f t="shared" si="6"/>
        <v>22752</v>
      </c>
      <c r="BF11" s="767" t="s">
        <v>697</v>
      </c>
      <c r="BG11" s="608">
        <f>+D47+D48</f>
        <v>9613</v>
      </c>
      <c r="BH11" s="608">
        <f>+H47+H48</f>
        <v>9270</v>
      </c>
      <c r="BI11" s="608">
        <f>+M47+M48</f>
        <v>9122</v>
      </c>
      <c r="BJ11" s="608">
        <f>+R47+R48</f>
        <v>8968</v>
      </c>
      <c r="BK11" s="608">
        <f>+W47+W48</f>
        <v>7872</v>
      </c>
      <c r="BL11" s="607"/>
    </row>
    <row r="12" spans="1:68" ht="24.6" hidden="1" customHeight="1" outlineLevel="1">
      <c r="A12" s="1949"/>
      <c r="B12" s="81" t="s">
        <v>578</v>
      </c>
      <c r="C12" s="79">
        <f>+'1.4.2내부이동근거'!D139</f>
        <v>0</v>
      </c>
      <c r="D12" s="79">
        <f>+'1.4.2내부이동근거'!E139</f>
        <v>0</v>
      </c>
      <c r="E12" s="90">
        <f>+'1.4.2내부이동근거'!F139</f>
        <v>-251</v>
      </c>
      <c r="F12" s="90">
        <f>+'1.4.2내부이동근거'!G139</f>
        <v>-251</v>
      </c>
      <c r="G12" s="90">
        <f>+'1.4.2내부이동근거'!H139</f>
        <v>-251</v>
      </c>
      <c r="H12" s="79">
        <f>+'1.4.2내부이동근거'!I139</f>
        <v>-1226</v>
      </c>
      <c r="I12" s="90">
        <f>+'1.4.2내부이동근거'!J139</f>
        <v>-1226</v>
      </c>
      <c r="J12" s="90">
        <f>+'1.4.2내부이동근거'!K139</f>
        <v>-1226</v>
      </c>
      <c r="K12" s="90">
        <f>+'1.4.2내부이동근거'!L139</f>
        <v>-1226</v>
      </c>
      <c r="L12" s="90">
        <f>+'1.4.2내부이동근거'!M139</f>
        <v>-1226</v>
      </c>
      <c r="M12" s="79">
        <f>+'1.4.2내부이동근거'!N139</f>
        <v>-1414</v>
      </c>
      <c r="N12" s="90">
        <f>+'1.4.2내부이동근거'!O139</f>
        <v>-1414</v>
      </c>
      <c r="O12" s="90">
        <f>+'1.4.2내부이동근거'!P139</f>
        <v>-1414</v>
      </c>
      <c r="P12" s="90">
        <f>+'1.4.2내부이동근거'!Q139</f>
        <v>-1414</v>
      </c>
      <c r="Q12" s="90">
        <f>+'1.4.2내부이동근거'!R139</f>
        <v>-1414</v>
      </c>
      <c r="R12" s="79">
        <f>+'1.4.2내부이동근거'!S139</f>
        <v>-1414</v>
      </c>
      <c r="S12" s="90">
        <f>+'1.4.2내부이동근거'!T139</f>
        <v>-1414</v>
      </c>
      <c r="T12" s="90">
        <f>+'1.4.2내부이동근거'!U139</f>
        <v>-1414</v>
      </c>
      <c r="U12" s="90">
        <f>+'1.4.2내부이동근거'!V139</f>
        <v>-1414</v>
      </c>
      <c r="V12" s="90">
        <f>+'1.4.2내부이동근거'!W139</f>
        <v>-1414</v>
      </c>
      <c r="W12" s="79">
        <f>+'1.4.2내부이동근거'!X139</f>
        <v>-1414</v>
      </c>
      <c r="X12" s="78"/>
      <c r="Y12" s="2056"/>
      <c r="Z12" s="2354"/>
      <c r="AA12" s="607" t="s">
        <v>436</v>
      </c>
      <c r="AB12" s="608">
        <f t="shared" si="17"/>
        <v>0</v>
      </c>
      <c r="AC12" s="608">
        <f t="shared" si="17"/>
        <v>0</v>
      </c>
      <c r="AD12" s="608">
        <f t="shared" si="17"/>
        <v>593</v>
      </c>
      <c r="AE12" s="608">
        <f t="shared" si="17"/>
        <v>593</v>
      </c>
      <c r="AF12" s="608">
        <f t="shared" si="17"/>
        <v>593</v>
      </c>
      <c r="AG12" s="608">
        <f t="shared" si="17"/>
        <v>2899</v>
      </c>
      <c r="AH12" s="608">
        <f t="shared" si="17"/>
        <v>2899</v>
      </c>
      <c r="AI12" s="608">
        <f t="shared" si="17"/>
        <v>2899</v>
      </c>
      <c r="AJ12" s="608">
        <f t="shared" si="17"/>
        <v>2899</v>
      </c>
      <c r="AK12" s="608">
        <f t="shared" si="17"/>
        <v>2899</v>
      </c>
      <c r="AL12" s="608">
        <f t="shared" si="18"/>
        <v>3345</v>
      </c>
      <c r="AM12" s="608">
        <f t="shared" si="18"/>
        <v>3345</v>
      </c>
      <c r="AN12" s="608">
        <f t="shared" si="18"/>
        <v>3345</v>
      </c>
      <c r="AO12" s="608">
        <f t="shared" si="18"/>
        <v>3345</v>
      </c>
      <c r="AP12" s="608">
        <f t="shared" si="18"/>
        <v>3345</v>
      </c>
      <c r="AQ12" s="608">
        <f t="shared" si="18"/>
        <v>3345</v>
      </c>
      <c r="AR12" s="608">
        <f t="shared" si="18"/>
        <v>3345</v>
      </c>
      <c r="AS12" s="608">
        <f t="shared" si="18"/>
        <v>3345</v>
      </c>
      <c r="AT12" s="608">
        <f t="shared" si="18"/>
        <v>3345</v>
      </c>
      <c r="AU12" s="608">
        <f t="shared" si="18"/>
        <v>3345</v>
      </c>
      <c r="AV12" s="608">
        <f t="shared" si="19"/>
        <v>8233</v>
      </c>
      <c r="AX12" s="2343"/>
      <c r="AY12" s="607" t="s">
        <v>149</v>
      </c>
      <c r="AZ12" s="608">
        <f t="shared" si="1"/>
        <v>0</v>
      </c>
      <c r="BA12" s="608">
        <f t="shared" si="3"/>
        <v>2899</v>
      </c>
      <c r="BB12" s="608">
        <f t="shared" si="4"/>
        <v>3345</v>
      </c>
      <c r="BC12" s="608">
        <f t="shared" si="5"/>
        <v>3345</v>
      </c>
      <c r="BD12" s="608">
        <f t="shared" si="6"/>
        <v>8233</v>
      </c>
      <c r="BF12" s="767" t="s">
        <v>698</v>
      </c>
      <c r="BG12" s="608">
        <f>+D54+D55</f>
        <v>5403</v>
      </c>
      <c r="BH12" s="608">
        <f>+H54+H55</f>
        <v>4210</v>
      </c>
      <c r="BI12" s="608">
        <f>+M54+M55</f>
        <v>4067</v>
      </c>
      <c r="BJ12" s="608">
        <f>+R54+R55</f>
        <v>3867</v>
      </c>
      <c r="BK12" s="608">
        <f>+W54+W55</f>
        <v>3374</v>
      </c>
      <c r="BL12" s="607"/>
      <c r="BM12" s="693"/>
      <c r="BN12" s="693"/>
    </row>
    <row r="13" spans="1:68" ht="24.6" hidden="1" customHeight="1" outlineLevel="1">
      <c r="A13" s="1949"/>
      <c r="B13" s="81" t="s">
        <v>165</v>
      </c>
      <c r="C13" s="79"/>
      <c r="D13" s="79"/>
      <c r="E13" s="79">
        <f>'1.4.2내부이동근거'!Q7</f>
        <v>-150</v>
      </c>
      <c r="F13" s="79">
        <f>E13</f>
        <v>-150</v>
      </c>
      <c r="G13" s="79">
        <f t="shared" ref="G13:W13" si="20">F13</f>
        <v>-150</v>
      </c>
      <c r="H13" s="79">
        <f t="shared" si="20"/>
        <v>-150</v>
      </c>
      <c r="I13" s="79">
        <f t="shared" si="20"/>
        <v>-150</v>
      </c>
      <c r="J13" s="79">
        <f t="shared" si="20"/>
        <v>-150</v>
      </c>
      <c r="K13" s="79">
        <f t="shared" si="20"/>
        <v>-150</v>
      </c>
      <c r="L13" s="79">
        <f t="shared" si="20"/>
        <v>-150</v>
      </c>
      <c r="M13" s="79">
        <f t="shared" si="20"/>
        <v>-150</v>
      </c>
      <c r="N13" s="79">
        <f t="shared" si="20"/>
        <v>-150</v>
      </c>
      <c r="O13" s="79">
        <f t="shared" si="20"/>
        <v>-150</v>
      </c>
      <c r="P13" s="79">
        <f t="shared" si="20"/>
        <v>-150</v>
      </c>
      <c r="Q13" s="79">
        <f t="shared" si="20"/>
        <v>-150</v>
      </c>
      <c r="R13" s="79">
        <f t="shared" si="20"/>
        <v>-150</v>
      </c>
      <c r="S13" s="79">
        <f t="shared" si="20"/>
        <v>-150</v>
      </c>
      <c r="T13" s="79">
        <f t="shared" si="20"/>
        <v>-150</v>
      </c>
      <c r="U13" s="79">
        <f t="shared" si="20"/>
        <v>-150</v>
      </c>
      <c r="V13" s="79">
        <f t="shared" si="20"/>
        <v>-150</v>
      </c>
      <c r="W13" s="79">
        <f t="shared" si="20"/>
        <v>-150</v>
      </c>
      <c r="X13" s="78"/>
      <c r="Y13" s="2056"/>
      <c r="Z13" s="2352" t="s">
        <v>679</v>
      </c>
      <c r="AA13" s="607" t="s">
        <v>434</v>
      </c>
      <c r="AB13" s="608">
        <f t="shared" ref="AB13:AV13" si="21">SUM(AB14:AB15)</f>
        <v>3221</v>
      </c>
      <c r="AC13" s="608">
        <f t="shared" si="21"/>
        <v>3240</v>
      </c>
      <c r="AD13" s="608">
        <f t="shared" si="21"/>
        <v>3148</v>
      </c>
      <c r="AE13" s="608">
        <f t="shared" si="21"/>
        <v>3087</v>
      </c>
      <c r="AF13" s="608">
        <f t="shared" si="21"/>
        <v>2999</v>
      </c>
      <c r="AG13" s="608">
        <f t="shared" si="21"/>
        <v>2849</v>
      </c>
      <c r="AH13" s="608">
        <f t="shared" si="21"/>
        <v>2822</v>
      </c>
      <c r="AI13" s="608">
        <f t="shared" si="21"/>
        <v>2795</v>
      </c>
      <c r="AJ13" s="608">
        <f t="shared" si="21"/>
        <v>2768</v>
      </c>
      <c r="AK13" s="608">
        <f t="shared" si="21"/>
        <v>2741</v>
      </c>
      <c r="AL13" s="608">
        <f t="shared" si="21"/>
        <v>2635</v>
      </c>
      <c r="AM13" s="608">
        <f t="shared" si="21"/>
        <v>2592</v>
      </c>
      <c r="AN13" s="608">
        <f t="shared" si="21"/>
        <v>2549</v>
      </c>
      <c r="AO13" s="608">
        <f t="shared" si="21"/>
        <v>2506</v>
      </c>
      <c r="AP13" s="608">
        <f t="shared" si="21"/>
        <v>2463</v>
      </c>
      <c r="AQ13" s="608">
        <f t="shared" si="21"/>
        <v>2420</v>
      </c>
      <c r="AR13" s="608">
        <f t="shared" si="21"/>
        <v>2378</v>
      </c>
      <c r="AS13" s="608">
        <f t="shared" si="21"/>
        <v>2336</v>
      </c>
      <c r="AT13" s="608">
        <f t="shared" si="21"/>
        <v>2294</v>
      </c>
      <c r="AU13" s="608">
        <f t="shared" si="21"/>
        <v>2252</v>
      </c>
      <c r="AV13" s="608">
        <f t="shared" si="21"/>
        <v>1688</v>
      </c>
      <c r="AX13" s="2341" t="s">
        <v>679</v>
      </c>
      <c r="AY13" s="607" t="s">
        <v>170</v>
      </c>
      <c r="AZ13" s="608">
        <f t="shared" si="1"/>
        <v>3240</v>
      </c>
      <c r="BA13" s="608">
        <f t="shared" si="3"/>
        <v>2849</v>
      </c>
      <c r="BB13" s="608">
        <f t="shared" si="4"/>
        <v>2635</v>
      </c>
      <c r="BC13" s="608">
        <f t="shared" si="5"/>
        <v>2420</v>
      </c>
      <c r="BD13" s="608">
        <f t="shared" si="6"/>
        <v>1688</v>
      </c>
      <c r="BF13" s="767" t="s">
        <v>699</v>
      </c>
      <c r="BG13" s="608">
        <f>+D61+D62</f>
        <v>11393</v>
      </c>
      <c r="BH13" s="608">
        <f>+H61+H62</f>
        <v>10933</v>
      </c>
      <c r="BI13" s="608">
        <f>+M61+M62</f>
        <v>10352</v>
      </c>
      <c r="BJ13" s="608">
        <f>+R61+R62</f>
        <v>10280</v>
      </c>
      <c r="BK13" s="608">
        <f>+W61+W62</f>
        <v>10156</v>
      </c>
      <c r="BL13" s="607"/>
      <c r="BM13" s="693"/>
      <c r="BN13" s="693"/>
    </row>
    <row r="14" spans="1:68" ht="24.6" customHeight="1" collapsed="1">
      <c r="A14" s="2218"/>
      <c r="B14" s="81" t="s">
        <v>1459</v>
      </c>
      <c r="C14" s="79"/>
      <c r="D14" s="79">
        <f>SUM(D12:D13)</f>
        <v>0</v>
      </c>
      <c r="E14" s="79">
        <f t="shared" ref="E14" si="22">SUM(E12:E13)</f>
        <v>-401</v>
      </c>
      <c r="F14" s="79">
        <f t="shared" ref="F14" si="23">SUM(F12:F13)</f>
        <v>-401</v>
      </c>
      <c r="G14" s="79">
        <f t="shared" ref="G14" si="24">SUM(G12:G13)</f>
        <v>-401</v>
      </c>
      <c r="H14" s="79">
        <f t="shared" ref="H14" si="25">SUM(H12:H13)</f>
        <v>-1376</v>
      </c>
      <c r="I14" s="79">
        <f t="shared" ref="I14" si="26">SUM(I12:I13)</f>
        <v>-1376</v>
      </c>
      <c r="J14" s="79">
        <f t="shared" ref="J14" si="27">SUM(J12:J13)</f>
        <v>-1376</v>
      </c>
      <c r="K14" s="79">
        <f t="shared" ref="K14" si="28">SUM(K12:K13)</f>
        <v>-1376</v>
      </c>
      <c r="L14" s="79">
        <f t="shared" ref="L14" si="29">SUM(L12:L13)</f>
        <v>-1376</v>
      </c>
      <c r="M14" s="79">
        <f t="shared" ref="M14" si="30">SUM(M12:M13)</f>
        <v>-1564</v>
      </c>
      <c r="N14" s="79">
        <f t="shared" ref="N14" si="31">SUM(N12:N13)</f>
        <v>-1564</v>
      </c>
      <c r="O14" s="79">
        <f t="shared" ref="O14" si="32">SUM(O12:O13)</f>
        <v>-1564</v>
      </c>
      <c r="P14" s="79">
        <f t="shared" ref="P14" si="33">SUM(P12:P13)</f>
        <v>-1564</v>
      </c>
      <c r="Q14" s="79">
        <f t="shared" ref="Q14" si="34">SUM(Q12:Q13)</f>
        <v>-1564</v>
      </c>
      <c r="R14" s="79">
        <f t="shared" ref="R14" si="35">SUM(R12:R13)</f>
        <v>-1564</v>
      </c>
      <c r="S14" s="79">
        <f t="shared" ref="S14" si="36">SUM(S12:S13)</f>
        <v>-1564</v>
      </c>
      <c r="T14" s="79">
        <f t="shared" ref="T14" si="37">SUM(T12:T13)</f>
        <v>-1564</v>
      </c>
      <c r="U14" s="79">
        <f t="shared" ref="U14" si="38">SUM(U12:U13)</f>
        <v>-1564</v>
      </c>
      <c r="V14" s="79">
        <f t="shared" ref="V14" si="39">SUM(V12:V13)</f>
        <v>-1564</v>
      </c>
      <c r="W14" s="79">
        <f t="shared" ref="W14" si="40">SUM(W12:W13)</f>
        <v>-1564</v>
      </c>
      <c r="X14" s="78"/>
      <c r="Y14" s="2058"/>
      <c r="Z14" s="2353"/>
      <c r="AA14" s="607" t="s">
        <v>435</v>
      </c>
      <c r="AB14" s="608">
        <f t="shared" ref="AB14:AK15" si="41">+C22</f>
        <v>3221</v>
      </c>
      <c r="AC14" s="608">
        <f t="shared" si="41"/>
        <v>3240</v>
      </c>
      <c r="AD14" s="608">
        <f t="shared" si="41"/>
        <v>3148</v>
      </c>
      <c r="AE14" s="608">
        <f t="shared" si="41"/>
        <v>3087</v>
      </c>
      <c r="AF14" s="608">
        <f t="shared" si="41"/>
        <v>2999</v>
      </c>
      <c r="AG14" s="608">
        <f t="shared" si="41"/>
        <v>2849</v>
      </c>
      <c r="AH14" s="608">
        <f t="shared" si="41"/>
        <v>2822</v>
      </c>
      <c r="AI14" s="608">
        <f t="shared" si="41"/>
        <v>2795</v>
      </c>
      <c r="AJ14" s="608">
        <f t="shared" si="41"/>
        <v>2768</v>
      </c>
      <c r="AK14" s="608">
        <f t="shared" si="41"/>
        <v>2741</v>
      </c>
      <c r="AL14" s="608">
        <f t="shared" ref="AL14:AU15" si="42">+M22</f>
        <v>2635</v>
      </c>
      <c r="AM14" s="608">
        <f t="shared" si="42"/>
        <v>2592</v>
      </c>
      <c r="AN14" s="608">
        <f t="shared" si="42"/>
        <v>2549</v>
      </c>
      <c r="AO14" s="608">
        <f t="shared" si="42"/>
        <v>2506</v>
      </c>
      <c r="AP14" s="608">
        <f t="shared" si="42"/>
        <v>2463</v>
      </c>
      <c r="AQ14" s="608">
        <f t="shared" si="42"/>
        <v>2420</v>
      </c>
      <c r="AR14" s="608">
        <f t="shared" si="42"/>
        <v>2378</v>
      </c>
      <c r="AS14" s="608">
        <f t="shared" si="42"/>
        <v>2336</v>
      </c>
      <c r="AT14" s="608">
        <f t="shared" si="42"/>
        <v>2294</v>
      </c>
      <c r="AU14" s="608">
        <f t="shared" si="42"/>
        <v>2252</v>
      </c>
      <c r="AV14" s="608">
        <f t="shared" ref="AV14:AV15" si="43">+W22</f>
        <v>1320</v>
      </c>
      <c r="AX14" s="2342"/>
      <c r="AY14" s="607" t="s">
        <v>435</v>
      </c>
      <c r="AZ14" s="608">
        <f t="shared" si="1"/>
        <v>3240</v>
      </c>
      <c r="BA14" s="608">
        <f t="shared" si="3"/>
        <v>2849</v>
      </c>
      <c r="BB14" s="608">
        <f t="shared" si="4"/>
        <v>2635</v>
      </c>
      <c r="BC14" s="608">
        <f t="shared" si="5"/>
        <v>2420</v>
      </c>
      <c r="BD14" s="608">
        <f t="shared" si="6"/>
        <v>1320</v>
      </c>
      <c r="BF14" s="628"/>
      <c r="BG14" s="52"/>
      <c r="BH14" s="52"/>
      <c r="BI14" s="52"/>
      <c r="BJ14" s="52"/>
      <c r="BK14" s="52"/>
      <c r="BL14" s="693"/>
      <c r="BM14" s="693"/>
      <c r="BN14" s="693"/>
    </row>
    <row r="15" spans="1:68" ht="24.6" customHeight="1">
      <c r="A15" s="1128"/>
      <c r="B15" s="83" t="s">
        <v>143</v>
      </c>
      <c r="C15" s="2002">
        <f t="shared" ref="C15:W15" si="44">SUM(C11:C13)</f>
        <v>23334</v>
      </c>
      <c r="D15" s="2002">
        <f t="shared" si="44"/>
        <v>23398</v>
      </c>
      <c r="E15" s="2003">
        <f t="shared" si="44"/>
        <v>23033</v>
      </c>
      <c r="F15" s="2003">
        <f t="shared" si="44"/>
        <v>23069</v>
      </c>
      <c r="G15" s="2003">
        <f t="shared" si="44"/>
        <v>23105</v>
      </c>
      <c r="H15" s="2002">
        <f t="shared" si="44"/>
        <v>22167</v>
      </c>
      <c r="I15" s="2003">
        <f t="shared" si="44"/>
        <v>22240</v>
      </c>
      <c r="J15" s="2003">
        <f t="shared" si="44"/>
        <v>22313</v>
      </c>
      <c r="K15" s="2003">
        <f t="shared" si="44"/>
        <v>22386</v>
      </c>
      <c r="L15" s="2003">
        <f t="shared" si="44"/>
        <v>22459</v>
      </c>
      <c r="M15" s="2002">
        <f t="shared" si="44"/>
        <v>22342</v>
      </c>
      <c r="N15" s="2003">
        <f t="shared" si="44"/>
        <v>22388</v>
      </c>
      <c r="O15" s="2003">
        <f t="shared" si="44"/>
        <v>22434</v>
      </c>
      <c r="P15" s="2003">
        <f t="shared" si="44"/>
        <v>22480</v>
      </c>
      <c r="Q15" s="2003">
        <f t="shared" si="44"/>
        <v>22526</v>
      </c>
      <c r="R15" s="2002">
        <f t="shared" si="44"/>
        <v>22570</v>
      </c>
      <c r="S15" s="2003">
        <f t="shared" si="44"/>
        <v>22606</v>
      </c>
      <c r="T15" s="2003">
        <f t="shared" si="44"/>
        <v>22642</v>
      </c>
      <c r="U15" s="2003">
        <f t="shared" si="44"/>
        <v>22678</v>
      </c>
      <c r="V15" s="2003">
        <f t="shared" si="44"/>
        <v>22714</v>
      </c>
      <c r="W15" s="2002">
        <f t="shared" si="44"/>
        <v>22752</v>
      </c>
      <c r="X15" s="2004"/>
      <c r="Z15" s="2343"/>
      <c r="AA15" s="607" t="s">
        <v>436</v>
      </c>
      <c r="AB15" s="608">
        <f t="shared" si="41"/>
        <v>0</v>
      </c>
      <c r="AC15" s="608">
        <f t="shared" si="41"/>
        <v>0</v>
      </c>
      <c r="AD15" s="608">
        <f t="shared" si="41"/>
        <v>0</v>
      </c>
      <c r="AE15" s="608">
        <f t="shared" si="41"/>
        <v>0</v>
      </c>
      <c r="AF15" s="608">
        <f t="shared" si="41"/>
        <v>0</v>
      </c>
      <c r="AG15" s="608">
        <f t="shared" si="41"/>
        <v>0</v>
      </c>
      <c r="AH15" s="608">
        <f t="shared" si="41"/>
        <v>0</v>
      </c>
      <c r="AI15" s="608">
        <f t="shared" si="41"/>
        <v>0</v>
      </c>
      <c r="AJ15" s="608">
        <f t="shared" si="41"/>
        <v>0</v>
      </c>
      <c r="AK15" s="608">
        <f t="shared" si="41"/>
        <v>0</v>
      </c>
      <c r="AL15" s="608">
        <f t="shared" si="42"/>
        <v>0</v>
      </c>
      <c r="AM15" s="608">
        <f t="shared" si="42"/>
        <v>0</v>
      </c>
      <c r="AN15" s="608">
        <f t="shared" si="42"/>
        <v>0</v>
      </c>
      <c r="AO15" s="608">
        <f t="shared" si="42"/>
        <v>0</v>
      </c>
      <c r="AP15" s="608">
        <f t="shared" si="42"/>
        <v>0</v>
      </c>
      <c r="AQ15" s="608">
        <f t="shared" si="42"/>
        <v>0</v>
      </c>
      <c r="AR15" s="608">
        <f t="shared" si="42"/>
        <v>0</v>
      </c>
      <c r="AS15" s="608">
        <f t="shared" si="42"/>
        <v>0</v>
      </c>
      <c r="AT15" s="608">
        <f t="shared" si="42"/>
        <v>0</v>
      </c>
      <c r="AU15" s="608">
        <f t="shared" si="42"/>
        <v>0</v>
      </c>
      <c r="AV15" s="608">
        <f t="shared" si="43"/>
        <v>368</v>
      </c>
      <c r="AX15" s="2343"/>
      <c r="AY15" s="607" t="s">
        <v>149</v>
      </c>
      <c r="AZ15" s="608">
        <f t="shared" si="1"/>
        <v>0</v>
      </c>
      <c r="BA15" s="608">
        <f t="shared" si="3"/>
        <v>0</v>
      </c>
      <c r="BB15" s="608">
        <f t="shared" si="4"/>
        <v>0</v>
      </c>
      <c r="BC15" s="608">
        <f t="shared" si="5"/>
        <v>0</v>
      </c>
      <c r="BD15" s="608">
        <f t="shared" si="6"/>
        <v>368</v>
      </c>
      <c r="BF15" s="628"/>
      <c r="BG15" s="52"/>
      <c r="BH15" s="52"/>
      <c r="BI15" s="52"/>
      <c r="BJ15" s="52"/>
      <c r="BK15" s="52"/>
      <c r="BL15" s="693"/>
      <c r="BM15" s="51"/>
      <c r="BN15" s="51"/>
    </row>
    <row r="16" spans="1:68" ht="24.6" customHeight="1">
      <c r="A16" s="1128"/>
      <c r="B16" s="82" t="s">
        <v>1460</v>
      </c>
      <c r="C16" s="85">
        <f>+'조성법총괄(내부이동률 적용 전)출력x'!C8</f>
        <v>0</v>
      </c>
      <c r="D16" s="85">
        <f>+'조성법총괄(내부이동률 적용 전)출력x'!D8</f>
        <v>0</v>
      </c>
      <c r="E16" s="84">
        <f>+'조성법총괄(내부이동률 적용 전)출력x'!E8</f>
        <v>593</v>
      </c>
      <c r="F16" s="84">
        <f>+'조성법총괄(내부이동률 적용 전)출력x'!F8</f>
        <v>593</v>
      </c>
      <c r="G16" s="84">
        <f>+'조성법총괄(내부이동률 적용 전)출력x'!G8</f>
        <v>593</v>
      </c>
      <c r="H16" s="85">
        <f>+'조성법총괄(내부이동률 적용 전)출력x'!H8</f>
        <v>2899</v>
      </c>
      <c r="I16" s="84">
        <f>+'조성법총괄(내부이동률 적용 전)출력x'!I8</f>
        <v>2899</v>
      </c>
      <c r="J16" s="84">
        <f>+'조성법총괄(내부이동률 적용 전)출력x'!J8</f>
        <v>2899</v>
      </c>
      <c r="K16" s="84">
        <f>+'조성법총괄(내부이동률 적용 전)출력x'!K8</f>
        <v>2899</v>
      </c>
      <c r="L16" s="84">
        <f>+'조성법총괄(내부이동률 적용 전)출력x'!L8</f>
        <v>2899</v>
      </c>
      <c r="M16" s="85">
        <f>+'조성법총괄(내부이동률 적용 전)출력x'!M8</f>
        <v>3345</v>
      </c>
      <c r="N16" s="84">
        <f>+'조성법총괄(내부이동률 적용 전)출력x'!N8</f>
        <v>3345</v>
      </c>
      <c r="O16" s="84">
        <f>+'조성법총괄(내부이동률 적용 전)출력x'!O8</f>
        <v>3345</v>
      </c>
      <c r="P16" s="84">
        <f>+'조성법총괄(내부이동률 적용 전)출력x'!P8</f>
        <v>3345</v>
      </c>
      <c r="Q16" s="84">
        <f>+'조성법총괄(내부이동률 적용 전)출력x'!Q8</f>
        <v>3345</v>
      </c>
      <c r="R16" s="85">
        <f>+'조성법총괄(내부이동률 적용 전)출력x'!R8</f>
        <v>3345</v>
      </c>
      <c r="S16" s="84">
        <f>+'조성법총괄(내부이동률 적용 전)출력x'!S8</f>
        <v>3345</v>
      </c>
      <c r="T16" s="84">
        <f>+'조성법총괄(내부이동률 적용 전)출력x'!T8</f>
        <v>3345</v>
      </c>
      <c r="U16" s="84">
        <f>+'조성법총괄(내부이동률 적용 전)출력x'!U8</f>
        <v>3345</v>
      </c>
      <c r="V16" s="84">
        <f>+'조성법총괄(내부이동률 적용 전)출력x'!V8</f>
        <v>3345</v>
      </c>
      <c r="W16" s="85">
        <f>+'조성법총괄(내부이동률 적용 전)출력x'!W8</f>
        <v>8233</v>
      </c>
      <c r="X16" s="86"/>
      <c r="Z16" s="2341" t="s">
        <v>681</v>
      </c>
      <c r="AA16" s="607" t="s">
        <v>434</v>
      </c>
      <c r="AB16" s="608">
        <f t="shared" ref="AB16:AV16" si="45">SUM(AB17:AB18)</f>
        <v>3243</v>
      </c>
      <c r="AC16" s="608">
        <f t="shared" si="45"/>
        <v>3317</v>
      </c>
      <c r="AD16" s="608">
        <f t="shared" si="45"/>
        <v>3211</v>
      </c>
      <c r="AE16" s="608">
        <f t="shared" si="45"/>
        <v>3136</v>
      </c>
      <c r="AF16" s="608">
        <f t="shared" si="45"/>
        <v>3035</v>
      </c>
      <c r="AG16" s="608">
        <f t="shared" si="45"/>
        <v>2921</v>
      </c>
      <c r="AH16" s="608">
        <f t="shared" si="45"/>
        <v>2896</v>
      </c>
      <c r="AI16" s="608">
        <f t="shared" si="45"/>
        <v>2871</v>
      </c>
      <c r="AJ16" s="608">
        <f t="shared" si="45"/>
        <v>2846</v>
      </c>
      <c r="AK16" s="608">
        <f t="shared" si="45"/>
        <v>2821</v>
      </c>
      <c r="AL16" s="608">
        <f t="shared" si="45"/>
        <v>2719</v>
      </c>
      <c r="AM16" s="608">
        <f t="shared" si="45"/>
        <v>2677</v>
      </c>
      <c r="AN16" s="608">
        <f t="shared" si="45"/>
        <v>2635</v>
      </c>
      <c r="AO16" s="608">
        <f t="shared" si="45"/>
        <v>2593</v>
      </c>
      <c r="AP16" s="608">
        <f t="shared" si="45"/>
        <v>2551</v>
      </c>
      <c r="AQ16" s="608">
        <f t="shared" si="45"/>
        <v>2508</v>
      </c>
      <c r="AR16" s="608">
        <f t="shared" si="45"/>
        <v>2465</v>
      </c>
      <c r="AS16" s="608">
        <f t="shared" si="45"/>
        <v>2422</v>
      </c>
      <c r="AT16" s="608">
        <f t="shared" si="45"/>
        <v>2379</v>
      </c>
      <c r="AU16" s="608">
        <f t="shared" si="45"/>
        <v>2336</v>
      </c>
      <c r="AV16" s="608">
        <f t="shared" si="45"/>
        <v>2121</v>
      </c>
      <c r="AX16" s="2341" t="s">
        <v>681</v>
      </c>
      <c r="AY16" s="607" t="s">
        <v>170</v>
      </c>
      <c r="AZ16" s="608">
        <f t="shared" si="1"/>
        <v>3317</v>
      </c>
      <c r="BA16" s="608">
        <f t="shared" si="3"/>
        <v>2921</v>
      </c>
      <c r="BB16" s="608">
        <f t="shared" si="4"/>
        <v>2719</v>
      </c>
      <c r="BC16" s="608">
        <f t="shared" si="5"/>
        <v>2508</v>
      </c>
      <c r="BD16" s="608">
        <f t="shared" si="6"/>
        <v>2121</v>
      </c>
      <c r="BF16" s="693" t="s">
        <v>629</v>
      </c>
      <c r="BG16" s="693"/>
      <c r="BH16" s="693"/>
      <c r="BI16" s="693"/>
      <c r="BJ16" s="693"/>
      <c r="BK16" s="693"/>
      <c r="BL16" s="693"/>
      <c r="BN16" s="703" t="s">
        <v>627</v>
      </c>
    </row>
    <row r="17" spans="1:65" ht="24.6" customHeight="1">
      <c r="A17" s="2346" t="s">
        <v>144</v>
      </c>
      <c r="B17" s="2347"/>
      <c r="C17" s="87">
        <f t="shared" ref="C17:V17" si="46">SUM(C15,C16)</f>
        <v>23334</v>
      </c>
      <c r="D17" s="87">
        <f t="shared" si="46"/>
        <v>23398</v>
      </c>
      <c r="E17" s="89">
        <f t="shared" si="46"/>
        <v>23626</v>
      </c>
      <c r="F17" s="89">
        <f t="shared" si="46"/>
        <v>23662</v>
      </c>
      <c r="G17" s="89">
        <f t="shared" si="46"/>
        <v>23698</v>
      </c>
      <c r="H17" s="87">
        <f t="shared" si="46"/>
        <v>25066</v>
      </c>
      <c r="I17" s="89">
        <f t="shared" si="46"/>
        <v>25139</v>
      </c>
      <c r="J17" s="89">
        <f t="shared" si="46"/>
        <v>25212</v>
      </c>
      <c r="K17" s="89">
        <f t="shared" si="46"/>
        <v>25285</v>
      </c>
      <c r="L17" s="89">
        <f t="shared" si="46"/>
        <v>25358</v>
      </c>
      <c r="M17" s="87">
        <f t="shared" si="46"/>
        <v>25687</v>
      </c>
      <c r="N17" s="89">
        <f t="shared" si="46"/>
        <v>25733</v>
      </c>
      <c r="O17" s="89">
        <f t="shared" si="46"/>
        <v>25779</v>
      </c>
      <c r="P17" s="89">
        <f t="shared" si="46"/>
        <v>25825</v>
      </c>
      <c r="Q17" s="89">
        <f t="shared" si="46"/>
        <v>25871</v>
      </c>
      <c r="R17" s="87">
        <f t="shared" si="46"/>
        <v>25915</v>
      </c>
      <c r="S17" s="89">
        <f t="shared" si="46"/>
        <v>25951</v>
      </c>
      <c r="T17" s="89">
        <f t="shared" si="46"/>
        <v>25987</v>
      </c>
      <c r="U17" s="89">
        <f t="shared" si="46"/>
        <v>26023</v>
      </c>
      <c r="V17" s="89">
        <f t="shared" si="46"/>
        <v>26059</v>
      </c>
      <c r="W17" s="87">
        <f>SUM(W15:W16)</f>
        <v>30985</v>
      </c>
      <c r="X17" s="88"/>
      <c r="Y17" s="2157"/>
      <c r="Z17" s="2353"/>
      <c r="AA17" s="607" t="s">
        <v>435</v>
      </c>
      <c r="AB17" s="608">
        <f t="shared" ref="AB17:AK18" si="47">+C29</f>
        <v>3243</v>
      </c>
      <c r="AC17" s="608">
        <f t="shared" si="47"/>
        <v>3317</v>
      </c>
      <c r="AD17" s="608">
        <f t="shared" si="47"/>
        <v>3211</v>
      </c>
      <c r="AE17" s="608">
        <f t="shared" si="47"/>
        <v>3136</v>
      </c>
      <c r="AF17" s="608">
        <f t="shared" si="47"/>
        <v>3035</v>
      </c>
      <c r="AG17" s="608">
        <f t="shared" si="47"/>
        <v>2921</v>
      </c>
      <c r="AH17" s="608">
        <f t="shared" si="47"/>
        <v>2896</v>
      </c>
      <c r="AI17" s="608">
        <f t="shared" si="47"/>
        <v>2871</v>
      </c>
      <c r="AJ17" s="608">
        <f t="shared" si="47"/>
        <v>2846</v>
      </c>
      <c r="AK17" s="608">
        <f t="shared" si="47"/>
        <v>2821</v>
      </c>
      <c r="AL17" s="608">
        <f t="shared" ref="AL17:AU18" si="48">+M29</f>
        <v>2719</v>
      </c>
      <c r="AM17" s="608">
        <f t="shared" si="48"/>
        <v>2677</v>
      </c>
      <c r="AN17" s="608">
        <f t="shared" si="48"/>
        <v>2635</v>
      </c>
      <c r="AO17" s="608">
        <f t="shared" si="48"/>
        <v>2593</v>
      </c>
      <c r="AP17" s="608">
        <f t="shared" si="48"/>
        <v>2551</v>
      </c>
      <c r="AQ17" s="608">
        <f t="shared" si="48"/>
        <v>2508</v>
      </c>
      <c r="AR17" s="608">
        <f t="shared" si="48"/>
        <v>2465</v>
      </c>
      <c r="AS17" s="608">
        <f t="shared" si="48"/>
        <v>2422</v>
      </c>
      <c r="AT17" s="608">
        <f t="shared" si="48"/>
        <v>2379</v>
      </c>
      <c r="AU17" s="608">
        <f t="shared" si="48"/>
        <v>2336</v>
      </c>
      <c r="AV17" s="608">
        <f t="shared" ref="AV17:AV18" si="49">+W29</f>
        <v>1406</v>
      </c>
      <c r="AX17" s="2342"/>
      <c r="AY17" s="607" t="s">
        <v>435</v>
      </c>
      <c r="AZ17" s="608">
        <f t="shared" si="1"/>
        <v>3317</v>
      </c>
      <c r="BA17" s="608">
        <f t="shared" si="3"/>
        <v>2921</v>
      </c>
      <c r="BB17" s="608">
        <f t="shared" si="4"/>
        <v>2719</v>
      </c>
      <c r="BC17" s="608">
        <f t="shared" si="5"/>
        <v>2508</v>
      </c>
      <c r="BD17" s="608">
        <f t="shared" si="6"/>
        <v>1406</v>
      </c>
      <c r="BF17" s="701"/>
      <c r="BG17" s="606" t="s">
        <v>1218</v>
      </c>
      <c r="BH17" s="606" t="s">
        <v>105</v>
      </c>
      <c r="BI17" s="606" t="s">
        <v>110</v>
      </c>
      <c r="BJ17" s="606" t="s">
        <v>118</v>
      </c>
      <c r="BK17" s="606" t="s">
        <v>123</v>
      </c>
      <c r="BL17" s="701" t="s">
        <v>626</v>
      </c>
      <c r="BM17" s="52"/>
    </row>
    <row r="18" spans="1:65" ht="24.6" customHeight="1">
      <c r="A18" s="1948" t="s">
        <v>703</v>
      </c>
      <c r="B18" s="83" t="s">
        <v>111</v>
      </c>
      <c r="C18" s="58">
        <f>+'조성법총괄(내부이동률 적용 전)출력x'!C10</f>
        <v>3221</v>
      </c>
      <c r="D18" s="58">
        <f>+'조성법총괄(내부이동률 적용 전)출력x'!D10</f>
        <v>3240</v>
      </c>
      <c r="E18" s="59">
        <f>+'조성법총괄(내부이동률 적용 전)출력x'!E10</f>
        <v>3211</v>
      </c>
      <c r="F18" s="59">
        <f>+'조성법총괄(내부이동률 적용 전)출력x'!F10</f>
        <v>3182</v>
      </c>
      <c r="G18" s="59">
        <f>+'조성법총괄(내부이동률 적용 전)출력x'!G10</f>
        <v>3153</v>
      </c>
      <c r="H18" s="58">
        <f>+'조성법총괄(내부이동률 적용 전)출력x'!H10</f>
        <v>3075</v>
      </c>
      <c r="I18" s="59">
        <f>+'조성법총괄(내부이동률 적용 전)출력x'!I10</f>
        <v>3048</v>
      </c>
      <c r="J18" s="59">
        <f>+'조성법총괄(내부이동률 적용 전)출력x'!J10</f>
        <v>3021</v>
      </c>
      <c r="K18" s="59">
        <f>+'조성법총괄(내부이동률 적용 전)출력x'!K10</f>
        <v>2994</v>
      </c>
      <c r="L18" s="59">
        <f>+'조성법총괄(내부이동률 적용 전)출력x'!L10</f>
        <v>2967</v>
      </c>
      <c r="M18" s="58">
        <f>+'조성법총괄(내부이동률 적용 전)출력x'!M10</f>
        <v>2940</v>
      </c>
      <c r="N18" s="59">
        <f>+'조성법총괄(내부이동률 적용 전)출력x'!N10</f>
        <v>2897</v>
      </c>
      <c r="O18" s="59">
        <f>+'조성법총괄(내부이동률 적용 전)출력x'!O10</f>
        <v>2854</v>
      </c>
      <c r="P18" s="59">
        <f>+'조성법총괄(내부이동률 적용 전)출력x'!P10</f>
        <v>2811</v>
      </c>
      <c r="Q18" s="59">
        <f>+'조성법총괄(내부이동률 적용 전)출력x'!Q10</f>
        <v>2768</v>
      </c>
      <c r="R18" s="58">
        <f>+'조성법총괄(내부이동률 적용 전)출력x'!R10</f>
        <v>2725</v>
      </c>
      <c r="S18" s="59">
        <f>+'조성법총괄(내부이동률 적용 전)출력x'!S10</f>
        <v>2683</v>
      </c>
      <c r="T18" s="59">
        <f>+'조성법총괄(내부이동률 적용 전)출력x'!T10</f>
        <v>2641</v>
      </c>
      <c r="U18" s="59">
        <f>+'조성법총괄(내부이동률 적용 전)출력x'!U10</f>
        <v>2599</v>
      </c>
      <c r="V18" s="59">
        <f>+'조성법총괄(내부이동률 적용 전)출력x'!V10</f>
        <v>2557</v>
      </c>
      <c r="W18" s="58">
        <f>+'조성법총괄(내부이동률 적용 전)출력x'!W10</f>
        <v>2517</v>
      </c>
      <c r="X18" s="77"/>
      <c r="Y18" s="2056"/>
      <c r="Z18" s="2354"/>
      <c r="AA18" s="607" t="s">
        <v>436</v>
      </c>
      <c r="AB18" s="608">
        <f t="shared" si="47"/>
        <v>0</v>
      </c>
      <c r="AC18" s="608">
        <f t="shared" si="47"/>
        <v>0</v>
      </c>
      <c r="AD18" s="608">
        <f t="shared" si="47"/>
        <v>0</v>
      </c>
      <c r="AE18" s="608">
        <f t="shared" si="47"/>
        <v>0</v>
      </c>
      <c r="AF18" s="608">
        <f t="shared" si="47"/>
        <v>0</v>
      </c>
      <c r="AG18" s="608">
        <f t="shared" si="47"/>
        <v>0</v>
      </c>
      <c r="AH18" s="608">
        <f t="shared" si="47"/>
        <v>0</v>
      </c>
      <c r="AI18" s="608">
        <f t="shared" si="47"/>
        <v>0</v>
      </c>
      <c r="AJ18" s="608">
        <f t="shared" si="47"/>
        <v>0</v>
      </c>
      <c r="AK18" s="608">
        <f t="shared" si="47"/>
        <v>0</v>
      </c>
      <c r="AL18" s="608">
        <f t="shared" si="48"/>
        <v>0</v>
      </c>
      <c r="AM18" s="608">
        <f t="shared" si="48"/>
        <v>0</v>
      </c>
      <c r="AN18" s="608">
        <f t="shared" si="48"/>
        <v>0</v>
      </c>
      <c r="AO18" s="608">
        <f t="shared" si="48"/>
        <v>0</v>
      </c>
      <c r="AP18" s="608">
        <f t="shared" si="48"/>
        <v>0</v>
      </c>
      <c r="AQ18" s="608">
        <f t="shared" si="48"/>
        <v>0</v>
      </c>
      <c r="AR18" s="608">
        <f t="shared" si="48"/>
        <v>0</v>
      </c>
      <c r="AS18" s="608">
        <f t="shared" si="48"/>
        <v>0</v>
      </c>
      <c r="AT18" s="608">
        <f t="shared" si="48"/>
        <v>0</v>
      </c>
      <c r="AU18" s="608">
        <f t="shared" si="48"/>
        <v>0</v>
      </c>
      <c r="AV18" s="608">
        <f t="shared" si="49"/>
        <v>715</v>
      </c>
      <c r="AX18" s="2343"/>
      <c r="AY18" s="607" t="s">
        <v>149</v>
      </c>
      <c r="AZ18" s="608">
        <f t="shared" si="1"/>
        <v>0</v>
      </c>
      <c r="BA18" s="608">
        <f t="shared" si="3"/>
        <v>0</v>
      </c>
      <c r="BB18" s="608">
        <f t="shared" si="4"/>
        <v>0</v>
      </c>
      <c r="BC18" s="608">
        <f t="shared" si="5"/>
        <v>0</v>
      </c>
      <c r="BD18" s="608">
        <f t="shared" si="6"/>
        <v>715</v>
      </c>
      <c r="BF18" s="724" t="s">
        <v>690</v>
      </c>
      <c r="BG18" s="702">
        <f>+AZ5-AZ35</f>
        <v>106419</v>
      </c>
      <c r="BH18" s="702">
        <f>+BA5-BA35</f>
        <v>98660</v>
      </c>
      <c r="BI18" s="702">
        <f>+BB5-BB35</f>
        <v>98157</v>
      </c>
      <c r="BJ18" s="702">
        <f>+BC5-BC35</f>
        <v>97951</v>
      </c>
      <c r="BK18" s="702">
        <f>+BD5-BD35</f>
        <v>93133</v>
      </c>
      <c r="BL18" s="607" t="s">
        <v>628</v>
      </c>
    </row>
    <row r="19" spans="1:65" ht="24.6" hidden="1" customHeight="1" outlineLevel="1">
      <c r="A19" s="1949"/>
      <c r="B19" s="81" t="s">
        <v>578</v>
      </c>
      <c r="C19" s="79">
        <f>+'1.4.2내부이동근거'!D142</f>
        <v>0</v>
      </c>
      <c r="D19" s="79"/>
      <c r="E19" s="90">
        <f>+'1.4.2내부이동근거'!F142</f>
        <v>-48</v>
      </c>
      <c r="F19" s="90">
        <f>+'1.4.2내부이동근거'!G142</f>
        <v>-80</v>
      </c>
      <c r="G19" s="90">
        <f>+'1.4.2내부이동근거'!H142</f>
        <v>-139</v>
      </c>
      <c r="H19" s="79">
        <f>+'1.4.2내부이동근거'!I142</f>
        <v>-211</v>
      </c>
      <c r="I19" s="90">
        <f>+'1.4.2내부이동근거'!J142</f>
        <v>-211</v>
      </c>
      <c r="J19" s="90">
        <f>+'1.4.2내부이동근거'!K142</f>
        <v>-211</v>
      </c>
      <c r="K19" s="90">
        <f>+'1.4.2내부이동근거'!L142</f>
        <v>-211</v>
      </c>
      <c r="L19" s="90">
        <f>+'1.4.2내부이동근거'!M142</f>
        <v>-211</v>
      </c>
      <c r="M19" s="79">
        <f>+'1.4.2내부이동근거'!N142</f>
        <v>-290</v>
      </c>
      <c r="N19" s="90">
        <f>+'1.4.2내부이동근거'!O142</f>
        <v>-290</v>
      </c>
      <c r="O19" s="90">
        <f>+'1.4.2내부이동근거'!P142</f>
        <v>-290</v>
      </c>
      <c r="P19" s="90">
        <f>+'1.4.2내부이동근거'!Q142</f>
        <v>-290</v>
      </c>
      <c r="Q19" s="90">
        <f>+'1.4.2내부이동근거'!R142</f>
        <v>-290</v>
      </c>
      <c r="R19" s="79">
        <f>+'1.4.2내부이동근거'!S142</f>
        <v>-290</v>
      </c>
      <c r="S19" s="90">
        <f>+'1.4.2내부이동근거'!T142</f>
        <v>-290</v>
      </c>
      <c r="T19" s="90">
        <f>+'1.4.2내부이동근거'!U142</f>
        <v>-290</v>
      </c>
      <c r="U19" s="90">
        <f>+'1.4.2내부이동근거'!V142</f>
        <v>-290</v>
      </c>
      <c r="V19" s="90">
        <f>+'1.4.2내부이동근거'!W142</f>
        <v>-290</v>
      </c>
      <c r="W19" s="79">
        <f>+'1.4.2내부이동근거'!X142</f>
        <v>-1182</v>
      </c>
      <c r="X19" s="78"/>
      <c r="Y19" s="2056"/>
      <c r="Z19" s="2352" t="s">
        <v>683</v>
      </c>
      <c r="AA19" s="607" t="s">
        <v>434</v>
      </c>
      <c r="AB19" s="608">
        <f t="shared" ref="AB19:AV19" si="50">SUM(AB20:AB21)</f>
        <v>10418</v>
      </c>
      <c r="AC19" s="608">
        <f t="shared" si="50"/>
        <v>12254</v>
      </c>
      <c r="AD19" s="608">
        <f t="shared" si="50"/>
        <v>11536</v>
      </c>
      <c r="AE19" s="608">
        <f t="shared" si="50"/>
        <v>11501</v>
      </c>
      <c r="AF19" s="608">
        <f t="shared" si="50"/>
        <v>11529</v>
      </c>
      <c r="AG19" s="608">
        <f t="shared" si="50"/>
        <v>11616</v>
      </c>
      <c r="AH19" s="608">
        <f t="shared" si="50"/>
        <v>11792</v>
      </c>
      <c r="AI19" s="608">
        <f t="shared" si="50"/>
        <v>11853</v>
      </c>
      <c r="AJ19" s="608">
        <f t="shared" si="50"/>
        <v>11914</v>
      </c>
      <c r="AK19" s="608">
        <f t="shared" si="50"/>
        <v>11975</v>
      </c>
      <c r="AL19" s="608">
        <f t="shared" si="50"/>
        <v>12035</v>
      </c>
      <c r="AM19" s="608">
        <f t="shared" si="50"/>
        <v>12055</v>
      </c>
      <c r="AN19" s="608">
        <f t="shared" si="50"/>
        <v>12075</v>
      </c>
      <c r="AO19" s="608">
        <f t="shared" si="50"/>
        <v>12095</v>
      </c>
      <c r="AP19" s="608">
        <f t="shared" si="50"/>
        <v>12115</v>
      </c>
      <c r="AQ19" s="608">
        <f t="shared" si="50"/>
        <v>12133</v>
      </c>
      <c r="AR19" s="608">
        <f t="shared" si="50"/>
        <v>12119</v>
      </c>
      <c r="AS19" s="608">
        <f t="shared" si="50"/>
        <v>12105</v>
      </c>
      <c r="AT19" s="608">
        <f t="shared" si="50"/>
        <v>12091</v>
      </c>
      <c r="AU19" s="608">
        <f t="shared" si="50"/>
        <v>12077</v>
      </c>
      <c r="AV19" s="608">
        <f t="shared" si="50"/>
        <v>14119</v>
      </c>
      <c r="AX19" s="2341" t="s">
        <v>683</v>
      </c>
      <c r="AY19" s="607" t="s">
        <v>170</v>
      </c>
      <c r="AZ19" s="608">
        <f t="shared" si="1"/>
        <v>12254</v>
      </c>
      <c r="BA19" s="608">
        <f t="shared" si="3"/>
        <v>11616</v>
      </c>
      <c r="BB19" s="608">
        <f t="shared" si="4"/>
        <v>12035</v>
      </c>
      <c r="BC19" s="608">
        <f t="shared" si="5"/>
        <v>12133</v>
      </c>
      <c r="BD19" s="608">
        <f t="shared" si="6"/>
        <v>14119</v>
      </c>
      <c r="BF19" s="724" t="s">
        <v>691</v>
      </c>
      <c r="BG19" s="702">
        <f>+AZ8</f>
        <v>19057</v>
      </c>
      <c r="BH19" s="702">
        <f t="shared" ref="BH19" si="51">+BA8</f>
        <v>17128</v>
      </c>
      <c r="BI19" s="702">
        <f>+BB8</f>
        <v>17106</v>
      </c>
      <c r="BJ19" s="702">
        <f>+BC8</f>
        <v>16969</v>
      </c>
      <c r="BK19" s="702">
        <f>+BD8</f>
        <v>16731</v>
      </c>
      <c r="BL19" s="607"/>
    </row>
    <row r="20" spans="1:65" ht="24.6" hidden="1" customHeight="1" outlineLevel="1">
      <c r="A20" s="1949"/>
      <c r="B20" s="81" t="s">
        <v>165</v>
      </c>
      <c r="C20" s="79"/>
      <c r="D20" s="79"/>
      <c r="E20" s="79">
        <f>'1.4.2내부이동근거'!Q8</f>
        <v>-15</v>
      </c>
      <c r="F20" s="79">
        <f>E20</f>
        <v>-15</v>
      </c>
      <c r="G20" s="79">
        <f t="shared" ref="G20:W20" si="52">F20</f>
        <v>-15</v>
      </c>
      <c r="H20" s="79">
        <f t="shared" si="52"/>
        <v>-15</v>
      </c>
      <c r="I20" s="79">
        <f t="shared" si="52"/>
        <v>-15</v>
      </c>
      <c r="J20" s="79">
        <f t="shared" si="52"/>
        <v>-15</v>
      </c>
      <c r="K20" s="79">
        <f t="shared" si="52"/>
        <v>-15</v>
      </c>
      <c r="L20" s="79">
        <f t="shared" si="52"/>
        <v>-15</v>
      </c>
      <c r="M20" s="79">
        <f t="shared" si="52"/>
        <v>-15</v>
      </c>
      <c r="N20" s="79">
        <f t="shared" si="52"/>
        <v>-15</v>
      </c>
      <c r="O20" s="79">
        <f t="shared" si="52"/>
        <v>-15</v>
      </c>
      <c r="P20" s="79">
        <f t="shared" si="52"/>
        <v>-15</v>
      </c>
      <c r="Q20" s="79">
        <f t="shared" si="52"/>
        <v>-15</v>
      </c>
      <c r="R20" s="79">
        <f t="shared" si="52"/>
        <v>-15</v>
      </c>
      <c r="S20" s="79">
        <f t="shared" si="52"/>
        <v>-15</v>
      </c>
      <c r="T20" s="79">
        <f t="shared" si="52"/>
        <v>-15</v>
      </c>
      <c r="U20" s="79">
        <f t="shared" si="52"/>
        <v>-15</v>
      </c>
      <c r="V20" s="79">
        <f t="shared" si="52"/>
        <v>-15</v>
      </c>
      <c r="W20" s="79">
        <f t="shared" si="52"/>
        <v>-15</v>
      </c>
      <c r="X20" s="78"/>
      <c r="Y20" s="2056"/>
      <c r="Z20" s="2353"/>
      <c r="AA20" s="607" t="s">
        <v>435</v>
      </c>
      <c r="AB20" s="608">
        <f t="shared" ref="AB20:AK21" si="53">+C36</f>
        <v>10418</v>
      </c>
      <c r="AC20" s="608">
        <f t="shared" si="53"/>
        <v>12254</v>
      </c>
      <c r="AD20" s="608">
        <f t="shared" si="53"/>
        <v>11536</v>
      </c>
      <c r="AE20" s="608">
        <f t="shared" si="53"/>
        <v>11493</v>
      </c>
      <c r="AF20" s="608">
        <f t="shared" si="53"/>
        <v>11449</v>
      </c>
      <c r="AG20" s="608">
        <f t="shared" si="53"/>
        <v>11406</v>
      </c>
      <c r="AH20" s="608">
        <f t="shared" si="53"/>
        <v>11467</v>
      </c>
      <c r="AI20" s="608">
        <f t="shared" si="53"/>
        <v>11528</v>
      </c>
      <c r="AJ20" s="608">
        <f t="shared" si="53"/>
        <v>11589</v>
      </c>
      <c r="AK20" s="608">
        <f t="shared" si="53"/>
        <v>11650</v>
      </c>
      <c r="AL20" s="608">
        <f t="shared" ref="AL20:AU21" si="54">+M36</f>
        <v>11710</v>
      </c>
      <c r="AM20" s="608">
        <f t="shared" si="54"/>
        <v>11730</v>
      </c>
      <c r="AN20" s="608">
        <f t="shared" si="54"/>
        <v>11750</v>
      </c>
      <c r="AO20" s="608">
        <f t="shared" si="54"/>
        <v>11770</v>
      </c>
      <c r="AP20" s="608">
        <f t="shared" si="54"/>
        <v>11790</v>
      </c>
      <c r="AQ20" s="608">
        <f t="shared" si="54"/>
        <v>11808</v>
      </c>
      <c r="AR20" s="608">
        <f t="shared" si="54"/>
        <v>11794</v>
      </c>
      <c r="AS20" s="608">
        <f t="shared" si="54"/>
        <v>11780</v>
      </c>
      <c r="AT20" s="608">
        <f t="shared" si="54"/>
        <v>11766</v>
      </c>
      <c r="AU20" s="608">
        <f t="shared" si="54"/>
        <v>11752</v>
      </c>
      <c r="AV20" s="608">
        <f t="shared" ref="AV20:AV21" si="55">+W36</f>
        <v>11463</v>
      </c>
      <c r="AX20" s="2342"/>
      <c r="AY20" s="607" t="s">
        <v>435</v>
      </c>
      <c r="AZ20" s="608">
        <f t="shared" si="1"/>
        <v>12254</v>
      </c>
      <c r="BA20" s="608">
        <f t="shared" si="3"/>
        <v>11406</v>
      </c>
      <c r="BB20" s="608">
        <f t="shared" si="4"/>
        <v>11710</v>
      </c>
      <c r="BC20" s="608">
        <f t="shared" si="5"/>
        <v>11808</v>
      </c>
      <c r="BD20" s="608">
        <f t="shared" si="6"/>
        <v>11463</v>
      </c>
      <c r="BF20" s="724" t="s">
        <v>692</v>
      </c>
      <c r="BG20" s="702">
        <f>+AZ11</f>
        <v>23398</v>
      </c>
      <c r="BH20" s="702">
        <f t="shared" ref="BH20" si="56">+BA11</f>
        <v>22167</v>
      </c>
      <c r="BI20" s="702">
        <f>+BB11</f>
        <v>22342</v>
      </c>
      <c r="BJ20" s="702">
        <f>+BC11</f>
        <v>22570</v>
      </c>
      <c r="BK20" s="702">
        <f>+BD11</f>
        <v>22752</v>
      </c>
      <c r="BL20" s="607"/>
    </row>
    <row r="21" spans="1:65" ht="24.6" customHeight="1" collapsed="1">
      <c r="A21" s="1949"/>
      <c r="B21" s="81" t="s">
        <v>1459</v>
      </c>
      <c r="C21" s="79"/>
      <c r="D21" s="79">
        <f>SUM(D19:D20)</f>
        <v>0</v>
      </c>
      <c r="E21" s="79">
        <f t="shared" ref="E21" si="57">SUM(E19:E20)</f>
        <v>-63</v>
      </c>
      <c r="F21" s="79">
        <f t="shared" ref="F21" si="58">SUM(F19:F20)</f>
        <v>-95</v>
      </c>
      <c r="G21" s="79">
        <f t="shared" ref="G21" si="59">SUM(G19:G20)</f>
        <v>-154</v>
      </c>
      <c r="H21" s="79">
        <f t="shared" ref="H21" si="60">SUM(H19:H20)</f>
        <v>-226</v>
      </c>
      <c r="I21" s="79">
        <f t="shared" ref="I21" si="61">SUM(I19:I20)</f>
        <v>-226</v>
      </c>
      <c r="J21" s="79">
        <f t="shared" ref="J21" si="62">SUM(J19:J20)</f>
        <v>-226</v>
      </c>
      <c r="K21" s="79">
        <f t="shared" ref="K21" si="63">SUM(K19:K20)</f>
        <v>-226</v>
      </c>
      <c r="L21" s="79">
        <f t="shared" ref="L21" si="64">SUM(L19:L20)</f>
        <v>-226</v>
      </c>
      <c r="M21" s="79">
        <f t="shared" ref="M21" si="65">SUM(M19:M20)</f>
        <v>-305</v>
      </c>
      <c r="N21" s="79">
        <f t="shared" ref="N21" si="66">SUM(N19:N20)</f>
        <v>-305</v>
      </c>
      <c r="O21" s="79">
        <f t="shared" ref="O21" si="67">SUM(O19:O20)</f>
        <v>-305</v>
      </c>
      <c r="P21" s="79">
        <f t="shared" ref="P21" si="68">SUM(P19:P20)</f>
        <v>-305</v>
      </c>
      <c r="Q21" s="79">
        <f t="shared" ref="Q21" si="69">SUM(Q19:Q20)</f>
        <v>-305</v>
      </c>
      <c r="R21" s="79">
        <f t="shared" ref="R21" si="70">SUM(R19:R20)</f>
        <v>-305</v>
      </c>
      <c r="S21" s="79">
        <f t="shared" ref="S21" si="71">SUM(S19:S20)</f>
        <v>-305</v>
      </c>
      <c r="T21" s="79">
        <f t="shared" ref="T21" si="72">SUM(T19:T20)</f>
        <v>-305</v>
      </c>
      <c r="U21" s="79">
        <f t="shared" ref="U21" si="73">SUM(U19:U20)</f>
        <v>-305</v>
      </c>
      <c r="V21" s="79">
        <f t="shared" ref="V21" si="74">SUM(V19:V20)</f>
        <v>-305</v>
      </c>
      <c r="W21" s="79">
        <f t="shared" ref="W21" si="75">SUM(W19:W20)</f>
        <v>-1197</v>
      </c>
      <c r="X21" s="78"/>
      <c r="Y21" s="2056"/>
      <c r="Z21" s="2354"/>
      <c r="AA21" s="607" t="s">
        <v>436</v>
      </c>
      <c r="AB21" s="608">
        <f t="shared" si="53"/>
        <v>0</v>
      </c>
      <c r="AC21" s="608">
        <f t="shared" si="53"/>
        <v>0</v>
      </c>
      <c r="AD21" s="608">
        <f t="shared" si="53"/>
        <v>0</v>
      </c>
      <c r="AE21" s="608">
        <f t="shared" si="53"/>
        <v>8</v>
      </c>
      <c r="AF21" s="608">
        <f t="shared" si="53"/>
        <v>80</v>
      </c>
      <c r="AG21" s="608">
        <f t="shared" si="53"/>
        <v>210</v>
      </c>
      <c r="AH21" s="608">
        <f t="shared" si="53"/>
        <v>325</v>
      </c>
      <c r="AI21" s="608">
        <f t="shared" si="53"/>
        <v>325</v>
      </c>
      <c r="AJ21" s="608">
        <f t="shared" si="53"/>
        <v>325</v>
      </c>
      <c r="AK21" s="608">
        <f t="shared" si="53"/>
        <v>325</v>
      </c>
      <c r="AL21" s="608">
        <f t="shared" si="54"/>
        <v>325</v>
      </c>
      <c r="AM21" s="608">
        <f t="shared" si="54"/>
        <v>325</v>
      </c>
      <c r="AN21" s="608">
        <f t="shared" si="54"/>
        <v>325</v>
      </c>
      <c r="AO21" s="608">
        <f t="shared" si="54"/>
        <v>325</v>
      </c>
      <c r="AP21" s="608">
        <f t="shared" si="54"/>
        <v>325</v>
      </c>
      <c r="AQ21" s="608">
        <f t="shared" si="54"/>
        <v>325</v>
      </c>
      <c r="AR21" s="608">
        <f t="shared" si="54"/>
        <v>325</v>
      </c>
      <c r="AS21" s="608">
        <f t="shared" si="54"/>
        <v>325</v>
      </c>
      <c r="AT21" s="608">
        <f t="shared" si="54"/>
        <v>325</v>
      </c>
      <c r="AU21" s="608">
        <f t="shared" si="54"/>
        <v>325</v>
      </c>
      <c r="AV21" s="608">
        <f t="shared" si="55"/>
        <v>2656</v>
      </c>
      <c r="AX21" s="2343"/>
      <c r="AY21" s="607" t="s">
        <v>149</v>
      </c>
      <c r="AZ21" s="608">
        <f t="shared" si="1"/>
        <v>0</v>
      </c>
      <c r="BA21" s="608">
        <f t="shared" si="3"/>
        <v>210</v>
      </c>
      <c r="BB21" s="608">
        <f t="shared" si="4"/>
        <v>325</v>
      </c>
      <c r="BC21" s="608">
        <f t="shared" si="5"/>
        <v>325</v>
      </c>
      <c r="BD21" s="608">
        <f t="shared" si="6"/>
        <v>2656</v>
      </c>
      <c r="BF21" s="724" t="s">
        <v>693</v>
      </c>
      <c r="BG21" s="702">
        <f>+AZ14</f>
        <v>3240</v>
      </c>
      <c r="BH21" s="702">
        <f t="shared" ref="BH21" si="76">+BA14</f>
        <v>2849</v>
      </c>
      <c r="BI21" s="702">
        <f>+BB14</f>
        <v>2635</v>
      </c>
      <c r="BJ21" s="702">
        <f>+BC14</f>
        <v>2420</v>
      </c>
      <c r="BK21" s="702">
        <f>+BD14</f>
        <v>1320</v>
      </c>
      <c r="BL21" s="607"/>
    </row>
    <row r="22" spans="1:65" ht="24.6" customHeight="1">
      <c r="A22" s="1949"/>
      <c r="B22" s="81" t="s">
        <v>143</v>
      </c>
      <c r="C22" s="79">
        <f t="shared" ref="C22:W22" si="77">SUM(C18:C20)</f>
        <v>3221</v>
      </c>
      <c r="D22" s="79">
        <f t="shared" si="77"/>
        <v>3240</v>
      </c>
      <c r="E22" s="90">
        <f t="shared" si="77"/>
        <v>3148</v>
      </c>
      <c r="F22" s="90">
        <f t="shared" si="77"/>
        <v>3087</v>
      </c>
      <c r="G22" s="90">
        <f t="shared" si="77"/>
        <v>2999</v>
      </c>
      <c r="H22" s="79">
        <f t="shared" si="77"/>
        <v>2849</v>
      </c>
      <c r="I22" s="90">
        <f t="shared" si="77"/>
        <v>2822</v>
      </c>
      <c r="J22" s="90">
        <f t="shared" si="77"/>
        <v>2795</v>
      </c>
      <c r="K22" s="90">
        <f t="shared" si="77"/>
        <v>2768</v>
      </c>
      <c r="L22" s="90">
        <f t="shared" si="77"/>
        <v>2741</v>
      </c>
      <c r="M22" s="79">
        <f t="shared" si="77"/>
        <v>2635</v>
      </c>
      <c r="N22" s="90">
        <f t="shared" si="77"/>
        <v>2592</v>
      </c>
      <c r="O22" s="90">
        <f t="shared" si="77"/>
        <v>2549</v>
      </c>
      <c r="P22" s="90">
        <f t="shared" si="77"/>
        <v>2506</v>
      </c>
      <c r="Q22" s="90">
        <f t="shared" si="77"/>
        <v>2463</v>
      </c>
      <c r="R22" s="79">
        <f t="shared" si="77"/>
        <v>2420</v>
      </c>
      <c r="S22" s="90">
        <f t="shared" si="77"/>
        <v>2378</v>
      </c>
      <c r="T22" s="90">
        <f t="shared" si="77"/>
        <v>2336</v>
      </c>
      <c r="U22" s="90">
        <f t="shared" si="77"/>
        <v>2294</v>
      </c>
      <c r="V22" s="90">
        <f t="shared" si="77"/>
        <v>2252</v>
      </c>
      <c r="W22" s="79">
        <f t="shared" si="77"/>
        <v>1320</v>
      </c>
      <c r="X22" s="78"/>
      <c r="Y22" s="2056"/>
      <c r="Z22" s="2352" t="s">
        <v>685</v>
      </c>
      <c r="AA22" s="607" t="s">
        <v>434</v>
      </c>
      <c r="AB22" s="608">
        <f t="shared" ref="AB22:AV22" si="78">SUM(AB23:AB24)</f>
        <v>18802</v>
      </c>
      <c r="AC22" s="608">
        <f t="shared" si="78"/>
        <v>18744</v>
      </c>
      <c r="AD22" s="608">
        <f t="shared" si="78"/>
        <v>18711</v>
      </c>
      <c r="AE22" s="608">
        <f t="shared" si="78"/>
        <v>19203</v>
      </c>
      <c r="AF22" s="608">
        <f t="shared" si="78"/>
        <v>17762</v>
      </c>
      <c r="AG22" s="608">
        <f t="shared" si="78"/>
        <v>21942</v>
      </c>
      <c r="AH22" s="608">
        <f t="shared" si="78"/>
        <v>22054</v>
      </c>
      <c r="AI22" s="608">
        <f t="shared" si="78"/>
        <v>22166</v>
      </c>
      <c r="AJ22" s="608">
        <f t="shared" si="78"/>
        <v>22278</v>
      </c>
      <c r="AK22" s="608">
        <f t="shared" si="78"/>
        <v>22390</v>
      </c>
      <c r="AL22" s="608">
        <f t="shared" si="78"/>
        <v>23287</v>
      </c>
      <c r="AM22" s="608">
        <f t="shared" si="78"/>
        <v>23378</v>
      </c>
      <c r="AN22" s="608">
        <f t="shared" si="78"/>
        <v>23469</v>
      </c>
      <c r="AO22" s="608">
        <f t="shared" si="78"/>
        <v>23560</v>
      </c>
      <c r="AP22" s="608">
        <f t="shared" si="78"/>
        <v>23651</v>
      </c>
      <c r="AQ22" s="608">
        <f t="shared" si="78"/>
        <v>25385</v>
      </c>
      <c r="AR22" s="608">
        <f t="shared" si="78"/>
        <v>25477</v>
      </c>
      <c r="AS22" s="608">
        <f t="shared" si="78"/>
        <v>25569</v>
      </c>
      <c r="AT22" s="608">
        <f t="shared" si="78"/>
        <v>25661</v>
      </c>
      <c r="AU22" s="608">
        <f t="shared" si="78"/>
        <v>25753</v>
      </c>
      <c r="AV22" s="608">
        <f t="shared" si="78"/>
        <v>30390</v>
      </c>
      <c r="AX22" s="2341" t="s">
        <v>685</v>
      </c>
      <c r="AY22" s="607" t="s">
        <v>170</v>
      </c>
      <c r="AZ22" s="608">
        <f t="shared" si="1"/>
        <v>18744</v>
      </c>
      <c r="BA22" s="608">
        <f t="shared" si="3"/>
        <v>21942</v>
      </c>
      <c r="BB22" s="608">
        <f t="shared" si="4"/>
        <v>23287</v>
      </c>
      <c r="BC22" s="608">
        <f t="shared" si="5"/>
        <v>25385</v>
      </c>
      <c r="BD22" s="608">
        <f t="shared" si="6"/>
        <v>30390</v>
      </c>
      <c r="BF22" s="724" t="s">
        <v>694</v>
      </c>
      <c r="BG22" s="702">
        <f>+AZ17</f>
        <v>3317</v>
      </c>
      <c r="BH22" s="702">
        <f t="shared" ref="BH22" si="79">+BA17</f>
        <v>2921</v>
      </c>
      <c r="BI22" s="702">
        <f>+BB17</f>
        <v>2719</v>
      </c>
      <c r="BJ22" s="702">
        <f>+BC17</f>
        <v>2508</v>
      </c>
      <c r="BK22" s="702">
        <f>+BD17</f>
        <v>1406</v>
      </c>
      <c r="BL22" s="607"/>
    </row>
    <row r="23" spans="1:65" ht="24.6" customHeight="1">
      <c r="A23" s="1949"/>
      <c r="B23" s="82" t="s">
        <v>1460</v>
      </c>
      <c r="C23" s="85">
        <f>+'조성법총괄(내부이동률 적용 전)출력x'!C11</f>
        <v>0</v>
      </c>
      <c r="D23" s="85">
        <f>+'조성법총괄(내부이동률 적용 전)출력x'!D11</f>
        <v>0</v>
      </c>
      <c r="E23" s="84">
        <f>+'조성법총괄(내부이동률 적용 전)출력x'!E11</f>
        <v>0</v>
      </c>
      <c r="F23" s="84">
        <f>+'조성법총괄(내부이동률 적용 전)출력x'!F11</f>
        <v>0</v>
      </c>
      <c r="G23" s="84">
        <f>+'조성법총괄(내부이동률 적용 전)출력x'!G11</f>
        <v>0</v>
      </c>
      <c r="H23" s="85">
        <f>+'조성법총괄(내부이동률 적용 전)출력x'!H11</f>
        <v>0</v>
      </c>
      <c r="I23" s="84">
        <f>+'조성법총괄(내부이동률 적용 전)출력x'!I11</f>
        <v>0</v>
      </c>
      <c r="J23" s="84">
        <f>+'조성법총괄(내부이동률 적용 전)출력x'!J11</f>
        <v>0</v>
      </c>
      <c r="K23" s="84">
        <f>+'조성법총괄(내부이동률 적용 전)출력x'!K11</f>
        <v>0</v>
      </c>
      <c r="L23" s="84">
        <f>+'조성법총괄(내부이동률 적용 전)출력x'!L11</f>
        <v>0</v>
      </c>
      <c r="M23" s="85">
        <f>+'조성법총괄(내부이동률 적용 전)출력x'!M11</f>
        <v>0</v>
      </c>
      <c r="N23" s="84">
        <f>+'조성법총괄(내부이동률 적용 전)출력x'!N11</f>
        <v>0</v>
      </c>
      <c r="O23" s="84">
        <f>+'조성법총괄(내부이동률 적용 전)출력x'!O11</f>
        <v>0</v>
      </c>
      <c r="P23" s="84">
        <f>+'조성법총괄(내부이동률 적용 전)출력x'!P11</f>
        <v>0</v>
      </c>
      <c r="Q23" s="84">
        <f>+'조성법총괄(내부이동률 적용 전)출력x'!Q11</f>
        <v>0</v>
      </c>
      <c r="R23" s="85">
        <f>+'조성법총괄(내부이동률 적용 전)출력x'!R11</f>
        <v>0</v>
      </c>
      <c r="S23" s="84">
        <f>+'조성법총괄(내부이동률 적용 전)출력x'!S11</f>
        <v>0</v>
      </c>
      <c r="T23" s="84">
        <f>+'조성법총괄(내부이동률 적용 전)출력x'!T11</f>
        <v>0</v>
      </c>
      <c r="U23" s="84">
        <f>+'조성법총괄(내부이동률 적용 전)출력x'!U11</f>
        <v>0</v>
      </c>
      <c r="V23" s="84">
        <f>+'조성법총괄(내부이동률 적용 전)출력x'!V11</f>
        <v>0</v>
      </c>
      <c r="W23" s="85">
        <f>+'조성법총괄(내부이동률 적용 전)출력x'!W11</f>
        <v>368</v>
      </c>
      <c r="X23" s="86"/>
      <c r="Y23" s="2056"/>
      <c r="Z23" s="2353"/>
      <c r="AA23" s="607" t="s">
        <v>435</v>
      </c>
      <c r="AB23" s="608">
        <f t="shared" ref="AB23:AK24" si="80">+C44</f>
        <v>18802</v>
      </c>
      <c r="AC23" s="608">
        <f t="shared" si="80"/>
        <v>18744</v>
      </c>
      <c r="AD23" s="608">
        <f t="shared" si="80"/>
        <v>18711</v>
      </c>
      <c r="AE23" s="608">
        <f t="shared" si="80"/>
        <v>18685</v>
      </c>
      <c r="AF23" s="608">
        <f t="shared" si="80"/>
        <v>17007</v>
      </c>
      <c r="AG23" s="608">
        <f t="shared" si="80"/>
        <v>17841</v>
      </c>
      <c r="AH23" s="608">
        <f t="shared" si="80"/>
        <v>17953</v>
      </c>
      <c r="AI23" s="608">
        <f t="shared" si="80"/>
        <v>18065</v>
      </c>
      <c r="AJ23" s="608">
        <f t="shared" si="80"/>
        <v>18177</v>
      </c>
      <c r="AK23" s="608">
        <f t="shared" si="80"/>
        <v>18289</v>
      </c>
      <c r="AL23" s="608">
        <f t="shared" ref="AL23:AU24" si="81">+M44</f>
        <v>18169</v>
      </c>
      <c r="AM23" s="608">
        <f t="shared" si="81"/>
        <v>18260</v>
      </c>
      <c r="AN23" s="608">
        <f t="shared" si="81"/>
        <v>18351</v>
      </c>
      <c r="AO23" s="608">
        <f t="shared" si="81"/>
        <v>18442</v>
      </c>
      <c r="AP23" s="608">
        <f t="shared" si="81"/>
        <v>18533</v>
      </c>
      <c r="AQ23" s="608">
        <f t="shared" si="81"/>
        <v>18626</v>
      </c>
      <c r="AR23" s="608">
        <f t="shared" si="81"/>
        <v>18718</v>
      </c>
      <c r="AS23" s="608">
        <f t="shared" si="81"/>
        <v>18810</v>
      </c>
      <c r="AT23" s="608">
        <f t="shared" si="81"/>
        <v>18902</v>
      </c>
      <c r="AU23" s="608">
        <f t="shared" si="81"/>
        <v>18994</v>
      </c>
      <c r="AV23" s="608">
        <f t="shared" ref="AV23:AV24" si="82">+W44</f>
        <v>18124</v>
      </c>
      <c r="AX23" s="2342"/>
      <c r="AY23" s="607" t="s">
        <v>435</v>
      </c>
      <c r="AZ23" s="608">
        <f t="shared" si="1"/>
        <v>18744</v>
      </c>
      <c r="BA23" s="608">
        <f t="shared" si="3"/>
        <v>17841</v>
      </c>
      <c r="BB23" s="608">
        <f t="shared" si="4"/>
        <v>18169</v>
      </c>
      <c r="BC23" s="608">
        <f t="shared" si="5"/>
        <v>18626</v>
      </c>
      <c r="BD23" s="608">
        <f t="shared" si="6"/>
        <v>18124</v>
      </c>
      <c r="BF23" s="724" t="s">
        <v>695</v>
      </c>
      <c r="BG23" s="702">
        <f>+AZ20</f>
        <v>12254</v>
      </c>
      <c r="BH23" s="702">
        <f t="shared" ref="BH23" si="83">+BA20</f>
        <v>11406</v>
      </c>
      <c r="BI23" s="702">
        <f>+BB20</f>
        <v>11710</v>
      </c>
      <c r="BJ23" s="702">
        <f>+BC20</f>
        <v>11808</v>
      </c>
      <c r="BK23" s="702">
        <f>+BD20</f>
        <v>11463</v>
      </c>
      <c r="BL23" s="607"/>
    </row>
    <row r="24" spans="1:65" ht="24.6" customHeight="1">
      <c r="A24" s="2346" t="s">
        <v>144</v>
      </c>
      <c r="B24" s="2347"/>
      <c r="C24" s="87">
        <f t="shared" ref="C24:V24" si="84">SUM(C22,C23)</f>
        <v>3221</v>
      </c>
      <c r="D24" s="87">
        <f t="shared" si="84"/>
        <v>3240</v>
      </c>
      <c r="E24" s="89">
        <f t="shared" si="84"/>
        <v>3148</v>
      </c>
      <c r="F24" s="89">
        <f t="shared" si="84"/>
        <v>3087</v>
      </c>
      <c r="G24" s="89">
        <f t="shared" si="84"/>
        <v>2999</v>
      </c>
      <c r="H24" s="87">
        <f t="shared" si="84"/>
        <v>2849</v>
      </c>
      <c r="I24" s="89">
        <f t="shared" si="84"/>
        <v>2822</v>
      </c>
      <c r="J24" s="89">
        <f t="shared" si="84"/>
        <v>2795</v>
      </c>
      <c r="K24" s="89">
        <f t="shared" si="84"/>
        <v>2768</v>
      </c>
      <c r="L24" s="89">
        <f t="shared" si="84"/>
        <v>2741</v>
      </c>
      <c r="M24" s="87">
        <f t="shared" si="84"/>
        <v>2635</v>
      </c>
      <c r="N24" s="89">
        <f t="shared" si="84"/>
        <v>2592</v>
      </c>
      <c r="O24" s="89">
        <f t="shared" si="84"/>
        <v>2549</v>
      </c>
      <c r="P24" s="89">
        <f t="shared" si="84"/>
        <v>2506</v>
      </c>
      <c r="Q24" s="89">
        <f t="shared" si="84"/>
        <v>2463</v>
      </c>
      <c r="R24" s="87">
        <f t="shared" si="84"/>
        <v>2420</v>
      </c>
      <c r="S24" s="89">
        <f t="shared" si="84"/>
        <v>2378</v>
      </c>
      <c r="T24" s="89">
        <f t="shared" si="84"/>
        <v>2336</v>
      </c>
      <c r="U24" s="89">
        <f t="shared" si="84"/>
        <v>2294</v>
      </c>
      <c r="V24" s="89">
        <f t="shared" si="84"/>
        <v>2252</v>
      </c>
      <c r="W24" s="87">
        <f>SUM(W22:W23)</f>
        <v>1688</v>
      </c>
      <c r="X24" s="88"/>
      <c r="Y24" s="2056"/>
      <c r="Z24" s="2354"/>
      <c r="AA24" s="607" t="s">
        <v>436</v>
      </c>
      <c r="AB24" s="608">
        <f t="shared" si="80"/>
        <v>0</v>
      </c>
      <c r="AC24" s="608">
        <f t="shared" si="80"/>
        <v>0</v>
      </c>
      <c r="AD24" s="608">
        <f t="shared" si="80"/>
        <v>0</v>
      </c>
      <c r="AE24" s="608">
        <f t="shared" si="80"/>
        <v>518</v>
      </c>
      <c r="AF24" s="608">
        <f t="shared" si="80"/>
        <v>755</v>
      </c>
      <c r="AG24" s="608">
        <f t="shared" si="80"/>
        <v>4101</v>
      </c>
      <c r="AH24" s="608">
        <f t="shared" si="80"/>
        <v>4101</v>
      </c>
      <c r="AI24" s="608">
        <f t="shared" si="80"/>
        <v>4101</v>
      </c>
      <c r="AJ24" s="608">
        <f t="shared" si="80"/>
        <v>4101</v>
      </c>
      <c r="AK24" s="608">
        <f t="shared" si="80"/>
        <v>4101</v>
      </c>
      <c r="AL24" s="608">
        <f t="shared" si="81"/>
        <v>5118</v>
      </c>
      <c r="AM24" s="608">
        <f t="shared" si="81"/>
        <v>5118</v>
      </c>
      <c r="AN24" s="608">
        <f t="shared" si="81"/>
        <v>5118</v>
      </c>
      <c r="AO24" s="608">
        <f t="shared" si="81"/>
        <v>5118</v>
      </c>
      <c r="AP24" s="608">
        <f t="shared" si="81"/>
        <v>5118</v>
      </c>
      <c r="AQ24" s="608">
        <f t="shared" si="81"/>
        <v>6759</v>
      </c>
      <c r="AR24" s="608">
        <f t="shared" si="81"/>
        <v>6759</v>
      </c>
      <c r="AS24" s="608">
        <f t="shared" si="81"/>
        <v>6759</v>
      </c>
      <c r="AT24" s="608">
        <f t="shared" si="81"/>
        <v>6759</v>
      </c>
      <c r="AU24" s="608">
        <f t="shared" si="81"/>
        <v>6759</v>
      </c>
      <c r="AV24" s="608">
        <f t="shared" si="82"/>
        <v>12266</v>
      </c>
      <c r="AX24" s="2343"/>
      <c r="AY24" s="607" t="s">
        <v>149</v>
      </c>
      <c r="AZ24" s="608">
        <f t="shared" si="1"/>
        <v>0</v>
      </c>
      <c r="BA24" s="608">
        <f t="shared" si="3"/>
        <v>4101</v>
      </c>
      <c r="BB24" s="608">
        <f t="shared" si="4"/>
        <v>5118</v>
      </c>
      <c r="BC24" s="608">
        <f t="shared" si="5"/>
        <v>6759</v>
      </c>
      <c r="BD24" s="608">
        <f t="shared" si="6"/>
        <v>12266</v>
      </c>
      <c r="BF24" s="724" t="s">
        <v>696</v>
      </c>
      <c r="BG24" s="702">
        <f>+AZ23</f>
        <v>18744</v>
      </c>
      <c r="BH24" s="702">
        <f t="shared" ref="BH24" si="85">+BA23</f>
        <v>17841</v>
      </c>
      <c r="BI24" s="702">
        <f>+BB23</f>
        <v>18169</v>
      </c>
      <c r="BJ24" s="702">
        <f>+BC23</f>
        <v>18626</v>
      </c>
      <c r="BK24" s="702">
        <f>+BD23</f>
        <v>18124</v>
      </c>
      <c r="BL24" s="607"/>
    </row>
    <row r="25" spans="1:65" ht="24.6" customHeight="1">
      <c r="A25" s="1948" t="s">
        <v>704</v>
      </c>
      <c r="B25" s="83" t="s">
        <v>111</v>
      </c>
      <c r="C25" s="58">
        <f>+'조성법총괄(내부이동률 적용 전)출력x'!C13</f>
        <v>3243</v>
      </c>
      <c r="D25" s="58">
        <f>+'조성법총괄(내부이동률 적용 전)출력x'!D13</f>
        <v>3317</v>
      </c>
      <c r="E25" s="59">
        <f>+'조성법총괄(내부이동률 적용 전)출력x'!E13</f>
        <v>3274</v>
      </c>
      <c r="F25" s="59">
        <f>+'조성법총괄(내부이동률 적용 전)출력x'!F13</f>
        <v>3231</v>
      </c>
      <c r="G25" s="59">
        <f>+'조성법총괄(내부이동률 적용 전)출력x'!G13</f>
        <v>3188</v>
      </c>
      <c r="H25" s="58">
        <f>+'조성법총괄(내부이동률 적용 전)출력x'!H13</f>
        <v>3146</v>
      </c>
      <c r="I25" s="59">
        <f>+'조성법총괄(내부이동률 적용 전)출력x'!I13</f>
        <v>3121</v>
      </c>
      <c r="J25" s="59">
        <f>+'조성법총괄(내부이동률 적용 전)출력x'!J13</f>
        <v>3096</v>
      </c>
      <c r="K25" s="59">
        <f>+'조성법총괄(내부이동률 적용 전)출력x'!K13</f>
        <v>3071</v>
      </c>
      <c r="L25" s="59">
        <f>+'조성법총괄(내부이동률 적용 전)출력x'!L13</f>
        <v>3046</v>
      </c>
      <c r="M25" s="58">
        <f>+'조성법총괄(내부이동률 적용 전)출력x'!M13</f>
        <v>3023</v>
      </c>
      <c r="N25" s="59">
        <f>+'조성법총괄(내부이동률 적용 전)출력x'!N13</f>
        <v>2981</v>
      </c>
      <c r="O25" s="59">
        <f>+'조성법총괄(내부이동률 적용 전)출력x'!O13</f>
        <v>2939</v>
      </c>
      <c r="P25" s="59">
        <f>+'조성법총괄(내부이동률 적용 전)출력x'!P13</f>
        <v>2897</v>
      </c>
      <c r="Q25" s="59">
        <f>+'조성법총괄(내부이동률 적용 전)출력x'!Q13</f>
        <v>2855</v>
      </c>
      <c r="R25" s="58">
        <f>+'조성법총괄(내부이동률 적용 전)출력x'!R13</f>
        <v>2812</v>
      </c>
      <c r="S25" s="59">
        <f>+'조성법총괄(내부이동률 적용 전)출력x'!S13</f>
        <v>2769</v>
      </c>
      <c r="T25" s="59">
        <f>+'조성법총괄(내부이동률 적용 전)출력x'!T13</f>
        <v>2726</v>
      </c>
      <c r="U25" s="59">
        <f>+'조성법총괄(내부이동률 적용 전)출력x'!U13</f>
        <v>2683</v>
      </c>
      <c r="V25" s="59">
        <f>+'조성법총괄(내부이동률 적용 전)출력x'!V13</f>
        <v>2640</v>
      </c>
      <c r="W25" s="58">
        <f>+'조성법총괄(내부이동률 적용 전)출력x'!W13</f>
        <v>2599</v>
      </c>
      <c r="X25" s="77"/>
      <c r="Y25" s="2056"/>
      <c r="Z25" s="2352" t="s">
        <v>687</v>
      </c>
      <c r="AA25" s="607" t="s">
        <v>434</v>
      </c>
      <c r="AB25" s="608">
        <f t="shared" ref="AB25:AV25" si="86">SUM(AB26:AB27)</f>
        <v>9571</v>
      </c>
      <c r="AC25" s="608">
        <f t="shared" si="86"/>
        <v>9613</v>
      </c>
      <c r="AD25" s="608">
        <f t="shared" si="86"/>
        <v>9507</v>
      </c>
      <c r="AE25" s="608">
        <f t="shared" si="86"/>
        <v>9048</v>
      </c>
      <c r="AF25" s="608">
        <f t="shared" si="86"/>
        <v>8956</v>
      </c>
      <c r="AG25" s="608">
        <f t="shared" si="86"/>
        <v>9245</v>
      </c>
      <c r="AH25" s="608">
        <f t="shared" si="86"/>
        <v>9231</v>
      </c>
      <c r="AI25" s="608">
        <f t="shared" si="86"/>
        <v>9217</v>
      </c>
      <c r="AJ25" s="608">
        <f t="shared" si="86"/>
        <v>9203</v>
      </c>
      <c r="AK25" s="608">
        <f t="shared" si="86"/>
        <v>9189</v>
      </c>
      <c r="AL25" s="608">
        <f t="shared" si="86"/>
        <v>9634</v>
      </c>
      <c r="AM25" s="608">
        <f t="shared" si="86"/>
        <v>9603</v>
      </c>
      <c r="AN25" s="608">
        <f t="shared" si="86"/>
        <v>9572</v>
      </c>
      <c r="AO25" s="608">
        <f t="shared" si="86"/>
        <v>9541</v>
      </c>
      <c r="AP25" s="608">
        <f t="shared" si="86"/>
        <v>9510</v>
      </c>
      <c r="AQ25" s="608">
        <f t="shared" si="86"/>
        <v>9480</v>
      </c>
      <c r="AR25" s="608">
        <f t="shared" si="86"/>
        <v>9439</v>
      </c>
      <c r="AS25" s="608">
        <f t="shared" si="86"/>
        <v>9398</v>
      </c>
      <c r="AT25" s="608">
        <f t="shared" si="86"/>
        <v>9357</v>
      </c>
      <c r="AU25" s="608">
        <f t="shared" si="86"/>
        <v>9316</v>
      </c>
      <c r="AV25" s="608">
        <f t="shared" si="86"/>
        <v>11492</v>
      </c>
      <c r="AW25" s="693"/>
      <c r="AX25" s="2341" t="s">
        <v>687</v>
      </c>
      <c r="AY25" s="607" t="s">
        <v>170</v>
      </c>
      <c r="AZ25" s="608">
        <f t="shared" si="1"/>
        <v>9613</v>
      </c>
      <c r="BA25" s="608">
        <f t="shared" ref="BA25:BA30" si="87">+AG25</f>
        <v>9245</v>
      </c>
      <c r="BB25" s="608">
        <f t="shared" ref="BB25:BB30" si="88">+AL25</f>
        <v>9634</v>
      </c>
      <c r="BC25" s="608">
        <f t="shared" ref="BC25:BC30" si="89">+AQ25</f>
        <v>9480</v>
      </c>
      <c r="BD25" s="608">
        <f t="shared" ref="BD25:BD30" si="90">+AV25</f>
        <v>11492</v>
      </c>
      <c r="BF25" s="724" t="s">
        <v>697</v>
      </c>
      <c r="BG25" s="702">
        <f>+AZ26</f>
        <v>9613</v>
      </c>
      <c r="BH25" s="702"/>
      <c r="BI25" s="702"/>
      <c r="BJ25" s="702"/>
      <c r="BK25" s="702"/>
      <c r="BL25" s="607"/>
    </row>
    <row r="26" spans="1:65" ht="24.6" hidden="1" customHeight="1" outlineLevel="1">
      <c r="A26" s="1949"/>
      <c r="B26" s="81" t="s">
        <v>578</v>
      </c>
      <c r="C26" s="79">
        <f>+'1.4.2내부이동근거'!D145</f>
        <v>0</v>
      </c>
      <c r="D26" s="79"/>
      <c r="E26" s="90">
        <f>+'1.4.2내부이동근거'!F145</f>
        <v>-48</v>
      </c>
      <c r="F26" s="90">
        <f>+'1.4.2내부이동근거'!G145</f>
        <v>-80</v>
      </c>
      <c r="G26" s="90">
        <f>+'1.4.2내부이동근거'!H145</f>
        <v>-138</v>
      </c>
      <c r="H26" s="79">
        <f>+'1.4.2내부이동근거'!I145</f>
        <v>-210</v>
      </c>
      <c r="I26" s="90">
        <f>+'1.4.2내부이동근거'!J145</f>
        <v>-210</v>
      </c>
      <c r="J26" s="90">
        <f>+'1.4.2내부이동근거'!K145</f>
        <v>-210</v>
      </c>
      <c r="K26" s="90">
        <f>+'1.4.2내부이동근거'!L145</f>
        <v>-210</v>
      </c>
      <c r="L26" s="90">
        <f>+'1.4.2내부이동근거'!M145</f>
        <v>-210</v>
      </c>
      <c r="M26" s="79">
        <f>+'1.4.2내부이동근거'!N145</f>
        <v>-289</v>
      </c>
      <c r="N26" s="90">
        <f>+'1.4.2내부이동근거'!O145</f>
        <v>-289</v>
      </c>
      <c r="O26" s="90">
        <f>+'1.4.2내부이동근거'!P145</f>
        <v>-289</v>
      </c>
      <c r="P26" s="90">
        <f>+'1.4.2내부이동근거'!Q145</f>
        <v>-289</v>
      </c>
      <c r="Q26" s="90">
        <f>+'1.4.2내부이동근거'!R145</f>
        <v>-289</v>
      </c>
      <c r="R26" s="79">
        <f>+'1.4.2내부이동근거'!S145</f>
        <v>-289</v>
      </c>
      <c r="S26" s="90">
        <f>+'1.4.2내부이동근거'!T145</f>
        <v>-289</v>
      </c>
      <c r="T26" s="90">
        <f>+'1.4.2내부이동근거'!U145</f>
        <v>-289</v>
      </c>
      <c r="U26" s="90">
        <f>+'1.4.2내부이동근거'!V145</f>
        <v>-289</v>
      </c>
      <c r="V26" s="90">
        <f>+'1.4.2내부이동근거'!W145</f>
        <v>-289</v>
      </c>
      <c r="W26" s="79">
        <f>+'1.4.2내부이동근거'!X145</f>
        <v>-1178</v>
      </c>
      <c r="X26" s="78"/>
      <c r="Y26" s="2056"/>
      <c r="Z26" s="2353"/>
      <c r="AA26" s="607" t="s">
        <v>435</v>
      </c>
      <c r="AB26" s="608">
        <f t="shared" ref="AB26:AV26" si="91">+C51</f>
        <v>9571</v>
      </c>
      <c r="AC26" s="608">
        <f t="shared" si="91"/>
        <v>9613</v>
      </c>
      <c r="AD26" s="608">
        <f t="shared" si="91"/>
        <v>9507</v>
      </c>
      <c r="AE26" s="608">
        <f t="shared" si="91"/>
        <v>9442</v>
      </c>
      <c r="AF26" s="608">
        <f t="shared" si="91"/>
        <v>9350</v>
      </c>
      <c r="AG26" s="608">
        <f t="shared" si="91"/>
        <v>9245</v>
      </c>
      <c r="AH26" s="608">
        <f t="shared" si="91"/>
        <v>9231</v>
      </c>
      <c r="AI26" s="608">
        <f t="shared" si="91"/>
        <v>9217</v>
      </c>
      <c r="AJ26" s="608">
        <f t="shared" si="91"/>
        <v>9203</v>
      </c>
      <c r="AK26" s="608">
        <f t="shared" si="91"/>
        <v>9189</v>
      </c>
      <c r="AL26" s="608">
        <f t="shared" si="91"/>
        <v>9097</v>
      </c>
      <c r="AM26" s="608">
        <f t="shared" si="91"/>
        <v>9066</v>
      </c>
      <c r="AN26" s="608">
        <f t="shared" si="91"/>
        <v>9035</v>
      </c>
      <c r="AO26" s="608">
        <f t="shared" si="91"/>
        <v>9004</v>
      </c>
      <c r="AP26" s="608">
        <f t="shared" si="91"/>
        <v>8973</v>
      </c>
      <c r="AQ26" s="608">
        <f t="shared" si="91"/>
        <v>8943</v>
      </c>
      <c r="AR26" s="608">
        <f t="shared" si="91"/>
        <v>8902</v>
      </c>
      <c r="AS26" s="608">
        <f t="shared" si="91"/>
        <v>8861</v>
      </c>
      <c r="AT26" s="608">
        <f t="shared" si="91"/>
        <v>8820</v>
      </c>
      <c r="AU26" s="608">
        <f t="shared" si="91"/>
        <v>8779</v>
      </c>
      <c r="AV26" s="608">
        <f t="shared" si="91"/>
        <v>7847</v>
      </c>
      <c r="AW26" s="693"/>
      <c r="AX26" s="2342"/>
      <c r="AY26" s="607" t="s">
        <v>435</v>
      </c>
      <c r="AZ26" s="608">
        <f t="shared" si="1"/>
        <v>9613</v>
      </c>
      <c r="BA26" s="608">
        <f t="shared" si="87"/>
        <v>9245</v>
      </c>
      <c r="BB26" s="608">
        <f t="shared" si="88"/>
        <v>9097</v>
      </c>
      <c r="BC26" s="608">
        <f t="shared" si="89"/>
        <v>8943</v>
      </c>
      <c r="BD26" s="608">
        <f t="shared" si="90"/>
        <v>7847</v>
      </c>
      <c r="BF26" s="724" t="s">
        <v>698</v>
      </c>
      <c r="BG26" s="702">
        <f>+AZ29</f>
        <v>5403</v>
      </c>
      <c r="BH26" s="702"/>
      <c r="BI26" s="702"/>
      <c r="BJ26" s="702"/>
      <c r="BK26" s="702"/>
      <c r="BL26" s="607"/>
    </row>
    <row r="27" spans="1:65" ht="24.6" hidden="1" customHeight="1" outlineLevel="1">
      <c r="A27" s="1949"/>
      <c r="B27" s="81" t="s">
        <v>165</v>
      </c>
      <c r="C27" s="79"/>
      <c r="D27" s="79"/>
      <c r="E27" s="79">
        <f>'1.4.2내부이동근거'!Q9</f>
        <v>-15</v>
      </c>
      <c r="F27" s="79">
        <f>E27</f>
        <v>-15</v>
      </c>
      <c r="G27" s="79">
        <f t="shared" ref="G27:W27" si="92">F27</f>
        <v>-15</v>
      </c>
      <c r="H27" s="79">
        <f t="shared" si="92"/>
        <v>-15</v>
      </c>
      <c r="I27" s="79">
        <f t="shared" si="92"/>
        <v>-15</v>
      </c>
      <c r="J27" s="79">
        <f t="shared" si="92"/>
        <v>-15</v>
      </c>
      <c r="K27" s="79">
        <f t="shared" si="92"/>
        <v>-15</v>
      </c>
      <c r="L27" s="79">
        <f t="shared" si="92"/>
        <v>-15</v>
      </c>
      <c r="M27" s="79">
        <f t="shared" si="92"/>
        <v>-15</v>
      </c>
      <c r="N27" s="79">
        <f t="shared" si="92"/>
        <v>-15</v>
      </c>
      <c r="O27" s="79">
        <f t="shared" si="92"/>
        <v>-15</v>
      </c>
      <c r="P27" s="79">
        <f t="shared" si="92"/>
        <v>-15</v>
      </c>
      <c r="Q27" s="79">
        <f t="shared" si="92"/>
        <v>-15</v>
      </c>
      <c r="R27" s="79">
        <f t="shared" si="92"/>
        <v>-15</v>
      </c>
      <c r="S27" s="79">
        <f t="shared" si="92"/>
        <v>-15</v>
      </c>
      <c r="T27" s="79">
        <f t="shared" si="92"/>
        <v>-15</v>
      </c>
      <c r="U27" s="79">
        <f t="shared" si="92"/>
        <v>-15</v>
      </c>
      <c r="V27" s="79">
        <f t="shared" si="92"/>
        <v>-15</v>
      </c>
      <c r="W27" s="79">
        <f t="shared" si="92"/>
        <v>-15</v>
      </c>
      <c r="X27" s="78"/>
      <c r="Y27" s="2056"/>
      <c r="Z27" s="2354"/>
      <c r="AA27" s="607" t="s">
        <v>436</v>
      </c>
      <c r="AB27" s="608">
        <f>C52</f>
        <v>0</v>
      </c>
      <c r="AC27" s="608">
        <f>+D62</f>
        <v>0</v>
      </c>
      <c r="AD27" s="608">
        <f>+E62</f>
        <v>0</v>
      </c>
      <c r="AE27" s="608">
        <f>+F62</f>
        <v>-394</v>
      </c>
      <c r="AF27" s="608">
        <f>+G62</f>
        <v>-394</v>
      </c>
      <c r="AG27" s="608">
        <f t="shared" ref="AG27:AV27" si="93">+H52</f>
        <v>0</v>
      </c>
      <c r="AH27" s="608">
        <f t="shared" si="93"/>
        <v>0</v>
      </c>
      <c r="AI27" s="608">
        <f t="shared" si="93"/>
        <v>0</v>
      </c>
      <c r="AJ27" s="608">
        <f t="shared" si="93"/>
        <v>0</v>
      </c>
      <c r="AK27" s="608">
        <f t="shared" si="93"/>
        <v>0</v>
      </c>
      <c r="AL27" s="608">
        <f t="shared" si="93"/>
        <v>537</v>
      </c>
      <c r="AM27" s="608">
        <f t="shared" si="93"/>
        <v>537</v>
      </c>
      <c r="AN27" s="608">
        <f t="shared" si="93"/>
        <v>537</v>
      </c>
      <c r="AO27" s="608">
        <f t="shared" si="93"/>
        <v>537</v>
      </c>
      <c r="AP27" s="608">
        <f t="shared" si="93"/>
        <v>537</v>
      </c>
      <c r="AQ27" s="608">
        <f t="shared" si="93"/>
        <v>537</v>
      </c>
      <c r="AR27" s="608">
        <f t="shared" si="93"/>
        <v>537</v>
      </c>
      <c r="AS27" s="608">
        <f t="shared" si="93"/>
        <v>537</v>
      </c>
      <c r="AT27" s="608">
        <f t="shared" si="93"/>
        <v>537</v>
      </c>
      <c r="AU27" s="608">
        <f t="shared" si="93"/>
        <v>537</v>
      </c>
      <c r="AV27" s="608">
        <f t="shared" si="93"/>
        <v>3645</v>
      </c>
      <c r="AW27" s="693"/>
      <c r="AX27" s="2343"/>
      <c r="AY27" s="607" t="s">
        <v>149</v>
      </c>
      <c r="AZ27" s="608">
        <f t="shared" si="1"/>
        <v>0</v>
      </c>
      <c r="BA27" s="608">
        <f t="shared" si="87"/>
        <v>0</v>
      </c>
      <c r="BB27" s="608">
        <f t="shared" si="88"/>
        <v>537</v>
      </c>
      <c r="BC27" s="608">
        <f t="shared" si="89"/>
        <v>537</v>
      </c>
      <c r="BD27" s="608">
        <f t="shared" si="90"/>
        <v>3645</v>
      </c>
      <c r="BF27" s="724" t="s">
        <v>699</v>
      </c>
      <c r="BG27" s="702">
        <f>+AZ32</f>
        <v>11393</v>
      </c>
      <c r="BH27" s="702">
        <f t="shared" ref="BH27" si="94">+BA32</f>
        <v>10908</v>
      </c>
      <c r="BI27" s="702">
        <f>+BB32</f>
        <v>10327</v>
      </c>
      <c r="BJ27" s="702">
        <f>+BC32</f>
        <v>10255</v>
      </c>
      <c r="BK27" s="702">
        <f>+BD32</f>
        <v>10131</v>
      </c>
      <c r="BL27" s="607"/>
    </row>
    <row r="28" spans="1:65" ht="24.6" customHeight="1" collapsed="1">
      <c r="A28" s="2218"/>
      <c r="B28" s="81" t="s">
        <v>2284</v>
      </c>
      <c r="C28" s="79"/>
      <c r="D28" s="79">
        <f>SUM(D26:D27)</f>
        <v>0</v>
      </c>
      <c r="E28" s="79">
        <f t="shared" ref="E28" si="95">SUM(E26:E27)</f>
        <v>-63</v>
      </c>
      <c r="F28" s="79">
        <f t="shared" ref="F28" si="96">SUM(F26:F27)</f>
        <v>-95</v>
      </c>
      <c r="G28" s="79">
        <f t="shared" ref="G28" si="97">SUM(G26:G27)</f>
        <v>-153</v>
      </c>
      <c r="H28" s="79">
        <f t="shared" ref="H28" si="98">SUM(H26:H27)</f>
        <v>-225</v>
      </c>
      <c r="I28" s="79">
        <f t="shared" ref="I28" si="99">SUM(I26:I27)</f>
        <v>-225</v>
      </c>
      <c r="J28" s="79">
        <f t="shared" ref="J28" si="100">SUM(J26:J27)</f>
        <v>-225</v>
      </c>
      <c r="K28" s="79">
        <f t="shared" ref="K28" si="101">SUM(K26:K27)</f>
        <v>-225</v>
      </c>
      <c r="L28" s="79">
        <f t="shared" ref="L28" si="102">SUM(L26:L27)</f>
        <v>-225</v>
      </c>
      <c r="M28" s="79">
        <f t="shared" ref="M28" si="103">SUM(M26:M27)</f>
        <v>-304</v>
      </c>
      <c r="N28" s="79">
        <f t="shared" ref="N28" si="104">SUM(N26:N27)</f>
        <v>-304</v>
      </c>
      <c r="O28" s="79">
        <f t="shared" ref="O28" si="105">SUM(O26:O27)</f>
        <v>-304</v>
      </c>
      <c r="P28" s="79">
        <f t="shared" ref="P28" si="106">SUM(P26:P27)</f>
        <v>-304</v>
      </c>
      <c r="Q28" s="79">
        <f t="shared" ref="Q28" si="107">SUM(Q26:Q27)</f>
        <v>-304</v>
      </c>
      <c r="R28" s="79">
        <f t="shared" ref="R28" si="108">SUM(R26:R27)</f>
        <v>-304</v>
      </c>
      <c r="S28" s="79">
        <f t="shared" ref="S28" si="109">SUM(S26:S27)</f>
        <v>-304</v>
      </c>
      <c r="T28" s="79">
        <f t="shared" ref="T28" si="110">SUM(T26:T27)</f>
        <v>-304</v>
      </c>
      <c r="U28" s="79">
        <f t="shared" ref="U28" si="111">SUM(U26:U27)</f>
        <v>-304</v>
      </c>
      <c r="V28" s="79">
        <f t="shared" ref="V28" si="112">SUM(V26:V27)</f>
        <v>-304</v>
      </c>
      <c r="W28" s="79">
        <f t="shared" ref="W28" si="113">SUM(W26:W27)</f>
        <v>-1193</v>
      </c>
      <c r="X28" s="78"/>
      <c r="Y28" s="2058"/>
      <c r="Z28" s="2352" t="s">
        <v>688</v>
      </c>
      <c r="AA28" s="607" t="s">
        <v>434</v>
      </c>
      <c r="AB28" s="608">
        <f t="shared" ref="AB28:AV28" si="114">SUM(AB29:AB30)</f>
        <v>5351</v>
      </c>
      <c r="AC28" s="608">
        <f t="shared" si="114"/>
        <v>5403</v>
      </c>
      <c r="AD28" s="608">
        <f t="shared" si="114"/>
        <v>4625</v>
      </c>
      <c r="AE28" s="608">
        <f t="shared" si="114"/>
        <v>4826</v>
      </c>
      <c r="AF28" s="608">
        <f t="shared" si="114"/>
        <v>4682</v>
      </c>
      <c r="AG28" s="608">
        <f t="shared" si="114"/>
        <v>4610</v>
      </c>
      <c r="AH28" s="608">
        <f t="shared" si="114"/>
        <v>4583</v>
      </c>
      <c r="AI28" s="608">
        <f t="shared" si="114"/>
        <v>4556</v>
      </c>
      <c r="AJ28" s="608">
        <f t="shared" si="114"/>
        <v>4527</v>
      </c>
      <c r="AK28" s="608">
        <f t="shared" si="114"/>
        <v>4498</v>
      </c>
      <c r="AL28" s="608">
        <f t="shared" si="114"/>
        <v>4471</v>
      </c>
      <c r="AM28" s="608">
        <f t="shared" si="114"/>
        <v>4549</v>
      </c>
      <c r="AN28" s="608">
        <f t="shared" si="114"/>
        <v>4509</v>
      </c>
      <c r="AO28" s="608">
        <f t="shared" si="114"/>
        <v>4469</v>
      </c>
      <c r="AP28" s="608">
        <f t="shared" si="114"/>
        <v>4429</v>
      </c>
      <c r="AQ28" s="608">
        <f t="shared" si="114"/>
        <v>4271</v>
      </c>
      <c r="AR28" s="608">
        <f t="shared" si="114"/>
        <v>4228</v>
      </c>
      <c r="AS28" s="608">
        <f t="shared" si="114"/>
        <v>4185</v>
      </c>
      <c r="AT28" s="608">
        <f t="shared" si="114"/>
        <v>4142</v>
      </c>
      <c r="AU28" s="608">
        <f t="shared" si="114"/>
        <v>4099</v>
      </c>
      <c r="AV28" s="608">
        <f t="shared" si="114"/>
        <v>6109</v>
      </c>
      <c r="AW28" s="693"/>
      <c r="AX28" s="2341" t="s">
        <v>688</v>
      </c>
      <c r="AY28" s="607" t="s">
        <v>170</v>
      </c>
      <c r="AZ28" s="608">
        <f t="shared" si="1"/>
        <v>5403</v>
      </c>
      <c r="BA28" s="608">
        <f t="shared" si="87"/>
        <v>4610</v>
      </c>
      <c r="BB28" s="608">
        <f t="shared" si="88"/>
        <v>4471</v>
      </c>
      <c r="BC28" s="608">
        <f t="shared" si="89"/>
        <v>4271</v>
      </c>
      <c r="BD28" s="608">
        <f t="shared" si="90"/>
        <v>6109</v>
      </c>
    </row>
    <row r="29" spans="1:65" ht="24.6" customHeight="1">
      <c r="A29" s="1128"/>
      <c r="B29" s="83" t="s">
        <v>143</v>
      </c>
      <c r="C29" s="2002">
        <f t="shared" ref="C29:W29" si="115">SUM(C25:C27)</f>
        <v>3243</v>
      </c>
      <c r="D29" s="2002">
        <f t="shared" si="115"/>
        <v>3317</v>
      </c>
      <c r="E29" s="2003">
        <f t="shared" si="115"/>
        <v>3211</v>
      </c>
      <c r="F29" s="2003">
        <f t="shared" si="115"/>
        <v>3136</v>
      </c>
      <c r="G29" s="2003">
        <f t="shared" si="115"/>
        <v>3035</v>
      </c>
      <c r="H29" s="2002">
        <f t="shared" si="115"/>
        <v>2921</v>
      </c>
      <c r="I29" s="2003">
        <f t="shared" si="115"/>
        <v>2896</v>
      </c>
      <c r="J29" s="2003">
        <f t="shared" si="115"/>
        <v>2871</v>
      </c>
      <c r="K29" s="2003">
        <f t="shared" si="115"/>
        <v>2846</v>
      </c>
      <c r="L29" s="2003">
        <f t="shared" si="115"/>
        <v>2821</v>
      </c>
      <c r="M29" s="2002">
        <f t="shared" si="115"/>
        <v>2719</v>
      </c>
      <c r="N29" s="2003">
        <f t="shared" si="115"/>
        <v>2677</v>
      </c>
      <c r="O29" s="2003">
        <f t="shared" si="115"/>
        <v>2635</v>
      </c>
      <c r="P29" s="2003">
        <f t="shared" si="115"/>
        <v>2593</v>
      </c>
      <c r="Q29" s="2003">
        <f t="shared" si="115"/>
        <v>2551</v>
      </c>
      <c r="R29" s="2002">
        <f t="shared" si="115"/>
        <v>2508</v>
      </c>
      <c r="S29" s="2003">
        <f t="shared" si="115"/>
        <v>2465</v>
      </c>
      <c r="T29" s="2003">
        <f t="shared" si="115"/>
        <v>2422</v>
      </c>
      <c r="U29" s="2003">
        <f t="shared" si="115"/>
        <v>2379</v>
      </c>
      <c r="V29" s="2003">
        <f t="shared" si="115"/>
        <v>2336</v>
      </c>
      <c r="W29" s="2002">
        <f t="shared" si="115"/>
        <v>1406</v>
      </c>
      <c r="X29" s="2004"/>
      <c r="Z29" s="2342"/>
      <c r="AA29" s="607" t="s">
        <v>435</v>
      </c>
      <c r="AB29" s="608">
        <f>C58</f>
        <v>5351</v>
      </c>
      <c r="AC29" s="608">
        <f t="shared" ref="AC29:AV29" si="116">+D58</f>
        <v>5403</v>
      </c>
      <c r="AD29" s="608">
        <f t="shared" si="116"/>
        <v>4625</v>
      </c>
      <c r="AE29" s="608">
        <f t="shared" si="116"/>
        <v>4482</v>
      </c>
      <c r="AF29" s="608">
        <f t="shared" si="116"/>
        <v>4338</v>
      </c>
      <c r="AG29" s="608">
        <f t="shared" si="116"/>
        <v>4195</v>
      </c>
      <c r="AH29" s="608">
        <f t="shared" si="116"/>
        <v>4166</v>
      </c>
      <c r="AI29" s="608">
        <f t="shared" si="116"/>
        <v>4137</v>
      </c>
      <c r="AJ29" s="608">
        <f t="shared" si="116"/>
        <v>4108</v>
      </c>
      <c r="AK29" s="608">
        <f t="shared" si="116"/>
        <v>4079</v>
      </c>
      <c r="AL29" s="608">
        <f t="shared" si="116"/>
        <v>4052</v>
      </c>
      <c r="AM29" s="608">
        <f t="shared" si="116"/>
        <v>4012</v>
      </c>
      <c r="AN29" s="608">
        <f t="shared" si="116"/>
        <v>3972</v>
      </c>
      <c r="AO29" s="608">
        <f t="shared" si="116"/>
        <v>3932</v>
      </c>
      <c r="AP29" s="608">
        <f t="shared" si="116"/>
        <v>3892</v>
      </c>
      <c r="AQ29" s="608">
        <f t="shared" si="116"/>
        <v>3852</v>
      </c>
      <c r="AR29" s="608">
        <f t="shared" si="116"/>
        <v>3809</v>
      </c>
      <c r="AS29" s="608">
        <f t="shared" si="116"/>
        <v>3766</v>
      </c>
      <c r="AT29" s="608">
        <f t="shared" si="116"/>
        <v>3723</v>
      </c>
      <c r="AU29" s="608">
        <f t="shared" si="116"/>
        <v>3680</v>
      </c>
      <c r="AV29" s="608">
        <f t="shared" si="116"/>
        <v>3359</v>
      </c>
      <c r="AW29" s="693"/>
      <c r="AX29" s="2342"/>
      <c r="AY29" s="607" t="s">
        <v>435</v>
      </c>
      <c r="AZ29" s="608">
        <f t="shared" si="1"/>
        <v>5403</v>
      </c>
      <c r="BA29" s="608">
        <f t="shared" si="87"/>
        <v>4195</v>
      </c>
      <c r="BB29" s="608">
        <f t="shared" si="88"/>
        <v>4052</v>
      </c>
      <c r="BC29" s="608">
        <f t="shared" si="89"/>
        <v>3852</v>
      </c>
      <c r="BD29" s="608">
        <f t="shared" si="90"/>
        <v>3359</v>
      </c>
    </row>
    <row r="30" spans="1:65" ht="24.6" customHeight="1">
      <c r="A30" s="1128"/>
      <c r="B30" s="82" t="s">
        <v>1460</v>
      </c>
      <c r="C30" s="85">
        <f>+'조성법총괄(내부이동률 적용 전)출력x'!C14</f>
        <v>0</v>
      </c>
      <c r="D30" s="85">
        <f>+'조성법총괄(내부이동률 적용 전)출력x'!D14</f>
        <v>0</v>
      </c>
      <c r="E30" s="84">
        <f>+'조성법총괄(내부이동률 적용 전)출력x'!E14</f>
        <v>0</v>
      </c>
      <c r="F30" s="84">
        <f>+'조성법총괄(내부이동률 적용 전)출력x'!F14</f>
        <v>0</v>
      </c>
      <c r="G30" s="84">
        <f>+'조성법총괄(내부이동률 적용 전)출력x'!G14</f>
        <v>0</v>
      </c>
      <c r="H30" s="85">
        <f>+'조성법총괄(내부이동률 적용 전)출력x'!H14</f>
        <v>0</v>
      </c>
      <c r="I30" s="84">
        <f>+'조성법총괄(내부이동률 적용 전)출력x'!I14</f>
        <v>0</v>
      </c>
      <c r="J30" s="84">
        <f>+'조성법총괄(내부이동률 적용 전)출력x'!J14</f>
        <v>0</v>
      </c>
      <c r="K30" s="84">
        <f>+'조성법총괄(내부이동률 적용 전)출력x'!K14</f>
        <v>0</v>
      </c>
      <c r="L30" s="84">
        <f>+'조성법총괄(내부이동률 적용 전)출력x'!L14</f>
        <v>0</v>
      </c>
      <c r="M30" s="85">
        <f>+'조성법총괄(내부이동률 적용 전)출력x'!M14</f>
        <v>0</v>
      </c>
      <c r="N30" s="84">
        <f>+'조성법총괄(내부이동률 적용 전)출력x'!N14</f>
        <v>0</v>
      </c>
      <c r="O30" s="84">
        <f>+'조성법총괄(내부이동률 적용 전)출력x'!O14</f>
        <v>0</v>
      </c>
      <c r="P30" s="84">
        <f>+'조성법총괄(내부이동률 적용 전)출력x'!P14</f>
        <v>0</v>
      </c>
      <c r="Q30" s="84">
        <f>+'조성법총괄(내부이동률 적용 전)출력x'!Q14</f>
        <v>0</v>
      </c>
      <c r="R30" s="85">
        <f>+'조성법총괄(내부이동률 적용 전)출력x'!R14</f>
        <v>0</v>
      </c>
      <c r="S30" s="84">
        <f>+'조성법총괄(내부이동률 적용 전)출력x'!S14</f>
        <v>0</v>
      </c>
      <c r="T30" s="84">
        <f>+'조성법총괄(내부이동률 적용 전)출력x'!T14</f>
        <v>0</v>
      </c>
      <c r="U30" s="84">
        <f>+'조성법총괄(내부이동률 적용 전)출력x'!U14</f>
        <v>0</v>
      </c>
      <c r="V30" s="84">
        <f>+'조성법총괄(내부이동률 적용 전)출력x'!V14</f>
        <v>0</v>
      </c>
      <c r="W30" s="85">
        <f>+'조성법총괄(내부이동률 적용 전)출력x'!W14</f>
        <v>715</v>
      </c>
      <c r="X30" s="86"/>
      <c r="Z30" s="2343"/>
      <c r="AA30" s="607" t="s">
        <v>436</v>
      </c>
      <c r="AB30" s="608">
        <f>C59</f>
        <v>0</v>
      </c>
      <c r="AC30" s="608">
        <f>+D66</f>
        <v>0</v>
      </c>
      <c r="AD30" s="608">
        <f>+E66</f>
        <v>0</v>
      </c>
      <c r="AE30" s="608">
        <f>+F66</f>
        <v>344</v>
      </c>
      <c r="AF30" s="608">
        <f>+G66</f>
        <v>344</v>
      </c>
      <c r="AG30" s="608">
        <f t="shared" ref="AG30:AV30" si="117">+H59</f>
        <v>415</v>
      </c>
      <c r="AH30" s="608">
        <f t="shared" si="117"/>
        <v>417</v>
      </c>
      <c r="AI30" s="608">
        <f t="shared" si="117"/>
        <v>419</v>
      </c>
      <c r="AJ30" s="608">
        <f t="shared" si="117"/>
        <v>419</v>
      </c>
      <c r="AK30" s="608">
        <f t="shared" si="117"/>
        <v>419</v>
      </c>
      <c r="AL30" s="608">
        <f t="shared" si="117"/>
        <v>419</v>
      </c>
      <c r="AM30" s="608">
        <f t="shared" si="117"/>
        <v>537</v>
      </c>
      <c r="AN30" s="608">
        <f t="shared" si="117"/>
        <v>537</v>
      </c>
      <c r="AO30" s="608">
        <f t="shared" si="117"/>
        <v>537</v>
      </c>
      <c r="AP30" s="608">
        <f t="shared" si="117"/>
        <v>537</v>
      </c>
      <c r="AQ30" s="608">
        <f t="shared" si="117"/>
        <v>419</v>
      </c>
      <c r="AR30" s="608">
        <f t="shared" si="117"/>
        <v>419</v>
      </c>
      <c r="AS30" s="608">
        <f t="shared" si="117"/>
        <v>419</v>
      </c>
      <c r="AT30" s="608">
        <f t="shared" si="117"/>
        <v>419</v>
      </c>
      <c r="AU30" s="608">
        <f t="shared" si="117"/>
        <v>419</v>
      </c>
      <c r="AV30" s="608">
        <f t="shared" si="117"/>
        <v>2750</v>
      </c>
      <c r="AW30" s="693"/>
      <c r="AX30" s="2343"/>
      <c r="AY30" s="607" t="s">
        <v>149</v>
      </c>
      <c r="AZ30" s="608">
        <f t="shared" si="1"/>
        <v>0</v>
      </c>
      <c r="BA30" s="608">
        <f t="shared" si="87"/>
        <v>415</v>
      </c>
      <c r="BB30" s="608">
        <f t="shared" si="88"/>
        <v>419</v>
      </c>
      <c r="BC30" s="608">
        <f t="shared" si="89"/>
        <v>419</v>
      </c>
      <c r="BD30" s="608">
        <f t="shared" si="90"/>
        <v>2750</v>
      </c>
    </row>
    <row r="31" spans="1:65" ht="24.6" customHeight="1">
      <c r="A31" s="2346" t="s">
        <v>144</v>
      </c>
      <c r="B31" s="2356"/>
      <c r="C31" s="87">
        <f t="shared" ref="C31:V31" si="118">SUM(C29,C30)</f>
        <v>3243</v>
      </c>
      <c r="D31" s="1217">
        <f t="shared" si="118"/>
        <v>3317</v>
      </c>
      <c r="E31" s="1218">
        <f t="shared" si="118"/>
        <v>3211</v>
      </c>
      <c r="F31" s="1218">
        <f t="shared" si="118"/>
        <v>3136</v>
      </c>
      <c r="G31" s="1218">
        <f t="shared" si="118"/>
        <v>3035</v>
      </c>
      <c r="H31" s="1217">
        <f t="shared" si="118"/>
        <v>2921</v>
      </c>
      <c r="I31" s="1218">
        <f t="shared" si="118"/>
        <v>2896</v>
      </c>
      <c r="J31" s="1218">
        <f t="shared" si="118"/>
        <v>2871</v>
      </c>
      <c r="K31" s="1218">
        <f t="shared" si="118"/>
        <v>2846</v>
      </c>
      <c r="L31" s="1218">
        <f t="shared" si="118"/>
        <v>2821</v>
      </c>
      <c r="M31" s="1217">
        <f t="shared" si="118"/>
        <v>2719</v>
      </c>
      <c r="N31" s="1218">
        <f t="shared" si="118"/>
        <v>2677</v>
      </c>
      <c r="O31" s="1218">
        <f t="shared" si="118"/>
        <v>2635</v>
      </c>
      <c r="P31" s="1218">
        <f t="shared" si="118"/>
        <v>2593</v>
      </c>
      <c r="Q31" s="1218">
        <f t="shared" si="118"/>
        <v>2551</v>
      </c>
      <c r="R31" s="1217">
        <f t="shared" si="118"/>
        <v>2508</v>
      </c>
      <c r="S31" s="1218">
        <f t="shared" si="118"/>
        <v>2465</v>
      </c>
      <c r="T31" s="1218">
        <f t="shared" si="118"/>
        <v>2422</v>
      </c>
      <c r="U31" s="1218">
        <f t="shared" si="118"/>
        <v>2379</v>
      </c>
      <c r="V31" s="1218">
        <f t="shared" si="118"/>
        <v>2336</v>
      </c>
      <c r="W31" s="87">
        <f>SUM(W29:W30)</f>
        <v>2121</v>
      </c>
      <c r="X31" s="1219"/>
      <c r="Z31" s="2341" t="s">
        <v>689</v>
      </c>
      <c r="AA31" s="607" t="s">
        <v>434</v>
      </c>
      <c r="AB31" s="608">
        <f>C65</f>
        <v>11390</v>
      </c>
      <c r="AC31" s="608">
        <f t="shared" ref="AC31:AV31" si="119">SUM(AC32:AC33)</f>
        <v>11393</v>
      </c>
      <c r="AD31" s="608">
        <f t="shared" si="119"/>
        <v>11352</v>
      </c>
      <c r="AE31" s="608">
        <f t="shared" si="119"/>
        <v>11286</v>
      </c>
      <c r="AF31" s="608">
        <f t="shared" si="119"/>
        <v>11270</v>
      </c>
      <c r="AG31" s="608">
        <f t="shared" si="119"/>
        <v>11454</v>
      </c>
      <c r="AH31" s="608">
        <f t="shared" si="119"/>
        <v>11868</v>
      </c>
      <c r="AI31" s="608">
        <f t="shared" si="119"/>
        <v>12282</v>
      </c>
      <c r="AJ31" s="608">
        <f t="shared" si="119"/>
        <v>12291</v>
      </c>
      <c r="AK31" s="608">
        <f t="shared" si="119"/>
        <v>12300</v>
      </c>
      <c r="AL31" s="608">
        <f t="shared" si="119"/>
        <v>12232</v>
      </c>
      <c r="AM31" s="608">
        <f t="shared" si="119"/>
        <v>12218</v>
      </c>
      <c r="AN31" s="608">
        <f t="shared" si="119"/>
        <v>12204</v>
      </c>
      <c r="AO31" s="608">
        <f t="shared" si="119"/>
        <v>12190</v>
      </c>
      <c r="AP31" s="608">
        <f t="shared" si="119"/>
        <v>12176</v>
      </c>
      <c r="AQ31" s="608">
        <f t="shared" si="119"/>
        <v>12160</v>
      </c>
      <c r="AR31" s="608">
        <f t="shared" si="119"/>
        <v>12135</v>
      </c>
      <c r="AS31" s="608">
        <f t="shared" si="119"/>
        <v>12110</v>
      </c>
      <c r="AT31" s="608">
        <f t="shared" si="119"/>
        <v>12085</v>
      </c>
      <c r="AU31" s="608">
        <f t="shared" si="119"/>
        <v>12060</v>
      </c>
      <c r="AV31" s="608">
        <f t="shared" si="119"/>
        <v>14740</v>
      </c>
      <c r="AX31" s="2341" t="s">
        <v>689</v>
      </c>
      <c r="AY31" s="607" t="s">
        <v>170</v>
      </c>
      <c r="AZ31" s="608">
        <f t="shared" si="1"/>
        <v>11393</v>
      </c>
      <c r="BA31" s="608">
        <f t="shared" si="3"/>
        <v>11454</v>
      </c>
      <c r="BB31" s="608">
        <f t="shared" si="4"/>
        <v>12232</v>
      </c>
      <c r="BC31" s="608">
        <f t="shared" si="5"/>
        <v>12160</v>
      </c>
      <c r="BD31" s="608">
        <f t="shared" si="6"/>
        <v>14740</v>
      </c>
    </row>
    <row r="32" spans="1:65" ht="24.6" customHeight="1">
      <c r="A32" s="1173" t="s">
        <v>705</v>
      </c>
      <c r="B32" s="1212" t="s">
        <v>111</v>
      </c>
      <c r="C32" s="1215">
        <f>+'조성법총괄(내부이동률 적용 전)출력x'!C16</f>
        <v>10418</v>
      </c>
      <c r="D32" s="1220">
        <f>+'조성법총괄(내부이동률 적용 전)출력x'!D16</f>
        <v>12254</v>
      </c>
      <c r="E32" s="1221">
        <f>+'조성법총괄(내부이동률 적용 전)출력x'!E16</f>
        <v>12309</v>
      </c>
      <c r="F32" s="1221">
        <f>+'조성법총괄(내부이동률 적용 전)출력x'!F16</f>
        <v>12364</v>
      </c>
      <c r="G32" s="1221">
        <f>+'조성법총괄(내부이동률 적용 전)출력x'!G16</f>
        <v>12419</v>
      </c>
      <c r="H32" s="1222">
        <f>+'조성법총괄(내부이동률 적용 전)출력x'!H16</f>
        <v>12474</v>
      </c>
      <c r="I32" s="1221">
        <f>+'조성법총괄(내부이동률 적용 전)출력x'!I16</f>
        <v>12535</v>
      </c>
      <c r="J32" s="1221">
        <f>+'조성법총괄(내부이동률 적용 전)출력x'!J16</f>
        <v>12596</v>
      </c>
      <c r="K32" s="1221">
        <f>+'조성법총괄(내부이동률 적용 전)출력x'!K16</f>
        <v>12657</v>
      </c>
      <c r="L32" s="1221">
        <f>+'조성법총괄(내부이동률 적용 전)출력x'!L16</f>
        <v>12718</v>
      </c>
      <c r="M32" s="1222">
        <f>+'조성법총괄(내부이동률 적용 전)출력x'!M16</f>
        <v>12778</v>
      </c>
      <c r="N32" s="1221">
        <f>+'조성법총괄(내부이동률 적용 전)출력x'!N16</f>
        <v>12798</v>
      </c>
      <c r="O32" s="1221">
        <f>+'조성법총괄(내부이동률 적용 전)출력x'!O16</f>
        <v>12818</v>
      </c>
      <c r="P32" s="1221">
        <f>+'조성법총괄(내부이동률 적용 전)출력x'!P16</f>
        <v>12838</v>
      </c>
      <c r="Q32" s="1221">
        <f>+'조성법총괄(내부이동률 적용 전)출력x'!Q16</f>
        <v>12858</v>
      </c>
      <c r="R32" s="1222">
        <f>+'조성법총괄(내부이동률 적용 전)출력x'!R16</f>
        <v>12876</v>
      </c>
      <c r="S32" s="1221">
        <f>+'조성법총괄(내부이동률 적용 전)출력x'!S16</f>
        <v>12862</v>
      </c>
      <c r="T32" s="1221">
        <f>+'조성법총괄(내부이동률 적용 전)출력x'!T16</f>
        <v>12848</v>
      </c>
      <c r="U32" s="1221">
        <f>+'조성법총괄(내부이동률 적용 전)출력x'!U16</f>
        <v>12834</v>
      </c>
      <c r="V32" s="1221">
        <f>+'조성법총괄(내부이동률 적용 전)출력x'!V16</f>
        <v>12820</v>
      </c>
      <c r="W32" s="1222">
        <f>+'조성법총괄(내부이동률 적용 전)출력x'!W16</f>
        <v>12807</v>
      </c>
      <c r="X32" s="1223"/>
      <c r="Z32" s="2342"/>
      <c r="AA32" s="607" t="s">
        <v>435</v>
      </c>
      <c r="AB32" s="608">
        <f>C65</f>
        <v>11390</v>
      </c>
      <c r="AC32" s="608">
        <f t="shared" ref="AC32:AL33" si="120">+D65</f>
        <v>11393</v>
      </c>
      <c r="AD32" s="608">
        <f t="shared" si="120"/>
        <v>11352</v>
      </c>
      <c r="AE32" s="608">
        <f t="shared" si="120"/>
        <v>10942</v>
      </c>
      <c r="AF32" s="608">
        <f t="shared" si="120"/>
        <v>10926</v>
      </c>
      <c r="AG32" s="608">
        <f t="shared" si="120"/>
        <v>10908</v>
      </c>
      <c r="AH32" s="608">
        <f t="shared" si="120"/>
        <v>10917</v>
      </c>
      <c r="AI32" s="608">
        <f t="shared" si="120"/>
        <v>10926</v>
      </c>
      <c r="AJ32" s="608">
        <f t="shared" si="120"/>
        <v>10935</v>
      </c>
      <c r="AK32" s="608">
        <f t="shared" si="120"/>
        <v>10944</v>
      </c>
      <c r="AL32" s="608">
        <f t="shared" si="120"/>
        <v>10327</v>
      </c>
      <c r="AM32" s="608">
        <f t="shared" ref="AM32:AV33" si="121">+N65</f>
        <v>10313</v>
      </c>
      <c r="AN32" s="608">
        <f t="shared" si="121"/>
        <v>10299</v>
      </c>
      <c r="AO32" s="608">
        <f t="shared" si="121"/>
        <v>10285</v>
      </c>
      <c r="AP32" s="608">
        <f t="shared" si="121"/>
        <v>10271</v>
      </c>
      <c r="AQ32" s="608">
        <f t="shared" si="121"/>
        <v>10255</v>
      </c>
      <c r="AR32" s="608">
        <f t="shared" si="121"/>
        <v>10230</v>
      </c>
      <c r="AS32" s="608">
        <f t="shared" si="121"/>
        <v>10205</v>
      </c>
      <c r="AT32" s="608">
        <f t="shared" si="121"/>
        <v>10180</v>
      </c>
      <c r="AU32" s="608">
        <f t="shared" si="121"/>
        <v>10155</v>
      </c>
      <c r="AV32" s="608">
        <f t="shared" si="121"/>
        <v>10131</v>
      </c>
      <c r="AX32" s="2342"/>
      <c r="AY32" s="607" t="s">
        <v>435</v>
      </c>
      <c r="AZ32" s="608">
        <f t="shared" si="1"/>
        <v>11393</v>
      </c>
      <c r="BA32" s="608">
        <f t="shared" si="3"/>
        <v>10908</v>
      </c>
      <c r="BB32" s="608">
        <f t="shared" si="4"/>
        <v>10327</v>
      </c>
      <c r="BC32" s="608">
        <f t="shared" si="5"/>
        <v>10255</v>
      </c>
      <c r="BD32" s="608">
        <f t="shared" si="6"/>
        <v>10131</v>
      </c>
    </row>
    <row r="33" spans="1:57" ht="24.6" hidden="1" customHeight="1" outlineLevel="1">
      <c r="A33" s="1174"/>
      <c r="B33" s="1213" t="s">
        <v>578</v>
      </c>
      <c r="C33" s="1216">
        <f>+'1.4.2내부이동근거'!D148</f>
        <v>0</v>
      </c>
      <c r="D33" s="1224"/>
      <c r="E33" s="1225">
        <f>+'1.4.2내부이동근거'!F148</f>
        <v>-718</v>
      </c>
      <c r="F33" s="1225">
        <f>+'1.4.2내부이동근거'!G148</f>
        <v>-816</v>
      </c>
      <c r="G33" s="1225">
        <f>+'1.4.2내부이동근거'!H148</f>
        <v>-915</v>
      </c>
      <c r="H33" s="1226">
        <f>+'1.4.2내부이동근거'!I148</f>
        <v>-1013</v>
      </c>
      <c r="I33" s="1225">
        <f>+'1.4.2내부이동근거'!J148</f>
        <v>-1013</v>
      </c>
      <c r="J33" s="1225">
        <f>+'1.4.2내부이동근거'!K148</f>
        <v>-1013</v>
      </c>
      <c r="K33" s="1225">
        <f>+'1.4.2내부이동근거'!L148</f>
        <v>-1013</v>
      </c>
      <c r="L33" s="1225">
        <f>+'1.4.2내부이동근거'!M148</f>
        <v>-1013</v>
      </c>
      <c r="M33" s="1226">
        <f>+'1.4.2내부이동근거'!N148</f>
        <v>-1013</v>
      </c>
      <c r="N33" s="1225">
        <f>+'1.4.2내부이동근거'!O148</f>
        <v>-1013</v>
      </c>
      <c r="O33" s="1225">
        <f>+'1.4.2내부이동근거'!P148</f>
        <v>-1013</v>
      </c>
      <c r="P33" s="1225">
        <f>+'1.4.2내부이동근거'!Q148</f>
        <v>-1013</v>
      </c>
      <c r="Q33" s="1225">
        <f>+'1.4.2내부이동근거'!R148</f>
        <v>-1013</v>
      </c>
      <c r="R33" s="1226">
        <f>+'1.4.2내부이동근거'!S148</f>
        <v>-1013</v>
      </c>
      <c r="S33" s="1225">
        <f>+'1.4.2내부이동근거'!T148</f>
        <v>-1013</v>
      </c>
      <c r="T33" s="1225">
        <f>+'1.4.2내부이동근거'!U148</f>
        <v>-1013</v>
      </c>
      <c r="U33" s="1225">
        <f>+'1.4.2내부이동근거'!V148</f>
        <v>-1013</v>
      </c>
      <c r="V33" s="1225">
        <f>+'1.4.2내부이동근거'!W148</f>
        <v>-1013</v>
      </c>
      <c r="W33" s="1226">
        <f>+'1.4.2내부이동근거'!X148</f>
        <v>-1289</v>
      </c>
      <c r="X33" s="1227"/>
      <c r="Z33" s="2343"/>
      <c r="AA33" s="607" t="s">
        <v>436</v>
      </c>
      <c r="AB33" s="608">
        <f>+C66</f>
        <v>0</v>
      </c>
      <c r="AC33" s="608">
        <f t="shared" si="120"/>
        <v>0</v>
      </c>
      <c r="AD33" s="608">
        <f t="shared" si="120"/>
        <v>0</v>
      </c>
      <c r="AE33" s="608">
        <f t="shared" si="120"/>
        <v>344</v>
      </c>
      <c r="AF33" s="608">
        <f t="shared" si="120"/>
        <v>344</v>
      </c>
      <c r="AG33" s="608">
        <f t="shared" si="120"/>
        <v>546</v>
      </c>
      <c r="AH33" s="608">
        <f t="shared" si="120"/>
        <v>951</v>
      </c>
      <c r="AI33" s="608">
        <f t="shared" si="120"/>
        <v>1356</v>
      </c>
      <c r="AJ33" s="608">
        <f t="shared" si="120"/>
        <v>1356</v>
      </c>
      <c r="AK33" s="608">
        <f t="shared" si="120"/>
        <v>1356</v>
      </c>
      <c r="AL33" s="608">
        <f t="shared" si="120"/>
        <v>1905</v>
      </c>
      <c r="AM33" s="608">
        <f t="shared" si="121"/>
        <v>1905</v>
      </c>
      <c r="AN33" s="608">
        <f t="shared" si="121"/>
        <v>1905</v>
      </c>
      <c r="AO33" s="608">
        <f t="shared" si="121"/>
        <v>1905</v>
      </c>
      <c r="AP33" s="608">
        <f t="shared" si="121"/>
        <v>1905</v>
      </c>
      <c r="AQ33" s="608">
        <f t="shared" si="121"/>
        <v>1905</v>
      </c>
      <c r="AR33" s="608">
        <f t="shared" si="121"/>
        <v>1905</v>
      </c>
      <c r="AS33" s="608">
        <f t="shared" si="121"/>
        <v>1905</v>
      </c>
      <c r="AT33" s="608">
        <f t="shared" si="121"/>
        <v>1905</v>
      </c>
      <c r="AU33" s="608">
        <f t="shared" si="121"/>
        <v>1905</v>
      </c>
      <c r="AV33" s="608">
        <f t="shared" si="121"/>
        <v>4609</v>
      </c>
      <c r="AX33" s="2343"/>
      <c r="AY33" s="607" t="s">
        <v>149</v>
      </c>
      <c r="AZ33" s="608">
        <f t="shared" si="1"/>
        <v>0</v>
      </c>
      <c r="BA33" s="608">
        <f t="shared" si="3"/>
        <v>546</v>
      </c>
      <c r="BB33" s="608">
        <f t="shared" si="4"/>
        <v>1905</v>
      </c>
      <c r="BC33" s="608">
        <f t="shared" si="5"/>
        <v>1905</v>
      </c>
      <c r="BD33" s="608">
        <f t="shared" si="6"/>
        <v>4609</v>
      </c>
    </row>
    <row r="34" spans="1:57" ht="21.95" hidden="1" customHeight="1" outlineLevel="1">
      <c r="A34" s="1174"/>
      <c r="B34" s="1213" t="s">
        <v>165</v>
      </c>
      <c r="C34" s="1216"/>
      <c r="D34" s="1224"/>
      <c r="E34" s="1226">
        <f>'1.4.2내부이동근거'!Q10</f>
        <v>-55</v>
      </c>
      <c r="F34" s="1226">
        <f>E34</f>
        <v>-55</v>
      </c>
      <c r="G34" s="1226">
        <f t="shared" ref="G34:W34" si="122">F34</f>
        <v>-55</v>
      </c>
      <c r="H34" s="1226">
        <f t="shared" si="122"/>
        <v>-55</v>
      </c>
      <c r="I34" s="1226">
        <f t="shared" si="122"/>
        <v>-55</v>
      </c>
      <c r="J34" s="1226">
        <f t="shared" si="122"/>
        <v>-55</v>
      </c>
      <c r="K34" s="1226">
        <f t="shared" si="122"/>
        <v>-55</v>
      </c>
      <c r="L34" s="1226">
        <f t="shared" si="122"/>
        <v>-55</v>
      </c>
      <c r="M34" s="1226">
        <f t="shared" si="122"/>
        <v>-55</v>
      </c>
      <c r="N34" s="1226">
        <f t="shared" si="122"/>
        <v>-55</v>
      </c>
      <c r="O34" s="1226">
        <f t="shared" si="122"/>
        <v>-55</v>
      </c>
      <c r="P34" s="1226">
        <f t="shared" si="122"/>
        <v>-55</v>
      </c>
      <c r="Q34" s="1226">
        <f t="shared" si="122"/>
        <v>-55</v>
      </c>
      <c r="R34" s="1226">
        <f t="shared" si="122"/>
        <v>-55</v>
      </c>
      <c r="S34" s="1226">
        <f t="shared" si="122"/>
        <v>-55</v>
      </c>
      <c r="T34" s="1226">
        <f t="shared" si="122"/>
        <v>-55</v>
      </c>
      <c r="U34" s="1226">
        <f t="shared" si="122"/>
        <v>-55</v>
      </c>
      <c r="V34" s="1226">
        <f t="shared" si="122"/>
        <v>-55</v>
      </c>
      <c r="W34" s="1226">
        <f t="shared" si="122"/>
        <v>-55</v>
      </c>
      <c r="X34" s="1227"/>
      <c r="Z34" s="2341" t="s">
        <v>566</v>
      </c>
      <c r="AA34" s="607" t="s">
        <v>434</v>
      </c>
      <c r="AB34" s="608">
        <f t="shared" ref="AB34" si="123">SUM(AB35:AB36)</f>
        <v>0</v>
      </c>
      <c r="AC34" s="608">
        <f t="shared" ref="AC34" si="124">SUM(AC35:AC36)</f>
        <v>7477</v>
      </c>
      <c r="AD34" s="608">
        <f t="shared" ref="AD34" si="125">SUM(AD35:AD36)</f>
        <v>8665</v>
      </c>
      <c r="AE34" s="608">
        <f t="shared" ref="AE34" si="126">SUM(AE35:AE36)</f>
        <v>9853</v>
      </c>
      <c r="AF34" s="608">
        <f t="shared" ref="AF34" si="127">SUM(AF35:AF36)</f>
        <v>11041</v>
      </c>
      <c r="AG34" s="608">
        <f t="shared" ref="AG34" si="128">SUM(AG35:AG36)</f>
        <v>12230</v>
      </c>
      <c r="AH34" s="608">
        <f t="shared" ref="AH34" si="129">SUM(AH35:AH36)</f>
        <v>12230</v>
      </c>
      <c r="AI34" s="608">
        <f t="shared" ref="AI34" si="130">SUM(AI35:AI36)</f>
        <v>12230</v>
      </c>
      <c r="AJ34" s="608">
        <f t="shared" ref="AJ34" si="131">SUM(AJ35:AJ36)</f>
        <v>12230</v>
      </c>
      <c r="AK34" s="608">
        <f t="shared" ref="AK34" si="132">SUM(AK35:AK36)</f>
        <v>12230</v>
      </c>
      <c r="AL34" s="608">
        <f t="shared" ref="AL34" si="133">SUM(AL35:AL36)</f>
        <v>12230</v>
      </c>
      <c r="AM34" s="608">
        <f t="shared" ref="AM34" si="134">SUM(AM35:AM36)</f>
        <v>12230</v>
      </c>
      <c r="AN34" s="608">
        <f t="shared" ref="AN34" si="135">SUM(AN35:AN36)</f>
        <v>12230</v>
      </c>
      <c r="AO34" s="608">
        <f t="shared" ref="AO34" si="136">SUM(AO35:AO36)</f>
        <v>12230</v>
      </c>
      <c r="AP34" s="608">
        <f t="shared" ref="AP34" si="137">SUM(AP35:AP36)</f>
        <v>12230</v>
      </c>
      <c r="AQ34" s="608">
        <f t="shared" ref="AQ34" si="138">SUM(AQ35:AQ36)</f>
        <v>12230</v>
      </c>
      <c r="AR34" s="608">
        <f t="shared" ref="AR34" si="139">SUM(AR35:AR36)</f>
        <v>12230</v>
      </c>
      <c r="AS34" s="608">
        <f t="shared" ref="AS34" si="140">SUM(AS35:AS36)</f>
        <v>12230</v>
      </c>
      <c r="AT34" s="608">
        <f t="shared" ref="AT34" si="141">SUM(AT35:AT36)</f>
        <v>12230</v>
      </c>
      <c r="AU34" s="608">
        <f t="shared" ref="AU34" si="142">SUM(AU35:AU36)</f>
        <v>12230</v>
      </c>
      <c r="AV34" s="608">
        <f t="shared" ref="AV34" si="143">SUM(AV35:AV36)</f>
        <v>12230</v>
      </c>
      <c r="AX34" s="2341" t="s">
        <v>566</v>
      </c>
      <c r="AY34" s="607" t="s">
        <v>170</v>
      </c>
      <c r="AZ34" s="608">
        <f t="shared" si="1"/>
        <v>7477</v>
      </c>
      <c r="BA34" s="608">
        <f t="shared" si="3"/>
        <v>12230</v>
      </c>
      <c r="BB34" s="608">
        <f t="shared" si="4"/>
        <v>12230</v>
      </c>
      <c r="BC34" s="608">
        <f t="shared" si="5"/>
        <v>12230</v>
      </c>
      <c r="BD34" s="608">
        <f t="shared" si="6"/>
        <v>12230</v>
      </c>
    </row>
    <row r="35" spans="1:57" ht="21.95" customHeight="1" collapsed="1">
      <c r="A35" s="1174"/>
      <c r="B35" s="1213" t="s">
        <v>1459</v>
      </c>
      <c r="C35" s="1216"/>
      <c r="D35" s="1224">
        <f>SUM(D33:D34)</f>
        <v>0</v>
      </c>
      <c r="E35" s="1226">
        <f t="shared" ref="E35" si="144">SUM(E33:E34)</f>
        <v>-773</v>
      </c>
      <c r="F35" s="1226">
        <f t="shared" ref="F35" si="145">SUM(F33:F34)</f>
        <v>-871</v>
      </c>
      <c r="G35" s="1226">
        <f t="shared" ref="G35" si="146">SUM(G33:G34)</f>
        <v>-970</v>
      </c>
      <c r="H35" s="1226">
        <f t="shared" ref="H35" si="147">SUM(H33:H34)</f>
        <v>-1068</v>
      </c>
      <c r="I35" s="1226">
        <f t="shared" ref="I35" si="148">SUM(I33:I34)</f>
        <v>-1068</v>
      </c>
      <c r="J35" s="1226">
        <f t="shared" ref="J35" si="149">SUM(J33:J34)</f>
        <v>-1068</v>
      </c>
      <c r="K35" s="1226">
        <f t="shared" ref="K35" si="150">SUM(K33:K34)</f>
        <v>-1068</v>
      </c>
      <c r="L35" s="1226">
        <f t="shared" ref="L35" si="151">SUM(L33:L34)</f>
        <v>-1068</v>
      </c>
      <c r="M35" s="1226">
        <f t="shared" ref="M35" si="152">SUM(M33:M34)</f>
        <v>-1068</v>
      </c>
      <c r="N35" s="1226">
        <f t="shared" ref="N35" si="153">SUM(N33:N34)</f>
        <v>-1068</v>
      </c>
      <c r="O35" s="1226">
        <f t="shared" ref="O35" si="154">SUM(O33:O34)</f>
        <v>-1068</v>
      </c>
      <c r="P35" s="1226">
        <f t="shared" ref="P35" si="155">SUM(P33:P34)</f>
        <v>-1068</v>
      </c>
      <c r="Q35" s="1226">
        <f t="shared" ref="Q35" si="156">SUM(Q33:Q34)</f>
        <v>-1068</v>
      </c>
      <c r="R35" s="1226">
        <f t="shared" ref="R35" si="157">SUM(R33:R34)</f>
        <v>-1068</v>
      </c>
      <c r="S35" s="1226">
        <f t="shared" ref="S35" si="158">SUM(S33:S34)</f>
        <v>-1068</v>
      </c>
      <c r="T35" s="1226">
        <f t="shared" ref="T35" si="159">SUM(T33:T34)</f>
        <v>-1068</v>
      </c>
      <c r="U35" s="1226">
        <f t="shared" ref="U35" si="160">SUM(U33:U34)</f>
        <v>-1068</v>
      </c>
      <c r="V35" s="1226">
        <f t="shared" ref="V35" si="161">SUM(V33:V34)</f>
        <v>-1068</v>
      </c>
      <c r="W35" s="1226">
        <f t="shared" ref="W35" si="162">SUM(W33:W34)</f>
        <v>-1344</v>
      </c>
      <c r="X35" s="1227"/>
      <c r="Z35" s="2342"/>
      <c r="AA35" s="607" t="s">
        <v>435</v>
      </c>
      <c r="AB35" s="608">
        <f t="shared" ref="AB35:AV35" si="163">+C70</f>
        <v>0</v>
      </c>
      <c r="AC35" s="608">
        <f t="shared" si="163"/>
        <v>0</v>
      </c>
      <c r="AD35" s="608">
        <f t="shared" si="163"/>
        <v>0</v>
      </c>
      <c r="AE35" s="608">
        <f t="shared" si="163"/>
        <v>0</v>
      </c>
      <c r="AF35" s="608">
        <f t="shared" si="163"/>
        <v>0</v>
      </c>
      <c r="AG35" s="608">
        <f t="shared" si="163"/>
        <v>0</v>
      </c>
      <c r="AH35" s="608">
        <f t="shared" si="163"/>
        <v>0</v>
      </c>
      <c r="AI35" s="608">
        <f t="shared" si="163"/>
        <v>0</v>
      </c>
      <c r="AJ35" s="608">
        <f t="shared" si="163"/>
        <v>0</v>
      </c>
      <c r="AK35" s="608">
        <f t="shared" si="163"/>
        <v>0</v>
      </c>
      <c r="AL35" s="608">
        <f t="shared" si="163"/>
        <v>0</v>
      </c>
      <c r="AM35" s="608">
        <f t="shared" si="163"/>
        <v>0</v>
      </c>
      <c r="AN35" s="608">
        <f t="shared" si="163"/>
        <v>0</v>
      </c>
      <c r="AO35" s="608">
        <f t="shared" si="163"/>
        <v>0</v>
      </c>
      <c r="AP35" s="608">
        <f t="shared" si="163"/>
        <v>0</v>
      </c>
      <c r="AQ35" s="608">
        <f t="shared" si="163"/>
        <v>0</v>
      </c>
      <c r="AR35" s="608">
        <f t="shared" si="163"/>
        <v>0</v>
      </c>
      <c r="AS35" s="608">
        <f t="shared" si="163"/>
        <v>0</v>
      </c>
      <c r="AT35" s="608">
        <f t="shared" si="163"/>
        <v>0</v>
      </c>
      <c r="AU35" s="608">
        <f t="shared" si="163"/>
        <v>0</v>
      </c>
      <c r="AV35" s="608">
        <f t="shared" si="163"/>
        <v>0</v>
      </c>
      <c r="AX35" s="2342"/>
      <c r="AY35" s="607" t="s">
        <v>435</v>
      </c>
      <c r="AZ35" s="608">
        <f t="shared" si="1"/>
        <v>0</v>
      </c>
      <c r="BA35" s="608">
        <f t="shared" si="3"/>
        <v>0</v>
      </c>
      <c r="BB35" s="608">
        <f t="shared" si="4"/>
        <v>0</v>
      </c>
      <c r="BC35" s="608">
        <f t="shared" si="5"/>
        <v>0</v>
      </c>
      <c r="BD35" s="608">
        <f t="shared" si="6"/>
        <v>0</v>
      </c>
    </row>
    <row r="36" spans="1:57" ht="21.95" customHeight="1">
      <c r="A36" s="1174"/>
      <c r="B36" s="1213" t="s">
        <v>143</v>
      </c>
      <c r="C36" s="1216">
        <f t="shared" ref="C36:W36" si="164">SUM(C32:C34)</f>
        <v>10418</v>
      </c>
      <c r="D36" s="1224">
        <f t="shared" si="164"/>
        <v>12254</v>
      </c>
      <c r="E36" s="1225">
        <f t="shared" si="164"/>
        <v>11536</v>
      </c>
      <c r="F36" s="1225">
        <f t="shared" si="164"/>
        <v>11493</v>
      </c>
      <c r="G36" s="1225">
        <f t="shared" si="164"/>
        <v>11449</v>
      </c>
      <c r="H36" s="1226">
        <f>SUM(H32:H34)</f>
        <v>11406</v>
      </c>
      <c r="I36" s="1225">
        <f t="shared" si="164"/>
        <v>11467</v>
      </c>
      <c r="J36" s="1225">
        <f t="shared" si="164"/>
        <v>11528</v>
      </c>
      <c r="K36" s="1225">
        <f t="shared" si="164"/>
        <v>11589</v>
      </c>
      <c r="L36" s="1225">
        <f t="shared" si="164"/>
        <v>11650</v>
      </c>
      <c r="M36" s="1226">
        <f t="shared" si="164"/>
        <v>11710</v>
      </c>
      <c r="N36" s="1225">
        <f t="shared" si="164"/>
        <v>11730</v>
      </c>
      <c r="O36" s="1225">
        <f t="shared" si="164"/>
        <v>11750</v>
      </c>
      <c r="P36" s="1225">
        <f t="shared" si="164"/>
        <v>11770</v>
      </c>
      <c r="Q36" s="1225">
        <f t="shared" si="164"/>
        <v>11790</v>
      </c>
      <c r="R36" s="1226">
        <f t="shared" si="164"/>
        <v>11808</v>
      </c>
      <c r="S36" s="1225">
        <f t="shared" si="164"/>
        <v>11794</v>
      </c>
      <c r="T36" s="1225">
        <f t="shared" si="164"/>
        <v>11780</v>
      </c>
      <c r="U36" s="1225">
        <f t="shared" si="164"/>
        <v>11766</v>
      </c>
      <c r="V36" s="1225">
        <f t="shared" si="164"/>
        <v>11752</v>
      </c>
      <c r="W36" s="1226">
        <f t="shared" si="164"/>
        <v>11463</v>
      </c>
      <c r="X36" s="1227"/>
      <c r="Z36" s="2343"/>
      <c r="AA36" s="607" t="s">
        <v>436</v>
      </c>
      <c r="AB36" s="608">
        <f t="shared" ref="AB36:AV36" si="165">SUM(C71:C72)</f>
        <v>0</v>
      </c>
      <c r="AC36" s="608">
        <f t="shared" si="165"/>
        <v>7477</v>
      </c>
      <c r="AD36" s="608">
        <f t="shared" si="165"/>
        <v>8665</v>
      </c>
      <c r="AE36" s="608">
        <f t="shared" si="165"/>
        <v>9853</v>
      </c>
      <c r="AF36" s="608">
        <f t="shared" si="165"/>
        <v>11041</v>
      </c>
      <c r="AG36" s="608">
        <f t="shared" si="165"/>
        <v>12230</v>
      </c>
      <c r="AH36" s="608">
        <f t="shared" si="165"/>
        <v>12230</v>
      </c>
      <c r="AI36" s="608">
        <f t="shared" si="165"/>
        <v>12230</v>
      </c>
      <c r="AJ36" s="608">
        <f t="shared" si="165"/>
        <v>12230</v>
      </c>
      <c r="AK36" s="608">
        <f t="shared" si="165"/>
        <v>12230</v>
      </c>
      <c r="AL36" s="608">
        <f t="shared" si="165"/>
        <v>12230</v>
      </c>
      <c r="AM36" s="608">
        <f t="shared" si="165"/>
        <v>12230</v>
      </c>
      <c r="AN36" s="608">
        <f t="shared" si="165"/>
        <v>12230</v>
      </c>
      <c r="AO36" s="608">
        <f t="shared" si="165"/>
        <v>12230</v>
      </c>
      <c r="AP36" s="608">
        <f t="shared" si="165"/>
        <v>12230</v>
      </c>
      <c r="AQ36" s="608">
        <f t="shared" si="165"/>
        <v>12230</v>
      </c>
      <c r="AR36" s="608">
        <f t="shared" si="165"/>
        <v>12230</v>
      </c>
      <c r="AS36" s="608">
        <f t="shared" si="165"/>
        <v>12230</v>
      </c>
      <c r="AT36" s="608">
        <f t="shared" si="165"/>
        <v>12230</v>
      </c>
      <c r="AU36" s="608">
        <f t="shared" si="165"/>
        <v>12230</v>
      </c>
      <c r="AV36" s="608">
        <f t="shared" si="165"/>
        <v>12230</v>
      </c>
      <c r="AX36" s="2343"/>
      <c r="AY36" s="607" t="s">
        <v>149</v>
      </c>
      <c r="AZ36" s="608">
        <f t="shared" si="1"/>
        <v>7477</v>
      </c>
      <c r="BA36" s="608">
        <f t="shared" si="3"/>
        <v>12230</v>
      </c>
      <c r="BB36" s="608">
        <f t="shared" si="4"/>
        <v>12230</v>
      </c>
      <c r="BC36" s="608">
        <f t="shared" si="5"/>
        <v>12230</v>
      </c>
      <c r="BD36" s="608">
        <f t="shared" si="6"/>
        <v>12230</v>
      </c>
    </row>
    <row r="37" spans="1:57" ht="21.95" customHeight="1">
      <c r="A37" s="1202"/>
      <c r="B37" s="1213" t="s">
        <v>1460</v>
      </c>
      <c r="C37" s="1204">
        <f>+'조성법총괄(내부이동률 적용 전)출력x'!C17</f>
        <v>0</v>
      </c>
      <c r="D37" s="1224">
        <f>+'조성법총괄(내부이동률 적용 전)출력x'!D17</f>
        <v>0</v>
      </c>
      <c r="E37" s="1225">
        <f>+'조성법총괄(내부이동률 적용 전)출력x'!E17</f>
        <v>0</v>
      </c>
      <c r="F37" s="1225">
        <f>+'조성법총괄(내부이동률 적용 전)출력x'!F17</f>
        <v>8</v>
      </c>
      <c r="G37" s="1225">
        <f>+'조성법총괄(내부이동률 적용 전)출력x'!G17</f>
        <v>80</v>
      </c>
      <c r="H37" s="1226">
        <f>+'조성법총괄(내부이동률 적용 전)출력x'!H17</f>
        <v>210</v>
      </c>
      <c r="I37" s="1225">
        <f>+'조성법총괄(내부이동률 적용 전)출력x'!I17</f>
        <v>325</v>
      </c>
      <c r="J37" s="1225">
        <f>+'조성법총괄(내부이동률 적용 전)출력x'!J17</f>
        <v>325</v>
      </c>
      <c r="K37" s="1225">
        <f>+'조성법총괄(내부이동률 적용 전)출력x'!K17</f>
        <v>325</v>
      </c>
      <c r="L37" s="1225">
        <f>+'조성법총괄(내부이동률 적용 전)출력x'!L17</f>
        <v>325</v>
      </c>
      <c r="M37" s="1226">
        <f>+'조성법총괄(내부이동률 적용 전)출력x'!M17</f>
        <v>325</v>
      </c>
      <c r="N37" s="1225">
        <f>+'조성법총괄(내부이동률 적용 전)출력x'!N17</f>
        <v>325</v>
      </c>
      <c r="O37" s="1225">
        <f>+'조성법총괄(내부이동률 적용 전)출력x'!O17</f>
        <v>325</v>
      </c>
      <c r="P37" s="1225">
        <f>+'조성법총괄(내부이동률 적용 전)출력x'!P17</f>
        <v>325</v>
      </c>
      <c r="Q37" s="1225">
        <f>+'조성법총괄(내부이동률 적용 전)출력x'!Q17</f>
        <v>325</v>
      </c>
      <c r="R37" s="1226">
        <f>+'조성법총괄(내부이동률 적용 전)출력x'!R17</f>
        <v>325</v>
      </c>
      <c r="S37" s="1225">
        <f>+'조성법총괄(내부이동률 적용 전)출력x'!S17</f>
        <v>325</v>
      </c>
      <c r="T37" s="1225">
        <f>+'조성법총괄(내부이동률 적용 전)출력x'!T17</f>
        <v>325</v>
      </c>
      <c r="U37" s="1225">
        <f>+'조성법총괄(내부이동률 적용 전)출력x'!U17</f>
        <v>325</v>
      </c>
      <c r="V37" s="1225">
        <f>+'조성법총괄(내부이동률 적용 전)출력x'!V17</f>
        <v>325</v>
      </c>
      <c r="W37" s="1226">
        <f>+'조성법총괄(내부이동률 적용 전)출력x'!W17</f>
        <v>2656</v>
      </c>
      <c r="X37" s="1227"/>
    </row>
    <row r="38" spans="1:57" s="693" customFormat="1" ht="21.95" customHeight="1">
      <c r="A38" s="1203"/>
      <c r="B38" s="1214" t="s">
        <v>1461</v>
      </c>
      <c r="C38" s="1205"/>
      <c r="D38" s="1228">
        <v>0</v>
      </c>
      <c r="E38" s="1229"/>
      <c r="F38" s="1229"/>
      <c r="G38" s="1229"/>
      <c r="H38" s="1230">
        <f>'1.4.2내부이동근거'!T8</f>
        <v>4991</v>
      </c>
      <c r="I38" s="1229">
        <f>H38</f>
        <v>4991</v>
      </c>
      <c r="J38" s="1229">
        <f>I38</f>
        <v>4991</v>
      </c>
      <c r="K38" s="1229">
        <f>J38</f>
        <v>4991</v>
      </c>
      <c r="L38" s="1229">
        <f>K38</f>
        <v>4991</v>
      </c>
      <c r="M38" s="1230">
        <f>H38</f>
        <v>4991</v>
      </c>
      <c r="N38" s="1229">
        <f>M38</f>
        <v>4991</v>
      </c>
      <c r="O38" s="1229">
        <f>N38</f>
        <v>4991</v>
      </c>
      <c r="P38" s="1229">
        <f>O38</f>
        <v>4991</v>
      </c>
      <c r="Q38" s="1229">
        <f>P38</f>
        <v>4991</v>
      </c>
      <c r="R38" s="1230">
        <f>M38</f>
        <v>4991</v>
      </c>
      <c r="S38" s="1229">
        <f t="shared" ref="S38:V38" si="166">R38</f>
        <v>4991</v>
      </c>
      <c r="T38" s="1229">
        <f t="shared" si="166"/>
        <v>4991</v>
      </c>
      <c r="U38" s="1229">
        <f t="shared" si="166"/>
        <v>4991</v>
      </c>
      <c r="V38" s="1229">
        <f t="shared" si="166"/>
        <v>4991</v>
      </c>
      <c r="W38" s="1230">
        <f>R38</f>
        <v>4991</v>
      </c>
      <c r="X38" s="1231"/>
    </row>
    <row r="39" spans="1:57" ht="21.95" customHeight="1">
      <c r="A39" s="2346" t="s">
        <v>144</v>
      </c>
      <c r="B39" s="2355"/>
      <c r="C39" s="87">
        <f t="shared" ref="C39" si="167">SUM(C36,C37)</f>
        <v>10418</v>
      </c>
      <c r="D39" s="1206">
        <f>SUM(D36,D37,D38)</f>
        <v>12254</v>
      </c>
      <c r="E39" s="1207">
        <f t="shared" ref="E39:V39" si="168">SUM(E36,E37,E38)</f>
        <v>11536</v>
      </c>
      <c r="F39" s="1207">
        <f t="shared" si="168"/>
        <v>11501</v>
      </c>
      <c r="G39" s="1207">
        <f t="shared" si="168"/>
        <v>11529</v>
      </c>
      <c r="H39" s="1206">
        <f t="shared" si="168"/>
        <v>16607</v>
      </c>
      <c r="I39" s="1207">
        <f t="shared" si="168"/>
        <v>16783</v>
      </c>
      <c r="J39" s="1207">
        <f t="shared" si="168"/>
        <v>16844</v>
      </c>
      <c r="K39" s="1207">
        <f t="shared" si="168"/>
        <v>16905</v>
      </c>
      <c r="L39" s="1207">
        <f t="shared" si="168"/>
        <v>16966</v>
      </c>
      <c r="M39" s="1206">
        <f t="shared" si="168"/>
        <v>17026</v>
      </c>
      <c r="N39" s="1207">
        <f t="shared" si="168"/>
        <v>17046</v>
      </c>
      <c r="O39" s="1207">
        <f t="shared" si="168"/>
        <v>17066</v>
      </c>
      <c r="P39" s="1207">
        <f t="shared" si="168"/>
        <v>17086</v>
      </c>
      <c r="Q39" s="1207">
        <f t="shared" si="168"/>
        <v>17106</v>
      </c>
      <c r="R39" s="1206">
        <f t="shared" si="168"/>
        <v>17124</v>
      </c>
      <c r="S39" s="1207">
        <f t="shared" si="168"/>
        <v>17110</v>
      </c>
      <c r="T39" s="1207">
        <f t="shared" si="168"/>
        <v>17096</v>
      </c>
      <c r="U39" s="1207">
        <f t="shared" si="168"/>
        <v>17082</v>
      </c>
      <c r="V39" s="1207">
        <f t="shared" si="168"/>
        <v>17068</v>
      </c>
      <c r="W39" s="87">
        <f>SUM(W36:W38)</f>
        <v>19110</v>
      </c>
      <c r="X39" s="1208"/>
    </row>
    <row r="40" spans="1:57" ht="21.95" customHeight="1">
      <c r="A40" s="1127" t="s">
        <v>706</v>
      </c>
      <c r="B40" s="80" t="s">
        <v>111</v>
      </c>
      <c r="C40" s="58">
        <f>+'조성법총괄(내부이동률 적용 전)출력x'!C19</f>
        <v>18802</v>
      </c>
      <c r="D40" s="58">
        <f>+'조성법총괄(내부이동률 적용 전)출력x'!D19</f>
        <v>18744</v>
      </c>
      <c r="E40" s="59">
        <f>+'조성법총괄(내부이동률 적용 전)출력x'!E19</f>
        <v>18836</v>
      </c>
      <c r="F40" s="59">
        <f>+'조성법총괄(내부이동률 적용 전)출력x'!F19</f>
        <v>18928</v>
      </c>
      <c r="G40" s="59">
        <f>+'조성법총괄(내부이동률 적용 전)출력x'!G19</f>
        <v>17677</v>
      </c>
      <c r="H40" s="58">
        <f>+'조성법총괄(내부이동률 적용 전)출력x'!H19</f>
        <v>19110</v>
      </c>
      <c r="I40" s="59">
        <f>+'조성법총괄(내부이동률 적용 전)출력x'!I19</f>
        <v>19222</v>
      </c>
      <c r="J40" s="59">
        <f>+'조성법총괄(내부이동률 적용 전)출력x'!J19</f>
        <v>19334</v>
      </c>
      <c r="K40" s="59">
        <f>+'조성법총괄(내부이동률 적용 전)출력x'!K19</f>
        <v>19446</v>
      </c>
      <c r="L40" s="59">
        <f>+'조성법총괄(내부이동률 적용 전)출력x'!L19</f>
        <v>19558</v>
      </c>
      <c r="M40" s="58">
        <f>+'조성법총괄(내부이동률 적용 전)출력x'!M19</f>
        <v>19669</v>
      </c>
      <c r="N40" s="59">
        <f>+'조성법총괄(내부이동률 적용 전)출력x'!N19</f>
        <v>19760</v>
      </c>
      <c r="O40" s="59">
        <f>+'조성법총괄(내부이동률 적용 전)출력x'!O19</f>
        <v>19851</v>
      </c>
      <c r="P40" s="59">
        <f>+'조성법총괄(내부이동률 적용 전)출력x'!P19</f>
        <v>19942</v>
      </c>
      <c r="Q40" s="59">
        <f>+'조성법총괄(내부이동률 적용 전)출력x'!Q19</f>
        <v>20033</v>
      </c>
      <c r="R40" s="58">
        <f>+'조성법총괄(내부이동률 적용 전)출력x'!R19</f>
        <v>20126</v>
      </c>
      <c r="S40" s="59">
        <f>+'조성법총괄(내부이동률 적용 전)출력x'!S19</f>
        <v>20218</v>
      </c>
      <c r="T40" s="59">
        <f>+'조성법총괄(내부이동률 적용 전)출력x'!T19</f>
        <v>20310</v>
      </c>
      <c r="U40" s="59">
        <f>+'조성법총괄(내부이동률 적용 전)출력x'!U19</f>
        <v>20402</v>
      </c>
      <c r="V40" s="59">
        <f>+'조성법총괄(내부이동률 적용 전)출력x'!V19</f>
        <v>20494</v>
      </c>
      <c r="W40" s="58">
        <f>+'조성법총괄(내부이동률 적용 전)출력x'!W19</f>
        <v>20584</v>
      </c>
      <c r="X40" s="77"/>
      <c r="AC40" s="52">
        <f>D39-7239</f>
        <v>5015</v>
      </c>
      <c r="AG40" s="52">
        <f>H39-10000</f>
        <v>6607</v>
      </c>
      <c r="AL40" s="52">
        <f>M39-10000</f>
        <v>7026</v>
      </c>
      <c r="AQ40" s="52">
        <f>R39-10000</f>
        <v>7124</v>
      </c>
      <c r="AV40" s="52">
        <f>W39-10000</f>
        <v>9110</v>
      </c>
    </row>
    <row r="41" spans="1:57" s="693" customFormat="1" ht="21.95" hidden="1" customHeight="1" outlineLevel="1">
      <c r="A41" s="1128"/>
      <c r="B41" s="81" t="s">
        <v>578</v>
      </c>
      <c r="C41" s="79">
        <f>+'1.4.2내부이동근거'!D151</f>
        <v>0</v>
      </c>
      <c r="D41" s="79"/>
      <c r="E41" s="90">
        <f>+'1.4.2내부이동근거'!F151</f>
        <v>0</v>
      </c>
      <c r="F41" s="90">
        <f>+'1.4.2내부이동근거'!G151</f>
        <v>-118</v>
      </c>
      <c r="G41" s="90">
        <f>+'1.4.2내부이동근거'!H151</f>
        <v>-545</v>
      </c>
      <c r="H41" s="79">
        <f>+'1.4.2내부이동근거'!I151</f>
        <v>-1144</v>
      </c>
      <c r="I41" s="90">
        <f>+'1.4.2내부이동근거'!J151</f>
        <v>-1144</v>
      </c>
      <c r="J41" s="90">
        <f>+'1.4.2내부이동근거'!K151</f>
        <v>-1144</v>
      </c>
      <c r="K41" s="90">
        <f>+'1.4.2내부이동근거'!L151</f>
        <v>-1144</v>
      </c>
      <c r="L41" s="90">
        <f>+'1.4.2내부이동근거'!M151</f>
        <v>-1144</v>
      </c>
      <c r="M41" s="79">
        <f>+'1.4.2내부이동근거'!N151</f>
        <v>-1375</v>
      </c>
      <c r="N41" s="90">
        <f>+'1.4.2내부이동근거'!O151</f>
        <v>-1375</v>
      </c>
      <c r="O41" s="90">
        <f>+'1.4.2내부이동근거'!P151</f>
        <v>-1375</v>
      </c>
      <c r="P41" s="90">
        <f>+'1.4.2내부이동근거'!Q151</f>
        <v>-1375</v>
      </c>
      <c r="Q41" s="90">
        <f>+'1.4.2내부이동근거'!R151</f>
        <v>-1375</v>
      </c>
      <c r="R41" s="79">
        <f>+'1.4.2내부이동근거'!S151</f>
        <v>-1375</v>
      </c>
      <c r="S41" s="90">
        <f>+'1.4.2내부이동근거'!T151</f>
        <v>-1375</v>
      </c>
      <c r="T41" s="90">
        <f>+'1.4.2내부이동근거'!U151</f>
        <v>-1375</v>
      </c>
      <c r="U41" s="90">
        <f>+'1.4.2내부이동근거'!V151</f>
        <v>-1375</v>
      </c>
      <c r="V41" s="90">
        <f>+'1.4.2내부이동근거'!W151</f>
        <v>-1375</v>
      </c>
      <c r="W41" s="79">
        <f>+'1.4.2내부이동근거'!X151</f>
        <v>-2335</v>
      </c>
      <c r="X41" s="78"/>
    </row>
    <row r="42" spans="1:57" s="693" customFormat="1" ht="21.95" hidden="1" customHeight="1" outlineLevel="1">
      <c r="A42" s="1128"/>
      <c r="B42" s="81" t="s">
        <v>165</v>
      </c>
      <c r="C42" s="79"/>
      <c r="D42" s="79"/>
      <c r="E42" s="79">
        <f>'1.4.2내부이동근거'!Q11</f>
        <v>-125</v>
      </c>
      <c r="F42" s="79">
        <f>E42</f>
        <v>-125</v>
      </c>
      <c r="G42" s="79">
        <f t="shared" ref="G42:W42" si="169">F42</f>
        <v>-125</v>
      </c>
      <c r="H42" s="79">
        <f t="shared" si="169"/>
        <v>-125</v>
      </c>
      <c r="I42" s="79">
        <f t="shared" si="169"/>
        <v>-125</v>
      </c>
      <c r="J42" s="79">
        <f t="shared" si="169"/>
        <v>-125</v>
      </c>
      <c r="K42" s="79">
        <f t="shared" si="169"/>
        <v>-125</v>
      </c>
      <c r="L42" s="79">
        <f t="shared" si="169"/>
        <v>-125</v>
      </c>
      <c r="M42" s="79">
        <f t="shared" si="169"/>
        <v>-125</v>
      </c>
      <c r="N42" s="79">
        <f t="shared" si="169"/>
        <v>-125</v>
      </c>
      <c r="O42" s="79">
        <f t="shared" si="169"/>
        <v>-125</v>
      </c>
      <c r="P42" s="79">
        <f t="shared" si="169"/>
        <v>-125</v>
      </c>
      <c r="Q42" s="79">
        <f t="shared" si="169"/>
        <v>-125</v>
      </c>
      <c r="R42" s="79">
        <f t="shared" si="169"/>
        <v>-125</v>
      </c>
      <c r="S42" s="79">
        <f t="shared" si="169"/>
        <v>-125</v>
      </c>
      <c r="T42" s="79">
        <f t="shared" si="169"/>
        <v>-125</v>
      </c>
      <c r="U42" s="79">
        <f t="shared" si="169"/>
        <v>-125</v>
      </c>
      <c r="V42" s="79">
        <f t="shared" si="169"/>
        <v>-125</v>
      </c>
      <c r="W42" s="79">
        <f t="shared" si="169"/>
        <v>-125</v>
      </c>
      <c r="X42" s="78"/>
    </row>
    <row r="43" spans="1:57" s="693" customFormat="1" ht="21.95" customHeight="1" collapsed="1">
      <c r="A43" s="1128"/>
      <c r="B43" s="81" t="s">
        <v>1459</v>
      </c>
      <c r="C43" s="79"/>
      <c r="D43" s="79">
        <f>SUM(D41:D42)</f>
        <v>0</v>
      </c>
      <c r="E43" s="79">
        <f t="shared" ref="E43" si="170">SUM(E41:E42)</f>
        <v>-125</v>
      </c>
      <c r="F43" s="79">
        <f t="shared" ref="F43" si="171">SUM(F41:F42)</f>
        <v>-243</v>
      </c>
      <c r="G43" s="79">
        <f t="shared" ref="G43" si="172">SUM(G41:G42)</f>
        <v>-670</v>
      </c>
      <c r="H43" s="79">
        <f t="shared" ref="H43" si="173">SUM(H41:H42)</f>
        <v>-1269</v>
      </c>
      <c r="I43" s="79">
        <f t="shared" ref="I43" si="174">SUM(I41:I42)</f>
        <v>-1269</v>
      </c>
      <c r="J43" s="79">
        <f t="shared" ref="J43" si="175">SUM(J41:J42)</f>
        <v>-1269</v>
      </c>
      <c r="K43" s="79">
        <f t="shared" ref="K43" si="176">SUM(K41:K42)</f>
        <v>-1269</v>
      </c>
      <c r="L43" s="79">
        <f t="shared" ref="L43" si="177">SUM(L41:L42)</f>
        <v>-1269</v>
      </c>
      <c r="M43" s="79">
        <f t="shared" ref="M43" si="178">SUM(M41:M42)</f>
        <v>-1500</v>
      </c>
      <c r="N43" s="79">
        <f t="shared" ref="N43" si="179">SUM(N41:N42)</f>
        <v>-1500</v>
      </c>
      <c r="O43" s="79">
        <f t="shared" ref="O43" si="180">SUM(O41:O42)</f>
        <v>-1500</v>
      </c>
      <c r="P43" s="79">
        <f t="shared" ref="P43" si="181">SUM(P41:P42)</f>
        <v>-1500</v>
      </c>
      <c r="Q43" s="79">
        <f t="shared" ref="Q43" si="182">SUM(Q41:Q42)</f>
        <v>-1500</v>
      </c>
      <c r="R43" s="79">
        <f t="shared" ref="R43" si="183">SUM(R41:R42)</f>
        <v>-1500</v>
      </c>
      <c r="S43" s="79">
        <f t="shared" ref="S43" si="184">SUM(S41:S42)</f>
        <v>-1500</v>
      </c>
      <c r="T43" s="79">
        <f t="shared" ref="T43" si="185">SUM(T41:T42)</f>
        <v>-1500</v>
      </c>
      <c r="U43" s="79">
        <f t="shared" ref="U43" si="186">SUM(U41:U42)</f>
        <v>-1500</v>
      </c>
      <c r="V43" s="79">
        <f t="shared" ref="V43" si="187">SUM(V41:V42)</f>
        <v>-1500</v>
      </c>
      <c r="W43" s="79">
        <f t="shared" ref="W43" si="188">SUM(W41:W42)</f>
        <v>-2460</v>
      </c>
      <c r="X43" s="78"/>
    </row>
    <row r="44" spans="1:57" s="693" customFormat="1" ht="21.95" customHeight="1">
      <c r="A44" s="1128"/>
      <c r="B44" s="81" t="s">
        <v>143</v>
      </c>
      <c r="C44" s="79">
        <f t="shared" ref="C44:W44" si="189">SUM(C40:C42)</f>
        <v>18802</v>
      </c>
      <c r="D44" s="79">
        <f t="shared" si="189"/>
        <v>18744</v>
      </c>
      <c r="E44" s="90">
        <f t="shared" si="189"/>
        <v>18711</v>
      </c>
      <c r="F44" s="90">
        <f t="shared" si="189"/>
        <v>18685</v>
      </c>
      <c r="G44" s="90">
        <f t="shared" si="189"/>
        <v>17007</v>
      </c>
      <c r="H44" s="79">
        <f t="shared" si="189"/>
        <v>17841</v>
      </c>
      <c r="I44" s="90">
        <f t="shared" si="189"/>
        <v>17953</v>
      </c>
      <c r="J44" s="90">
        <f t="shared" si="189"/>
        <v>18065</v>
      </c>
      <c r="K44" s="90">
        <f t="shared" si="189"/>
        <v>18177</v>
      </c>
      <c r="L44" s="90">
        <f t="shared" si="189"/>
        <v>18289</v>
      </c>
      <c r="M44" s="79">
        <f t="shared" si="189"/>
        <v>18169</v>
      </c>
      <c r="N44" s="90">
        <f t="shared" si="189"/>
        <v>18260</v>
      </c>
      <c r="O44" s="90">
        <f t="shared" si="189"/>
        <v>18351</v>
      </c>
      <c r="P44" s="90">
        <f t="shared" si="189"/>
        <v>18442</v>
      </c>
      <c r="Q44" s="90">
        <f t="shared" si="189"/>
        <v>18533</v>
      </c>
      <c r="R44" s="79">
        <f t="shared" si="189"/>
        <v>18626</v>
      </c>
      <c r="S44" s="90">
        <f t="shared" si="189"/>
        <v>18718</v>
      </c>
      <c r="T44" s="90">
        <f t="shared" si="189"/>
        <v>18810</v>
      </c>
      <c r="U44" s="90">
        <f t="shared" si="189"/>
        <v>18902</v>
      </c>
      <c r="V44" s="90">
        <f t="shared" si="189"/>
        <v>18994</v>
      </c>
      <c r="W44" s="79">
        <f t="shared" si="189"/>
        <v>18124</v>
      </c>
      <c r="X44" s="78"/>
      <c r="BE44" s="195"/>
    </row>
    <row r="45" spans="1:57" s="693" customFormat="1" ht="21.95" customHeight="1">
      <c r="A45" s="1128"/>
      <c r="B45" s="82" t="s">
        <v>1460</v>
      </c>
      <c r="C45" s="85">
        <f>+'조성법총괄(내부이동률 적용 전)출력x'!C20</f>
        <v>0</v>
      </c>
      <c r="D45" s="85">
        <f>+'조성법총괄(내부이동률 적용 전)출력x'!D20</f>
        <v>0</v>
      </c>
      <c r="E45" s="84">
        <f>+'조성법총괄(내부이동률 적용 전)출력x'!E20</f>
        <v>0</v>
      </c>
      <c r="F45" s="84">
        <f>+'조성법총괄(내부이동률 적용 전)출력x'!F20</f>
        <v>518</v>
      </c>
      <c r="G45" s="84">
        <f>+'조성법총괄(내부이동률 적용 전)출력x'!G20</f>
        <v>755</v>
      </c>
      <c r="H45" s="85">
        <f>+'조성법총괄(내부이동률 적용 전)출력x'!H20</f>
        <v>4101</v>
      </c>
      <c r="I45" s="84">
        <f>+'조성법총괄(내부이동률 적용 전)출력x'!I20</f>
        <v>4101</v>
      </c>
      <c r="J45" s="84">
        <f>+'조성법총괄(내부이동률 적용 전)출력x'!J20</f>
        <v>4101</v>
      </c>
      <c r="K45" s="84">
        <f>+'조성법총괄(내부이동률 적용 전)출력x'!K20</f>
        <v>4101</v>
      </c>
      <c r="L45" s="84">
        <f>+'조성법총괄(내부이동률 적용 전)출력x'!L20</f>
        <v>4101</v>
      </c>
      <c r="M45" s="85">
        <f>+'조성법총괄(내부이동률 적용 전)출력x'!M20</f>
        <v>5118</v>
      </c>
      <c r="N45" s="84">
        <f>+'조성법총괄(내부이동률 적용 전)출력x'!N20</f>
        <v>5118</v>
      </c>
      <c r="O45" s="84">
        <f>+'조성법총괄(내부이동률 적용 전)출력x'!O20</f>
        <v>5118</v>
      </c>
      <c r="P45" s="84">
        <f>+'조성법총괄(내부이동률 적용 전)출력x'!P20</f>
        <v>5118</v>
      </c>
      <c r="Q45" s="84">
        <f>+'조성법총괄(내부이동률 적용 전)출력x'!Q20</f>
        <v>5118</v>
      </c>
      <c r="R45" s="85">
        <f>+'조성법총괄(내부이동률 적용 전)출력x'!R20</f>
        <v>6759</v>
      </c>
      <c r="S45" s="84">
        <f>+'조성법총괄(내부이동률 적용 전)출력x'!S20</f>
        <v>6759</v>
      </c>
      <c r="T45" s="84">
        <f>+'조성법총괄(내부이동률 적용 전)출력x'!T20</f>
        <v>6759</v>
      </c>
      <c r="U45" s="84">
        <f>+'조성법총괄(내부이동률 적용 전)출력x'!U20</f>
        <v>6759</v>
      </c>
      <c r="V45" s="84">
        <f>+'조성법총괄(내부이동률 적용 전)출력x'!V20</f>
        <v>6759</v>
      </c>
      <c r="W45" s="85">
        <f>+'조성법총괄(내부이동률 적용 전)출력x'!W20</f>
        <v>12266</v>
      </c>
      <c r="X45" s="86"/>
      <c r="Z45" s="76"/>
      <c r="AA45" s="76"/>
      <c r="AB45" s="75"/>
      <c r="AC45" s="75"/>
      <c r="AD45" s="75"/>
      <c r="AE45" s="75"/>
      <c r="AF45" s="75"/>
      <c r="BE45" s="195"/>
    </row>
    <row r="46" spans="1:57" s="693" customFormat="1" ht="21.95" customHeight="1">
      <c r="A46" s="2346" t="s">
        <v>144</v>
      </c>
      <c r="B46" s="2347"/>
      <c r="C46" s="87">
        <f t="shared" ref="C46:V46" si="190">SUM(C44,C45)</f>
        <v>18802</v>
      </c>
      <c r="D46" s="87">
        <f t="shared" si="190"/>
        <v>18744</v>
      </c>
      <c r="E46" s="89">
        <f t="shared" si="190"/>
        <v>18711</v>
      </c>
      <c r="F46" s="89">
        <f t="shared" si="190"/>
        <v>19203</v>
      </c>
      <c r="G46" s="89">
        <f t="shared" si="190"/>
        <v>17762</v>
      </c>
      <c r="H46" s="87">
        <f t="shared" si="190"/>
        <v>21942</v>
      </c>
      <c r="I46" s="89">
        <f t="shared" si="190"/>
        <v>22054</v>
      </c>
      <c r="J46" s="89">
        <f t="shared" si="190"/>
        <v>22166</v>
      </c>
      <c r="K46" s="89">
        <f t="shared" si="190"/>
        <v>22278</v>
      </c>
      <c r="L46" s="89">
        <f t="shared" si="190"/>
        <v>22390</v>
      </c>
      <c r="M46" s="87">
        <f t="shared" si="190"/>
        <v>23287</v>
      </c>
      <c r="N46" s="89">
        <f t="shared" si="190"/>
        <v>23378</v>
      </c>
      <c r="O46" s="89">
        <f t="shared" si="190"/>
        <v>23469</v>
      </c>
      <c r="P46" s="89">
        <f t="shared" si="190"/>
        <v>23560</v>
      </c>
      <c r="Q46" s="89">
        <f t="shared" si="190"/>
        <v>23651</v>
      </c>
      <c r="R46" s="87">
        <f t="shared" si="190"/>
        <v>25385</v>
      </c>
      <c r="S46" s="89">
        <f t="shared" si="190"/>
        <v>25477</v>
      </c>
      <c r="T46" s="89">
        <f t="shared" si="190"/>
        <v>25569</v>
      </c>
      <c r="U46" s="89">
        <f t="shared" si="190"/>
        <v>25661</v>
      </c>
      <c r="V46" s="89">
        <f t="shared" si="190"/>
        <v>25753</v>
      </c>
      <c r="W46" s="87">
        <f>SUM(W44:W45)</f>
        <v>30390</v>
      </c>
      <c r="X46" s="88"/>
      <c r="Z46" s="39"/>
      <c r="AA46" s="39"/>
      <c r="AB46" s="75"/>
      <c r="AC46" s="75"/>
      <c r="AD46" s="75"/>
      <c r="AE46" s="75"/>
      <c r="AF46" s="75"/>
      <c r="BE46" s="195"/>
    </row>
    <row r="47" spans="1:57" s="693" customFormat="1" ht="21.95" customHeight="1">
      <c r="A47" s="1127" t="s">
        <v>707</v>
      </c>
      <c r="B47" s="83" t="s">
        <v>111</v>
      </c>
      <c r="C47" s="58">
        <f>+'조성법총괄(내부이동률 적용 전)출력x'!C22</f>
        <v>9571</v>
      </c>
      <c r="D47" s="58">
        <f>+'조성법총괄(내부이동률 적용 전)출력x'!D22</f>
        <v>9613</v>
      </c>
      <c r="E47" s="59">
        <f>+'조성법총괄(내부이동률 적용 전)출력x'!E22</f>
        <v>9580</v>
      </c>
      <c r="F47" s="59">
        <f>+'조성법총괄(내부이동률 적용 전)출력x'!F22</f>
        <v>9547</v>
      </c>
      <c r="G47" s="59">
        <f>+'조성법총괄(내부이동률 적용 전)출력x'!G22</f>
        <v>9514</v>
      </c>
      <c r="H47" s="58">
        <f>+'조성법총괄(내부이동률 적용 전)출력x'!H22</f>
        <v>9481</v>
      </c>
      <c r="I47" s="59">
        <f>+'조성법총괄(내부이동률 적용 전)출력x'!I22</f>
        <v>9467</v>
      </c>
      <c r="J47" s="59">
        <f>+'조성법총괄(내부이동률 적용 전)출력x'!J22</f>
        <v>9453</v>
      </c>
      <c r="K47" s="59">
        <f>+'조성법총괄(내부이동률 적용 전)출력x'!K22</f>
        <v>9439</v>
      </c>
      <c r="L47" s="59">
        <f>+'조성법총괄(내부이동률 적용 전)출력x'!L22</f>
        <v>9425</v>
      </c>
      <c r="M47" s="58">
        <f>+'조성법총괄(내부이동률 적용 전)출력x'!M22</f>
        <v>9412</v>
      </c>
      <c r="N47" s="59">
        <f>+'조성법총괄(내부이동률 적용 전)출력x'!N22</f>
        <v>9381</v>
      </c>
      <c r="O47" s="59">
        <f>+'조성법총괄(내부이동률 적용 전)출력x'!O22</f>
        <v>9350</v>
      </c>
      <c r="P47" s="59">
        <f>+'조성법총괄(내부이동률 적용 전)출력x'!P22</f>
        <v>9319</v>
      </c>
      <c r="Q47" s="59">
        <f>+'조성법총괄(내부이동률 적용 전)출력x'!Q22</f>
        <v>9288</v>
      </c>
      <c r="R47" s="58">
        <f>+'조성법총괄(내부이동률 적용 전)출력x'!R22</f>
        <v>9258</v>
      </c>
      <c r="S47" s="59">
        <f>+'조성법총괄(내부이동률 적용 전)출력x'!S22</f>
        <v>9217</v>
      </c>
      <c r="T47" s="59">
        <f>+'조성법총괄(내부이동률 적용 전)출력x'!T22</f>
        <v>9176</v>
      </c>
      <c r="U47" s="59">
        <f>+'조성법총괄(내부이동률 적용 전)출력x'!U22</f>
        <v>9135</v>
      </c>
      <c r="V47" s="59">
        <f>+'조성법총괄(내부이동률 적용 전)출력x'!V22</f>
        <v>9094</v>
      </c>
      <c r="W47" s="58">
        <f>+'조성법총괄(내부이동률 적용 전)출력x'!W22</f>
        <v>9054</v>
      </c>
      <c r="X47" s="77"/>
    </row>
    <row r="48" spans="1:57" s="693" customFormat="1" ht="21.95" hidden="1" customHeight="1" outlineLevel="1">
      <c r="A48" s="1128"/>
      <c r="B48" s="81" t="s">
        <v>578</v>
      </c>
      <c r="C48" s="79">
        <f>+'1.4.2내부이동근거'!D142</f>
        <v>0</v>
      </c>
      <c r="D48" s="79"/>
      <c r="E48" s="90">
        <f>+'1.4.2내부이동근거'!F142</f>
        <v>-48</v>
      </c>
      <c r="F48" s="90">
        <f>+'1.4.2내부이동근거'!G142</f>
        <v>-80</v>
      </c>
      <c r="G48" s="90">
        <f>+'1.4.2내부이동근거'!H142</f>
        <v>-139</v>
      </c>
      <c r="H48" s="79">
        <f>+'1.4.2내부이동근거'!I142</f>
        <v>-211</v>
      </c>
      <c r="I48" s="90">
        <f>+'1.4.2내부이동근거'!J142</f>
        <v>-211</v>
      </c>
      <c r="J48" s="90">
        <f>+'1.4.2내부이동근거'!K142</f>
        <v>-211</v>
      </c>
      <c r="K48" s="90">
        <f>+'1.4.2내부이동근거'!L142</f>
        <v>-211</v>
      </c>
      <c r="L48" s="90">
        <f>+'1.4.2내부이동근거'!M142</f>
        <v>-211</v>
      </c>
      <c r="M48" s="79">
        <f>+'1.4.2내부이동근거'!N142</f>
        <v>-290</v>
      </c>
      <c r="N48" s="90">
        <f>+'1.4.2내부이동근거'!O142</f>
        <v>-290</v>
      </c>
      <c r="O48" s="90">
        <f>+'1.4.2내부이동근거'!P142</f>
        <v>-290</v>
      </c>
      <c r="P48" s="90">
        <f>+'1.4.2내부이동근거'!Q142</f>
        <v>-290</v>
      </c>
      <c r="Q48" s="90">
        <f>+'1.4.2내부이동근거'!R142</f>
        <v>-290</v>
      </c>
      <c r="R48" s="79">
        <f>+'1.4.2내부이동근거'!S142</f>
        <v>-290</v>
      </c>
      <c r="S48" s="90">
        <f>+'1.4.2내부이동근거'!T142</f>
        <v>-290</v>
      </c>
      <c r="T48" s="90">
        <f>+'1.4.2내부이동근거'!U142</f>
        <v>-290</v>
      </c>
      <c r="U48" s="90">
        <f>+'1.4.2내부이동근거'!V142</f>
        <v>-290</v>
      </c>
      <c r="V48" s="90">
        <f>+'1.4.2내부이동근거'!W142</f>
        <v>-290</v>
      </c>
      <c r="W48" s="79">
        <f>+'1.4.2내부이동근거'!X142</f>
        <v>-1182</v>
      </c>
      <c r="X48" s="78"/>
    </row>
    <row r="49" spans="1:57" s="693" customFormat="1" ht="21.95" hidden="1" customHeight="1" outlineLevel="1">
      <c r="A49" s="1128"/>
      <c r="B49" s="81" t="s">
        <v>165</v>
      </c>
      <c r="C49" s="79"/>
      <c r="D49" s="79"/>
      <c r="E49" s="79">
        <f>'1.4.2내부이동근거'!Q12</f>
        <v>-25</v>
      </c>
      <c r="F49" s="79">
        <f>E49</f>
        <v>-25</v>
      </c>
      <c r="G49" s="79">
        <f t="shared" ref="G49:W49" si="191">F49</f>
        <v>-25</v>
      </c>
      <c r="H49" s="79">
        <f t="shared" si="191"/>
        <v>-25</v>
      </c>
      <c r="I49" s="79">
        <f t="shared" si="191"/>
        <v>-25</v>
      </c>
      <c r="J49" s="79">
        <f t="shared" si="191"/>
        <v>-25</v>
      </c>
      <c r="K49" s="79">
        <f t="shared" si="191"/>
        <v>-25</v>
      </c>
      <c r="L49" s="79">
        <f t="shared" si="191"/>
        <v>-25</v>
      </c>
      <c r="M49" s="79">
        <f t="shared" si="191"/>
        <v>-25</v>
      </c>
      <c r="N49" s="79">
        <f t="shared" si="191"/>
        <v>-25</v>
      </c>
      <c r="O49" s="79">
        <f t="shared" si="191"/>
        <v>-25</v>
      </c>
      <c r="P49" s="79">
        <f t="shared" si="191"/>
        <v>-25</v>
      </c>
      <c r="Q49" s="79">
        <f t="shared" si="191"/>
        <v>-25</v>
      </c>
      <c r="R49" s="79">
        <f t="shared" si="191"/>
        <v>-25</v>
      </c>
      <c r="S49" s="79">
        <f t="shared" si="191"/>
        <v>-25</v>
      </c>
      <c r="T49" s="79">
        <f t="shared" si="191"/>
        <v>-25</v>
      </c>
      <c r="U49" s="79">
        <f t="shared" si="191"/>
        <v>-25</v>
      </c>
      <c r="V49" s="79">
        <f t="shared" si="191"/>
        <v>-25</v>
      </c>
      <c r="W49" s="79">
        <f t="shared" si="191"/>
        <v>-25</v>
      </c>
      <c r="X49" s="78"/>
    </row>
    <row r="50" spans="1:57" s="693" customFormat="1" ht="21.95" customHeight="1" collapsed="1">
      <c r="A50" s="1128"/>
      <c r="B50" s="81" t="s">
        <v>1459</v>
      </c>
      <c r="C50" s="79"/>
      <c r="D50" s="79">
        <f>SUM(D48:D49)</f>
        <v>0</v>
      </c>
      <c r="E50" s="79">
        <f t="shared" ref="E50" si="192">SUM(E48:E49)</f>
        <v>-73</v>
      </c>
      <c r="F50" s="79">
        <f t="shared" ref="F50" si="193">SUM(F48:F49)</f>
        <v>-105</v>
      </c>
      <c r="G50" s="79">
        <f t="shared" ref="G50" si="194">SUM(G48:G49)</f>
        <v>-164</v>
      </c>
      <c r="H50" s="79">
        <f t="shared" ref="H50" si="195">SUM(H48:H49)</f>
        <v>-236</v>
      </c>
      <c r="I50" s="79">
        <f t="shared" ref="I50" si="196">SUM(I48:I49)</f>
        <v>-236</v>
      </c>
      <c r="J50" s="79">
        <f t="shared" ref="J50" si="197">SUM(J48:J49)</f>
        <v>-236</v>
      </c>
      <c r="K50" s="79">
        <f t="shared" ref="K50" si="198">SUM(K48:K49)</f>
        <v>-236</v>
      </c>
      <c r="L50" s="79">
        <f t="shared" ref="L50" si="199">SUM(L48:L49)</f>
        <v>-236</v>
      </c>
      <c r="M50" s="79">
        <f t="shared" ref="M50" si="200">SUM(M48:M49)</f>
        <v>-315</v>
      </c>
      <c r="N50" s="79">
        <f t="shared" ref="N50" si="201">SUM(N48:N49)</f>
        <v>-315</v>
      </c>
      <c r="O50" s="79">
        <f t="shared" ref="O50" si="202">SUM(O48:O49)</f>
        <v>-315</v>
      </c>
      <c r="P50" s="79">
        <f t="shared" ref="P50" si="203">SUM(P48:P49)</f>
        <v>-315</v>
      </c>
      <c r="Q50" s="79">
        <f t="shared" ref="Q50" si="204">SUM(Q48:Q49)</f>
        <v>-315</v>
      </c>
      <c r="R50" s="79">
        <f t="shared" ref="R50" si="205">SUM(R48:R49)</f>
        <v>-315</v>
      </c>
      <c r="S50" s="79">
        <f t="shared" ref="S50" si="206">SUM(S48:S49)</f>
        <v>-315</v>
      </c>
      <c r="T50" s="79">
        <f t="shared" ref="T50" si="207">SUM(T48:T49)</f>
        <v>-315</v>
      </c>
      <c r="U50" s="79">
        <f t="shared" ref="U50" si="208">SUM(U48:U49)</f>
        <v>-315</v>
      </c>
      <c r="V50" s="79">
        <f t="shared" ref="V50" si="209">SUM(V48:V49)</f>
        <v>-315</v>
      </c>
      <c r="W50" s="79">
        <f t="shared" ref="W50" si="210">SUM(W48:W49)</f>
        <v>-1207</v>
      </c>
      <c r="X50" s="78"/>
      <c r="BE50" s="195"/>
    </row>
    <row r="51" spans="1:57" s="693" customFormat="1" ht="21.95" customHeight="1">
      <c r="A51" s="1128"/>
      <c r="B51" s="81" t="s">
        <v>143</v>
      </c>
      <c r="C51" s="79">
        <f t="shared" ref="C51:W51" si="211">SUM(C47:C49)</f>
        <v>9571</v>
      </c>
      <c r="D51" s="79">
        <f t="shared" si="211"/>
        <v>9613</v>
      </c>
      <c r="E51" s="90">
        <f t="shared" si="211"/>
        <v>9507</v>
      </c>
      <c r="F51" s="90">
        <f t="shared" si="211"/>
        <v>9442</v>
      </c>
      <c r="G51" s="90">
        <f t="shared" si="211"/>
        <v>9350</v>
      </c>
      <c r="H51" s="79">
        <f t="shared" si="211"/>
        <v>9245</v>
      </c>
      <c r="I51" s="90">
        <f t="shared" si="211"/>
        <v>9231</v>
      </c>
      <c r="J51" s="90">
        <f t="shared" si="211"/>
        <v>9217</v>
      </c>
      <c r="K51" s="90">
        <f t="shared" si="211"/>
        <v>9203</v>
      </c>
      <c r="L51" s="90">
        <f t="shared" si="211"/>
        <v>9189</v>
      </c>
      <c r="M51" s="79">
        <f t="shared" si="211"/>
        <v>9097</v>
      </c>
      <c r="N51" s="90">
        <f t="shared" si="211"/>
        <v>9066</v>
      </c>
      <c r="O51" s="90">
        <f t="shared" si="211"/>
        <v>9035</v>
      </c>
      <c r="P51" s="90">
        <f t="shared" si="211"/>
        <v>9004</v>
      </c>
      <c r="Q51" s="90">
        <f t="shared" si="211"/>
        <v>8973</v>
      </c>
      <c r="R51" s="79">
        <f t="shared" si="211"/>
        <v>8943</v>
      </c>
      <c r="S51" s="90">
        <f t="shared" si="211"/>
        <v>8902</v>
      </c>
      <c r="T51" s="90">
        <f t="shared" si="211"/>
        <v>8861</v>
      </c>
      <c r="U51" s="90">
        <f t="shared" si="211"/>
        <v>8820</v>
      </c>
      <c r="V51" s="90">
        <f t="shared" si="211"/>
        <v>8779</v>
      </c>
      <c r="W51" s="79">
        <f t="shared" si="211"/>
        <v>7847</v>
      </c>
      <c r="X51" s="78"/>
      <c r="Z51" s="76"/>
      <c r="AA51" s="76"/>
      <c r="AB51" s="75"/>
      <c r="AC51" s="75"/>
      <c r="AD51" s="75"/>
      <c r="AE51" s="75"/>
      <c r="AF51" s="75"/>
      <c r="BE51" s="195"/>
    </row>
    <row r="52" spans="1:57" s="693" customFormat="1" ht="21.95" customHeight="1">
      <c r="A52" s="1128"/>
      <c r="B52" s="82" t="s">
        <v>1460</v>
      </c>
      <c r="C52" s="85">
        <f>+'조성법총괄(내부이동률 적용 전)출력x'!C23</f>
        <v>0</v>
      </c>
      <c r="D52" s="85">
        <f>+'조성법총괄(내부이동률 적용 전)출력x'!D23</f>
        <v>0</v>
      </c>
      <c r="E52" s="84">
        <f>+'조성법총괄(내부이동률 적용 전)출력x'!E23</f>
        <v>0</v>
      </c>
      <c r="F52" s="84">
        <f>+'조성법총괄(내부이동률 적용 전)출력x'!F23</f>
        <v>0</v>
      </c>
      <c r="G52" s="84">
        <f>+'조성법총괄(내부이동률 적용 전)출력x'!G23</f>
        <v>0</v>
      </c>
      <c r="H52" s="85">
        <f>+'조성법총괄(내부이동률 적용 전)출력x'!H23</f>
        <v>0</v>
      </c>
      <c r="I52" s="84">
        <f>+'조성법총괄(내부이동률 적용 전)출력x'!I23</f>
        <v>0</v>
      </c>
      <c r="J52" s="84">
        <f>+'조성법총괄(내부이동률 적용 전)출력x'!J23</f>
        <v>0</v>
      </c>
      <c r="K52" s="84">
        <f>+'조성법총괄(내부이동률 적용 전)출력x'!K23</f>
        <v>0</v>
      </c>
      <c r="L52" s="84">
        <f>+'조성법총괄(내부이동률 적용 전)출력x'!L23</f>
        <v>0</v>
      </c>
      <c r="M52" s="85">
        <f>+'조성법총괄(내부이동률 적용 전)출력x'!M23</f>
        <v>537</v>
      </c>
      <c r="N52" s="84">
        <f>+'조성법총괄(내부이동률 적용 전)출력x'!N23</f>
        <v>537</v>
      </c>
      <c r="O52" s="84">
        <f>+'조성법총괄(내부이동률 적용 전)출력x'!O23</f>
        <v>537</v>
      </c>
      <c r="P52" s="84">
        <f>+'조성법총괄(내부이동률 적용 전)출력x'!P23</f>
        <v>537</v>
      </c>
      <c r="Q52" s="84">
        <f>+'조성법총괄(내부이동률 적용 전)출력x'!Q23</f>
        <v>537</v>
      </c>
      <c r="R52" s="85">
        <f>+'조성법총괄(내부이동률 적용 전)출력x'!R23</f>
        <v>537</v>
      </c>
      <c r="S52" s="84">
        <f>+'조성법총괄(내부이동률 적용 전)출력x'!S23</f>
        <v>537</v>
      </c>
      <c r="T52" s="84">
        <f>+'조성법총괄(내부이동률 적용 전)출력x'!T23</f>
        <v>537</v>
      </c>
      <c r="U52" s="84">
        <f>+'조성법총괄(내부이동률 적용 전)출력x'!U23</f>
        <v>537</v>
      </c>
      <c r="V52" s="84">
        <f>+'조성법총괄(내부이동률 적용 전)출력x'!V23</f>
        <v>537</v>
      </c>
      <c r="W52" s="85">
        <f>+'조성법총괄(내부이동률 적용 전)출력x'!W23</f>
        <v>3645</v>
      </c>
      <c r="X52" s="86"/>
      <c r="Z52" s="39"/>
      <c r="AA52" s="39"/>
      <c r="AB52" s="75"/>
      <c r="AC52" s="75"/>
      <c r="AD52" s="75"/>
      <c r="AE52" s="75"/>
      <c r="AF52" s="75"/>
      <c r="BE52" s="195"/>
    </row>
    <row r="53" spans="1:57" ht="21.95" customHeight="1">
      <c r="A53" s="2346" t="s">
        <v>144</v>
      </c>
      <c r="B53" s="2347"/>
      <c r="C53" s="87">
        <f t="shared" ref="C53:V53" si="212">SUM(C51,C52)</f>
        <v>9571</v>
      </c>
      <c r="D53" s="87">
        <f t="shared" si="212"/>
        <v>9613</v>
      </c>
      <c r="E53" s="89">
        <f t="shared" si="212"/>
        <v>9507</v>
      </c>
      <c r="F53" s="89">
        <f t="shared" si="212"/>
        <v>9442</v>
      </c>
      <c r="G53" s="89">
        <f t="shared" si="212"/>
        <v>9350</v>
      </c>
      <c r="H53" s="87">
        <f t="shared" si="212"/>
        <v>9245</v>
      </c>
      <c r="I53" s="89">
        <f t="shared" si="212"/>
        <v>9231</v>
      </c>
      <c r="J53" s="89">
        <f t="shared" si="212"/>
        <v>9217</v>
      </c>
      <c r="K53" s="89">
        <f t="shared" si="212"/>
        <v>9203</v>
      </c>
      <c r="L53" s="89">
        <f t="shared" si="212"/>
        <v>9189</v>
      </c>
      <c r="M53" s="87">
        <f t="shared" si="212"/>
        <v>9634</v>
      </c>
      <c r="N53" s="89">
        <f t="shared" si="212"/>
        <v>9603</v>
      </c>
      <c r="O53" s="89">
        <f t="shared" si="212"/>
        <v>9572</v>
      </c>
      <c r="P53" s="89">
        <f t="shared" si="212"/>
        <v>9541</v>
      </c>
      <c r="Q53" s="89">
        <f t="shared" si="212"/>
        <v>9510</v>
      </c>
      <c r="R53" s="87">
        <f t="shared" si="212"/>
        <v>9480</v>
      </c>
      <c r="S53" s="89">
        <f t="shared" si="212"/>
        <v>9439</v>
      </c>
      <c r="T53" s="89">
        <f t="shared" si="212"/>
        <v>9398</v>
      </c>
      <c r="U53" s="89">
        <f t="shared" si="212"/>
        <v>9357</v>
      </c>
      <c r="V53" s="89">
        <f t="shared" si="212"/>
        <v>9316</v>
      </c>
      <c r="W53" s="87">
        <f>SUM(W51:W52)</f>
        <v>11492</v>
      </c>
      <c r="X53" s="88"/>
    </row>
    <row r="54" spans="1:57" ht="21.95" customHeight="1">
      <c r="A54" s="1127" t="s">
        <v>708</v>
      </c>
      <c r="B54" s="83" t="s">
        <v>111</v>
      </c>
      <c r="C54" s="58">
        <f>+'조성법총괄(내부이동률 적용 전)출력x'!C25</f>
        <v>5351</v>
      </c>
      <c r="D54" s="58">
        <f>+'조성법총괄(내부이동률 적용 전)출력x'!D25</f>
        <v>5403</v>
      </c>
      <c r="E54" s="59">
        <f>+'조성법총괄(내부이동률 적용 전)출력x'!E25</f>
        <v>5358</v>
      </c>
      <c r="F54" s="59">
        <f>+'조성법총괄(내부이동률 적용 전)출력x'!F25</f>
        <v>5313</v>
      </c>
      <c r="G54" s="59">
        <f>+'조성법총괄(내부이동률 적용 전)출력x'!G25</f>
        <v>5268</v>
      </c>
      <c r="H54" s="58">
        <f>+'조성법총괄(내부이동률 적용 전)출력x'!H25</f>
        <v>5223</v>
      </c>
      <c r="I54" s="59">
        <f>+'조성법총괄(내부이동률 적용 전)출력x'!I25</f>
        <v>5194</v>
      </c>
      <c r="J54" s="59">
        <f>+'조성법총괄(내부이동률 적용 전)출력x'!J25</f>
        <v>5165</v>
      </c>
      <c r="K54" s="59">
        <f>+'조성법총괄(내부이동률 적용 전)출력x'!K25</f>
        <v>5136</v>
      </c>
      <c r="L54" s="59">
        <f>+'조성법총괄(내부이동률 적용 전)출력x'!L25</f>
        <v>5107</v>
      </c>
      <c r="M54" s="58">
        <f>+'조성법총괄(내부이동률 적용 전)출력x'!M25</f>
        <v>5080</v>
      </c>
      <c r="N54" s="59">
        <f>+'조성법총괄(내부이동률 적용 전)출력x'!N25</f>
        <v>5040</v>
      </c>
      <c r="O54" s="59">
        <f>+'조성법총괄(내부이동률 적용 전)출력x'!O25</f>
        <v>5000</v>
      </c>
      <c r="P54" s="59">
        <f>+'조성법총괄(내부이동률 적용 전)출력x'!P25</f>
        <v>4960</v>
      </c>
      <c r="Q54" s="59">
        <f>+'조성법총괄(내부이동률 적용 전)출력x'!Q25</f>
        <v>4920</v>
      </c>
      <c r="R54" s="58">
        <f>+'조성법총괄(내부이동률 적용 전)출력x'!R25</f>
        <v>4880</v>
      </c>
      <c r="S54" s="59">
        <f>+'조성법총괄(내부이동률 적용 전)출력x'!S25</f>
        <v>4837</v>
      </c>
      <c r="T54" s="59">
        <f>+'조성법총괄(내부이동률 적용 전)출력x'!T25</f>
        <v>4794</v>
      </c>
      <c r="U54" s="59">
        <f>+'조성법총괄(내부이동률 적용 전)출력x'!U25</f>
        <v>4751</v>
      </c>
      <c r="V54" s="59">
        <f>+'조성법총괄(내부이동률 적용 전)출력x'!V25</f>
        <v>4708</v>
      </c>
      <c r="W54" s="58">
        <f>+'조성법총괄(내부이동률 적용 전)출력x'!W25</f>
        <v>4663</v>
      </c>
      <c r="X54" s="77"/>
    </row>
    <row r="55" spans="1:57" ht="21.95" hidden="1" customHeight="1" outlineLevel="1">
      <c r="A55" s="1128"/>
      <c r="B55" s="81" t="s">
        <v>578</v>
      </c>
      <c r="C55" s="79">
        <f>+'1.4.2내부이동근거'!D148</f>
        <v>0</v>
      </c>
      <c r="D55" s="79"/>
      <c r="E55" s="90">
        <f>+'1.4.2내부이동근거'!F148</f>
        <v>-718</v>
      </c>
      <c r="F55" s="90">
        <f>+'1.4.2내부이동근거'!G148</f>
        <v>-816</v>
      </c>
      <c r="G55" s="90">
        <f>+'1.4.2내부이동근거'!H148</f>
        <v>-915</v>
      </c>
      <c r="H55" s="79">
        <f>+'1.4.2내부이동근거'!I148</f>
        <v>-1013</v>
      </c>
      <c r="I55" s="90">
        <f>+'1.4.2내부이동근거'!J148</f>
        <v>-1013</v>
      </c>
      <c r="J55" s="90">
        <f>+'1.4.2내부이동근거'!K148</f>
        <v>-1013</v>
      </c>
      <c r="K55" s="90">
        <f>+'1.4.2내부이동근거'!L148</f>
        <v>-1013</v>
      </c>
      <c r="L55" s="90">
        <f>+'1.4.2내부이동근거'!M148</f>
        <v>-1013</v>
      </c>
      <c r="M55" s="79">
        <f>+'1.4.2내부이동근거'!N148</f>
        <v>-1013</v>
      </c>
      <c r="N55" s="90">
        <f>+'1.4.2내부이동근거'!O148</f>
        <v>-1013</v>
      </c>
      <c r="O55" s="90">
        <f>+'1.4.2내부이동근거'!P148</f>
        <v>-1013</v>
      </c>
      <c r="P55" s="90">
        <f>+'1.4.2내부이동근거'!Q148</f>
        <v>-1013</v>
      </c>
      <c r="Q55" s="90">
        <f>+'1.4.2내부이동근거'!R148</f>
        <v>-1013</v>
      </c>
      <c r="R55" s="79">
        <f>+'1.4.2내부이동근거'!S148</f>
        <v>-1013</v>
      </c>
      <c r="S55" s="90">
        <f>+'1.4.2내부이동근거'!T148</f>
        <v>-1013</v>
      </c>
      <c r="T55" s="90">
        <f>+'1.4.2내부이동근거'!U148</f>
        <v>-1013</v>
      </c>
      <c r="U55" s="90">
        <f>+'1.4.2내부이동근거'!V148</f>
        <v>-1013</v>
      </c>
      <c r="V55" s="90">
        <f>+'1.4.2내부이동근거'!W148</f>
        <v>-1013</v>
      </c>
      <c r="W55" s="79">
        <f>+'1.4.2내부이동근거'!X148</f>
        <v>-1289</v>
      </c>
      <c r="X55" s="78"/>
    </row>
    <row r="56" spans="1:57" ht="21.95" hidden="1" customHeight="1" outlineLevel="1">
      <c r="A56" s="1128"/>
      <c r="B56" s="81" t="s">
        <v>165</v>
      </c>
      <c r="C56" s="79"/>
      <c r="D56" s="79"/>
      <c r="E56" s="79">
        <f>'1.4.2내부이동근거'!Q13</f>
        <v>-15</v>
      </c>
      <c r="F56" s="79">
        <f>E56</f>
        <v>-15</v>
      </c>
      <c r="G56" s="79">
        <f t="shared" ref="G56:W56" si="213">F56</f>
        <v>-15</v>
      </c>
      <c r="H56" s="79">
        <f t="shared" si="213"/>
        <v>-15</v>
      </c>
      <c r="I56" s="79">
        <f t="shared" si="213"/>
        <v>-15</v>
      </c>
      <c r="J56" s="79">
        <f t="shared" si="213"/>
        <v>-15</v>
      </c>
      <c r="K56" s="79">
        <f t="shared" si="213"/>
        <v>-15</v>
      </c>
      <c r="L56" s="79">
        <f t="shared" si="213"/>
        <v>-15</v>
      </c>
      <c r="M56" s="79">
        <f t="shared" si="213"/>
        <v>-15</v>
      </c>
      <c r="N56" s="79">
        <f t="shared" si="213"/>
        <v>-15</v>
      </c>
      <c r="O56" s="79">
        <f t="shared" si="213"/>
        <v>-15</v>
      </c>
      <c r="P56" s="79">
        <f t="shared" si="213"/>
        <v>-15</v>
      </c>
      <c r="Q56" s="79">
        <f t="shared" si="213"/>
        <v>-15</v>
      </c>
      <c r="R56" s="79">
        <f t="shared" si="213"/>
        <v>-15</v>
      </c>
      <c r="S56" s="79">
        <f t="shared" si="213"/>
        <v>-15</v>
      </c>
      <c r="T56" s="79">
        <f t="shared" si="213"/>
        <v>-15</v>
      </c>
      <c r="U56" s="79">
        <f t="shared" si="213"/>
        <v>-15</v>
      </c>
      <c r="V56" s="79">
        <f t="shared" si="213"/>
        <v>-15</v>
      </c>
      <c r="W56" s="79">
        <f t="shared" si="213"/>
        <v>-15</v>
      </c>
      <c r="X56" s="78"/>
      <c r="BE56" s="195"/>
    </row>
    <row r="57" spans="1:57" ht="21.95" customHeight="1" collapsed="1">
      <c r="A57" s="1128"/>
      <c r="B57" s="81" t="s">
        <v>1459</v>
      </c>
      <c r="C57" s="79"/>
      <c r="D57" s="79">
        <f>SUM(D55:D56)</f>
        <v>0</v>
      </c>
      <c r="E57" s="79">
        <f t="shared" ref="E57" si="214">SUM(E55:E56)</f>
        <v>-733</v>
      </c>
      <c r="F57" s="79">
        <f t="shared" ref="F57" si="215">SUM(F55:F56)</f>
        <v>-831</v>
      </c>
      <c r="G57" s="79">
        <f t="shared" ref="G57" si="216">SUM(G55:G56)</f>
        <v>-930</v>
      </c>
      <c r="H57" s="79">
        <f t="shared" ref="H57" si="217">SUM(H55:H56)</f>
        <v>-1028</v>
      </c>
      <c r="I57" s="79">
        <f t="shared" ref="I57" si="218">SUM(I55:I56)</f>
        <v>-1028</v>
      </c>
      <c r="J57" s="79">
        <f t="shared" ref="J57" si="219">SUM(J55:J56)</f>
        <v>-1028</v>
      </c>
      <c r="K57" s="79">
        <f t="shared" ref="K57" si="220">SUM(K55:K56)</f>
        <v>-1028</v>
      </c>
      <c r="L57" s="79">
        <f t="shared" ref="L57" si="221">SUM(L55:L56)</f>
        <v>-1028</v>
      </c>
      <c r="M57" s="79">
        <f t="shared" ref="M57" si="222">SUM(M55:M56)</f>
        <v>-1028</v>
      </c>
      <c r="N57" s="79">
        <f t="shared" ref="N57" si="223">SUM(N55:N56)</f>
        <v>-1028</v>
      </c>
      <c r="O57" s="79">
        <f t="shared" ref="O57" si="224">SUM(O55:O56)</f>
        <v>-1028</v>
      </c>
      <c r="P57" s="79">
        <f t="shared" ref="P57" si="225">SUM(P55:P56)</f>
        <v>-1028</v>
      </c>
      <c r="Q57" s="79">
        <f t="shared" ref="Q57" si="226">SUM(Q55:Q56)</f>
        <v>-1028</v>
      </c>
      <c r="R57" s="79">
        <f t="shared" ref="R57" si="227">SUM(R55:R56)</f>
        <v>-1028</v>
      </c>
      <c r="S57" s="79">
        <f t="shared" ref="S57" si="228">SUM(S55:S56)</f>
        <v>-1028</v>
      </c>
      <c r="T57" s="79">
        <f t="shared" ref="T57" si="229">SUM(T55:T56)</f>
        <v>-1028</v>
      </c>
      <c r="U57" s="79">
        <f t="shared" ref="U57" si="230">SUM(U55:U56)</f>
        <v>-1028</v>
      </c>
      <c r="V57" s="79">
        <f t="shared" ref="V57" si="231">SUM(V55:V56)</f>
        <v>-1028</v>
      </c>
      <c r="W57" s="79">
        <f t="shared" ref="W57" si="232">SUM(W55:W56)</f>
        <v>-1304</v>
      </c>
      <c r="X57" s="78"/>
      <c r="Z57" s="76"/>
      <c r="AA57" s="76"/>
      <c r="AB57" s="75"/>
      <c r="AC57" s="75"/>
      <c r="AD57" s="75"/>
      <c r="AE57" s="75"/>
      <c r="AF57" s="75"/>
      <c r="BE57" s="195"/>
    </row>
    <row r="58" spans="1:57" ht="21.95" customHeight="1">
      <c r="A58" s="1128"/>
      <c r="B58" s="81" t="s">
        <v>143</v>
      </c>
      <c r="C58" s="79">
        <f t="shared" ref="C58:W58" si="233">SUM(C54:C56)</f>
        <v>5351</v>
      </c>
      <c r="D58" s="79">
        <f t="shared" si="233"/>
        <v>5403</v>
      </c>
      <c r="E58" s="90">
        <f t="shared" si="233"/>
        <v>4625</v>
      </c>
      <c r="F58" s="90">
        <f t="shared" si="233"/>
        <v>4482</v>
      </c>
      <c r="G58" s="90">
        <f t="shared" si="233"/>
        <v>4338</v>
      </c>
      <c r="H58" s="79">
        <f t="shared" si="233"/>
        <v>4195</v>
      </c>
      <c r="I58" s="90">
        <f t="shared" si="233"/>
        <v>4166</v>
      </c>
      <c r="J58" s="90">
        <f t="shared" si="233"/>
        <v>4137</v>
      </c>
      <c r="K58" s="90">
        <f t="shared" si="233"/>
        <v>4108</v>
      </c>
      <c r="L58" s="90">
        <f t="shared" si="233"/>
        <v>4079</v>
      </c>
      <c r="M58" s="79">
        <f t="shared" si="233"/>
        <v>4052</v>
      </c>
      <c r="N58" s="90">
        <f t="shared" si="233"/>
        <v>4012</v>
      </c>
      <c r="O58" s="90">
        <f t="shared" si="233"/>
        <v>3972</v>
      </c>
      <c r="P58" s="90">
        <f t="shared" si="233"/>
        <v>3932</v>
      </c>
      <c r="Q58" s="90">
        <f t="shared" si="233"/>
        <v>3892</v>
      </c>
      <c r="R58" s="79">
        <f t="shared" si="233"/>
        <v>3852</v>
      </c>
      <c r="S58" s="90">
        <f t="shared" si="233"/>
        <v>3809</v>
      </c>
      <c r="T58" s="90">
        <f t="shared" si="233"/>
        <v>3766</v>
      </c>
      <c r="U58" s="90">
        <f t="shared" si="233"/>
        <v>3723</v>
      </c>
      <c r="V58" s="90">
        <f t="shared" si="233"/>
        <v>3680</v>
      </c>
      <c r="W58" s="79">
        <f t="shared" si="233"/>
        <v>3359</v>
      </c>
      <c r="X58" s="78"/>
      <c r="Z58" s="39"/>
      <c r="AA58" s="39"/>
      <c r="AB58" s="75"/>
      <c r="AC58" s="75"/>
      <c r="AD58" s="75"/>
      <c r="AE58" s="75"/>
      <c r="AF58" s="75"/>
      <c r="BE58" s="195"/>
    </row>
    <row r="59" spans="1:57" ht="21.95" customHeight="1">
      <c r="A59" s="1128"/>
      <c r="B59" s="82" t="s">
        <v>1460</v>
      </c>
      <c r="C59" s="85">
        <f>+'조성법총괄(내부이동률 적용 전)출력x'!C23</f>
        <v>0</v>
      </c>
      <c r="D59" s="85">
        <f>+'조성법총괄(내부이동률 적용 전)출력x'!D26</f>
        <v>0</v>
      </c>
      <c r="E59" s="84">
        <f>+'조성법총괄(내부이동률 적용 전)출력x'!E26</f>
        <v>0</v>
      </c>
      <c r="F59" s="84">
        <f>+'조성법총괄(내부이동률 적용 전)출력x'!F26</f>
        <v>0</v>
      </c>
      <c r="G59" s="84">
        <f>+'조성법총괄(내부이동률 적용 전)출력x'!G26</f>
        <v>236</v>
      </c>
      <c r="H59" s="85">
        <f>+'조성법총괄(내부이동률 적용 전)출력x'!H26</f>
        <v>415</v>
      </c>
      <c r="I59" s="84">
        <f>+'조성법총괄(내부이동률 적용 전)출력x'!I26</f>
        <v>417</v>
      </c>
      <c r="J59" s="84">
        <f>+'조성법총괄(내부이동률 적용 전)출력x'!J26</f>
        <v>419</v>
      </c>
      <c r="K59" s="84">
        <f>+'조성법총괄(내부이동률 적용 전)출력x'!K26</f>
        <v>419</v>
      </c>
      <c r="L59" s="84">
        <f>+'조성법총괄(내부이동률 적용 전)출력x'!L26</f>
        <v>419</v>
      </c>
      <c r="M59" s="85">
        <f>+'조성법총괄(내부이동률 적용 전)출력x'!M26</f>
        <v>419</v>
      </c>
      <c r="N59" s="84">
        <f>+'조성법총괄(내부이동률 적용 전)출력x'!N23</f>
        <v>537</v>
      </c>
      <c r="O59" s="84">
        <f>+'조성법총괄(내부이동률 적용 전)출력x'!O23</f>
        <v>537</v>
      </c>
      <c r="P59" s="84">
        <f>+'조성법총괄(내부이동률 적용 전)출력x'!P23</f>
        <v>537</v>
      </c>
      <c r="Q59" s="84">
        <f>+'조성법총괄(내부이동률 적용 전)출력x'!Q23</f>
        <v>537</v>
      </c>
      <c r="R59" s="85">
        <f>+'조성법총괄(내부이동률 적용 전)출력x'!R26</f>
        <v>419</v>
      </c>
      <c r="S59" s="84">
        <f>+'조성법총괄(내부이동률 적용 전)출력x'!S26</f>
        <v>419</v>
      </c>
      <c r="T59" s="84">
        <f>+'조성법총괄(내부이동률 적용 전)출력x'!T26</f>
        <v>419</v>
      </c>
      <c r="U59" s="84">
        <f>+'조성법총괄(내부이동률 적용 전)출력x'!U26</f>
        <v>419</v>
      </c>
      <c r="V59" s="84">
        <f>+'조성법총괄(내부이동률 적용 전)출력x'!V26</f>
        <v>419</v>
      </c>
      <c r="W59" s="85">
        <f>+'조성법총괄(내부이동률 적용 전)출력x'!W26</f>
        <v>2750</v>
      </c>
      <c r="X59" s="86"/>
      <c r="Z59" s="686"/>
      <c r="AA59" s="39"/>
      <c r="AB59" s="75"/>
      <c r="AC59" s="75"/>
      <c r="AD59" s="75"/>
      <c r="AE59" s="75"/>
      <c r="AF59" s="75"/>
      <c r="BE59" s="195"/>
    </row>
    <row r="60" spans="1:57" ht="21.95" customHeight="1">
      <c r="A60" s="2346" t="s">
        <v>144</v>
      </c>
      <c r="B60" s="2347"/>
      <c r="C60" s="87">
        <f t="shared" ref="C60:V60" si="234">SUM(C58,C59)</f>
        <v>5351</v>
      </c>
      <c r="D60" s="87">
        <f t="shared" si="234"/>
        <v>5403</v>
      </c>
      <c r="E60" s="89">
        <f t="shared" si="234"/>
        <v>4625</v>
      </c>
      <c r="F60" s="89">
        <f t="shared" si="234"/>
        <v>4482</v>
      </c>
      <c r="G60" s="89">
        <f t="shared" si="234"/>
        <v>4574</v>
      </c>
      <c r="H60" s="87">
        <f t="shared" si="234"/>
        <v>4610</v>
      </c>
      <c r="I60" s="89">
        <f t="shared" si="234"/>
        <v>4583</v>
      </c>
      <c r="J60" s="89">
        <f t="shared" si="234"/>
        <v>4556</v>
      </c>
      <c r="K60" s="89">
        <f t="shared" si="234"/>
        <v>4527</v>
      </c>
      <c r="L60" s="89">
        <f t="shared" si="234"/>
        <v>4498</v>
      </c>
      <c r="M60" s="87">
        <f t="shared" si="234"/>
        <v>4471</v>
      </c>
      <c r="N60" s="89">
        <f t="shared" si="234"/>
        <v>4549</v>
      </c>
      <c r="O60" s="89">
        <f t="shared" si="234"/>
        <v>4509</v>
      </c>
      <c r="P60" s="89">
        <f t="shared" si="234"/>
        <v>4469</v>
      </c>
      <c r="Q60" s="89">
        <f t="shared" si="234"/>
        <v>4429</v>
      </c>
      <c r="R60" s="87">
        <f t="shared" si="234"/>
        <v>4271</v>
      </c>
      <c r="S60" s="89">
        <f t="shared" si="234"/>
        <v>4228</v>
      </c>
      <c r="T60" s="89">
        <f t="shared" si="234"/>
        <v>4185</v>
      </c>
      <c r="U60" s="89">
        <f t="shared" si="234"/>
        <v>4142</v>
      </c>
      <c r="V60" s="89">
        <f t="shared" si="234"/>
        <v>4099</v>
      </c>
      <c r="W60" s="87">
        <f>SUM(W58:W59)</f>
        <v>6109</v>
      </c>
      <c r="X60" s="88"/>
      <c r="Z60" s="39"/>
      <c r="AA60" s="39"/>
      <c r="AB60" s="75"/>
      <c r="AC60" s="75"/>
      <c r="AD60" s="75"/>
      <c r="AE60" s="75"/>
      <c r="AF60" s="75"/>
    </row>
    <row r="61" spans="1:57" ht="21.95" customHeight="1">
      <c r="A61" s="1127" t="s">
        <v>709</v>
      </c>
      <c r="B61" s="83" t="s">
        <v>111</v>
      </c>
      <c r="C61" s="58">
        <f>+'조성법총괄(내부이동률 적용 전)출력x'!C28</f>
        <v>11390</v>
      </c>
      <c r="D61" s="58">
        <f>+'조성법총괄(내부이동률 적용 전)출력x'!D28</f>
        <v>11393</v>
      </c>
      <c r="E61" s="59">
        <f>+'조성법총괄(내부이동률 적용 전)출력x'!E28</f>
        <v>11377</v>
      </c>
      <c r="F61" s="59">
        <f>+'조성법총괄(내부이동률 적용 전)출력x'!F28</f>
        <v>11361</v>
      </c>
      <c r="G61" s="59">
        <f>+'조성법총괄(내부이동률 적용 전)출력x'!G28</f>
        <v>11345</v>
      </c>
      <c r="H61" s="58">
        <f>+'조성법총괄(내부이동률 적용 전)출력x'!H28</f>
        <v>11327</v>
      </c>
      <c r="I61" s="59">
        <f>+'조성법총괄(내부이동률 적용 전)출력x'!I28</f>
        <v>11336</v>
      </c>
      <c r="J61" s="59">
        <f>+'조성법총괄(내부이동률 적용 전)출력x'!J28</f>
        <v>11345</v>
      </c>
      <c r="K61" s="59">
        <f>+'조성법총괄(내부이동률 적용 전)출력x'!K28</f>
        <v>11354</v>
      </c>
      <c r="L61" s="59">
        <f>+'조성법총괄(내부이동률 적용 전)출력x'!L28</f>
        <v>11363</v>
      </c>
      <c r="M61" s="58">
        <f>+'조성법총괄(내부이동률 적용 전)출력x'!M28</f>
        <v>11374</v>
      </c>
      <c r="N61" s="59">
        <f>+'조성법총괄(내부이동률 적용 전)출력x'!N28</f>
        <v>11360</v>
      </c>
      <c r="O61" s="59">
        <f>+'조성법총괄(내부이동률 적용 전)출력x'!O28</f>
        <v>11346</v>
      </c>
      <c r="P61" s="59">
        <f>+'조성법총괄(내부이동률 적용 전)출력x'!P28</f>
        <v>11332</v>
      </c>
      <c r="Q61" s="59">
        <f>+'조성법총괄(내부이동률 적용 전)출력x'!Q28</f>
        <v>11318</v>
      </c>
      <c r="R61" s="58">
        <f>+'조성법총괄(내부이동률 적용 전)출력x'!R28</f>
        <v>11302</v>
      </c>
      <c r="S61" s="59">
        <f>+'조성법총괄(내부이동률 적용 전)출력x'!S28</f>
        <v>11277</v>
      </c>
      <c r="T61" s="59">
        <f>+'조성법총괄(내부이동률 적용 전)출력x'!T28</f>
        <v>11252</v>
      </c>
      <c r="U61" s="59">
        <f>+'조성법총괄(내부이동률 적용 전)출력x'!U28</f>
        <v>11227</v>
      </c>
      <c r="V61" s="59">
        <f>+'조성법총괄(내부이동률 적용 전)출력x'!V28</f>
        <v>11202</v>
      </c>
      <c r="W61" s="58">
        <f>+'조성법총괄(내부이동률 적용 전)출력x'!W28</f>
        <v>11178</v>
      </c>
      <c r="X61" s="77"/>
      <c r="Z61" s="39"/>
      <c r="AA61" s="39"/>
      <c r="AB61" s="75"/>
      <c r="AC61" s="75"/>
      <c r="AD61" s="75"/>
      <c r="AE61" s="75"/>
      <c r="AF61" s="75"/>
      <c r="AG61" s="52"/>
      <c r="AL61" s="52"/>
    </row>
    <row r="62" spans="1:57" ht="21.95" hidden="1" customHeight="1" outlineLevel="1">
      <c r="A62" s="1128"/>
      <c r="B62" s="81" t="s">
        <v>578</v>
      </c>
      <c r="C62" s="79">
        <f>+'1.4.2내부이동근거'!D160</f>
        <v>0</v>
      </c>
      <c r="D62" s="79">
        <f>+'1.4.2내부이동근거'!E160</f>
        <v>0</v>
      </c>
      <c r="E62" s="90">
        <f>+'1.4.2내부이동근거'!F160</f>
        <v>0</v>
      </c>
      <c r="F62" s="90">
        <f>+'1.4.2내부이동근거'!G160</f>
        <v>-394</v>
      </c>
      <c r="G62" s="90">
        <f>+'1.4.2내부이동근거'!H160</f>
        <v>-394</v>
      </c>
      <c r="H62" s="79">
        <f>+'1.4.2내부이동근거'!I160</f>
        <v>-394</v>
      </c>
      <c r="I62" s="90">
        <f>+'1.4.2내부이동근거'!J160</f>
        <v>-394</v>
      </c>
      <c r="J62" s="90">
        <f>+'1.4.2내부이동근거'!K160</f>
        <v>-394</v>
      </c>
      <c r="K62" s="90">
        <f>+'1.4.2내부이동근거'!L160</f>
        <v>-394</v>
      </c>
      <c r="L62" s="90">
        <f>+'1.4.2내부이동근거'!M160</f>
        <v>-394</v>
      </c>
      <c r="M62" s="79">
        <f>+'1.4.2내부이동근거'!N160</f>
        <v>-1022</v>
      </c>
      <c r="N62" s="90">
        <f>+'1.4.2내부이동근거'!O160</f>
        <v>-1022</v>
      </c>
      <c r="O62" s="90">
        <f>+'1.4.2내부이동근거'!P160</f>
        <v>-1022</v>
      </c>
      <c r="P62" s="90">
        <f>+'1.4.2내부이동근거'!Q160</f>
        <v>-1022</v>
      </c>
      <c r="Q62" s="90">
        <f>+'1.4.2내부이동근거'!R160</f>
        <v>-1022</v>
      </c>
      <c r="R62" s="79">
        <f>+'1.4.2내부이동근거'!S160</f>
        <v>-1022</v>
      </c>
      <c r="S62" s="90">
        <f>+'1.4.2내부이동근거'!T160</f>
        <v>-1022</v>
      </c>
      <c r="T62" s="90">
        <f>+'1.4.2내부이동근거'!U160</f>
        <v>-1022</v>
      </c>
      <c r="U62" s="90">
        <f>+'1.4.2내부이동근거'!V160</f>
        <v>-1022</v>
      </c>
      <c r="V62" s="90">
        <f>+'1.4.2내부이동근거'!W160</f>
        <v>-1022</v>
      </c>
      <c r="W62" s="79">
        <f>+'1.4.2내부이동근거'!X160</f>
        <v>-1022</v>
      </c>
      <c r="X62" s="78"/>
      <c r="Z62" s="39"/>
      <c r="AA62" s="39"/>
      <c r="AB62" s="75"/>
      <c r="AC62" s="75"/>
      <c r="AD62" s="75"/>
      <c r="AE62" s="75"/>
      <c r="AF62" s="75"/>
    </row>
    <row r="63" spans="1:57" ht="21.95" hidden="1" customHeight="1" outlineLevel="1">
      <c r="A63" s="1128"/>
      <c r="B63" s="81" t="s">
        <v>165</v>
      </c>
      <c r="C63" s="79"/>
      <c r="D63" s="79"/>
      <c r="E63" s="79">
        <f>'1.4.2내부이동근거'!Q14</f>
        <v>-25</v>
      </c>
      <c r="F63" s="79">
        <f>E63</f>
        <v>-25</v>
      </c>
      <c r="G63" s="79">
        <f t="shared" ref="G63:W63" si="235">F63</f>
        <v>-25</v>
      </c>
      <c r="H63" s="79">
        <f t="shared" si="235"/>
        <v>-25</v>
      </c>
      <c r="I63" s="79">
        <f t="shared" si="235"/>
        <v>-25</v>
      </c>
      <c r="J63" s="79">
        <f t="shared" si="235"/>
        <v>-25</v>
      </c>
      <c r="K63" s="79">
        <f t="shared" si="235"/>
        <v>-25</v>
      </c>
      <c r="L63" s="79">
        <f t="shared" si="235"/>
        <v>-25</v>
      </c>
      <c r="M63" s="79">
        <f t="shared" si="235"/>
        <v>-25</v>
      </c>
      <c r="N63" s="79">
        <f t="shared" si="235"/>
        <v>-25</v>
      </c>
      <c r="O63" s="79">
        <f t="shared" si="235"/>
        <v>-25</v>
      </c>
      <c r="P63" s="79">
        <f t="shared" si="235"/>
        <v>-25</v>
      </c>
      <c r="Q63" s="79">
        <f t="shared" si="235"/>
        <v>-25</v>
      </c>
      <c r="R63" s="79">
        <f t="shared" si="235"/>
        <v>-25</v>
      </c>
      <c r="S63" s="79">
        <f t="shared" si="235"/>
        <v>-25</v>
      </c>
      <c r="T63" s="79">
        <f t="shared" si="235"/>
        <v>-25</v>
      </c>
      <c r="U63" s="79">
        <f t="shared" si="235"/>
        <v>-25</v>
      </c>
      <c r="V63" s="79">
        <f t="shared" si="235"/>
        <v>-25</v>
      </c>
      <c r="W63" s="79">
        <f t="shared" si="235"/>
        <v>-25</v>
      </c>
      <c r="X63" s="78"/>
      <c r="Z63" s="60"/>
      <c r="AA63" s="60"/>
      <c r="AB63" s="75"/>
      <c r="AC63" s="75"/>
      <c r="AD63" s="75"/>
      <c r="AE63" s="75"/>
      <c r="AF63" s="75"/>
    </row>
    <row r="64" spans="1:57" ht="21.95" customHeight="1" collapsed="1">
      <c r="A64" s="1128"/>
      <c r="B64" s="81" t="s">
        <v>1459</v>
      </c>
      <c r="C64" s="79"/>
      <c r="D64" s="79">
        <f>SUM(D62:D63)</f>
        <v>0</v>
      </c>
      <c r="E64" s="79">
        <f t="shared" ref="E64" si="236">SUM(E62:E63)</f>
        <v>-25</v>
      </c>
      <c r="F64" s="79">
        <f t="shared" ref="F64" si="237">SUM(F62:F63)</f>
        <v>-419</v>
      </c>
      <c r="G64" s="79">
        <f t="shared" ref="G64" si="238">SUM(G62:G63)</f>
        <v>-419</v>
      </c>
      <c r="H64" s="79">
        <f t="shared" ref="H64" si="239">SUM(H62:H63)</f>
        <v>-419</v>
      </c>
      <c r="I64" s="79">
        <f t="shared" ref="I64" si="240">SUM(I62:I63)</f>
        <v>-419</v>
      </c>
      <c r="J64" s="79">
        <f t="shared" ref="J64" si="241">SUM(J62:J63)</f>
        <v>-419</v>
      </c>
      <c r="K64" s="79">
        <f t="shared" ref="K64" si="242">SUM(K62:K63)</f>
        <v>-419</v>
      </c>
      <c r="L64" s="79">
        <f t="shared" ref="L64" si="243">SUM(L62:L63)</f>
        <v>-419</v>
      </c>
      <c r="M64" s="79">
        <f t="shared" ref="M64" si="244">SUM(M62:M63)</f>
        <v>-1047</v>
      </c>
      <c r="N64" s="79">
        <f t="shared" ref="N64" si="245">SUM(N62:N63)</f>
        <v>-1047</v>
      </c>
      <c r="O64" s="79">
        <f t="shared" ref="O64" si="246">SUM(O62:O63)</f>
        <v>-1047</v>
      </c>
      <c r="P64" s="79">
        <f t="shared" ref="P64" si="247">SUM(P62:P63)</f>
        <v>-1047</v>
      </c>
      <c r="Q64" s="79">
        <f t="shared" ref="Q64" si="248">SUM(Q62:Q63)</f>
        <v>-1047</v>
      </c>
      <c r="R64" s="79">
        <f t="shared" ref="R64" si="249">SUM(R62:R63)</f>
        <v>-1047</v>
      </c>
      <c r="S64" s="79">
        <f t="shared" ref="S64" si="250">SUM(S62:S63)</f>
        <v>-1047</v>
      </c>
      <c r="T64" s="79">
        <f t="shared" ref="T64" si="251">SUM(T62:T63)</f>
        <v>-1047</v>
      </c>
      <c r="U64" s="79">
        <f t="shared" ref="U64" si="252">SUM(U62:U63)</f>
        <v>-1047</v>
      </c>
      <c r="V64" s="79">
        <f t="shared" ref="V64" si="253">SUM(V62:V63)</f>
        <v>-1047</v>
      </c>
      <c r="W64" s="79">
        <f t="shared" ref="W64" si="254">SUM(W62:W63)</f>
        <v>-1047</v>
      </c>
      <c r="X64" s="78"/>
      <c r="AA64" s="707">
        <v>13098</v>
      </c>
      <c r="AG64" s="709" t="e">
        <f>+#REF!-AA64</f>
        <v>#REF!</v>
      </c>
    </row>
    <row r="65" spans="1:33" ht="21.95" customHeight="1">
      <c r="A65" s="1128"/>
      <c r="B65" s="81" t="s">
        <v>143</v>
      </c>
      <c r="C65" s="79">
        <f t="shared" ref="C65:W65" si="255">SUM(C61:C63)</f>
        <v>11390</v>
      </c>
      <c r="D65" s="79">
        <f t="shared" si="255"/>
        <v>11393</v>
      </c>
      <c r="E65" s="90">
        <f t="shared" si="255"/>
        <v>11352</v>
      </c>
      <c r="F65" s="90">
        <f t="shared" si="255"/>
        <v>10942</v>
      </c>
      <c r="G65" s="90">
        <f t="shared" si="255"/>
        <v>10926</v>
      </c>
      <c r="H65" s="79">
        <f t="shared" si="255"/>
        <v>10908</v>
      </c>
      <c r="I65" s="90">
        <f t="shared" si="255"/>
        <v>10917</v>
      </c>
      <c r="J65" s="90">
        <f t="shared" si="255"/>
        <v>10926</v>
      </c>
      <c r="K65" s="90">
        <f t="shared" si="255"/>
        <v>10935</v>
      </c>
      <c r="L65" s="90">
        <f t="shared" si="255"/>
        <v>10944</v>
      </c>
      <c r="M65" s="79">
        <f t="shared" si="255"/>
        <v>10327</v>
      </c>
      <c r="N65" s="90">
        <f t="shared" si="255"/>
        <v>10313</v>
      </c>
      <c r="O65" s="90">
        <f t="shared" si="255"/>
        <v>10299</v>
      </c>
      <c r="P65" s="90">
        <f t="shared" si="255"/>
        <v>10285</v>
      </c>
      <c r="Q65" s="90">
        <f t="shared" si="255"/>
        <v>10271</v>
      </c>
      <c r="R65" s="79">
        <f t="shared" si="255"/>
        <v>10255</v>
      </c>
      <c r="S65" s="90">
        <f t="shared" si="255"/>
        <v>10230</v>
      </c>
      <c r="T65" s="90">
        <f t="shared" si="255"/>
        <v>10205</v>
      </c>
      <c r="U65" s="90">
        <f t="shared" si="255"/>
        <v>10180</v>
      </c>
      <c r="V65" s="90">
        <f t="shared" si="255"/>
        <v>10155</v>
      </c>
      <c r="W65" s="79">
        <f t="shared" si="255"/>
        <v>10131</v>
      </c>
      <c r="X65" s="78"/>
      <c r="AA65" s="707">
        <v>15946</v>
      </c>
      <c r="AG65" s="709" t="e">
        <f>+#REF!-AA65</f>
        <v>#REF!</v>
      </c>
    </row>
    <row r="66" spans="1:33" ht="21.95" customHeight="1">
      <c r="A66" s="1128"/>
      <c r="B66" s="82" t="s">
        <v>1460</v>
      </c>
      <c r="C66" s="85">
        <f>+'조성법총괄(내부이동률 적용 전)출력x'!C29</f>
        <v>0</v>
      </c>
      <c r="D66" s="85">
        <f>+'조성법총괄(내부이동률 적용 전)출력x'!D29</f>
        <v>0</v>
      </c>
      <c r="E66" s="84">
        <f>+'조성법총괄(내부이동률 적용 전)출력x'!E29</f>
        <v>0</v>
      </c>
      <c r="F66" s="84">
        <f>+'조성법총괄(내부이동률 적용 전)출력x'!F29</f>
        <v>344</v>
      </c>
      <c r="G66" s="84">
        <f>+'조성법총괄(내부이동률 적용 전)출력x'!G29</f>
        <v>344</v>
      </c>
      <c r="H66" s="85">
        <f>+'조성법총괄(내부이동률 적용 전)출력x'!H29</f>
        <v>546</v>
      </c>
      <c r="I66" s="84">
        <f>+'조성법총괄(내부이동률 적용 전)출력x'!I29</f>
        <v>951</v>
      </c>
      <c r="J66" s="84">
        <f>+'조성법총괄(내부이동률 적용 전)출력x'!J29</f>
        <v>1356</v>
      </c>
      <c r="K66" s="84">
        <f>+'조성법총괄(내부이동률 적용 전)출력x'!K29</f>
        <v>1356</v>
      </c>
      <c r="L66" s="84">
        <f>+'조성법총괄(내부이동률 적용 전)출력x'!L29</f>
        <v>1356</v>
      </c>
      <c r="M66" s="85">
        <f>+'조성법총괄(내부이동률 적용 전)출력x'!M29</f>
        <v>1905</v>
      </c>
      <c r="N66" s="84">
        <f>+'조성법총괄(내부이동률 적용 전)출력x'!N29</f>
        <v>1905</v>
      </c>
      <c r="O66" s="84">
        <f>+'조성법총괄(내부이동률 적용 전)출력x'!O29</f>
        <v>1905</v>
      </c>
      <c r="P66" s="84">
        <f>+'조성법총괄(내부이동률 적용 전)출력x'!P29</f>
        <v>1905</v>
      </c>
      <c r="Q66" s="84">
        <f>+'조성법총괄(내부이동률 적용 전)출력x'!Q29</f>
        <v>1905</v>
      </c>
      <c r="R66" s="85">
        <f>+'조성법총괄(내부이동률 적용 전)출력x'!R29</f>
        <v>1905</v>
      </c>
      <c r="S66" s="84">
        <f>+'조성법총괄(내부이동률 적용 전)출력x'!S29</f>
        <v>1905</v>
      </c>
      <c r="T66" s="84">
        <f>+'조성법총괄(내부이동률 적용 전)출력x'!T29</f>
        <v>1905</v>
      </c>
      <c r="U66" s="84">
        <f>+'조성법총괄(내부이동률 적용 전)출력x'!U29</f>
        <v>1905</v>
      </c>
      <c r="V66" s="84">
        <f>+'조성법총괄(내부이동률 적용 전)출력x'!V29</f>
        <v>1905</v>
      </c>
      <c r="W66" s="85">
        <f>+'조성법총괄(내부이동률 적용 전)출력x'!W29</f>
        <v>4609</v>
      </c>
      <c r="X66" s="86"/>
      <c r="AA66" s="707">
        <v>23530</v>
      </c>
      <c r="AG66" s="709" t="e">
        <f>+#REF!-AA66</f>
        <v>#REF!</v>
      </c>
    </row>
    <row r="67" spans="1:33" ht="21.95" customHeight="1">
      <c r="A67" s="2346" t="s">
        <v>144</v>
      </c>
      <c r="B67" s="2347"/>
      <c r="C67" s="87">
        <f t="shared" ref="C67:V67" si="256">SUM(C65,C66)</f>
        <v>11390</v>
      </c>
      <c r="D67" s="87">
        <f t="shared" si="256"/>
        <v>11393</v>
      </c>
      <c r="E67" s="89">
        <f t="shared" si="256"/>
        <v>11352</v>
      </c>
      <c r="F67" s="89">
        <f t="shared" si="256"/>
        <v>11286</v>
      </c>
      <c r="G67" s="89">
        <f t="shared" si="256"/>
        <v>11270</v>
      </c>
      <c r="H67" s="87">
        <f t="shared" si="256"/>
        <v>11454</v>
      </c>
      <c r="I67" s="89">
        <f t="shared" si="256"/>
        <v>11868</v>
      </c>
      <c r="J67" s="89">
        <f t="shared" si="256"/>
        <v>12282</v>
      </c>
      <c r="K67" s="89">
        <f t="shared" si="256"/>
        <v>12291</v>
      </c>
      <c r="L67" s="89">
        <f t="shared" si="256"/>
        <v>12300</v>
      </c>
      <c r="M67" s="87">
        <f t="shared" si="256"/>
        <v>12232</v>
      </c>
      <c r="N67" s="89">
        <f t="shared" si="256"/>
        <v>12218</v>
      </c>
      <c r="O67" s="89">
        <f t="shared" si="256"/>
        <v>12204</v>
      </c>
      <c r="P67" s="89">
        <f t="shared" si="256"/>
        <v>12190</v>
      </c>
      <c r="Q67" s="89">
        <f t="shared" si="256"/>
        <v>12176</v>
      </c>
      <c r="R67" s="87">
        <f t="shared" si="256"/>
        <v>12160</v>
      </c>
      <c r="S67" s="89">
        <f t="shared" si="256"/>
        <v>12135</v>
      </c>
      <c r="T67" s="89">
        <f t="shared" si="256"/>
        <v>12110</v>
      </c>
      <c r="U67" s="89">
        <f t="shared" si="256"/>
        <v>12085</v>
      </c>
      <c r="V67" s="89">
        <f t="shared" si="256"/>
        <v>12060</v>
      </c>
      <c r="W67" s="87">
        <f>SUM(W65:W66)</f>
        <v>14740</v>
      </c>
      <c r="X67" s="88"/>
      <c r="AA67" s="708">
        <v>184.6</v>
      </c>
      <c r="AG67" s="709" t="e">
        <f>+#REF!-AA67</f>
        <v>#REF!</v>
      </c>
    </row>
    <row r="68" spans="1:33" ht="21.95" hidden="1" customHeight="1" outlineLevel="1">
      <c r="A68" s="2348" t="s">
        <v>135</v>
      </c>
      <c r="B68" s="80" t="s">
        <v>111</v>
      </c>
      <c r="C68" s="58">
        <f>+'조성법총괄(내부이동률 적용 전)출력x'!C31</f>
        <v>0</v>
      </c>
      <c r="D68" s="58">
        <f>+'조성법총괄(내부이동률 적용 전)출력x'!D31</f>
        <v>0</v>
      </c>
      <c r="E68" s="59">
        <f>+'조성법총괄(내부이동률 적용 전)출력x'!E31</f>
        <v>0</v>
      </c>
      <c r="F68" s="59">
        <f>+'조성법총괄(내부이동률 적용 전)출력x'!F31</f>
        <v>0</v>
      </c>
      <c r="G68" s="59">
        <f>+'조성법총괄(내부이동률 적용 전)출력x'!G31</f>
        <v>0</v>
      </c>
      <c r="H68" s="58">
        <f>+'조성법총괄(내부이동률 적용 전)출력x'!H31</f>
        <v>0</v>
      </c>
      <c r="I68" s="59">
        <f>+'조성법총괄(내부이동률 적용 전)출력x'!I31</f>
        <v>0</v>
      </c>
      <c r="J68" s="59">
        <f>+'조성법총괄(내부이동률 적용 전)출력x'!J31</f>
        <v>0</v>
      </c>
      <c r="K68" s="59">
        <f>+'조성법총괄(내부이동률 적용 전)출력x'!K31</f>
        <v>0</v>
      </c>
      <c r="L68" s="59">
        <f>+'조성법총괄(내부이동률 적용 전)출력x'!L31</f>
        <v>0</v>
      </c>
      <c r="M68" s="58">
        <f>+'조성법총괄(내부이동률 적용 전)출력x'!M31</f>
        <v>0</v>
      </c>
      <c r="N68" s="59">
        <f>+'조성법총괄(내부이동률 적용 전)출력x'!N31</f>
        <v>0</v>
      </c>
      <c r="O68" s="59">
        <f>+'조성법총괄(내부이동률 적용 전)출력x'!O31</f>
        <v>0</v>
      </c>
      <c r="P68" s="59">
        <f>+'조성법총괄(내부이동률 적용 전)출력x'!P31</f>
        <v>0</v>
      </c>
      <c r="Q68" s="59">
        <f>+'조성법총괄(내부이동률 적용 전)출력x'!Q31</f>
        <v>0</v>
      </c>
      <c r="R68" s="58">
        <f>+'조성법총괄(내부이동률 적용 전)출력x'!R31</f>
        <v>0</v>
      </c>
      <c r="S68" s="59">
        <f>+'조성법총괄(내부이동률 적용 전)출력x'!S31</f>
        <v>0</v>
      </c>
      <c r="T68" s="59">
        <f>+'조성법총괄(내부이동률 적용 전)출력x'!T31</f>
        <v>0</v>
      </c>
      <c r="U68" s="59">
        <f>+'조성법총괄(내부이동률 적용 전)출력x'!U31</f>
        <v>0</v>
      </c>
      <c r="V68" s="59">
        <f>+'조성법총괄(내부이동률 적용 전)출력x'!V31</f>
        <v>0</v>
      </c>
      <c r="W68" s="58">
        <f>+'조성법총괄(내부이동률 적용 전)출력x'!W31</f>
        <v>0</v>
      </c>
      <c r="X68" s="77"/>
      <c r="Y68" s="52">
        <f>+W8+W15+W22+W29+W36+W44+W65+W69+W51+W58</f>
        <v>93133</v>
      </c>
      <c r="AA68" s="708">
        <v>151.80000000000001</v>
      </c>
      <c r="AG68" s="709" t="e">
        <f>+#REF!-AA68</f>
        <v>#REF!</v>
      </c>
    </row>
    <row r="69" spans="1:33" ht="21.95" hidden="1" customHeight="1" outlineLevel="1">
      <c r="A69" s="2349"/>
      <c r="B69" s="645" t="s">
        <v>710</v>
      </c>
      <c r="C69" s="79">
        <f>+(사회적유입!D86-사회적유입!AC86)/2</f>
        <v>0</v>
      </c>
      <c r="D69" s="79"/>
      <c r="E69" s="79">
        <f>+(사회적유입!F86-사회적유입!AE86)/2</f>
        <v>0</v>
      </c>
      <c r="F69" s="79">
        <f>+(사회적유입!G86-사회적유입!AF86)/2</f>
        <v>0</v>
      </c>
      <c r="G69" s="79">
        <f>+(사회적유입!H86-사회적유입!AG86)/2</f>
        <v>0</v>
      </c>
      <c r="H69" s="79">
        <f>+(사회적유입!I86-사회적유입!AH86)/2</f>
        <v>0</v>
      </c>
      <c r="I69" s="79">
        <f>+(사회적유입!J86-사회적유입!AI86)/2</f>
        <v>0</v>
      </c>
      <c r="J69" s="79">
        <f>+(사회적유입!K86-사회적유입!AJ86)/2</f>
        <v>0</v>
      </c>
      <c r="K69" s="79">
        <f>+(사회적유입!L86-사회적유입!AK86)/2</f>
        <v>0</v>
      </c>
      <c r="L69" s="79">
        <f>+(사회적유입!M86-사회적유입!AL86)/2</f>
        <v>0</v>
      </c>
      <c r="M69" s="79">
        <f>+(사회적유입!N86-사회적유입!AM86)/2</f>
        <v>0</v>
      </c>
      <c r="N69" s="79">
        <f>+(사회적유입!O86-사회적유입!AN86)/2</f>
        <v>0</v>
      </c>
      <c r="O69" s="79">
        <f>+(사회적유입!P86-사회적유입!AO86)/2</f>
        <v>0</v>
      </c>
      <c r="P69" s="79">
        <f>+(사회적유입!Q86-사회적유입!AP86)/2</f>
        <v>0</v>
      </c>
      <c r="Q69" s="79">
        <f>+(사회적유입!R86-사회적유입!AQ86)/2</f>
        <v>0</v>
      </c>
      <c r="R69" s="79">
        <f>+(사회적유입!S86-사회적유입!AR86)/2</f>
        <v>0</v>
      </c>
      <c r="S69" s="79">
        <f>+(사회적유입!T86-사회적유입!AS86)/2</f>
        <v>0</v>
      </c>
      <c r="T69" s="79">
        <f>+(사회적유입!U86-사회적유입!AT86)/2</f>
        <v>0</v>
      </c>
      <c r="U69" s="79">
        <f>+(사회적유입!V86-사회적유입!AU86)/2</f>
        <v>0</v>
      </c>
      <c r="V69" s="79">
        <f>+(사회적유입!W86-사회적유입!AV86)/2</f>
        <v>0</v>
      </c>
      <c r="W69" s="79">
        <f>+(사회적유입!X86-사회적유입!AW86)/2</f>
        <v>0</v>
      </c>
      <c r="X69" s="78"/>
      <c r="AA69" s="708">
        <v>203.4</v>
      </c>
      <c r="AG69" s="709" t="e">
        <f>+#REF!-AA69</f>
        <v>#REF!</v>
      </c>
    </row>
    <row r="70" spans="1:33" ht="21.95" hidden="1" customHeight="1" outlineLevel="1">
      <c r="A70" s="2349"/>
      <c r="B70" s="81" t="s">
        <v>143</v>
      </c>
      <c r="C70" s="79">
        <f t="shared" ref="C70:W70" si="257">SUM(C68:C69)</f>
        <v>0</v>
      </c>
      <c r="D70" s="79">
        <f t="shared" si="257"/>
        <v>0</v>
      </c>
      <c r="E70" s="79">
        <f t="shared" si="257"/>
        <v>0</v>
      </c>
      <c r="F70" s="79">
        <f t="shared" si="257"/>
        <v>0</v>
      </c>
      <c r="G70" s="79">
        <f t="shared" si="257"/>
        <v>0</v>
      </c>
      <c r="H70" s="79">
        <f t="shared" si="257"/>
        <v>0</v>
      </c>
      <c r="I70" s="79">
        <f t="shared" si="257"/>
        <v>0</v>
      </c>
      <c r="J70" s="79">
        <f t="shared" si="257"/>
        <v>0</v>
      </c>
      <c r="K70" s="79">
        <f t="shared" si="257"/>
        <v>0</v>
      </c>
      <c r="L70" s="79">
        <f t="shared" si="257"/>
        <v>0</v>
      </c>
      <c r="M70" s="79">
        <f t="shared" si="257"/>
        <v>0</v>
      </c>
      <c r="N70" s="79">
        <f t="shared" si="257"/>
        <v>0</v>
      </c>
      <c r="O70" s="79">
        <f t="shared" si="257"/>
        <v>0</v>
      </c>
      <c r="P70" s="79">
        <f t="shared" si="257"/>
        <v>0</v>
      </c>
      <c r="Q70" s="79">
        <f t="shared" si="257"/>
        <v>0</v>
      </c>
      <c r="R70" s="79">
        <f t="shared" si="257"/>
        <v>0</v>
      </c>
      <c r="S70" s="79">
        <f t="shared" si="257"/>
        <v>0</v>
      </c>
      <c r="T70" s="79">
        <f t="shared" si="257"/>
        <v>0</v>
      </c>
      <c r="U70" s="79">
        <f t="shared" si="257"/>
        <v>0</v>
      </c>
      <c r="V70" s="79">
        <f t="shared" si="257"/>
        <v>0</v>
      </c>
      <c r="W70" s="79">
        <f t="shared" si="257"/>
        <v>0</v>
      </c>
      <c r="X70" s="78"/>
      <c r="Z70" s="52"/>
      <c r="AA70" s="708">
        <v>41.935000000000002</v>
      </c>
      <c r="AG70" s="710" t="e">
        <f>+#REF!-AA70</f>
        <v>#REF!</v>
      </c>
    </row>
    <row r="71" spans="1:33" ht="21.95" hidden="1" customHeight="1" outlineLevel="1">
      <c r="A71" s="2349"/>
      <c r="B71" s="645" t="s">
        <v>711</v>
      </c>
      <c r="C71" s="79">
        <f>+(사회적유입!D86-사회적유입!AC86)/2</f>
        <v>0</v>
      </c>
      <c r="D71" s="79"/>
      <c r="E71" s="79">
        <f>+(사회적유입!F86-사회적유입!AE86)/2</f>
        <v>0</v>
      </c>
      <c r="F71" s="79">
        <f>+(사회적유입!G86-사회적유입!AF86)/2</f>
        <v>0</v>
      </c>
      <c r="G71" s="79">
        <f>+(사회적유입!H86-사회적유입!AG86)/2</f>
        <v>0</v>
      </c>
      <c r="H71" s="79">
        <f>+(사회적유입!I86-사회적유입!AH86)/2</f>
        <v>0</v>
      </c>
      <c r="I71" s="79">
        <f>+(사회적유입!J86-사회적유입!AI86)/2</f>
        <v>0</v>
      </c>
      <c r="J71" s="79">
        <f>+(사회적유입!K86-사회적유입!AJ86)/2</f>
        <v>0</v>
      </c>
      <c r="K71" s="79">
        <f>+(사회적유입!L86-사회적유입!AK86)/2</f>
        <v>0</v>
      </c>
      <c r="L71" s="79">
        <f>+(사회적유입!M86-사회적유입!AL86)/2</f>
        <v>0</v>
      </c>
      <c r="M71" s="79">
        <f>+(사회적유입!N86-사회적유입!AM86)/2</f>
        <v>0</v>
      </c>
      <c r="N71" s="79">
        <f>+(사회적유입!O86-사회적유입!AN86)/2</f>
        <v>0</v>
      </c>
      <c r="O71" s="79">
        <f>+(사회적유입!P86-사회적유입!AO86)/2</f>
        <v>0</v>
      </c>
      <c r="P71" s="79">
        <f>+(사회적유입!Q86-사회적유입!AP86)/2</f>
        <v>0</v>
      </c>
      <c r="Q71" s="79">
        <f>+(사회적유입!R86-사회적유입!AQ86)/2</f>
        <v>0</v>
      </c>
      <c r="R71" s="79">
        <f>+(사회적유입!S86-사회적유입!AR86)/2</f>
        <v>0</v>
      </c>
      <c r="S71" s="79">
        <f>+(사회적유입!T86-사회적유입!AS86)/2</f>
        <v>0</v>
      </c>
      <c r="T71" s="79">
        <f>+(사회적유입!U86-사회적유입!AT86)/2</f>
        <v>0</v>
      </c>
      <c r="U71" s="79">
        <f>+(사회적유입!V86-사회적유입!AU86)/2</f>
        <v>0</v>
      </c>
      <c r="V71" s="79">
        <f>+(사회적유입!W86-사회적유입!AV86)/2</f>
        <v>0</v>
      </c>
      <c r="W71" s="79">
        <f>+(사회적유입!X86-사회적유입!AW86)/2</f>
        <v>0</v>
      </c>
      <c r="X71" s="86"/>
      <c r="AA71" s="708">
        <v>6.24</v>
      </c>
      <c r="AG71" s="710" t="e">
        <f>+#REF!-AA71</f>
        <v>#REF!</v>
      </c>
    </row>
    <row r="72" spans="1:33" ht="21.95" hidden="1" customHeight="1" outlineLevel="1">
      <c r="A72" s="2349"/>
      <c r="B72" s="82" t="s">
        <v>1460</v>
      </c>
      <c r="C72" s="55">
        <f>+'조성법총괄(내부이동률 적용 전)출력x'!C32</f>
        <v>0</v>
      </c>
      <c r="D72" s="55">
        <f>+'조성법총괄(내부이동률 적용 전)출력x'!D32</f>
        <v>7477</v>
      </c>
      <c r="E72" s="111">
        <f>+'조성법총괄(내부이동률 적용 전)출력x'!E32</f>
        <v>8665</v>
      </c>
      <c r="F72" s="111">
        <f>+'조성법총괄(내부이동률 적용 전)출력x'!F32</f>
        <v>9853</v>
      </c>
      <c r="G72" s="111">
        <f>+'조성법총괄(내부이동률 적용 전)출력x'!G32</f>
        <v>11041</v>
      </c>
      <c r="H72" s="55">
        <f>+'조성법총괄(내부이동률 적용 전)출력x'!H32</f>
        <v>12230</v>
      </c>
      <c r="I72" s="111">
        <f>+'조성법총괄(내부이동률 적용 전)출력x'!I32</f>
        <v>12230</v>
      </c>
      <c r="J72" s="111">
        <f>+'조성법총괄(내부이동률 적용 전)출력x'!J32</f>
        <v>12230</v>
      </c>
      <c r="K72" s="111">
        <f>+'조성법총괄(내부이동률 적용 전)출력x'!K32</f>
        <v>12230</v>
      </c>
      <c r="L72" s="111">
        <f>+'조성법총괄(내부이동률 적용 전)출력x'!L32</f>
        <v>12230</v>
      </c>
      <c r="M72" s="55">
        <f>+'조성법총괄(내부이동률 적용 전)출력x'!M32</f>
        <v>12230</v>
      </c>
      <c r="N72" s="111">
        <f>+'조성법총괄(내부이동률 적용 전)출력x'!N32</f>
        <v>12230</v>
      </c>
      <c r="O72" s="111">
        <f>+'조성법총괄(내부이동률 적용 전)출력x'!O32</f>
        <v>12230</v>
      </c>
      <c r="P72" s="111">
        <f>+'조성법총괄(내부이동률 적용 전)출력x'!P32</f>
        <v>12230</v>
      </c>
      <c r="Q72" s="111">
        <f>+'조성법총괄(내부이동률 적용 전)출력x'!Q32</f>
        <v>12230</v>
      </c>
      <c r="R72" s="55">
        <f>+'조성법총괄(내부이동률 적용 전)출력x'!R32</f>
        <v>12230</v>
      </c>
      <c r="S72" s="111">
        <f>+'조성법총괄(내부이동률 적용 전)출력x'!S32</f>
        <v>12230</v>
      </c>
      <c r="T72" s="111">
        <f>+'조성법총괄(내부이동률 적용 전)출력x'!T32</f>
        <v>12230</v>
      </c>
      <c r="U72" s="111">
        <f>+'조성법총괄(내부이동률 적용 전)출력x'!U32</f>
        <v>12230</v>
      </c>
      <c r="V72" s="111">
        <f>+'조성법총괄(내부이동률 적용 전)출력x'!V32</f>
        <v>12230</v>
      </c>
      <c r="W72" s="55">
        <f>+'조성법총괄(내부이동률 적용 전)출력x'!W32</f>
        <v>12230</v>
      </c>
      <c r="X72" s="110"/>
    </row>
    <row r="73" spans="1:33" ht="21.95" hidden="1" customHeight="1" outlineLevel="1">
      <c r="A73" s="2346" t="s">
        <v>144</v>
      </c>
      <c r="B73" s="2347"/>
      <c r="C73" s="87">
        <f t="shared" ref="C73:W73" si="258">SUM(C70:C72)</f>
        <v>0</v>
      </c>
      <c r="D73" s="1217">
        <f t="shared" si="258"/>
        <v>7477</v>
      </c>
      <c r="E73" s="1217">
        <f t="shared" si="258"/>
        <v>8665</v>
      </c>
      <c r="F73" s="1217">
        <f t="shared" si="258"/>
        <v>9853</v>
      </c>
      <c r="G73" s="1217">
        <f t="shared" si="258"/>
        <v>11041</v>
      </c>
      <c r="H73" s="1217">
        <f t="shared" si="258"/>
        <v>12230</v>
      </c>
      <c r="I73" s="1217">
        <f t="shared" si="258"/>
        <v>12230</v>
      </c>
      <c r="J73" s="1217">
        <f t="shared" si="258"/>
        <v>12230</v>
      </c>
      <c r="K73" s="1217">
        <f t="shared" si="258"/>
        <v>12230</v>
      </c>
      <c r="L73" s="1217">
        <f t="shared" si="258"/>
        <v>12230</v>
      </c>
      <c r="M73" s="1217">
        <f t="shared" si="258"/>
        <v>12230</v>
      </c>
      <c r="N73" s="1217">
        <f t="shared" si="258"/>
        <v>12230</v>
      </c>
      <c r="O73" s="1217">
        <f t="shared" si="258"/>
        <v>12230</v>
      </c>
      <c r="P73" s="1217">
        <f t="shared" si="258"/>
        <v>12230</v>
      </c>
      <c r="Q73" s="1217">
        <f t="shared" si="258"/>
        <v>12230</v>
      </c>
      <c r="R73" s="1217">
        <f t="shared" si="258"/>
        <v>12230</v>
      </c>
      <c r="S73" s="1217">
        <f t="shared" si="258"/>
        <v>12230</v>
      </c>
      <c r="T73" s="1217">
        <f t="shared" si="258"/>
        <v>12230</v>
      </c>
      <c r="U73" s="1217">
        <f t="shared" si="258"/>
        <v>12230</v>
      </c>
      <c r="V73" s="1217">
        <f t="shared" si="258"/>
        <v>12230</v>
      </c>
      <c r="W73" s="1217">
        <f t="shared" si="258"/>
        <v>12230</v>
      </c>
      <c r="X73" s="1219"/>
    </row>
    <row r="74" spans="1:33" ht="21.95" customHeight="1" collapsed="1">
      <c r="A74" s="2348" t="s">
        <v>146</v>
      </c>
      <c r="B74" s="1232" t="s">
        <v>111</v>
      </c>
      <c r="C74" s="1215">
        <f t="shared" ref="C74:W74" si="259">SUM(C4,C11,C18,C25,C32,C40,C61,C47,C54)</f>
        <v>104316</v>
      </c>
      <c r="D74" s="1220">
        <f t="shared" si="259"/>
        <v>106419</v>
      </c>
      <c r="E74" s="1221">
        <f t="shared" si="259"/>
        <v>106394</v>
      </c>
      <c r="F74" s="1221">
        <f t="shared" si="259"/>
        <v>106369</v>
      </c>
      <c r="G74" s="1221">
        <f t="shared" si="259"/>
        <v>105001</v>
      </c>
      <c r="H74" s="1222">
        <f t="shared" si="259"/>
        <v>106267</v>
      </c>
      <c r="I74" s="1221">
        <f t="shared" si="259"/>
        <v>106423</v>
      </c>
      <c r="J74" s="1221">
        <f t="shared" si="259"/>
        <v>106579</v>
      </c>
      <c r="K74" s="1221">
        <f t="shared" si="259"/>
        <v>106735</v>
      </c>
      <c r="L74" s="1221">
        <f t="shared" si="259"/>
        <v>106891</v>
      </c>
      <c r="M74" s="1222">
        <f t="shared" si="259"/>
        <v>107048</v>
      </c>
      <c r="N74" s="1221">
        <f t="shared" si="259"/>
        <v>107008</v>
      </c>
      <c r="O74" s="1221">
        <f t="shared" si="259"/>
        <v>106968</v>
      </c>
      <c r="P74" s="1221">
        <f t="shared" si="259"/>
        <v>106928</v>
      </c>
      <c r="Q74" s="1221">
        <f t="shared" si="259"/>
        <v>106888</v>
      </c>
      <c r="R74" s="1222">
        <f t="shared" si="259"/>
        <v>106842</v>
      </c>
      <c r="S74" s="1221">
        <f t="shared" si="259"/>
        <v>106714</v>
      </c>
      <c r="T74" s="1221">
        <f t="shared" si="259"/>
        <v>106586</v>
      </c>
      <c r="U74" s="1221">
        <f t="shared" si="259"/>
        <v>106458</v>
      </c>
      <c r="V74" s="1221">
        <f t="shared" si="259"/>
        <v>106330</v>
      </c>
      <c r="W74" s="1222">
        <f t="shared" si="259"/>
        <v>106209</v>
      </c>
      <c r="X74" s="1223"/>
      <c r="AA74" s="52"/>
    </row>
    <row r="75" spans="1:33" ht="21.95" hidden="1" customHeight="1" outlineLevel="1">
      <c r="A75" s="2349"/>
      <c r="B75" s="1186" t="s">
        <v>578</v>
      </c>
      <c r="C75" s="1216">
        <v>0</v>
      </c>
      <c r="D75" s="1224">
        <v>0</v>
      </c>
      <c r="E75" s="1225">
        <f t="shared" ref="E75:W75" si="260">SUM(E5,E12,E19,E26,E33,E41,E62,E48,E55)</f>
        <v>-2286</v>
      </c>
      <c r="F75" s="1225">
        <f t="shared" si="260"/>
        <v>-3455</v>
      </c>
      <c r="G75" s="1225">
        <f t="shared" si="260"/>
        <v>-4256</v>
      </c>
      <c r="H75" s="1226">
        <f t="shared" si="260"/>
        <v>-7107</v>
      </c>
      <c r="I75" s="1225">
        <f t="shared" si="260"/>
        <v>-7107</v>
      </c>
      <c r="J75" s="1225">
        <f t="shared" si="260"/>
        <v>-7107</v>
      </c>
      <c r="K75" s="1225">
        <f t="shared" si="260"/>
        <v>-7107</v>
      </c>
      <c r="L75" s="1225">
        <f t="shared" si="260"/>
        <v>-7107</v>
      </c>
      <c r="M75" s="1226">
        <f t="shared" si="260"/>
        <v>-8391</v>
      </c>
      <c r="N75" s="1225">
        <f t="shared" si="260"/>
        <v>-8391</v>
      </c>
      <c r="O75" s="1225">
        <f t="shared" si="260"/>
        <v>-8391</v>
      </c>
      <c r="P75" s="1225">
        <f t="shared" si="260"/>
        <v>-8391</v>
      </c>
      <c r="Q75" s="1225">
        <f t="shared" si="260"/>
        <v>-8391</v>
      </c>
      <c r="R75" s="1226">
        <f t="shared" si="260"/>
        <v>-8391</v>
      </c>
      <c r="S75" s="1225">
        <f t="shared" si="260"/>
        <v>-8391</v>
      </c>
      <c r="T75" s="1225">
        <f t="shared" si="260"/>
        <v>-8391</v>
      </c>
      <c r="U75" s="1225">
        <f t="shared" si="260"/>
        <v>-8391</v>
      </c>
      <c r="V75" s="1225">
        <f t="shared" si="260"/>
        <v>-8391</v>
      </c>
      <c r="W75" s="1226">
        <f t="shared" si="260"/>
        <v>-12576</v>
      </c>
      <c r="X75" s="1227"/>
      <c r="AA75" s="52"/>
    </row>
    <row r="76" spans="1:33" ht="21.95" hidden="1" customHeight="1" outlineLevel="1">
      <c r="A76" s="2349"/>
      <c r="B76" s="1186" t="s">
        <v>165</v>
      </c>
      <c r="C76" s="1216">
        <f>SUM(C6,C13,C20,C27,C34,C42,C63)+C69</f>
        <v>0</v>
      </c>
      <c r="D76" s="1224">
        <f>SUM(D6,D13,D20,D27,D34,D42,D63,D56,D49)</f>
        <v>0</v>
      </c>
      <c r="E76" s="1226">
        <f>SUM(E6,E13,E20,E27,E34,E42,E63,E56,E49)+E69</f>
        <v>-500</v>
      </c>
      <c r="F76" s="1226">
        <f>SUM(F6,F13,F20,F27,F34,F42,F63,F56,F49)+F69</f>
        <v>-500</v>
      </c>
      <c r="G76" s="1226">
        <f>SUM(G6,G13,G20,G27,G34,G42,G63,G56,G49)+G69</f>
        <v>-500</v>
      </c>
      <c r="H76" s="1226">
        <f>SUM(H6,H13,H20,H27,H34,H42,H63,H56,H49)</f>
        <v>-500</v>
      </c>
      <c r="I76" s="1226">
        <f>SUM(I6,I13,I20,I27,I34,I42,I63,I56,I49)+I69</f>
        <v>-500</v>
      </c>
      <c r="J76" s="1226">
        <f>SUM(J6,J13,J20,J27,J34,J42,J63,J56,J49)+J69</f>
        <v>-500</v>
      </c>
      <c r="K76" s="1226">
        <f>SUM(K6,K13,K20,K27,K34,K42,K63,K56,K49)+K69</f>
        <v>-500</v>
      </c>
      <c r="L76" s="1226">
        <f>SUM(L6,L13,L20,L27,L34,L42,L63,L56,L49)+L69</f>
        <v>-500</v>
      </c>
      <c r="M76" s="1226">
        <f>SUM(M6,M13,M20,M27,M34,M42,M63,M56,M49)</f>
        <v>-500</v>
      </c>
      <c r="N76" s="1226">
        <f>SUM(N6,N13,N20,N27,N34,N42,N63,N56,N49)+N69</f>
        <v>-500</v>
      </c>
      <c r="O76" s="1226">
        <f>SUM(O6,O13,O20,O27,O34,O42,O63,O56,O49)+O69</f>
        <v>-500</v>
      </c>
      <c r="P76" s="1226">
        <f>SUM(P6,P13,P20,P27,P34,P42,P63,P56,P49)+P69</f>
        <v>-500</v>
      </c>
      <c r="Q76" s="1226">
        <f>SUM(Q6,Q13,Q20,Q27,Q34,Q42,Q63,Q56,Q49)+Q69</f>
        <v>-500</v>
      </c>
      <c r="R76" s="1226">
        <f>SUM(R6,R13,R20,R27,R34,R42,R63,R56,R49)</f>
        <v>-500</v>
      </c>
      <c r="S76" s="1226">
        <f>SUM(S6,S13,S20,S27,S34,S42,S63,S56,S49)+S69</f>
        <v>-500</v>
      </c>
      <c r="T76" s="1226">
        <f>SUM(T6,T13,T20,T27,T34,T42,T63,T56,T49)+T69</f>
        <v>-500</v>
      </c>
      <c r="U76" s="1226">
        <f>SUM(U6,U13,U20,U27,U34,U42,U63,U56,U49)+U69</f>
        <v>-500</v>
      </c>
      <c r="V76" s="1226">
        <f>SUM(V6,V13,V20,V27,V34,V42,V63,V56,V49)+V69</f>
        <v>-500</v>
      </c>
      <c r="W76" s="1226">
        <f>SUM(W6,W13,W20,W27,W34,W42,W63,W56,W49)</f>
        <v>-500</v>
      </c>
      <c r="X76" s="1227"/>
    </row>
    <row r="77" spans="1:33" s="693" customFormat="1" ht="21.95" customHeight="1" collapsed="1">
      <c r="A77" s="2349"/>
      <c r="B77" s="1186" t="s">
        <v>1459</v>
      </c>
      <c r="C77" s="1216"/>
      <c r="D77" s="1224">
        <f>SUM(D75:D76)</f>
        <v>0</v>
      </c>
      <c r="E77" s="1226">
        <f t="shared" ref="E77" si="261">SUM(E75:E76)</f>
        <v>-2786</v>
      </c>
      <c r="F77" s="1226">
        <f t="shared" ref="F77" si="262">SUM(F75:F76)</f>
        <v>-3955</v>
      </c>
      <c r="G77" s="1226">
        <f t="shared" ref="G77" si="263">SUM(G75:G76)</f>
        <v>-4756</v>
      </c>
      <c r="H77" s="1226">
        <f t="shared" ref="H77" si="264">SUM(H75:H76)</f>
        <v>-7607</v>
      </c>
      <c r="I77" s="1226">
        <f t="shared" ref="I77" si="265">SUM(I75:I76)</f>
        <v>-7607</v>
      </c>
      <c r="J77" s="1226">
        <f t="shared" ref="J77" si="266">SUM(J75:J76)</f>
        <v>-7607</v>
      </c>
      <c r="K77" s="1226">
        <f t="shared" ref="K77" si="267">SUM(K75:K76)</f>
        <v>-7607</v>
      </c>
      <c r="L77" s="1226">
        <f t="shared" ref="L77" si="268">SUM(L75:L76)</f>
        <v>-7607</v>
      </c>
      <c r="M77" s="1226">
        <f t="shared" ref="M77" si="269">SUM(M75:M76)</f>
        <v>-8891</v>
      </c>
      <c r="N77" s="1226">
        <f t="shared" ref="N77" si="270">SUM(N75:N76)</f>
        <v>-8891</v>
      </c>
      <c r="O77" s="1226">
        <f t="shared" ref="O77" si="271">SUM(O75:O76)</f>
        <v>-8891</v>
      </c>
      <c r="P77" s="1226">
        <f t="shared" ref="P77" si="272">SUM(P75:P76)</f>
        <v>-8891</v>
      </c>
      <c r="Q77" s="1226">
        <f t="shared" ref="Q77" si="273">SUM(Q75:Q76)</f>
        <v>-8891</v>
      </c>
      <c r="R77" s="1226">
        <f t="shared" ref="R77" si="274">SUM(R75:R76)</f>
        <v>-8891</v>
      </c>
      <c r="S77" s="1226">
        <f t="shared" ref="S77" si="275">SUM(S75:S76)</f>
        <v>-8891</v>
      </c>
      <c r="T77" s="1226">
        <f t="shared" ref="T77" si="276">SUM(T75:T76)</f>
        <v>-8891</v>
      </c>
      <c r="U77" s="1226">
        <f t="shared" ref="U77" si="277">SUM(U75:U76)</f>
        <v>-8891</v>
      </c>
      <c r="V77" s="1226">
        <f t="shared" ref="V77" si="278">SUM(V75:V76)</f>
        <v>-8891</v>
      </c>
      <c r="W77" s="1226">
        <f t="shared" ref="W77" si="279">SUM(W75:W76)</f>
        <v>-13076</v>
      </c>
      <c r="X77" s="1227"/>
    </row>
    <row r="78" spans="1:33" ht="21.95" customHeight="1">
      <c r="A78" s="2349"/>
      <c r="B78" s="1186" t="s">
        <v>143</v>
      </c>
      <c r="C78" s="1216">
        <f t="shared" ref="C78:W78" si="280">SUM(C74:C76)</f>
        <v>104316</v>
      </c>
      <c r="D78" s="1224">
        <f t="shared" si="280"/>
        <v>106419</v>
      </c>
      <c r="E78" s="1225">
        <f t="shared" si="280"/>
        <v>103608</v>
      </c>
      <c r="F78" s="1225">
        <f t="shared" si="280"/>
        <v>102414</v>
      </c>
      <c r="G78" s="1225">
        <f t="shared" si="280"/>
        <v>100245</v>
      </c>
      <c r="H78" s="1226">
        <f t="shared" si="280"/>
        <v>98660</v>
      </c>
      <c r="I78" s="1225">
        <f t="shared" si="280"/>
        <v>98816</v>
      </c>
      <c r="J78" s="1225">
        <f t="shared" si="280"/>
        <v>98972</v>
      </c>
      <c r="K78" s="1225">
        <f t="shared" si="280"/>
        <v>99128</v>
      </c>
      <c r="L78" s="1225">
        <f t="shared" si="280"/>
        <v>99284</v>
      </c>
      <c r="M78" s="1226">
        <f t="shared" si="280"/>
        <v>98157</v>
      </c>
      <c r="N78" s="1225">
        <f t="shared" si="280"/>
        <v>98117</v>
      </c>
      <c r="O78" s="1225">
        <f t="shared" si="280"/>
        <v>98077</v>
      </c>
      <c r="P78" s="1225">
        <f t="shared" si="280"/>
        <v>98037</v>
      </c>
      <c r="Q78" s="1225">
        <f t="shared" si="280"/>
        <v>97997</v>
      </c>
      <c r="R78" s="1226">
        <f t="shared" si="280"/>
        <v>97951</v>
      </c>
      <c r="S78" s="1225">
        <f t="shared" si="280"/>
        <v>97823</v>
      </c>
      <c r="T78" s="1225">
        <f t="shared" si="280"/>
        <v>97695</v>
      </c>
      <c r="U78" s="1225">
        <f t="shared" si="280"/>
        <v>97567</v>
      </c>
      <c r="V78" s="1225">
        <f t="shared" si="280"/>
        <v>97439</v>
      </c>
      <c r="W78" s="1226">
        <f t="shared" si="280"/>
        <v>93133</v>
      </c>
      <c r="X78" s="1227"/>
      <c r="Z78" s="52"/>
    </row>
    <row r="79" spans="1:33" ht="21.95" hidden="1" customHeight="1" outlineLevel="1">
      <c r="A79" s="2349"/>
      <c r="B79" s="1233" t="s">
        <v>603</v>
      </c>
      <c r="C79" s="1204">
        <f t="shared" ref="C79:V79" si="281">+C71</f>
        <v>0</v>
      </c>
      <c r="D79" s="1224">
        <f t="shared" si="281"/>
        <v>0</v>
      </c>
      <c r="E79" s="1226">
        <f t="shared" si="281"/>
        <v>0</v>
      </c>
      <c r="F79" s="1226">
        <f t="shared" si="281"/>
        <v>0</v>
      </c>
      <c r="G79" s="1226">
        <f t="shared" si="281"/>
        <v>0</v>
      </c>
      <c r="H79" s="1226">
        <f t="shared" si="281"/>
        <v>0</v>
      </c>
      <c r="I79" s="1226">
        <f t="shared" si="281"/>
        <v>0</v>
      </c>
      <c r="J79" s="1226">
        <f t="shared" si="281"/>
        <v>0</v>
      </c>
      <c r="K79" s="1226">
        <f t="shared" si="281"/>
        <v>0</v>
      </c>
      <c r="L79" s="1226">
        <f t="shared" si="281"/>
        <v>0</v>
      </c>
      <c r="M79" s="1226">
        <f t="shared" si="281"/>
        <v>0</v>
      </c>
      <c r="N79" s="1226">
        <f t="shared" si="281"/>
        <v>0</v>
      </c>
      <c r="O79" s="1226">
        <f t="shared" si="281"/>
        <v>0</v>
      </c>
      <c r="P79" s="1226">
        <f t="shared" si="281"/>
        <v>0</v>
      </c>
      <c r="Q79" s="1226">
        <f t="shared" si="281"/>
        <v>0</v>
      </c>
      <c r="R79" s="1226">
        <f t="shared" si="281"/>
        <v>0</v>
      </c>
      <c r="S79" s="1226">
        <f t="shared" si="281"/>
        <v>0</v>
      </c>
      <c r="T79" s="1226">
        <f t="shared" si="281"/>
        <v>0</v>
      </c>
      <c r="U79" s="1226">
        <f t="shared" si="281"/>
        <v>0</v>
      </c>
      <c r="V79" s="1226">
        <f t="shared" si="281"/>
        <v>0</v>
      </c>
      <c r="W79" s="1226">
        <f>+W71</f>
        <v>0</v>
      </c>
      <c r="X79" s="1227"/>
    </row>
    <row r="80" spans="1:33" ht="21.95" customHeight="1" collapsed="1">
      <c r="A80" s="2349"/>
      <c r="B80" s="1187" t="s">
        <v>1460</v>
      </c>
      <c r="C80" s="1235">
        <f>SUM(C9,C16,C23,C30,C37,C45,C66,C72)</f>
        <v>0</v>
      </c>
      <c r="D80" s="1224">
        <f>SUM(D9,D16,D23,D30,D37,D45,D66)</f>
        <v>0</v>
      </c>
      <c r="E80" s="1225">
        <f t="shared" ref="E80:V80" si="282">SUM(E9,E16,E23,E30,E37,E45,E66,E59,E52)</f>
        <v>791</v>
      </c>
      <c r="F80" s="1225">
        <f t="shared" si="282"/>
        <v>1820</v>
      </c>
      <c r="G80" s="1225">
        <f t="shared" si="282"/>
        <v>2365</v>
      </c>
      <c r="H80" s="1226">
        <f t="shared" si="282"/>
        <v>8904</v>
      </c>
      <c r="I80" s="1225">
        <f t="shared" si="282"/>
        <v>9426</v>
      </c>
      <c r="J80" s="1225">
        <f t="shared" si="282"/>
        <v>9833</v>
      </c>
      <c r="K80" s="1225">
        <f t="shared" si="282"/>
        <v>9833</v>
      </c>
      <c r="L80" s="1225">
        <f t="shared" si="282"/>
        <v>9833</v>
      </c>
      <c r="M80" s="1226">
        <f t="shared" si="282"/>
        <v>12382</v>
      </c>
      <c r="N80" s="1225">
        <f t="shared" si="282"/>
        <v>12500</v>
      </c>
      <c r="O80" s="1225">
        <f t="shared" si="282"/>
        <v>12500</v>
      </c>
      <c r="P80" s="1225">
        <f t="shared" si="282"/>
        <v>12500</v>
      </c>
      <c r="Q80" s="1225">
        <f t="shared" si="282"/>
        <v>12500</v>
      </c>
      <c r="R80" s="1226">
        <f t="shared" si="282"/>
        <v>14023</v>
      </c>
      <c r="S80" s="1225">
        <f t="shared" si="282"/>
        <v>14023</v>
      </c>
      <c r="T80" s="1225">
        <f t="shared" si="282"/>
        <v>14023</v>
      </c>
      <c r="U80" s="1225">
        <f t="shared" si="282"/>
        <v>14023</v>
      </c>
      <c r="V80" s="1225">
        <f t="shared" si="282"/>
        <v>14023</v>
      </c>
      <c r="W80" s="1226">
        <f>SUM(W9,W16,W23,W30,W37,W45,W66,W59,W52)</f>
        <v>40119</v>
      </c>
      <c r="X80" s="1227"/>
    </row>
    <row r="81" spans="1:24" s="693" customFormat="1" ht="21.95" customHeight="1">
      <c r="A81" s="2357"/>
      <c r="B81" s="1234" t="s">
        <v>1461</v>
      </c>
      <c r="C81" s="1236"/>
      <c r="D81" s="1209">
        <f>D38</f>
        <v>0</v>
      </c>
      <c r="E81" s="1210">
        <f t="shared" ref="E81:W81" si="283">E38</f>
        <v>0</v>
      </c>
      <c r="F81" s="1210">
        <f t="shared" si="283"/>
        <v>0</v>
      </c>
      <c r="G81" s="1210">
        <f t="shared" si="283"/>
        <v>0</v>
      </c>
      <c r="H81" s="1210">
        <f t="shared" si="283"/>
        <v>4991</v>
      </c>
      <c r="I81" s="1210">
        <f t="shared" si="283"/>
        <v>4991</v>
      </c>
      <c r="J81" s="1210">
        <f t="shared" si="283"/>
        <v>4991</v>
      </c>
      <c r="K81" s="1210">
        <f t="shared" si="283"/>
        <v>4991</v>
      </c>
      <c r="L81" s="1210">
        <f t="shared" si="283"/>
        <v>4991</v>
      </c>
      <c r="M81" s="1210">
        <f t="shared" si="283"/>
        <v>4991</v>
      </c>
      <c r="N81" s="1210">
        <f t="shared" si="283"/>
        <v>4991</v>
      </c>
      <c r="O81" s="1210">
        <f t="shared" si="283"/>
        <v>4991</v>
      </c>
      <c r="P81" s="1210">
        <f t="shared" si="283"/>
        <v>4991</v>
      </c>
      <c r="Q81" s="1210">
        <f t="shared" si="283"/>
        <v>4991</v>
      </c>
      <c r="R81" s="1210">
        <f t="shared" si="283"/>
        <v>4991</v>
      </c>
      <c r="S81" s="1210">
        <f t="shared" si="283"/>
        <v>4991</v>
      </c>
      <c r="T81" s="1210">
        <f t="shared" si="283"/>
        <v>4991</v>
      </c>
      <c r="U81" s="1210">
        <f t="shared" si="283"/>
        <v>4991</v>
      </c>
      <c r="V81" s="1210">
        <f t="shared" si="283"/>
        <v>4991</v>
      </c>
      <c r="W81" s="1210">
        <f t="shared" si="283"/>
        <v>4991</v>
      </c>
      <c r="X81" s="1211"/>
    </row>
    <row r="82" spans="1:24" ht="21.95" customHeight="1">
      <c r="A82" s="2346" t="s">
        <v>145</v>
      </c>
      <c r="B82" s="2347"/>
      <c r="C82" s="87">
        <f>SUM(C10,C17,C24,C31,C39,C46,C67,C60,C53)</f>
        <v>104316</v>
      </c>
      <c r="D82" s="1206">
        <f>SUM(D78:D81)</f>
        <v>106419</v>
      </c>
      <c r="E82" s="1206">
        <f t="shared" ref="E82:W82" si="284">SUM(E78:E81)</f>
        <v>104399</v>
      </c>
      <c r="F82" s="1206">
        <f t="shared" si="284"/>
        <v>104234</v>
      </c>
      <c r="G82" s="1206">
        <f t="shared" si="284"/>
        <v>102610</v>
      </c>
      <c r="H82" s="1206">
        <f t="shared" si="284"/>
        <v>112555</v>
      </c>
      <c r="I82" s="1206">
        <f t="shared" si="284"/>
        <v>113233</v>
      </c>
      <c r="J82" s="1206">
        <f t="shared" si="284"/>
        <v>113796</v>
      </c>
      <c r="K82" s="1206">
        <f t="shared" si="284"/>
        <v>113952</v>
      </c>
      <c r="L82" s="1206">
        <f t="shared" si="284"/>
        <v>114108</v>
      </c>
      <c r="M82" s="1206">
        <f t="shared" si="284"/>
        <v>115530</v>
      </c>
      <c r="N82" s="1206">
        <f t="shared" si="284"/>
        <v>115608</v>
      </c>
      <c r="O82" s="1206">
        <f t="shared" si="284"/>
        <v>115568</v>
      </c>
      <c r="P82" s="1206">
        <f t="shared" si="284"/>
        <v>115528</v>
      </c>
      <c r="Q82" s="1206">
        <f t="shared" si="284"/>
        <v>115488</v>
      </c>
      <c r="R82" s="1206">
        <f t="shared" si="284"/>
        <v>116965</v>
      </c>
      <c r="S82" s="1206">
        <f t="shared" si="284"/>
        <v>116837</v>
      </c>
      <c r="T82" s="1206">
        <f t="shared" si="284"/>
        <v>116709</v>
      </c>
      <c r="U82" s="1206">
        <f t="shared" si="284"/>
        <v>116581</v>
      </c>
      <c r="V82" s="1206">
        <f t="shared" si="284"/>
        <v>116453</v>
      </c>
      <c r="W82" s="1206">
        <f t="shared" si="284"/>
        <v>138243</v>
      </c>
      <c r="X82" s="1208"/>
    </row>
    <row r="83" spans="1:24" ht="21.95" customHeight="1">
      <c r="D83" s="52">
        <f>D79+D80</f>
        <v>0</v>
      </c>
      <c r="E83" s="52">
        <f t="shared" ref="E83:V83" si="285">E79+E80</f>
        <v>791</v>
      </c>
      <c r="F83" s="52">
        <f t="shared" si="285"/>
        <v>1820</v>
      </c>
      <c r="G83" s="52">
        <f t="shared" si="285"/>
        <v>2365</v>
      </c>
      <c r="H83" s="52">
        <f>H80+H81</f>
        <v>13895</v>
      </c>
      <c r="I83" s="52">
        <f t="shared" si="285"/>
        <v>9426</v>
      </c>
      <c r="J83" s="52">
        <f t="shared" si="285"/>
        <v>9833</v>
      </c>
      <c r="K83" s="52">
        <f t="shared" si="285"/>
        <v>9833</v>
      </c>
      <c r="L83" s="52">
        <f t="shared" si="285"/>
        <v>9833</v>
      </c>
      <c r="M83" s="52">
        <f>M80+M81</f>
        <v>17373</v>
      </c>
      <c r="N83" s="52">
        <f t="shared" si="285"/>
        <v>12500</v>
      </c>
      <c r="O83" s="52">
        <f t="shared" si="285"/>
        <v>12500</v>
      </c>
      <c r="P83" s="52">
        <f t="shared" si="285"/>
        <v>12500</v>
      </c>
      <c r="Q83" s="52">
        <f t="shared" si="285"/>
        <v>12500</v>
      </c>
      <c r="R83" s="52">
        <f>R80+R81</f>
        <v>19014</v>
      </c>
      <c r="S83" s="52">
        <f t="shared" si="285"/>
        <v>14023</v>
      </c>
      <c r="T83" s="52">
        <f t="shared" si="285"/>
        <v>14023</v>
      </c>
      <c r="U83" s="52">
        <f t="shared" si="285"/>
        <v>14023</v>
      </c>
      <c r="V83" s="52">
        <f t="shared" si="285"/>
        <v>14023</v>
      </c>
      <c r="W83" s="52">
        <f>W80+W81</f>
        <v>45110</v>
      </c>
    </row>
    <row r="84" spans="1:24" ht="21.95" customHeight="1">
      <c r="C84" s="52"/>
      <c r="D84" s="52"/>
      <c r="E84" s="52"/>
      <c r="G84" s="52"/>
      <c r="H84" s="52">
        <f>+H78+H79+H80</f>
        <v>107564</v>
      </c>
      <c r="I84" s="52"/>
      <c r="J84" s="52"/>
      <c r="K84" s="52"/>
      <c r="L84" s="52"/>
      <c r="M84" s="52">
        <f>+M78+M79+M80</f>
        <v>110539</v>
      </c>
      <c r="N84" s="52"/>
      <c r="O84" s="52"/>
      <c r="P84" s="52"/>
      <c r="Q84" s="52"/>
      <c r="R84" s="52">
        <f>+R78+R79+R80</f>
        <v>111974</v>
      </c>
      <c r="S84" s="52"/>
      <c r="T84" s="52"/>
      <c r="U84" s="52"/>
      <c r="V84" s="52"/>
      <c r="W84" s="52">
        <f>+W78+W79+W80</f>
        <v>133252</v>
      </c>
    </row>
    <row r="85" spans="1:24" ht="21.95" customHeight="1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</row>
    <row r="86" spans="1:24" ht="15" customHeight="1">
      <c r="C86" s="52"/>
      <c r="H86" s="52"/>
      <c r="I86" s="52"/>
    </row>
    <row r="87" spans="1:24" ht="15.75" customHeight="1">
      <c r="H87" s="52"/>
      <c r="W87" s="52"/>
    </row>
    <row r="88" spans="1:24" ht="15" customHeight="1">
      <c r="C88" s="2359"/>
      <c r="D88" s="2359" t="s">
        <v>604</v>
      </c>
      <c r="E88" s="2359"/>
      <c r="F88" s="2359"/>
      <c r="G88" s="2359"/>
      <c r="H88" s="2359"/>
      <c r="I88" s="2359" t="s">
        <v>449</v>
      </c>
    </row>
    <row r="89" spans="1:24" ht="15" customHeight="1">
      <c r="C89" s="2359"/>
      <c r="D89" s="652" t="s">
        <v>605</v>
      </c>
      <c r="E89" s="652" t="s">
        <v>606</v>
      </c>
      <c r="F89" s="652" t="s">
        <v>607</v>
      </c>
      <c r="G89" s="652" t="s">
        <v>608</v>
      </c>
      <c r="H89" s="652" t="s">
        <v>609</v>
      </c>
      <c r="I89" s="2359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</row>
    <row r="90" spans="1:24" ht="15" customHeight="1">
      <c r="C90" s="768"/>
      <c r="D90" s="660" t="e">
        <f>+#REF!</f>
        <v>#REF!</v>
      </c>
      <c r="E90" s="660">
        <f>+H78</f>
        <v>98660</v>
      </c>
      <c r="F90" s="660">
        <f>+M78</f>
        <v>98157</v>
      </c>
      <c r="G90" s="660">
        <f>+R78</f>
        <v>97951</v>
      </c>
      <c r="H90" s="660">
        <f>+W78</f>
        <v>93133</v>
      </c>
      <c r="I90" s="661"/>
    </row>
    <row r="91" spans="1:24" ht="15" customHeight="1">
      <c r="C91" s="653" t="s">
        <v>610</v>
      </c>
      <c r="D91" s="664" t="s">
        <v>559</v>
      </c>
      <c r="E91" s="665" t="e">
        <f>+'사회적유입인구의 처리구역별 배분(적용)'!J113</f>
        <v>#REF!</v>
      </c>
      <c r="F91" s="665" t="e">
        <f>+'사회적유입인구의 처리구역별 배분(적용)'!O113</f>
        <v>#REF!</v>
      </c>
      <c r="G91" s="665" t="e">
        <f>+'사회적유입인구의 처리구역별 배분(적용)'!T113</f>
        <v>#REF!</v>
      </c>
      <c r="H91" s="665" t="e">
        <f>+'사회적유입인구의 처리구역별 배분(적용)'!Y113</f>
        <v>#REF!</v>
      </c>
      <c r="I91" s="666"/>
    </row>
    <row r="92" spans="1:24" ht="15" customHeight="1">
      <c r="C92" s="653" t="s">
        <v>611</v>
      </c>
      <c r="D92" s="655" t="s">
        <v>559</v>
      </c>
      <c r="E92" s="656">
        <f>+'사회적유입인구의 처리구역별 배분(적용)'!J114</f>
        <v>4731</v>
      </c>
      <c r="F92" s="656">
        <f>+'사회적유입인구의 처리구역별 배분(적용)'!O114</f>
        <v>6743</v>
      </c>
      <c r="G92" s="656">
        <f>+'사회적유입인구의 처리구역별 배분(적용)'!T114</f>
        <v>8384</v>
      </c>
      <c r="H92" s="656">
        <f>+'사회적유입인구의 처리구역별 배분(적용)'!Y114</f>
        <v>8384</v>
      </c>
      <c r="I92" s="657"/>
    </row>
    <row r="93" spans="1:24" ht="15" customHeight="1">
      <c r="C93" s="653" t="s">
        <v>612</v>
      </c>
      <c r="D93" s="655" t="s">
        <v>559</v>
      </c>
      <c r="E93" s="656">
        <f>+'사회적유입인구의 처리구역별 배분(적용)'!J115</f>
        <v>202</v>
      </c>
      <c r="F93" s="656">
        <f>+'사회적유입인구의 처리구역별 배분(적용)'!O115</f>
        <v>1012</v>
      </c>
      <c r="G93" s="656">
        <f>+'사회적유입인구의 처리구역별 배분(적용)'!T115</f>
        <v>1012</v>
      </c>
      <c r="H93" s="656">
        <f>+'사회적유입인구의 처리구역별 배분(적용)'!Y115</f>
        <v>11332</v>
      </c>
      <c r="I93" s="657"/>
    </row>
    <row r="94" spans="1:24" ht="15" customHeight="1">
      <c r="C94" s="653" t="s">
        <v>618</v>
      </c>
      <c r="D94" s="655">
        <v>0</v>
      </c>
      <c r="E94" s="656">
        <f>+'사회적유입인구의 처리구역별 배분(적용)'!J116+S94</f>
        <v>16430</v>
      </c>
      <c r="F94" s="656">
        <f>+'사회적유입인구의 처리구역별 배분(적용)'!O116+S94</f>
        <v>16430</v>
      </c>
      <c r="G94" s="656">
        <f>+'사회적유입인구의 처리구역별 배분(적용)'!T116+S94</f>
        <v>16430</v>
      </c>
      <c r="H94" s="656">
        <f>+'사회적유입인구의 처리구역별 배분(적용)'!Y116+S94</f>
        <v>16430</v>
      </c>
      <c r="I94" s="658"/>
      <c r="S94" s="607">
        <v>4200</v>
      </c>
    </row>
    <row r="95" spans="1:24" ht="15" customHeight="1">
      <c r="C95" s="653" t="s">
        <v>617</v>
      </c>
      <c r="D95" s="667"/>
      <c r="E95" s="668" t="e">
        <f>SUM(E91:E94)</f>
        <v>#REF!</v>
      </c>
      <c r="F95" s="668" t="e">
        <f t="shared" ref="F95:G95" si="286">SUM(F91:F94)</f>
        <v>#REF!</v>
      </c>
      <c r="G95" s="668" t="e">
        <f t="shared" si="286"/>
        <v>#REF!</v>
      </c>
      <c r="H95" s="668" t="e">
        <f>SUM(H91:H94)</f>
        <v>#REF!</v>
      </c>
      <c r="I95" s="659"/>
    </row>
    <row r="96" spans="1:24" ht="15" customHeight="1">
      <c r="C96" s="769"/>
      <c r="D96" s="662" t="e">
        <f>+D90+D95</f>
        <v>#REF!</v>
      </c>
      <c r="E96" s="662" t="e">
        <f>+E90+E95</f>
        <v>#REF!</v>
      </c>
      <c r="F96" s="662" t="e">
        <f>+F90+F95</f>
        <v>#REF!</v>
      </c>
      <c r="G96" s="662" t="e">
        <f>+G90+G95</f>
        <v>#REF!</v>
      </c>
      <c r="H96" s="662" t="e">
        <f>+H90+H95</f>
        <v>#REF!</v>
      </c>
      <c r="I96" s="663"/>
    </row>
  </sheetData>
  <mergeCells count="41">
    <mergeCell ref="Z16:Z18"/>
    <mergeCell ref="Z25:Z27"/>
    <mergeCell ref="Z28:Z30"/>
    <mergeCell ref="C88:C89"/>
    <mergeCell ref="D88:H88"/>
    <mergeCell ref="I88:I89"/>
    <mergeCell ref="Z3:AA3"/>
    <mergeCell ref="Z4:Z6"/>
    <mergeCell ref="Z7:Z9"/>
    <mergeCell ref="Z10:Z12"/>
    <mergeCell ref="Z13:Z15"/>
    <mergeCell ref="A82:B82"/>
    <mergeCell ref="A73:B73"/>
    <mergeCell ref="A67:B67"/>
    <mergeCell ref="Z19:Z21"/>
    <mergeCell ref="Z22:Z24"/>
    <mergeCell ref="Z31:Z33"/>
    <mergeCell ref="Z34:Z36"/>
    <mergeCell ref="A24:B24"/>
    <mergeCell ref="A39:B39"/>
    <mergeCell ref="A31:B31"/>
    <mergeCell ref="A74:A81"/>
    <mergeCell ref="A17:B17"/>
    <mergeCell ref="A68:A72"/>
    <mergeCell ref="A3:B3"/>
    <mergeCell ref="A10:B10"/>
    <mergeCell ref="A53:B53"/>
    <mergeCell ref="A60:B60"/>
    <mergeCell ref="A46:B46"/>
    <mergeCell ref="AX3:AY3"/>
    <mergeCell ref="AX4:AX6"/>
    <mergeCell ref="AX7:AX9"/>
    <mergeCell ref="AX10:AX12"/>
    <mergeCell ref="AX13:AX15"/>
    <mergeCell ref="AX16:AX18"/>
    <mergeCell ref="AX19:AX21"/>
    <mergeCell ref="AX22:AX24"/>
    <mergeCell ref="AX31:AX33"/>
    <mergeCell ref="AX34:AX36"/>
    <mergeCell ref="AX25:AX27"/>
    <mergeCell ref="AX28:AX30"/>
  </mergeCells>
  <phoneticPr fontId="3" type="noConversion"/>
  <pageMargins left="0.74803149606299213" right="0.74803149606299213" top="0.98425196850393704" bottom="0.98425196850393704" header="0.51181102362204722" footer="0.51181102362204722"/>
  <pageSetup paperSize="9" scale="85" orientation="portrait" r:id="rId1"/>
  <headerFooter alignWithMargins="0"/>
  <rowBreaks count="1" manualBreakCount="1">
    <brk id="46" max="2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7"/>
  <sheetViews>
    <sheetView view="pageBreakPreview" zoomScaleNormal="100" zoomScaleSheetLayoutView="100" workbookViewId="0">
      <selection activeCell="R20" sqref="R20"/>
    </sheetView>
  </sheetViews>
  <sheetFormatPr defaultRowHeight="15" customHeight="1"/>
  <cols>
    <col min="1" max="2" width="11.875" style="49" customWidth="1"/>
    <col min="3" max="3" width="9.625" style="49" customWidth="1"/>
    <col min="4" max="4" width="9.625" style="693" customWidth="1"/>
    <col min="5" max="23" width="9.625" style="49" customWidth="1"/>
    <col min="24" max="254" width="9" style="49"/>
    <col min="255" max="255" width="7.375" style="49" bestFit="1" customWidth="1"/>
    <col min="256" max="256" width="12.75" style="49" customWidth="1"/>
    <col min="257" max="257" width="10.5" style="49" customWidth="1"/>
    <col min="258" max="259" width="0" style="49" hidden="1" customWidth="1"/>
    <col min="260" max="260" width="10.5" style="49" customWidth="1"/>
    <col min="261" max="264" width="0" style="49" hidden="1" customWidth="1"/>
    <col min="265" max="265" width="10.5" style="49" customWidth="1"/>
    <col min="266" max="269" width="0" style="49" hidden="1" customWidth="1"/>
    <col min="270" max="270" width="10.5" style="49" customWidth="1"/>
    <col min="271" max="274" width="0" style="49" hidden="1" customWidth="1"/>
    <col min="275" max="275" width="10.5" style="49" customWidth="1"/>
    <col min="276" max="510" width="9" style="49"/>
    <col min="511" max="511" width="7.375" style="49" bestFit="1" customWidth="1"/>
    <col min="512" max="512" width="12.75" style="49" customWidth="1"/>
    <col min="513" max="513" width="10.5" style="49" customWidth="1"/>
    <col min="514" max="515" width="0" style="49" hidden="1" customWidth="1"/>
    <col min="516" max="516" width="10.5" style="49" customWidth="1"/>
    <col min="517" max="520" width="0" style="49" hidden="1" customWidth="1"/>
    <col min="521" max="521" width="10.5" style="49" customWidth="1"/>
    <col min="522" max="525" width="0" style="49" hidden="1" customWidth="1"/>
    <col min="526" max="526" width="10.5" style="49" customWidth="1"/>
    <col min="527" max="530" width="0" style="49" hidden="1" customWidth="1"/>
    <col min="531" max="531" width="10.5" style="49" customWidth="1"/>
    <col min="532" max="766" width="9" style="49"/>
    <col min="767" max="767" width="7.375" style="49" bestFit="1" customWidth="1"/>
    <col min="768" max="768" width="12.75" style="49" customWidth="1"/>
    <col min="769" max="769" width="10.5" style="49" customWidth="1"/>
    <col min="770" max="771" width="0" style="49" hidden="1" customWidth="1"/>
    <col min="772" max="772" width="10.5" style="49" customWidth="1"/>
    <col min="773" max="776" width="0" style="49" hidden="1" customWidth="1"/>
    <col min="777" max="777" width="10.5" style="49" customWidth="1"/>
    <col min="778" max="781" width="0" style="49" hidden="1" customWidth="1"/>
    <col min="782" max="782" width="10.5" style="49" customWidth="1"/>
    <col min="783" max="786" width="0" style="49" hidden="1" customWidth="1"/>
    <col min="787" max="787" width="10.5" style="49" customWidth="1"/>
    <col min="788" max="1022" width="9" style="49"/>
    <col min="1023" max="1023" width="7.375" style="49" bestFit="1" customWidth="1"/>
    <col min="1024" max="1024" width="12.75" style="49" customWidth="1"/>
    <col min="1025" max="1025" width="10.5" style="49" customWidth="1"/>
    <col min="1026" max="1027" width="0" style="49" hidden="1" customWidth="1"/>
    <col min="1028" max="1028" width="10.5" style="49" customWidth="1"/>
    <col min="1029" max="1032" width="0" style="49" hidden="1" customWidth="1"/>
    <col min="1033" max="1033" width="10.5" style="49" customWidth="1"/>
    <col min="1034" max="1037" width="0" style="49" hidden="1" customWidth="1"/>
    <col min="1038" max="1038" width="10.5" style="49" customWidth="1"/>
    <col min="1039" max="1042" width="0" style="49" hidden="1" customWidth="1"/>
    <col min="1043" max="1043" width="10.5" style="49" customWidth="1"/>
    <col min="1044" max="1278" width="9" style="49"/>
    <col min="1279" max="1279" width="7.375" style="49" bestFit="1" customWidth="1"/>
    <col min="1280" max="1280" width="12.75" style="49" customWidth="1"/>
    <col min="1281" max="1281" width="10.5" style="49" customWidth="1"/>
    <col min="1282" max="1283" width="0" style="49" hidden="1" customWidth="1"/>
    <col min="1284" max="1284" width="10.5" style="49" customWidth="1"/>
    <col min="1285" max="1288" width="0" style="49" hidden="1" customWidth="1"/>
    <col min="1289" max="1289" width="10.5" style="49" customWidth="1"/>
    <col min="1290" max="1293" width="0" style="49" hidden="1" customWidth="1"/>
    <col min="1294" max="1294" width="10.5" style="49" customWidth="1"/>
    <col min="1295" max="1298" width="0" style="49" hidden="1" customWidth="1"/>
    <col min="1299" max="1299" width="10.5" style="49" customWidth="1"/>
    <col min="1300" max="1534" width="9" style="49"/>
    <col min="1535" max="1535" width="7.375" style="49" bestFit="1" customWidth="1"/>
    <col min="1536" max="1536" width="12.75" style="49" customWidth="1"/>
    <col min="1537" max="1537" width="10.5" style="49" customWidth="1"/>
    <col min="1538" max="1539" width="0" style="49" hidden="1" customWidth="1"/>
    <col min="1540" max="1540" width="10.5" style="49" customWidth="1"/>
    <col min="1541" max="1544" width="0" style="49" hidden="1" customWidth="1"/>
    <col min="1545" max="1545" width="10.5" style="49" customWidth="1"/>
    <col min="1546" max="1549" width="0" style="49" hidden="1" customWidth="1"/>
    <col min="1550" max="1550" width="10.5" style="49" customWidth="1"/>
    <col min="1551" max="1554" width="0" style="49" hidden="1" customWidth="1"/>
    <col min="1555" max="1555" width="10.5" style="49" customWidth="1"/>
    <col min="1556" max="1790" width="9" style="49"/>
    <col min="1791" max="1791" width="7.375" style="49" bestFit="1" customWidth="1"/>
    <col min="1792" max="1792" width="12.75" style="49" customWidth="1"/>
    <col min="1793" max="1793" width="10.5" style="49" customWidth="1"/>
    <col min="1794" max="1795" width="0" style="49" hidden="1" customWidth="1"/>
    <col min="1796" max="1796" width="10.5" style="49" customWidth="1"/>
    <col min="1797" max="1800" width="0" style="49" hidden="1" customWidth="1"/>
    <col min="1801" max="1801" width="10.5" style="49" customWidth="1"/>
    <col min="1802" max="1805" width="0" style="49" hidden="1" customWidth="1"/>
    <col min="1806" max="1806" width="10.5" style="49" customWidth="1"/>
    <col min="1807" max="1810" width="0" style="49" hidden="1" customWidth="1"/>
    <col min="1811" max="1811" width="10.5" style="49" customWidth="1"/>
    <col min="1812" max="2046" width="9" style="49"/>
    <col min="2047" max="2047" width="7.375" style="49" bestFit="1" customWidth="1"/>
    <col min="2048" max="2048" width="12.75" style="49" customWidth="1"/>
    <col min="2049" max="2049" width="10.5" style="49" customWidth="1"/>
    <col min="2050" max="2051" width="0" style="49" hidden="1" customWidth="1"/>
    <col min="2052" max="2052" width="10.5" style="49" customWidth="1"/>
    <col min="2053" max="2056" width="0" style="49" hidden="1" customWidth="1"/>
    <col min="2057" max="2057" width="10.5" style="49" customWidth="1"/>
    <col min="2058" max="2061" width="0" style="49" hidden="1" customWidth="1"/>
    <col min="2062" max="2062" width="10.5" style="49" customWidth="1"/>
    <col min="2063" max="2066" width="0" style="49" hidden="1" customWidth="1"/>
    <col min="2067" max="2067" width="10.5" style="49" customWidth="1"/>
    <col min="2068" max="2302" width="9" style="49"/>
    <col min="2303" max="2303" width="7.375" style="49" bestFit="1" customWidth="1"/>
    <col min="2304" max="2304" width="12.75" style="49" customWidth="1"/>
    <col min="2305" max="2305" width="10.5" style="49" customWidth="1"/>
    <col min="2306" max="2307" width="0" style="49" hidden="1" customWidth="1"/>
    <col min="2308" max="2308" width="10.5" style="49" customWidth="1"/>
    <col min="2309" max="2312" width="0" style="49" hidden="1" customWidth="1"/>
    <col min="2313" max="2313" width="10.5" style="49" customWidth="1"/>
    <col min="2314" max="2317" width="0" style="49" hidden="1" customWidth="1"/>
    <col min="2318" max="2318" width="10.5" style="49" customWidth="1"/>
    <col min="2319" max="2322" width="0" style="49" hidden="1" customWidth="1"/>
    <col min="2323" max="2323" width="10.5" style="49" customWidth="1"/>
    <col min="2324" max="2558" width="9" style="49"/>
    <col min="2559" max="2559" width="7.375" style="49" bestFit="1" customWidth="1"/>
    <col min="2560" max="2560" width="12.75" style="49" customWidth="1"/>
    <col min="2561" max="2561" width="10.5" style="49" customWidth="1"/>
    <col min="2562" max="2563" width="0" style="49" hidden="1" customWidth="1"/>
    <col min="2564" max="2564" width="10.5" style="49" customWidth="1"/>
    <col min="2565" max="2568" width="0" style="49" hidden="1" customWidth="1"/>
    <col min="2569" max="2569" width="10.5" style="49" customWidth="1"/>
    <col min="2570" max="2573" width="0" style="49" hidden="1" customWidth="1"/>
    <col min="2574" max="2574" width="10.5" style="49" customWidth="1"/>
    <col min="2575" max="2578" width="0" style="49" hidden="1" customWidth="1"/>
    <col min="2579" max="2579" width="10.5" style="49" customWidth="1"/>
    <col min="2580" max="2814" width="9" style="49"/>
    <col min="2815" max="2815" width="7.375" style="49" bestFit="1" customWidth="1"/>
    <col min="2816" max="2816" width="12.75" style="49" customWidth="1"/>
    <col min="2817" max="2817" width="10.5" style="49" customWidth="1"/>
    <col min="2818" max="2819" width="0" style="49" hidden="1" customWidth="1"/>
    <col min="2820" max="2820" width="10.5" style="49" customWidth="1"/>
    <col min="2821" max="2824" width="0" style="49" hidden="1" customWidth="1"/>
    <col min="2825" max="2825" width="10.5" style="49" customWidth="1"/>
    <col min="2826" max="2829" width="0" style="49" hidden="1" customWidth="1"/>
    <col min="2830" max="2830" width="10.5" style="49" customWidth="1"/>
    <col min="2831" max="2834" width="0" style="49" hidden="1" customWidth="1"/>
    <col min="2835" max="2835" width="10.5" style="49" customWidth="1"/>
    <col min="2836" max="3070" width="9" style="49"/>
    <col min="3071" max="3071" width="7.375" style="49" bestFit="1" customWidth="1"/>
    <col min="3072" max="3072" width="12.75" style="49" customWidth="1"/>
    <col min="3073" max="3073" width="10.5" style="49" customWidth="1"/>
    <col min="3074" max="3075" width="0" style="49" hidden="1" customWidth="1"/>
    <col min="3076" max="3076" width="10.5" style="49" customWidth="1"/>
    <col min="3077" max="3080" width="0" style="49" hidden="1" customWidth="1"/>
    <col min="3081" max="3081" width="10.5" style="49" customWidth="1"/>
    <col min="3082" max="3085" width="0" style="49" hidden="1" customWidth="1"/>
    <col min="3086" max="3086" width="10.5" style="49" customWidth="1"/>
    <col min="3087" max="3090" width="0" style="49" hidden="1" customWidth="1"/>
    <col min="3091" max="3091" width="10.5" style="49" customWidth="1"/>
    <col min="3092" max="3326" width="9" style="49"/>
    <col min="3327" max="3327" width="7.375" style="49" bestFit="1" customWidth="1"/>
    <col min="3328" max="3328" width="12.75" style="49" customWidth="1"/>
    <col min="3329" max="3329" width="10.5" style="49" customWidth="1"/>
    <col min="3330" max="3331" width="0" style="49" hidden="1" customWidth="1"/>
    <col min="3332" max="3332" width="10.5" style="49" customWidth="1"/>
    <col min="3333" max="3336" width="0" style="49" hidden="1" customWidth="1"/>
    <col min="3337" max="3337" width="10.5" style="49" customWidth="1"/>
    <col min="3338" max="3341" width="0" style="49" hidden="1" customWidth="1"/>
    <col min="3342" max="3342" width="10.5" style="49" customWidth="1"/>
    <col min="3343" max="3346" width="0" style="49" hidden="1" customWidth="1"/>
    <col min="3347" max="3347" width="10.5" style="49" customWidth="1"/>
    <col min="3348" max="3582" width="9" style="49"/>
    <col min="3583" max="3583" width="7.375" style="49" bestFit="1" customWidth="1"/>
    <col min="3584" max="3584" width="12.75" style="49" customWidth="1"/>
    <col min="3585" max="3585" width="10.5" style="49" customWidth="1"/>
    <col min="3586" max="3587" width="0" style="49" hidden="1" customWidth="1"/>
    <col min="3588" max="3588" width="10.5" style="49" customWidth="1"/>
    <col min="3589" max="3592" width="0" style="49" hidden="1" customWidth="1"/>
    <col min="3593" max="3593" width="10.5" style="49" customWidth="1"/>
    <col min="3594" max="3597" width="0" style="49" hidden="1" customWidth="1"/>
    <col min="3598" max="3598" width="10.5" style="49" customWidth="1"/>
    <col min="3599" max="3602" width="0" style="49" hidden="1" customWidth="1"/>
    <col min="3603" max="3603" width="10.5" style="49" customWidth="1"/>
    <col min="3604" max="3838" width="9" style="49"/>
    <col min="3839" max="3839" width="7.375" style="49" bestFit="1" customWidth="1"/>
    <col min="3840" max="3840" width="12.75" style="49" customWidth="1"/>
    <col min="3841" max="3841" width="10.5" style="49" customWidth="1"/>
    <col min="3842" max="3843" width="0" style="49" hidden="1" customWidth="1"/>
    <col min="3844" max="3844" width="10.5" style="49" customWidth="1"/>
    <col min="3845" max="3848" width="0" style="49" hidden="1" customWidth="1"/>
    <col min="3849" max="3849" width="10.5" style="49" customWidth="1"/>
    <col min="3850" max="3853" width="0" style="49" hidden="1" customWidth="1"/>
    <col min="3854" max="3854" width="10.5" style="49" customWidth="1"/>
    <col min="3855" max="3858" width="0" style="49" hidden="1" customWidth="1"/>
    <col min="3859" max="3859" width="10.5" style="49" customWidth="1"/>
    <col min="3860" max="4094" width="9" style="49"/>
    <col min="4095" max="4095" width="7.375" style="49" bestFit="1" customWidth="1"/>
    <col min="4096" max="4096" width="12.75" style="49" customWidth="1"/>
    <col min="4097" max="4097" width="10.5" style="49" customWidth="1"/>
    <col min="4098" max="4099" width="0" style="49" hidden="1" customWidth="1"/>
    <col min="4100" max="4100" width="10.5" style="49" customWidth="1"/>
    <col min="4101" max="4104" width="0" style="49" hidden="1" customWidth="1"/>
    <col min="4105" max="4105" width="10.5" style="49" customWidth="1"/>
    <col min="4106" max="4109" width="0" style="49" hidden="1" customWidth="1"/>
    <col min="4110" max="4110" width="10.5" style="49" customWidth="1"/>
    <col min="4111" max="4114" width="0" style="49" hidden="1" customWidth="1"/>
    <col min="4115" max="4115" width="10.5" style="49" customWidth="1"/>
    <col min="4116" max="4350" width="9" style="49"/>
    <col min="4351" max="4351" width="7.375" style="49" bestFit="1" customWidth="1"/>
    <col min="4352" max="4352" width="12.75" style="49" customWidth="1"/>
    <col min="4353" max="4353" width="10.5" style="49" customWidth="1"/>
    <col min="4354" max="4355" width="0" style="49" hidden="1" customWidth="1"/>
    <col min="4356" max="4356" width="10.5" style="49" customWidth="1"/>
    <col min="4357" max="4360" width="0" style="49" hidden="1" customWidth="1"/>
    <col min="4361" max="4361" width="10.5" style="49" customWidth="1"/>
    <col min="4362" max="4365" width="0" style="49" hidden="1" customWidth="1"/>
    <col min="4366" max="4366" width="10.5" style="49" customWidth="1"/>
    <col min="4367" max="4370" width="0" style="49" hidden="1" customWidth="1"/>
    <col min="4371" max="4371" width="10.5" style="49" customWidth="1"/>
    <col min="4372" max="4606" width="9" style="49"/>
    <col min="4607" max="4607" width="7.375" style="49" bestFit="1" customWidth="1"/>
    <col min="4608" max="4608" width="12.75" style="49" customWidth="1"/>
    <col min="4609" max="4609" width="10.5" style="49" customWidth="1"/>
    <col min="4610" max="4611" width="0" style="49" hidden="1" customWidth="1"/>
    <col min="4612" max="4612" width="10.5" style="49" customWidth="1"/>
    <col min="4613" max="4616" width="0" style="49" hidden="1" customWidth="1"/>
    <col min="4617" max="4617" width="10.5" style="49" customWidth="1"/>
    <col min="4618" max="4621" width="0" style="49" hidden="1" customWidth="1"/>
    <col min="4622" max="4622" width="10.5" style="49" customWidth="1"/>
    <col min="4623" max="4626" width="0" style="49" hidden="1" customWidth="1"/>
    <col min="4627" max="4627" width="10.5" style="49" customWidth="1"/>
    <col min="4628" max="4862" width="9" style="49"/>
    <col min="4863" max="4863" width="7.375" style="49" bestFit="1" customWidth="1"/>
    <col min="4864" max="4864" width="12.75" style="49" customWidth="1"/>
    <col min="4865" max="4865" width="10.5" style="49" customWidth="1"/>
    <col min="4866" max="4867" width="0" style="49" hidden="1" customWidth="1"/>
    <col min="4868" max="4868" width="10.5" style="49" customWidth="1"/>
    <col min="4869" max="4872" width="0" style="49" hidden="1" customWidth="1"/>
    <col min="4873" max="4873" width="10.5" style="49" customWidth="1"/>
    <col min="4874" max="4877" width="0" style="49" hidden="1" customWidth="1"/>
    <col min="4878" max="4878" width="10.5" style="49" customWidth="1"/>
    <col min="4879" max="4882" width="0" style="49" hidden="1" customWidth="1"/>
    <col min="4883" max="4883" width="10.5" style="49" customWidth="1"/>
    <col min="4884" max="5118" width="9" style="49"/>
    <col min="5119" max="5119" width="7.375" style="49" bestFit="1" customWidth="1"/>
    <col min="5120" max="5120" width="12.75" style="49" customWidth="1"/>
    <col min="5121" max="5121" width="10.5" style="49" customWidth="1"/>
    <col min="5122" max="5123" width="0" style="49" hidden="1" customWidth="1"/>
    <col min="5124" max="5124" width="10.5" style="49" customWidth="1"/>
    <col min="5125" max="5128" width="0" style="49" hidden="1" customWidth="1"/>
    <col min="5129" max="5129" width="10.5" style="49" customWidth="1"/>
    <col min="5130" max="5133" width="0" style="49" hidden="1" customWidth="1"/>
    <col min="5134" max="5134" width="10.5" style="49" customWidth="1"/>
    <col min="5135" max="5138" width="0" style="49" hidden="1" customWidth="1"/>
    <col min="5139" max="5139" width="10.5" style="49" customWidth="1"/>
    <col min="5140" max="5374" width="9" style="49"/>
    <col min="5375" max="5375" width="7.375" style="49" bestFit="1" customWidth="1"/>
    <col min="5376" max="5376" width="12.75" style="49" customWidth="1"/>
    <col min="5377" max="5377" width="10.5" style="49" customWidth="1"/>
    <col min="5378" max="5379" width="0" style="49" hidden="1" customWidth="1"/>
    <col min="5380" max="5380" width="10.5" style="49" customWidth="1"/>
    <col min="5381" max="5384" width="0" style="49" hidden="1" customWidth="1"/>
    <col min="5385" max="5385" width="10.5" style="49" customWidth="1"/>
    <col min="5386" max="5389" width="0" style="49" hidden="1" customWidth="1"/>
    <col min="5390" max="5390" width="10.5" style="49" customWidth="1"/>
    <col min="5391" max="5394" width="0" style="49" hidden="1" customWidth="1"/>
    <col min="5395" max="5395" width="10.5" style="49" customWidth="1"/>
    <col min="5396" max="5630" width="9" style="49"/>
    <col min="5631" max="5631" width="7.375" style="49" bestFit="1" customWidth="1"/>
    <col min="5632" max="5632" width="12.75" style="49" customWidth="1"/>
    <col min="5633" max="5633" width="10.5" style="49" customWidth="1"/>
    <col min="5634" max="5635" width="0" style="49" hidden="1" customWidth="1"/>
    <col min="5636" max="5636" width="10.5" style="49" customWidth="1"/>
    <col min="5637" max="5640" width="0" style="49" hidden="1" customWidth="1"/>
    <col min="5641" max="5641" width="10.5" style="49" customWidth="1"/>
    <col min="5642" max="5645" width="0" style="49" hidden="1" customWidth="1"/>
    <col min="5646" max="5646" width="10.5" style="49" customWidth="1"/>
    <col min="5647" max="5650" width="0" style="49" hidden="1" customWidth="1"/>
    <col min="5651" max="5651" width="10.5" style="49" customWidth="1"/>
    <col min="5652" max="5886" width="9" style="49"/>
    <col min="5887" max="5887" width="7.375" style="49" bestFit="1" customWidth="1"/>
    <col min="5888" max="5888" width="12.75" style="49" customWidth="1"/>
    <col min="5889" max="5889" width="10.5" style="49" customWidth="1"/>
    <col min="5890" max="5891" width="0" style="49" hidden="1" customWidth="1"/>
    <col min="5892" max="5892" width="10.5" style="49" customWidth="1"/>
    <col min="5893" max="5896" width="0" style="49" hidden="1" customWidth="1"/>
    <col min="5897" max="5897" width="10.5" style="49" customWidth="1"/>
    <col min="5898" max="5901" width="0" style="49" hidden="1" customWidth="1"/>
    <col min="5902" max="5902" width="10.5" style="49" customWidth="1"/>
    <col min="5903" max="5906" width="0" style="49" hidden="1" customWidth="1"/>
    <col min="5907" max="5907" width="10.5" style="49" customWidth="1"/>
    <col min="5908" max="6142" width="9" style="49"/>
    <col min="6143" max="6143" width="7.375" style="49" bestFit="1" customWidth="1"/>
    <col min="6144" max="6144" width="12.75" style="49" customWidth="1"/>
    <col min="6145" max="6145" width="10.5" style="49" customWidth="1"/>
    <col min="6146" max="6147" width="0" style="49" hidden="1" customWidth="1"/>
    <col min="6148" max="6148" width="10.5" style="49" customWidth="1"/>
    <col min="6149" max="6152" width="0" style="49" hidden="1" customWidth="1"/>
    <col min="6153" max="6153" width="10.5" style="49" customWidth="1"/>
    <col min="6154" max="6157" width="0" style="49" hidden="1" customWidth="1"/>
    <col min="6158" max="6158" width="10.5" style="49" customWidth="1"/>
    <col min="6159" max="6162" width="0" style="49" hidden="1" customWidth="1"/>
    <col min="6163" max="6163" width="10.5" style="49" customWidth="1"/>
    <col min="6164" max="6398" width="9" style="49"/>
    <col min="6399" max="6399" width="7.375" style="49" bestFit="1" customWidth="1"/>
    <col min="6400" max="6400" width="12.75" style="49" customWidth="1"/>
    <col min="6401" max="6401" width="10.5" style="49" customWidth="1"/>
    <col min="6402" max="6403" width="0" style="49" hidden="1" customWidth="1"/>
    <col min="6404" max="6404" width="10.5" style="49" customWidth="1"/>
    <col min="6405" max="6408" width="0" style="49" hidden="1" customWidth="1"/>
    <col min="6409" max="6409" width="10.5" style="49" customWidth="1"/>
    <col min="6410" max="6413" width="0" style="49" hidden="1" customWidth="1"/>
    <col min="6414" max="6414" width="10.5" style="49" customWidth="1"/>
    <col min="6415" max="6418" width="0" style="49" hidden="1" customWidth="1"/>
    <col min="6419" max="6419" width="10.5" style="49" customWidth="1"/>
    <col min="6420" max="6654" width="9" style="49"/>
    <col min="6655" max="6655" width="7.375" style="49" bestFit="1" customWidth="1"/>
    <col min="6656" max="6656" width="12.75" style="49" customWidth="1"/>
    <col min="6657" max="6657" width="10.5" style="49" customWidth="1"/>
    <col min="6658" max="6659" width="0" style="49" hidden="1" customWidth="1"/>
    <col min="6660" max="6660" width="10.5" style="49" customWidth="1"/>
    <col min="6661" max="6664" width="0" style="49" hidden="1" customWidth="1"/>
    <col min="6665" max="6665" width="10.5" style="49" customWidth="1"/>
    <col min="6666" max="6669" width="0" style="49" hidden="1" customWidth="1"/>
    <col min="6670" max="6670" width="10.5" style="49" customWidth="1"/>
    <col min="6671" max="6674" width="0" style="49" hidden="1" customWidth="1"/>
    <col min="6675" max="6675" width="10.5" style="49" customWidth="1"/>
    <col min="6676" max="6910" width="9" style="49"/>
    <col min="6911" max="6911" width="7.375" style="49" bestFit="1" customWidth="1"/>
    <col min="6912" max="6912" width="12.75" style="49" customWidth="1"/>
    <col min="6913" max="6913" width="10.5" style="49" customWidth="1"/>
    <col min="6914" max="6915" width="0" style="49" hidden="1" customWidth="1"/>
    <col min="6916" max="6916" width="10.5" style="49" customWidth="1"/>
    <col min="6917" max="6920" width="0" style="49" hidden="1" customWidth="1"/>
    <col min="6921" max="6921" width="10.5" style="49" customWidth="1"/>
    <col min="6922" max="6925" width="0" style="49" hidden="1" customWidth="1"/>
    <col min="6926" max="6926" width="10.5" style="49" customWidth="1"/>
    <col min="6927" max="6930" width="0" style="49" hidden="1" customWidth="1"/>
    <col min="6931" max="6931" width="10.5" style="49" customWidth="1"/>
    <col min="6932" max="7166" width="9" style="49"/>
    <col min="7167" max="7167" width="7.375" style="49" bestFit="1" customWidth="1"/>
    <col min="7168" max="7168" width="12.75" style="49" customWidth="1"/>
    <col min="7169" max="7169" width="10.5" style="49" customWidth="1"/>
    <col min="7170" max="7171" width="0" style="49" hidden="1" customWidth="1"/>
    <col min="7172" max="7172" width="10.5" style="49" customWidth="1"/>
    <col min="7173" max="7176" width="0" style="49" hidden="1" customWidth="1"/>
    <col min="7177" max="7177" width="10.5" style="49" customWidth="1"/>
    <col min="7178" max="7181" width="0" style="49" hidden="1" customWidth="1"/>
    <col min="7182" max="7182" width="10.5" style="49" customWidth="1"/>
    <col min="7183" max="7186" width="0" style="49" hidden="1" customWidth="1"/>
    <col min="7187" max="7187" width="10.5" style="49" customWidth="1"/>
    <col min="7188" max="7422" width="9" style="49"/>
    <col min="7423" max="7423" width="7.375" style="49" bestFit="1" customWidth="1"/>
    <col min="7424" max="7424" width="12.75" style="49" customWidth="1"/>
    <col min="7425" max="7425" width="10.5" style="49" customWidth="1"/>
    <col min="7426" max="7427" width="0" style="49" hidden="1" customWidth="1"/>
    <col min="7428" max="7428" width="10.5" style="49" customWidth="1"/>
    <col min="7429" max="7432" width="0" style="49" hidden="1" customWidth="1"/>
    <col min="7433" max="7433" width="10.5" style="49" customWidth="1"/>
    <col min="7434" max="7437" width="0" style="49" hidden="1" customWidth="1"/>
    <col min="7438" max="7438" width="10.5" style="49" customWidth="1"/>
    <col min="7439" max="7442" width="0" style="49" hidden="1" customWidth="1"/>
    <col min="7443" max="7443" width="10.5" style="49" customWidth="1"/>
    <col min="7444" max="7678" width="9" style="49"/>
    <col min="7679" max="7679" width="7.375" style="49" bestFit="1" customWidth="1"/>
    <col min="7680" max="7680" width="12.75" style="49" customWidth="1"/>
    <col min="7681" max="7681" width="10.5" style="49" customWidth="1"/>
    <col min="7682" max="7683" width="0" style="49" hidden="1" customWidth="1"/>
    <col min="7684" max="7684" width="10.5" style="49" customWidth="1"/>
    <col min="7685" max="7688" width="0" style="49" hidden="1" customWidth="1"/>
    <col min="7689" max="7689" width="10.5" style="49" customWidth="1"/>
    <col min="7690" max="7693" width="0" style="49" hidden="1" customWidth="1"/>
    <col min="7694" max="7694" width="10.5" style="49" customWidth="1"/>
    <col min="7695" max="7698" width="0" style="49" hidden="1" customWidth="1"/>
    <col min="7699" max="7699" width="10.5" style="49" customWidth="1"/>
    <col min="7700" max="7934" width="9" style="49"/>
    <col min="7935" max="7935" width="7.375" style="49" bestFit="1" customWidth="1"/>
    <col min="7936" max="7936" width="12.75" style="49" customWidth="1"/>
    <col min="7937" max="7937" width="10.5" style="49" customWidth="1"/>
    <col min="7938" max="7939" width="0" style="49" hidden="1" customWidth="1"/>
    <col min="7940" max="7940" width="10.5" style="49" customWidth="1"/>
    <col min="7941" max="7944" width="0" style="49" hidden="1" customWidth="1"/>
    <col min="7945" max="7945" width="10.5" style="49" customWidth="1"/>
    <col min="7946" max="7949" width="0" style="49" hidden="1" customWidth="1"/>
    <col min="7950" max="7950" width="10.5" style="49" customWidth="1"/>
    <col min="7951" max="7954" width="0" style="49" hidden="1" customWidth="1"/>
    <col min="7955" max="7955" width="10.5" style="49" customWidth="1"/>
    <col min="7956" max="8190" width="9" style="49"/>
    <col min="8191" max="8191" width="7.375" style="49" bestFit="1" customWidth="1"/>
    <col min="8192" max="8192" width="12.75" style="49" customWidth="1"/>
    <col min="8193" max="8193" width="10.5" style="49" customWidth="1"/>
    <col min="8194" max="8195" width="0" style="49" hidden="1" customWidth="1"/>
    <col min="8196" max="8196" width="10.5" style="49" customWidth="1"/>
    <col min="8197" max="8200" width="0" style="49" hidden="1" customWidth="1"/>
    <col min="8201" max="8201" width="10.5" style="49" customWidth="1"/>
    <col min="8202" max="8205" width="0" style="49" hidden="1" customWidth="1"/>
    <col min="8206" max="8206" width="10.5" style="49" customWidth="1"/>
    <col min="8207" max="8210" width="0" style="49" hidden="1" customWidth="1"/>
    <col min="8211" max="8211" width="10.5" style="49" customWidth="1"/>
    <col min="8212" max="8446" width="9" style="49"/>
    <col min="8447" max="8447" width="7.375" style="49" bestFit="1" customWidth="1"/>
    <col min="8448" max="8448" width="12.75" style="49" customWidth="1"/>
    <col min="8449" max="8449" width="10.5" style="49" customWidth="1"/>
    <col min="8450" max="8451" width="0" style="49" hidden="1" customWidth="1"/>
    <col min="8452" max="8452" width="10.5" style="49" customWidth="1"/>
    <col min="8453" max="8456" width="0" style="49" hidden="1" customWidth="1"/>
    <col min="8457" max="8457" width="10.5" style="49" customWidth="1"/>
    <col min="8458" max="8461" width="0" style="49" hidden="1" customWidth="1"/>
    <col min="8462" max="8462" width="10.5" style="49" customWidth="1"/>
    <col min="8463" max="8466" width="0" style="49" hidden="1" customWidth="1"/>
    <col min="8467" max="8467" width="10.5" style="49" customWidth="1"/>
    <col min="8468" max="8702" width="9" style="49"/>
    <col min="8703" max="8703" width="7.375" style="49" bestFit="1" customWidth="1"/>
    <col min="8704" max="8704" width="12.75" style="49" customWidth="1"/>
    <col min="8705" max="8705" width="10.5" style="49" customWidth="1"/>
    <col min="8706" max="8707" width="0" style="49" hidden="1" customWidth="1"/>
    <col min="8708" max="8708" width="10.5" style="49" customWidth="1"/>
    <col min="8709" max="8712" width="0" style="49" hidden="1" customWidth="1"/>
    <col min="8713" max="8713" width="10.5" style="49" customWidth="1"/>
    <col min="8714" max="8717" width="0" style="49" hidden="1" customWidth="1"/>
    <col min="8718" max="8718" width="10.5" style="49" customWidth="1"/>
    <col min="8719" max="8722" width="0" style="49" hidden="1" customWidth="1"/>
    <col min="8723" max="8723" width="10.5" style="49" customWidth="1"/>
    <col min="8724" max="8958" width="9" style="49"/>
    <col min="8959" max="8959" width="7.375" style="49" bestFit="1" customWidth="1"/>
    <col min="8960" max="8960" width="12.75" style="49" customWidth="1"/>
    <col min="8961" max="8961" width="10.5" style="49" customWidth="1"/>
    <col min="8962" max="8963" width="0" style="49" hidden="1" customWidth="1"/>
    <col min="8964" max="8964" width="10.5" style="49" customWidth="1"/>
    <col min="8965" max="8968" width="0" style="49" hidden="1" customWidth="1"/>
    <col min="8969" max="8969" width="10.5" style="49" customWidth="1"/>
    <col min="8970" max="8973" width="0" style="49" hidden="1" customWidth="1"/>
    <col min="8974" max="8974" width="10.5" style="49" customWidth="1"/>
    <col min="8975" max="8978" width="0" style="49" hidden="1" customWidth="1"/>
    <col min="8979" max="8979" width="10.5" style="49" customWidth="1"/>
    <col min="8980" max="9214" width="9" style="49"/>
    <col min="9215" max="9215" width="7.375" style="49" bestFit="1" customWidth="1"/>
    <col min="9216" max="9216" width="12.75" style="49" customWidth="1"/>
    <col min="9217" max="9217" width="10.5" style="49" customWidth="1"/>
    <col min="9218" max="9219" width="0" style="49" hidden="1" customWidth="1"/>
    <col min="9220" max="9220" width="10.5" style="49" customWidth="1"/>
    <col min="9221" max="9224" width="0" style="49" hidden="1" customWidth="1"/>
    <col min="9225" max="9225" width="10.5" style="49" customWidth="1"/>
    <col min="9226" max="9229" width="0" style="49" hidden="1" customWidth="1"/>
    <col min="9230" max="9230" width="10.5" style="49" customWidth="1"/>
    <col min="9231" max="9234" width="0" style="49" hidden="1" customWidth="1"/>
    <col min="9235" max="9235" width="10.5" style="49" customWidth="1"/>
    <col min="9236" max="9470" width="9" style="49"/>
    <col min="9471" max="9471" width="7.375" style="49" bestFit="1" customWidth="1"/>
    <col min="9472" max="9472" width="12.75" style="49" customWidth="1"/>
    <col min="9473" max="9473" width="10.5" style="49" customWidth="1"/>
    <col min="9474" max="9475" width="0" style="49" hidden="1" customWidth="1"/>
    <col min="9476" max="9476" width="10.5" style="49" customWidth="1"/>
    <col min="9477" max="9480" width="0" style="49" hidden="1" customWidth="1"/>
    <col min="9481" max="9481" width="10.5" style="49" customWidth="1"/>
    <col min="9482" max="9485" width="0" style="49" hidden="1" customWidth="1"/>
    <col min="9486" max="9486" width="10.5" style="49" customWidth="1"/>
    <col min="9487" max="9490" width="0" style="49" hidden="1" customWidth="1"/>
    <col min="9491" max="9491" width="10.5" style="49" customWidth="1"/>
    <col min="9492" max="9726" width="9" style="49"/>
    <col min="9727" max="9727" width="7.375" style="49" bestFit="1" customWidth="1"/>
    <col min="9728" max="9728" width="12.75" style="49" customWidth="1"/>
    <col min="9729" max="9729" width="10.5" style="49" customWidth="1"/>
    <col min="9730" max="9731" width="0" style="49" hidden="1" customWidth="1"/>
    <col min="9732" max="9732" width="10.5" style="49" customWidth="1"/>
    <col min="9733" max="9736" width="0" style="49" hidden="1" customWidth="1"/>
    <col min="9737" max="9737" width="10.5" style="49" customWidth="1"/>
    <col min="9738" max="9741" width="0" style="49" hidden="1" customWidth="1"/>
    <col min="9742" max="9742" width="10.5" style="49" customWidth="1"/>
    <col min="9743" max="9746" width="0" style="49" hidden="1" customWidth="1"/>
    <col min="9747" max="9747" width="10.5" style="49" customWidth="1"/>
    <col min="9748" max="9982" width="9" style="49"/>
    <col min="9983" max="9983" width="7.375" style="49" bestFit="1" customWidth="1"/>
    <col min="9984" max="9984" width="12.75" style="49" customWidth="1"/>
    <col min="9985" max="9985" width="10.5" style="49" customWidth="1"/>
    <col min="9986" max="9987" width="0" style="49" hidden="1" customWidth="1"/>
    <col min="9988" max="9988" width="10.5" style="49" customWidth="1"/>
    <col min="9989" max="9992" width="0" style="49" hidden="1" customWidth="1"/>
    <col min="9993" max="9993" width="10.5" style="49" customWidth="1"/>
    <col min="9994" max="9997" width="0" style="49" hidden="1" customWidth="1"/>
    <col min="9998" max="9998" width="10.5" style="49" customWidth="1"/>
    <col min="9999" max="10002" width="0" style="49" hidden="1" customWidth="1"/>
    <col min="10003" max="10003" width="10.5" style="49" customWidth="1"/>
    <col min="10004" max="10238" width="9" style="49"/>
    <col min="10239" max="10239" width="7.375" style="49" bestFit="1" customWidth="1"/>
    <col min="10240" max="10240" width="12.75" style="49" customWidth="1"/>
    <col min="10241" max="10241" width="10.5" style="49" customWidth="1"/>
    <col min="10242" max="10243" width="0" style="49" hidden="1" customWidth="1"/>
    <col min="10244" max="10244" width="10.5" style="49" customWidth="1"/>
    <col min="10245" max="10248" width="0" style="49" hidden="1" customWidth="1"/>
    <col min="10249" max="10249" width="10.5" style="49" customWidth="1"/>
    <col min="10250" max="10253" width="0" style="49" hidden="1" customWidth="1"/>
    <col min="10254" max="10254" width="10.5" style="49" customWidth="1"/>
    <col min="10255" max="10258" width="0" style="49" hidden="1" customWidth="1"/>
    <col min="10259" max="10259" width="10.5" style="49" customWidth="1"/>
    <col min="10260" max="10494" width="9" style="49"/>
    <col min="10495" max="10495" width="7.375" style="49" bestFit="1" customWidth="1"/>
    <col min="10496" max="10496" width="12.75" style="49" customWidth="1"/>
    <col min="10497" max="10497" width="10.5" style="49" customWidth="1"/>
    <col min="10498" max="10499" width="0" style="49" hidden="1" customWidth="1"/>
    <col min="10500" max="10500" width="10.5" style="49" customWidth="1"/>
    <col min="10501" max="10504" width="0" style="49" hidden="1" customWidth="1"/>
    <col min="10505" max="10505" width="10.5" style="49" customWidth="1"/>
    <col min="10506" max="10509" width="0" style="49" hidden="1" customWidth="1"/>
    <col min="10510" max="10510" width="10.5" style="49" customWidth="1"/>
    <col min="10511" max="10514" width="0" style="49" hidden="1" customWidth="1"/>
    <col min="10515" max="10515" width="10.5" style="49" customWidth="1"/>
    <col min="10516" max="10750" width="9" style="49"/>
    <col min="10751" max="10751" width="7.375" style="49" bestFit="1" customWidth="1"/>
    <col min="10752" max="10752" width="12.75" style="49" customWidth="1"/>
    <col min="10753" max="10753" width="10.5" style="49" customWidth="1"/>
    <col min="10754" max="10755" width="0" style="49" hidden="1" customWidth="1"/>
    <col min="10756" max="10756" width="10.5" style="49" customWidth="1"/>
    <col min="10757" max="10760" width="0" style="49" hidden="1" customWidth="1"/>
    <col min="10761" max="10761" width="10.5" style="49" customWidth="1"/>
    <col min="10762" max="10765" width="0" style="49" hidden="1" customWidth="1"/>
    <col min="10766" max="10766" width="10.5" style="49" customWidth="1"/>
    <col min="10767" max="10770" width="0" style="49" hidden="1" customWidth="1"/>
    <col min="10771" max="10771" width="10.5" style="49" customWidth="1"/>
    <col min="10772" max="11006" width="9" style="49"/>
    <col min="11007" max="11007" width="7.375" style="49" bestFit="1" customWidth="1"/>
    <col min="11008" max="11008" width="12.75" style="49" customWidth="1"/>
    <col min="11009" max="11009" width="10.5" style="49" customWidth="1"/>
    <col min="11010" max="11011" width="0" style="49" hidden="1" customWidth="1"/>
    <col min="11012" max="11012" width="10.5" style="49" customWidth="1"/>
    <col min="11013" max="11016" width="0" style="49" hidden="1" customWidth="1"/>
    <col min="11017" max="11017" width="10.5" style="49" customWidth="1"/>
    <col min="11018" max="11021" width="0" style="49" hidden="1" customWidth="1"/>
    <col min="11022" max="11022" width="10.5" style="49" customWidth="1"/>
    <col min="11023" max="11026" width="0" style="49" hidden="1" customWidth="1"/>
    <col min="11027" max="11027" width="10.5" style="49" customWidth="1"/>
    <col min="11028" max="11262" width="9" style="49"/>
    <col min="11263" max="11263" width="7.375" style="49" bestFit="1" customWidth="1"/>
    <col min="11264" max="11264" width="12.75" style="49" customWidth="1"/>
    <col min="11265" max="11265" width="10.5" style="49" customWidth="1"/>
    <col min="11266" max="11267" width="0" style="49" hidden="1" customWidth="1"/>
    <col min="11268" max="11268" width="10.5" style="49" customWidth="1"/>
    <col min="11269" max="11272" width="0" style="49" hidden="1" customWidth="1"/>
    <col min="11273" max="11273" width="10.5" style="49" customWidth="1"/>
    <col min="11274" max="11277" width="0" style="49" hidden="1" customWidth="1"/>
    <col min="11278" max="11278" width="10.5" style="49" customWidth="1"/>
    <col min="11279" max="11282" width="0" style="49" hidden="1" customWidth="1"/>
    <col min="11283" max="11283" width="10.5" style="49" customWidth="1"/>
    <col min="11284" max="11518" width="9" style="49"/>
    <col min="11519" max="11519" width="7.375" style="49" bestFit="1" customWidth="1"/>
    <col min="11520" max="11520" width="12.75" style="49" customWidth="1"/>
    <col min="11521" max="11521" width="10.5" style="49" customWidth="1"/>
    <col min="11522" max="11523" width="0" style="49" hidden="1" customWidth="1"/>
    <col min="11524" max="11524" width="10.5" style="49" customWidth="1"/>
    <col min="11525" max="11528" width="0" style="49" hidden="1" customWidth="1"/>
    <col min="11529" max="11529" width="10.5" style="49" customWidth="1"/>
    <col min="11530" max="11533" width="0" style="49" hidden="1" customWidth="1"/>
    <col min="11534" max="11534" width="10.5" style="49" customWidth="1"/>
    <col min="11535" max="11538" width="0" style="49" hidden="1" customWidth="1"/>
    <col min="11539" max="11539" width="10.5" style="49" customWidth="1"/>
    <col min="11540" max="11774" width="9" style="49"/>
    <col min="11775" max="11775" width="7.375" style="49" bestFit="1" customWidth="1"/>
    <col min="11776" max="11776" width="12.75" style="49" customWidth="1"/>
    <col min="11777" max="11777" width="10.5" style="49" customWidth="1"/>
    <col min="11778" max="11779" width="0" style="49" hidden="1" customWidth="1"/>
    <col min="11780" max="11780" width="10.5" style="49" customWidth="1"/>
    <col min="11781" max="11784" width="0" style="49" hidden="1" customWidth="1"/>
    <col min="11785" max="11785" width="10.5" style="49" customWidth="1"/>
    <col min="11786" max="11789" width="0" style="49" hidden="1" customWidth="1"/>
    <col min="11790" max="11790" width="10.5" style="49" customWidth="1"/>
    <col min="11791" max="11794" width="0" style="49" hidden="1" customWidth="1"/>
    <col min="11795" max="11795" width="10.5" style="49" customWidth="1"/>
    <col min="11796" max="12030" width="9" style="49"/>
    <col min="12031" max="12031" width="7.375" style="49" bestFit="1" customWidth="1"/>
    <col min="12032" max="12032" width="12.75" style="49" customWidth="1"/>
    <col min="12033" max="12033" width="10.5" style="49" customWidth="1"/>
    <col min="12034" max="12035" width="0" style="49" hidden="1" customWidth="1"/>
    <col min="12036" max="12036" width="10.5" style="49" customWidth="1"/>
    <col min="12037" max="12040" width="0" style="49" hidden="1" customWidth="1"/>
    <col min="12041" max="12041" width="10.5" style="49" customWidth="1"/>
    <col min="12042" max="12045" width="0" style="49" hidden="1" customWidth="1"/>
    <col min="12046" max="12046" width="10.5" style="49" customWidth="1"/>
    <col min="12047" max="12050" width="0" style="49" hidden="1" customWidth="1"/>
    <col min="12051" max="12051" width="10.5" style="49" customWidth="1"/>
    <col min="12052" max="12286" width="9" style="49"/>
    <col min="12287" max="12287" width="7.375" style="49" bestFit="1" customWidth="1"/>
    <col min="12288" max="12288" width="12.75" style="49" customWidth="1"/>
    <col min="12289" max="12289" width="10.5" style="49" customWidth="1"/>
    <col min="12290" max="12291" width="0" style="49" hidden="1" customWidth="1"/>
    <col min="12292" max="12292" width="10.5" style="49" customWidth="1"/>
    <col min="12293" max="12296" width="0" style="49" hidden="1" customWidth="1"/>
    <col min="12297" max="12297" width="10.5" style="49" customWidth="1"/>
    <col min="12298" max="12301" width="0" style="49" hidden="1" customWidth="1"/>
    <col min="12302" max="12302" width="10.5" style="49" customWidth="1"/>
    <col min="12303" max="12306" width="0" style="49" hidden="1" customWidth="1"/>
    <col min="12307" max="12307" width="10.5" style="49" customWidth="1"/>
    <col min="12308" max="12542" width="9" style="49"/>
    <col min="12543" max="12543" width="7.375" style="49" bestFit="1" customWidth="1"/>
    <col min="12544" max="12544" width="12.75" style="49" customWidth="1"/>
    <col min="12545" max="12545" width="10.5" style="49" customWidth="1"/>
    <col min="12546" max="12547" width="0" style="49" hidden="1" customWidth="1"/>
    <col min="12548" max="12548" width="10.5" style="49" customWidth="1"/>
    <col min="12549" max="12552" width="0" style="49" hidden="1" customWidth="1"/>
    <col min="12553" max="12553" width="10.5" style="49" customWidth="1"/>
    <col min="12554" max="12557" width="0" style="49" hidden="1" customWidth="1"/>
    <col min="12558" max="12558" width="10.5" style="49" customWidth="1"/>
    <col min="12559" max="12562" width="0" style="49" hidden="1" customWidth="1"/>
    <col min="12563" max="12563" width="10.5" style="49" customWidth="1"/>
    <col min="12564" max="12798" width="9" style="49"/>
    <col min="12799" max="12799" width="7.375" style="49" bestFit="1" customWidth="1"/>
    <col min="12800" max="12800" width="12.75" style="49" customWidth="1"/>
    <col min="12801" max="12801" width="10.5" style="49" customWidth="1"/>
    <col min="12802" max="12803" width="0" style="49" hidden="1" customWidth="1"/>
    <col min="12804" max="12804" width="10.5" style="49" customWidth="1"/>
    <col min="12805" max="12808" width="0" style="49" hidden="1" customWidth="1"/>
    <col min="12809" max="12809" width="10.5" style="49" customWidth="1"/>
    <col min="12810" max="12813" width="0" style="49" hidden="1" customWidth="1"/>
    <col min="12814" max="12814" width="10.5" style="49" customWidth="1"/>
    <col min="12815" max="12818" width="0" style="49" hidden="1" customWidth="1"/>
    <col min="12819" max="12819" width="10.5" style="49" customWidth="1"/>
    <col min="12820" max="13054" width="9" style="49"/>
    <col min="13055" max="13055" width="7.375" style="49" bestFit="1" customWidth="1"/>
    <col min="13056" max="13056" width="12.75" style="49" customWidth="1"/>
    <col min="13057" max="13057" width="10.5" style="49" customWidth="1"/>
    <col min="13058" max="13059" width="0" style="49" hidden="1" customWidth="1"/>
    <col min="13060" max="13060" width="10.5" style="49" customWidth="1"/>
    <col min="13061" max="13064" width="0" style="49" hidden="1" customWidth="1"/>
    <col min="13065" max="13065" width="10.5" style="49" customWidth="1"/>
    <col min="13066" max="13069" width="0" style="49" hidden="1" customWidth="1"/>
    <col min="13070" max="13070" width="10.5" style="49" customWidth="1"/>
    <col min="13071" max="13074" width="0" style="49" hidden="1" customWidth="1"/>
    <col min="13075" max="13075" width="10.5" style="49" customWidth="1"/>
    <col min="13076" max="13310" width="9" style="49"/>
    <col min="13311" max="13311" width="7.375" style="49" bestFit="1" customWidth="1"/>
    <col min="13312" max="13312" width="12.75" style="49" customWidth="1"/>
    <col min="13313" max="13313" width="10.5" style="49" customWidth="1"/>
    <col min="13314" max="13315" width="0" style="49" hidden="1" customWidth="1"/>
    <col min="13316" max="13316" width="10.5" style="49" customWidth="1"/>
    <col min="13317" max="13320" width="0" style="49" hidden="1" customWidth="1"/>
    <col min="13321" max="13321" width="10.5" style="49" customWidth="1"/>
    <col min="13322" max="13325" width="0" style="49" hidden="1" customWidth="1"/>
    <col min="13326" max="13326" width="10.5" style="49" customWidth="1"/>
    <col min="13327" max="13330" width="0" style="49" hidden="1" customWidth="1"/>
    <col min="13331" max="13331" width="10.5" style="49" customWidth="1"/>
    <col min="13332" max="13566" width="9" style="49"/>
    <col min="13567" max="13567" width="7.375" style="49" bestFit="1" customWidth="1"/>
    <col min="13568" max="13568" width="12.75" style="49" customWidth="1"/>
    <col min="13569" max="13569" width="10.5" style="49" customWidth="1"/>
    <col min="13570" max="13571" width="0" style="49" hidden="1" customWidth="1"/>
    <col min="13572" max="13572" width="10.5" style="49" customWidth="1"/>
    <col min="13573" max="13576" width="0" style="49" hidden="1" customWidth="1"/>
    <col min="13577" max="13577" width="10.5" style="49" customWidth="1"/>
    <col min="13578" max="13581" width="0" style="49" hidden="1" customWidth="1"/>
    <col min="13582" max="13582" width="10.5" style="49" customWidth="1"/>
    <col min="13583" max="13586" width="0" style="49" hidden="1" customWidth="1"/>
    <col min="13587" max="13587" width="10.5" style="49" customWidth="1"/>
    <col min="13588" max="13822" width="9" style="49"/>
    <col min="13823" max="13823" width="7.375" style="49" bestFit="1" customWidth="1"/>
    <col min="13824" max="13824" width="12.75" style="49" customWidth="1"/>
    <col min="13825" max="13825" width="10.5" style="49" customWidth="1"/>
    <col min="13826" max="13827" width="0" style="49" hidden="1" customWidth="1"/>
    <col min="13828" max="13828" width="10.5" style="49" customWidth="1"/>
    <col min="13829" max="13832" width="0" style="49" hidden="1" customWidth="1"/>
    <col min="13833" max="13833" width="10.5" style="49" customWidth="1"/>
    <col min="13834" max="13837" width="0" style="49" hidden="1" customWidth="1"/>
    <col min="13838" max="13838" width="10.5" style="49" customWidth="1"/>
    <col min="13839" max="13842" width="0" style="49" hidden="1" customWidth="1"/>
    <col min="13843" max="13843" width="10.5" style="49" customWidth="1"/>
    <col min="13844" max="14078" width="9" style="49"/>
    <col min="14079" max="14079" width="7.375" style="49" bestFit="1" customWidth="1"/>
    <col min="14080" max="14080" width="12.75" style="49" customWidth="1"/>
    <col min="14081" max="14081" width="10.5" style="49" customWidth="1"/>
    <col min="14082" max="14083" width="0" style="49" hidden="1" customWidth="1"/>
    <col min="14084" max="14084" width="10.5" style="49" customWidth="1"/>
    <col min="14085" max="14088" width="0" style="49" hidden="1" customWidth="1"/>
    <col min="14089" max="14089" width="10.5" style="49" customWidth="1"/>
    <col min="14090" max="14093" width="0" style="49" hidden="1" customWidth="1"/>
    <col min="14094" max="14094" width="10.5" style="49" customWidth="1"/>
    <col min="14095" max="14098" width="0" style="49" hidden="1" customWidth="1"/>
    <col min="14099" max="14099" width="10.5" style="49" customWidth="1"/>
    <col min="14100" max="14334" width="9" style="49"/>
    <col min="14335" max="14335" width="7.375" style="49" bestFit="1" customWidth="1"/>
    <col min="14336" max="14336" width="12.75" style="49" customWidth="1"/>
    <col min="14337" max="14337" width="10.5" style="49" customWidth="1"/>
    <col min="14338" max="14339" width="0" style="49" hidden="1" customWidth="1"/>
    <col min="14340" max="14340" width="10.5" style="49" customWidth="1"/>
    <col min="14341" max="14344" width="0" style="49" hidden="1" customWidth="1"/>
    <col min="14345" max="14345" width="10.5" style="49" customWidth="1"/>
    <col min="14346" max="14349" width="0" style="49" hidden="1" customWidth="1"/>
    <col min="14350" max="14350" width="10.5" style="49" customWidth="1"/>
    <col min="14351" max="14354" width="0" style="49" hidden="1" customWidth="1"/>
    <col min="14355" max="14355" width="10.5" style="49" customWidth="1"/>
    <col min="14356" max="14590" width="9" style="49"/>
    <col min="14591" max="14591" width="7.375" style="49" bestFit="1" customWidth="1"/>
    <col min="14592" max="14592" width="12.75" style="49" customWidth="1"/>
    <col min="14593" max="14593" width="10.5" style="49" customWidth="1"/>
    <col min="14594" max="14595" width="0" style="49" hidden="1" customWidth="1"/>
    <col min="14596" max="14596" width="10.5" style="49" customWidth="1"/>
    <col min="14597" max="14600" width="0" style="49" hidden="1" customWidth="1"/>
    <col min="14601" max="14601" width="10.5" style="49" customWidth="1"/>
    <col min="14602" max="14605" width="0" style="49" hidden="1" customWidth="1"/>
    <col min="14606" max="14606" width="10.5" style="49" customWidth="1"/>
    <col min="14607" max="14610" width="0" style="49" hidden="1" customWidth="1"/>
    <col min="14611" max="14611" width="10.5" style="49" customWidth="1"/>
    <col min="14612" max="14846" width="9" style="49"/>
    <col min="14847" max="14847" width="7.375" style="49" bestFit="1" customWidth="1"/>
    <col min="14848" max="14848" width="12.75" style="49" customWidth="1"/>
    <col min="14849" max="14849" width="10.5" style="49" customWidth="1"/>
    <col min="14850" max="14851" width="0" style="49" hidden="1" customWidth="1"/>
    <col min="14852" max="14852" width="10.5" style="49" customWidth="1"/>
    <col min="14853" max="14856" width="0" style="49" hidden="1" customWidth="1"/>
    <col min="14857" max="14857" width="10.5" style="49" customWidth="1"/>
    <col min="14858" max="14861" width="0" style="49" hidden="1" customWidth="1"/>
    <col min="14862" max="14862" width="10.5" style="49" customWidth="1"/>
    <col min="14863" max="14866" width="0" style="49" hidden="1" customWidth="1"/>
    <col min="14867" max="14867" width="10.5" style="49" customWidth="1"/>
    <col min="14868" max="15102" width="9" style="49"/>
    <col min="15103" max="15103" width="7.375" style="49" bestFit="1" customWidth="1"/>
    <col min="15104" max="15104" width="12.75" style="49" customWidth="1"/>
    <col min="15105" max="15105" width="10.5" style="49" customWidth="1"/>
    <col min="15106" max="15107" width="0" style="49" hidden="1" customWidth="1"/>
    <col min="15108" max="15108" width="10.5" style="49" customWidth="1"/>
    <col min="15109" max="15112" width="0" style="49" hidden="1" customWidth="1"/>
    <col min="15113" max="15113" width="10.5" style="49" customWidth="1"/>
    <col min="15114" max="15117" width="0" style="49" hidden="1" customWidth="1"/>
    <col min="15118" max="15118" width="10.5" style="49" customWidth="1"/>
    <col min="15119" max="15122" width="0" style="49" hidden="1" customWidth="1"/>
    <col min="15123" max="15123" width="10.5" style="49" customWidth="1"/>
    <col min="15124" max="15358" width="9" style="49"/>
    <col min="15359" max="15359" width="7.375" style="49" bestFit="1" customWidth="1"/>
    <col min="15360" max="15360" width="12.75" style="49" customWidth="1"/>
    <col min="15361" max="15361" width="10.5" style="49" customWidth="1"/>
    <col min="15362" max="15363" width="0" style="49" hidden="1" customWidth="1"/>
    <col min="15364" max="15364" width="10.5" style="49" customWidth="1"/>
    <col min="15365" max="15368" width="0" style="49" hidden="1" customWidth="1"/>
    <col min="15369" max="15369" width="10.5" style="49" customWidth="1"/>
    <col min="15370" max="15373" width="0" style="49" hidden="1" customWidth="1"/>
    <col min="15374" max="15374" width="10.5" style="49" customWidth="1"/>
    <col min="15375" max="15378" width="0" style="49" hidden="1" customWidth="1"/>
    <col min="15379" max="15379" width="10.5" style="49" customWidth="1"/>
    <col min="15380" max="15614" width="9" style="49"/>
    <col min="15615" max="15615" width="7.375" style="49" bestFit="1" customWidth="1"/>
    <col min="15616" max="15616" width="12.75" style="49" customWidth="1"/>
    <col min="15617" max="15617" width="10.5" style="49" customWidth="1"/>
    <col min="15618" max="15619" width="0" style="49" hidden="1" customWidth="1"/>
    <col min="15620" max="15620" width="10.5" style="49" customWidth="1"/>
    <col min="15621" max="15624" width="0" style="49" hidden="1" customWidth="1"/>
    <col min="15625" max="15625" width="10.5" style="49" customWidth="1"/>
    <col min="15626" max="15629" width="0" style="49" hidden="1" customWidth="1"/>
    <col min="15630" max="15630" width="10.5" style="49" customWidth="1"/>
    <col min="15631" max="15634" width="0" style="49" hidden="1" customWidth="1"/>
    <col min="15635" max="15635" width="10.5" style="49" customWidth="1"/>
    <col min="15636" max="15870" width="9" style="49"/>
    <col min="15871" max="15871" width="7.375" style="49" bestFit="1" customWidth="1"/>
    <col min="15872" max="15872" width="12.75" style="49" customWidth="1"/>
    <col min="15873" max="15873" width="10.5" style="49" customWidth="1"/>
    <col min="15874" max="15875" width="0" style="49" hidden="1" customWidth="1"/>
    <col min="15876" max="15876" width="10.5" style="49" customWidth="1"/>
    <col min="15877" max="15880" width="0" style="49" hidden="1" customWidth="1"/>
    <col min="15881" max="15881" width="10.5" style="49" customWidth="1"/>
    <col min="15882" max="15885" width="0" style="49" hidden="1" customWidth="1"/>
    <col min="15886" max="15886" width="10.5" style="49" customWidth="1"/>
    <col min="15887" max="15890" width="0" style="49" hidden="1" customWidth="1"/>
    <col min="15891" max="15891" width="10.5" style="49" customWidth="1"/>
    <col min="15892" max="16126" width="9" style="49"/>
    <col min="16127" max="16127" width="7.375" style="49" bestFit="1" customWidth="1"/>
    <col min="16128" max="16128" width="12.75" style="49" customWidth="1"/>
    <col min="16129" max="16129" width="10.5" style="49" customWidth="1"/>
    <col min="16130" max="16131" width="0" style="49" hidden="1" customWidth="1"/>
    <col min="16132" max="16132" width="10.5" style="49" customWidth="1"/>
    <col min="16133" max="16136" width="0" style="49" hidden="1" customWidth="1"/>
    <col min="16137" max="16137" width="10.5" style="49" customWidth="1"/>
    <col min="16138" max="16141" width="0" style="49" hidden="1" customWidth="1"/>
    <col min="16142" max="16142" width="10.5" style="49" customWidth="1"/>
    <col min="16143" max="16146" width="0" style="49" hidden="1" customWidth="1"/>
    <col min="16147" max="16147" width="10.5" style="49" customWidth="1"/>
    <col min="16148" max="16384" width="9" style="49"/>
  </cols>
  <sheetData>
    <row r="1" spans="1:25" ht="24.95" customHeight="1">
      <c r="A1" s="47" t="s">
        <v>124</v>
      </c>
      <c r="B1" s="48"/>
      <c r="C1" s="48"/>
      <c r="D1" s="600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</row>
    <row r="2" spans="1:25" ht="15" customHeight="1">
      <c r="A2" s="48"/>
      <c r="B2" s="48"/>
      <c r="C2" s="48"/>
      <c r="D2" s="600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</row>
    <row r="3" spans="1:25" s="51" customFormat="1" ht="21.6" customHeight="1">
      <c r="A3" s="2360" t="s">
        <v>85</v>
      </c>
      <c r="B3" s="2360"/>
      <c r="C3" s="670" t="s">
        <v>100</v>
      </c>
      <c r="D3" s="670" t="s">
        <v>101</v>
      </c>
      <c r="E3" s="1951" t="s">
        <v>102</v>
      </c>
      <c r="F3" s="1951" t="s">
        <v>103</v>
      </c>
      <c r="G3" s="1951" t="s">
        <v>104</v>
      </c>
      <c r="H3" s="670" t="s">
        <v>105</v>
      </c>
      <c r="I3" s="1951" t="s">
        <v>106</v>
      </c>
      <c r="J3" s="1951" t="s">
        <v>107</v>
      </c>
      <c r="K3" s="1951" t="s">
        <v>108</v>
      </c>
      <c r="L3" s="1951" t="s">
        <v>109</v>
      </c>
      <c r="M3" s="670" t="s">
        <v>110</v>
      </c>
      <c r="N3" s="1951" t="s">
        <v>114</v>
      </c>
      <c r="O3" s="1951" t="s">
        <v>115</v>
      </c>
      <c r="P3" s="1951" t="s">
        <v>116</v>
      </c>
      <c r="Q3" s="1951" t="s">
        <v>117</v>
      </c>
      <c r="R3" s="670" t="s">
        <v>118</v>
      </c>
      <c r="S3" s="1951" t="s">
        <v>119</v>
      </c>
      <c r="T3" s="1951" t="s">
        <v>120</v>
      </c>
      <c r="U3" s="1951" t="s">
        <v>121</v>
      </c>
      <c r="V3" s="1951" t="s">
        <v>122</v>
      </c>
      <c r="W3" s="670" t="s">
        <v>123</v>
      </c>
      <c r="X3" s="2053"/>
      <c r="Y3" s="2054"/>
    </row>
    <row r="4" spans="1:25" ht="21.6" customHeight="1">
      <c r="A4" s="2361" t="s">
        <v>677</v>
      </c>
      <c r="B4" s="1952" t="s">
        <v>111</v>
      </c>
      <c r="C4" s="672">
        <v>18986</v>
      </c>
      <c r="D4" s="672">
        <v>19057</v>
      </c>
      <c r="E4" s="62">
        <f>ROUND(D4+($H4-$D4)/4,0)</f>
        <v>19015</v>
      </c>
      <c r="F4" s="62">
        <f>ROUND(E4+($H4-$D4)/4,0)</f>
        <v>18973</v>
      </c>
      <c r="G4" s="62">
        <f>ROUND(F4+($H4-$D4)/4,0)</f>
        <v>18931</v>
      </c>
      <c r="H4" s="672">
        <v>18888</v>
      </c>
      <c r="I4" s="62">
        <f>ROUND(H4+($M4-$H4)/5,0)</f>
        <v>18884</v>
      </c>
      <c r="J4" s="62">
        <f>ROUND(I4+($M4-$H4)/5,0)</f>
        <v>18880</v>
      </c>
      <c r="K4" s="62">
        <f>ROUND(J4+($M4-$H4)/5,0)</f>
        <v>18876</v>
      </c>
      <c r="L4" s="62">
        <f>ROUND(K4+($M4-$H4)/5,0)</f>
        <v>18872</v>
      </c>
      <c r="M4" s="672">
        <v>18866</v>
      </c>
      <c r="N4" s="62">
        <f>ROUND(M4+($R4-$M4)/5,0)</f>
        <v>18839</v>
      </c>
      <c r="O4" s="62">
        <f>ROUND(N4+($R4-$M4)/5,0)</f>
        <v>18812</v>
      </c>
      <c r="P4" s="62">
        <f>ROUND(O4+($R4-$M4)/5,0)</f>
        <v>18785</v>
      </c>
      <c r="Q4" s="62">
        <f>ROUND(P4+($R4-$M4)/5,0)</f>
        <v>18758</v>
      </c>
      <c r="R4" s="672">
        <v>18729</v>
      </c>
      <c r="S4" s="62">
        <f>ROUND(R4+($W4-$R4)/5,0)</f>
        <v>18681</v>
      </c>
      <c r="T4" s="62">
        <f>ROUND(S4+($W4-$R4)/5,0)</f>
        <v>18633</v>
      </c>
      <c r="U4" s="62">
        <f>ROUND(T4+($W4-$R4)/5,0)</f>
        <v>18585</v>
      </c>
      <c r="V4" s="62">
        <f>ROUND(U4+($W4-$R4)/5,0)</f>
        <v>18537</v>
      </c>
      <c r="W4" s="672">
        <v>18491</v>
      </c>
      <c r="X4" s="2055"/>
      <c r="Y4" s="2056"/>
    </row>
    <row r="5" spans="1:25" ht="21.6" customHeight="1">
      <c r="A5" s="2361"/>
      <c r="B5" s="1952" t="s">
        <v>112</v>
      </c>
      <c r="C5" s="671">
        <f>+'사회적유입인구의 처리구역별 배분(적용)'!E19</f>
        <v>0</v>
      </c>
      <c r="D5" s="671">
        <f>+'사회적유입인구의 처리구역별 배분(적용)'!F19</f>
        <v>0</v>
      </c>
      <c r="E5" s="62">
        <f>+'사회적유입인구의 처리구역별 배분(적용)'!G19</f>
        <v>198</v>
      </c>
      <c r="F5" s="62">
        <f>+'사회적유입인구의 처리구역별 배분(적용)'!H19</f>
        <v>357</v>
      </c>
      <c r="G5" s="62">
        <f>+'사회적유입인구의 처리구역별 배분(적용)'!I19</f>
        <v>357</v>
      </c>
      <c r="H5" s="671">
        <f>+'사회적유입인구의 처리구역별 배분(적용)'!J19</f>
        <v>733</v>
      </c>
      <c r="I5" s="62">
        <f>+'사회적유입인구의 처리구역별 배분(적용)'!K19</f>
        <v>733</v>
      </c>
      <c r="J5" s="62">
        <f>+'사회적유입인구의 처리구역별 배분(적용)'!L19</f>
        <v>733</v>
      </c>
      <c r="K5" s="62">
        <f>+'사회적유입인구의 처리구역별 배분(적용)'!M19</f>
        <v>733</v>
      </c>
      <c r="L5" s="62">
        <f>+'사회적유입인구의 처리구역별 배분(적용)'!N19</f>
        <v>733</v>
      </c>
      <c r="M5" s="671">
        <f>+'사회적유입인구의 처리구역별 배분(적용)'!O19</f>
        <v>733</v>
      </c>
      <c r="N5" s="62">
        <f>+'사회적유입인구의 처리구역별 배분(적용)'!P19</f>
        <v>733</v>
      </c>
      <c r="O5" s="62">
        <f>+'사회적유입인구의 처리구역별 배분(적용)'!Q19</f>
        <v>733</v>
      </c>
      <c r="P5" s="62">
        <f>+'사회적유입인구의 처리구역별 배분(적용)'!R19</f>
        <v>733</v>
      </c>
      <c r="Q5" s="62">
        <f>+'사회적유입인구의 처리구역별 배분(적용)'!S19</f>
        <v>733</v>
      </c>
      <c r="R5" s="671">
        <f>+'사회적유입인구의 처리구역별 배분(적용)'!T19</f>
        <v>733</v>
      </c>
      <c r="S5" s="62">
        <f>+'사회적유입인구의 처리구역별 배분(적용)'!U19</f>
        <v>733</v>
      </c>
      <c r="T5" s="62">
        <f>+'사회적유입인구의 처리구역별 배분(적용)'!V19</f>
        <v>733</v>
      </c>
      <c r="U5" s="62">
        <f>+'사회적유입인구의 처리구역별 배분(적용)'!W19</f>
        <v>733</v>
      </c>
      <c r="V5" s="62">
        <f>+'사회적유입인구의 처리구역별 배분(적용)'!X19</f>
        <v>733</v>
      </c>
      <c r="W5" s="671">
        <f>+'사회적유입인구의 처리구역별 배분(적용)'!Y19</f>
        <v>4877</v>
      </c>
      <c r="X5" s="2055"/>
      <c r="Y5" s="2056"/>
    </row>
    <row r="6" spans="1:25" ht="21.6" customHeight="1">
      <c r="A6" s="2361"/>
      <c r="B6" s="1952" t="s">
        <v>7</v>
      </c>
      <c r="C6" s="671">
        <f t="shared" ref="C6:W6" si="0">SUM(C4:C5)</f>
        <v>18986</v>
      </c>
      <c r="D6" s="671">
        <f t="shared" si="0"/>
        <v>19057</v>
      </c>
      <c r="E6" s="62">
        <f t="shared" si="0"/>
        <v>19213</v>
      </c>
      <c r="F6" s="62">
        <f t="shared" si="0"/>
        <v>19330</v>
      </c>
      <c r="G6" s="62">
        <f t="shared" si="0"/>
        <v>19288</v>
      </c>
      <c r="H6" s="671">
        <f t="shared" si="0"/>
        <v>19621</v>
      </c>
      <c r="I6" s="62">
        <f t="shared" si="0"/>
        <v>19617</v>
      </c>
      <c r="J6" s="62">
        <f t="shared" si="0"/>
        <v>19613</v>
      </c>
      <c r="K6" s="62">
        <f t="shared" si="0"/>
        <v>19609</v>
      </c>
      <c r="L6" s="62">
        <f t="shared" si="0"/>
        <v>19605</v>
      </c>
      <c r="M6" s="671">
        <f t="shared" si="0"/>
        <v>19599</v>
      </c>
      <c r="N6" s="62">
        <f t="shared" si="0"/>
        <v>19572</v>
      </c>
      <c r="O6" s="62">
        <f t="shared" si="0"/>
        <v>19545</v>
      </c>
      <c r="P6" s="62">
        <f t="shared" si="0"/>
        <v>19518</v>
      </c>
      <c r="Q6" s="62">
        <f t="shared" si="0"/>
        <v>19491</v>
      </c>
      <c r="R6" s="671">
        <f t="shared" si="0"/>
        <v>19462</v>
      </c>
      <c r="S6" s="62">
        <f t="shared" si="0"/>
        <v>19414</v>
      </c>
      <c r="T6" s="62">
        <f t="shared" si="0"/>
        <v>19366</v>
      </c>
      <c r="U6" s="62">
        <f t="shared" si="0"/>
        <v>19318</v>
      </c>
      <c r="V6" s="62">
        <f t="shared" si="0"/>
        <v>19270</v>
      </c>
      <c r="W6" s="671">
        <f t="shared" si="0"/>
        <v>23368</v>
      </c>
      <c r="X6" s="2055">
        <v>0.83599999999999997</v>
      </c>
      <c r="Y6" s="2056">
        <f>ROUND(C6*(1-X6),0)</f>
        <v>3114</v>
      </c>
    </row>
    <row r="7" spans="1:25" ht="21.6" customHeight="1">
      <c r="A7" s="2361" t="s">
        <v>724</v>
      </c>
      <c r="B7" s="1952" t="s">
        <v>111</v>
      </c>
      <c r="C7" s="672">
        <v>23334</v>
      </c>
      <c r="D7" s="672">
        <v>23398</v>
      </c>
      <c r="E7" s="62">
        <f>ROUND(D7+($H7-$D7)/4,0)</f>
        <v>23434</v>
      </c>
      <c r="F7" s="62">
        <f>ROUND(E7+($H7-$D7)/4,0)</f>
        <v>23470</v>
      </c>
      <c r="G7" s="62">
        <f>ROUND(F7+($H7-$D7)/4,0)</f>
        <v>23506</v>
      </c>
      <c r="H7" s="672">
        <v>23543</v>
      </c>
      <c r="I7" s="62">
        <f>ROUND(H7+($M7-$H7)/5,0)</f>
        <v>23616</v>
      </c>
      <c r="J7" s="62">
        <f>ROUND(I7+($M7-$H7)/5,0)</f>
        <v>23689</v>
      </c>
      <c r="K7" s="62">
        <f>ROUND(J7+($M7-$H7)/5,0)</f>
        <v>23762</v>
      </c>
      <c r="L7" s="62">
        <f>ROUND(K7+($M7-$H7)/5,0)</f>
        <v>23835</v>
      </c>
      <c r="M7" s="672">
        <v>23906</v>
      </c>
      <c r="N7" s="62">
        <f>ROUND(M7+($R7-$M7)/5,0)</f>
        <v>23952</v>
      </c>
      <c r="O7" s="62">
        <f>ROUND(N7+($R7-$M7)/5,0)</f>
        <v>23998</v>
      </c>
      <c r="P7" s="62">
        <f>ROUND(O7+($R7-$M7)/5,0)</f>
        <v>24044</v>
      </c>
      <c r="Q7" s="62">
        <f>ROUND(P7+($R7-$M7)/5,0)</f>
        <v>24090</v>
      </c>
      <c r="R7" s="672">
        <v>24134</v>
      </c>
      <c r="S7" s="62">
        <f>ROUND(R7+($W7-$R7)/5,0)</f>
        <v>24170</v>
      </c>
      <c r="T7" s="62">
        <f>ROUND(S7+($W7-$R7)/5,0)</f>
        <v>24206</v>
      </c>
      <c r="U7" s="62">
        <f>ROUND(T7+($W7-$R7)/5,0)</f>
        <v>24242</v>
      </c>
      <c r="V7" s="62">
        <f>ROUND(U7+($W7-$R7)/5,0)</f>
        <v>24278</v>
      </c>
      <c r="W7" s="672">
        <v>24316</v>
      </c>
      <c r="X7" s="2055"/>
      <c r="Y7" s="2056"/>
    </row>
    <row r="8" spans="1:25" ht="21.6" customHeight="1">
      <c r="A8" s="2361"/>
      <c r="B8" s="1952" t="s">
        <v>112</v>
      </c>
      <c r="C8" s="671">
        <f>+'사회적유입인구의 처리구역별 배분(적용)'!E38</f>
        <v>0</v>
      </c>
      <c r="D8" s="671">
        <f>+'사회적유입인구의 처리구역별 배분(적용)'!F38</f>
        <v>0</v>
      </c>
      <c r="E8" s="62">
        <f>+'사회적유입인구의 처리구역별 배분(적용)'!G38</f>
        <v>593</v>
      </c>
      <c r="F8" s="62">
        <f>+'사회적유입인구의 처리구역별 배분(적용)'!H38</f>
        <v>593</v>
      </c>
      <c r="G8" s="62">
        <f>+'사회적유입인구의 처리구역별 배분(적용)'!I38</f>
        <v>593</v>
      </c>
      <c r="H8" s="671">
        <f>+'사회적유입인구의 처리구역별 배분(적용)'!J38</f>
        <v>2899</v>
      </c>
      <c r="I8" s="62">
        <f>+'사회적유입인구의 처리구역별 배분(적용)'!K38</f>
        <v>2899</v>
      </c>
      <c r="J8" s="62">
        <f>+'사회적유입인구의 처리구역별 배분(적용)'!L38</f>
        <v>2899</v>
      </c>
      <c r="K8" s="62">
        <f>+'사회적유입인구의 처리구역별 배분(적용)'!M38</f>
        <v>2899</v>
      </c>
      <c r="L8" s="62">
        <f>+'사회적유입인구의 처리구역별 배분(적용)'!N38</f>
        <v>2899</v>
      </c>
      <c r="M8" s="671">
        <f>+'사회적유입인구의 처리구역별 배분(적용)'!O38</f>
        <v>3345</v>
      </c>
      <c r="N8" s="62">
        <f>+'사회적유입인구의 처리구역별 배분(적용)'!P38</f>
        <v>3345</v>
      </c>
      <c r="O8" s="62">
        <f>+'사회적유입인구의 처리구역별 배분(적용)'!Q38</f>
        <v>3345</v>
      </c>
      <c r="P8" s="62">
        <f>+'사회적유입인구의 처리구역별 배분(적용)'!R38</f>
        <v>3345</v>
      </c>
      <c r="Q8" s="62">
        <f>+'사회적유입인구의 처리구역별 배분(적용)'!S38</f>
        <v>3345</v>
      </c>
      <c r="R8" s="671">
        <f>+'사회적유입인구의 처리구역별 배분(적용)'!T38</f>
        <v>3345</v>
      </c>
      <c r="S8" s="62">
        <f>+'사회적유입인구의 처리구역별 배분(적용)'!U38</f>
        <v>3345</v>
      </c>
      <c r="T8" s="62">
        <f>+'사회적유입인구의 처리구역별 배분(적용)'!V38</f>
        <v>3345</v>
      </c>
      <c r="U8" s="62">
        <f>+'사회적유입인구의 처리구역별 배분(적용)'!W38</f>
        <v>3345</v>
      </c>
      <c r="V8" s="62">
        <f>+'사회적유입인구의 처리구역별 배분(적용)'!X38</f>
        <v>3345</v>
      </c>
      <c r="W8" s="671">
        <f>+'사회적유입인구의 처리구역별 배분(적용)'!Y38</f>
        <v>8233</v>
      </c>
      <c r="X8" s="2055"/>
      <c r="Y8" s="2056"/>
    </row>
    <row r="9" spans="1:25" ht="21.6" customHeight="1">
      <c r="A9" s="2361"/>
      <c r="B9" s="1952" t="s">
        <v>7</v>
      </c>
      <c r="C9" s="671">
        <f t="shared" ref="C9:W9" si="1">SUM(C7:C8)</f>
        <v>23334</v>
      </c>
      <c r="D9" s="671">
        <f t="shared" si="1"/>
        <v>23398</v>
      </c>
      <c r="E9" s="62">
        <f t="shared" si="1"/>
        <v>24027</v>
      </c>
      <c r="F9" s="62">
        <f t="shared" si="1"/>
        <v>24063</v>
      </c>
      <c r="G9" s="62">
        <f t="shared" si="1"/>
        <v>24099</v>
      </c>
      <c r="H9" s="671">
        <f t="shared" si="1"/>
        <v>26442</v>
      </c>
      <c r="I9" s="62">
        <f t="shared" si="1"/>
        <v>26515</v>
      </c>
      <c r="J9" s="62">
        <f t="shared" si="1"/>
        <v>26588</v>
      </c>
      <c r="K9" s="62">
        <f t="shared" si="1"/>
        <v>26661</v>
      </c>
      <c r="L9" s="62">
        <f t="shared" si="1"/>
        <v>26734</v>
      </c>
      <c r="M9" s="671">
        <f t="shared" si="1"/>
        <v>27251</v>
      </c>
      <c r="N9" s="62">
        <f t="shared" si="1"/>
        <v>27297</v>
      </c>
      <c r="O9" s="62">
        <f t="shared" si="1"/>
        <v>27343</v>
      </c>
      <c r="P9" s="62">
        <f t="shared" si="1"/>
        <v>27389</v>
      </c>
      <c r="Q9" s="62">
        <f t="shared" si="1"/>
        <v>27435</v>
      </c>
      <c r="R9" s="671">
        <f t="shared" si="1"/>
        <v>27479</v>
      </c>
      <c r="S9" s="62">
        <f t="shared" si="1"/>
        <v>27515</v>
      </c>
      <c r="T9" s="62">
        <f t="shared" si="1"/>
        <v>27551</v>
      </c>
      <c r="U9" s="62">
        <f t="shared" si="1"/>
        <v>27587</v>
      </c>
      <c r="V9" s="62">
        <f t="shared" si="1"/>
        <v>27623</v>
      </c>
      <c r="W9" s="671">
        <f t="shared" si="1"/>
        <v>32549</v>
      </c>
      <c r="X9" s="2055">
        <v>0.72599999999999998</v>
      </c>
      <c r="Y9" s="2056">
        <f>ROUND(C9*(1-X9),0)</f>
        <v>6394</v>
      </c>
    </row>
    <row r="10" spans="1:25" ht="21.6" customHeight="1">
      <c r="A10" s="2361" t="s">
        <v>680</v>
      </c>
      <c r="B10" s="1952" t="s">
        <v>111</v>
      </c>
      <c r="C10" s="672">
        <v>3221</v>
      </c>
      <c r="D10" s="672">
        <v>3240</v>
      </c>
      <c r="E10" s="62">
        <f>ROUND(D10+($H10-$C10)/5,0)</f>
        <v>3211</v>
      </c>
      <c r="F10" s="62">
        <f>ROUND(E10+($H10-$C10)/5,0)</f>
        <v>3182</v>
      </c>
      <c r="G10" s="62">
        <f>ROUND(F10+($H10-$C10)/5,0)</f>
        <v>3153</v>
      </c>
      <c r="H10" s="672">
        <v>3075</v>
      </c>
      <c r="I10" s="62">
        <f>ROUND(H10+($M10-$H10)/5,0)</f>
        <v>3048</v>
      </c>
      <c r="J10" s="62">
        <f>ROUND(I10+($M10-$H10)/5,0)</f>
        <v>3021</v>
      </c>
      <c r="K10" s="62">
        <f>ROUND(J10+($M10-$H10)/5,0)</f>
        <v>2994</v>
      </c>
      <c r="L10" s="62">
        <f>ROUND(K10+($M10-$H10)/5,0)</f>
        <v>2967</v>
      </c>
      <c r="M10" s="672">
        <v>2940</v>
      </c>
      <c r="N10" s="62">
        <f>ROUND(M10+($R10-$M10)/5,0)</f>
        <v>2897</v>
      </c>
      <c r="O10" s="62">
        <f>ROUND(N10+($R10-$M10)/5,0)</f>
        <v>2854</v>
      </c>
      <c r="P10" s="62">
        <f>ROUND(O10+($R10-$M10)/5,0)</f>
        <v>2811</v>
      </c>
      <c r="Q10" s="62">
        <f>ROUND(P10+($R10-$M10)/5,0)</f>
        <v>2768</v>
      </c>
      <c r="R10" s="672">
        <v>2725</v>
      </c>
      <c r="S10" s="62">
        <f>ROUND(R10+($W10-$R10)/5,0)</f>
        <v>2683</v>
      </c>
      <c r="T10" s="62">
        <f>ROUND(S10+($W10-$R10)/5,0)</f>
        <v>2641</v>
      </c>
      <c r="U10" s="62">
        <f>ROUND(T10+($W10-$R10)/5,0)</f>
        <v>2599</v>
      </c>
      <c r="V10" s="62">
        <f>ROUND(U10+($W10-$R10)/5,0)</f>
        <v>2557</v>
      </c>
      <c r="W10" s="672">
        <v>2517</v>
      </c>
      <c r="X10" s="2055"/>
      <c r="Y10" s="2056"/>
    </row>
    <row r="11" spans="1:25" ht="21.6" customHeight="1">
      <c r="A11" s="2361"/>
      <c r="B11" s="1952" t="s">
        <v>112</v>
      </c>
      <c r="C11" s="671">
        <f>'사회적유입인구의 처리구역별 배분(적용)'!E41</f>
        <v>0</v>
      </c>
      <c r="D11" s="671">
        <f>'사회적유입인구의 처리구역별 배분(적용)'!F41</f>
        <v>0</v>
      </c>
      <c r="E11" s="62">
        <f>'사회적유입인구의 처리구역별 배분(적용)'!G41</f>
        <v>0</v>
      </c>
      <c r="F11" s="62">
        <f>'사회적유입인구의 처리구역별 배분(적용)'!H41</f>
        <v>0</v>
      </c>
      <c r="G11" s="62">
        <f>'사회적유입인구의 처리구역별 배분(적용)'!I41</f>
        <v>0</v>
      </c>
      <c r="H11" s="671">
        <f>'사회적유입인구의 처리구역별 배분(적용)'!J41</f>
        <v>0</v>
      </c>
      <c r="I11" s="62">
        <f>'사회적유입인구의 처리구역별 배분(적용)'!K41</f>
        <v>0</v>
      </c>
      <c r="J11" s="62">
        <f>'사회적유입인구의 처리구역별 배분(적용)'!L41</f>
        <v>0</v>
      </c>
      <c r="K11" s="62">
        <f>'사회적유입인구의 처리구역별 배분(적용)'!M41</f>
        <v>0</v>
      </c>
      <c r="L11" s="62">
        <f>'사회적유입인구의 처리구역별 배분(적용)'!N41</f>
        <v>0</v>
      </c>
      <c r="M11" s="671">
        <f>'사회적유입인구의 처리구역별 배분(적용)'!O41</f>
        <v>0</v>
      </c>
      <c r="N11" s="62">
        <f>'사회적유입인구의 처리구역별 배분(적용)'!P41</f>
        <v>0</v>
      </c>
      <c r="O11" s="62">
        <f>'사회적유입인구의 처리구역별 배분(적용)'!Q41</f>
        <v>0</v>
      </c>
      <c r="P11" s="62">
        <f>'사회적유입인구의 처리구역별 배분(적용)'!R41</f>
        <v>0</v>
      </c>
      <c r="Q11" s="62">
        <f>'사회적유입인구의 처리구역별 배분(적용)'!S41</f>
        <v>0</v>
      </c>
      <c r="R11" s="671">
        <f>'사회적유입인구의 처리구역별 배분(적용)'!T41</f>
        <v>0</v>
      </c>
      <c r="S11" s="62">
        <f>'사회적유입인구의 처리구역별 배분(적용)'!U41</f>
        <v>0</v>
      </c>
      <c r="T11" s="62">
        <f>'사회적유입인구의 처리구역별 배분(적용)'!V41</f>
        <v>0</v>
      </c>
      <c r="U11" s="62">
        <f>'사회적유입인구의 처리구역별 배분(적용)'!W41</f>
        <v>0</v>
      </c>
      <c r="V11" s="62">
        <f>'사회적유입인구의 처리구역별 배분(적용)'!X41</f>
        <v>0</v>
      </c>
      <c r="W11" s="671">
        <f>'사회적유입인구의 처리구역별 배분(적용)'!Y41</f>
        <v>368</v>
      </c>
      <c r="X11" s="2055"/>
      <c r="Y11" s="2056"/>
    </row>
    <row r="12" spans="1:25" ht="21.6" customHeight="1">
      <c r="A12" s="2361"/>
      <c r="B12" s="1952" t="s">
        <v>7</v>
      </c>
      <c r="C12" s="671">
        <f t="shared" ref="C12:W12" si="2">SUM(C10:C11)</f>
        <v>3221</v>
      </c>
      <c r="D12" s="671">
        <f t="shared" si="2"/>
        <v>3240</v>
      </c>
      <c r="E12" s="62">
        <f t="shared" si="2"/>
        <v>3211</v>
      </c>
      <c r="F12" s="62">
        <f t="shared" si="2"/>
        <v>3182</v>
      </c>
      <c r="G12" s="62">
        <f t="shared" si="2"/>
        <v>3153</v>
      </c>
      <c r="H12" s="671">
        <f t="shared" si="2"/>
        <v>3075</v>
      </c>
      <c r="I12" s="62">
        <f t="shared" si="2"/>
        <v>3048</v>
      </c>
      <c r="J12" s="62">
        <f t="shared" si="2"/>
        <v>3021</v>
      </c>
      <c r="K12" s="62">
        <f t="shared" si="2"/>
        <v>2994</v>
      </c>
      <c r="L12" s="62">
        <f t="shared" si="2"/>
        <v>2967</v>
      </c>
      <c r="M12" s="671">
        <f t="shared" si="2"/>
        <v>2940</v>
      </c>
      <c r="N12" s="62">
        <f t="shared" si="2"/>
        <v>2897</v>
      </c>
      <c r="O12" s="62">
        <f t="shared" si="2"/>
        <v>2854</v>
      </c>
      <c r="P12" s="62">
        <f t="shared" si="2"/>
        <v>2811</v>
      </c>
      <c r="Q12" s="62">
        <f t="shared" si="2"/>
        <v>2768</v>
      </c>
      <c r="R12" s="671">
        <f t="shared" si="2"/>
        <v>2725</v>
      </c>
      <c r="S12" s="62">
        <f t="shared" si="2"/>
        <v>2683</v>
      </c>
      <c r="T12" s="62">
        <f t="shared" si="2"/>
        <v>2641</v>
      </c>
      <c r="U12" s="62">
        <f t="shared" si="2"/>
        <v>2599</v>
      </c>
      <c r="V12" s="62">
        <f t="shared" si="2"/>
        <v>2557</v>
      </c>
      <c r="W12" s="671">
        <f t="shared" si="2"/>
        <v>2885</v>
      </c>
      <c r="X12" s="2055"/>
      <c r="Y12" s="2056">
        <f>ROUND(C12*(1-X12),0)</f>
        <v>3221</v>
      </c>
    </row>
    <row r="13" spans="1:25" ht="21.6" customHeight="1">
      <c r="A13" s="2361" t="s">
        <v>682</v>
      </c>
      <c r="B13" s="1952" t="s">
        <v>111</v>
      </c>
      <c r="C13" s="672">
        <v>3243</v>
      </c>
      <c r="D13" s="672">
        <v>3317</v>
      </c>
      <c r="E13" s="62">
        <f>ROUND(D13+($H13-$D13)/4,0)</f>
        <v>3274</v>
      </c>
      <c r="F13" s="62">
        <f>ROUND(E13+($H13-$D13)/4,0)</f>
        <v>3231</v>
      </c>
      <c r="G13" s="62">
        <f>ROUND(F13+($H13-$D13)/4,0)</f>
        <v>3188</v>
      </c>
      <c r="H13" s="672">
        <v>3146</v>
      </c>
      <c r="I13" s="62">
        <f>ROUND(H13+($M13-$H13)/5,0)</f>
        <v>3121</v>
      </c>
      <c r="J13" s="62">
        <f>ROUND(I13+($M13-$H13)/5,0)</f>
        <v>3096</v>
      </c>
      <c r="K13" s="62">
        <f>ROUND(J13+($M13-$H13)/5,0)</f>
        <v>3071</v>
      </c>
      <c r="L13" s="62">
        <f>ROUND(K13+($M13-$H13)/5,0)</f>
        <v>3046</v>
      </c>
      <c r="M13" s="672">
        <v>3023</v>
      </c>
      <c r="N13" s="62">
        <f>ROUND(M13+($R13-$M13)/5,0)</f>
        <v>2981</v>
      </c>
      <c r="O13" s="62">
        <f>ROUND(N13+($R13-$M13)/5,0)</f>
        <v>2939</v>
      </c>
      <c r="P13" s="62">
        <f>ROUND(O13+($R13-$M13)/5,0)</f>
        <v>2897</v>
      </c>
      <c r="Q13" s="62">
        <f>ROUND(P13+($R13-$M13)/5,0)</f>
        <v>2855</v>
      </c>
      <c r="R13" s="672">
        <v>2812</v>
      </c>
      <c r="S13" s="62">
        <f>ROUND(R13+($W13-$R13)/5,0)</f>
        <v>2769</v>
      </c>
      <c r="T13" s="62">
        <f>ROUND(S13+($W13-$R13)/5,0)</f>
        <v>2726</v>
      </c>
      <c r="U13" s="62">
        <f>ROUND(T13+($W13-$R13)/5,0)</f>
        <v>2683</v>
      </c>
      <c r="V13" s="62">
        <f>ROUND(U13+($W13-$R13)/5,0)</f>
        <v>2640</v>
      </c>
      <c r="W13" s="672">
        <v>2599</v>
      </c>
      <c r="X13" s="2055"/>
      <c r="Y13" s="2056"/>
    </row>
    <row r="14" spans="1:25" ht="21.6" customHeight="1">
      <c r="A14" s="2361"/>
      <c r="B14" s="1952" t="s">
        <v>112</v>
      </c>
      <c r="C14" s="671">
        <f>'사회적유입인구의 처리구역별 배분(적용)'!E44</f>
        <v>0</v>
      </c>
      <c r="D14" s="671">
        <f>'사회적유입인구의 처리구역별 배분(적용)'!F44</f>
        <v>0</v>
      </c>
      <c r="E14" s="62">
        <f>'사회적유입인구의 처리구역별 배분(적용)'!G44</f>
        <v>0</v>
      </c>
      <c r="F14" s="62">
        <f>'사회적유입인구의 처리구역별 배분(적용)'!H44</f>
        <v>0</v>
      </c>
      <c r="G14" s="62">
        <f>'사회적유입인구의 처리구역별 배분(적용)'!I44</f>
        <v>0</v>
      </c>
      <c r="H14" s="671">
        <f>'사회적유입인구의 처리구역별 배분(적용)'!J44</f>
        <v>0</v>
      </c>
      <c r="I14" s="62">
        <f>'사회적유입인구의 처리구역별 배분(적용)'!K44</f>
        <v>0</v>
      </c>
      <c r="J14" s="62">
        <f>'사회적유입인구의 처리구역별 배분(적용)'!L44</f>
        <v>0</v>
      </c>
      <c r="K14" s="62">
        <f>'사회적유입인구의 처리구역별 배분(적용)'!M44</f>
        <v>0</v>
      </c>
      <c r="L14" s="62">
        <f>'사회적유입인구의 처리구역별 배분(적용)'!N44</f>
        <v>0</v>
      </c>
      <c r="M14" s="671">
        <f>'사회적유입인구의 처리구역별 배분(적용)'!O44</f>
        <v>0</v>
      </c>
      <c r="N14" s="62">
        <f>'사회적유입인구의 처리구역별 배분(적용)'!P44</f>
        <v>0</v>
      </c>
      <c r="O14" s="62">
        <f>'사회적유입인구의 처리구역별 배분(적용)'!Q44</f>
        <v>0</v>
      </c>
      <c r="P14" s="62">
        <f>'사회적유입인구의 처리구역별 배분(적용)'!R44</f>
        <v>0</v>
      </c>
      <c r="Q14" s="62">
        <f>'사회적유입인구의 처리구역별 배분(적용)'!S44</f>
        <v>0</v>
      </c>
      <c r="R14" s="671">
        <f>'사회적유입인구의 처리구역별 배분(적용)'!T44</f>
        <v>0</v>
      </c>
      <c r="S14" s="62">
        <f>'사회적유입인구의 처리구역별 배분(적용)'!U44</f>
        <v>0</v>
      </c>
      <c r="T14" s="62">
        <f>'사회적유입인구의 처리구역별 배분(적용)'!V44</f>
        <v>0</v>
      </c>
      <c r="U14" s="62">
        <f>'사회적유입인구의 처리구역별 배분(적용)'!W44</f>
        <v>0</v>
      </c>
      <c r="V14" s="62">
        <f>'사회적유입인구의 처리구역별 배분(적용)'!X44</f>
        <v>0</v>
      </c>
      <c r="W14" s="671">
        <f>'사회적유입인구의 처리구역별 배분(적용)'!Y44</f>
        <v>715</v>
      </c>
      <c r="X14" s="2057"/>
      <c r="Y14" s="2058"/>
    </row>
    <row r="15" spans="1:25" ht="21.6" customHeight="1">
      <c r="A15" s="2357"/>
      <c r="B15" s="1950" t="s">
        <v>7</v>
      </c>
      <c r="C15" s="2000">
        <f t="shared" ref="C15:W15" si="3">SUM(C13:C14)</f>
        <v>3243</v>
      </c>
      <c r="D15" s="2000">
        <f t="shared" si="3"/>
        <v>3317</v>
      </c>
      <c r="E15" s="2001">
        <f t="shared" si="3"/>
        <v>3274</v>
      </c>
      <c r="F15" s="2001">
        <f t="shared" si="3"/>
        <v>3231</v>
      </c>
      <c r="G15" s="2001">
        <f t="shared" si="3"/>
        <v>3188</v>
      </c>
      <c r="H15" s="2000">
        <f t="shared" si="3"/>
        <v>3146</v>
      </c>
      <c r="I15" s="2001">
        <f t="shared" si="3"/>
        <v>3121</v>
      </c>
      <c r="J15" s="2001">
        <f t="shared" si="3"/>
        <v>3096</v>
      </c>
      <c r="K15" s="2001">
        <f t="shared" si="3"/>
        <v>3071</v>
      </c>
      <c r="L15" s="2001">
        <f t="shared" si="3"/>
        <v>3046</v>
      </c>
      <c r="M15" s="2000">
        <f t="shared" si="3"/>
        <v>3023</v>
      </c>
      <c r="N15" s="2001">
        <f t="shared" si="3"/>
        <v>2981</v>
      </c>
      <c r="O15" s="2001">
        <f t="shared" si="3"/>
        <v>2939</v>
      </c>
      <c r="P15" s="2001">
        <f t="shared" si="3"/>
        <v>2897</v>
      </c>
      <c r="Q15" s="2001">
        <f t="shared" si="3"/>
        <v>2855</v>
      </c>
      <c r="R15" s="2000">
        <f t="shared" si="3"/>
        <v>2812</v>
      </c>
      <c r="S15" s="2001">
        <f t="shared" si="3"/>
        <v>2769</v>
      </c>
      <c r="T15" s="2001">
        <f t="shared" si="3"/>
        <v>2726</v>
      </c>
      <c r="U15" s="2001">
        <f t="shared" si="3"/>
        <v>2683</v>
      </c>
      <c r="V15" s="2001">
        <f t="shared" si="3"/>
        <v>2640</v>
      </c>
      <c r="W15" s="2000">
        <f t="shared" si="3"/>
        <v>3314</v>
      </c>
      <c r="X15" s="1577"/>
      <c r="Y15" s="693">
        <f>ROUND(C15*(1-X15),0)</f>
        <v>3243</v>
      </c>
    </row>
    <row r="16" spans="1:25" ht="21.6" customHeight="1">
      <c r="A16" s="2348" t="s">
        <v>684</v>
      </c>
      <c r="B16" s="1948" t="s">
        <v>111</v>
      </c>
      <c r="C16" s="2107">
        <v>10418</v>
      </c>
      <c r="D16" s="2107">
        <v>12254</v>
      </c>
      <c r="E16" s="2108">
        <f>ROUND(D16+($H16-$D16)/4,0)</f>
        <v>12309</v>
      </c>
      <c r="F16" s="2108">
        <f>ROUND(E16+($H16-$D16)/4,0)</f>
        <v>12364</v>
      </c>
      <c r="G16" s="2108">
        <f>ROUND(F16+($H16-$D16)/4,0)</f>
        <v>12419</v>
      </c>
      <c r="H16" s="2107">
        <v>12474</v>
      </c>
      <c r="I16" s="2108">
        <f>ROUND(H16+($M16-$H16)/5,0)</f>
        <v>12535</v>
      </c>
      <c r="J16" s="2108">
        <f>ROUND(I16+($M16-$H16)/5,0)</f>
        <v>12596</v>
      </c>
      <c r="K16" s="2108">
        <f>ROUND(J16+($M16-$H16)/5,0)</f>
        <v>12657</v>
      </c>
      <c r="L16" s="2108">
        <f>ROUND(K16+($M16-$H16)/5,0)</f>
        <v>12718</v>
      </c>
      <c r="M16" s="2107">
        <v>12778</v>
      </c>
      <c r="N16" s="2108">
        <f>ROUND(M16+($R16-$M16)/5,0)</f>
        <v>12798</v>
      </c>
      <c r="O16" s="2108">
        <f>ROUND(N16+($R16-$M16)/5,0)</f>
        <v>12818</v>
      </c>
      <c r="P16" s="2108">
        <f>ROUND(O16+($R16-$M16)/5,0)</f>
        <v>12838</v>
      </c>
      <c r="Q16" s="2108">
        <f>ROUND(P16+($R16-$M16)/5,0)</f>
        <v>12858</v>
      </c>
      <c r="R16" s="2107">
        <v>12876</v>
      </c>
      <c r="S16" s="2108">
        <f>ROUND(R16+($W16-$R16)/5,0)</f>
        <v>12862</v>
      </c>
      <c r="T16" s="2108">
        <f>ROUND(S16+($W16-$R16)/5,0)</f>
        <v>12848</v>
      </c>
      <c r="U16" s="2108">
        <f>ROUND(T16+($W16-$R16)/5,0)</f>
        <v>12834</v>
      </c>
      <c r="V16" s="2108">
        <f>ROUND(U16+($W16-$R16)/5,0)</f>
        <v>12820</v>
      </c>
      <c r="W16" s="2107">
        <v>12807</v>
      </c>
      <c r="X16" s="1577"/>
    </row>
    <row r="17" spans="1:25" ht="21.6" customHeight="1">
      <c r="A17" s="2361"/>
      <c r="B17" s="1952" t="s">
        <v>112</v>
      </c>
      <c r="C17" s="671">
        <f>'사회적유입인구의 처리구역별 배분(적용)'!E54</f>
        <v>0</v>
      </c>
      <c r="D17" s="671">
        <f>'사회적유입인구의 처리구역별 배분(적용)'!F54</f>
        <v>0</v>
      </c>
      <c r="E17" s="62">
        <f>'사회적유입인구의 처리구역별 배분(적용)'!G54</f>
        <v>0</v>
      </c>
      <c r="F17" s="62">
        <f>'사회적유입인구의 처리구역별 배분(적용)'!H54</f>
        <v>8</v>
      </c>
      <c r="G17" s="62">
        <f>'사회적유입인구의 처리구역별 배분(적용)'!I54</f>
        <v>80</v>
      </c>
      <c r="H17" s="671">
        <f>'사회적유입인구의 처리구역별 배분(적용)'!J54</f>
        <v>210</v>
      </c>
      <c r="I17" s="62">
        <f>'사회적유입인구의 처리구역별 배분(적용)'!K54</f>
        <v>325</v>
      </c>
      <c r="J17" s="62">
        <f>'사회적유입인구의 처리구역별 배분(적용)'!L54</f>
        <v>325</v>
      </c>
      <c r="K17" s="62">
        <f>'사회적유입인구의 처리구역별 배분(적용)'!M54</f>
        <v>325</v>
      </c>
      <c r="L17" s="62">
        <f>'사회적유입인구의 처리구역별 배분(적용)'!N54</f>
        <v>325</v>
      </c>
      <c r="M17" s="671">
        <f>'사회적유입인구의 처리구역별 배분(적용)'!O54</f>
        <v>325</v>
      </c>
      <c r="N17" s="62">
        <f>'사회적유입인구의 처리구역별 배분(적용)'!P54</f>
        <v>325</v>
      </c>
      <c r="O17" s="62">
        <f>'사회적유입인구의 처리구역별 배분(적용)'!Q54</f>
        <v>325</v>
      </c>
      <c r="P17" s="62">
        <f>'사회적유입인구의 처리구역별 배분(적용)'!R54</f>
        <v>325</v>
      </c>
      <c r="Q17" s="62">
        <f>'사회적유입인구의 처리구역별 배분(적용)'!S54</f>
        <v>325</v>
      </c>
      <c r="R17" s="671">
        <f>'사회적유입인구의 처리구역별 배분(적용)'!T54</f>
        <v>325</v>
      </c>
      <c r="S17" s="62">
        <f>'사회적유입인구의 처리구역별 배분(적용)'!U54</f>
        <v>325</v>
      </c>
      <c r="T17" s="62">
        <f>'사회적유입인구의 처리구역별 배분(적용)'!V54</f>
        <v>325</v>
      </c>
      <c r="U17" s="62">
        <f>'사회적유입인구의 처리구역별 배분(적용)'!W54</f>
        <v>325</v>
      </c>
      <c r="V17" s="62">
        <f>'사회적유입인구의 처리구역별 배분(적용)'!X54</f>
        <v>325</v>
      </c>
      <c r="W17" s="671">
        <f>'사회적유입인구의 처리구역별 배분(적용)'!Y54</f>
        <v>2656</v>
      </c>
      <c r="X17" s="2156"/>
      <c r="Y17" s="2157"/>
    </row>
    <row r="18" spans="1:25" ht="21.6" customHeight="1">
      <c r="A18" s="2361"/>
      <c r="B18" s="1952" t="s">
        <v>7</v>
      </c>
      <c r="C18" s="671">
        <f t="shared" ref="C18:W18" si="4">SUM(C16:C17)</f>
        <v>10418</v>
      </c>
      <c r="D18" s="671">
        <f t="shared" si="4"/>
        <v>12254</v>
      </c>
      <c r="E18" s="62">
        <f t="shared" si="4"/>
        <v>12309</v>
      </c>
      <c r="F18" s="62">
        <f t="shared" si="4"/>
        <v>12372</v>
      </c>
      <c r="G18" s="62">
        <f t="shared" si="4"/>
        <v>12499</v>
      </c>
      <c r="H18" s="671">
        <f t="shared" si="4"/>
        <v>12684</v>
      </c>
      <c r="I18" s="62">
        <f t="shared" si="4"/>
        <v>12860</v>
      </c>
      <c r="J18" s="62">
        <f t="shared" si="4"/>
        <v>12921</v>
      </c>
      <c r="K18" s="62">
        <f t="shared" si="4"/>
        <v>12982</v>
      </c>
      <c r="L18" s="62">
        <f t="shared" si="4"/>
        <v>13043</v>
      </c>
      <c r="M18" s="671">
        <f t="shared" si="4"/>
        <v>13103</v>
      </c>
      <c r="N18" s="62">
        <f t="shared" si="4"/>
        <v>13123</v>
      </c>
      <c r="O18" s="62">
        <f t="shared" si="4"/>
        <v>13143</v>
      </c>
      <c r="P18" s="62">
        <f t="shared" si="4"/>
        <v>13163</v>
      </c>
      <c r="Q18" s="62">
        <f t="shared" si="4"/>
        <v>13183</v>
      </c>
      <c r="R18" s="671">
        <f t="shared" si="4"/>
        <v>13201</v>
      </c>
      <c r="S18" s="62">
        <f t="shared" si="4"/>
        <v>13187</v>
      </c>
      <c r="T18" s="62">
        <f t="shared" si="4"/>
        <v>13173</v>
      </c>
      <c r="U18" s="62">
        <f t="shared" si="4"/>
        <v>13159</v>
      </c>
      <c r="V18" s="62">
        <f t="shared" si="4"/>
        <v>13145</v>
      </c>
      <c r="W18" s="671">
        <f t="shared" si="4"/>
        <v>15463</v>
      </c>
      <c r="X18" s="2055">
        <v>0.46</v>
      </c>
      <c r="Y18" s="2056">
        <f>ROUND(C18*(1-X18),0)</f>
        <v>5626</v>
      </c>
    </row>
    <row r="19" spans="1:25" ht="21.6" customHeight="1">
      <c r="A19" s="2361" t="s">
        <v>686</v>
      </c>
      <c r="B19" s="1952" t="s">
        <v>111</v>
      </c>
      <c r="C19" s="672">
        <v>18802</v>
      </c>
      <c r="D19" s="672">
        <v>18744</v>
      </c>
      <c r="E19" s="62">
        <f>ROUND(D19+($H19-$D19)/4,0)</f>
        <v>18836</v>
      </c>
      <c r="F19" s="62">
        <f>ROUND(E19+($H19-$D19)/4,0)</f>
        <v>18928</v>
      </c>
      <c r="G19" s="62">
        <f>ROUND(F19+($H19-$D19)/4,0)-1343</f>
        <v>17677</v>
      </c>
      <c r="H19" s="672">
        <v>19110</v>
      </c>
      <c r="I19" s="62">
        <f>ROUND(H19+($M19-$H19)/5,0)</f>
        <v>19222</v>
      </c>
      <c r="J19" s="62">
        <f>ROUND(I19+($M19-$H19)/5,0)</f>
        <v>19334</v>
      </c>
      <c r="K19" s="62">
        <f>ROUND(J19+($M19-$H19)/5,0)</f>
        <v>19446</v>
      </c>
      <c r="L19" s="62">
        <f>ROUND(K19+($M19-$H19)/5,0)</f>
        <v>19558</v>
      </c>
      <c r="M19" s="672">
        <v>19669</v>
      </c>
      <c r="N19" s="62">
        <f>ROUND(M19+($R19-$M19)/5,0)</f>
        <v>19760</v>
      </c>
      <c r="O19" s="62">
        <f>ROUND(N19+($R19-$M19)/5,0)</f>
        <v>19851</v>
      </c>
      <c r="P19" s="62">
        <f>ROUND(O19+($R19-$M19)/5,0)</f>
        <v>19942</v>
      </c>
      <c r="Q19" s="62">
        <f>ROUND(P19+($R19-$M19)/5,0)</f>
        <v>20033</v>
      </c>
      <c r="R19" s="672">
        <v>20126</v>
      </c>
      <c r="S19" s="62">
        <f>ROUND(R19+($W19-$R19)/5,0)</f>
        <v>20218</v>
      </c>
      <c r="T19" s="62">
        <f>ROUND(S19+($W19-$R19)/5,0)</f>
        <v>20310</v>
      </c>
      <c r="U19" s="62">
        <f>ROUND(T19+($W19-$R19)/5,0)</f>
        <v>20402</v>
      </c>
      <c r="V19" s="62">
        <f>ROUND(U19+($W19-$R19)/5,0)</f>
        <v>20494</v>
      </c>
      <c r="W19" s="672">
        <v>20584</v>
      </c>
      <c r="X19" s="2055"/>
      <c r="Y19" s="2056"/>
    </row>
    <row r="20" spans="1:25" ht="21.6" customHeight="1">
      <c r="A20" s="2361"/>
      <c r="B20" s="1952" t="s">
        <v>112</v>
      </c>
      <c r="C20" s="671">
        <f>+'사회적유입인구의 처리구역별 배분(적용)'!E74</f>
        <v>0</v>
      </c>
      <c r="D20" s="671">
        <f>+'사회적유입인구의 처리구역별 배분(적용)'!F74</f>
        <v>0</v>
      </c>
      <c r="E20" s="62">
        <f>+'사회적유입인구의 처리구역별 배분(적용)'!G74</f>
        <v>0</v>
      </c>
      <c r="F20" s="62">
        <f>+'사회적유입인구의 처리구역별 배분(적용)'!H74</f>
        <v>518</v>
      </c>
      <c r="G20" s="62">
        <f>+'사회적유입인구의 처리구역별 배분(적용)'!I74</f>
        <v>755</v>
      </c>
      <c r="H20" s="671">
        <f>+'사회적유입인구의 처리구역별 배분(적용)'!J74</f>
        <v>4101</v>
      </c>
      <c r="I20" s="62">
        <f>+'사회적유입인구의 처리구역별 배분(적용)'!K74</f>
        <v>4101</v>
      </c>
      <c r="J20" s="62">
        <f>+'사회적유입인구의 처리구역별 배분(적용)'!L74</f>
        <v>4101</v>
      </c>
      <c r="K20" s="62">
        <f>+'사회적유입인구의 처리구역별 배분(적용)'!M74</f>
        <v>4101</v>
      </c>
      <c r="L20" s="62">
        <f>+'사회적유입인구의 처리구역별 배분(적용)'!N74</f>
        <v>4101</v>
      </c>
      <c r="M20" s="671">
        <f>+'사회적유입인구의 처리구역별 배분(적용)'!O74</f>
        <v>5118</v>
      </c>
      <c r="N20" s="62">
        <f>+'사회적유입인구의 처리구역별 배분(적용)'!P74</f>
        <v>5118</v>
      </c>
      <c r="O20" s="62">
        <f>+'사회적유입인구의 처리구역별 배분(적용)'!Q74</f>
        <v>5118</v>
      </c>
      <c r="P20" s="62">
        <f>+'사회적유입인구의 처리구역별 배분(적용)'!R74</f>
        <v>5118</v>
      </c>
      <c r="Q20" s="62">
        <f>+'사회적유입인구의 처리구역별 배분(적용)'!S74</f>
        <v>5118</v>
      </c>
      <c r="R20" s="671">
        <f>+'사회적유입인구의 처리구역별 배분(적용)'!T74</f>
        <v>6759</v>
      </c>
      <c r="S20" s="62">
        <f>+'사회적유입인구의 처리구역별 배분(적용)'!U74</f>
        <v>6759</v>
      </c>
      <c r="T20" s="62">
        <f>+'사회적유입인구의 처리구역별 배분(적용)'!V74</f>
        <v>6759</v>
      </c>
      <c r="U20" s="62">
        <f>+'사회적유입인구의 처리구역별 배분(적용)'!W74</f>
        <v>6759</v>
      </c>
      <c r="V20" s="62">
        <f>+'사회적유입인구의 처리구역별 배분(적용)'!X74</f>
        <v>6759</v>
      </c>
      <c r="W20" s="671">
        <f>+'사회적유입인구의 처리구역별 배분(적용)'!Y74</f>
        <v>12266</v>
      </c>
      <c r="X20" s="2055"/>
      <c r="Y20" s="2056"/>
    </row>
    <row r="21" spans="1:25" ht="21.6" customHeight="1">
      <c r="A21" s="2361"/>
      <c r="B21" s="1952" t="s">
        <v>7</v>
      </c>
      <c r="C21" s="671">
        <f t="shared" ref="C21:W21" si="5">SUM(C19:C20)</f>
        <v>18802</v>
      </c>
      <c r="D21" s="671">
        <f t="shared" si="5"/>
        <v>18744</v>
      </c>
      <c r="E21" s="62">
        <f t="shared" si="5"/>
        <v>18836</v>
      </c>
      <c r="F21" s="62">
        <f t="shared" si="5"/>
        <v>19446</v>
      </c>
      <c r="G21" s="62">
        <f t="shared" si="5"/>
        <v>18432</v>
      </c>
      <c r="H21" s="671">
        <f t="shared" si="5"/>
        <v>23211</v>
      </c>
      <c r="I21" s="62">
        <f t="shared" si="5"/>
        <v>23323</v>
      </c>
      <c r="J21" s="62">
        <f t="shared" si="5"/>
        <v>23435</v>
      </c>
      <c r="K21" s="62">
        <f t="shared" si="5"/>
        <v>23547</v>
      </c>
      <c r="L21" s="62">
        <f t="shared" si="5"/>
        <v>23659</v>
      </c>
      <c r="M21" s="671">
        <f t="shared" si="5"/>
        <v>24787</v>
      </c>
      <c r="N21" s="62">
        <f t="shared" si="5"/>
        <v>24878</v>
      </c>
      <c r="O21" s="62">
        <f t="shared" si="5"/>
        <v>24969</v>
      </c>
      <c r="P21" s="62">
        <f t="shared" si="5"/>
        <v>25060</v>
      </c>
      <c r="Q21" s="62">
        <f t="shared" si="5"/>
        <v>25151</v>
      </c>
      <c r="R21" s="671">
        <f t="shared" si="5"/>
        <v>26885</v>
      </c>
      <c r="S21" s="62">
        <f t="shared" si="5"/>
        <v>26977</v>
      </c>
      <c r="T21" s="62">
        <f t="shared" si="5"/>
        <v>27069</v>
      </c>
      <c r="U21" s="62">
        <f t="shared" si="5"/>
        <v>27161</v>
      </c>
      <c r="V21" s="62">
        <f t="shared" si="5"/>
        <v>27253</v>
      </c>
      <c r="W21" s="671">
        <f t="shared" si="5"/>
        <v>32850</v>
      </c>
      <c r="X21" s="2055">
        <v>0.63600000000000001</v>
      </c>
      <c r="Y21" s="2056">
        <f>ROUND(C21*(1-X21),0)</f>
        <v>6844</v>
      </c>
    </row>
    <row r="22" spans="1:25" s="693" customFormat="1" ht="21.6" customHeight="1">
      <c r="A22" s="2361" t="s">
        <v>672</v>
      </c>
      <c r="B22" s="1952" t="s">
        <v>111</v>
      </c>
      <c r="C22" s="673">
        <v>9571</v>
      </c>
      <c r="D22" s="673">
        <v>9613</v>
      </c>
      <c r="E22" s="62">
        <f>ROUND(D22+($H22-$D22)/4,0)</f>
        <v>9580</v>
      </c>
      <c r="F22" s="62">
        <f>ROUND(E22+($H22-$D22)/4,0)</f>
        <v>9547</v>
      </c>
      <c r="G22" s="62">
        <f>ROUND(F22+($H22-$D22)/4,0)</f>
        <v>9514</v>
      </c>
      <c r="H22" s="673">
        <v>9481</v>
      </c>
      <c r="I22" s="62">
        <f>ROUND(H22+($M22-$H22)/5,0)</f>
        <v>9467</v>
      </c>
      <c r="J22" s="62">
        <f>ROUND(I22+($M22-$H22)/5,0)</f>
        <v>9453</v>
      </c>
      <c r="K22" s="62">
        <f>ROUND(J22+($M22-$H22)/5,0)</f>
        <v>9439</v>
      </c>
      <c r="L22" s="62">
        <f>ROUND(K22+($M22-$H22)/5,0)</f>
        <v>9425</v>
      </c>
      <c r="M22" s="673">
        <v>9412</v>
      </c>
      <c r="N22" s="62">
        <f>ROUND(M22+($R22-$M22)/5,0)</f>
        <v>9381</v>
      </c>
      <c r="O22" s="62">
        <f>ROUND(N22+($R22-$M22)/5,0)</f>
        <v>9350</v>
      </c>
      <c r="P22" s="62">
        <f>ROUND(O22+($R22-$M22)/5,0)</f>
        <v>9319</v>
      </c>
      <c r="Q22" s="62">
        <f>ROUND(P22+($R22-$M22)/5,0)</f>
        <v>9288</v>
      </c>
      <c r="R22" s="673">
        <v>9258</v>
      </c>
      <c r="S22" s="62">
        <f>ROUND(R22+($W22-$R22)/5,0)</f>
        <v>9217</v>
      </c>
      <c r="T22" s="62">
        <f>ROUND(S22+($W22-$R22)/5,0)</f>
        <v>9176</v>
      </c>
      <c r="U22" s="62">
        <f>ROUND(T22+($W22-$R22)/5,0)</f>
        <v>9135</v>
      </c>
      <c r="V22" s="62">
        <f>ROUND(U22+($W22-$R22)/5,0)</f>
        <v>9094</v>
      </c>
      <c r="W22" s="673">
        <v>9054</v>
      </c>
      <c r="X22" s="2055"/>
      <c r="Y22" s="2056"/>
    </row>
    <row r="23" spans="1:25" s="693" customFormat="1" ht="21.6" customHeight="1">
      <c r="A23" s="2361"/>
      <c r="B23" s="1952" t="s">
        <v>112</v>
      </c>
      <c r="C23" s="671">
        <f>+'사회적유입인구의 처리구역별 배분(적용)'!E83</f>
        <v>0</v>
      </c>
      <c r="D23" s="671">
        <f>+'사회적유입인구의 처리구역별 배분(적용)'!F83</f>
        <v>0</v>
      </c>
      <c r="E23" s="62">
        <f>+'사회적유입인구의 처리구역별 배분(적용)'!G83</f>
        <v>0</v>
      </c>
      <c r="F23" s="62">
        <f>+'사회적유입인구의 처리구역별 배분(적용)'!H83</f>
        <v>0</v>
      </c>
      <c r="G23" s="62">
        <f>+'사회적유입인구의 처리구역별 배분(적용)'!I83</f>
        <v>0</v>
      </c>
      <c r="H23" s="671">
        <f>+'사회적유입인구의 처리구역별 배분(적용)'!J83</f>
        <v>0</v>
      </c>
      <c r="I23" s="62">
        <f>+'사회적유입인구의 처리구역별 배분(적용)'!K83</f>
        <v>0</v>
      </c>
      <c r="J23" s="62">
        <f>+'사회적유입인구의 처리구역별 배분(적용)'!L83</f>
        <v>0</v>
      </c>
      <c r="K23" s="62">
        <f>+'사회적유입인구의 처리구역별 배분(적용)'!M83</f>
        <v>0</v>
      </c>
      <c r="L23" s="62">
        <f>+'사회적유입인구의 처리구역별 배분(적용)'!N83</f>
        <v>0</v>
      </c>
      <c r="M23" s="671">
        <f>+'사회적유입인구의 처리구역별 배분(적용)'!O83</f>
        <v>537</v>
      </c>
      <c r="N23" s="62">
        <f>+'사회적유입인구의 처리구역별 배분(적용)'!P83</f>
        <v>537</v>
      </c>
      <c r="O23" s="62">
        <f>+'사회적유입인구의 처리구역별 배분(적용)'!Q83</f>
        <v>537</v>
      </c>
      <c r="P23" s="62">
        <f>+'사회적유입인구의 처리구역별 배분(적용)'!R83</f>
        <v>537</v>
      </c>
      <c r="Q23" s="62">
        <f>+'사회적유입인구의 처리구역별 배분(적용)'!S83</f>
        <v>537</v>
      </c>
      <c r="R23" s="671">
        <f>+'사회적유입인구의 처리구역별 배분(적용)'!T83</f>
        <v>537</v>
      </c>
      <c r="S23" s="62">
        <f>+'사회적유입인구의 처리구역별 배분(적용)'!U83</f>
        <v>537</v>
      </c>
      <c r="T23" s="62">
        <f>+'사회적유입인구의 처리구역별 배분(적용)'!V83</f>
        <v>537</v>
      </c>
      <c r="U23" s="62">
        <f>+'사회적유입인구의 처리구역별 배분(적용)'!W83</f>
        <v>537</v>
      </c>
      <c r="V23" s="62">
        <f>+'사회적유입인구의 처리구역별 배분(적용)'!X83</f>
        <v>537</v>
      </c>
      <c r="W23" s="671">
        <f>+'사회적유입인구의 처리구역별 배분(적용)'!Y83</f>
        <v>3645</v>
      </c>
      <c r="X23" s="2055"/>
      <c r="Y23" s="2056"/>
    </row>
    <row r="24" spans="1:25" s="693" customFormat="1" ht="21.6" customHeight="1">
      <c r="A24" s="2361"/>
      <c r="B24" s="1952" t="s">
        <v>7</v>
      </c>
      <c r="C24" s="671">
        <f t="shared" ref="C24:W24" si="6">SUM(C22:C23)</f>
        <v>9571</v>
      </c>
      <c r="D24" s="671">
        <f t="shared" si="6"/>
        <v>9613</v>
      </c>
      <c r="E24" s="62">
        <f t="shared" si="6"/>
        <v>9580</v>
      </c>
      <c r="F24" s="62">
        <f t="shared" si="6"/>
        <v>9547</v>
      </c>
      <c r="G24" s="62">
        <f t="shared" si="6"/>
        <v>9514</v>
      </c>
      <c r="H24" s="671">
        <f t="shared" si="6"/>
        <v>9481</v>
      </c>
      <c r="I24" s="62">
        <f t="shared" si="6"/>
        <v>9467</v>
      </c>
      <c r="J24" s="62">
        <f t="shared" si="6"/>
        <v>9453</v>
      </c>
      <c r="K24" s="62">
        <f t="shared" si="6"/>
        <v>9439</v>
      </c>
      <c r="L24" s="62">
        <f t="shared" si="6"/>
        <v>9425</v>
      </c>
      <c r="M24" s="671">
        <f t="shared" si="6"/>
        <v>9949</v>
      </c>
      <c r="N24" s="62">
        <f t="shared" si="6"/>
        <v>9918</v>
      </c>
      <c r="O24" s="62">
        <f t="shared" si="6"/>
        <v>9887</v>
      </c>
      <c r="P24" s="62">
        <f t="shared" si="6"/>
        <v>9856</v>
      </c>
      <c r="Q24" s="62">
        <f t="shared" si="6"/>
        <v>9825</v>
      </c>
      <c r="R24" s="671">
        <f t="shared" si="6"/>
        <v>9795</v>
      </c>
      <c r="S24" s="62">
        <f t="shared" si="6"/>
        <v>9754</v>
      </c>
      <c r="T24" s="62">
        <f t="shared" si="6"/>
        <v>9713</v>
      </c>
      <c r="U24" s="62">
        <f t="shared" si="6"/>
        <v>9672</v>
      </c>
      <c r="V24" s="62">
        <f t="shared" si="6"/>
        <v>9631</v>
      </c>
      <c r="W24" s="671">
        <f t="shared" si="6"/>
        <v>12699</v>
      </c>
      <c r="X24" s="2055">
        <v>0.54900000000000004</v>
      </c>
      <c r="Y24" s="2056">
        <f>ROUND(C24*(1-X24),0)</f>
        <v>4317</v>
      </c>
    </row>
    <row r="25" spans="1:25" s="693" customFormat="1" ht="21.6" customHeight="1">
      <c r="A25" s="2361" t="s">
        <v>673</v>
      </c>
      <c r="B25" s="1952" t="s">
        <v>111</v>
      </c>
      <c r="C25" s="673">
        <v>5351</v>
      </c>
      <c r="D25" s="673">
        <v>5403</v>
      </c>
      <c r="E25" s="62">
        <f>ROUND(D25+($H25-$D25)/4,0)</f>
        <v>5358</v>
      </c>
      <c r="F25" s="62">
        <f>ROUND(E25+($H25-$D25)/4,0)</f>
        <v>5313</v>
      </c>
      <c r="G25" s="62">
        <f>ROUND(F25+($H25-$D25)/4,0)</f>
        <v>5268</v>
      </c>
      <c r="H25" s="673">
        <v>5223</v>
      </c>
      <c r="I25" s="62">
        <f>ROUND(H25+($M25-$H25)/5,0)</f>
        <v>5194</v>
      </c>
      <c r="J25" s="62">
        <f>ROUND(I25+($M25-$H25)/5,0)</f>
        <v>5165</v>
      </c>
      <c r="K25" s="62">
        <f>ROUND(J25+($M25-$H25)/5,0)</f>
        <v>5136</v>
      </c>
      <c r="L25" s="62">
        <f>ROUND(K25+($M25-$H25)/5,0)</f>
        <v>5107</v>
      </c>
      <c r="M25" s="673">
        <v>5080</v>
      </c>
      <c r="N25" s="62">
        <f>ROUND(M25+($R25-$M25)/5,0)</f>
        <v>5040</v>
      </c>
      <c r="O25" s="62">
        <f>ROUND(N25+($R25-$M25)/5,0)</f>
        <v>5000</v>
      </c>
      <c r="P25" s="62">
        <f>ROUND(O25+($R25-$M25)/5,0)</f>
        <v>4960</v>
      </c>
      <c r="Q25" s="62">
        <f>ROUND(P25+($R25-$M25)/5,0)</f>
        <v>4920</v>
      </c>
      <c r="R25" s="673">
        <v>4880</v>
      </c>
      <c r="S25" s="62">
        <f>ROUND(R25+($W25-$R25)/5,0)</f>
        <v>4837</v>
      </c>
      <c r="T25" s="62">
        <f>ROUND(S25+($W25-$R25)/5,0)</f>
        <v>4794</v>
      </c>
      <c r="U25" s="62">
        <f>ROUND(T25+($W25-$R25)/5,0)</f>
        <v>4751</v>
      </c>
      <c r="V25" s="62">
        <f>ROUND(U25+($W25-$R25)/5,0)</f>
        <v>4708</v>
      </c>
      <c r="W25" s="673">
        <v>4663</v>
      </c>
      <c r="X25" s="2055"/>
      <c r="Y25" s="2056"/>
    </row>
    <row r="26" spans="1:25" s="693" customFormat="1" ht="21.6" customHeight="1">
      <c r="A26" s="2361"/>
      <c r="B26" s="1952" t="s">
        <v>112</v>
      </c>
      <c r="C26" s="671">
        <f>+'사회적유입인구의 처리구역별 배분(적용)'!E91</f>
        <v>0</v>
      </c>
      <c r="D26" s="671">
        <f>+'사회적유입인구의 처리구역별 배분(적용)'!F91</f>
        <v>0</v>
      </c>
      <c r="E26" s="62">
        <f>+'사회적유입인구의 처리구역별 배분(적용)'!G91</f>
        <v>0</v>
      </c>
      <c r="F26" s="62">
        <f>+'사회적유입인구의 처리구역별 배분(적용)'!H91</f>
        <v>0</v>
      </c>
      <c r="G26" s="62">
        <f>+'사회적유입인구의 처리구역별 배분(적용)'!I91</f>
        <v>236</v>
      </c>
      <c r="H26" s="671">
        <f>+'사회적유입인구의 처리구역별 배분(적용)'!J91</f>
        <v>415</v>
      </c>
      <c r="I26" s="62">
        <f>+'사회적유입인구의 처리구역별 배분(적용)'!K91</f>
        <v>417</v>
      </c>
      <c r="J26" s="62">
        <f>+'사회적유입인구의 처리구역별 배분(적용)'!L91</f>
        <v>419</v>
      </c>
      <c r="K26" s="62">
        <f>+'사회적유입인구의 처리구역별 배분(적용)'!M91</f>
        <v>419</v>
      </c>
      <c r="L26" s="62">
        <f>+'사회적유입인구의 처리구역별 배분(적용)'!N91</f>
        <v>419</v>
      </c>
      <c r="M26" s="671">
        <f>+'사회적유입인구의 처리구역별 배분(적용)'!O91</f>
        <v>419</v>
      </c>
      <c r="N26" s="62">
        <f>+'사회적유입인구의 처리구역별 배분(적용)'!P91</f>
        <v>419</v>
      </c>
      <c r="O26" s="62">
        <f>+'사회적유입인구의 처리구역별 배분(적용)'!Q91</f>
        <v>419</v>
      </c>
      <c r="P26" s="62">
        <f>+'사회적유입인구의 처리구역별 배분(적용)'!R91</f>
        <v>419</v>
      </c>
      <c r="Q26" s="62">
        <f>+'사회적유입인구의 처리구역별 배분(적용)'!S91</f>
        <v>419</v>
      </c>
      <c r="R26" s="671">
        <f>+'사회적유입인구의 처리구역별 배분(적용)'!T91</f>
        <v>419</v>
      </c>
      <c r="S26" s="62">
        <f>+'사회적유입인구의 처리구역별 배분(적용)'!U91</f>
        <v>419</v>
      </c>
      <c r="T26" s="62">
        <f>+'사회적유입인구의 처리구역별 배분(적용)'!V91</f>
        <v>419</v>
      </c>
      <c r="U26" s="62">
        <f>+'사회적유입인구의 처리구역별 배분(적용)'!W91</f>
        <v>419</v>
      </c>
      <c r="V26" s="62">
        <f>+'사회적유입인구의 처리구역별 배분(적용)'!X91</f>
        <v>419</v>
      </c>
      <c r="W26" s="671">
        <f>+'사회적유입인구의 처리구역별 배분(적용)'!Y91</f>
        <v>2750</v>
      </c>
      <c r="X26" s="2055"/>
      <c r="Y26" s="2056"/>
    </row>
    <row r="27" spans="1:25" s="693" customFormat="1" ht="21.6" customHeight="1">
      <c r="A27" s="2361"/>
      <c r="B27" s="1952" t="s">
        <v>7</v>
      </c>
      <c r="C27" s="671">
        <f t="shared" ref="C27:W27" si="7">SUM(C25:C26)</f>
        <v>5351</v>
      </c>
      <c r="D27" s="671">
        <f t="shared" si="7"/>
        <v>5403</v>
      </c>
      <c r="E27" s="62">
        <f t="shared" si="7"/>
        <v>5358</v>
      </c>
      <c r="F27" s="62">
        <f t="shared" si="7"/>
        <v>5313</v>
      </c>
      <c r="G27" s="62">
        <f t="shared" si="7"/>
        <v>5504</v>
      </c>
      <c r="H27" s="671">
        <f t="shared" si="7"/>
        <v>5638</v>
      </c>
      <c r="I27" s="62">
        <f t="shared" si="7"/>
        <v>5611</v>
      </c>
      <c r="J27" s="62">
        <f t="shared" si="7"/>
        <v>5584</v>
      </c>
      <c r="K27" s="62">
        <f t="shared" si="7"/>
        <v>5555</v>
      </c>
      <c r="L27" s="62">
        <f t="shared" si="7"/>
        <v>5526</v>
      </c>
      <c r="M27" s="671">
        <f t="shared" si="7"/>
        <v>5499</v>
      </c>
      <c r="N27" s="62">
        <f t="shared" si="7"/>
        <v>5459</v>
      </c>
      <c r="O27" s="62">
        <f t="shared" si="7"/>
        <v>5419</v>
      </c>
      <c r="P27" s="62">
        <f t="shared" si="7"/>
        <v>5379</v>
      </c>
      <c r="Q27" s="62">
        <f t="shared" si="7"/>
        <v>5339</v>
      </c>
      <c r="R27" s="671">
        <f t="shared" si="7"/>
        <v>5299</v>
      </c>
      <c r="S27" s="62">
        <f t="shared" si="7"/>
        <v>5256</v>
      </c>
      <c r="T27" s="62">
        <f t="shared" si="7"/>
        <v>5213</v>
      </c>
      <c r="U27" s="62">
        <f t="shared" si="7"/>
        <v>5170</v>
      </c>
      <c r="V27" s="62">
        <f t="shared" si="7"/>
        <v>5127</v>
      </c>
      <c r="W27" s="671">
        <f t="shared" si="7"/>
        <v>7413</v>
      </c>
      <c r="X27" s="2055">
        <v>0.4</v>
      </c>
      <c r="Y27" s="2056">
        <f>ROUND(C27*(1-X27),0)</f>
        <v>3211</v>
      </c>
    </row>
    <row r="28" spans="1:25" ht="21.6" customHeight="1">
      <c r="A28" s="2361" t="s">
        <v>644</v>
      </c>
      <c r="B28" s="1952" t="s">
        <v>111</v>
      </c>
      <c r="C28" s="673">
        <v>11390</v>
      </c>
      <c r="D28" s="673">
        <v>11393</v>
      </c>
      <c r="E28" s="62">
        <f>ROUND(D28+($H28-$D28)/4,0)</f>
        <v>11377</v>
      </c>
      <c r="F28" s="62">
        <f>ROUND(E28+($H28-$D28)/4,0)</f>
        <v>11361</v>
      </c>
      <c r="G28" s="62">
        <f>ROUND(F28+($H28-$D28)/4,0)</f>
        <v>11345</v>
      </c>
      <c r="H28" s="673">
        <v>11327</v>
      </c>
      <c r="I28" s="62">
        <f>ROUND(H28+($M28-$H28)/5,0)</f>
        <v>11336</v>
      </c>
      <c r="J28" s="62">
        <f>ROUND(I28+($M28-$H28)/5,0)</f>
        <v>11345</v>
      </c>
      <c r="K28" s="62">
        <f>ROUND(J28+($M28-$H28)/5,0)</f>
        <v>11354</v>
      </c>
      <c r="L28" s="62">
        <f>ROUND(K28+($M28-$H28)/5,0)</f>
        <v>11363</v>
      </c>
      <c r="M28" s="673">
        <v>11374</v>
      </c>
      <c r="N28" s="62">
        <f>ROUND(M28+($R28-$M28)/5,0)</f>
        <v>11360</v>
      </c>
      <c r="O28" s="62">
        <f>ROUND(N28+($R28-$M28)/5,0)</f>
        <v>11346</v>
      </c>
      <c r="P28" s="62">
        <f>ROUND(O28+($R28-$M28)/5,0)</f>
        <v>11332</v>
      </c>
      <c r="Q28" s="62">
        <f>ROUND(P28+($R28-$M28)/5,0)</f>
        <v>11318</v>
      </c>
      <c r="R28" s="673">
        <v>11302</v>
      </c>
      <c r="S28" s="62">
        <f>ROUND(R28+($W28-$R28)/5,0)</f>
        <v>11277</v>
      </c>
      <c r="T28" s="62">
        <f>ROUND(S28+($W28-$R28)/5,0)</f>
        <v>11252</v>
      </c>
      <c r="U28" s="62">
        <f>ROUND(T28+($W28-$R28)/5,0)</f>
        <v>11227</v>
      </c>
      <c r="V28" s="62">
        <f>ROUND(U28+($W28-$R28)/5,0)</f>
        <v>11202</v>
      </c>
      <c r="W28" s="673">
        <v>11178</v>
      </c>
      <c r="X28" s="2057"/>
      <c r="Y28" s="2058"/>
    </row>
    <row r="29" spans="1:25" ht="21.6" customHeight="1">
      <c r="A29" s="2357"/>
      <c r="B29" s="1950" t="s">
        <v>112</v>
      </c>
      <c r="C29" s="2000">
        <f>+'사회적유입인구의 처리구역별 배분(적용)'!E100</f>
        <v>0</v>
      </c>
      <c r="D29" s="2000">
        <f>+'사회적유입인구의 처리구역별 배분(적용)'!F100</f>
        <v>0</v>
      </c>
      <c r="E29" s="2001">
        <f>+'사회적유입인구의 처리구역별 배분(적용)'!G100</f>
        <v>0</v>
      </c>
      <c r="F29" s="2001">
        <f>+'사회적유입인구의 처리구역별 배분(적용)'!H100</f>
        <v>344</v>
      </c>
      <c r="G29" s="2001">
        <f>+'사회적유입인구의 처리구역별 배분(적용)'!I100</f>
        <v>344</v>
      </c>
      <c r="H29" s="2000">
        <f>+'사회적유입인구의 처리구역별 배분(적용)'!J100</f>
        <v>546</v>
      </c>
      <c r="I29" s="2001">
        <f>+'사회적유입인구의 처리구역별 배분(적용)'!K100</f>
        <v>951</v>
      </c>
      <c r="J29" s="2001">
        <f>+'사회적유입인구의 처리구역별 배분(적용)'!L100</f>
        <v>1356</v>
      </c>
      <c r="K29" s="2001">
        <f>+'사회적유입인구의 처리구역별 배분(적용)'!M100</f>
        <v>1356</v>
      </c>
      <c r="L29" s="2001">
        <f>+'사회적유입인구의 처리구역별 배분(적용)'!N100</f>
        <v>1356</v>
      </c>
      <c r="M29" s="2000">
        <f>+'사회적유입인구의 처리구역별 배분(적용)'!O100</f>
        <v>1905</v>
      </c>
      <c r="N29" s="2001">
        <f>+'사회적유입인구의 처리구역별 배분(적용)'!P100</f>
        <v>1905</v>
      </c>
      <c r="O29" s="2001">
        <f>+'사회적유입인구의 처리구역별 배분(적용)'!Q100</f>
        <v>1905</v>
      </c>
      <c r="P29" s="2001">
        <f>+'사회적유입인구의 처리구역별 배분(적용)'!R100</f>
        <v>1905</v>
      </c>
      <c r="Q29" s="2001">
        <f>+'사회적유입인구의 처리구역별 배분(적용)'!S100</f>
        <v>1905</v>
      </c>
      <c r="R29" s="2000">
        <f>+'사회적유입인구의 처리구역별 배분(적용)'!T100</f>
        <v>1905</v>
      </c>
      <c r="S29" s="2001">
        <f>+'사회적유입인구의 처리구역별 배분(적용)'!U100</f>
        <v>1905</v>
      </c>
      <c r="T29" s="2001">
        <f>+'사회적유입인구의 처리구역별 배분(적용)'!V100</f>
        <v>1905</v>
      </c>
      <c r="U29" s="2001">
        <f>+'사회적유입인구의 처리구역별 배분(적용)'!W100</f>
        <v>1905</v>
      </c>
      <c r="V29" s="2001">
        <f>+'사회적유입인구의 처리구역별 배분(적용)'!X100</f>
        <v>1905</v>
      </c>
      <c r="W29" s="2000">
        <f>+'사회적유입인구의 처리구역별 배분(적용)'!Y100</f>
        <v>4609</v>
      </c>
      <c r="X29" s="1577"/>
    </row>
    <row r="30" spans="1:25" ht="21.6" customHeight="1">
      <c r="A30" s="2361"/>
      <c r="B30" s="636" t="s">
        <v>7</v>
      </c>
      <c r="C30" s="671">
        <f t="shared" ref="C30:W30" si="8">SUM(C28:C29)</f>
        <v>11390</v>
      </c>
      <c r="D30" s="671">
        <f t="shared" si="8"/>
        <v>11393</v>
      </c>
      <c r="E30" s="62">
        <f t="shared" si="8"/>
        <v>11377</v>
      </c>
      <c r="F30" s="62">
        <f t="shared" si="8"/>
        <v>11705</v>
      </c>
      <c r="G30" s="62">
        <f t="shared" si="8"/>
        <v>11689</v>
      </c>
      <c r="H30" s="671">
        <f t="shared" si="8"/>
        <v>11873</v>
      </c>
      <c r="I30" s="62">
        <f t="shared" si="8"/>
        <v>12287</v>
      </c>
      <c r="J30" s="62">
        <f t="shared" si="8"/>
        <v>12701</v>
      </c>
      <c r="K30" s="62">
        <f t="shared" si="8"/>
        <v>12710</v>
      </c>
      <c r="L30" s="62">
        <f t="shared" si="8"/>
        <v>12719</v>
      </c>
      <c r="M30" s="671">
        <f t="shared" si="8"/>
        <v>13279</v>
      </c>
      <c r="N30" s="62">
        <f t="shared" si="8"/>
        <v>13265</v>
      </c>
      <c r="O30" s="62">
        <f t="shared" si="8"/>
        <v>13251</v>
      </c>
      <c r="P30" s="62">
        <f t="shared" si="8"/>
        <v>13237</v>
      </c>
      <c r="Q30" s="62">
        <f t="shared" si="8"/>
        <v>13223</v>
      </c>
      <c r="R30" s="671">
        <f t="shared" si="8"/>
        <v>13207</v>
      </c>
      <c r="S30" s="62">
        <f t="shared" si="8"/>
        <v>13182</v>
      </c>
      <c r="T30" s="62">
        <f t="shared" si="8"/>
        <v>13157</v>
      </c>
      <c r="U30" s="62">
        <f t="shared" si="8"/>
        <v>13132</v>
      </c>
      <c r="V30" s="62">
        <f t="shared" si="8"/>
        <v>13107</v>
      </c>
      <c r="W30" s="671">
        <f t="shared" si="8"/>
        <v>15787</v>
      </c>
      <c r="X30" s="1577">
        <v>0.68700000000000006</v>
      </c>
      <c r="Y30" s="693">
        <f>ROUND(C30*(1-X30),0)</f>
        <v>3565</v>
      </c>
    </row>
    <row r="31" spans="1:25" ht="21.6" customHeight="1">
      <c r="A31" s="2361" t="s">
        <v>135</v>
      </c>
      <c r="B31" s="636" t="s">
        <v>111</v>
      </c>
      <c r="C31" s="671"/>
      <c r="D31" s="671"/>
      <c r="E31" s="62"/>
      <c r="F31" s="62"/>
      <c r="G31" s="62"/>
      <c r="H31" s="671"/>
      <c r="I31" s="62"/>
      <c r="J31" s="62"/>
      <c r="K31" s="62"/>
      <c r="L31" s="62"/>
      <c r="M31" s="671"/>
      <c r="N31" s="62"/>
      <c r="O31" s="62"/>
      <c r="P31" s="62"/>
      <c r="Q31" s="62"/>
      <c r="R31" s="671"/>
      <c r="S31" s="62"/>
      <c r="T31" s="62"/>
      <c r="U31" s="62"/>
      <c r="V31" s="62"/>
      <c r="W31" s="671"/>
      <c r="X31" s="1577"/>
    </row>
    <row r="32" spans="1:25" ht="21.6" customHeight="1">
      <c r="A32" s="2361"/>
      <c r="B32" s="636" t="s">
        <v>112</v>
      </c>
      <c r="C32" s="671">
        <f>+'사회적유입인구의 처리구역별 배분(적용)'!E103</f>
        <v>0</v>
      </c>
      <c r="D32" s="671">
        <f>+'사회적유입인구의 처리구역별 배분(적용)'!F103</f>
        <v>7477</v>
      </c>
      <c r="E32" s="62">
        <f>+'사회적유입인구의 처리구역별 배분(적용)'!G103</f>
        <v>8665</v>
      </c>
      <c r="F32" s="62">
        <f>+'사회적유입인구의 처리구역별 배분(적용)'!H103</f>
        <v>9853</v>
      </c>
      <c r="G32" s="62">
        <f>+'사회적유입인구의 처리구역별 배분(적용)'!I103</f>
        <v>11041</v>
      </c>
      <c r="H32" s="671">
        <f>+'사회적유입인구의 처리구역별 배분(적용)'!J103</f>
        <v>12230</v>
      </c>
      <c r="I32" s="62">
        <f>+'사회적유입인구의 처리구역별 배분(적용)'!K103</f>
        <v>12230</v>
      </c>
      <c r="J32" s="62">
        <f>+'사회적유입인구의 처리구역별 배분(적용)'!L103</f>
        <v>12230</v>
      </c>
      <c r="K32" s="62">
        <f>+'사회적유입인구의 처리구역별 배분(적용)'!M103</f>
        <v>12230</v>
      </c>
      <c r="L32" s="62">
        <f>+'사회적유입인구의 처리구역별 배분(적용)'!N103</f>
        <v>12230</v>
      </c>
      <c r="M32" s="671">
        <f>+'사회적유입인구의 처리구역별 배분(적용)'!O103</f>
        <v>12230</v>
      </c>
      <c r="N32" s="62">
        <f>+'사회적유입인구의 처리구역별 배분(적용)'!P103</f>
        <v>12230</v>
      </c>
      <c r="O32" s="62">
        <f>+'사회적유입인구의 처리구역별 배분(적용)'!Q103</f>
        <v>12230</v>
      </c>
      <c r="P32" s="62">
        <f>+'사회적유입인구의 처리구역별 배분(적용)'!R103</f>
        <v>12230</v>
      </c>
      <c r="Q32" s="62">
        <f>+'사회적유입인구의 처리구역별 배분(적용)'!S103</f>
        <v>12230</v>
      </c>
      <c r="R32" s="671">
        <f>+'사회적유입인구의 처리구역별 배분(적용)'!T103</f>
        <v>12230</v>
      </c>
      <c r="S32" s="62">
        <f>+'사회적유입인구의 처리구역별 배분(적용)'!U103</f>
        <v>12230</v>
      </c>
      <c r="T32" s="62">
        <f>+'사회적유입인구의 처리구역별 배분(적용)'!V103</f>
        <v>12230</v>
      </c>
      <c r="U32" s="62">
        <f>+'사회적유입인구의 처리구역별 배분(적용)'!W103</f>
        <v>12230</v>
      </c>
      <c r="V32" s="62">
        <f>+'사회적유입인구의 처리구역별 배분(적용)'!X103</f>
        <v>12230</v>
      </c>
      <c r="W32" s="671">
        <f>+'사회적유입인구의 처리구역별 배분(적용)'!Y103</f>
        <v>12230</v>
      </c>
      <c r="X32" s="1577"/>
    </row>
    <row r="33" spans="1:24" ht="21.6" customHeight="1">
      <c r="A33" s="2361"/>
      <c r="B33" s="636" t="s">
        <v>7</v>
      </c>
      <c r="C33" s="671">
        <f t="shared" ref="C33:W33" si="9">SUM(C31:C32)</f>
        <v>0</v>
      </c>
      <c r="D33" s="671">
        <f t="shared" si="9"/>
        <v>7477</v>
      </c>
      <c r="E33" s="62">
        <f t="shared" si="9"/>
        <v>8665</v>
      </c>
      <c r="F33" s="62">
        <f t="shared" si="9"/>
        <v>9853</v>
      </c>
      <c r="G33" s="62">
        <f t="shared" si="9"/>
        <v>11041</v>
      </c>
      <c r="H33" s="671">
        <f t="shared" si="9"/>
        <v>12230</v>
      </c>
      <c r="I33" s="62">
        <f t="shared" si="9"/>
        <v>12230</v>
      </c>
      <c r="J33" s="62">
        <f t="shared" si="9"/>
        <v>12230</v>
      </c>
      <c r="K33" s="62">
        <f t="shared" si="9"/>
        <v>12230</v>
      </c>
      <c r="L33" s="62">
        <f t="shared" si="9"/>
        <v>12230</v>
      </c>
      <c r="M33" s="671">
        <f t="shared" si="9"/>
        <v>12230</v>
      </c>
      <c r="N33" s="62">
        <f t="shared" si="9"/>
        <v>12230</v>
      </c>
      <c r="O33" s="62">
        <f t="shared" si="9"/>
        <v>12230</v>
      </c>
      <c r="P33" s="62">
        <f t="shared" si="9"/>
        <v>12230</v>
      </c>
      <c r="Q33" s="62">
        <f t="shared" si="9"/>
        <v>12230</v>
      </c>
      <c r="R33" s="671">
        <f t="shared" si="9"/>
        <v>12230</v>
      </c>
      <c r="S33" s="62">
        <f t="shared" si="9"/>
        <v>12230</v>
      </c>
      <c r="T33" s="62">
        <f t="shared" si="9"/>
        <v>12230</v>
      </c>
      <c r="U33" s="62">
        <f t="shared" si="9"/>
        <v>12230</v>
      </c>
      <c r="V33" s="62">
        <f t="shared" si="9"/>
        <v>12230</v>
      </c>
      <c r="W33" s="671">
        <f t="shared" si="9"/>
        <v>12230</v>
      </c>
      <c r="X33" s="1577"/>
    </row>
    <row r="34" spans="1:24" ht="21.6" customHeight="1">
      <c r="A34" s="2361" t="s">
        <v>113</v>
      </c>
      <c r="B34" s="636" t="s">
        <v>111</v>
      </c>
      <c r="C34" s="671">
        <f>SUM(C4,C7,C10,C13,C16,C19,C28,C31,C22,C25)</f>
        <v>104316</v>
      </c>
      <c r="D34" s="671">
        <f t="shared" ref="D34:W34" si="10">SUM(D4,D7,D10,D13,D16,D19,D28,D31,D22,D25)</f>
        <v>106419</v>
      </c>
      <c r="E34" s="62">
        <f t="shared" si="10"/>
        <v>106394</v>
      </c>
      <c r="F34" s="62">
        <f t="shared" si="10"/>
        <v>106369</v>
      </c>
      <c r="G34" s="62">
        <f t="shared" si="10"/>
        <v>105001</v>
      </c>
      <c r="H34" s="671">
        <f t="shared" si="10"/>
        <v>106267</v>
      </c>
      <c r="I34" s="62">
        <f t="shared" si="10"/>
        <v>106423</v>
      </c>
      <c r="J34" s="62">
        <f t="shared" si="10"/>
        <v>106579</v>
      </c>
      <c r="K34" s="62">
        <f t="shared" si="10"/>
        <v>106735</v>
      </c>
      <c r="L34" s="62">
        <f t="shared" si="10"/>
        <v>106891</v>
      </c>
      <c r="M34" s="671">
        <f t="shared" si="10"/>
        <v>107048</v>
      </c>
      <c r="N34" s="62">
        <f t="shared" si="10"/>
        <v>107008</v>
      </c>
      <c r="O34" s="62">
        <f t="shared" si="10"/>
        <v>106968</v>
      </c>
      <c r="P34" s="62">
        <f t="shared" si="10"/>
        <v>106928</v>
      </c>
      <c r="Q34" s="62">
        <f t="shared" si="10"/>
        <v>106888</v>
      </c>
      <c r="R34" s="671">
        <f t="shared" si="10"/>
        <v>106842</v>
      </c>
      <c r="S34" s="62">
        <f t="shared" si="10"/>
        <v>106714</v>
      </c>
      <c r="T34" s="62">
        <f t="shared" si="10"/>
        <v>106586</v>
      </c>
      <c r="U34" s="62">
        <f t="shared" si="10"/>
        <v>106458</v>
      </c>
      <c r="V34" s="62">
        <f t="shared" si="10"/>
        <v>106330</v>
      </c>
      <c r="W34" s="671">
        <f t="shared" si="10"/>
        <v>106209</v>
      </c>
      <c r="X34" s="1577"/>
    </row>
    <row r="35" spans="1:24" ht="21.6" customHeight="1">
      <c r="A35" s="2361"/>
      <c r="B35" s="636" t="s">
        <v>112</v>
      </c>
      <c r="C35" s="671">
        <f>SUM(C5,C8,C11,C14,C17,C20,C29,C32,C23,C26)</f>
        <v>0</v>
      </c>
      <c r="D35" s="671">
        <f t="shared" ref="D35:W35" si="11">SUM(D5,D8,D11,D14,D17,D20,D29,D32,D23,D26)</f>
        <v>7477</v>
      </c>
      <c r="E35" s="62">
        <f t="shared" si="11"/>
        <v>9456</v>
      </c>
      <c r="F35" s="62">
        <f t="shared" si="11"/>
        <v>11673</v>
      </c>
      <c r="G35" s="62">
        <f t="shared" si="11"/>
        <v>13406</v>
      </c>
      <c r="H35" s="671">
        <f t="shared" si="11"/>
        <v>21134</v>
      </c>
      <c r="I35" s="62">
        <f t="shared" si="11"/>
        <v>21656</v>
      </c>
      <c r="J35" s="62">
        <f t="shared" si="11"/>
        <v>22063</v>
      </c>
      <c r="K35" s="62">
        <f t="shared" si="11"/>
        <v>22063</v>
      </c>
      <c r="L35" s="62">
        <f t="shared" si="11"/>
        <v>22063</v>
      </c>
      <c r="M35" s="671">
        <f t="shared" si="11"/>
        <v>24612</v>
      </c>
      <c r="N35" s="62">
        <f t="shared" si="11"/>
        <v>24612</v>
      </c>
      <c r="O35" s="62">
        <f t="shared" si="11"/>
        <v>24612</v>
      </c>
      <c r="P35" s="62">
        <f t="shared" si="11"/>
        <v>24612</v>
      </c>
      <c r="Q35" s="62">
        <f t="shared" si="11"/>
        <v>24612</v>
      </c>
      <c r="R35" s="671">
        <f t="shared" si="11"/>
        <v>26253</v>
      </c>
      <c r="S35" s="62">
        <f t="shared" si="11"/>
        <v>26253</v>
      </c>
      <c r="T35" s="62">
        <f t="shared" si="11"/>
        <v>26253</v>
      </c>
      <c r="U35" s="62">
        <f t="shared" si="11"/>
        <v>26253</v>
      </c>
      <c r="V35" s="62">
        <f t="shared" si="11"/>
        <v>26253</v>
      </c>
      <c r="W35" s="671">
        <f t="shared" si="11"/>
        <v>52349</v>
      </c>
      <c r="X35" s="1577"/>
    </row>
    <row r="36" spans="1:24" ht="21.6" customHeight="1">
      <c r="A36" s="2361"/>
      <c r="B36" s="636" t="s">
        <v>7</v>
      </c>
      <c r="C36" s="671">
        <f t="shared" ref="C36:W36" si="12">SUM(C34:C35)</f>
        <v>104316</v>
      </c>
      <c r="D36" s="671">
        <f t="shared" si="12"/>
        <v>113896</v>
      </c>
      <c r="E36" s="637">
        <f t="shared" si="12"/>
        <v>115850</v>
      </c>
      <c r="F36" s="637">
        <f t="shared" si="12"/>
        <v>118042</v>
      </c>
      <c r="G36" s="637">
        <f t="shared" si="12"/>
        <v>118407</v>
      </c>
      <c r="H36" s="671">
        <f t="shared" si="12"/>
        <v>127401</v>
      </c>
      <c r="I36" s="62">
        <f t="shared" si="12"/>
        <v>128079</v>
      </c>
      <c r="J36" s="62">
        <f t="shared" si="12"/>
        <v>128642</v>
      </c>
      <c r="K36" s="62">
        <f t="shared" si="12"/>
        <v>128798</v>
      </c>
      <c r="L36" s="62">
        <f t="shared" si="12"/>
        <v>128954</v>
      </c>
      <c r="M36" s="671">
        <f t="shared" si="12"/>
        <v>131660</v>
      </c>
      <c r="N36" s="62">
        <f t="shared" si="12"/>
        <v>131620</v>
      </c>
      <c r="O36" s="62">
        <f t="shared" si="12"/>
        <v>131580</v>
      </c>
      <c r="P36" s="62">
        <f t="shared" si="12"/>
        <v>131540</v>
      </c>
      <c r="Q36" s="62">
        <f t="shared" si="12"/>
        <v>131500</v>
      </c>
      <c r="R36" s="671">
        <f t="shared" si="12"/>
        <v>133095</v>
      </c>
      <c r="S36" s="62">
        <f t="shared" si="12"/>
        <v>132967</v>
      </c>
      <c r="T36" s="62">
        <f t="shared" si="12"/>
        <v>132839</v>
      </c>
      <c r="U36" s="62">
        <f t="shared" si="12"/>
        <v>132711</v>
      </c>
      <c r="V36" s="62">
        <f t="shared" si="12"/>
        <v>132583</v>
      </c>
      <c r="W36" s="671">
        <f t="shared" si="12"/>
        <v>158558</v>
      </c>
      <c r="X36" s="1577"/>
    </row>
    <row r="37" spans="1:24" s="693" customFormat="1" ht="21.6" customHeight="1">
      <c r="A37" s="1572"/>
      <c r="B37" s="1578"/>
      <c r="C37" s="1579"/>
      <c r="D37" s="1579"/>
      <c r="E37" s="1205"/>
      <c r="F37" s="1205"/>
      <c r="G37" s="1205"/>
      <c r="H37" s="1579"/>
      <c r="I37" s="1580"/>
      <c r="J37" s="1580"/>
      <c r="K37" s="1580"/>
      <c r="L37" s="1580"/>
      <c r="M37" s="1579"/>
      <c r="N37" s="1580"/>
      <c r="O37" s="1580"/>
      <c r="P37" s="1580"/>
      <c r="Q37" s="1580"/>
      <c r="R37" s="1579"/>
      <c r="S37" s="1580"/>
      <c r="T37" s="1580"/>
      <c r="U37" s="1580"/>
      <c r="V37" s="1580"/>
      <c r="W37" s="1579"/>
      <c r="X37" s="1577"/>
    </row>
    <row r="38" spans="1:24" ht="15" customHeight="1">
      <c r="A38" s="1572" t="s">
        <v>636</v>
      </c>
      <c r="N38" s="57"/>
      <c r="O38" s="57"/>
      <c r="P38" s="57"/>
      <c r="Q38" s="57"/>
      <c r="X38" s="1576"/>
    </row>
    <row r="39" spans="1:24" ht="15" customHeight="1">
      <c r="A39" s="1572" t="s">
        <v>667</v>
      </c>
    </row>
    <row r="40" spans="1:24" ht="15" customHeight="1">
      <c r="A40" s="1572" t="s">
        <v>668</v>
      </c>
    </row>
    <row r="41" spans="1:24" ht="15" customHeight="1">
      <c r="A41" s="1572" t="s">
        <v>669</v>
      </c>
    </row>
    <row r="42" spans="1:24" ht="15" customHeight="1">
      <c r="A42" s="1572" t="s">
        <v>670</v>
      </c>
    </row>
    <row r="43" spans="1:24" ht="15" customHeight="1">
      <c r="A43" s="1572" t="s">
        <v>671</v>
      </c>
    </row>
    <row r="44" spans="1:24" ht="15" customHeight="1">
      <c r="A44" s="1572" t="s">
        <v>672</v>
      </c>
    </row>
    <row r="45" spans="1:24" ht="15" customHeight="1">
      <c r="A45" s="1572" t="s">
        <v>673</v>
      </c>
    </row>
    <row r="46" spans="1:24" ht="15" customHeight="1">
      <c r="A46" s="1572" t="s">
        <v>644</v>
      </c>
    </row>
    <row r="47" spans="1:24" ht="15" customHeight="1">
      <c r="A47" s="1572" t="s">
        <v>135</v>
      </c>
    </row>
  </sheetData>
  <mergeCells count="12">
    <mergeCell ref="A3:B3"/>
    <mergeCell ref="A4:A6"/>
    <mergeCell ref="A16:A18"/>
    <mergeCell ref="A19:A21"/>
    <mergeCell ref="A34:A36"/>
    <mergeCell ref="A7:A9"/>
    <mergeCell ref="A10:A12"/>
    <mergeCell ref="A13:A15"/>
    <mergeCell ref="A28:A30"/>
    <mergeCell ref="A31:A33"/>
    <mergeCell ref="A22:A24"/>
    <mergeCell ref="A25:A27"/>
  </mergeCells>
  <phoneticPr fontId="3" type="noConversion"/>
  <pageMargins left="0.74803149606299213" right="0.74803149606299213" top="0.98425196850393704" bottom="0.98425196850393704" header="0.51181102362204722" footer="0.51181102362204722"/>
  <pageSetup paperSize="9" scale="6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Y28"/>
  <sheetViews>
    <sheetView view="pageBreakPreview" zoomScale="85" zoomScaleNormal="100" zoomScaleSheetLayoutView="85" workbookViewId="0">
      <selection activeCell="M3" sqref="M3"/>
    </sheetView>
  </sheetViews>
  <sheetFormatPr defaultRowHeight="16.5" outlineLevelRow="1" outlineLevelCol="1"/>
  <cols>
    <col min="3" max="3" width="15.625" style="599" hidden="1" customWidth="1" outlineLevel="1"/>
    <col min="4" max="4" width="15.625" style="599" customWidth="1" collapsed="1"/>
    <col min="5" max="5" width="10.125" hidden="1" customWidth="1" outlineLevel="1"/>
    <col min="6" max="6" width="15.625" hidden="1" customWidth="1" outlineLevel="1"/>
    <col min="7" max="7" width="10.125" hidden="1" customWidth="1" outlineLevel="1"/>
    <col min="8" max="8" width="15.625" customWidth="1" collapsed="1"/>
    <col min="9" max="10" width="10.125" hidden="1" customWidth="1" outlineLevel="1"/>
    <col min="11" max="11" width="15.625" hidden="1" customWidth="1" outlineLevel="1"/>
    <col min="12" max="12" width="10.125" hidden="1" customWidth="1" outlineLevel="1"/>
    <col min="13" max="13" width="15.625" customWidth="1" collapsed="1"/>
    <col min="14" max="15" width="10.125" hidden="1" customWidth="1" outlineLevel="1"/>
    <col min="16" max="16" width="15.625" hidden="1" customWidth="1" outlineLevel="1"/>
    <col min="17" max="17" width="10.125" hidden="1" customWidth="1" outlineLevel="1"/>
    <col min="18" max="18" width="15.625" customWidth="1" collapsed="1"/>
    <col min="19" max="20" width="10.125" hidden="1" customWidth="1" outlineLevel="1"/>
    <col min="21" max="21" width="15.625" hidden="1" customWidth="1" outlineLevel="1"/>
    <col min="22" max="22" width="10.125" hidden="1" customWidth="1" outlineLevel="1"/>
    <col min="23" max="23" width="15.625" customWidth="1" collapsed="1"/>
  </cols>
  <sheetData>
    <row r="1" spans="1:25">
      <c r="A1" s="601" t="s">
        <v>1502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599"/>
      <c r="M1" s="599"/>
      <c r="N1" s="599"/>
      <c r="O1" s="599"/>
      <c r="P1" s="599"/>
      <c r="Q1" s="599"/>
      <c r="R1" s="599"/>
      <c r="S1" s="599"/>
      <c r="T1" s="599"/>
      <c r="U1" s="599"/>
    </row>
    <row r="2" spans="1:25">
      <c r="A2" s="600"/>
      <c r="B2" s="600"/>
      <c r="C2" s="600"/>
      <c r="D2" s="600"/>
      <c r="E2" s="600"/>
      <c r="F2" s="600"/>
      <c r="G2" s="600"/>
      <c r="H2" s="600"/>
      <c r="I2" s="600"/>
      <c r="J2" s="600"/>
      <c r="K2" s="600"/>
      <c r="L2" s="599"/>
      <c r="M2" s="599"/>
      <c r="N2" s="599"/>
      <c r="O2" s="599"/>
      <c r="P2" s="599"/>
      <c r="Q2" s="599"/>
      <c r="R2" s="599"/>
      <c r="S2" s="599"/>
      <c r="T2" s="599"/>
      <c r="U2" s="599"/>
    </row>
    <row r="3" spans="1:25" ht="45" customHeight="1">
      <c r="A3" s="2363" t="s">
        <v>425</v>
      </c>
      <c r="B3" s="2363"/>
      <c r="C3" s="1953" t="s">
        <v>1133</v>
      </c>
      <c r="D3" s="1953" t="s">
        <v>1221</v>
      </c>
      <c r="E3" s="1953" t="s">
        <v>102</v>
      </c>
      <c r="F3" s="1953" t="s">
        <v>103</v>
      </c>
      <c r="G3" s="1953" t="s">
        <v>104</v>
      </c>
      <c r="H3" s="1953" t="s">
        <v>105</v>
      </c>
      <c r="I3" s="1953" t="s">
        <v>106</v>
      </c>
      <c r="J3" s="1953" t="s">
        <v>107</v>
      </c>
      <c r="K3" s="1953" t="s">
        <v>108</v>
      </c>
      <c r="L3" s="1953" t="s">
        <v>109</v>
      </c>
      <c r="M3" s="1953" t="s">
        <v>110</v>
      </c>
      <c r="N3" s="1953" t="s">
        <v>114</v>
      </c>
      <c r="O3" s="1953" t="s">
        <v>115</v>
      </c>
      <c r="P3" s="1953" t="s">
        <v>116</v>
      </c>
      <c r="Q3" s="1953" t="s">
        <v>117</v>
      </c>
      <c r="R3" s="1953" t="s">
        <v>118</v>
      </c>
      <c r="S3" s="1953" t="s">
        <v>119</v>
      </c>
      <c r="T3" s="1953" t="s">
        <v>120</v>
      </c>
      <c r="U3" s="1953" t="s">
        <v>121</v>
      </c>
      <c r="V3" s="1953" t="s">
        <v>122</v>
      </c>
      <c r="W3" s="1953" t="s">
        <v>123</v>
      </c>
      <c r="X3" s="2034"/>
      <c r="Y3" s="2035"/>
    </row>
    <row r="4" spans="1:25" ht="45" customHeight="1">
      <c r="A4" s="2362" t="s">
        <v>700</v>
      </c>
      <c r="B4" s="2362"/>
      <c r="C4" s="598">
        <f t="shared" ref="C4" si="0">SUM(C5:C13)</f>
        <v>104316</v>
      </c>
      <c r="D4" s="598">
        <f>SUM(D5:D13)</f>
        <v>106419</v>
      </c>
      <c r="E4" s="598">
        <f t="shared" ref="E4:V4" si="1">SUM(E5:E13)</f>
        <v>104399</v>
      </c>
      <c r="F4" s="598">
        <f t="shared" si="1"/>
        <v>104234</v>
      </c>
      <c r="G4" s="598">
        <f t="shared" si="1"/>
        <v>102610</v>
      </c>
      <c r="H4" s="598">
        <f t="shared" si="1"/>
        <v>112555</v>
      </c>
      <c r="I4" s="598">
        <f t="shared" si="1"/>
        <v>113233</v>
      </c>
      <c r="J4" s="598">
        <f t="shared" si="1"/>
        <v>113796</v>
      </c>
      <c r="K4" s="598">
        <f t="shared" si="1"/>
        <v>113952</v>
      </c>
      <c r="L4" s="598">
        <f t="shared" si="1"/>
        <v>114108</v>
      </c>
      <c r="M4" s="598">
        <f t="shared" si="1"/>
        <v>115530</v>
      </c>
      <c r="N4" s="598">
        <f t="shared" si="1"/>
        <v>115608</v>
      </c>
      <c r="O4" s="598">
        <f t="shared" si="1"/>
        <v>115568</v>
      </c>
      <c r="P4" s="598">
        <f t="shared" si="1"/>
        <v>115528</v>
      </c>
      <c r="Q4" s="598">
        <f t="shared" si="1"/>
        <v>115488</v>
      </c>
      <c r="R4" s="598">
        <f t="shared" si="1"/>
        <v>116965</v>
      </c>
      <c r="S4" s="598">
        <f t="shared" si="1"/>
        <v>116837</v>
      </c>
      <c r="T4" s="598">
        <f t="shared" si="1"/>
        <v>116709</v>
      </c>
      <c r="U4" s="598">
        <f t="shared" si="1"/>
        <v>116581</v>
      </c>
      <c r="V4" s="598">
        <f t="shared" si="1"/>
        <v>116453</v>
      </c>
      <c r="W4" s="598">
        <f>SUM(W5:W13)</f>
        <v>138243</v>
      </c>
      <c r="X4" s="8"/>
      <c r="Y4" s="133"/>
    </row>
    <row r="5" spans="1:25" ht="45" customHeight="1">
      <c r="A5" s="2362" t="s">
        <v>712</v>
      </c>
      <c r="B5" s="2362"/>
      <c r="C5" s="598">
        <f>+'1.4.조성법총괄(내부이동률 적용)'!C10</f>
        <v>18986</v>
      </c>
      <c r="D5" s="598">
        <f>+'1.4.조성법총괄(내부이동률 적용)'!D10</f>
        <v>19057</v>
      </c>
      <c r="E5" s="598">
        <f>+'1.4.조성법총괄(내부이동률 적용)'!E10</f>
        <v>18683</v>
      </c>
      <c r="F5" s="598">
        <f>+'1.4.조성법총괄(내부이동률 적용)'!F10</f>
        <v>18435</v>
      </c>
      <c r="G5" s="598">
        <f>+'1.4.조성법총괄(내부이동률 적용)'!G10</f>
        <v>18393</v>
      </c>
      <c r="H5" s="598">
        <f>+'1.4.조성법총괄(내부이동률 적용)'!H10</f>
        <v>17861</v>
      </c>
      <c r="I5" s="598">
        <f>+'1.4.조성법총괄(내부이동률 적용)'!I10</f>
        <v>17857</v>
      </c>
      <c r="J5" s="598">
        <f>+'1.4.조성법총괄(내부이동률 적용)'!J10</f>
        <v>17853</v>
      </c>
      <c r="K5" s="598">
        <f>+'1.4.조성법총괄(내부이동률 적용)'!K10</f>
        <v>17849</v>
      </c>
      <c r="L5" s="598">
        <f>+'1.4.조성법총괄(내부이동률 적용)'!L10</f>
        <v>17845</v>
      </c>
      <c r="M5" s="598">
        <f>+'1.4.조성법총괄(내부이동률 적용)'!M10</f>
        <v>17839</v>
      </c>
      <c r="N5" s="598">
        <f>+'1.4.조성법총괄(내부이동률 적용)'!N10</f>
        <v>17812</v>
      </c>
      <c r="O5" s="598">
        <f>+'1.4.조성법총괄(내부이동률 적용)'!O10</f>
        <v>17785</v>
      </c>
      <c r="P5" s="598">
        <f>+'1.4.조성법총괄(내부이동률 적용)'!P10</f>
        <v>17758</v>
      </c>
      <c r="Q5" s="598">
        <f>+'1.4.조성법총괄(내부이동률 적용)'!Q10</f>
        <v>17731</v>
      </c>
      <c r="R5" s="598">
        <f>+'1.4.조성법총괄(내부이동률 적용)'!R10</f>
        <v>17702</v>
      </c>
      <c r="S5" s="598">
        <f>+'1.4.조성법총괄(내부이동률 적용)'!S10</f>
        <v>17654</v>
      </c>
      <c r="T5" s="598">
        <f>+'1.4.조성법총괄(내부이동률 적용)'!T10</f>
        <v>17606</v>
      </c>
      <c r="U5" s="598">
        <f>+'1.4.조성법총괄(내부이동률 적용)'!U10</f>
        <v>17558</v>
      </c>
      <c r="V5" s="598">
        <f>+'1.4.조성법총괄(내부이동률 적용)'!V10</f>
        <v>17510</v>
      </c>
      <c r="W5" s="598">
        <f>+'1.4.조성법총괄(내부이동률 적용)'!W10</f>
        <v>21608</v>
      </c>
      <c r="X5" s="8"/>
      <c r="Y5" s="133"/>
    </row>
    <row r="6" spans="1:25" ht="45" customHeight="1">
      <c r="A6" s="2362" t="s">
        <v>713</v>
      </c>
      <c r="B6" s="2362"/>
      <c r="C6" s="598">
        <f>+'1.4.조성법총괄(내부이동률 적용)'!C17</f>
        <v>23334</v>
      </c>
      <c r="D6" s="598">
        <f>+'1.4.조성법총괄(내부이동률 적용)'!D17</f>
        <v>23398</v>
      </c>
      <c r="E6" s="598">
        <f>+'1.4.조성법총괄(내부이동률 적용)'!E17</f>
        <v>23626</v>
      </c>
      <c r="F6" s="598">
        <f>+'1.4.조성법총괄(내부이동률 적용)'!F17</f>
        <v>23662</v>
      </c>
      <c r="G6" s="598">
        <f>+'1.4.조성법총괄(내부이동률 적용)'!G17</f>
        <v>23698</v>
      </c>
      <c r="H6" s="598">
        <f>+'1.4.조성법총괄(내부이동률 적용)'!H17</f>
        <v>25066</v>
      </c>
      <c r="I6" s="598">
        <f>+'1.4.조성법총괄(내부이동률 적용)'!I17</f>
        <v>25139</v>
      </c>
      <c r="J6" s="598">
        <f>+'1.4.조성법총괄(내부이동률 적용)'!J17</f>
        <v>25212</v>
      </c>
      <c r="K6" s="598">
        <f>+'1.4.조성법총괄(내부이동률 적용)'!K17</f>
        <v>25285</v>
      </c>
      <c r="L6" s="598">
        <f>+'1.4.조성법총괄(내부이동률 적용)'!L17</f>
        <v>25358</v>
      </c>
      <c r="M6" s="598">
        <f>+'1.4.조성법총괄(내부이동률 적용)'!M17</f>
        <v>25687</v>
      </c>
      <c r="N6" s="598">
        <f>+'1.4.조성법총괄(내부이동률 적용)'!N17</f>
        <v>25733</v>
      </c>
      <c r="O6" s="598">
        <f>+'1.4.조성법총괄(내부이동률 적용)'!O17</f>
        <v>25779</v>
      </c>
      <c r="P6" s="598">
        <f>+'1.4.조성법총괄(내부이동률 적용)'!P17</f>
        <v>25825</v>
      </c>
      <c r="Q6" s="598">
        <f>+'1.4.조성법총괄(내부이동률 적용)'!Q17</f>
        <v>25871</v>
      </c>
      <c r="R6" s="598">
        <f>+'1.4.조성법총괄(내부이동률 적용)'!R17</f>
        <v>25915</v>
      </c>
      <c r="S6" s="598">
        <f>+'1.4.조성법총괄(내부이동률 적용)'!S17</f>
        <v>25951</v>
      </c>
      <c r="T6" s="598">
        <f>+'1.4.조성법총괄(내부이동률 적용)'!T17</f>
        <v>25987</v>
      </c>
      <c r="U6" s="598">
        <f>+'1.4.조성법총괄(내부이동률 적용)'!U17</f>
        <v>26023</v>
      </c>
      <c r="V6" s="598">
        <f>+'1.4.조성법총괄(내부이동률 적용)'!V17</f>
        <v>26059</v>
      </c>
      <c r="W6" s="598">
        <f>+'1.4.조성법총괄(내부이동률 적용)'!W17</f>
        <v>30985</v>
      </c>
      <c r="X6" s="8"/>
      <c r="Y6" s="133"/>
    </row>
    <row r="7" spans="1:25" ht="45" customHeight="1">
      <c r="A7" s="2362" t="s">
        <v>714</v>
      </c>
      <c r="B7" s="2362"/>
      <c r="C7" s="598">
        <f>+'1.4.조성법총괄(내부이동률 적용)'!C24</f>
        <v>3221</v>
      </c>
      <c r="D7" s="598">
        <f>+'1.4.조성법총괄(내부이동률 적용)'!D24</f>
        <v>3240</v>
      </c>
      <c r="E7" s="598">
        <f>+'1.4.조성법총괄(내부이동률 적용)'!E24</f>
        <v>3148</v>
      </c>
      <c r="F7" s="598">
        <f>+'1.4.조성법총괄(내부이동률 적용)'!F24</f>
        <v>3087</v>
      </c>
      <c r="G7" s="598">
        <f>+'1.4.조성법총괄(내부이동률 적용)'!G24</f>
        <v>2999</v>
      </c>
      <c r="H7" s="598">
        <f>+'1.4.조성법총괄(내부이동률 적용)'!H24</f>
        <v>2849</v>
      </c>
      <c r="I7" s="598">
        <f>+'1.4.조성법총괄(내부이동률 적용)'!I24</f>
        <v>2822</v>
      </c>
      <c r="J7" s="598">
        <f>+'1.4.조성법총괄(내부이동률 적용)'!J24</f>
        <v>2795</v>
      </c>
      <c r="K7" s="598">
        <f>+'1.4.조성법총괄(내부이동률 적용)'!K24</f>
        <v>2768</v>
      </c>
      <c r="L7" s="598">
        <f>+'1.4.조성법총괄(내부이동률 적용)'!L24</f>
        <v>2741</v>
      </c>
      <c r="M7" s="598">
        <f>+'1.4.조성법총괄(내부이동률 적용)'!M24</f>
        <v>2635</v>
      </c>
      <c r="N7" s="598">
        <f>+'1.4.조성법총괄(내부이동률 적용)'!N24</f>
        <v>2592</v>
      </c>
      <c r="O7" s="598">
        <f>+'1.4.조성법총괄(내부이동률 적용)'!O24</f>
        <v>2549</v>
      </c>
      <c r="P7" s="598">
        <f>+'1.4.조성법총괄(내부이동률 적용)'!P24</f>
        <v>2506</v>
      </c>
      <c r="Q7" s="598">
        <f>+'1.4.조성법총괄(내부이동률 적용)'!Q24</f>
        <v>2463</v>
      </c>
      <c r="R7" s="598">
        <f>+'1.4.조성법총괄(내부이동률 적용)'!R24</f>
        <v>2420</v>
      </c>
      <c r="S7" s="598">
        <f>+'1.4.조성법총괄(내부이동률 적용)'!S24</f>
        <v>2378</v>
      </c>
      <c r="T7" s="598">
        <f>+'1.4.조성법총괄(내부이동률 적용)'!T24</f>
        <v>2336</v>
      </c>
      <c r="U7" s="598">
        <f>+'1.4.조성법총괄(내부이동률 적용)'!U24</f>
        <v>2294</v>
      </c>
      <c r="V7" s="598">
        <f>+'1.4.조성법총괄(내부이동률 적용)'!V24</f>
        <v>2252</v>
      </c>
      <c r="W7" s="598">
        <f>+'1.4.조성법총괄(내부이동률 적용)'!W24</f>
        <v>1688</v>
      </c>
      <c r="X7" s="8"/>
      <c r="Y7" s="133"/>
    </row>
    <row r="8" spans="1:25" ht="45" customHeight="1">
      <c r="A8" s="2362" t="s">
        <v>715</v>
      </c>
      <c r="B8" s="2362"/>
      <c r="C8" s="598">
        <f>+'1.4.조성법총괄(내부이동률 적용)'!C31</f>
        <v>3243</v>
      </c>
      <c r="D8" s="598">
        <f>+'1.4.조성법총괄(내부이동률 적용)'!D31</f>
        <v>3317</v>
      </c>
      <c r="E8" s="598">
        <f>+'1.4.조성법총괄(내부이동률 적용)'!E31</f>
        <v>3211</v>
      </c>
      <c r="F8" s="598">
        <f>+'1.4.조성법총괄(내부이동률 적용)'!F31</f>
        <v>3136</v>
      </c>
      <c r="G8" s="598">
        <f>+'1.4.조성법총괄(내부이동률 적용)'!G31</f>
        <v>3035</v>
      </c>
      <c r="H8" s="598">
        <f>+'1.4.조성법총괄(내부이동률 적용)'!H31</f>
        <v>2921</v>
      </c>
      <c r="I8" s="598">
        <f>+'1.4.조성법총괄(내부이동률 적용)'!I31</f>
        <v>2896</v>
      </c>
      <c r="J8" s="598">
        <f>+'1.4.조성법총괄(내부이동률 적용)'!J31</f>
        <v>2871</v>
      </c>
      <c r="K8" s="598">
        <f>+'1.4.조성법총괄(내부이동률 적용)'!K31</f>
        <v>2846</v>
      </c>
      <c r="L8" s="598">
        <f>+'1.4.조성법총괄(내부이동률 적용)'!L31</f>
        <v>2821</v>
      </c>
      <c r="M8" s="598">
        <f>+'1.4.조성법총괄(내부이동률 적용)'!M31</f>
        <v>2719</v>
      </c>
      <c r="N8" s="598">
        <f>+'1.4.조성법총괄(내부이동률 적용)'!N31</f>
        <v>2677</v>
      </c>
      <c r="O8" s="598">
        <f>+'1.4.조성법총괄(내부이동률 적용)'!O31</f>
        <v>2635</v>
      </c>
      <c r="P8" s="598">
        <f>+'1.4.조성법총괄(내부이동률 적용)'!P31</f>
        <v>2593</v>
      </c>
      <c r="Q8" s="598">
        <f>+'1.4.조성법총괄(내부이동률 적용)'!Q31</f>
        <v>2551</v>
      </c>
      <c r="R8" s="598">
        <f>+'1.4.조성법총괄(내부이동률 적용)'!R31</f>
        <v>2508</v>
      </c>
      <c r="S8" s="598">
        <f>+'1.4.조성법총괄(내부이동률 적용)'!S31</f>
        <v>2465</v>
      </c>
      <c r="T8" s="598">
        <f>+'1.4.조성법총괄(내부이동률 적용)'!T31</f>
        <v>2422</v>
      </c>
      <c r="U8" s="598">
        <f>+'1.4.조성법총괄(내부이동률 적용)'!U31</f>
        <v>2379</v>
      </c>
      <c r="V8" s="598">
        <f>+'1.4.조성법총괄(내부이동률 적용)'!V31</f>
        <v>2336</v>
      </c>
      <c r="W8" s="598">
        <f>+'1.4.조성법총괄(내부이동률 적용)'!W31</f>
        <v>2121</v>
      </c>
      <c r="X8" s="8"/>
      <c r="Y8" s="133"/>
    </row>
    <row r="9" spans="1:25" ht="45" customHeight="1">
      <c r="A9" s="2362" t="s">
        <v>716</v>
      </c>
      <c r="B9" s="2362"/>
      <c r="C9" s="598">
        <f>+'1.4.조성법총괄(내부이동률 적용)'!C39</f>
        <v>10418</v>
      </c>
      <c r="D9" s="598">
        <f>+'1.4.조성법총괄(내부이동률 적용)'!D39</f>
        <v>12254</v>
      </c>
      <c r="E9" s="598">
        <f>+'1.4.조성법총괄(내부이동률 적용)'!E39</f>
        <v>11536</v>
      </c>
      <c r="F9" s="598">
        <f>+'1.4.조성법총괄(내부이동률 적용)'!F39</f>
        <v>11501</v>
      </c>
      <c r="G9" s="598">
        <f>+'1.4.조성법총괄(내부이동률 적용)'!G39</f>
        <v>11529</v>
      </c>
      <c r="H9" s="598">
        <f>+'1.4.조성법총괄(내부이동률 적용)'!H39</f>
        <v>16607</v>
      </c>
      <c r="I9" s="598">
        <f>+'1.4.조성법총괄(내부이동률 적용)'!I39</f>
        <v>16783</v>
      </c>
      <c r="J9" s="598">
        <f>+'1.4.조성법총괄(내부이동률 적용)'!J39</f>
        <v>16844</v>
      </c>
      <c r="K9" s="598">
        <f>+'1.4.조성법총괄(내부이동률 적용)'!K39</f>
        <v>16905</v>
      </c>
      <c r="L9" s="598">
        <f>+'1.4.조성법총괄(내부이동률 적용)'!L39</f>
        <v>16966</v>
      </c>
      <c r="M9" s="598">
        <f>+'1.4.조성법총괄(내부이동률 적용)'!M39</f>
        <v>17026</v>
      </c>
      <c r="N9" s="598">
        <f>+'1.4.조성법총괄(내부이동률 적용)'!N39</f>
        <v>17046</v>
      </c>
      <c r="O9" s="598">
        <f>+'1.4.조성법총괄(내부이동률 적용)'!O39</f>
        <v>17066</v>
      </c>
      <c r="P9" s="598">
        <f>+'1.4.조성법총괄(내부이동률 적용)'!P39</f>
        <v>17086</v>
      </c>
      <c r="Q9" s="598">
        <f>+'1.4.조성법총괄(내부이동률 적용)'!Q39</f>
        <v>17106</v>
      </c>
      <c r="R9" s="598">
        <f>+'1.4.조성법총괄(내부이동률 적용)'!R39</f>
        <v>17124</v>
      </c>
      <c r="S9" s="598">
        <f>+'1.4.조성법총괄(내부이동률 적용)'!S39</f>
        <v>17110</v>
      </c>
      <c r="T9" s="598">
        <f>+'1.4.조성법총괄(내부이동률 적용)'!T39</f>
        <v>17096</v>
      </c>
      <c r="U9" s="598">
        <f>+'1.4.조성법총괄(내부이동률 적용)'!U39</f>
        <v>17082</v>
      </c>
      <c r="V9" s="598">
        <f>+'1.4.조성법총괄(내부이동률 적용)'!V39</f>
        <v>17068</v>
      </c>
      <c r="W9" s="598">
        <f>+'1.4.조성법총괄(내부이동률 적용)'!W39</f>
        <v>19110</v>
      </c>
      <c r="X9" s="8"/>
      <c r="Y9" s="133"/>
    </row>
    <row r="10" spans="1:25" ht="45" customHeight="1">
      <c r="A10" s="2362" t="s">
        <v>717</v>
      </c>
      <c r="B10" s="2362"/>
      <c r="C10" s="598">
        <f>+'1.4.조성법총괄(내부이동률 적용)'!C46</f>
        <v>18802</v>
      </c>
      <c r="D10" s="598">
        <f>+'1.4.조성법총괄(내부이동률 적용)'!D46</f>
        <v>18744</v>
      </c>
      <c r="E10" s="598">
        <f>+'1.4.조성법총괄(내부이동률 적용)'!E46</f>
        <v>18711</v>
      </c>
      <c r="F10" s="598">
        <f>+'1.4.조성법총괄(내부이동률 적용)'!F46</f>
        <v>19203</v>
      </c>
      <c r="G10" s="598">
        <f>+'1.4.조성법총괄(내부이동률 적용)'!G46</f>
        <v>17762</v>
      </c>
      <c r="H10" s="598">
        <f>+'1.4.조성법총괄(내부이동률 적용)'!H46</f>
        <v>21942</v>
      </c>
      <c r="I10" s="598">
        <f>+'1.4.조성법총괄(내부이동률 적용)'!I46</f>
        <v>22054</v>
      </c>
      <c r="J10" s="598">
        <f>+'1.4.조성법총괄(내부이동률 적용)'!J46</f>
        <v>22166</v>
      </c>
      <c r="K10" s="598">
        <f>+'1.4.조성법총괄(내부이동률 적용)'!K46</f>
        <v>22278</v>
      </c>
      <c r="L10" s="598">
        <f>+'1.4.조성법총괄(내부이동률 적용)'!L46</f>
        <v>22390</v>
      </c>
      <c r="M10" s="598">
        <f>+'1.4.조성법총괄(내부이동률 적용)'!M46</f>
        <v>23287</v>
      </c>
      <c r="N10" s="598">
        <f>+'1.4.조성법총괄(내부이동률 적용)'!N46</f>
        <v>23378</v>
      </c>
      <c r="O10" s="598">
        <f>+'1.4.조성법총괄(내부이동률 적용)'!O46</f>
        <v>23469</v>
      </c>
      <c r="P10" s="598">
        <f>+'1.4.조성법총괄(내부이동률 적용)'!P46</f>
        <v>23560</v>
      </c>
      <c r="Q10" s="598">
        <f>+'1.4.조성법총괄(내부이동률 적용)'!Q46</f>
        <v>23651</v>
      </c>
      <c r="R10" s="598">
        <f>+'1.4.조성법총괄(내부이동률 적용)'!R46</f>
        <v>25385</v>
      </c>
      <c r="S10" s="598">
        <f>+'1.4.조성법총괄(내부이동률 적용)'!S46</f>
        <v>25477</v>
      </c>
      <c r="T10" s="598">
        <f>+'1.4.조성법총괄(내부이동률 적용)'!T46</f>
        <v>25569</v>
      </c>
      <c r="U10" s="598">
        <f>+'1.4.조성법총괄(내부이동률 적용)'!U46</f>
        <v>25661</v>
      </c>
      <c r="V10" s="598">
        <f>+'1.4.조성법총괄(내부이동률 적용)'!V46</f>
        <v>25753</v>
      </c>
      <c r="W10" s="598">
        <f>+'1.4.조성법총괄(내부이동률 적용)'!W46</f>
        <v>30390</v>
      </c>
      <c r="X10" s="8"/>
      <c r="Y10" s="133"/>
    </row>
    <row r="11" spans="1:25" s="599" customFormat="1" ht="45" customHeight="1">
      <c r="A11" s="2362" t="s">
        <v>718</v>
      </c>
      <c r="B11" s="2362"/>
      <c r="C11" s="598">
        <f>+'1.4.조성법총괄(내부이동률 적용)'!C53</f>
        <v>9571</v>
      </c>
      <c r="D11" s="598">
        <f>+'1.4.조성법총괄(내부이동률 적용)'!D53</f>
        <v>9613</v>
      </c>
      <c r="E11" s="598">
        <f>+'1.4.조성법총괄(내부이동률 적용)'!E53</f>
        <v>9507</v>
      </c>
      <c r="F11" s="598">
        <f>+'1.4.조성법총괄(내부이동률 적용)'!F53</f>
        <v>9442</v>
      </c>
      <c r="G11" s="598">
        <f>+'1.4.조성법총괄(내부이동률 적용)'!G53</f>
        <v>9350</v>
      </c>
      <c r="H11" s="598">
        <f>+'1.4.조성법총괄(내부이동률 적용)'!H53</f>
        <v>9245</v>
      </c>
      <c r="I11" s="598">
        <f>+'1.4.조성법총괄(내부이동률 적용)'!I53</f>
        <v>9231</v>
      </c>
      <c r="J11" s="598">
        <f>+'1.4.조성법총괄(내부이동률 적용)'!J53</f>
        <v>9217</v>
      </c>
      <c r="K11" s="598">
        <f>+'1.4.조성법총괄(내부이동률 적용)'!K53</f>
        <v>9203</v>
      </c>
      <c r="L11" s="598">
        <f>+'1.4.조성법총괄(내부이동률 적용)'!L53</f>
        <v>9189</v>
      </c>
      <c r="M11" s="598">
        <f>+'1.4.조성법총괄(내부이동률 적용)'!M53</f>
        <v>9634</v>
      </c>
      <c r="N11" s="598">
        <f>+'1.4.조성법총괄(내부이동률 적용)'!N53</f>
        <v>9603</v>
      </c>
      <c r="O11" s="598">
        <f>+'1.4.조성법총괄(내부이동률 적용)'!O53</f>
        <v>9572</v>
      </c>
      <c r="P11" s="598">
        <f>+'1.4.조성법총괄(내부이동률 적용)'!P53</f>
        <v>9541</v>
      </c>
      <c r="Q11" s="598">
        <f>+'1.4.조성법총괄(내부이동률 적용)'!Q53</f>
        <v>9510</v>
      </c>
      <c r="R11" s="598">
        <f>+'1.4.조성법총괄(내부이동률 적용)'!R53</f>
        <v>9480</v>
      </c>
      <c r="S11" s="598">
        <f>+'1.4.조성법총괄(내부이동률 적용)'!S53</f>
        <v>9439</v>
      </c>
      <c r="T11" s="598">
        <f>+'1.4.조성법총괄(내부이동률 적용)'!T53</f>
        <v>9398</v>
      </c>
      <c r="U11" s="598">
        <f>+'1.4.조성법총괄(내부이동률 적용)'!U53</f>
        <v>9357</v>
      </c>
      <c r="V11" s="598">
        <f>+'1.4.조성법총괄(내부이동률 적용)'!V53</f>
        <v>9316</v>
      </c>
      <c r="W11" s="598">
        <f>+'1.4.조성법총괄(내부이동률 적용)'!W53</f>
        <v>11492</v>
      </c>
      <c r="X11" s="8"/>
      <c r="Y11" s="133"/>
    </row>
    <row r="12" spans="1:25" s="599" customFormat="1" ht="45" customHeight="1">
      <c r="A12" s="2362" t="s">
        <v>719</v>
      </c>
      <c r="B12" s="2362"/>
      <c r="C12" s="598">
        <f>+'1.4.조성법총괄(내부이동률 적용)'!C60</f>
        <v>5351</v>
      </c>
      <c r="D12" s="598">
        <f>+'1.4.조성법총괄(내부이동률 적용)'!D60</f>
        <v>5403</v>
      </c>
      <c r="E12" s="598">
        <f>+'1.4.조성법총괄(내부이동률 적용)'!E60</f>
        <v>4625</v>
      </c>
      <c r="F12" s="598">
        <f>+'1.4.조성법총괄(내부이동률 적용)'!F60</f>
        <v>4482</v>
      </c>
      <c r="G12" s="598">
        <f>+'1.4.조성법총괄(내부이동률 적용)'!G60</f>
        <v>4574</v>
      </c>
      <c r="H12" s="598">
        <f>+'1.4.조성법총괄(내부이동률 적용)'!H60</f>
        <v>4610</v>
      </c>
      <c r="I12" s="598">
        <f>+'1.4.조성법총괄(내부이동률 적용)'!I60</f>
        <v>4583</v>
      </c>
      <c r="J12" s="598">
        <f>+'1.4.조성법총괄(내부이동률 적용)'!J60</f>
        <v>4556</v>
      </c>
      <c r="K12" s="598">
        <f>+'1.4.조성법총괄(내부이동률 적용)'!K60</f>
        <v>4527</v>
      </c>
      <c r="L12" s="598">
        <f>+'1.4.조성법총괄(내부이동률 적용)'!L60</f>
        <v>4498</v>
      </c>
      <c r="M12" s="598">
        <f>+'1.4.조성법총괄(내부이동률 적용)'!M60</f>
        <v>4471</v>
      </c>
      <c r="N12" s="598">
        <f>+'1.4.조성법총괄(내부이동률 적용)'!N60</f>
        <v>4549</v>
      </c>
      <c r="O12" s="598">
        <f>+'1.4.조성법총괄(내부이동률 적용)'!O60</f>
        <v>4509</v>
      </c>
      <c r="P12" s="598">
        <f>+'1.4.조성법총괄(내부이동률 적용)'!P60</f>
        <v>4469</v>
      </c>
      <c r="Q12" s="598">
        <f>+'1.4.조성법총괄(내부이동률 적용)'!Q60</f>
        <v>4429</v>
      </c>
      <c r="R12" s="598">
        <f>+'1.4.조성법총괄(내부이동률 적용)'!R60</f>
        <v>4271</v>
      </c>
      <c r="S12" s="598">
        <f>+'1.4.조성법총괄(내부이동률 적용)'!S60</f>
        <v>4228</v>
      </c>
      <c r="T12" s="598">
        <f>+'1.4.조성법총괄(내부이동률 적용)'!T60</f>
        <v>4185</v>
      </c>
      <c r="U12" s="598">
        <f>+'1.4.조성법총괄(내부이동률 적용)'!U60</f>
        <v>4142</v>
      </c>
      <c r="V12" s="598">
        <f>+'1.4.조성법총괄(내부이동률 적용)'!V60</f>
        <v>4099</v>
      </c>
      <c r="W12" s="598">
        <f>+'1.4.조성법총괄(내부이동률 적용)'!W60</f>
        <v>6109</v>
      </c>
      <c r="X12" s="8"/>
      <c r="Y12" s="133"/>
    </row>
    <row r="13" spans="1:25" ht="45" customHeight="1">
      <c r="A13" s="2362" t="s">
        <v>720</v>
      </c>
      <c r="B13" s="2362"/>
      <c r="C13" s="598">
        <f>+'1.4.조성법총괄(내부이동률 적용)'!C67</f>
        <v>11390</v>
      </c>
      <c r="D13" s="598">
        <f>+'1.4.조성법총괄(내부이동률 적용)'!D67</f>
        <v>11393</v>
      </c>
      <c r="E13" s="598">
        <f>+'1.4.조성법총괄(내부이동률 적용)'!E67</f>
        <v>11352</v>
      </c>
      <c r="F13" s="598">
        <f>+'1.4.조성법총괄(내부이동률 적용)'!F67</f>
        <v>11286</v>
      </c>
      <c r="G13" s="598">
        <f>+'1.4.조성법총괄(내부이동률 적용)'!G67</f>
        <v>11270</v>
      </c>
      <c r="H13" s="598">
        <f>+'1.4.조성법총괄(내부이동률 적용)'!H67</f>
        <v>11454</v>
      </c>
      <c r="I13" s="598">
        <f>+'1.4.조성법총괄(내부이동률 적용)'!I67</f>
        <v>11868</v>
      </c>
      <c r="J13" s="598">
        <f>+'1.4.조성법총괄(내부이동률 적용)'!J67</f>
        <v>12282</v>
      </c>
      <c r="K13" s="598">
        <f>+'1.4.조성법총괄(내부이동률 적용)'!K67</f>
        <v>12291</v>
      </c>
      <c r="L13" s="598">
        <f>+'1.4.조성법총괄(내부이동률 적용)'!L67</f>
        <v>12300</v>
      </c>
      <c r="M13" s="598">
        <f>+'1.4.조성법총괄(내부이동률 적용)'!M67</f>
        <v>12232</v>
      </c>
      <c r="N13" s="598">
        <f>+'1.4.조성법총괄(내부이동률 적용)'!N67</f>
        <v>12218</v>
      </c>
      <c r="O13" s="598">
        <f>+'1.4.조성법총괄(내부이동률 적용)'!O67</f>
        <v>12204</v>
      </c>
      <c r="P13" s="598">
        <f>+'1.4.조성법총괄(내부이동률 적용)'!P67</f>
        <v>12190</v>
      </c>
      <c r="Q13" s="598">
        <f>+'1.4.조성법총괄(내부이동률 적용)'!Q67</f>
        <v>12176</v>
      </c>
      <c r="R13" s="598">
        <f>+'1.4.조성법총괄(내부이동률 적용)'!R67</f>
        <v>12160</v>
      </c>
      <c r="S13" s="598">
        <f>+'1.4.조성법총괄(내부이동률 적용)'!S67</f>
        <v>12135</v>
      </c>
      <c r="T13" s="598">
        <f>+'1.4.조성법총괄(내부이동률 적용)'!T67</f>
        <v>12110</v>
      </c>
      <c r="U13" s="598">
        <f>+'1.4.조성법총괄(내부이동률 적용)'!U67</f>
        <v>12085</v>
      </c>
      <c r="V13" s="598">
        <f>+'1.4.조성법총괄(내부이동률 적용)'!V67</f>
        <v>12060</v>
      </c>
      <c r="W13" s="598">
        <f>+'1.4.조성법총괄(내부이동률 적용)'!W67</f>
        <v>14740</v>
      </c>
      <c r="X13" s="8"/>
      <c r="Y13" s="133"/>
    </row>
    <row r="14" spans="1:25" s="599" customFormat="1" ht="45" hidden="1" customHeight="1" outlineLevel="1">
      <c r="A14" s="2362" t="s">
        <v>426</v>
      </c>
      <c r="B14" s="2362"/>
      <c r="C14" s="598">
        <f>+'1.4.조성법총괄(내부이동률 적용)'!C73</f>
        <v>0</v>
      </c>
      <c r="D14" s="598">
        <f>+'1.4.조성법총괄(내부이동률 적용)'!D73</f>
        <v>7477</v>
      </c>
      <c r="E14" s="598">
        <f>+'1.4.조성법총괄(내부이동률 적용)'!E73</f>
        <v>8665</v>
      </c>
      <c r="F14" s="598">
        <f>+'1.4.조성법총괄(내부이동률 적용)'!F73</f>
        <v>9853</v>
      </c>
      <c r="G14" s="598">
        <f>+'1.4.조성법총괄(내부이동률 적용)'!G73</f>
        <v>11041</v>
      </c>
      <c r="H14" s="598">
        <f>+'1.4.조성법총괄(내부이동률 적용)'!H73</f>
        <v>12230</v>
      </c>
      <c r="I14" s="598">
        <f>+'1.4.조성법총괄(내부이동률 적용)'!I73</f>
        <v>12230</v>
      </c>
      <c r="J14" s="598">
        <f>+'1.4.조성법총괄(내부이동률 적용)'!J73</f>
        <v>12230</v>
      </c>
      <c r="K14" s="598">
        <f>+'1.4.조성법총괄(내부이동률 적용)'!K73</f>
        <v>12230</v>
      </c>
      <c r="L14" s="598">
        <f>+'1.4.조성법총괄(내부이동률 적용)'!L73</f>
        <v>12230</v>
      </c>
      <c r="M14" s="598">
        <f>+'1.4.조성법총괄(내부이동률 적용)'!M73</f>
        <v>12230</v>
      </c>
      <c r="N14" s="598">
        <f>+'1.4.조성법총괄(내부이동률 적용)'!N73</f>
        <v>12230</v>
      </c>
      <c r="O14" s="598">
        <f>+'1.4.조성법총괄(내부이동률 적용)'!O73</f>
        <v>12230</v>
      </c>
      <c r="P14" s="598">
        <f>+'1.4.조성법총괄(내부이동률 적용)'!P73</f>
        <v>12230</v>
      </c>
      <c r="Q14" s="598">
        <f>+'1.4.조성법총괄(내부이동률 적용)'!Q73</f>
        <v>12230</v>
      </c>
      <c r="R14" s="598">
        <f>+'1.4.조성법총괄(내부이동률 적용)'!R73</f>
        <v>12230</v>
      </c>
      <c r="S14" s="598">
        <f>+'1.4.조성법총괄(내부이동률 적용)'!S73</f>
        <v>12230</v>
      </c>
      <c r="T14" s="598">
        <f>+'1.4.조성법총괄(내부이동률 적용)'!T73</f>
        <v>12230</v>
      </c>
      <c r="U14" s="598">
        <f>+'1.4.조성법총괄(내부이동률 적용)'!U73</f>
        <v>12230</v>
      </c>
      <c r="V14" s="598">
        <f>+'1.4.조성법총괄(내부이동률 적용)'!V73</f>
        <v>12230</v>
      </c>
      <c r="W14" s="598">
        <f>+'1.4.조성법총괄(내부이동률 적용)'!W73</f>
        <v>12230</v>
      </c>
      <c r="X14" s="2040"/>
      <c r="Y14" s="2041"/>
    </row>
    <row r="15" spans="1:25" collapsed="1"/>
    <row r="17" spans="1:25">
      <c r="A17" s="2154"/>
      <c r="B17" s="2034"/>
      <c r="C17" s="2034"/>
      <c r="D17" s="2034"/>
      <c r="E17" s="2034"/>
      <c r="F17" s="2034"/>
      <c r="G17" s="2034"/>
      <c r="H17" s="2034"/>
      <c r="I17" s="2034"/>
      <c r="J17" s="2034"/>
      <c r="K17" s="2034"/>
      <c r="L17" s="2034"/>
      <c r="M17" s="2034"/>
      <c r="N17" s="2034"/>
      <c r="O17" s="2034"/>
      <c r="P17" s="2034"/>
      <c r="Q17" s="2034"/>
      <c r="R17" s="2034"/>
      <c r="S17" s="2034"/>
      <c r="T17" s="2034"/>
      <c r="U17" s="2034"/>
      <c r="V17" s="2034"/>
      <c r="W17" s="2034"/>
      <c r="X17" s="2034"/>
      <c r="Y17" s="2035"/>
    </row>
    <row r="18" spans="1:25">
      <c r="A18" s="1705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133"/>
    </row>
    <row r="19" spans="1:25">
      <c r="A19" s="1705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133"/>
    </row>
    <row r="20" spans="1:25">
      <c r="A20" s="1705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133"/>
    </row>
    <row r="21" spans="1:25">
      <c r="A21" s="170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133"/>
    </row>
    <row r="22" spans="1:25">
      <c r="A22" s="170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133"/>
    </row>
    <row r="23" spans="1:25">
      <c r="A23" s="170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133"/>
    </row>
    <row r="24" spans="1:25">
      <c r="A24" s="170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133"/>
    </row>
    <row r="25" spans="1:25">
      <c r="A25" s="170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133"/>
    </row>
    <row r="26" spans="1:25">
      <c r="A26" s="170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133"/>
    </row>
    <row r="27" spans="1:25">
      <c r="A27" s="1705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133"/>
    </row>
    <row r="28" spans="1:25">
      <c r="A28" s="2155"/>
      <c r="B28" s="2040"/>
      <c r="C28" s="2040"/>
      <c r="D28" s="2040"/>
      <c r="E28" s="2040"/>
      <c r="F28" s="2040"/>
      <c r="G28" s="2040"/>
      <c r="H28" s="2040"/>
      <c r="I28" s="2040"/>
      <c r="J28" s="2040"/>
      <c r="K28" s="2040"/>
      <c r="L28" s="2040"/>
      <c r="M28" s="2040"/>
      <c r="N28" s="2040"/>
      <c r="O28" s="2040"/>
      <c r="P28" s="2040"/>
      <c r="Q28" s="2040"/>
      <c r="R28" s="2040"/>
      <c r="S28" s="2040"/>
      <c r="T28" s="2040"/>
      <c r="U28" s="2040"/>
      <c r="V28" s="2040"/>
      <c r="W28" s="2040"/>
      <c r="X28" s="2040"/>
      <c r="Y28" s="2041"/>
    </row>
  </sheetData>
  <mergeCells count="12">
    <mergeCell ref="A14:B14"/>
    <mergeCell ref="A3:B3"/>
    <mergeCell ref="A4:B4"/>
    <mergeCell ref="A10:B10"/>
    <mergeCell ref="A13:B13"/>
    <mergeCell ref="A5:B5"/>
    <mergeCell ref="A6:B6"/>
    <mergeCell ref="A7:B7"/>
    <mergeCell ref="A8:B8"/>
    <mergeCell ref="A9:B9"/>
    <mergeCell ref="A11:B11"/>
    <mergeCell ref="A12:B12"/>
  </mergeCells>
  <phoneticPr fontId="3" type="noConversion"/>
  <pageMargins left="0.7" right="0.7" top="0.75" bottom="0.75" header="0.3" footer="0.3"/>
  <pageSetup paperSize="9" scale="8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O180"/>
  <sheetViews>
    <sheetView view="pageBreakPreview" zoomScaleNormal="100" zoomScaleSheetLayoutView="100" workbookViewId="0">
      <selection activeCell="A3" sqref="A3:L17"/>
    </sheetView>
  </sheetViews>
  <sheetFormatPr defaultRowHeight="24.6" customHeight="1"/>
  <cols>
    <col min="1" max="1" width="8.375" style="228" customWidth="1"/>
    <col min="2" max="2" width="9.5" style="228" customWidth="1"/>
    <col min="3" max="3" width="8.75" style="228" customWidth="1"/>
    <col min="4" max="4" width="6.5" style="228" customWidth="1"/>
    <col min="5" max="6" width="9.5" style="228" customWidth="1"/>
    <col min="7" max="7" width="6.5" style="228" customWidth="1"/>
    <col min="8" max="12" width="8.75" style="228" customWidth="1"/>
    <col min="13" max="16384" width="9" style="228"/>
  </cols>
  <sheetData>
    <row r="1" spans="1:41" ht="24.6" customHeight="1">
      <c r="A1" s="179" t="s">
        <v>1217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</row>
    <row r="2" spans="1:41" s="232" customFormat="1" ht="24.6" customHeight="1">
      <c r="A2" s="229" t="s">
        <v>645</v>
      </c>
      <c r="B2" s="230"/>
      <c r="C2" s="230"/>
      <c r="D2" s="230"/>
      <c r="E2" s="230"/>
      <c r="F2" s="230"/>
      <c r="G2" s="231"/>
      <c r="H2" s="230"/>
      <c r="I2" s="230"/>
      <c r="J2" s="230"/>
      <c r="K2" s="230"/>
      <c r="L2" s="230"/>
    </row>
    <row r="3" spans="1:41" s="236" customFormat="1" ht="24.6" customHeight="1">
      <c r="A3" s="2291" t="s">
        <v>236</v>
      </c>
      <c r="B3" s="2294" t="s">
        <v>647</v>
      </c>
      <c r="C3" s="2295"/>
      <c r="D3" s="2295"/>
      <c r="E3" s="2295"/>
      <c r="F3" s="2295"/>
      <c r="G3" s="2295"/>
      <c r="H3" s="2295"/>
      <c r="I3" s="2295"/>
      <c r="J3" s="2295"/>
      <c r="K3" s="2295"/>
      <c r="L3" s="2296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4"/>
      <c r="Z3" s="233"/>
      <c r="AA3" s="234"/>
      <c r="AB3" s="235"/>
      <c r="AC3" s="233"/>
      <c r="AD3" s="233"/>
      <c r="AE3" s="233"/>
      <c r="AF3" s="233"/>
      <c r="AG3" s="233"/>
      <c r="AH3" s="233"/>
      <c r="AI3" s="233"/>
      <c r="AJ3" s="233"/>
      <c r="AK3" s="233"/>
      <c r="AL3" s="233"/>
      <c r="AM3" s="233"/>
      <c r="AN3" s="233"/>
      <c r="AO3" s="234"/>
    </row>
    <row r="4" spans="1:41" s="236" customFormat="1" ht="22.5" customHeight="1">
      <c r="A4" s="2292"/>
      <c r="B4" s="2297" t="s">
        <v>238</v>
      </c>
      <c r="C4" s="2298"/>
      <c r="D4" s="2299"/>
      <c r="E4" s="2297" t="s">
        <v>240</v>
      </c>
      <c r="F4" s="2298"/>
      <c r="G4" s="2299"/>
      <c r="H4" s="2300" t="s">
        <v>242</v>
      </c>
      <c r="I4" s="2301"/>
      <c r="J4" s="2301"/>
      <c r="K4" s="2301"/>
      <c r="L4" s="2302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8"/>
      <c r="Z4" s="237"/>
      <c r="AA4" s="238"/>
      <c r="AB4" s="239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8"/>
    </row>
    <row r="5" spans="1:41" s="236" customFormat="1" ht="27.75" customHeight="1">
      <c r="A5" s="2293"/>
      <c r="B5" s="240" t="s">
        <v>243</v>
      </c>
      <c r="C5" s="241" t="s">
        <v>244</v>
      </c>
      <c r="D5" s="241" t="s">
        <v>245</v>
      </c>
      <c r="E5" s="240" t="s">
        <v>243</v>
      </c>
      <c r="F5" s="241" t="s">
        <v>244</v>
      </c>
      <c r="G5" s="241" t="s">
        <v>245</v>
      </c>
      <c r="H5" s="2303"/>
      <c r="I5" s="2304"/>
      <c r="J5" s="2304"/>
      <c r="K5" s="2304"/>
      <c r="L5" s="2305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8"/>
      <c r="Z5" s="237"/>
      <c r="AA5" s="238"/>
      <c r="AB5" s="239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8"/>
    </row>
    <row r="6" spans="1:41" s="236" customFormat="1" ht="27.75" customHeight="1">
      <c r="A6" s="249" t="s">
        <v>192</v>
      </c>
      <c r="B6" s="242"/>
      <c r="C6" s="243"/>
      <c r="D6" s="243"/>
      <c r="E6" s="242">
        <f>+'1.1.1 과거인구현황'!C7</f>
        <v>90159</v>
      </c>
      <c r="F6" s="244"/>
      <c r="G6" s="245"/>
      <c r="H6" s="246"/>
      <c r="I6" s="247"/>
      <c r="J6" s="247"/>
      <c r="K6" s="247"/>
      <c r="L6" s="248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8"/>
      <c r="Z6" s="237"/>
      <c r="AA6" s="238"/>
      <c r="AB6" s="239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8"/>
    </row>
    <row r="7" spans="1:41" s="232" customFormat="1" ht="24.6" customHeight="1">
      <c r="A7" s="249" t="s">
        <v>193</v>
      </c>
      <c r="B7" s="250"/>
      <c r="C7" s="250"/>
      <c r="D7" s="250"/>
      <c r="E7" s="250">
        <f>+'1.1.1 과거인구현황'!D45</f>
        <v>92520</v>
      </c>
      <c r="F7" s="251">
        <f t="shared" ref="F7:F16" si="0">(E7-E6)</f>
        <v>2361</v>
      </c>
      <c r="G7" s="260">
        <f t="shared" ref="G7:G16" si="1">ROUND(F7/E6*100,3)</f>
        <v>2.6190000000000002</v>
      </c>
      <c r="H7" s="252"/>
      <c r="I7" s="253"/>
      <c r="J7" s="253"/>
      <c r="K7" s="253"/>
      <c r="L7" s="254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6"/>
      <c r="Z7" s="255"/>
      <c r="AA7" s="256"/>
      <c r="AB7" s="257"/>
      <c r="AC7" s="255"/>
      <c r="AD7" s="255"/>
      <c r="AE7" s="255"/>
      <c r="AF7" s="255"/>
      <c r="AG7" s="255"/>
      <c r="AH7" s="255"/>
      <c r="AI7" s="255"/>
      <c r="AJ7" s="255"/>
      <c r="AK7" s="255"/>
      <c r="AL7" s="255"/>
      <c r="AM7" s="255"/>
      <c r="AN7" s="255"/>
      <c r="AO7" s="256"/>
    </row>
    <row r="8" spans="1:41" s="232" customFormat="1" ht="24.6" customHeight="1">
      <c r="A8" s="249" t="s">
        <v>194</v>
      </c>
      <c r="B8" s="258"/>
      <c r="C8" s="258"/>
      <c r="D8" s="258"/>
      <c r="E8" s="258">
        <f>+'1.1.1 과거인구현황'!D46</f>
        <v>94144</v>
      </c>
      <c r="F8" s="259">
        <f t="shared" si="0"/>
        <v>1624</v>
      </c>
      <c r="G8" s="260">
        <f t="shared" si="1"/>
        <v>1.7549999999999999</v>
      </c>
      <c r="H8" s="252"/>
      <c r="I8" s="253"/>
      <c r="J8" s="253"/>
      <c r="K8" s="253"/>
      <c r="L8" s="254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6"/>
      <c r="Z8" s="255"/>
      <c r="AA8" s="256"/>
      <c r="AB8" s="257"/>
      <c r="AC8" s="255"/>
      <c r="AD8" s="255"/>
      <c r="AE8" s="255"/>
      <c r="AF8" s="255"/>
      <c r="AG8" s="255"/>
      <c r="AH8" s="255"/>
      <c r="AI8" s="255"/>
      <c r="AJ8" s="255"/>
      <c r="AK8" s="255"/>
      <c r="AL8" s="255"/>
      <c r="AM8" s="255"/>
      <c r="AN8" s="255"/>
      <c r="AO8" s="256"/>
    </row>
    <row r="9" spans="1:41" s="232" customFormat="1" ht="24.6" customHeight="1">
      <c r="A9" s="249" t="s">
        <v>195</v>
      </c>
      <c r="B9" s="258"/>
      <c r="C9" s="258"/>
      <c r="D9" s="258"/>
      <c r="E9" s="258">
        <f>+'1.1.1 과거인구현황'!D47</f>
        <v>94580</v>
      </c>
      <c r="F9" s="259">
        <f t="shared" si="0"/>
        <v>436</v>
      </c>
      <c r="G9" s="260">
        <f t="shared" si="1"/>
        <v>0.46300000000000002</v>
      </c>
      <c r="H9" s="252"/>
      <c r="I9" s="253"/>
      <c r="J9" s="253"/>
      <c r="K9" s="253"/>
      <c r="L9" s="254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6"/>
      <c r="Z9" s="255"/>
      <c r="AA9" s="256"/>
      <c r="AB9" s="257"/>
      <c r="AC9" s="255"/>
      <c r="AD9" s="255"/>
      <c r="AE9" s="255"/>
      <c r="AF9" s="255"/>
      <c r="AG9" s="255"/>
      <c r="AH9" s="255"/>
      <c r="AI9" s="255"/>
      <c r="AJ9" s="255"/>
      <c r="AK9" s="255"/>
      <c r="AL9" s="255"/>
      <c r="AM9" s="255"/>
      <c r="AN9" s="255"/>
      <c r="AO9" s="256"/>
    </row>
    <row r="10" spans="1:41" s="232" customFormat="1" ht="24.6" customHeight="1">
      <c r="A10" s="249" t="s">
        <v>196</v>
      </c>
      <c r="B10" s="258"/>
      <c r="C10" s="258"/>
      <c r="D10" s="258"/>
      <c r="E10" s="258">
        <f>+'1.1.1 과거인구현황'!D48</f>
        <v>96214</v>
      </c>
      <c r="F10" s="259">
        <f t="shared" si="0"/>
        <v>1634</v>
      </c>
      <c r="G10" s="260">
        <f t="shared" si="1"/>
        <v>1.728</v>
      </c>
      <c r="H10" s="252"/>
      <c r="I10" s="253"/>
      <c r="J10" s="253"/>
      <c r="K10" s="253"/>
      <c r="L10" s="254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6"/>
      <c r="Z10" s="255"/>
      <c r="AA10" s="256"/>
      <c r="AB10" s="257"/>
      <c r="AC10" s="255"/>
      <c r="AD10" s="255"/>
      <c r="AE10" s="255"/>
      <c r="AF10" s="255"/>
      <c r="AG10" s="255"/>
      <c r="AH10" s="255"/>
      <c r="AI10" s="255"/>
      <c r="AJ10" s="255"/>
      <c r="AK10" s="255"/>
      <c r="AL10" s="255"/>
      <c r="AM10" s="255"/>
      <c r="AN10" s="255"/>
      <c r="AO10" s="256"/>
    </row>
    <row r="11" spans="1:41" s="232" customFormat="1" ht="24.6" customHeight="1">
      <c r="A11" s="249" t="s">
        <v>197</v>
      </c>
      <c r="B11" s="258">
        <f t="shared" ref="B11:B16" si="2">E11</f>
        <v>96993</v>
      </c>
      <c r="C11" s="258"/>
      <c r="D11" s="258"/>
      <c r="E11" s="258">
        <f>+'1.1.1 과거인구현황'!D49</f>
        <v>96993</v>
      </c>
      <c r="F11" s="259">
        <f t="shared" si="0"/>
        <v>779</v>
      </c>
      <c r="G11" s="260">
        <f t="shared" si="1"/>
        <v>0.81</v>
      </c>
      <c r="H11" s="252"/>
      <c r="I11" s="253"/>
      <c r="J11" s="253"/>
      <c r="K11" s="253"/>
      <c r="L11" s="254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6"/>
      <c r="Z11" s="255"/>
      <c r="AA11" s="256"/>
      <c r="AB11" s="257"/>
      <c r="AC11" s="255"/>
      <c r="AD11" s="255"/>
      <c r="AE11" s="255"/>
      <c r="AF11" s="255"/>
      <c r="AG11" s="255"/>
      <c r="AH11" s="255"/>
      <c r="AI11" s="255"/>
      <c r="AJ11" s="255"/>
      <c r="AK11" s="255"/>
      <c r="AL11" s="255"/>
      <c r="AM11" s="255"/>
      <c r="AN11" s="255"/>
      <c r="AO11" s="256"/>
    </row>
    <row r="12" spans="1:41" s="232" customFormat="1" ht="24.6" customHeight="1">
      <c r="A12" s="249" t="s">
        <v>198</v>
      </c>
      <c r="B12" s="258">
        <f t="shared" si="2"/>
        <v>98279</v>
      </c>
      <c r="C12" s="259">
        <f>(B12-B11)</f>
        <v>1286</v>
      </c>
      <c r="D12" s="260">
        <f>ROUND(C12/B11*100,3)</f>
        <v>1.3260000000000001</v>
      </c>
      <c r="E12" s="258">
        <f>+'1.1.1 과거인구현황'!D50</f>
        <v>98279</v>
      </c>
      <c r="F12" s="259">
        <f t="shared" si="0"/>
        <v>1286</v>
      </c>
      <c r="G12" s="260">
        <f t="shared" si="1"/>
        <v>1.3260000000000001</v>
      </c>
      <c r="H12" s="252"/>
      <c r="I12" s="253"/>
      <c r="J12" s="253"/>
      <c r="K12" s="253"/>
      <c r="L12" s="254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6"/>
      <c r="Z12" s="255"/>
      <c r="AA12" s="256"/>
      <c r="AB12" s="257"/>
      <c r="AC12" s="255"/>
      <c r="AD12" s="255"/>
      <c r="AE12" s="255"/>
      <c r="AF12" s="255"/>
      <c r="AG12" s="255"/>
      <c r="AH12" s="255"/>
      <c r="AI12" s="255"/>
      <c r="AJ12" s="255"/>
      <c r="AK12" s="255"/>
      <c r="AL12" s="255"/>
      <c r="AM12" s="255"/>
      <c r="AN12" s="255"/>
      <c r="AO12" s="256"/>
    </row>
    <row r="13" spans="1:41" s="232" customFormat="1" ht="24.6" customHeight="1">
      <c r="A13" s="249" t="s">
        <v>199</v>
      </c>
      <c r="B13" s="258">
        <f t="shared" si="2"/>
        <v>99952</v>
      </c>
      <c r="C13" s="259">
        <f>(B13-B12)</f>
        <v>1673</v>
      </c>
      <c r="D13" s="260">
        <f>ROUND(C13/B12*100,3)</f>
        <v>1.702</v>
      </c>
      <c r="E13" s="258">
        <f>+'1.1.1 과거인구현황'!D51</f>
        <v>99952</v>
      </c>
      <c r="F13" s="259">
        <f t="shared" si="0"/>
        <v>1673</v>
      </c>
      <c r="G13" s="260">
        <f t="shared" si="1"/>
        <v>1.702</v>
      </c>
      <c r="H13" s="252"/>
      <c r="I13" s="253"/>
      <c r="J13" s="253"/>
      <c r="K13" s="253"/>
      <c r="L13" s="254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6"/>
      <c r="Z13" s="255"/>
      <c r="AA13" s="256"/>
      <c r="AB13" s="257"/>
      <c r="AC13" s="255"/>
      <c r="AD13" s="255"/>
      <c r="AE13" s="255"/>
      <c r="AF13" s="255"/>
      <c r="AG13" s="255"/>
      <c r="AH13" s="255"/>
      <c r="AI13" s="255"/>
      <c r="AJ13" s="255"/>
      <c r="AK13" s="255"/>
      <c r="AL13" s="255"/>
      <c r="AM13" s="255"/>
      <c r="AN13" s="255"/>
      <c r="AO13" s="256"/>
    </row>
    <row r="14" spans="1:41" s="232" customFormat="1" ht="24.6" customHeight="1">
      <c r="A14" s="2084" t="s">
        <v>625</v>
      </c>
      <c r="B14" s="280">
        <f t="shared" si="2"/>
        <v>102796</v>
      </c>
      <c r="C14" s="2085">
        <f>(B14-B13)</f>
        <v>2844</v>
      </c>
      <c r="D14" s="2086">
        <f>ROUND(C14/B13*100,3)</f>
        <v>2.8450000000000002</v>
      </c>
      <c r="E14" s="280">
        <f>+'1.1.1 과거인구현황'!D52</f>
        <v>102796</v>
      </c>
      <c r="F14" s="2085">
        <f t="shared" si="0"/>
        <v>2844</v>
      </c>
      <c r="G14" s="2086">
        <f t="shared" si="1"/>
        <v>2.8450000000000002</v>
      </c>
      <c r="H14" s="2087"/>
      <c r="I14" s="2088"/>
      <c r="J14" s="2088"/>
      <c r="K14" s="2088"/>
      <c r="L14" s="2089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  <c r="X14" s="268"/>
      <c r="Y14" s="2090"/>
      <c r="Z14" s="255"/>
      <c r="AA14" s="256"/>
      <c r="AB14" s="257"/>
      <c r="AC14" s="255"/>
      <c r="AD14" s="255"/>
      <c r="AE14" s="255"/>
      <c r="AF14" s="255"/>
      <c r="AG14" s="255"/>
      <c r="AH14" s="255"/>
      <c r="AI14" s="255"/>
      <c r="AJ14" s="255"/>
      <c r="AK14" s="255"/>
      <c r="AL14" s="255"/>
      <c r="AM14" s="255"/>
      <c r="AN14" s="255"/>
      <c r="AO14" s="256"/>
    </row>
    <row r="15" spans="1:41" s="232" customFormat="1" ht="24.6" customHeight="1">
      <c r="A15" s="249" t="s">
        <v>633</v>
      </c>
      <c r="B15" s="250">
        <f t="shared" si="2"/>
        <v>104316</v>
      </c>
      <c r="C15" s="272">
        <f>(B15-B14)</f>
        <v>1520</v>
      </c>
      <c r="D15" s="2015">
        <f>ROUND(C15/B14*100,3)</f>
        <v>1.4790000000000001</v>
      </c>
      <c r="E15" s="250">
        <f>+'1.1.1 과거인구현황'!D53</f>
        <v>104316</v>
      </c>
      <c r="F15" s="272">
        <f t="shared" si="0"/>
        <v>1520</v>
      </c>
      <c r="G15" s="2015">
        <f t="shared" si="1"/>
        <v>1.4790000000000001</v>
      </c>
      <c r="H15" s="252"/>
      <c r="I15" s="253"/>
      <c r="J15" s="253"/>
      <c r="K15" s="253"/>
      <c r="L15" s="254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  <c r="Z15" s="255"/>
      <c r="AA15" s="256"/>
      <c r="AB15" s="257"/>
      <c r="AC15" s="255"/>
      <c r="AD15" s="255"/>
      <c r="AE15" s="255"/>
      <c r="AF15" s="255"/>
      <c r="AG15" s="255"/>
      <c r="AH15" s="255"/>
      <c r="AI15" s="255"/>
      <c r="AJ15" s="255"/>
      <c r="AK15" s="255"/>
      <c r="AL15" s="255"/>
      <c r="AM15" s="255"/>
      <c r="AN15" s="255"/>
      <c r="AO15" s="256"/>
    </row>
    <row r="16" spans="1:41" s="232" customFormat="1" ht="24.6" customHeight="1">
      <c r="A16" s="2121" t="s">
        <v>1219</v>
      </c>
      <c r="B16" s="2122">
        <f t="shared" si="2"/>
        <v>106419</v>
      </c>
      <c r="C16" s="2123">
        <f>(B16-B15)</f>
        <v>2103</v>
      </c>
      <c r="D16" s="2124">
        <f>ROUND(C16/B15*100,3)</f>
        <v>2.016</v>
      </c>
      <c r="E16" s="2122">
        <f>+'1.1.1 과거인구현황'!D54</f>
        <v>106419</v>
      </c>
      <c r="F16" s="2123">
        <f t="shared" si="0"/>
        <v>2103</v>
      </c>
      <c r="G16" s="2124">
        <f t="shared" si="1"/>
        <v>2.016</v>
      </c>
      <c r="H16" s="252"/>
      <c r="I16" s="253"/>
      <c r="J16" s="253"/>
      <c r="K16" s="253"/>
      <c r="L16" s="254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  <c r="Z16" s="255"/>
      <c r="AA16" s="256"/>
      <c r="AB16" s="257"/>
      <c r="AC16" s="255"/>
      <c r="AD16" s="255"/>
      <c r="AE16" s="255"/>
      <c r="AF16" s="255"/>
      <c r="AG16" s="255"/>
      <c r="AH16" s="255"/>
      <c r="AI16" s="255"/>
      <c r="AJ16" s="255"/>
      <c r="AK16" s="255"/>
      <c r="AL16" s="255"/>
      <c r="AM16" s="255"/>
      <c r="AN16" s="255"/>
      <c r="AO16" s="256"/>
    </row>
    <row r="17" spans="1:41" s="232" customFormat="1" ht="24.6" customHeight="1">
      <c r="A17" s="2179" t="s">
        <v>246</v>
      </c>
      <c r="B17" s="2180"/>
      <c r="C17" s="2181">
        <f>SUM(C12:C16)</f>
        <v>9426</v>
      </c>
      <c r="D17" s="2182">
        <f>ROUND(((B16/B12)^(1/4)-1)*100,2)</f>
        <v>2.0099999999999998</v>
      </c>
      <c r="E17" s="2180"/>
      <c r="F17" s="2181">
        <f>SUM(F7:F16)</f>
        <v>16260</v>
      </c>
      <c r="G17" s="2182">
        <f>ROUND(((E16/E7)^(1/9)-1)*100,2)</f>
        <v>1.57</v>
      </c>
      <c r="H17" s="2306"/>
      <c r="I17" s="2306"/>
      <c r="J17" s="2306"/>
      <c r="K17" s="2306"/>
      <c r="L17" s="2307"/>
      <c r="M17" s="2183"/>
      <c r="N17" s="2183"/>
      <c r="O17" s="2183"/>
      <c r="P17" s="2183"/>
      <c r="Q17" s="2183"/>
      <c r="R17" s="2183"/>
      <c r="S17" s="2183"/>
      <c r="T17" s="2183"/>
      <c r="U17" s="2183"/>
      <c r="V17" s="2183"/>
      <c r="W17" s="2183"/>
      <c r="X17" s="2183"/>
      <c r="Y17" s="2184"/>
      <c r="Z17" s="255"/>
      <c r="AA17" s="256"/>
      <c r="AB17" s="257"/>
      <c r="AC17" s="255"/>
      <c r="AD17" s="255"/>
      <c r="AE17" s="255"/>
      <c r="AF17" s="255"/>
      <c r="AG17" s="255"/>
      <c r="AH17" s="255"/>
      <c r="AI17" s="255"/>
      <c r="AJ17" s="255"/>
      <c r="AK17" s="255"/>
      <c r="AL17" s="255"/>
      <c r="AM17" s="255"/>
      <c r="AN17" s="255"/>
      <c r="AO17" s="256"/>
    </row>
    <row r="18" spans="1:41" s="232" customFormat="1" ht="24.6" customHeight="1">
      <c r="A18" s="2287"/>
      <c r="B18" s="2287"/>
      <c r="C18" s="2287"/>
      <c r="D18" s="2288"/>
      <c r="E18" s="2288"/>
      <c r="F18" s="2288"/>
      <c r="G18" s="2288"/>
      <c r="H18" s="2288"/>
      <c r="I18" s="2288"/>
      <c r="J18" s="2288"/>
      <c r="K18" s="2288"/>
      <c r="L18" s="2288"/>
      <c r="M18" s="255"/>
      <c r="N18" s="255"/>
      <c r="O18" s="255"/>
      <c r="P18" s="255"/>
      <c r="Q18" s="255"/>
      <c r="R18" s="255"/>
      <c r="S18" s="255"/>
      <c r="T18" s="255"/>
      <c r="U18" s="255"/>
      <c r="V18" s="255"/>
      <c r="W18" s="255"/>
      <c r="X18" s="255"/>
      <c r="Y18" s="256"/>
      <c r="Z18" s="255"/>
      <c r="AA18" s="256"/>
      <c r="AB18" s="257"/>
      <c r="AC18" s="255"/>
      <c r="AD18" s="255"/>
      <c r="AE18" s="255"/>
      <c r="AF18" s="255"/>
      <c r="AG18" s="255"/>
      <c r="AH18" s="255"/>
      <c r="AI18" s="255"/>
      <c r="AJ18" s="255"/>
      <c r="AK18" s="255"/>
      <c r="AL18" s="255"/>
      <c r="AM18" s="255"/>
      <c r="AN18" s="255"/>
      <c r="AO18" s="256"/>
    </row>
    <row r="19" spans="1:41" s="232" customFormat="1" ht="24.6" customHeight="1">
      <c r="A19" s="2289"/>
      <c r="B19" s="2289"/>
      <c r="C19" s="2289"/>
      <c r="D19" s="2290"/>
      <c r="E19" s="2290"/>
      <c r="F19" s="2290"/>
      <c r="G19" s="2290"/>
      <c r="H19" s="2290"/>
      <c r="I19" s="2290"/>
      <c r="J19" s="2290"/>
      <c r="K19" s="2290"/>
      <c r="L19" s="2290"/>
      <c r="M19" s="255"/>
      <c r="N19" s="265"/>
      <c r="O19" s="255"/>
      <c r="P19" s="255"/>
      <c r="Q19" s="255"/>
      <c r="R19" s="255"/>
      <c r="S19" s="255"/>
      <c r="T19" s="255"/>
      <c r="U19" s="255"/>
      <c r="V19" s="255"/>
      <c r="W19" s="255"/>
      <c r="X19" s="255"/>
      <c r="Y19" s="256"/>
      <c r="Z19" s="255"/>
      <c r="AA19" s="256"/>
      <c r="AB19" s="257"/>
      <c r="AC19" s="255"/>
      <c r="AD19" s="255"/>
      <c r="AE19" s="255"/>
      <c r="AF19" s="255"/>
      <c r="AG19" s="255"/>
      <c r="AH19" s="255"/>
      <c r="AI19" s="255"/>
      <c r="AJ19" s="255"/>
      <c r="AK19" s="255"/>
      <c r="AL19" s="255"/>
      <c r="AM19" s="255"/>
      <c r="AN19" s="255"/>
      <c r="AO19" s="256"/>
    </row>
    <row r="20" spans="1:41" s="232" customFormat="1" ht="24.6" customHeight="1">
      <c r="A20" s="2249"/>
      <c r="B20" s="2249"/>
      <c r="C20" s="2249"/>
      <c r="D20" s="2250"/>
      <c r="E20" s="2250"/>
      <c r="F20" s="2250"/>
      <c r="G20" s="2250"/>
      <c r="H20" s="2250"/>
      <c r="I20" s="2250"/>
      <c r="J20" s="2250"/>
      <c r="K20" s="2250"/>
      <c r="L20" s="2250"/>
      <c r="M20" s="255"/>
      <c r="N20" s="265"/>
      <c r="O20" s="255"/>
      <c r="P20" s="255"/>
      <c r="Q20" s="255"/>
      <c r="R20" s="255"/>
      <c r="S20" s="255"/>
      <c r="T20" s="255"/>
      <c r="U20" s="255"/>
      <c r="V20" s="255"/>
      <c r="W20" s="255"/>
      <c r="X20" s="255"/>
      <c r="Y20" s="256"/>
      <c r="Z20" s="255"/>
      <c r="AA20" s="256"/>
      <c r="AB20" s="257"/>
      <c r="AC20" s="255"/>
      <c r="AD20" s="255"/>
      <c r="AE20" s="255"/>
      <c r="AF20" s="255"/>
      <c r="AG20" s="255"/>
      <c r="AH20" s="255"/>
      <c r="AI20" s="255"/>
      <c r="AJ20" s="255"/>
      <c r="AK20" s="255"/>
      <c r="AL20" s="255"/>
      <c r="AM20" s="255"/>
      <c r="AN20" s="255"/>
      <c r="AO20" s="256"/>
    </row>
    <row r="21" spans="1:41" s="232" customFormat="1" ht="24.6" customHeight="1">
      <c r="A21" s="229" t="s">
        <v>646</v>
      </c>
      <c r="B21" s="268"/>
      <c r="C21" s="268"/>
      <c r="D21" s="268"/>
      <c r="E21" s="268"/>
      <c r="F21" s="268"/>
      <c r="G21" s="2256"/>
      <c r="H21" s="268"/>
      <c r="I21" s="268"/>
      <c r="J21" s="268"/>
      <c r="K21" s="268"/>
      <c r="L21" s="268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6"/>
      <c r="Z21" s="255"/>
      <c r="AA21" s="256"/>
      <c r="AB21" s="257"/>
      <c r="AC21" s="255"/>
      <c r="AD21" s="255"/>
      <c r="AE21" s="255"/>
      <c r="AF21" s="255"/>
      <c r="AG21" s="255"/>
      <c r="AH21" s="255"/>
      <c r="AI21" s="255"/>
      <c r="AJ21" s="255"/>
      <c r="AK21" s="255"/>
      <c r="AL21" s="255"/>
      <c r="AM21" s="255"/>
      <c r="AN21" s="255"/>
      <c r="AO21" s="256"/>
    </row>
    <row r="22" spans="1:41" ht="24.6" customHeight="1">
      <c r="A22" s="2291" t="s">
        <v>235</v>
      </c>
      <c r="B22" s="2294" t="s">
        <v>648</v>
      </c>
      <c r="C22" s="2295"/>
      <c r="D22" s="2295"/>
      <c r="E22" s="2295"/>
      <c r="F22" s="2295"/>
      <c r="G22" s="2295"/>
      <c r="H22" s="2295"/>
      <c r="I22" s="2295"/>
      <c r="J22" s="2295"/>
      <c r="K22" s="2295"/>
      <c r="L22" s="2296"/>
      <c r="M22" s="269"/>
      <c r="N22" s="269"/>
      <c r="O22" s="269"/>
      <c r="P22" s="269"/>
      <c r="Q22" s="269"/>
      <c r="R22" s="269"/>
      <c r="S22" s="269"/>
      <c r="T22" s="269"/>
      <c r="U22" s="269"/>
      <c r="V22" s="269"/>
      <c r="W22" s="269"/>
      <c r="X22" s="269"/>
      <c r="Y22" s="270"/>
      <c r="Z22" s="269"/>
      <c r="AA22" s="270"/>
      <c r="AB22" s="271"/>
      <c r="AC22" s="269"/>
      <c r="AD22" s="269"/>
      <c r="AE22" s="269"/>
      <c r="AF22" s="269"/>
      <c r="AG22" s="269"/>
      <c r="AH22" s="269"/>
      <c r="AI22" s="269"/>
      <c r="AJ22" s="269"/>
      <c r="AK22" s="269"/>
      <c r="AL22" s="269"/>
      <c r="AM22" s="269"/>
      <c r="AN22" s="269"/>
      <c r="AO22" s="270"/>
    </row>
    <row r="23" spans="1:41" ht="24.6" customHeight="1">
      <c r="A23" s="2292"/>
      <c r="B23" s="2297" t="s">
        <v>237</v>
      </c>
      <c r="C23" s="2298"/>
      <c r="D23" s="2299"/>
      <c r="E23" s="2297" t="s">
        <v>239</v>
      </c>
      <c r="F23" s="2298"/>
      <c r="G23" s="2299"/>
      <c r="H23" s="2300" t="s">
        <v>241</v>
      </c>
      <c r="I23" s="2301"/>
      <c r="J23" s="2301"/>
      <c r="K23" s="2301"/>
      <c r="L23" s="2302"/>
      <c r="M23" s="269"/>
      <c r="N23" s="269"/>
      <c r="O23" s="269"/>
      <c r="P23" s="269"/>
      <c r="Q23" s="269"/>
      <c r="R23" s="269"/>
      <c r="S23" s="269"/>
      <c r="T23" s="269"/>
      <c r="U23" s="269"/>
      <c r="V23" s="269"/>
      <c r="W23" s="269"/>
      <c r="X23" s="269"/>
      <c r="Y23" s="270"/>
      <c r="Z23" s="269"/>
      <c r="AA23" s="270"/>
      <c r="AB23" s="271"/>
      <c r="AC23" s="269"/>
      <c r="AD23" s="269"/>
      <c r="AE23" s="269"/>
      <c r="AF23" s="269"/>
      <c r="AG23" s="269"/>
      <c r="AH23" s="269"/>
      <c r="AI23" s="269"/>
      <c r="AJ23" s="269"/>
      <c r="AK23" s="269"/>
      <c r="AL23" s="269"/>
      <c r="AM23" s="269"/>
      <c r="AN23" s="269"/>
      <c r="AO23" s="270"/>
    </row>
    <row r="24" spans="1:41" ht="27" customHeight="1">
      <c r="A24" s="2293"/>
      <c r="B24" s="240" t="s">
        <v>243</v>
      </c>
      <c r="C24" s="241" t="s">
        <v>244</v>
      </c>
      <c r="D24" s="241" t="s">
        <v>245</v>
      </c>
      <c r="E24" s="240" t="s">
        <v>243</v>
      </c>
      <c r="F24" s="241" t="s">
        <v>244</v>
      </c>
      <c r="G24" s="241" t="s">
        <v>245</v>
      </c>
      <c r="H24" s="2303"/>
      <c r="I24" s="2304"/>
      <c r="J24" s="2304"/>
      <c r="K24" s="2304"/>
      <c r="L24" s="2305"/>
      <c r="M24" s="269"/>
      <c r="N24" s="269"/>
      <c r="O24" s="269"/>
      <c r="P24" s="269"/>
      <c r="Q24" s="269"/>
      <c r="R24" s="269"/>
      <c r="S24" s="269"/>
      <c r="T24" s="269"/>
      <c r="U24" s="269"/>
      <c r="V24" s="269"/>
      <c r="W24" s="269"/>
      <c r="X24" s="269"/>
      <c r="Y24" s="270"/>
      <c r="Z24" s="269"/>
      <c r="AA24" s="270"/>
      <c r="AB24" s="271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70"/>
    </row>
    <row r="25" spans="1:41" ht="27" customHeight="1">
      <c r="A25" s="249" t="s">
        <v>192</v>
      </c>
      <c r="B25" s="242"/>
      <c r="C25" s="243"/>
      <c r="D25" s="243"/>
      <c r="E25" s="242">
        <f>+'1.1.1 과거인구현황'!C9</f>
        <v>18154</v>
      </c>
      <c r="F25" s="243"/>
      <c r="G25" s="243"/>
      <c r="H25" s="246"/>
      <c r="I25" s="247"/>
      <c r="J25" s="247"/>
      <c r="K25" s="247"/>
      <c r="L25" s="248"/>
      <c r="M25" s="269"/>
      <c r="N25" s="269"/>
      <c r="O25" s="269"/>
      <c r="P25" s="269"/>
      <c r="Q25" s="269"/>
      <c r="R25" s="269"/>
      <c r="S25" s="269"/>
      <c r="T25" s="269"/>
      <c r="U25" s="269"/>
      <c r="V25" s="269"/>
      <c r="W25" s="269"/>
      <c r="X25" s="269"/>
      <c r="Y25" s="270"/>
      <c r="Z25" s="269"/>
      <c r="AA25" s="270"/>
      <c r="AB25" s="271"/>
      <c r="AC25" s="269"/>
      <c r="AD25" s="269"/>
      <c r="AE25" s="269"/>
      <c r="AF25" s="269"/>
      <c r="AG25" s="269"/>
      <c r="AH25" s="269"/>
      <c r="AI25" s="269"/>
      <c r="AJ25" s="269"/>
      <c r="AK25" s="269"/>
      <c r="AL25" s="269"/>
      <c r="AM25" s="269"/>
      <c r="AN25" s="269"/>
      <c r="AO25" s="270"/>
    </row>
    <row r="26" spans="1:41" ht="24.6" customHeight="1">
      <c r="A26" s="249" t="s">
        <v>193</v>
      </c>
      <c r="B26" s="250"/>
      <c r="C26" s="250"/>
      <c r="D26" s="250"/>
      <c r="E26" s="250">
        <f>+'1.1.1 과거인구현황'!F45</f>
        <v>18414</v>
      </c>
      <c r="F26" s="272">
        <f t="shared" ref="F26:F35" si="3">(E26-E25)</f>
        <v>260</v>
      </c>
      <c r="G26" s="260">
        <f t="shared" ref="G26:G35" si="4">ROUND(F26/E25*100,3)</f>
        <v>1.4319999999999999</v>
      </c>
      <c r="H26" s="252"/>
      <c r="I26" s="253"/>
      <c r="J26" s="253"/>
      <c r="K26" s="253"/>
      <c r="L26" s="254"/>
      <c r="M26" s="269"/>
      <c r="N26" s="269"/>
      <c r="O26" s="269"/>
      <c r="P26" s="269"/>
      <c r="Q26" s="269"/>
      <c r="R26" s="269"/>
      <c r="S26" s="269"/>
      <c r="T26" s="269"/>
      <c r="U26" s="269"/>
      <c r="V26" s="269"/>
      <c r="W26" s="269"/>
      <c r="X26" s="269"/>
      <c r="Y26" s="270"/>
      <c r="Z26" s="269"/>
      <c r="AA26" s="270"/>
      <c r="AB26" s="271"/>
      <c r="AC26" s="269"/>
      <c r="AD26" s="269"/>
      <c r="AE26" s="269"/>
      <c r="AF26" s="269"/>
      <c r="AG26" s="269"/>
      <c r="AH26" s="269"/>
      <c r="AI26" s="269"/>
      <c r="AJ26" s="269"/>
      <c r="AK26" s="269"/>
      <c r="AL26" s="269"/>
      <c r="AM26" s="269"/>
      <c r="AN26" s="269"/>
      <c r="AO26" s="270"/>
    </row>
    <row r="27" spans="1:41" ht="24.6" customHeight="1">
      <c r="A27" s="249" t="s">
        <v>194</v>
      </c>
      <c r="B27" s="258"/>
      <c r="C27" s="258"/>
      <c r="D27" s="258"/>
      <c r="E27" s="258">
        <f>+'1.1.1 과거인구현황'!F46</f>
        <v>18251</v>
      </c>
      <c r="F27" s="259">
        <f t="shared" si="3"/>
        <v>-163</v>
      </c>
      <c r="G27" s="260">
        <f t="shared" si="4"/>
        <v>-0.88500000000000001</v>
      </c>
      <c r="H27" s="252"/>
      <c r="I27" s="253"/>
      <c r="J27" s="253"/>
      <c r="K27" s="253"/>
      <c r="L27" s="254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70"/>
      <c r="Z27" s="269"/>
      <c r="AA27" s="270"/>
      <c r="AB27" s="271"/>
      <c r="AC27" s="269"/>
      <c r="AD27" s="269"/>
      <c r="AE27" s="269"/>
      <c r="AF27" s="269"/>
      <c r="AG27" s="269"/>
      <c r="AH27" s="269"/>
      <c r="AI27" s="269"/>
      <c r="AJ27" s="269"/>
      <c r="AK27" s="269"/>
      <c r="AL27" s="269"/>
      <c r="AM27" s="269"/>
      <c r="AN27" s="269"/>
      <c r="AO27" s="270"/>
    </row>
    <row r="28" spans="1:41" ht="24.6" customHeight="1">
      <c r="A28" s="2084" t="s">
        <v>195</v>
      </c>
      <c r="B28" s="280"/>
      <c r="C28" s="280"/>
      <c r="D28" s="280"/>
      <c r="E28" s="280">
        <f>+'1.1.1 과거인구현황'!F47</f>
        <v>18588</v>
      </c>
      <c r="F28" s="2085">
        <f t="shared" si="3"/>
        <v>337</v>
      </c>
      <c r="G28" s="2086">
        <f t="shared" si="4"/>
        <v>1.8460000000000001</v>
      </c>
      <c r="H28" s="2087"/>
      <c r="I28" s="2088"/>
      <c r="J28" s="2088"/>
      <c r="K28" s="2088"/>
      <c r="L28" s="2089"/>
      <c r="M28" s="274"/>
      <c r="N28" s="274"/>
      <c r="O28" s="274"/>
      <c r="P28" s="274"/>
      <c r="Q28" s="274"/>
      <c r="R28" s="274"/>
      <c r="S28" s="274"/>
      <c r="T28" s="274"/>
      <c r="U28" s="274"/>
      <c r="V28" s="274"/>
      <c r="W28" s="274"/>
      <c r="X28" s="274"/>
      <c r="Y28" s="275"/>
      <c r="Z28" s="269"/>
      <c r="AA28" s="270"/>
      <c r="AB28" s="273"/>
      <c r="AC28" s="274"/>
      <c r="AD28" s="274"/>
      <c r="AE28" s="274"/>
      <c r="AF28" s="274"/>
      <c r="AG28" s="274"/>
      <c r="AH28" s="274"/>
      <c r="AI28" s="274"/>
      <c r="AJ28" s="274"/>
      <c r="AK28" s="274"/>
      <c r="AL28" s="274"/>
      <c r="AM28" s="274"/>
      <c r="AN28" s="274"/>
      <c r="AO28" s="275"/>
    </row>
    <row r="29" spans="1:41" ht="24.6" customHeight="1">
      <c r="A29" s="249" t="s">
        <v>196</v>
      </c>
      <c r="B29" s="250"/>
      <c r="C29" s="250"/>
      <c r="D29" s="250"/>
      <c r="E29" s="250">
        <f>+'1.1.1 과거인구현황'!F48</f>
        <v>19021</v>
      </c>
      <c r="F29" s="272">
        <f t="shared" si="3"/>
        <v>433</v>
      </c>
      <c r="G29" s="2015">
        <f t="shared" si="4"/>
        <v>2.3290000000000002</v>
      </c>
      <c r="H29" s="252"/>
      <c r="I29" s="253"/>
      <c r="J29" s="253"/>
      <c r="K29" s="253"/>
      <c r="L29" s="254"/>
      <c r="M29" s="269"/>
      <c r="N29" s="269"/>
      <c r="O29" s="269"/>
      <c r="P29" s="269"/>
      <c r="Q29" s="269"/>
      <c r="R29" s="269"/>
      <c r="S29" s="269"/>
      <c r="T29" s="269"/>
      <c r="U29" s="269"/>
      <c r="V29" s="269"/>
      <c r="W29" s="269"/>
      <c r="X29" s="269"/>
      <c r="Y29" s="269"/>
      <c r="Z29" s="269"/>
      <c r="AA29" s="270"/>
    </row>
    <row r="30" spans="1:41" ht="24.6" customHeight="1">
      <c r="A30" s="249" t="s">
        <v>197</v>
      </c>
      <c r="B30" s="258">
        <f t="shared" ref="B30:B35" si="5">E30</f>
        <v>18690</v>
      </c>
      <c r="C30" s="258"/>
      <c r="D30" s="258"/>
      <c r="E30" s="258">
        <f>+'1.1.1 과거인구현황'!F49</f>
        <v>18690</v>
      </c>
      <c r="F30" s="259">
        <f t="shared" si="3"/>
        <v>-331</v>
      </c>
      <c r="G30" s="260">
        <f t="shared" si="4"/>
        <v>-1.74</v>
      </c>
      <c r="H30" s="252"/>
      <c r="I30" s="253"/>
      <c r="J30" s="253"/>
      <c r="K30" s="253"/>
      <c r="L30" s="254"/>
      <c r="M30" s="269"/>
      <c r="N30" s="269"/>
      <c r="O30" s="269"/>
      <c r="P30" s="269"/>
      <c r="Q30" s="269"/>
      <c r="R30" s="269"/>
      <c r="S30" s="269"/>
      <c r="T30" s="269"/>
      <c r="U30" s="269"/>
      <c r="V30" s="269"/>
      <c r="W30" s="269"/>
      <c r="X30" s="269"/>
      <c r="Y30" s="269"/>
      <c r="Z30" s="269"/>
      <c r="AA30" s="270"/>
    </row>
    <row r="31" spans="1:41" ht="24.6" customHeight="1">
      <c r="A31" s="249" t="s">
        <v>198</v>
      </c>
      <c r="B31" s="258">
        <f t="shared" si="5"/>
        <v>18920</v>
      </c>
      <c r="C31" s="259">
        <f>(B31-B30)</f>
        <v>230</v>
      </c>
      <c r="D31" s="260">
        <f>ROUND(C31/B30*100,3)</f>
        <v>1.2310000000000001</v>
      </c>
      <c r="E31" s="258">
        <f>+'1.1.1 과거인구현황'!F50</f>
        <v>18920</v>
      </c>
      <c r="F31" s="259">
        <f t="shared" si="3"/>
        <v>230</v>
      </c>
      <c r="G31" s="260">
        <f t="shared" si="4"/>
        <v>1.2310000000000001</v>
      </c>
      <c r="H31" s="252"/>
      <c r="I31" s="253"/>
      <c r="J31" s="253"/>
      <c r="K31" s="253"/>
      <c r="L31" s="254"/>
      <c r="M31" s="269"/>
      <c r="N31" s="269"/>
      <c r="O31" s="269"/>
      <c r="P31" s="269"/>
      <c r="Q31" s="269"/>
      <c r="R31" s="269"/>
      <c r="S31" s="269"/>
      <c r="T31" s="269"/>
      <c r="U31" s="269"/>
      <c r="V31" s="269"/>
      <c r="W31" s="269"/>
      <c r="X31" s="269"/>
      <c r="Y31" s="269"/>
      <c r="Z31" s="269"/>
      <c r="AA31" s="270"/>
    </row>
    <row r="32" spans="1:41" ht="24.6" customHeight="1">
      <c r="A32" s="249" t="s">
        <v>199</v>
      </c>
      <c r="B32" s="258">
        <f t="shared" si="5"/>
        <v>19167</v>
      </c>
      <c r="C32" s="259">
        <f>(B32-B31)</f>
        <v>247</v>
      </c>
      <c r="D32" s="260">
        <f>ROUND(C32/B31*100,3)</f>
        <v>1.3049999999999999</v>
      </c>
      <c r="E32" s="258">
        <f>+'1.1.1 과거인구현황'!F51</f>
        <v>19167</v>
      </c>
      <c r="F32" s="259">
        <f t="shared" si="3"/>
        <v>247</v>
      </c>
      <c r="G32" s="260">
        <f t="shared" si="4"/>
        <v>1.3049999999999999</v>
      </c>
      <c r="H32" s="252"/>
      <c r="I32" s="253"/>
      <c r="J32" s="253"/>
      <c r="K32" s="253"/>
      <c r="L32" s="254"/>
      <c r="M32" s="269"/>
      <c r="N32" s="269"/>
      <c r="O32" s="269"/>
      <c r="P32" s="269"/>
      <c r="Q32" s="269"/>
      <c r="R32" s="269"/>
      <c r="S32" s="269"/>
      <c r="T32" s="269"/>
      <c r="U32" s="269"/>
      <c r="V32" s="269"/>
      <c r="W32" s="269"/>
      <c r="X32" s="269"/>
      <c r="Y32" s="269"/>
      <c r="Z32" s="269"/>
      <c r="AA32" s="270"/>
    </row>
    <row r="33" spans="1:27" ht="24.6" customHeight="1">
      <c r="A33" s="249" t="s">
        <v>625</v>
      </c>
      <c r="B33" s="258">
        <f t="shared" si="5"/>
        <v>19214</v>
      </c>
      <c r="C33" s="259">
        <f>(B33-B32)</f>
        <v>47</v>
      </c>
      <c r="D33" s="260">
        <f>ROUND(C33/B32*100,3)</f>
        <v>0.245</v>
      </c>
      <c r="E33" s="258">
        <f>+'1.1.1 과거인구현황'!F52</f>
        <v>19214</v>
      </c>
      <c r="F33" s="259">
        <f t="shared" si="3"/>
        <v>47</v>
      </c>
      <c r="G33" s="260">
        <f t="shared" si="4"/>
        <v>0.245</v>
      </c>
      <c r="H33" s="252"/>
      <c r="I33" s="253"/>
      <c r="J33" s="253"/>
      <c r="K33" s="253"/>
      <c r="L33" s="254"/>
      <c r="M33" s="269"/>
      <c r="N33" s="269"/>
      <c r="O33" s="269"/>
      <c r="P33" s="269"/>
      <c r="Q33" s="269"/>
      <c r="R33" s="269"/>
      <c r="S33" s="269"/>
      <c r="T33" s="269"/>
      <c r="U33" s="269"/>
      <c r="V33" s="269"/>
      <c r="W33" s="269"/>
      <c r="X33" s="269"/>
      <c r="Y33" s="269"/>
      <c r="Z33" s="269"/>
      <c r="AA33" s="270"/>
    </row>
    <row r="34" spans="1:27" ht="24.6" customHeight="1">
      <c r="A34" s="249" t="s">
        <v>633</v>
      </c>
      <c r="B34" s="258">
        <f t="shared" si="5"/>
        <v>18986</v>
      </c>
      <c r="C34" s="259">
        <f>(B34-B33)</f>
        <v>-228</v>
      </c>
      <c r="D34" s="260">
        <f>ROUND(C34/B33*100,3)</f>
        <v>-1.1870000000000001</v>
      </c>
      <c r="E34" s="258">
        <f>+'1.1.1 과거인구현황'!F53</f>
        <v>18986</v>
      </c>
      <c r="F34" s="259">
        <f t="shared" si="3"/>
        <v>-228</v>
      </c>
      <c r="G34" s="260">
        <f t="shared" si="4"/>
        <v>-1.1870000000000001</v>
      </c>
      <c r="H34" s="252"/>
      <c r="I34" s="253"/>
      <c r="J34" s="253"/>
      <c r="K34" s="253"/>
      <c r="L34" s="254"/>
      <c r="M34" s="269"/>
      <c r="N34" s="269"/>
      <c r="O34" s="269"/>
      <c r="P34" s="269"/>
      <c r="Q34" s="269"/>
      <c r="R34" s="269"/>
      <c r="S34" s="269"/>
      <c r="T34" s="269"/>
      <c r="U34" s="269"/>
      <c r="V34" s="269"/>
      <c r="W34" s="269"/>
      <c r="X34" s="269"/>
      <c r="Y34" s="269"/>
      <c r="Z34" s="269"/>
      <c r="AA34" s="270"/>
    </row>
    <row r="35" spans="1:27" ht="24.6" customHeight="1">
      <c r="A35" s="249" t="s">
        <v>1219</v>
      </c>
      <c r="B35" s="258">
        <f t="shared" si="5"/>
        <v>19057</v>
      </c>
      <c r="C35" s="259">
        <f>(B35-B34)</f>
        <v>71</v>
      </c>
      <c r="D35" s="260">
        <f>ROUND(C35/B34*100,3)</f>
        <v>0.374</v>
      </c>
      <c r="E35" s="258">
        <f>+'1.1.1 과거인구현황'!F54</f>
        <v>19057</v>
      </c>
      <c r="F35" s="259">
        <f t="shared" si="3"/>
        <v>71</v>
      </c>
      <c r="G35" s="260">
        <f t="shared" si="4"/>
        <v>0.374</v>
      </c>
      <c r="H35" s="252"/>
      <c r="I35" s="253"/>
      <c r="J35" s="253"/>
      <c r="K35" s="253"/>
      <c r="L35" s="254"/>
      <c r="M35" s="269"/>
      <c r="N35" s="269"/>
      <c r="O35" s="269"/>
      <c r="P35" s="269"/>
      <c r="Q35" s="269"/>
      <c r="R35" s="269"/>
      <c r="S35" s="269"/>
      <c r="T35" s="269"/>
      <c r="U35" s="269"/>
      <c r="V35" s="269"/>
      <c r="W35" s="269"/>
      <c r="X35" s="269"/>
      <c r="Y35" s="269"/>
      <c r="Z35" s="269"/>
      <c r="AA35" s="270"/>
    </row>
    <row r="36" spans="1:27" ht="24.6" customHeight="1">
      <c r="A36" s="261" t="s">
        <v>246</v>
      </c>
      <c r="B36" s="262"/>
      <c r="C36" s="263">
        <f>SUM(C31:C35)</f>
        <v>367</v>
      </c>
      <c r="D36" s="264">
        <f>ROUND(((B35/B31)^(1/4)-1)*100,2)</f>
        <v>0.18</v>
      </c>
      <c r="E36" s="262"/>
      <c r="F36" s="263">
        <f>SUM(F26:F35)</f>
        <v>903</v>
      </c>
      <c r="G36" s="264">
        <f>ROUND(((E35/E26)^(1/9)-1)*100,2)</f>
        <v>0.38</v>
      </c>
      <c r="H36" s="2285"/>
      <c r="I36" s="2285"/>
      <c r="J36" s="2285"/>
      <c r="K36" s="2285"/>
      <c r="L36" s="2286"/>
      <c r="M36" s="269"/>
      <c r="N36" s="269"/>
      <c r="O36" s="269"/>
      <c r="P36" s="269"/>
      <c r="Q36" s="269"/>
      <c r="R36" s="269"/>
      <c r="S36" s="269"/>
      <c r="T36" s="269"/>
      <c r="U36" s="269"/>
      <c r="V36" s="269"/>
      <c r="W36" s="269"/>
      <c r="X36" s="269"/>
      <c r="Y36" s="269"/>
      <c r="Z36" s="269"/>
      <c r="AA36" s="270"/>
    </row>
    <row r="37" spans="1:27" ht="24.6" customHeight="1">
      <c r="A37" s="229" t="s">
        <v>650</v>
      </c>
      <c r="B37" s="253"/>
      <c r="C37" s="253"/>
      <c r="D37" s="253"/>
      <c r="E37" s="253"/>
      <c r="F37" s="253"/>
      <c r="G37" s="276"/>
      <c r="H37" s="253"/>
      <c r="I37" s="253"/>
      <c r="J37" s="253"/>
      <c r="K37" s="253"/>
      <c r="L37" s="253"/>
      <c r="M37" s="269"/>
      <c r="N37" s="269"/>
      <c r="O37" s="269"/>
      <c r="P37" s="269"/>
      <c r="Q37" s="269"/>
      <c r="R37" s="269"/>
      <c r="S37" s="269"/>
      <c r="T37" s="269"/>
      <c r="U37" s="269"/>
      <c r="V37" s="269"/>
      <c r="W37" s="269"/>
      <c r="X37" s="269"/>
      <c r="Y37" s="269"/>
      <c r="Z37" s="269"/>
      <c r="AA37" s="270"/>
    </row>
    <row r="38" spans="1:27" ht="24.6" customHeight="1">
      <c r="A38" s="2291" t="s">
        <v>235</v>
      </c>
      <c r="B38" s="2294" t="s">
        <v>649</v>
      </c>
      <c r="C38" s="2295"/>
      <c r="D38" s="2295"/>
      <c r="E38" s="2295"/>
      <c r="F38" s="2295"/>
      <c r="G38" s="2295"/>
      <c r="H38" s="2295"/>
      <c r="I38" s="2295"/>
      <c r="J38" s="2295"/>
      <c r="K38" s="2295"/>
      <c r="L38" s="2296"/>
      <c r="M38" s="269"/>
      <c r="N38" s="269"/>
      <c r="O38" s="269"/>
      <c r="P38" s="269"/>
      <c r="Q38" s="269"/>
      <c r="R38" s="269"/>
      <c r="S38" s="269"/>
      <c r="T38" s="269"/>
      <c r="U38" s="269"/>
      <c r="V38" s="269"/>
      <c r="W38" s="269"/>
      <c r="X38" s="269"/>
      <c r="Y38" s="269"/>
      <c r="Z38" s="269"/>
      <c r="AA38" s="270"/>
    </row>
    <row r="39" spans="1:27" ht="24.6" customHeight="1">
      <c r="A39" s="2292"/>
      <c r="B39" s="2297" t="s">
        <v>237</v>
      </c>
      <c r="C39" s="2298"/>
      <c r="D39" s="2299"/>
      <c r="E39" s="2297" t="s">
        <v>239</v>
      </c>
      <c r="F39" s="2298"/>
      <c r="G39" s="2299"/>
      <c r="H39" s="2300" t="s">
        <v>241</v>
      </c>
      <c r="I39" s="2301"/>
      <c r="J39" s="2301"/>
      <c r="K39" s="2301"/>
      <c r="L39" s="2302"/>
      <c r="M39" s="269"/>
      <c r="N39" s="269"/>
      <c r="O39" s="269"/>
      <c r="P39" s="269"/>
      <c r="Q39" s="269"/>
      <c r="R39" s="269"/>
      <c r="S39" s="269"/>
      <c r="T39" s="269"/>
      <c r="U39" s="269"/>
      <c r="V39" s="269"/>
      <c r="W39" s="269"/>
      <c r="X39" s="269"/>
      <c r="Y39" s="269"/>
      <c r="Z39" s="269"/>
      <c r="AA39" s="270"/>
    </row>
    <row r="40" spans="1:27" ht="24.6" customHeight="1">
      <c r="A40" s="2293"/>
      <c r="B40" s="240" t="s">
        <v>243</v>
      </c>
      <c r="C40" s="241" t="s">
        <v>244</v>
      </c>
      <c r="D40" s="241" t="s">
        <v>245</v>
      </c>
      <c r="E40" s="240" t="s">
        <v>243</v>
      </c>
      <c r="F40" s="241" t="s">
        <v>244</v>
      </c>
      <c r="G40" s="241" t="s">
        <v>245</v>
      </c>
      <c r="H40" s="2303"/>
      <c r="I40" s="2304"/>
      <c r="J40" s="2304"/>
      <c r="K40" s="2304"/>
      <c r="L40" s="2305"/>
      <c r="M40" s="269"/>
      <c r="N40" s="269"/>
      <c r="O40" s="269"/>
      <c r="P40" s="269"/>
      <c r="Q40" s="269"/>
      <c r="R40" s="269"/>
      <c r="S40" s="269"/>
      <c r="T40" s="269"/>
      <c r="U40" s="269"/>
      <c r="V40" s="269"/>
      <c r="W40" s="269"/>
      <c r="X40" s="269"/>
      <c r="Y40" s="269"/>
      <c r="Z40" s="269"/>
      <c r="AA40" s="270"/>
    </row>
    <row r="41" spans="1:27" ht="24.6" customHeight="1">
      <c r="A41" s="249" t="s">
        <v>192</v>
      </c>
      <c r="B41" s="242"/>
      <c r="C41" s="243"/>
      <c r="D41" s="243"/>
      <c r="E41" s="242">
        <f>+'1.1.1 과거인구현황'!C11</f>
        <v>19788</v>
      </c>
      <c r="F41" s="243"/>
      <c r="G41" s="243"/>
      <c r="H41" s="277"/>
      <c r="I41" s="278"/>
      <c r="J41" s="278"/>
      <c r="K41" s="278"/>
      <c r="L41" s="279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5"/>
    </row>
    <row r="42" spans="1:27" ht="24.6" customHeight="1">
      <c r="A42" s="249" t="s">
        <v>193</v>
      </c>
      <c r="B42" s="250"/>
      <c r="C42" s="250"/>
      <c r="D42" s="250"/>
      <c r="E42" s="250">
        <f>+'1.1.1 과거인구현황'!H45</f>
        <v>20615</v>
      </c>
      <c r="F42" s="272">
        <f t="shared" ref="F42:F51" si="6">(E42-E41)</f>
        <v>827</v>
      </c>
      <c r="G42" s="260">
        <f t="shared" ref="G42:G51" si="7">ROUND(F42/E41*100,3)</f>
        <v>4.1790000000000003</v>
      </c>
      <c r="H42" s="252"/>
      <c r="I42" s="253"/>
      <c r="J42" s="253"/>
      <c r="K42" s="253"/>
      <c r="L42" s="254"/>
    </row>
    <row r="43" spans="1:27" ht="24.6" customHeight="1">
      <c r="A43" s="249" t="s">
        <v>194</v>
      </c>
      <c r="B43" s="258"/>
      <c r="C43" s="258"/>
      <c r="D43" s="258"/>
      <c r="E43" s="258">
        <f>+'1.1.1 과거인구현황'!H46</f>
        <v>22162</v>
      </c>
      <c r="F43" s="259">
        <f t="shared" si="6"/>
        <v>1547</v>
      </c>
      <c r="G43" s="260">
        <f t="shared" si="7"/>
        <v>7.5039999999999996</v>
      </c>
      <c r="H43" s="252"/>
      <c r="I43" s="253"/>
      <c r="J43" s="253"/>
      <c r="K43" s="253"/>
      <c r="L43" s="254"/>
    </row>
    <row r="44" spans="1:27" ht="24.6" customHeight="1">
      <c r="A44" s="249" t="s">
        <v>195</v>
      </c>
      <c r="B44" s="258"/>
      <c r="C44" s="258"/>
      <c r="D44" s="258"/>
      <c r="E44" s="258">
        <f>+'1.1.1 과거인구현황'!H47</f>
        <v>22357</v>
      </c>
      <c r="F44" s="259">
        <f t="shared" si="6"/>
        <v>195</v>
      </c>
      <c r="G44" s="260">
        <f t="shared" si="7"/>
        <v>0.88</v>
      </c>
      <c r="H44" s="252"/>
      <c r="I44" s="253"/>
      <c r="J44" s="253"/>
      <c r="K44" s="253"/>
      <c r="L44" s="254"/>
    </row>
    <row r="45" spans="1:27" ht="24.6" customHeight="1">
      <c r="A45" s="249" t="s">
        <v>196</v>
      </c>
      <c r="B45" s="258"/>
      <c r="C45" s="258"/>
      <c r="D45" s="258"/>
      <c r="E45" s="258">
        <f>+'1.1.1 과거인구현황'!H48</f>
        <v>22538</v>
      </c>
      <c r="F45" s="259">
        <f t="shared" si="6"/>
        <v>181</v>
      </c>
      <c r="G45" s="260">
        <f t="shared" si="7"/>
        <v>0.81</v>
      </c>
      <c r="H45" s="252"/>
      <c r="I45" s="253"/>
      <c r="J45" s="253"/>
      <c r="K45" s="253"/>
      <c r="L45" s="254"/>
    </row>
    <row r="46" spans="1:27" ht="24.6" customHeight="1">
      <c r="A46" s="249" t="s">
        <v>197</v>
      </c>
      <c r="B46" s="258">
        <f t="shared" ref="B46:B51" si="8">E46</f>
        <v>22572</v>
      </c>
      <c r="C46" s="258"/>
      <c r="D46" s="258"/>
      <c r="E46" s="258">
        <f>+'1.1.1 과거인구현황'!H49</f>
        <v>22572</v>
      </c>
      <c r="F46" s="259">
        <f t="shared" si="6"/>
        <v>34</v>
      </c>
      <c r="G46" s="260">
        <f t="shared" si="7"/>
        <v>0.151</v>
      </c>
      <c r="H46" s="252"/>
      <c r="I46" s="253"/>
      <c r="J46" s="253"/>
      <c r="K46" s="253"/>
      <c r="L46" s="254"/>
    </row>
    <row r="47" spans="1:27" ht="24.6" customHeight="1">
      <c r="A47" s="249" t="s">
        <v>198</v>
      </c>
      <c r="B47" s="258">
        <f t="shared" si="8"/>
        <v>22563</v>
      </c>
      <c r="C47" s="259">
        <f>(B47-B46)</f>
        <v>-9</v>
      </c>
      <c r="D47" s="260">
        <f>ROUND(C47/B46*100,3)</f>
        <v>-0.04</v>
      </c>
      <c r="E47" s="258">
        <f>+'1.1.1 과거인구현황'!H50</f>
        <v>22563</v>
      </c>
      <c r="F47" s="259">
        <f t="shared" si="6"/>
        <v>-9</v>
      </c>
      <c r="G47" s="260">
        <f t="shared" si="7"/>
        <v>-0.04</v>
      </c>
      <c r="H47" s="252"/>
      <c r="I47" s="253"/>
      <c r="J47" s="253"/>
      <c r="K47" s="253"/>
      <c r="L47" s="254"/>
    </row>
    <row r="48" spans="1:27" ht="24.6" customHeight="1">
      <c r="A48" s="249" t="s">
        <v>199</v>
      </c>
      <c r="B48" s="258">
        <f t="shared" si="8"/>
        <v>23002</v>
      </c>
      <c r="C48" s="259">
        <f>(B48-B47)</f>
        <v>439</v>
      </c>
      <c r="D48" s="260">
        <f>ROUND(C48/B47*100,3)</f>
        <v>1.946</v>
      </c>
      <c r="E48" s="258">
        <f>+'1.1.1 과거인구현황'!H51</f>
        <v>23002</v>
      </c>
      <c r="F48" s="259">
        <f t="shared" si="6"/>
        <v>439</v>
      </c>
      <c r="G48" s="260">
        <f t="shared" si="7"/>
        <v>1.946</v>
      </c>
      <c r="H48" s="252"/>
      <c r="I48" s="253"/>
      <c r="J48" s="253"/>
      <c r="K48" s="253"/>
      <c r="L48" s="254"/>
    </row>
    <row r="49" spans="1:12" ht="24.6" customHeight="1">
      <c r="A49" s="249" t="s">
        <v>625</v>
      </c>
      <c r="B49" s="258">
        <f t="shared" si="8"/>
        <v>23362</v>
      </c>
      <c r="C49" s="259">
        <f>(B49-B48)</f>
        <v>360</v>
      </c>
      <c r="D49" s="260">
        <f>ROUND(C49/B48*100,3)</f>
        <v>1.5649999999999999</v>
      </c>
      <c r="E49" s="258">
        <f>+'1.1.1 과거인구현황'!H52</f>
        <v>23362</v>
      </c>
      <c r="F49" s="259">
        <f t="shared" si="6"/>
        <v>360</v>
      </c>
      <c r="G49" s="260">
        <f t="shared" si="7"/>
        <v>1.5649999999999999</v>
      </c>
      <c r="H49" s="252"/>
      <c r="I49" s="253"/>
      <c r="J49" s="253"/>
      <c r="K49" s="253"/>
      <c r="L49" s="254"/>
    </row>
    <row r="50" spans="1:12" ht="24.6" customHeight="1">
      <c r="A50" s="249" t="s">
        <v>633</v>
      </c>
      <c r="B50" s="258">
        <f t="shared" si="8"/>
        <v>23334</v>
      </c>
      <c r="C50" s="259">
        <f>(B50-B49)</f>
        <v>-28</v>
      </c>
      <c r="D50" s="260">
        <f>ROUND(C50/B49*100,3)</f>
        <v>-0.12</v>
      </c>
      <c r="E50" s="258">
        <f>+'1.1.1 과거인구현황'!H53</f>
        <v>23334</v>
      </c>
      <c r="F50" s="259">
        <f t="shared" si="6"/>
        <v>-28</v>
      </c>
      <c r="G50" s="260">
        <f t="shared" si="7"/>
        <v>-0.12</v>
      </c>
      <c r="H50" s="252"/>
      <c r="I50" s="253"/>
      <c r="J50" s="253"/>
      <c r="K50" s="253"/>
      <c r="L50" s="254"/>
    </row>
    <row r="51" spans="1:12" ht="24.6" customHeight="1">
      <c r="A51" s="249" t="s">
        <v>1219</v>
      </c>
      <c r="B51" s="258">
        <f t="shared" si="8"/>
        <v>23398</v>
      </c>
      <c r="C51" s="259">
        <f>(B51-B50)</f>
        <v>64</v>
      </c>
      <c r="D51" s="260">
        <f>ROUND(C51/B50*100,3)</f>
        <v>0.27400000000000002</v>
      </c>
      <c r="E51" s="258">
        <f>+'1.1.1 과거인구현황'!H54</f>
        <v>23398</v>
      </c>
      <c r="F51" s="259">
        <f t="shared" si="6"/>
        <v>64</v>
      </c>
      <c r="G51" s="260">
        <f t="shared" si="7"/>
        <v>0.27400000000000002</v>
      </c>
      <c r="H51" s="252"/>
      <c r="I51" s="253"/>
      <c r="J51" s="253"/>
      <c r="K51" s="253"/>
      <c r="L51" s="254"/>
    </row>
    <row r="52" spans="1:12" ht="24.6" customHeight="1">
      <c r="A52" s="261" t="s">
        <v>246</v>
      </c>
      <c r="B52" s="262"/>
      <c r="C52" s="263">
        <f>SUM(C47:C51)</f>
        <v>826</v>
      </c>
      <c r="D52" s="264">
        <f>ROUND(((B51/B47)^(1/4)-1)*100,2)</f>
        <v>0.91</v>
      </c>
      <c r="E52" s="280"/>
      <c r="F52" s="263">
        <f>SUM(F42:F51)</f>
        <v>3610</v>
      </c>
      <c r="G52" s="264">
        <f>ROUND(((E51/E42)^(1/9)-1)*100,2)</f>
        <v>1.42</v>
      </c>
      <c r="H52" s="2285"/>
      <c r="I52" s="2285"/>
      <c r="J52" s="2285"/>
      <c r="K52" s="2285"/>
      <c r="L52" s="2286"/>
    </row>
    <row r="53" spans="1:12" ht="24.6" customHeight="1">
      <c r="A53" s="2287"/>
      <c r="B53" s="2287"/>
      <c r="C53" s="2287"/>
      <c r="D53" s="2288"/>
      <c r="E53" s="2288"/>
      <c r="F53" s="2288"/>
      <c r="G53" s="2288"/>
      <c r="H53" s="2288"/>
      <c r="I53" s="2288"/>
      <c r="J53" s="2288"/>
      <c r="K53" s="2288"/>
      <c r="L53" s="2288"/>
    </row>
    <row r="54" spans="1:12" ht="24.6" customHeight="1">
      <c r="A54" s="2289"/>
      <c r="B54" s="2289"/>
      <c r="C54" s="2289"/>
      <c r="D54" s="2290"/>
      <c r="E54" s="2290"/>
      <c r="F54" s="2290"/>
      <c r="G54" s="2290"/>
      <c r="H54" s="2290"/>
      <c r="I54" s="2290"/>
      <c r="J54" s="2290"/>
      <c r="K54" s="2290"/>
      <c r="L54" s="2290"/>
    </row>
    <row r="55" spans="1:12" ht="24.6" customHeight="1">
      <c r="A55" s="266"/>
      <c r="B55" s="266"/>
      <c r="C55" s="266"/>
      <c r="D55" s="267"/>
      <c r="E55" s="267"/>
      <c r="F55" s="267"/>
      <c r="G55" s="267"/>
      <c r="H55" s="267"/>
      <c r="I55" s="267"/>
      <c r="J55" s="267"/>
      <c r="K55" s="267"/>
      <c r="L55" s="267"/>
    </row>
    <row r="56" spans="1:12" ht="24.6" customHeight="1">
      <c r="A56" s="281" t="s">
        <v>651</v>
      </c>
      <c r="B56" s="232"/>
      <c r="C56" s="232"/>
      <c r="D56" s="232"/>
      <c r="E56" s="232"/>
      <c r="F56" s="232"/>
      <c r="G56" s="282"/>
      <c r="H56" s="232"/>
      <c r="I56" s="232"/>
      <c r="J56" s="232"/>
      <c r="K56" s="232"/>
      <c r="L56" s="232"/>
    </row>
    <row r="57" spans="1:12" ht="24.6" customHeight="1">
      <c r="A57" s="2291" t="s">
        <v>235</v>
      </c>
      <c r="B57" s="2294" t="s">
        <v>652</v>
      </c>
      <c r="C57" s="2295"/>
      <c r="D57" s="2295"/>
      <c r="E57" s="2295"/>
      <c r="F57" s="2295"/>
      <c r="G57" s="2295"/>
      <c r="H57" s="2295"/>
      <c r="I57" s="2295"/>
      <c r="J57" s="2295"/>
      <c r="K57" s="2295"/>
      <c r="L57" s="2296"/>
    </row>
    <row r="58" spans="1:12" ht="24.6" customHeight="1">
      <c r="A58" s="2292"/>
      <c r="B58" s="2297" t="s">
        <v>237</v>
      </c>
      <c r="C58" s="2298"/>
      <c r="D58" s="2299"/>
      <c r="E58" s="2297" t="s">
        <v>239</v>
      </c>
      <c r="F58" s="2298"/>
      <c r="G58" s="2299"/>
      <c r="H58" s="2300" t="s">
        <v>241</v>
      </c>
      <c r="I58" s="2301"/>
      <c r="J58" s="2301"/>
      <c r="K58" s="2301"/>
      <c r="L58" s="2302"/>
    </row>
    <row r="59" spans="1:12" ht="24.6" customHeight="1">
      <c r="A59" s="2293"/>
      <c r="B59" s="240" t="s">
        <v>243</v>
      </c>
      <c r="C59" s="241" t="s">
        <v>244</v>
      </c>
      <c r="D59" s="241" t="s">
        <v>245</v>
      </c>
      <c r="E59" s="240" t="s">
        <v>243</v>
      </c>
      <c r="F59" s="241" t="s">
        <v>244</v>
      </c>
      <c r="G59" s="241" t="s">
        <v>245</v>
      </c>
      <c r="H59" s="2303"/>
      <c r="I59" s="2304"/>
      <c r="J59" s="2304"/>
      <c r="K59" s="2304"/>
      <c r="L59" s="2305"/>
    </row>
    <row r="60" spans="1:12" ht="24.6" customHeight="1">
      <c r="A60" s="249" t="s">
        <v>192</v>
      </c>
      <c r="B60" s="242"/>
      <c r="C60" s="243"/>
      <c r="D60" s="243"/>
      <c r="E60" s="242">
        <f>+'1.1.1 과거인구현황'!C13</f>
        <v>3499</v>
      </c>
      <c r="F60" s="243"/>
      <c r="G60" s="243"/>
      <c r="H60" s="246"/>
      <c r="I60" s="247"/>
      <c r="J60" s="247"/>
      <c r="K60" s="247"/>
      <c r="L60" s="248"/>
    </row>
    <row r="61" spans="1:12" ht="24.6" customHeight="1">
      <c r="A61" s="249" t="s">
        <v>193</v>
      </c>
      <c r="B61" s="250"/>
      <c r="C61" s="250"/>
      <c r="D61" s="250"/>
      <c r="E61" s="250">
        <f>+'1.1.1 과거인구현황'!J45</f>
        <v>3500</v>
      </c>
      <c r="F61" s="272">
        <f t="shared" ref="F61:F70" si="9">(E61-E60)</f>
        <v>1</v>
      </c>
      <c r="G61" s="260">
        <f t="shared" ref="G61:G70" si="10">ROUND(F61/E60*100,3)</f>
        <v>2.9000000000000001E-2</v>
      </c>
      <c r="H61" s="252"/>
      <c r="I61" s="253"/>
      <c r="J61" s="253"/>
      <c r="K61" s="253"/>
      <c r="L61" s="254"/>
    </row>
    <row r="62" spans="1:12" ht="24.6" customHeight="1">
      <c r="A62" s="249" t="s">
        <v>194</v>
      </c>
      <c r="B62" s="258"/>
      <c r="C62" s="258"/>
      <c r="D62" s="258"/>
      <c r="E62" s="258">
        <f>+'1.1.1 과거인구현황'!J46</f>
        <v>3493</v>
      </c>
      <c r="F62" s="259">
        <f t="shared" si="9"/>
        <v>-7</v>
      </c>
      <c r="G62" s="260">
        <f t="shared" si="10"/>
        <v>-0.2</v>
      </c>
      <c r="H62" s="252"/>
      <c r="I62" s="253"/>
      <c r="J62" s="253"/>
      <c r="K62" s="253"/>
      <c r="L62" s="254"/>
    </row>
    <row r="63" spans="1:12" ht="24.6" customHeight="1">
      <c r="A63" s="249" t="s">
        <v>195</v>
      </c>
      <c r="B63" s="258"/>
      <c r="C63" s="258"/>
      <c r="D63" s="258"/>
      <c r="E63" s="258">
        <f>+'1.1.1 과거인구현황'!J47</f>
        <v>3452</v>
      </c>
      <c r="F63" s="259">
        <f t="shared" si="9"/>
        <v>-41</v>
      </c>
      <c r="G63" s="260">
        <f t="shared" si="10"/>
        <v>-1.1739999999999999</v>
      </c>
      <c r="H63" s="252"/>
      <c r="I63" s="253"/>
      <c r="J63" s="253"/>
      <c r="K63" s="253"/>
      <c r="L63" s="254"/>
    </row>
    <row r="64" spans="1:12" ht="24.6" customHeight="1">
      <c r="A64" s="249" t="s">
        <v>196</v>
      </c>
      <c r="B64" s="258"/>
      <c r="C64" s="258"/>
      <c r="D64" s="258"/>
      <c r="E64" s="258">
        <f>+'1.1.1 과거인구현황'!J48</f>
        <v>3452</v>
      </c>
      <c r="F64" s="259">
        <f t="shared" si="9"/>
        <v>0</v>
      </c>
      <c r="G64" s="260">
        <f t="shared" si="10"/>
        <v>0</v>
      </c>
      <c r="H64" s="252"/>
      <c r="I64" s="253"/>
      <c r="J64" s="253"/>
      <c r="K64" s="253"/>
      <c r="L64" s="254"/>
    </row>
    <row r="65" spans="1:12" ht="24.6" customHeight="1">
      <c r="A65" s="249" t="s">
        <v>197</v>
      </c>
      <c r="B65" s="258">
        <f t="shared" ref="B65:B70" si="11">E65</f>
        <v>3386</v>
      </c>
      <c r="C65" s="258"/>
      <c r="D65" s="258"/>
      <c r="E65" s="258">
        <f>+'1.1.1 과거인구현황'!J49</f>
        <v>3386</v>
      </c>
      <c r="F65" s="259">
        <f t="shared" si="9"/>
        <v>-66</v>
      </c>
      <c r="G65" s="260">
        <f t="shared" si="10"/>
        <v>-1.9119999999999999</v>
      </c>
      <c r="H65" s="252"/>
      <c r="I65" s="253"/>
      <c r="J65" s="253"/>
      <c r="K65" s="253"/>
      <c r="L65" s="254"/>
    </row>
    <row r="66" spans="1:12" ht="24.6" customHeight="1">
      <c r="A66" s="249" t="s">
        <v>198</v>
      </c>
      <c r="B66" s="258">
        <f t="shared" si="11"/>
        <v>3321</v>
      </c>
      <c r="C66" s="259">
        <f>(B66-B65)</f>
        <v>-65</v>
      </c>
      <c r="D66" s="260">
        <f>ROUND(C66/B65*100,3)</f>
        <v>-1.92</v>
      </c>
      <c r="E66" s="258">
        <f>+'1.1.1 과거인구현황'!J50</f>
        <v>3321</v>
      </c>
      <c r="F66" s="259">
        <f t="shared" si="9"/>
        <v>-65</v>
      </c>
      <c r="G66" s="260">
        <f t="shared" si="10"/>
        <v>-1.92</v>
      </c>
      <c r="H66" s="252"/>
      <c r="I66" s="253"/>
      <c r="J66" s="253"/>
      <c r="K66" s="253"/>
      <c r="L66" s="254"/>
    </row>
    <row r="67" spans="1:12" ht="24.6" customHeight="1">
      <c r="A67" s="249" t="s">
        <v>199</v>
      </c>
      <c r="B67" s="258">
        <f t="shared" si="11"/>
        <v>3291</v>
      </c>
      <c r="C67" s="259">
        <f>(B67-B66)</f>
        <v>-30</v>
      </c>
      <c r="D67" s="260">
        <f>ROUND(C67/B66*100,3)</f>
        <v>-0.90300000000000002</v>
      </c>
      <c r="E67" s="258">
        <f>+'1.1.1 과거인구현황'!J51</f>
        <v>3291</v>
      </c>
      <c r="F67" s="259">
        <f t="shared" si="9"/>
        <v>-30</v>
      </c>
      <c r="G67" s="260">
        <f t="shared" si="10"/>
        <v>-0.90300000000000002</v>
      </c>
      <c r="H67" s="252"/>
      <c r="I67" s="253"/>
      <c r="J67" s="253"/>
      <c r="K67" s="253"/>
      <c r="L67" s="254"/>
    </row>
    <row r="68" spans="1:12" ht="24.6" customHeight="1">
      <c r="A68" s="249" t="s">
        <v>625</v>
      </c>
      <c r="B68" s="258">
        <f t="shared" si="11"/>
        <v>3233</v>
      </c>
      <c r="C68" s="259">
        <f>(B68-B67)</f>
        <v>-58</v>
      </c>
      <c r="D68" s="260">
        <f>ROUND(C68/B67*100,3)</f>
        <v>-1.762</v>
      </c>
      <c r="E68" s="258">
        <f>+'1.1.1 과거인구현황'!J52</f>
        <v>3233</v>
      </c>
      <c r="F68" s="259">
        <f t="shared" si="9"/>
        <v>-58</v>
      </c>
      <c r="G68" s="260">
        <f t="shared" si="10"/>
        <v>-1.762</v>
      </c>
      <c r="H68" s="252"/>
      <c r="I68" s="253"/>
      <c r="J68" s="253"/>
      <c r="K68" s="253"/>
      <c r="L68" s="254"/>
    </row>
    <row r="69" spans="1:12" ht="24.6" customHeight="1">
      <c r="A69" s="249" t="s">
        <v>633</v>
      </c>
      <c r="B69" s="258">
        <f t="shared" si="11"/>
        <v>3221</v>
      </c>
      <c r="C69" s="259">
        <f>(B69-B68)</f>
        <v>-12</v>
      </c>
      <c r="D69" s="260">
        <f>ROUND(C69/B68*100,3)</f>
        <v>-0.371</v>
      </c>
      <c r="E69" s="258">
        <f>+'1.1.1 과거인구현황'!J53</f>
        <v>3221</v>
      </c>
      <c r="F69" s="259">
        <f t="shared" si="9"/>
        <v>-12</v>
      </c>
      <c r="G69" s="260">
        <f t="shared" si="10"/>
        <v>-0.371</v>
      </c>
      <c r="H69" s="252"/>
      <c r="I69" s="253"/>
      <c r="J69" s="253"/>
      <c r="K69" s="253"/>
      <c r="L69" s="254"/>
    </row>
    <row r="70" spans="1:12" ht="24.6" customHeight="1">
      <c r="A70" s="249" t="s">
        <v>1219</v>
      </c>
      <c r="B70" s="258">
        <f t="shared" si="11"/>
        <v>3240</v>
      </c>
      <c r="C70" s="259">
        <f>(B70-B69)</f>
        <v>19</v>
      </c>
      <c r="D70" s="260">
        <f>ROUND(C70/B69*100,3)</f>
        <v>0.59</v>
      </c>
      <c r="E70" s="258">
        <f>+'1.1.1 과거인구현황'!J54</f>
        <v>3240</v>
      </c>
      <c r="F70" s="259">
        <f t="shared" si="9"/>
        <v>19</v>
      </c>
      <c r="G70" s="260">
        <f t="shared" si="10"/>
        <v>0.59</v>
      </c>
      <c r="H70" s="252"/>
      <c r="I70" s="253"/>
      <c r="J70" s="253"/>
      <c r="K70" s="253"/>
      <c r="L70" s="254"/>
    </row>
    <row r="71" spans="1:12" ht="24.6" customHeight="1">
      <c r="A71" s="261" t="s">
        <v>246</v>
      </c>
      <c r="B71" s="262"/>
      <c r="C71" s="263">
        <f>SUM(C66:C70)</f>
        <v>-146</v>
      </c>
      <c r="D71" s="264">
        <f>ROUND(((B70/B66)^(1/4)-1)*100,2)</f>
        <v>-0.62</v>
      </c>
      <c r="E71" s="280"/>
      <c r="F71" s="263">
        <f>SUM(F61:F70)</f>
        <v>-259</v>
      </c>
      <c r="G71" s="264">
        <f>ROUND(((E70/E61)^(1/9)-1)*100,2)</f>
        <v>-0.85</v>
      </c>
      <c r="H71" s="2285"/>
      <c r="I71" s="2285"/>
      <c r="J71" s="2285"/>
      <c r="K71" s="2285"/>
      <c r="L71" s="2286"/>
    </row>
    <row r="72" spans="1:12" ht="24.6" customHeight="1">
      <c r="A72" s="2287"/>
      <c r="B72" s="2287"/>
      <c r="C72" s="2287"/>
      <c r="D72" s="2288"/>
      <c r="E72" s="2288"/>
      <c r="F72" s="2288"/>
      <c r="G72" s="2288"/>
      <c r="H72" s="2288"/>
      <c r="I72" s="2288"/>
      <c r="J72" s="2288"/>
      <c r="K72" s="2288"/>
      <c r="L72" s="2288"/>
    </row>
    <row r="73" spans="1:12" ht="24.6" customHeight="1">
      <c r="A73" s="281" t="s">
        <v>653</v>
      </c>
      <c r="B73" s="230"/>
      <c r="C73" s="230"/>
      <c r="D73" s="230"/>
      <c r="E73" s="230"/>
      <c r="F73" s="230"/>
      <c r="G73" s="231"/>
      <c r="H73" s="230"/>
      <c r="I73" s="230"/>
      <c r="J73" s="230"/>
      <c r="K73" s="230"/>
      <c r="L73" s="230"/>
    </row>
    <row r="74" spans="1:12" ht="24.6" customHeight="1">
      <c r="A74" s="2291" t="s">
        <v>235</v>
      </c>
      <c r="B74" s="2294" t="s">
        <v>654</v>
      </c>
      <c r="C74" s="2295"/>
      <c r="D74" s="2295"/>
      <c r="E74" s="2295"/>
      <c r="F74" s="2295"/>
      <c r="G74" s="2295"/>
      <c r="H74" s="2295"/>
      <c r="I74" s="2295"/>
      <c r="J74" s="2295"/>
      <c r="K74" s="2295"/>
      <c r="L74" s="2296"/>
    </row>
    <row r="75" spans="1:12" ht="24.6" customHeight="1">
      <c r="A75" s="2292"/>
      <c r="B75" s="2297" t="s">
        <v>237</v>
      </c>
      <c r="C75" s="2298"/>
      <c r="D75" s="2299"/>
      <c r="E75" s="2297" t="s">
        <v>239</v>
      </c>
      <c r="F75" s="2298"/>
      <c r="G75" s="2299"/>
      <c r="H75" s="2300" t="s">
        <v>241</v>
      </c>
      <c r="I75" s="2301"/>
      <c r="J75" s="2301"/>
      <c r="K75" s="2301"/>
      <c r="L75" s="2302"/>
    </row>
    <row r="76" spans="1:12" ht="24.6" customHeight="1">
      <c r="A76" s="2293"/>
      <c r="B76" s="240" t="s">
        <v>243</v>
      </c>
      <c r="C76" s="241" t="s">
        <v>244</v>
      </c>
      <c r="D76" s="241" t="s">
        <v>245</v>
      </c>
      <c r="E76" s="240" t="s">
        <v>243</v>
      </c>
      <c r="F76" s="241" t="s">
        <v>244</v>
      </c>
      <c r="G76" s="241" t="s">
        <v>245</v>
      </c>
      <c r="H76" s="2303"/>
      <c r="I76" s="2304"/>
      <c r="J76" s="2304"/>
      <c r="K76" s="2304"/>
      <c r="L76" s="2305"/>
    </row>
    <row r="77" spans="1:12" ht="24.6" customHeight="1">
      <c r="A77" s="249" t="s">
        <v>192</v>
      </c>
      <c r="B77" s="242"/>
      <c r="C77" s="243"/>
      <c r="D77" s="243"/>
      <c r="E77" s="242">
        <f>+'1.1.1 과거인구현황'!C15</f>
        <v>3455</v>
      </c>
      <c r="F77" s="243"/>
      <c r="G77" s="243"/>
      <c r="H77" s="246"/>
      <c r="I77" s="247"/>
      <c r="J77" s="247"/>
      <c r="K77" s="247"/>
      <c r="L77" s="248"/>
    </row>
    <row r="78" spans="1:12" ht="24.6" customHeight="1">
      <c r="A78" s="249" t="s">
        <v>193</v>
      </c>
      <c r="B78" s="250"/>
      <c r="C78" s="250"/>
      <c r="D78" s="250"/>
      <c r="E78" s="250">
        <f>+'1.1.1 과거인구현황'!L45</f>
        <v>3377</v>
      </c>
      <c r="F78" s="272">
        <f t="shared" ref="F78:F87" si="12">(E78-E77)</f>
        <v>-78</v>
      </c>
      <c r="G78" s="260">
        <f t="shared" ref="G78:G87" si="13">ROUND(F78/E77*100,3)</f>
        <v>-2.258</v>
      </c>
      <c r="H78" s="252"/>
      <c r="I78" s="253"/>
      <c r="J78" s="253"/>
      <c r="K78" s="253"/>
      <c r="L78" s="254"/>
    </row>
    <row r="79" spans="1:12" ht="24.6" customHeight="1">
      <c r="A79" s="249" t="s">
        <v>194</v>
      </c>
      <c r="B79" s="258"/>
      <c r="C79" s="258"/>
      <c r="D79" s="258"/>
      <c r="E79" s="258">
        <f>+'1.1.1 과거인구현황'!L46</f>
        <v>3359</v>
      </c>
      <c r="F79" s="259">
        <f t="shared" si="12"/>
        <v>-18</v>
      </c>
      <c r="G79" s="260">
        <f t="shared" si="13"/>
        <v>-0.53300000000000003</v>
      </c>
      <c r="H79" s="252"/>
      <c r="I79" s="253"/>
      <c r="J79" s="253"/>
      <c r="K79" s="253"/>
      <c r="L79" s="254"/>
    </row>
    <row r="80" spans="1:12" ht="24.6" customHeight="1">
      <c r="A80" s="249" t="s">
        <v>195</v>
      </c>
      <c r="B80" s="258"/>
      <c r="C80" s="258"/>
      <c r="D80" s="258"/>
      <c r="E80" s="258">
        <f>+'1.1.1 과거인구현황'!L47</f>
        <v>3318</v>
      </c>
      <c r="F80" s="259">
        <f t="shared" si="12"/>
        <v>-41</v>
      </c>
      <c r="G80" s="260">
        <f t="shared" si="13"/>
        <v>-1.2210000000000001</v>
      </c>
      <c r="H80" s="252"/>
      <c r="I80" s="253"/>
      <c r="J80" s="253"/>
      <c r="K80" s="253"/>
      <c r="L80" s="254"/>
    </row>
    <row r="81" spans="1:12" ht="24.6" customHeight="1">
      <c r="A81" s="249" t="s">
        <v>196</v>
      </c>
      <c r="B81" s="258"/>
      <c r="C81" s="258"/>
      <c r="D81" s="258"/>
      <c r="E81" s="258">
        <f>+'1.1.1 과거인구현황'!L48</f>
        <v>3364</v>
      </c>
      <c r="F81" s="259">
        <f t="shared" si="12"/>
        <v>46</v>
      </c>
      <c r="G81" s="260">
        <f t="shared" si="13"/>
        <v>1.3859999999999999</v>
      </c>
      <c r="H81" s="252"/>
      <c r="I81" s="253"/>
      <c r="J81" s="253"/>
      <c r="K81" s="253"/>
      <c r="L81" s="254"/>
    </row>
    <row r="82" spans="1:12" ht="24.6" customHeight="1">
      <c r="A82" s="249" t="s">
        <v>197</v>
      </c>
      <c r="B82" s="258">
        <f t="shared" ref="B82:B87" si="14">E82</f>
        <v>3307</v>
      </c>
      <c r="C82" s="258"/>
      <c r="D82" s="258"/>
      <c r="E82" s="258">
        <f>+'1.1.1 과거인구현황'!L49</f>
        <v>3307</v>
      </c>
      <c r="F82" s="259">
        <f t="shared" si="12"/>
        <v>-57</v>
      </c>
      <c r="G82" s="260">
        <f t="shared" si="13"/>
        <v>-1.694</v>
      </c>
      <c r="H82" s="252"/>
      <c r="I82" s="253"/>
      <c r="J82" s="253"/>
      <c r="K82" s="253"/>
      <c r="L82" s="254"/>
    </row>
    <row r="83" spans="1:12" ht="24.6" customHeight="1">
      <c r="A83" s="249" t="s">
        <v>198</v>
      </c>
      <c r="B83" s="258">
        <f t="shared" si="14"/>
        <v>3313</v>
      </c>
      <c r="C83" s="259">
        <f>(B83-B82)</f>
        <v>6</v>
      </c>
      <c r="D83" s="260">
        <f>ROUND(C83/B82*100,3)</f>
        <v>0.18099999999999999</v>
      </c>
      <c r="E83" s="258">
        <f>+'1.1.1 과거인구현황'!L50</f>
        <v>3313</v>
      </c>
      <c r="F83" s="259">
        <f t="shared" si="12"/>
        <v>6</v>
      </c>
      <c r="G83" s="260">
        <f t="shared" si="13"/>
        <v>0.18099999999999999</v>
      </c>
      <c r="H83" s="252"/>
      <c r="I83" s="253"/>
      <c r="J83" s="253"/>
      <c r="K83" s="253"/>
      <c r="L83" s="254"/>
    </row>
    <row r="84" spans="1:12" ht="24.6" customHeight="1">
      <c r="A84" s="249" t="s">
        <v>199</v>
      </c>
      <c r="B84" s="258">
        <f t="shared" si="14"/>
        <v>3326</v>
      </c>
      <c r="C84" s="259">
        <f>(B84-B83)</f>
        <v>13</v>
      </c>
      <c r="D84" s="260">
        <f>ROUND(C84/B83*100,3)</f>
        <v>0.39200000000000002</v>
      </c>
      <c r="E84" s="258">
        <f>+'1.1.1 과거인구현황'!L51</f>
        <v>3326</v>
      </c>
      <c r="F84" s="259">
        <f t="shared" si="12"/>
        <v>13</v>
      </c>
      <c r="G84" s="260">
        <f t="shared" si="13"/>
        <v>0.39200000000000002</v>
      </c>
      <c r="H84" s="252"/>
      <c r="I84" s="253"/>
      <c r="J84" s="253"/>
      <c r="K84" s="253"/>
      <c r="L84" s="254"/>
    </row>
    <row r="85" spans="1:12" ht="24.6" customHeight="1">
      <c r="A85" s="249" t="s">
        <v>625</v>
      </c>
      <c r="B85" s="258">
        <f t="shared" si="14"/>
        <v>3270</v>
      </c>
      <c r="C85" s="259">
        <f>(B85-B84)</f>
        <v>-56</v>
      </c>
      <c r="D85" s="260">
        <f>ROUND(C85/B84*100,3)</f>
        <v>-1.6839999999999999</v>
      </c>
      <c r="E85" s="258">
        <f>+'1.1.1 과거인구현황'!L52</f>
        <v>3270</v>
      </c>
      <c r="F85" s="259">
        <f t="shared" si="12"/>
        <v>-56</v>
      </c>
      <c r="G85" s="260">
        <f t="shared" si="13"/>
        <v>-1.6839999999999999</v>
      </c>
      <c r="H85" s="252"/>
      <c r="I85" s="253"/>
      <c r="J85" s="253"/>
      <c r="K85" s="253"/>
      <c r="L85" s="254"/>
    </row>
    <row r="86" spans="1:12" ht="24.6" customHeight="1">
      <c r="A86" s="249" t="s">
        <v>633</v>
      </c>
      <c r="B86" s="258">
        <f t="shared" si="14"/>
        <v>3243</v>
      </c>
      <c r="C86" s="259">
        <f>(B86-B85)</f>
        <v>-27</v>
      </c>
      <c r="D86" s="260">
        <f>ROUND(C86/B85*100,3)</f>
        <v>-0.82599999999999996</v>
      </c>
      <c r="E86" s="258">
        <f>+'1.1.1 과거인구현황'!L53</f>
        <v>3243</v>
      </c>
      <c r="F86" s="259">
        <f t="shared" si="12"/>
        <v>-27</v>
      </c>
      <c r="G86" s="260">
        <f t="shared" si="13"/>
        <v>-0.82599999999999996</v>
      </c>
      <c r="H86" s="252"/>
      <c r="I86" s="253"/>
      <c r="J86" s="253"/>
      <c r="K86" s="253"/>
      <c r="L86" s="254"/>
    </row>
    <row r="87" spans="1:12" ht="24.6" customHeight="1">
      <c r="A87" s="249" t="s">
        <v>1219</v>
      </c>
      <c r="B87" s="258">
        <f t="shared" si="14"/>
        <v>3317</v>
      </c>
      <c r="C87" s="259">
        <f>(B87-B86)</f>
        <v>74</v>
      </c>
      <c r="D87" s="260">
        <f>ROUND(C87/B86*100,3)</f>
        <v>2.282</v>
      </c>
      <c r="E87" s="258">
        <f>+'1.1.1 과거인구현황'!L54</f>
        <v>3317</v>
      </c>
      <c r="F87" s="259">
        <f t="shared" si="12"/>
        <v>74</v>
      </c>
      <c r="G87" s="260">
        <f t="shared" si="13"/>
        <v>2.282</v>
      </c>
      <c r="H87" s="252"/>
      <c r="I87" s="253"/>
      <c r="J87" s="253"/>
      <c r="K87" s="253"/>
      <c r="L87" s="254"/>
    </row>
    <row r="88" spans="1:12" ht="24.6" customHeight="1">
      <c r="A88" s="261" t="s">
        <v>246</v>
      </c>
      <c r="B88" s="262"/>
      <c r="C88" s="263">
        <f>SUM(C83:C87)</f>
        <v>10</v>
      </c>
      <c r="D88" s="264">
        <f>ROUND(((B87/B83)^(1/4)-1)*100,2)</f>
        <v>0.03</v>
      </c>
      <c r="E88" s="280"/>
      <c r="F88" s="263">
        <f>SUM(F78:F87)</f>
        <v>-138</v>
      </c>
      <c r="G88" s="264">
        <f>ROUND(((E87/E78)^(1/9)-1)*100,2)</f>
        <v>-0.2</v>
      </c>
      <c r="H88" s="2285"/>
      <c r="I88" s="2285"/>
      <c r="J88" s="2285"/>
      <c r="K88" s="2285"/>
      <c r="L88" s="2286"/>
    </row>
    <row r="89" spans="1:12" ht="24.6" customHeight="1">
      <c r="A89" s="2287"/>
      <c r="B89" s="2287"/>
      <c r="C89" s="2287"/>
      <c r="D89" s="2288"/>
      <c r="E89" s="2288"/>
      <c r="F89" s="2288"/>
      <c r="G89" s="2288"/>
      <c r="H89" s="2288"/>
      <c r="I89" s="2288"/>
      <c r="J89" s="2288"/>
      <c r="K89" s="2288"/>
      <c r="L89" s="2288"/>
    </row>
    <row r="90" spans="1:12" ht="24.6" customHeight="1">
      <c r="A90" s="2289"/>
      <c r="B90" s="2289"/>
      <c r="C90" s="2289"/>
      <c r="D90" s="2290"/>
      <c r="E90" s="2290"/>
      <c r="F90" s="2290"/>
      <c r="G90" s="2290"/>
      <c r="H90" s="2290"/>
      <c r="I90" s="2290"/>
      <c r="J90" s="2290"/>
      <c r="K90" s="2290"/>
      <c r="L90" s="2290"/>
    </row>
    <row r="91" spans="1:12" ht="24.6" customHeight="1">
      <c r="A91" s="266"/>
      <c r="B91" s="266"/>
      <c r="C91" s="266"/>
      <c r="D91" s="267"/>
      <c r="E91" s="267"/>
      <c r="F91" s="267"/>
      <c r="G91" s="267"/>
      <c r="H91" s="267"/>
      <c r="I91" s="267"/>
      <c r="J91" s="267"/>
      <c r="K91" s="267"/>
      <c r="L91" s="267"/>
    </row>
    <row r="92" spans="1:12" ht="24.6" customHeight="1">
      <c r="A92" s="281" t="s">
        <v>655</v>
      </c>
      <c r="B92" s="230"/>
      <c r="C92" s="230"/>
      <c r="D92" s="230"/>
      <c r="E92" s="230"/>
      <c r="F92" s="230"/>
      <c r="G92" s="231"/>
      <c r="H92" s="230"/>
      <c r="I92" s="230"/>
      <c r="J92" s="230"/>
      <c r="K92" s="230"/>
      <c r="L92" s="230"/>
    </row>
    <row r="93" spans="1:12" ht="24.6" customHeight="1">
      <c r="A93" s="2291" t="s">
        <v>235</v>
      </c>
      <c r="B93" s="2294" t="s">
        <v>656</v>
      </c>
      <c r="C93" s="2295"/>
      <c r="D93" s="2295"/>
      <c r="E93" s="2295"/>
      <c r="F93" s="2295"/>
      <c r="G93" s="2295"/>
      <c r="H93" s="2295"/>
      <c r="I93" s="2295"/>
      <c r="J93" s="2295"/>
      <c r="K93" s="2295"/>
      <c r="L93" s="2296"/>
    </row>
    <row r="94" spans="1:12" ht="24.6" customHeight="1">
      <c r="A94" s="2292"/>
      <c r="B94" s="2297" t="s">
        <v>237</v>
      </c>
      <c r="C94" s="2298"/>
      <c r="D94" s="2299"/>
      <c r="E94" s="2297" t="s">
        <v>239</v>
      </c>
      <c r="F94" s="2298"/>
      <c r="G94" s="2299"/>
      <c r="H94" s="2300" t="s">
        <v>241</v>
      </c>
      <c r="I94" s="2301"/>
      <c r="J94" s="2301"/>
      <c r="K94" s="2301"/>
      <c r="L94" s="2302"/>
    </row>
    <row r="95" spans="1:12" ht="24.6" customHeight="1">
      <c r="A95" s="2293"/>
      <c r="B95" s="240" t="s">
        <v>243</v>
      </c>
      <c r="C95" s="241" t="s">
        <v>244</v>
      </c>
      <c r="D95" s="241" t="s">
        <v>245</v>
      </c>
      <c r="E95" s="240" t="s">
        <v>243</v>
      </c>
      <c r="F95" s="241" t="s">
        <v>244</v>
      </c>
      <c r="G95" s="241" t="s">
        <v>245</v>
      </c>
      <c r="H95" s="2303"/>
      <c r="I95" s="2304"/>
      <c r="J95" s="2304"/>
      <c r="K95" s="2304"/>
      <c r="L95" s="2305"/>
    </row>
    <row r="96" spans="1:12" ht="24.6" customHeight="1">
      <c r="A96" s="249" t="s">
        <v>192</v>
      </c>
      <c r="B96" s="242"/>
      <c r="C96" s="243"/>
      <c r="D96" s="243"/>
      <c r="E96" s="242">
        <f>+'1.1.1 과거인구현황'!C17</f>
        <v>4906</v>
      </c>
      <c r="F96" s="283"/>
      <c r="G96" s="243"/>
      <c r="H96" s="246"/>
      <c r="I96" s="247"/>
      <c r="J96" s="247"/>
      <c r="K96" s="247"/>
      <c r="L96" s="248"/>
    </row>
    <row r="97" spans="1:12" ht="24.6" customHeight="1">
      <c r="A97" s="249" t="s">
        <v>193</v>
      </c>
      <c r="B97" s="250"/>
      <c r="C97" s="250"/>
      <c r="D97" s="250"/>
      <c r="E97" s="250">
        <f>+'1.1.1 과거인구현황'!N45</f>
        <v>5165</v>
      </c>
      <c r="F97" s="272">
        <f t="shared" ref="F97:F106" si="15">(E97-E96)</f>
        <v>259</v>
      </c>
      <c r="G97" s="260">
        <f t="shared" ref="G97:G106" si="16">ROUND(F97/E96*100,3)</f>
        <v>5.2789999999999999</v>
      </c>
      <c r="H97" s="252"/>
      <c r="I97" s="253"/>
      <c r="J97" s="253"/>
      <c r="K97" s="253"/>
      <c r="L97" s="254"/>
    </row>
    <row r="98" spans="1:12" ht="24.6" customHeight="1">
      <c r="A98" s="249" t="s">
        <v>194</v>
      </c>
      <c r="B98" s="258"/>
      <c r="C98" s="258"/>
      <c r="D98" s="258"/>
      <c r="E98" s="258">
        <f>+'1.1.1 과거인구현황'!N46</f>
        <v>5233</v>
      </c>
      <c r="F98" s="259">
        <f t="shared" si="15"/>
        <v>68</v>
      </c>
      <c r="G98" s="260">
        <f t="shared" si="16"/>
        <v>1.3169999999999999</v>
      </c>
      <c r="H98" s="252"/>
      <c r="I98" s="253"/>
      <c r="J98" s="253"/>
      <c r="K98" s="253"/>
      <c r="L98" s="254"/>
    </row>
    <row r="99" spans="1:12" ht="24.6" customHeight="1">
      <c r="A99" s="249" t="s">
        <v>195</v>
      </c>
      <c r="B99" s="258"/>
      <c r="C99" s="258"/>
      <c r="D99" s="258"/>
      <c r="E99" s="258">
        <f>+'1.1.1 과거인구현황'!N47</f>
        <v>5071</v>
      </c>
      <c r="F99" s="259">
        <f t="shared" si="15"/>
        <v>-162</v>
      </c>
      <c r="G99" s="260">
        <f t="shared" si="16"/>
        <v>-3.0960000000000001</v>
      </c>
      <c r="H99" s="252"/>
      <c r="I99" s="253"/>
      <c r="J99" s="253"/>
      <c r="K99" s="253"/>
      <c r="L99" s="254"/>
    </row>
    <row r="100" spans="1:12" ht="24.6" customHeight="1">
      <c r="A100" s="249" t="s">
        <v>196</v>
      </c>
      <c r="B100" s="258"/>
      <c r="C100" s="258"/>
      <c r="D100" s="258"/>
      <c r="E100" s="258">
        <f>+'1.1.1 과거인구현황'!N48</f>
        <v>5253</v>
      </c>
      <c r="F100" s="259">
        <f t="shared" si="15"/>
        <v>182</v>
      </c>
      <c r="G100" s="260">
        <f t="shared" si="16"/>
        <v>3.589</v>
      </c>
      <c r="H100" s="252"/>
      <c r="I100" s="253"/>
      <c r="J100" s="253"/>
      <c r="K100" s="253"/>
      <c r="L100" s="254"/>
    </row>
    <row r="101" spans="1:12" ht="24.6" customHeight="1">
      <c r="A101" s="249" t="s">
        <v>197</v>
      </c>
      <c r="B101" s="258">
        <f t="shared" ref="B101:B106" si="17">E101</f>
        <v>5574</v>
      </c>
      <c r="C101" s="258"/>
      <c r="D101" s="258"/>
      <c r="E101" s="258">
        <f>+'1.1.1 과거인구현황'!N49</f>
        <v>5574</v>
      </c>
      <c r="F101" s="259">
        <f t="shared" si="15"/>
        <v>321</v>
      </c>
      <c r="G101" s="260">
        <f t="shared" si="16"/>
        <v>6.1109999999999998</v>
      </c>
      <c r="H101" s="252"/>
      <c r="I101" s="253"/>
      <c r="J101" s="253"/>
      <c r="K101" s="253"/>
      <c r="L101" s="254"/>
    </row>
    <row r="102" spans="1:12" ht="24.6" customHeight="1">
      <c r="A102" s="249" t="s">
        <v>198</v>
      </c>
      <c r="B102" s="258">
        <f t="shared" si="17"/>
        <v>5497</v>
      </c>
      <c r="C102" s="259">
        <f>(B102-B101)</f>
        <v>-77</v>
      </c>
      <c r="D102" s="260">
        <f>ROUND(C102/B101*100,3)</f>
        <v>-1.381</v>
      </c>
      <c r="E102" s="258">
        <f>+'1.1.1 과거인구현황'!N50</f>
        <v>5497</v>
      </c>
      <c r="F102" s="259">
        <f t="shared" si="15"/>
        <v>-77</v>
      </c>
      <c r="G102" s="260">
        <f t="shared" si="16"/>
        <v>-1.381</v>
      </c>
      <c r="H102" s="252"/>
      <c r="I102" s="253"/>
      <c r="J102" s="253"/>
      <c r="K102" s="253"/>
      <c r="L102" s="254"/>
    </row>
    <row r="103" spans="1:12" ht="24.6" customHeight="1">
      <c r="A103" s="249" t="s">
        <v>199</v>
      </c>
      <c r="B103" s="258">
        <f t="shared" si="17"/>
        <v>5579</v>
      </c>
      <c r="C103" s="259">
        <f>(B103-B102)</f>
        <v>82</v>
      </c>
      <c r="D103" s="260">
        <f>ROUND(C103/B102*100,3)</f>
        <v>1.492</v>
      </c>
      <c r="E103" s="258">
        <f>+'1.1.1 과거인구현황'!N51</f>
        <v>5579</v>
      </c>
      <c r="F103" s="259">
        <f t="shared" si="15"/>
        <v>82</v>
      </c>
      <c r="G103" s="260">
        <f t="shared" si="16"/>
        <v>1.492</v>
      </c>
      <c r="H103" s="252"/>
      <c r="I103" s="253"/>
      <c r="J103" s="253"/>
      <c r="K103" s="253"/>
      <c r="L103" s="254"/>
    </row>
    <row r="104" spans="1:12" ht="24.6" customHeight="1">
      <c r="A104" s="249" t="s">
        <v>625</v>
      </c>
      <c r="B104" s="258">
        <f t="shared" si="17"/>
        <v>8143</v>
      </c>
      <c r="C104" s="259">
        <f>(B104-B103)</f>
        <v>2564</v>
      </c>
      <c r="D104" s="260">
        <f>ROUND(C104/B103*100,3)</f>
        <v>45.957999999999998</v>
      </c>
      <c r="E104" s="258">
        <f>+'1.1.1 과거인구현황'!N52</f>
        <v>8143</v>
      </c>
      <c r="F104" s="259">
        <f t="shared" si="15"/>
        <v>2564</v>
      </c>
      <c r="G104" s="260">
        <f t="shared" si="16"/>
        <v>45.957999999999998</v>
      </c>
      <c r="H104" s="252"/>
      <c r="I104" s="253"/>
      <c r="J104" s="253"/>
      <c r="K104" s="253"/>
      <c r="L104" s="254"/>
    </row>
    <row r="105" spans="1:12" ht="24.6" customHeight="1">
      <c r="A105" s="249" t="s">
        <v>633</v>
      </c>
      <c r="B105" s="258">
        <f t="shared" si="17"/>
        <v>10418</v>
      </c>
      <c r="C105" s="259">
        <f>(B105-B104)</f>
        <v>2275</v>
      </c>
      <c r="D105" s="260">
        <f>ROUND(C105/B104*100,3)</f>
        <v>27.937999999999999</v>
      </c>
      <c r="E105" s="258">
        <f>+'1.1.1 과거인구현황'!N53</f>
        <v>10418</v>
      </c>
      <c r="F105" s="259">
        <f t="shared" si="15"/>
        <v>2275</v>
      </c>
      <c r="G105" s="260">
        <f t="shared" si="16"/>
        <v>27.937999999999999</v>
      </c>
      <c r="H105" s="252"/>
      <c r="I105" s="253"/>
      <c r="J105" s="253"/>
      <c r="K105" s="253"/>
      <c r="L105" s="254"/>
    </row>
    <row r="106" spans="1:12" ht="24.6" customHeight="1">
      <c r="A106" s="249" t="s">
        <v>1219</v>
      </c>
      <c r="B106" s="258">
        <f t="shared" si="17"/>
        <v>12254</v>
      </c>
      <c r="C106" s="259">
        <f>(B106-B105)</f>
        <v>1836</v>
      </c>
      <c r="D106" s="260">
        <f>ROUND(C106/B105*100,3)</f>
        <v>17.623000000000001</v>
      </c>
      <c r="E106" s="258">
        <f>+'1.1.1 과거인구현황'!N54</f>
        <v>12254</v>
      </c>
      <c r="F106" s="259">
        <f t="shared" si="15"/>
        <v>1836</v>
      </c>
      <c r="G106" s="260">
        <f t="shared" si="16"/>
        <v>17.623000000000001</v>
      </c>
      <c r="H106" s="252"/>
      <c r="I106" s="253"/>
      <c r="J106" s="253"/>
      <c r="K106" s="253"/>
      <c r="L106" s="254"/>
    </row>
    <row r="107" spans="1:12" ht="24.6" customHeight="1">
      <c r="A107" s="261" t="s">
        <v>246</v>
      </c>
      <c r="B107" s="262"/>
      <c r="C107" s="263">
        <f>SUM(C102:C106)</f>
        <v>6680</v>
      </c>
      <c r="D107" s="264">
        <f>ROUND(((B106/B102)^(1/4)-1)*100,2)</f>
        <v>22.19</v>
      </c>
      <c r="E107" s="280"/>
      <c r="F107" s="263">
        <f>SUM(F97:F106)</f>
        <v>7348</v>
      </c>
      <c r="G107" s="264">
        <f>ROUND(((E106/E97)^(1/9)-1)*100,2)</f>
        <v>10.08</v>
      </c>
      <c r="H107" s="2285"/>
      <c r="I107" s="2285"/>
      <c r="J107" s="2285"/>
      <c r="K107" s="2285"/>
      <c r="L107" s="2286"/>
    </row>
    <row r="108" spans="1:12" ht="24.6" customHeight="1">
      <c r="A108" s="2287"/>
      <c r="B108" s="2287"/>
      <c r="C108" s="2287"/>
      <c r="D108" s="2288"/>
      <c r="E108" s="2288"/>
      <c r="F108" s="2288"/>
      <c r="G108" s="2288"/>
      <c r="H108" s="2288"/>
      <c r="I108" s="2288"/>
      <c r="J108" s="2288"/>
      <c r="K108" s="2288"/>
      <c r="L108" s="2288"/>
    </row>
    <row r="109" spans="1:12" ht="24.6" customHeight="1">
      <c r="A109" s="281" t="s">
        <v>657</v>
      </c>
      <c r="B109" s="232"/>
      <c r="C109" s="232"/>
      <c r="D109" s="232"/>
      <c r="E109" s="232"/>
      <c r="F109" s="232"/>
      <c r="G109" s="282"/>
      <c r="H109" s="232"/>
      <c r="I109" s="232"/>
      <c r="J109" s="232"/>
      <c r="K109" s="232"/>
      <c r="L109" s="232"/>
    </row>
    <row r="110" spans="1:12" ht="24.6" customHeight="1">
      <c r="A110" s="2291" t="s">
        <v>235</v>
      </c>
      <c r="B110" s="2294" t="s">
        <v>658</v>
      </c>
      <c r="C110" s="2295"/>
      <c r="D110" s="2295"/>
      <c r="E110" s="2295"/>
      <c r="F110" s="2295"/>
      <c r="G110" s="2295"/>
      <c r="H110" s="2295"/>
      <c r="I110" s="2295"/>
      <c r="J110" s="2295"/>
      <c r="K110" s="2295"/>
      <c r="L110" s="2296"/>
    </row>
    <row r="111" spans="1:12" ht="24.6" customHeight="1">
      <c r="A111" s="2292"/>
      <c r="B111" s="2297" t="s">
        <v>237</v>
      </c>
      <c r="C111" s="2298"/>
      <c r="D111" s="2299"/>
      <c r="E111" s="2297" t="s">
        <v>239</v>
      </c>
      <c r="F111" s="2298"/>
      <c r="G111" s="2299"/>
      <c r="H111" s="2300" t="s">
        <v>241</v>
      </c>
      <c r="I111" s="2301"/>
      <c r="J111" s="2301"/>
      <c r="K111" s="2301"/>
      <c r="L111" s="2302"/>
    </row>
    <row r="112" spans="1:12" ht="24.6" customHeight="1">
      <c r="A112" s="2293"/>
      <c r="B112" s="240" t="s">
        <v>243</v>
      </c>
      <c r="C112" s="241" t="s">
        <v>244</v>
      </c>
      <c r="D112" s="241" t="s">
        <v>245</v>
      </c>
      <c r="E112" s="240" t="s">
        <v>243</v>
      </c>
      <c r="F112" s="241" t="s">
        <v>244</v>
      </c>
      <c r="G112" s="241" t="s">
        <v>245</v>
      </c>
      <c r="H112" s="2303"/>
      <c r="I112" s="2304"/>
      <c r="J112" s="2304"/>
      <c r="K112" s="2304"/>
      <c r="L112" s="2305"/>
    </row>
    <row r="113" spans="1:20" ht="24.6" customHeight="1">
      <c r="A113" s="249" t="s">
        <v>192</v>
      </c>
      <c r="B113" s="242"/>
      <c r="C113" s="243"/>
      <c r="D113" s="243"/>
      <c r="E113" s="242">
        <f>+'1.1.1 과거인구현황'!C19</f>
        <v>16125</v>
      </c>
      <c r="F113" s="283"/>
      <c r="G113" s="243"/>
      <c r="H113" s="246"/>
      <c r="I113" s="247"/>
      <c r="J113" s="247"/>
      <c r="K113" s="247"/>
      <c r="L113" s="248"/>
    </row>
    <row r="114" spans="1:20" ht="24.6" customHeight="1">
      <c r="A114" s="249" t="s">
        <v>193</v>
      </c>
      <c r="B114" s="250"/>
      <c r="C114" s="250"/>
      <c r="D114" s="250"/>
      <c r="E114" s="250">
        <f>+'1.1.1 과거인구현황'!P45</f>
        <v>16912</v>
      </c>
      <c r="F114" s="272">
        <f t="shared" ref="F114:F123" si="18">(E114-E113)</f>
        <v>787</v>
      </c>
      <c r="G114" s="260">
        <f t="shared" ref="G114:G123" si="19">ROUND(F114/E113*100,3)</f>
        <v>4.8810000000000002</v>
      </c>
      <c r="H114" s="252"/>
      <c r="I114" s="253"/>
      <c r="J114" s="253"/>
      <c r="K114" s="253"/>
      <c r="L114" s="254"/>
    </row>
    <row r="115" spans="1:20" ht="24.6" customHeight="1">
      <c r="A115" s="249" t="s">
        <v>194</v>
      </c>
      <c r="B115" s="258"/>
      <c r="C115" s="258"/>
      <c r="D115" s="258"/>
      <c r="E115" s="258">
        <f>+'1.1.1 과거인구현황'!P46</f>
        <v>17123</v>
      </c>
      <c r="F115" s="259">
        <f t="shared" si="18"/>
        <v>211</v>
      </c>
      <c r="G115" s="260">
        <f t="shared" si="19"/>
        <v>1.248</v>
      </c>
      <c r="H115" s="252"/>
      <c r="I115" s="253"/>
      <c r="J115" s="253"/>
      <c r="K115" s="253"/>
      <c r="L115" s="254"/>
    </row>
    <row r="116" spans="1:20" ht="24.6" customHeight="1">
      <c r="A116" s="249" t="s">
        <v>195</v>
      </c>
      <c r="B116" s="258"/>
      <c r="C116" s="258"/>
      <c r="D116" s="258"/>
      <c r="E116" s="258">
        <f>+'1.1.1 과거인구현황'!P47</f>
        <v>17334</v>
      </c>
      <c r="F116" s="259">
        <f t="shared" si="18"/>
        <v>211</v>
      </c>
      <c r="G116" s="260">
        <f t="shared" si="19"/>
        <v>1.232</v>
      </c>
      <c r="H116" s="252"/>
      <c r="I116" s="253"/>
      <c r="J116" s="253"/>
      <c r="K116" s="253"/>
      <c r="L116" s="254"/>
    </row>
    <row r="117" spans="1:20" ht="24.6" customHeight="1">
      <c r="A117" s="249" t="s">
        <v>196</v>
      </c>
      <c r="B117" s="258"/>
      <c r="C117" s="258"/>
      <c r="D117" s="258"/>
      <c r="E117" s="258">
        <f>+'1.1.1 과거인구현황'!P48</f>
        <v>17604</v>
      </c>
      <c r="F117" s="259">
        <f t="shared" si="18"/>
        <v>270</v>
      </c>
      <c r="G117" s="260">
        <f t="shared" si="19"/>
        <v>1.5580000000000001</v>
      </c>
      <c r="H117" s="252"/>
      <c r="I117" s="253"/>
      <c r="J117" s="253"/>
      <c r="K117" s="253"/>
      <c r="L117" s="254"/>
    </row>
    <row r="118" spans="1:20" ht="24.6" customHeight="1">
      <c r="A118" s="249" t="s">
        <v>197</v>
      </c>
      <c r="B118" s="258">
        <f t="shared" ref="B118:B123" si="20">E118</f>
        <v>17831</v>
      </c>
      <c r="C118" s="258"/>
      <c r="D118" s="258"/>
      <c r="E118" s="258">
        <f>+'1.1.1 과거인구현황'!P49</f>
        <v>17831</v>
      </c>
      <c r="F118" s="259">
        <f t="shared" si="18"/>
        <v>227</v>
      </c>
      <c r="G118" s="260">
        <f t="shared" si="19"/>
        <v>1.2889999999999999</v>
      </c>
      <c r="H118" s="252"/>
      <c r="I118" s="253"/>
      <c r="J118" s="253"/>
      <c r="K118" s="253"/>
      <c r="L118" s="254"/>
    </row>
    <row r="119" spans="1:20" ht="24.6" customHeight="1">
      <c r="A119" s="249" t="s">
        <v>198</v>
      </c>
      <c r="B119" s="258">
        <f t="shared" si="20"/>
        <v>18702</v>
      </c>
      <c r="C119" s="259">
        <f>(B119-B118)</f>
        <v>871</v>
      </c>
      <c r="D119" s="260">
        <f>ROUND(C119/B118*100,3)</f>
        <v>4.8849999999999998</v>
      </c>
      <c r="E119" s="258">
        <f>+'1.1.1 과거인구현황'!P50</f>
        <v>18702</v>
      </c>
      <c r="F119" s="259">
        <f t="shared" si="18"/>
        <v>871</v>
      </c>
      <c r="G119" s="260">
        <f t="shared" si="19"/>
        <v>4.8849999999999998</v>
      </c>
      <c r="H119" s="252"/>
      <c r="I119" s="253"/>
      <c r="J119" s="253"/>
      <c r="K119" s="253"/>
      <c r="L119" s="254"/>
      <c r="T119" s="228" t="s">
        <v>660</v>
      </c>
    </row>
    <row r="120" spans="1:20" ht="24.6" customHeight="1">
      <c r="A120" s="249" t="s">
        <v>199</v>
      </c>
      <c r="B120" s="258">
        <f t="shared" si="20"/>
        <v>19159</v>
      </c>
      <c r="C120" s="259">
        <f>(B120-B119)</f>
        <v>457</v>
      </c>
      <c r="D120" s="260">
        <f>ROUND(C120/B119*100,3)</f>
        <v>2.444</v>
      </c>
      <c r="E120" s="258">
        <f>+'1.1.1 과거인구현황'!P51</f>
        <v>19159</v>
      </c>
      <c r="F120" s="259">
        <f t="shared" si="18"/>
        <v>457</v>
      </c>
      <c r="G120" s="260">
        <f t="shared" si="19"/>
        <v>2.444</v>
      </c>
      <c r="H120" s="252"/>
      <c r="I120" s="253"/>
      <c r="J120" s="253"/>
      <c r="K120" s="253"/>
      <c r="L120" s="254"/>
    </row>
    <row r="121" spans="1:20" ht="24.6" customHeight="1">
      <c r="A121" s="249" t="s">
        <v>625</v>
      </c>
      <c r="B121" s="258">
        <f t="shared" si="20"/>
        <v>19132</v>
      </c>
      <c r="C121" s="259">
        <f>(B121-B120)</f>
        <v>-27</v>
      </c>
      <c r="D121" s="260">
        <f>ROUND(C121/B120*100,3)</f>
        <v>-0.14099999999999999</v>
      </c>
      <c r="E121" s="258">
        <f>+'1.1.1 과거인구현황'!P52</f>
        <v>19132</v>
      </c>
      <c r="F121" s="259">
        <f t="shared" si="18"/>
        <v>-27</v>
      </c>
      <c r="G121" s="260">
        <f t="shared" si="19"/>
        <v>-0.14099999999999999</v>
      </c>
      <c r="H121" s="252"/>
      <c r="I121" s="253"/>
      <c r="J121" s="253"/>
      <c r="K121" s="253"/>
      <c r="L121" s="254"/>
    </row>
    <row r="122" spans="1:20" ht="24.6" customHeight="1">
      <c r="A122" s="249" t="s">
        <v>633</v>
      </c>
      <c r="B122" s="258">
        <f t="shared" si="20"/>
        <v>18802</v>
      </c>
      <c r="C122" s="259">
        <f>(B122-B121)</f>
        <v>-330</v>
      </c>
      <c r="D122" s="260">
        <f>ROUND(C122/B121*100,3)</f>
        <v>-1.7250000000000001</v>
      </c>
      <c r="E122" s="258">
        <f>+'1.1.1 과거인구현황'!P53</f>
        <v>18802</v>
      </c>
      <c r="F122" s="259">
        <f t="shared" si="18"/>
        <v>-330</v>
      </c>
      <c r="G122" s="260">
        <f t="shared" si="19"/>
        <v>-1.7250000000000001</v>
      </c>
      <c r="H122" s="252"/>
      <c r="I122" s="253"/>
      <c r="J122" s="253"/>
      <c r="K122" s="253"/>
      <c r="L122" s="254"/>
    </row>
    <row r="123" spans="1:20" ht="24.6" customHeight="1">
      <c r="A123" s="249" t="s">
        <v>1219</v>
      </c>
      <c r="B123" s="258">
        <f t="shared" si="20"/>
        <v>18744</v>
      </c>
      <c r="C123" s="259">
        <f>(B123-B122)</f>
        <v>-58</v>
      </c>
      <c r="D123" s="260">
        <f>ROUND(C123/B122*100,3)</f>
        <v>-0.308</v>
      </c>
      <c r="E123" s="258">
        <f>+'1.1.1 과거인구현황'!P54</f>
        <v>18744</v>
      </c>
      <c r="F123" s="259">
        <f t="shared" si="18"/>
        <v>-58</v>
      </c>
      <c r="G123" s="260">
        <f t="shared" si="19"/>
        <v>-0.308</v>
      </c>
      <c r="H123" s="252"/>
      <c r="I123" s="253"/>
      <c r="J123" s="253"/>
      <c r="K123" s="253"/>
      <c r="L123" s="254"/>
    </row>
    <row r="124" spans="1:20" ht="24.6" customHeight="1">
      <c r="A124" s="261" t="s">
        <v>246</v>
      </c>
      <c r="B124" s="262"/>
      <c r="C124" s="263">
        <f>SUM(C119:C123)</f>
        <v>913</v>
      </c>
      <c r="D124" s="264">
        <f>ROUND(((B123/B119)^(1/4)-1)*100,2)</f>
        <v>0.06</v>
      </c>
      <c r="E124" s="280"/>
      <c r="F124" s="263">
        <f>SUM(F114:F123)</f>
        <v>2619</v>
      </c>
      <c r="G124" s="264">
        <f>ROUND(((E123/E114)^(1/9)-1)*100,2)</f>
        <v>1.1499999999999999</v>
      </c>
      <c r="H124" s="2285"/>
      <c r="I124" s="2285"/>
      <c r="J124" s="2285"/>
      <c r="K124" s="2285"/>
      <c r="L124" s="2286"/>
    </row>
    <row r="125" spans="1:20" ht="24.6" customHeight="1">
      <c r="A125" s="2287"/>
      <c r="B125" s="2287"/>
      <c r="C125" s="2287"/>
      <c r="D125" s="2288"/>
      <c r="E125" s="2288"/>
      <c r="F125" s="2288"/>
      <c r="G125" s="2288"/>
      <c r="H125" s="2288"/>
      <c r="I125" s="2288"/>
      <c r="J125" s="2288"/>
      <c r="K125" s="2288"/>
      <c r="L125" s="2288"/>
    </row>
    <row r="126" spans="1:20" ht="24.6" customHeight="1">
      <c r="A126" s="2289"/>
      <c r="B126" s="2289"/>
      <c r="C126" s="2289"/>
      <c r="D126" s="2290"/>
      <c r="E126" s="2290"/>
      <c r="F126" s="2290"/>
      <c r="G126" s="2290"/>
      <c r="H126" s="2290"/>
      <c r="I126" s="2290"/>
      <c r="J126" s="2290"/>
      <c r="K126" s="2290"/>
      <c r="L126" s="2290"/>
    </row>
    <row r="127" spans="1:20" ht="24.6" customHeight="1">
      <c r="A127" s="266"/>
      <c r="B127" s="266"/>
      <c r="C127" s="266"/>
      <c r="D127" s="267"/>
      <c r="E127" s="267"/>
      <c r="F127" s="267"/>
      <c r="G127" s="267"/>
      <c r="H127" s="267"/>
      <c r="I127" s="267"/>
      <c r="J127" s="267"/>
      <c r="K127" s="267"/>
      <c r="L127" s="267"/>
    </row>
    <row r="128" spans="1:20" ht="24.6" customHeight="1">
      <c r="A128" s="281" t="s">
        <v>661</v>
      </c>
      <c r="B128" s="230"/>
      <c r="C128" s="230"/>
      <c r="D128" s="230"/>
      <c r="E128" s="230"/>
      <c r="F128" s="230"/>
      <c r="G128" s="231"/>
      <c r="H128" s="230"/>
      <c r="I128" s="230"/>
      <c r="J128" s="230"/>
      <c r="K128" s="230"/>
      <c r="L128" s="230"/>
    </row>
    <row r="129" spans="1:12" ht="24.6" customHeight="1">
      <c r="A129" s="2291" t="s">
        <v>235</v>
      </c>
      <c r="B129" s="2294" t="s">
        <v>663</v>
      </c>
      <c r="C129" s="2295"/>
      <c r="D129" s="2295"/>
      <c r="E129" s="2295"/>
      <c r="F129" s="2295"/>
      <c r="G129" s="2295"/>
      <c r="H129" s="2295"/>
      <c r="I129" s="2295"/>
      <c r="J129" s="2295"/>
      <c r="K129" s="2295"/>
      <c r="L129" s="2296"/>
    </row>
    <row r="130" spans="1:12" ht="24.6" customHeight="1">
      <c r="A130" s="2292"/>
      <c r="B130" s="2297" t="s">
        <v>237</v>
      </c>
      <c r="C130" s="2298"/>
      <c r="D130" s="2299"/>
      <c r="E130" s="2297" t="s">
        <v>239</v>
      </c>
      <c r="F130" s="2298"/>
      <c r="G130" s="2299"/>
      <c r="H130" s="2300" t="s">
        <v>241</v>
      </c>
      <c r="I130" s="2301"/>
      <c r="J130" s="2301"/>
      <c r="K130" s="2301"/>
      <c r="L130" s="2302"/>
    </row>
    <row r="131" spans="1:12" ht="27" customHeight="1">
      <c r="A131" s="2293"/>
      <c r="B131" s="240" t="s">
        <v>243</v>
      </c>
      <c r="C131" s="241" t="s">
        <v>244</v>
      </c>
      <c r="D131" s="241" t="s">
        <v>245</v>
      </c>
      <c r="E131" s="240" t="s">
        <v>243</v>
      </c>
      <c r="F131" s="241" t="s">
        <v>244</v>
      </c>
      <c r="G131" s="241" t="s">
        <v>245</v>
      </c>
      <c r="H131" s="2303"/>
      <c r="I131" s="2304"/>
      <c r="J131" s="2304"/>
      <c r="K131" s="2304"/>
      <c r="L131" s="2305"/>
    </row>
    <row r="132" spans="1:12" ht="27" customHeight="1">
      <c r="A132" s="249" t="s">
        <v>192</v>
      </c>
      <c r="B132" s="242"/>
      <c r="C132" s="243"/>
      <c r="D132" s="243"/>
      <c r="E132" s="242">
        <f>'1.1.1 과거인구현황'!C21</f>
        <v>8346</v>
      </c>
      <c r="F132" s="283"/>
      <c r="G132" s="243"/>
      <c r="H132" s="246"/>
      <c r="I132" s="247"/>
      <c r="J132" s="247"/>
      <c r="K132" s="247"/>
      <c r="L132" s="248"/>
    </row>
    <row r="133" spans="1:12" ht="24.6" customHeight="1">
      <c r="A133" s="249" t="s">
        <v>193</v>
      </c>
      <c r="B133" s="250"/>
      <c r="C133" s="250"/>
      <c r="D133" s="250"/>
      <c r="E133" s="250">
        <f>'1.1.1 과거인구현황'!D21</f>
        <v>8527</v>
      </c>
      <c r="F133" s="272">
        <f t="shared" ref="F133:F142" si="21">(E133-E132)</f>
        <v>181</v>
      </c>
      <c r="G133" s="260">
        <f t="shared" ref="G133:G142" si="22">ROUND(F133/E132*100,3)</f>
        <v>2.169</v>
      </c>
      <c r="H133" s="252"/>
      <c r="I133" s="253"/>
      <c r="J133" s="253"/>
      <c r="K133" s="253"/>
      <c r="L133" s="254"/>
    </row>
    <row r="134" spans="1:12" ht="24.6" customHeight="1">
      <c r="A134" s="249" t="s">
        <v>194</v>
      </c>
      <c r="B134" s="258"/>
      <c r="C134" s="258"/>
      <c r="D134" s="258"/>
      <c r="E134" s="258">
        <f>'1.1.1 과거인구현황'!E21</f>
        <v>8679</v>
      </c>
      <c r="F134" s="259">
        <f t="shared" si="21"/>
        <v>152</v>
      </c>
      <c r="G134" s="260">
        <f t="shared" si="22"/>
        <v>1.7829999999999999</v>
      </c>
      <c r="H134" s="252"/>
      <c r="I134" s="253"/>
      <c r="J134" s="253"/>
      <c r="K134" s="253"/>
      <c r="L134" s="254"/>
    </row>
    <row r="135" spans="1:12" ht="24.6" customHeight="1">
      <c r="A135" s="249" t="s">
        <v>195</v>
      </c>
      <c r="B135" s="258"/>
      <c r="C135" s="258"/>
      <c r="D135" s="258"/>
      <c r="E135" s="258">
        <f>'1.1.1 과거인구현황'!F21</f>
        <v>8768</v>
      </c>
      <c r="F135" s="259">
        <f t="shared" si="21"/>
        <v>89</v>
      </c>
      <c r="G135" s="260">
        <f t="shared" si="22"/>
        <v>1.0249999999999999</v>
      </c>
      <c r="H135" s="252"/>
      <c r="I135" s="253"/>
      <c r="J135" s="253"/>
      <c r="K135" s="253"/>
      <c r="L135" s="254"/>
    </row>
    <row r="136" spans="1:12" ht="24.6" customHeight="1">
      <c r="A136" s="249" t="s">
        <v>196</v>
      </c>
      <c r="B136" s="258"/>
      <c r="C136" s="258"/>
      <c r="D136" s="258"/>
      <c r="E136" s="258">
        <f>'1.1.1 과거인구현황'!G21</f>
        <v>8838</v>
      </c>
      <c r="F136" s="259">
        <f t="shared" si="21"/>
        <v>70</v>
      </c>
      <c r="G136" s="260">
        <f t="shared" si="22"/>
        <v>0.79800000000000004</v>
      </c>
      <c r="H136" s="252"/>
      <c r="I136" s="253"/>
      <c r="J136" s="253"/>
      <c r="K136" s="253"/>
      <c r="L136" s="254"/>
    </row>
    <row r="137" spans="1:12" ht="24.6" customHeight="1">
      <c r="A137" s="249" t="s">
        <v>197</v>
      </c>
      <c r="B137" s="258">
        <f t="shared" ref="B137:B142" si="23">E137</f>
        <v>9306</v>
      </c>
      <c r="C137" s="258"/>
      <c r="D137" s="258"/>
      <c r="E137" s="258">
        <f>'1.1.1 과거인구현황'!H21</f>
        <v>9306</v>
      </c>
      <c r="F137" s="259">
        <f t="shared" si="21"/>
        <v>468</v>
      </c>
      <c r="G137" s="260">
        <f t="shared" si="22"/>
        <v>5.2949999999999999</v>
      </c>
      <c r="H137" s="252"/>
      <c r="I137" s="253"/>
      <c r="J137" s="253"/>
      <c r="K137" s="253"/>
      <c r="L137" s="254"/>
    </row>
    <row r="138" spans="1:12" ht="24.6" customHeight="1">
      <c r="A138" s="249" t="s">
        <v>198</v>
      </c>
      <c r="B138" s="258">
        <f t="shared" si="23"/>
        <v>9393</v>
      </c>
      <c r="C138" s="259">
        <f>(B138-B137)</f>
        <v>87</v>
      </c>
      <c r="D138" s="260">
        <f>ROUND(C138/B137*100,3)</f>
        <v>0.93500000000000005</v>
      </c>
      <c r="E138" s="258">
        <f>'1.1.1 과거인구현황'!I21</f>
        <v>9393</v>
      </c>
      <c r="F138" s="259">
        <f t="shared" si="21"/>
        <v>87</v>
      </c>
      <c r="G138" s="260">
        <f t="shared" si="22"/>
        <v>0.93500000000000005</v>
      </c>
      <c r="H138" s="252"/>
      <c r="I138" s="253"/>
      <c r="J138" s="253"/>
      <c r="K138" s="253"/>
      <c r="L138" s="254"/>
    </row>
    <row r="139" spans="1:12" ht="24.6" customHeight="1">
      <c r="A139" s="249" t="s">
        <v>199</v>
      </c>
      <c r="B139" s="258">
        <f t="shared" si="23"/>
        <v>9575</v>
      </c>
      <c r="C139" s="259">
        <f>(B139-B138)</f>
        <v>182</v>
      </c>
      <c r="D139" s="260">
        <f>ROUND(C139/B138*100,3)</f>
        <v>1.9379999999999999</v>
      </c>
      <c r="E139" s="258">
        <f>'1.1.1 과거인구현황'!J21</f>
        <v>9575</v>
      </c>
      <c r="F139" s="259">
        <f t="shared" si="21"/>
        <v>182</v>
      </c>
      <c r="G139" s="260">
        <f t="shared" si="22"/>
        <v>1.9379999999999999</v>
      </c>
      <c r="H139" s="252"/>
      <c r="I139" s="253"/>
      <c r="J139" s="253"/>
      <c r="K139" s="253"/>
      <c r="L139" s="254"/>
    </row>
    <row r="140" spans="1:12" ht="24.6" customHeight="1">
      <c r="A140" s="249" t="s">
        <v>625</v>
      </c>
      <c r="B140" s="258">
        <f t="shared" si="23"/>
        <v>9739</v>
      </c>
      <c r="C140" s="259">
        <f>(B140-B139)</f>
        <v>164</v>
      </c>
      <c r="D140" s="260">
        <f>ROUND(C140/B139*100,3)</f>
        <v>1.7130000000000001</v>
      </c>
      <c r="E140" s="258">
        <f>'1.1.1 과거인구현황'!K21</f>
        <v>9739</v>
      </c>
      <c r="F140" s="259">
        <f t="shared" si="21"/>
        <v>164</v>
      </c>
      <c r="G140" s="260">
        <f t="shared" si="22"/>
        <v>1.7130000000000001</v>
      </c>
      <c r="H140" s="252"/>
      <c r="I140" s="253"/>
      <c r="J140" s="253"/>
      <c r="K140" s="253"/>
      <c r="L140" s="254"/>
    </row>
    <row r="141" spans="1:12" ht="24.6" customHeight="1">
      <c r="A141" s="249" t="s">
        <v>633</v>
      </c>
      <c r="B141" s="258">
        <f t="shared" si="23"/>
        <v>9571</v>
      </c>
      <c r="C141" s="259">
        <f>(B141-B140)</f>
        <v>-168</v>
      </c>
      <c r="D141" s="260">
        <f>ROUND(C141/B140*100,3)</f>
        <v>-1.7250000000000001</v>
      </c>
      <c r="E141" s="258">
        <f>'1.1.1 과거인구현황'!L21</f>
        <v>9571</v>
      </c>
      <c r="F141" s="259">
        <f t="shared" si="21"/>
        <v>-168</v>
      </c>
      <c r="G141" s="260">
        <f t="shared" si="22"/>
        <v>-1.7250000000000001</v>
      </c>
      <c r="H141" s="252"/>
      <c r="I141" s="253"/>
      <c r="J141" s="253"/>
      <c r="K141" s="253"/>
      <c r="L141" s="254"/>
    </row>
    <row r="142" spans="1:12" ht="24.6" customHeight="1">
      <c r="A142" s="249" t="s">
        <v>1219</v>
      </c>
      <c r="B142" s="258">
        <f t="shared" si="23"/>
        <v>9613</v>
      </c>
      <c r="C142" s="259">
        <f>(B142-B141)</f>
        <v>42</v>
      </c>
      <c r="D142" s="260">
        <f>ROUND(C142/B141*100,3)</f>
        <v>0.439</v>
      </c>
      <c r="E142" s="258">
        <f>'1.1.1 과거인구현황'!M21</f>
        <v>9613</v>
      </c>
      <c r="F142" s="259">
        <f t="shared" si="21"/>
        <v>42</v>
      </c>
      <c r="G142" s="260">
        <f t="shared" si="22"/>
        <v>0.439</v>
      </c>
      <c r="H142" s="252"/>
      <c r="I142" s="253"/>
      <c r="J142" s="253"/>
      <c r="K142" s="253"/>
      <c r="L142" s="254"/>
    </row>
    <row r="143" spans="1:12" ht="24.6" customHeight="1">
      <c r="A143" s="261" t="s">
        <v>246</v>
      </c>
      <c r="B143" s="262"/>
      <c r="C143" s="263">
        <f>SUM(C138:C142)</f>
        <v>307</v>
      </c>
      <c r="D143" s="264">
        <f>ROUND(((B142/B138)^(1/4)-1)*100,2)</f>
        <v>0.57999999999999996</v>
      </c>
      <c r="E143" s="262"/>
      <c r="F143" s="263">
        <f>SUM(F133:F142)</f>
        <v>1267</v>
      </c>
      <c r="G143" s="264">
        <f>ROUND(((E142/E133)^(1/9)-1)*100,2)</f>
        <v>1.34</v>
      </c>
      <c r="H143" s="2285"/>
      <c r="I143" s="2285"/>
      <c r="J143" s="2285"/>
      <c r="K143" s="2285"/>
      <c r="L143" s="2286"/>
    </row>
    <row r="144" spans="1:12" ht="24.6" customHeight="1">
      <c r="A144" s="2287"/>
      <c r="B144" s="2287"/>
      <c r="C144" s="2287"/>
      <c r="D144" s="2288"/>
      <c r="E144" s="2288"/>
      <c r="F144" s="2288"/>
      <c r="G144" s="2288"/>
      <c r="H144" s="2288"/>
      <c r="I144" s="2288"/>
      <c r="J144" s="2288"/>
      <c r="K144" s="2288"/>
      <c r="L144" s="2288"/>
    </row>
    <row r="145" spans="1:20" ht="24.6" customHeight="1">
      <c r="A145" s="281" t="s">
        <v>662</v>
      </c>
      <c r="B145" s="232"/>
      <c r="C145" s="232"/>
      <c r="D145" s="232"/>
      <c r="E145" s="232"/>
      <c r="F145" s="232"/>
      <c r="G145" s="282"/>
      <c r="H145" s="232"/>
      <c r="I145" s="232"/>
      <c r="J145" s="232"/>
      <c r="K145" s="232"/>
      <c r="L145" s="232"/>
    </row>
    <row r="146" spans="1:20" ht="24.6" customHeight="1">
      <c r="A146" s="2291" t="s">
        <v>235</v>
      </c>
      <c r="B146" s="2294" t="s">
        <v>664</v>
      </c>
      <c r="C146" s="2295"/>
      <c r="D146" s="2295"/>
      <c r="E146" s="2295"/>
      <c r="F146" s="2295"/>
      <c r="G146" s="2295"/>
      <c r="H146" s="2295"/>
      <c r="I146" s="2295"/>
      <c r="J146" s="2295"/>
      <c r="K146" s="2295"/>
      <c r="L146" s="2296"/>
    </row>
    <row r="147" spans="1:20" ht="24.6" customHeight="1">
      <c r="A147" s="2292"/>
      <c r="B147" s="2297" t="s">
        <v>237</v>
      </c>
      <c r="C147" s="2298"/>
      <c r="D147" s="2299"/>
      <c r="E147" s="2297" t="s">
        <v>239</v>
      </c>
      <c r="F147" s="2298"/>
      <c r="G147" s="2299"/>
      <c r="H147" s="2300" t="s">
        <v>241</v>
      </c>
      <c r="I147" s="2301"/>
      <c r="J147" s="2301"/>
      <c r="K147" s="2301"/>
      <c r="L147" s="2302"/>
    </row>
    <row r="148" spans="1:20" ht="24.6" customHeight="1">
      <c r="A148" s="2293"/>
      <c r="B148" s="240" t="s">
        <v>243</v>
      </c>
      <c r="C148" s="241" t="s">
        <v>244</v>
      </c>
      <c r="D148" s="241" t="s">
        <v>245</v>
      </c>
      <c r="E148" s="240" t="s">
        <v>243</v>
      </c>
      <c r="F148" s="241" t="s">
        <v>244</v>
      </c>
      <c r="G148" s="241" t="s">
        <v>245</v>
      </c>
      <c r="H148" s="2303"/>
      <c r="I148" s="2304"/>
      <c r="J148" s="2304"/>
      <c r="K148" s="2304"/>
      <c r="L148" s="2305"/>
    </row>
    <row r="149" spans="1:20" ht="24.6" customHeight="1">
      <c r="A149" s="249" t="s">
        <v>192</v>
      </c>
      <c r="B149" s="242"/>
      <c r="C149" s="243"/>
      <c r="D149" s="243"/>
      <c r="E149" s="242">
        <f>'1.1.1 과거인구현황'!C23</f>
        <v>5153</v>
      </c>
      <c r="F149" s="283"/>
      <c r="G149" s="243"/>
      <c r="H149" s="246"/>
      <c r="I149" s="247"/>
      <c r="J149" s="247"/>
      <c r="K149" s="247"/>
      <c r="L149" s="248"/>
    </row>
    <row r="150" spans="1:20" ht="24.6" customHeight="1">
      <c r="A150" s="249" t="s">
        <v>193</v>
      </c>
      <c r="B150" s="250"/>
      <c r="C150" s="250"/>
      <c r="D150" s="250"/>
      <c r="E150" s="250">
        <f>'1.1.1 과거인구현황'!D23</f>
        <v>5146</v>
      </c>
      <c r="F150" s="272">
        <f t="shared" ref="F150:F159" si="24">(E150-E149)</f>
        <v>-7</v>
      </c>
      <c r="G150" s="260">
        <f t="shared" ref="G150:G159" si="25">ROUND(F150/E149*100,3)</f>
        <v>-0.13600000000000001</v>
      </c>
      <c r="H150" s="252"/>
      <c r="I150" s="253"/>
      <c r="J150" s="253"/>
      <c r="K150" s="253"/>
      <c r="L150" s="254"/>
    </row>
    <row r="151" spans="1:20" ht="24.6" customHeight="1">
      <c r="A151" s="249" t="s">
        <v>194</v>
      </c>
      <c r="B151" s="258"/>
      <c r="C151" s="258"/>
      <c r="D151" s="258"/>
      <c r="E151" s="258">
        <f>'1.1.1 과거인구현황'!E23</f>
        <v>5158</v>
      </c>
      <c r="F151" s="259">
        <f t="shared" si="24"/>
        <v>12</v>
      </c>
      <c r="G151" s="260">
        <f t="shared" si="25"/>
        <v>0.23300000000000001</v>
      </c>
      <c r="H151" s="252"/>
      <c r="I151" s="253"/>
      <c r="J151" s="253"/>
      <c r="K151" s="253"/>
      <c r="L151" s="254"/>
    </row>
    <row r="152" spans="1:20" ht="24.6" customHeight="1">
      <c r="A152" s="249" t="s">
        <v>195</v>
      </c>
      <c r="B152" s="258"/>
      <c r="C152" s="258"/>
      <c r="D152" s="258"/>
      <c r="E152" s="258">
        <f>'1.1.1 과거인구현황'!F23</f>
        <v>5153</v>
      </c>
      <c r="F152" s="259">
        <f t="shared" si="24"/>
        <v>-5</v>
      </c>
      <c r="G152" s="260">
        <f t="shared" si="25"/>
        <v>-9.7000000000000003E-2</v>
      </c>
      <c r="H152" s="252"/>
      <c r="I152" s="253"/>
      <c r="J152" s="253"/>
      <c r="K152" s="253"/>
      <c r="L152" s="254"/>
    </row>
    <row r="153" spans="1:20" ht="24.6" customHeight="1">
      <c r="A153" s="249" t="s">
        <v>196</v>
      </c>
      <c r="B153" s="258"/>
      <c r="C153" s="258"/>
      <c r="D153" s="258"/>
      <c r="E153" s="258">
        <f>'1.1.1 과거인구현황'!G23</f>
        <v>5104</v>
      </c>
      <c r="F153" s="259">
        <f t="shared" si="24"/>
        <v>-49</v>
      </c>
      <c r="G153" s="260">
        <f t="shared" si="25"/>
        <v>-0.95099999999999996</v>
      </c>
      <c r="H153" s="252"/>
      <c r="I153" s="253"/>
      <c r="J153" s="253"/>
      <c r="K153" s="253"/>
      <c r="L153" s="254"/>
    </row>
    <row r="154" spans="1:20" ht="24.6" customHeight="1">
      <c r="A154" s="249" t="s">
        <v>197</v>
      </c>
      <c r="B154" s="258">
        <f t="shared" ref="B154:B159" si="26">E154</f>
        <v>5114</v>
      </c>
      <c r="C154" s="258"/>
      <c r="D154" s="258"/>
      <c r="E154" s="258">
        <f>'1.1.1 과거인구현황'!H23</f>
        <v>5114</v>
      </c>
      <c r="F154" s="259">
        <f t="shared" si="24"/>
        <v>10</v>
      </c>
      <c r="G154" s="260">
        <f t="shared" si="25"/>
        <v>0.19600000000000001</v>
      </c>
      <c r="H154" s="252"/>
      <c r="I154" s="253"/>
      <c r="J154" s="253"/>
      <c r="K154" s="253"/>
      <c r="L154" s="254"/>
    </row>
    <row r="155" spans="1:20" ht="24.6" customHeight="1">
      <c r="A155" s="249" t="s">
        <v>198</v>
      </c>
      <c r="B155" s="258">
        <f t="shared" si="26"/>
        <v>5165</v>
      </c>
      <c r="C155" s="259">
        <f>(B155-B154)</f>
        <v>51</v>
      </c>
      <c r="D155" s="260">
        <f>ROUND(C155/B154*100,3)</f>
        <v>0.997</v>
      </c>
      <c r="E155" s="258">
        <f>'1.1.1 과거인구현황'!I23</f>
        <v>5165</v>
      </c>
      <c r="F155" s="259">
        <f t="shared" si="24"/>
        <v>51</v>
      </c>
      <c r="G155" s="260">
        <f t="shared" si="25"/>
        <v>0.997</v>
      </c>
      <c r="H155" s="252"/>
      <c r="I155" s="253"/>
      <c r="J155" s="253"/>
      <c r="K155" s="253"/>
      <c r="L155" s="254"/>
      <c r="T155" s="228" t="s">
        <v>660</v>
      </c>
    </row>
    <row r="156" spans="1:20" ht="24.6" customHeight="1">
      <c r="A156" s="249" t="s">
        <v>199</v>
      </c>
      <c r="B156" s="258">
        <f t="shared" si="26"/>
        <v>5412</v>
      </c>
      <c r="C156" s="259">
        <f>(B156-B155)</f>
        <v>247</v>
      </c>
      <c r="D156" s="260">
        <f>ROUND(C156/B155*100,3)</f>
        <v>4.782</v>
      </c>
      <c r="E156" s="258">
        <f>'1.1.1 과거인구현황'!J23</f>
        <v>5412</v>
      </c>
      <c r="F156" s="259">
        <f t="shared" si="24"/>
        <v>247</v>
      </c>
      <c r="G156" s="260">
        <f t="shared" si="25"/>
        <v>4.782</v>
      </c>
      <c r="H156" s="252"/>
      <c r="I156" s="253"/>
      <c r="J156" s="253"/>
      <c r="K156" s="253"/>
      <c r="L156" s="254"/>
    </row>
    <row r="157" spans="1:20" ht="24.6" customHeight="1">
      <c r="A157" s="249" t="s">
        <v>625</v>
      </c>
      <c r="B157" s="258">
        <f t="shared" si="26"/>
        <v>5370</v>
      </c>
      <c r="C157" s="259">
        <f>(B157-B156)</f>
        <v>-42</v>
      </c>
      <c r="D157" s="260">
        <f>ROUND(C157/B156*100,3)</f>
        <v>-0.77600000000000002</v>
      </c>
      <c r="E157" s="258">
        <f>'1.1.1 과거인구현황'!K23</f>
        <v>5370</v>
      </c>
      <c r="F157" s="259">
        <f t="shared" si="24"/>
        <v>-42</v>
      </c>
      <c r="G157" s="260">
        <f t="shared" si="25"/>
        <v>-0.77600000000000002</v>
      </c>
      <c r="H157" s="252"/>
      <c r="I157" s="253"/>
      <c r="J157" s="253"/>
      <c r="K157" s="253"/>
      <c r="L157" s="254"/>
    </row>
    <row r="158" spans="1:20" ht="24.6" customHeight="1">
      <c r="A158" s="249" t="s">
        <v>633</v>
      </c>
      <c r="B158" s="258">
        <f t="shared" si="26"/>
        <v>5351</v>
      </c>
      <c r="C158" s="259">
        <f>(B158-B157)</f>
        <v>-19</v>
      </c>
      <c r="D158" s="260">
        <f>ROUND(C158/B157*100,3)</f>
        <v>-0.35399999999999998</v>
      </c>
      <c r="E158" s="258">
        <f>'1.1.1 과거인구현황'!L23</f>
        <v>5351</v>
      </c>
      <c r="F158" s="259">
        <f t="shared" si="24"/>
        <v>-19</v>
      </c>
      <c r="G158" s="260">
        <f t="shared" si="25"/>
        <v>-0.35399999999999998</v>
      </c>
      <c r="H158" s="252"/>
      <c r="I158" s="253"/>
      <c r="J158" s="253"/>
      <c r="K158" s="253"/>
      <c r="L158" s="254"/>
    </row>
    <row r="159" spans="1:20" ht="24.6" customHeight="1">
      <c r="A159" s="249" t="s">
        <v>1219</v>
      </c>
      <c r="B159" s="258">
        <f t="shared" si="26"/>
        <v>5403</v>
      </c>
      <c r="C159" s="259">
        <f>(B159-B158)</f>
        <v>52</v>
      </c>
      <c r="D159" s="260">
        <f>ROUND(C159/B158*100,3)</f>
        <v>0.97199999999999998</v>
      </c>
      <c r="E159" s="258">
        <f>'1.1.1 과거인구현황'!M23</f>
        <v>5403</v>
      </c>
      <c r="F159" s="259">
        <f t="shared" si="24"/>
        <v>52</v>
      </c>
      <c r="G159" s="260">
        <f t="shared" si="25"/>
        <v>0.97199999999999998</v>
      </c>
      <c r="H159" s="252"/>
      <c r="I159" s="253"/>
      <c r="J159" s="253"/>
      <c r="K159" s="253"/>
      <c r="L159" s="254"/>
    </row>
    <row r="160" spans="1:20" ht="24.6" customHeight="1">
      <c r="A160" s="261" t="s">
        <v>246</v>
      </c>
      <c r="B160" s="262"/>
      <c r="C160" s="263">
        <f>SUM(C155:C159)</f>
        <v>289</v>
      </c>
      <c r="D160" s="264">
        <f>ROUND(((B159/B155)^(1/4)-1)*100,2)</f>
        <v>1.1299999999999999</v>
      </c>
      <c r="E160" s="280"/>
      <c r="F160" s="263">
        <f>SUM(F150:F159)</f>
        <v>250</v>
      </c>
      <c r="G160" s="264">
        <f>ROUND(((E159/E150)^(1/9)-1)*100,2)</f>
        <v>0.54</v>
      </c>
      <c r="H160" s="2285"/>
      <c r="I160" s="2285"/>
      <c r="J160" s="2285"/>
      <c r="K160" s="2285"/>
      <c r="L160" s="2286"/>
    </row>
    <row r="161" spans="1:12" ht="24.6" customHeight="1">
      <c r="A161" s="2287"/>
      <c r="B161" s="2287"/>
      <c r="C161" s="2287"/>
      <c r="D161" s="2288"/>
      <c r="E161" s="2288"/>
      <c r="F161" s="2288"/>
      <c r="G161" s="2288"/>
      <c r="H161" s="2288"/>
      <c r="I161" s="2288"/>
      <c r="J161" s="2288"/>
      <c r="K161" s="2288"/>
      <c r="L161" s="2288"/>
    </row>
    <row r="162" spans="1:12" ht="24.6" customHeight="1">
      <c r="A162" s="2289"/>
      <c r="B162" s="2289"/>
      <c r="C162" s="2289"/>
      <c r="D162" s="2290"/>
      <c r="E162" s="2290"/>
      <c r="F162" s="2290"/>
      <c r="G162" s="2290"/>
      <c r="H162" s="2290"/>
      <c r="I162" s="2290"/>
      <c r="J162" s="2290"/>
      <c r="K162" s="2290"/>
      <c r="L162" s="2290"/>
    </row>
    <row r="163" spans="1:12" ht="24.6" customHeight="1">
      <c r="A163" s="716"/>
      <c r="B163" s="716"/>
      <c r="C163" s="716"/>
      <c r="D163" s="717"/>
      <c r="E163" s="717"/>
      <c r="F163" s="717"/>
      <c r="G163" s="717"/>
      <c r="H163" s="717"/>
      <c r="I163" s="717"/>
      <c r="J163" s="717"/>
      <c r="K163" s="717"/>
      <c r="L163" s="717"/>
    </row>
    <row r="164" spans="1:12" ht="24.6" customHeight="1">
      <c r="A164" s="281" t="s">
        <v>2245</v>
      </c>
      <c r="B164" s="230"/>
      <c r="C164" s="230"/>
      <c r="D164" s="230"/>
      <c r="E164" s="230"/>
      <c r="F164" s="230"/>
      <c r="G164" s="231"/>
      <c r="H164" s="230"/>
      <c r="I164" s="230"/>
      <c r="J164" s="230"/>
      <c r="K164" s="230"/>
      <c r="L164" s="230"/>
    </row>
    <row r="165" spans="1:12" ht="24.6" customHeight="1">
      <c r="A165" s="2291" t="s">
        <v>235</v>
      </c>
      <c r="B165" s="2294" t="s">
        <v>659</v>
      </c>
      <c r="C165" s="2295"/>
      <c r="D165" s="2295"/>
      <c r="E165" s="2295"/>
      <c r="F165" s="2295"/>
      <c r="G165" s="2295"/>
      <c r="H165" s="2295"/>
      <c r="I165" s="2295"/>
      <c r="J165" s="2295"/>
      <c r="K165" s="2295"/>
      <c r="L165" s="2296"/>
    </row>
    <row r="166" spans="1:12" ht="24.6" customHeight="1">
      <c r="A166" s="2292"/>
      <c r="B166" s="2297" t="s">
        <v>237</v>
      </c>
      <c r="C166" s="2298"/>
      <c r="D166" s="2299"/>
      <c r="E166" s="2297" t="s">
        <v>239</v>
      </c>
      <c r="F166" s="2298"/>
      <c r="G166" s="2299"/>
      <c r="H166" s="2300" t="s">
        <v>241</v>
      </c>
      <c r="I166" s="2301"/>
      <c r="J166" s="2301"/>
      <c r="K166" s="2301"/>
      <c r="L166" s="2302"/>
    </row>
    <row r="167" spans="1:12" ht="27" customHeight="1">
      <c r="A167" s="2293"/>
      <c r="B167" s="240" t="s">
        <v>243</v>
      </c>
      <c r="C167" s="241" t="s">
        <v>244</v>
      </c>
      <c r="D167" s="241" t="s">
        <v>245</v>
      </c>
      <c r="E167" s="240" t="s">
        <v>243</v>
      </c>
      <c r="F167" s="241" t="s">
        <v>244</v>
      </c>
      <c r="G167" s="241" t="s">
        <v>245</v>
      </c>
      <c r="H167" s="2303"/>
      <c r="I167" s="2304"/>
      <c r="J167" s="2304"/>
      <c r="K167" s="2304"/>
      <c r="L167" s="2305"/>
    </row>
    <row r="168" spans="1:12" ht="27" customHeight="1">
      <c r="A168" s="249" t="s">
        <v>192</v>
      </c>
      <c r="B168" s="242"/>
      <c r="C168" s="243"/>
      <c r="D168" s="243"/>
      <c r="E168" s="242">
        <f>'1.1.1 과거인구현황'!C25</f>
        <v>10733</v>
      </c>
      <c r="F168" s="283"/>
      <c r="G168" s="243"/>
      <c r="H168" s="246"/>
      <c r="I168" s="247"/>
      <c r="J168" s="247"/>
      <c r="K168" s="247"/>
      <c r="L168" s="248"/>
    </row>
    <row r="169" spans="1:12" ht="24.6" customHeight="1">
      <c r="A169" s="249" t="s">
        <v>193</v>
      </c>
      <c r="B169" s="250"/>
      <c r="C169" s="250"/>
      <c r="D169" s="250"/>
      <c r="E169" s="250">
        <f>'1.1.1 과거인구현황'!D25</f>
        <v>10864</v>
      </c>
      <c r="F169" s="272">
        <f t="shared" ref="F169:F178" si="27">(E133-E132)</f>
        <v>181</v>
      </c>
      <c r="G169" s="260">
        <f t="shared" ref="G169:G178" si="28">ROUND(F133/E132*100,3)</f>
        <v>2.169</v>
      </c>
      <c r="H169" s="252"/>
      <c r="I169" s="253"/>
      <c r="J169" s="253"/>
      <c r="K169" s="253"/>
      <c r="L169" s="254"/>
    </row>
    <row r="170" spans="1:12" ht="24.6" customHeight="1">
      <c r="A170" s="249" t="s">
        <v>194</v>
      </c>
      <c r="B170" s="258"/>
      <c r="C170" s="258"/>
      <c r="D170" s="258"/>
      <c r="E170" s="258">
        <f>'1.1.1 과거인구현황'!E25</f>
        <v>10686</v>
      </c>
      <c r="F170" s="259">
        <f t="shared" si="27"/>
        <v>152</v>
      </c>
      <c r="G170" s="260">
        <f t="shared" si="28"/>
        <v>1.7829999999999999</v>
      </c>
      <c r="H170" s="252"/>
      <c r="I170" s="253"/>
      <c r="J170" s="253"/>
      <c r="K170" s="253"/>
      <c r="L170" s="254"/>
    </row>
    <row r="171" spans="1:12" ht="24.6" customHeight="1">
      <c r="A171" s="249" t="s">
        <v>195</v>
      </c>
      <c r="B171" s="258"/>
      <c r="C171" s="258"/>
      <c r="D171" s="258"/>
      <c r="E171" s="258">
        <f>'1.1.1 과거인구현황'!F25</f>
        <v>10539</v>
      </c>
      <c r="F171" s="259">
        <f t="shared" si="27"/>
        <v>89</v>
      </c>
      <c r="G171" s="260">
        <f t="shared" si="28"/>
        <v>1.0249999999999999</v>
      </c>
      <c r="H171" s="252"/>
      <c r="I171" s="253"/>
      <c r="J171" s="253"/>
      <c r="K171" s="253"/>
      <c r="L171" s="254"/>
    </row>
    <row r="172" spans="1:12" ht="24.6" customHeight="1">
      <c r="A172" s="249" t="s">
        <v>196</v>
      </c>
      <c r="B172" s="258"/>
      <c r="C172" s="258"/>
      <c r="D172" s="258"/>
      <c r="E172" s="258">
        <f>'1.1.1 과거인구현황'!G25</f>
        <v>11040</v>
      </c>
      <c r="F172" s="259">
        <f t="shared" si="27"/>
        <v>70</v>
      </c>
      <c r="G172" s="260">
        <f t="shared" si="28"/>
        <v>0.79800000000000004</v>
      </c>
      <c r="H172" s="252"/>
      <c r="I172" s="253"/>
      <c r="J172" s="253"/>
      <c r="K172" s="253"/>
      <c r="L172" s="254"/>
    </row>
    <row r="173" spans="1:12" ht="24.6" customHeight="1">
      <c r="A173" s="249" t="s">
        <v>197</v>
      </c>
      <c r="B173" s="258">
        <f t="shared" ref="B173:B178" si="29">E173</f>
        <v>11213</v>
      </c>
      <c r="C173" s="258"/>
      <c r="D173" s="258"/>
      <c r="E173" s="258">
        <f>'1.1.1 과거인구현황'!H25</f>
        <v>11213</v>
      </c>
      <c r="F173" s="259">
        <f t="shared" si="27"/>
        <v>468</v>
      </c>
      <c r="G173" s="260">
        <f t="shared" si="28"/>
        <v>5.2949999999999999</v>
      </c>
      <c r="H173" s="252"/>
      <c r="I173" s="253"/>
      <c r="J173" s="253"/>
      <c r="K173" s="253"/>
      <c r="L173" s="254"/>
    </row>
    <row r="174" spans="1:12" ht="24.6" customHeight="1">
      <c r="A174" s="249" t="s">
        <v>198</v>
      </c>
      <c r="B174" s="258">
        <f t="shared" si="29"/>
        <v>11405</v>
      </c>
      <c r="C174" s="259">
        <f>(B138-B137)</f>
        <v>87</v>
      </c>
      <c r="D174" s="260">
        <f>ROUND(C138/B137*100,3)</f>
        <v>0.93500000000000005</v>
      </c>
      <c r="E174" s="258">
        <f>'1.1.1 과거인구현황'!I25</f>
        <v>11405</v>
      </c>
      <c r="F174" s="259">
        <f t="shared" si="27"/>
        <v>87</v>
      </c>
      <c r="G174" s="260">
        <f t="shared" si="28"/>
        <v>0.93500000000000005</v>
      </c>
      <c r="H174" s="252"/>
      <c r="I174" s="253"/>
      <c r="J174" s="253"/>
      <c r="K174" s="253"/>
      <c r="L174" s="254"/>
    </row>
    <row r="175" spans="1:12" ht="24.6" customHeight="1">
      <c r="A175" s="249" t="s">
        <v>199</v>
      </c>
      <c r="B175" s="258">
        <f t="shared" si="29"/>
        <v>11441</v>
      </c>
      <c r="C175" s="259">
        <f>(B139-B138)</f>
        <v>182</v>
      </c>
      <c r="D175" s="260">
        <f>ROUND(C139/B138*100,3)</f>
        <v>1.9379999999999999</v>
      </c>
      <c r="E175" s="258">
        <f>'1.1.1 과거인구현황'!J25</f>
        <v>11441</v>
      </c>
      <c r="F175" s="259">
        <f t="shared" si="27"/>
        <v>182</v>
      </c>
      <c r="G175" s="260">
        <f t="shared" si="28"/>
        <v>1.9379999999999999</v>
      </c>
      <c r="H175" s="252"/>
      <c r="I175" s="253"/>
      <c r="J175" s="253"/>
      <c r="K175" s="253"/>
      <c r="L175" s="254"/>
    </row>
    <row r="176" spans="1:12" ht="24.6" customHeight="1">
      <c r="A176" s="249" t="s">
        <v>625</v>
      </c>
      <c r="B176" s="258">
        <f t="shared" si="29"/>
        <v>11333</v>
      </c>
      <c r="C176" s="259">
        <f>(B140-B139)</f>
        <v>164</v>
      </c>
      <c r="D176" s="260">
        <f>ROUND(C140/B139*100,3)</f>
        <v>1.7130000000000001</v>
      </c>
      <c r="E176" s="258">
        <f>'1.1.1 과거인구현황'!K25</f>
        <v>11333</v>
      </c>
      <c r="F176" s="259">
        <f t="shared" si="27"/>
        <v>164</v>
      </c>
      <c r="G176" s="260">
        <f t="shared" si="28"/>
        <v>1.7130000000000001</v>
      </c>
      <c r="H176" s="252"/>
      <c r="I176" s="253"/>
      <c r="J176" s="253"/>
      <c r="K176" s="253"/>
      <c r="L176" s="254"/>
    </row>
    <row r="177" spans="1:12" ht="24.6" customHeight="1">
      <c r="A177" s="249" t="s">
        <v>633</v>
      </c>
      <c r="B177" s="258">
        <f t="shared" si="29"/>
        <v>11390</v>
      </c>
      <c r="C177" s="259">
        <f>(B141-B140)</f>
        <v>-168</v>
      </c>
      <c r="D177" s="260">
        <f>ROUND(C141/B140*100,3)</f>
        <v>-1.7250000000000001</v>
      </c>
      <c r="E177" s="258">
        <f>'1.1.1 과거인구현황'!L25</f>
        <v>11390</v>
      </c>
      <c r="F177" s="259">
        <f t="shared" si="27"/>
        <v>-168</v>
      </c>
      <c r="G177" s="260">
        <f t="shared" si="28"/>
        <v>-1.7250000000000001</v>
      </c>
      <c r="H177" s="252"/>
      <c r="I177" s="253"/>
      <c r="J177" s="253"/>
      <c r="K177" s="253"/>
      <c r="L177" s="254"/>
    </row>
    <row r="178" spans="1:12" ht="24.6" customHeight="1">
      <c r="A178" s="249" t="s">
        <v>1219</v>
      </c>
      <c r="B178" s="258">
        <f t="shared" si="29"/>
        <v>11393</v>
      </c>
      <c r="C178" s="259">
        <f>(B142-B141)</f>
        <v>42</v>
      </c>
      <c r="D178" s="260">
        <f>ROUND(C142/B141*100,3)</f>
        <v>0.439</v>
      </c>
      <c r="E178" s="258">
        <f>'1.1.1 과거인구현황'!M25</f>
        <v>11393</v>
      </c>
      <c r="F178" s="259">
        <f t="shared" si="27"/>
        <v>42</v>
      </c>
      <c r="G178" s="260">
        <f t="shared" si="28"/>
        <v>0.439</v>
      </c>
      <c r="H178" s="252"/>
      <c r="I178" s="253"/>
      <c r="J178" s="253"/>
      <c r="K178" s="253"/>
      <c r="L178" s="254"/>
    </row>
    <row r="179" spans="1:12" ht="24.6" customHeight="1">
      <c r="A179" s="261" t="s">
        <v>246</v>
      </c>
      <c r="B179" s="262"/>
      <c r="C179" s="263">
        <f>SUM(C174:C178)</f>
        <v>307</v>
      </c>
      <c r="D179" s="264">
        <f>ROUND(((B178/B174)^(1/4)-1)*100,2)</f>
        <v>-0.03</v>
      </c>
      <c r="E179" s="262"/>
      <c r="F179" s="263">
        <f>SUM(F169:F178)</f>
        <v>1267</v>
      </c>
      <c r="G179" s="264">
        <f>ROUND(((E178/E169)^(1/9)-1)*100,2)</f>
        <v>0.53</v>
      </c>
      <c r="H179" s="2285"/>
      <c r="I179" s="2285"/>
      <c r="J179" s="2285"/>
      <c r="K179" s="2285"/>
      <c r="L179" s="2286"/>
    </row>
    <row r="180" spans="1:12" ht="24.6" customHeight="1">
      <c r="A180" s="2287"/>
      <c r="B180" s="2287"/>
      <c r="C180" s="2287"/>
      <c r="D180" s="2288"/>
      <c r="E180" s="2288"/>
      <c r="F180" s="2288"/>
      <c r="G180" s="2288"/>
      <c r="H180" s="2288"/>
      <c r="I180" s="2288"/>
      <c r="J180" s="2288"/>
      <c r="K180" s="2288"/>
      <c r="L180" s="2288"/>
    </row>
  </sheetData>
  <mergeCells count="78">
    <mergeCell ref="H143:L143"/>
    <mergeCell ref="A144:C144"/>
    <mergeCell ref="D144:L144"/>
    <mergeCell ref="H124:L124"/>
    <mergeCell ref="A125:C126"/>
    <mergeCell ref="D125:L126"/>
    <mergeCell ref="A129:A131"/>
    <mergeCell ref="B129:L129"/>
    <mergeCell ref="B130:D130"/>
    <mergeCell ref="E130:G130"/>
    <mergeCell ref="H130:L131"/>
    <mergeCell ref="H107:L107"/>
    <mergeCell ref="A108:C108"/>
    <mergeCell ref="D108:L108"/>
    <mergeCell ref="A110:A112"/>
    <mergeCell ref="B110:L110"/>
    <mergeCell ref="B111:D111"/>
    <mergeCell ref="E111:G111"/>
    <mergeCell ref="H111:L112"/>
    <mergeCell ref="H88:L88"/>
    <mergeCell ref="A89:C90"/>
    <mergeCell ref="D89:L90"/>
    <mergeCell ref="A93:A95"/>
    <mergeCell ref="B93:L93"/>
    <mergeCell ref="B94:D94"/>
    <mergeCell ref="E94:G94"/>
    <mergeCell ref="H94:L95"/>
    <mergeCell ref="H71:L71"/>
    <mergeCell ref="A72:C72"/>
    <mergeCell ref="D72:L72"/>
    <mergeCell ref="A74:A76"/>
    <mergeCell ref="B74:L74"/>
    <mergeCell ref="B75:D75"/>
    <mergeCell ref="E75:G75"/>
    <mergeCell ref="H75:L76"/>
    <mergeCell ref="H52:L52"/>
    <mergeCell ref="A53:C54"/>
    <mergeCell ref="D53:L54"/>
    <mergeCell ref="A57:A59"/>
    <mergeCell ref="B57:L57"/>
    <mergeCell ref="B58:D58"/>
    <mergeCell ref="E58:G58"/>
    <mergeCell ref="H58:L59"/>
    <mergeCell ref="H36:L36"/>
    <mergeCell ref="A38:A40"/>
    <mergeCell ref="B38:L38"/>
    <mergeCell ref="B39:D39"/>
    <mergeCell ref="E39:G39"/>
    <mergeCell ref="H39:L40"/>
    <mergeCell ref="A18:C19"/>
    <mergeCell ref="D18:L19"/>
    <mergeCell ref="A22:A24"/>
    <mergeCell ref="B22:L22"/>
    <mergeCell ref="B23:D23"/>
    <mergeCell ref="E23:G23"/>
    <mergeCell ref="H23:L24"/>
    <mergeCell ref="H17:L17"/>
    <mergeCell ref="A3:A5"/>
    <mergeCell ref="B3:L3"/>
    <mergeCell ref="B4:D4"/>
    <mergeCell ref="E4:G4"/>
    <mergeCell ref="H4:L5"/>
    <mergeCell ref="A146:A148"/>
    <mergeCell ref="B146:L146"/>
    <mergeCell ref="B147:D147"/>
    <mergeCell ref="E147:G147"/>
    <mergeCell ref="H147:L148"/>
    <mergeCell ref="H179:L179"/>
    <mergeCell ref="A180:C180"/>
    <mergeCell ref="D180:L180"/>
    <mergeCell ref="H160:L160"/>
    <mergeCell ref="A161:C162"/>
    <mergeCell ref="D161:L162"/>
    <mergeCell ref="A165:A167"/>
    <mergeCell ref="B165:L165"/>
    <mergeCell ref="B166:D166"/>
    <mergeCell ref="E166:G166"/>
    <mergeCell ref="H166:L167"/>
  </mergeCells>
  <phoneticPr fontId="3" type="noConversion"/>
  <printOptions horizontalCentered="1"/>
  <pageMargins left="0.59055118110236227" right="0.59055118110236227" top="0.78740157480314965" bottom="0.78740157480314965" header="0.39370078740157483" footer="0.39370078740157483"/>
  <pageSetup paperSize="9" scale="80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R167"/>
  <sheetViews>
    <sheetView view="pageBreakPreview" zoomScaleNormal="100" zoomScaleSheetLayoutView="100" workbookViewId="0">
      <selection activeCell="F4" sqref="F4"/>
    </sheetView>
  </sheetViews>
  <sheetFormatPr defaultRowHeight="16.5"/>
  <cols>
    <col min="1" max="1" width="15.75" customWidth="1"/>
    <col min="2" max="9" width="10.125" customWidth="1"/>
    <col min="11" max="11" width="9.75" bestFit="1" customWidth="1"/>
    <col min="25" max="27" width="9" customWidth="1"/>
    <col min="28" max="28" width="14.25" customWidth="1"/>
    <col min="29" max="42" width="9" customWidth="1"/>
    <col min="45" max="45" width="9" customWidth="1"/>
  </cols>
  <sheetData>
    <row r="1" spans="1:44">
      <c r="A1" s="601" t="s">
        <v>1503</v>
      </c>
      <c r="I1" s="599"/>
      <c r="J1" s="599"/>
    </row>
    <row r="2" spans="1:44" ht="17.25" customHeight="1">
      <c r="A2" s="137" t="s">
        <v>174</v>
      </c>
      <c r="B2" s="137" t="s">
        <v>721</v>
      </c>
      <c r="C2" s="137" t="s">
        <v>722</v>
      </c>
      <c r="D2" s="137" t="s">
        <v>637</v>
      </c>
      <c r="E2" s="137" t="s">
        <v>638</v>
      </c>
      <c r="F2" s="137" t="s">
        <v>639</v>
      </c>
      <c r="G2" s="137" t="s">
        <v>640</v>
      </c>
      <c r="H2" s="137" t="s">
        <v>641</v>
      </c>
      <c r="I2" s="137" t="s">
        <v>642</v>
      </c>
      <c r="J2" s="137" t="s">
        <v>643</v>
      </c>
      <c r="K2" s="137" t="s">
        <v>723</v>
      </c>
      <c r="L2" s="140" t="s">
        <v>1584</v>
      </c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</row>
    <row r="3" spans="1:44" ht="30" customHeight="1" thickBot="1">
      <c r="A3" s="139" t="s">
        <v>173</v>
      </c>
      <c r="B3" s="139"/>
      <c r="C3" s="140">
        <f>+사회적유입!X11</f>
        <v>1832</v>
      </c>
      <c r="D3" s="140">
        <f>사회적유입!X43+사회적유입!X39</f>
        <v>7531</v>
      </c>
      <c r="E3" s="140">
        <f>사회적유입!X73</f>
        <v>1635</v>
      </c>
      <c r="F3" s="140">
        <f>사회적유입!X81</f>
        <v>3175</v>
      </c>
      <c r="G3" s="140">
        <f>+사회적유입!X88-사회적유입!E88</f>
        <v>8083</v>
      </c>
      <c r="H3" s="140">
        <f>+사회적유입!X101+사회적유입!X108-사회적유입!X105-사회적유입!X106</f>
        <v>15670</v>
      </c>
      <c r="I3" s="140">
        <f>+사회적유입!X126+사회적유입!X124</f>
        <v>5416</v>
      </c>
      <c r="J3" s="140">
        <f>+사회적유입!X144+사회적유입!X142</f>
        <v>3538</v>
      </c>
      <c r="K3" s="140">
        <f>+사회적유입!X156</f>
        <v>1624</v>
      </c>
      <c r="L3" s="1545">
        <f>사회적유입!X109</f>
        <v>14162</v>
      </c>
      <c r="M3" s="2049"/>
      <c r="N3" s="2049" t="s">
        <v>620</v>
      </c>
      <c r="O3" s="2049"/>
      <c r="P3" s="2049"/>
      <c r="Q3" s="2049"/>
      <c r="R3" s="2049"/>
      <c r="S3" s="2049"/>
      <c r="T3" s="2049" t="s">
        <v>1257</v>
      </c>
      <c r="U3" s="2049" t="s">
        <v>1258</v>
      </c>
      <c r="V3" s="2049" t="s">
        <v>1259</v>
      </c>
      <c r="W3" s="2049"/>
      <c r="X3" s="2049"/>
      <c r="Y3" s="2050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</row>
    <row r="4" spans="1:44" ht="30" customHeight="1">
      <c r="A4" s="137" t="s">
        <v>161</v>
      </c>
      <c r="B4" s="137"/>
      <c r="C4" s="141">
        <v>0.13</v>
      </c>
      <c r="D4" s="141">
        <v>0.34</v>
      </c>
      <c r="E4" s="141">
        <v>0.13</v>
      </c>
      <c r="F4" s="141">
        <v>0.13</v>
      </c>
      <c r="G4" s="141">
        <v>0.1</v>
      </c>
      <c r="H4" s="141">
        <v>0.1</v>
      </c>
      <c r="I4" s="141">
        <v>0.1</v>
      </c>
      <c r="J4" s="141">
        <v>0.13</v>
      </c>
      <c r="K4" s="141">
        <v>0.1</v>
      </c>
      <c r="L4" s="141">
        <v>0.1</v>
      </c>
      <c r="M4" s="106"/>
      <c r="N4" s="106"/>
      <c r="O4" s="106"/>
      <c r="P4" s="682" t="s">
        <v>623</v>
      </c>
      <c r="Q4" s="106" t="s">
        <v>624</v>
      </c>
      <c r="R4" s="106"/>
      <c r="S4" s="106"/>
      <c r="T4" s="106">
        <v>42000</v>
      </c>
      <c r="U4" s="106">
        <v>6917</v>
      </c>
      <c r="V4" s="106">
        <v>4882</v>
      </c>
      <c r="W4" s="106"/>
      <c r="X4" s="106"/>
      <c r="Y4" s="2051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</row>
    <row r="5" spans="1:44" ht="30" customHeight="1">
      <c r="A5" s="142" t="s">
        <v>162</v>
      </c>
      <c r="B5" s="142"/>
      <c r="C5" s="143">
        <f t="shared" ref="C5:L5" si="0">ROUND(C3*C4,0)</f>
        <v>238</v>
      </c>
      <c r="D5" s="143">
        <f t="shared" si="0"/>
        <v>2561</v>
      </c>
      <c r="E5" s="143">
        <f t="shared" si="0"/>
        <v>213</v>
      </c>
      <c r="F5" s="143">
        <f t="shared" si="0"/>
        <v>413</v>
      </c>
      <c r="G5" s="143">
        <f t="shared" si="0"/>
        <v>808</v>
      </c>
      <c r="H5" s="143">
        <f t="shared" si="0"/>
        <v>1567</v>
      </c>
      <c r="I5" s="143">
        <f t="shared" si="0"/>
        <v>542</v>
      </c>
      <c r="J5" s="143">
        <f t="shared" si="0"/>
        <v>460</v>
      </c>
      <c r="K5" s="143">
        <f t="shared" si="0"/>
        <v>162</v>
      </c>
      <c r="L5" s="143">
        <f t="shared" si="0"/>
        <v>1416</v>
      </c>
      <c r="M5" s="106"/>
      <c r="N5" s="685" t="s">
        <v>621</v>
      </c>
      <c r="O5" s="679">
        <f>SUM(O6:O14)</f>
        <v>0.99999999999999989</v>
      </c>
      <c r="P5" s="684">
        <f>SUM(P6:P14)</f>
        <v>1</v>
      </c>
      <c r="Q5" s="681">
        <f>ROUND(-T8*0.1,0)</f>
        <v>-499</v>
      </c>
      <c r="R5" s="106"/>
      <c r="S5" s="106"/>
      <c r="T5" s="106">
        <f>T4-U4-V4</f>
        <v>30201</v>
      </c>
      <c r="U5" s="106">
        <v>7239</v>
      </c>
      <c r="V5" s="106"/>
      <c r="W5" s="106"/>
      <c r="X5" s="106"/>
      <c r="Y5" s="2051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</row>
    <row r="6" spans="1:44" ht="30" customHeight="1">
      <c r="A6" s="137" t="s">
        <v>164</v>
      </c>
      <c r="B6" s="1172">
        <f>SUM(C6:K6)</f>
        <v>106419</v>
      </c>
      <c r="C6" s="1172">
        <f>'조성법총괄(내부이동률 적용 전)출력x'!D4</f>
        <v>19057</v>
      </c>
      <c r="D6" s="1172">
        <f>'조성법총괄(내부이동률 적용 전)출력x'!D7</f>
        <v>23398</v>
      </c>
      <c r="E6" s="1172">
        <f>'조성법총괄(내부이동률 적용 전)출력x'!D10</f>
        <v>3240</v>
      </c>
      <c r="F6" s="1172">
        <f>'조성법총괄(내부이동률 적용 전)출력x'!D13</f>
        <v>3317</v>
      </c>
      <c r="G6" s="1172">
        <f>'조성법총괄(내부이동률 적용 전)출력x'!D16</f>
        <v>12254</v>
      </c>
      <c r="H6" s="1172">
        <f>'조성법총괄(내부이동률 적용 전)출력x'!D19</f>
        <v>18744</v>
      </c>
      <c r="I6" s="1172">
        <f>'조성법총괄(내부이동률 적용 전)출력x'!D22</f>
        <v>9613</v>
      </c>
      <c r="J6" s="1172">
        <f>'조성법총괄(내부이동률 적용 전)출력x'!D25</f>
        <v>5403</v>
      </c>
      <c r="K6" s="1172">
        <f>'조성법총괄(내부이동률 적용 전)출력x'!D28</f>
        <v>11393</v>
      </c>
      <c r="L6" s="1172">
        <v>0</v>
      </c>
      <c r="M6" s="106"/>
      <c r="N6" s="685" t="str">
        <f>+C2</f>
        <v>음성읍</v>
      </c>
      <c r="O6" s="679">
        <f>+C7</f>
        <v>0.17907516514908053</v>
      </c>
      <c r="P6" s="684">
        <v>0.15</v>
      </c>
      <c r="Q6" s="681">
        <f t="shared" ref="Q6:Q14" si="1">ROUND($Q$5*P6,0)</f>
        <v>-75</v>
      </c>
      <c r="R6" s="106"/>
      <c r="S6" s="106"/>
      <c r="T6" s="106" t="s">
        <v>1327</v>
      </c>
      <c r="U6" s="106"/>
      <c r="V6" s="106"/>
      <c r="W6" s="106"/>
      <c r="X6" s="106"/>
      <c r="Y6" s="2051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</row>
    <row r="7" spans="1:44" ht="30" customHeight="1">
      <c r="A7" s="137" t="s">
        <v>163</v>
      </c>
      <c r="B7" s="678">
        <f>SUM(C7:K7)</f>
        <v>0.99999999999999989</v>
      </c>
      <c r="C7" s="144">
        <f t="shared" ref="C7:L7" si="2">C6/$B$6</f>
        <v>0.17907516514908053</v>
      </c>
      <c r="D7" s="144">
        <f t="shared" si="2"/>
        <v>0.21986675311739445</v>
      </c>
      <c r="E7" s="144">
        <f t="shared" si="2"/>
        <v>3.0445691088997265E-2</v>
      </c>
      <c r="F7" s="144">
        <f t="shared" si="2"/>
        <v>3.1169246093272818E-2</v>
      </c>
      <c r="G7" s="144">
        <f t="shared" si="2"/>
        <v>0.1151486106804236</v>
      </c>
      <c r="H7" s="144">
        <f t="shared" si="2"/>
        <v>0.1761339610407916</v>
      </c>
      <c r="I7" s="144">
        <f t="shared" si="2"/>
        <v>9.0331613715595893E-2</v>
      </c>
      <c r="J7" s="144">
        <f t="shared" si="2"/>
        <v>5.0771008936374144E-2</v>
      </c>
      <c r="K7" s="144">
        <f t="shared" si="2"/>
        <v>0.10705795017806971</v>
      </c>
      <c r="L7" s="144">
        <f t="shared" si="2"/>
        <v>0</v>
      </c>
      <c r="M7" s="106"/>
      <c r="N7" s="685" t="str">
        <f>+D2</f>
        <v>금왕읍</v>
      </c>
      <c r="O7" s="679">
        <f>+D7</f>
        <v>0.21986675311739445</v>
      </c>
      <c r="P7" s="684">
        <v>0.3</v>
      </c>
      <c r="Q7" s="681">
        <f t="shared" si="1"/>
        <v>-150</v>
      </c>
      <c r="R7" s="106"/>
      <c r="S7" s="106"/>
      <c r="T7" s="106">
        <v>12230</v>
      </c>
      <c r="U7" s="106"/>
      <c r="V7" s="106"/>
      <c r="W7" s="106"/>
      <c r="X7" s="106"/>
      <c r="Y7" s="2051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</row>
    <row r="8" spans="1:44">
      <c r="A8" s="2192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8"/>
      <c r="M8" s="106"/>
      <c r="N8" s="685" t="str">
        <f>+E2</f>
        <v>소이면</v>
      </c>
      <c r="O8" s="679">
        <f>+E7</f>
        <v>3.0445691088997265E-2</v>
      </c>
      <c r="P8" s="684">
        <v>0.03</v>
      </c>
      <c r="Q8" s="681">
        <f t="shared" si="1"/>
        <v>-15</v>
      </c>
      <c r="R8" s="106"/>
      <c r="S8" s="106"/>
      <c r="T8" s="106">
        <f>T7-U5</f>
        <v>4991</v>
      </c>
      <c r="U8" s="106"/>
      <c r="V8" s="106"/>
      <c r="W8" s="106"/>
      <c r="X8" s="106"/>
      <c r="Y8" s="2051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</row>
    <row r="9" spans="1:44" ht="18" customHeight="1" thickBot="1">
      <c r="A9" s="2193"/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8"/>
      <c r="M9" s="106"/>
      <c r="N9" s="685" t="str">
        <f>+F2</f>
        <v>원남면</v>
      </c>
      <c r="O9" s="679">
        <f>+F7</f>
        <v>3.1169246093272818E-2</v>
      </c>
      <c r="P9" s="684">
        <v>0.03</v>
      </c>
      <c r="Q9" s="681">
        <f t="shared" si="1"/>
        <v>-15</v>
      </c>
      <c r="R9" s="106"/>
      <c r="S9" s="106" t="s">
        <v>1612</v>
      </c>
      <c r="T9" s="106">
        <v>45</v>
      </c>
      <c r="U9" s="106">
        <v>29</v>
      </c>
      <c r="V9" s="106"/>
      <c r="W9" s="106"/>
      <c r="X9" s="106"/>
      <c r="Y9" s="2051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</row>
    <row r="10" spans="1:44" ht="18" customHeight="1">
      <c r="A10" s="145" t="s">
        <v>691</v>
      </c>
      <c r="B10" s="146" t="s">
        <v>166</v>
      </c>
      <c r="C10" s="147" t="s">
        <v>171</v>
      </c>
      <c r="D10" s="148" t="s">
        <v>168</v>
      </c>
      <c r="E10" s="138"/>
      <c r="F10" s="138" t="s">
        <v>169</v>
      </c>
      <c r="G10" s="149" t="s">
        <v>172</v>
      </c>
      <c r="H10" s="2052"/>
      <c r="I10" s="2052"/>
      <c r="J10" s="2052"/>
      <c r="K10" s="151" t="s">
        <v>577</v>
      </c>
      <c r="L10" s="8"/>
      <c r="M10" s="8"/>
      <c r="N10" s="97" t="str">
        <f>+G2</f>
        <v>맹동면</v>
      </c>
      <c r="O10" s="677">
        <f>+G7</f>
        <v>0.1151486106804236</v>
      </c>
      <c r="P10" s="680">
        <v>0.11</v>
      </c>
      <c r="Q10" s="681">
        <f t="shared" si="1"/>
        <v>-55</v>
      </c>
      <c r="R10" s="8"/>
      <c r="S10" s="8" t="s">
        <v>1614</v>
      </c>
      <c r="T10" s="8">
        <v>45</v>
      </c>
      <c r="U10" s="8">
        <v>37</v>
      </c>
      <c r="V10" s="8"/>
      <c r="W10" s="8"/>
      <c r="X10" s="8"/>
      <c r="Y10" s="133"/>
      <c r="AA10" s="112"/>
    </row>
    <row r="11" spans="1:44" ht="18" customHeight="1" thickBot="1">
      <c r="A11" s="152" t="s">
        <v>170</v>
      </c>
      <c r="B11" s="153">
        <f>+$C$5</f>
        <v>238</v>
      </c>
      <c r="C11" s="153">
        <f>SUM(C12:C20)</f>
        <v>1685</v>
      </c>
      <c r="D11" s="154">
        <f>SUM(D12:D20)</f>
        <v>0.82092483485091938</v>
      </c>
      <c r="E11" s="138">
        <f>+D11*100</f>
        <v>82.092483485091932</v>
      </c>
      <c r="F11" s="155">
        <f>SUM(F12:F20)</f>
        <v>1.0000000000000002</v>
      </c>
      <c r="G11" s="138"/>
      <c r="H11" s="2052"/>
      <c r="I11" s="2052"/>
      <c r="J11" s="2052"/>
      <c r="K11" s="156">
        <f>0-C11</f>
        <v>-1685</v>
      </c>
      <c r="L11" s="8"/>
      <c r="M11" s="8"/>
      <c r="N11" s="97" t="str">
        <f>+H2</f>
        <v>대소면</v>
      </c>
      <c r="O11" s="677">
        <f>+H7</f>
        <v>0.1761339610407916</v>
      </c>
      <c r="P11" s="680">
        <v>0.25</v>
      </c>
      <c r="Q11" s="681">
        <f t="shared" si="1"/>
        <v>-125</v>
      </c>
      <c r="R11" s="8"/>
      <c r="S11" s="8" t="s">
        <v>1613</v>
      </c>
      <c r="T11" s="1025">
        <v>10</v>
      </c>
      <c r="U11" s="8">
        <v>34</v>
      </c>
      <c r="V11" s="8"/>
      <c r="W11" s="8"/>
      <c r="X11" s="8"/>
      <c r="Y11" s="133"/>
      <c r="AA11" s="109"/>
    </row>
    <row r="12" spans="1:44" ht="18" customHeight="1" thickBot="1">
      <c r="A12" s="157" t="s">
        <v>2281</v>
      </c>
      <c r="B12" s="158">
        <f>ROUND(B11*F12,0)-G12</f>
        <v>64</v>
      </c>
      <c r="C12" s="167">
        <f>+B24</f>
        <v>588</v>
      </c>
      <c r="D12" s="154">
        <f t="shared" ref="D12:D20" si="3">+HLOOKUP($A12,$B$2:$L$7,6,FALSE)</f>
        <v>0.21986675311739445</v>
      </c>
      <c r="E12" s="138">
        <f t="shared" ref="E12:E20" si="4">+D12*100</f>
        <v>21.986675311739447</v>
      </c>
      <c r="F12" s="159">
        <f>+E12/E11</f>
        <v>0.26782811748815283</v>
      </c>
      <c r="G12" s="138"/>
      <c r="H12" s="2052"/>
      <c r="I12" s="2052"/>
      <c r="J12" s="2052"/>
      <c r="K12" s="160"/>
      <c r="L12" s="8"/>
      <c r="M12" s="8"/>
      <c r="N12" s="97" t="str">
        <f>I2</f>
        <v>삼성면</v>
      </c>
      <c r="O12" s="677">
        <f>I7</f>
        <v>9.0331613715595893E-2</v>
      </c>
      <c r="P12" s="726">
        <v>0.05</v>
      </c>
      <c r="Q12" s="681">
        <f t="shared" si="1"/>
        <v>-25</v>
      </c>
      <c r="R12" s="8"/>
      <c r="S12" s="8"/>
      <c r="T12" s="8"/>
      <c r="U12" s="8"/>
      <c r="V12" s="8"/>
      <c r="W12" s="8"/>
      <c r="X12" s="8"/>
      <c r="Y12" s="133"/>
      <c r="AA12" s="109"/>
    </row>
    <row r="13" spans="1:44" ht="18" customHeight="1" thickBot="1">
      <c r="A13" s="161" t="s">
        <v>2273</v>
      </c>
      <c r="B13" s="162">
        <f>ROUND(B11*F13,0)</f>
        <v>9</v>
      </c>
      <c r="C13" s="138">
        <f>+B36</f>
        <v>39</v>
      </c>
      <c r="D13" s="154">
        <f t="shared" si="3"/>
        <v>3.0445691088997265E-2</v>
      </c>
      <c r="E13" s="138">
        <f t="shared" si="4"/>
        <v>3.0445691088997267</v>
      </c>
      <c r="F13" s="159">
        <f>+E13/E11</f>
        <v>3.7087063025113901E-2</v>
      </c>
      <c r="G13" s="138"/>
      <c r="H13" s="2052"/>
      <c r="I13" s="2052"/>
      <c r="J13" s="2052"/>
      <c r="K13" s="160"/>
      <c r="L13" s="8"/>
      <c r="M13" s="8"/>
      <c r="N13" s="97" t="str">
        <f>J2</f>
        <v>생극면</v>
      </c>
      <c r="O13" s="677">
        <f>J7</f>
        <v>5.0771008936374144E-2</v>
      </c>
      <c r="P13" s="726">
        <v>0.03</v>
      </c>
      <c r="Q13" s="681">
        <f t="shared" si="1"/>
        <v>-15</v>
      </c>
      <c r="R13" s="8"/>
      <c r="S13" s="8"/>
      <c r="T13" s="8"/>
      <c r="U13" s="8"/>
      <c r="V13" s="8"/>
      <c r="W13" s="8"/>
      <c r="X13" s="8"/>
      <c r="Y13" s="133"/>
      <c r="Z13" s="109"/>
    </row>
    <row r="14" spans="1:44" ht="18" customHeight="1" thickBot="1">
      <c r="A14" s="161" t="s">
        <v>2274</v>
      </c>
      <c r="B14" s="162">
        <f>ROUND(B11*F14,0)</f>
        <v>9</v>
      </c>
      <c r="C14" s="138">
        <f>+B48</f>
        <v>75</v>
      </c>
      <c r="D14" s="154">
        <f t="shared" si="3"/>
        <v>3.1169246093272818E-2</v>
      </c>
      <c r="E14" s="138">
        <f t="shared" si="4"/>
        <v>3.116924609327282</v>
      </c>
      <c r="F14" s="159">
        <f>+E14/E11</f>
        <v>3.7968453103179881E-2</v>
      </c>
      <c r="G14" s="138"/>
      <c r="H14" s="2052"/>
      <c r="I14" s="2052"/>
      <c r="J14" s="2052"/>
      <c r="K14" s="160"/>
      <c r="L14" s="2040"/>
      <c r="M14" s="2040"/>
      <c r="N14" s="97" t="str">
        <f>K2</f>
        <v>감곡면</v>
      </c>
      <c r="O14" s="677">
        <f>+K7</f>
        <v>0.10705795017806971</v>
      </c>
      <c r="P14" s="680">
        <v>0.05</v>
      </c>
      <c r="Q14" s="681">
        <f t="shared" si="1"/>
        <v>-25</v>
      </c>
      <c r="R14" s="2040"/>
      <c r="S14" s="2040"/>
      <c r="T14" s="2040"/>
      <c r="U14" s="2040"/>
      <c r="V14" s="2040"/>
      <c r="W14" s="2040"/>
      <c r="X14" s="2040"/>
      <c r="Y14" s="2041"/>
      <c r="Z14" s="109"/>
    </row>
    <row r="15" spans="1:44" ht="18" customHeight="1" thickBot="1">
      <c r="A15" s="161" t="s">
        <v>2275</v>
      </c>
      <c r="B15" s="162">
        <f>ROUND(B11*F15,0)</f>
        <v>33</v>
      </c>
      <c r="C15" s="167">
        <f>+B60</f>
        <v>164</v>
      </c>
      <c r="D15" s="1998">
        <f t="shared" si="3"/>
        <v>0.1151486106804236</v>
      </c>
      <c r="E15" s="167">
        <f t="shared" si="4"/>
        <v>11.514861068042361</v>
      </c>
      <c r="F15" s="1999">
        <f>+E15/E11</f>
        <v>0.14026693528078571</v>
      </c>
      <c r="G15" s="167"/>
      <c r="H15" s="2195"/>
      <c r="I15" s="2052"/>
      <c r="J15" s="2052"/>
      <c r="K15" s="160"/>
      <c r="L15" s="599"/>
      <c r="Z15" s="109"/>
    </row>
    <row r="16" spans="1:44" ht="18" customHeight="1" thickBot="1">
      <c r="A16" s="161" t="s">
        <v>2276</v>
      </c>
      <c r="B16" s="162">
        <f>ROUND(B11*F16,0)</f>
        <v>51</v>
      </c>
      <c r="C16" s="2104">
        <f>+B72</f>
        <v>340</v>
      </c>
      <c r="D16" s="2105">
        <f t="shared" si="3"/>
        <v>0.1761339610407916</v>
      </c>
      <c r="E16" s="2104">
        <f t="shared" si="4"/>
        <v>17.613396104079161</v>
      </c>
      <c r="F16" s="2106">
        <f>+E16/E11</f>
        <v>0.21455552757491822</v>
      </c>
      <c r="G16" s="2104"/>
      <c r="H16" s="2195"/>
      <c r="I16" s="2052"/>
      <c r="J16" s="2052"/>
      <c r="K16" s="160"/>
      <c r="L16" s="599"/>
      <c r="Q16" s="1025"/>
      <c r="Z16" s="109"/>
    </row>
    <row r="17" spans="1:28" s="599" customFormat="1" ht="18" customHeight="1" thickBot="1">
      <c r="A17" s="161" t="s">
        <v>2277</v>
      </c>
      <c r="B17" s="162">
        <f>ROUND(B11*F17,0)</f>
        <v>26</v>
      </c>
      <c r="C17" s="138">
        <f>+B84</f>
        <v>106</v>
      </c>
      <c r="D17" s="154">
        <f t="shared" si="3"/>
        <v>9.0331613715595893E-2</v>
      </c>
      <c r="E17" s="138">
        <f t="shared" si="4"/>
        <v>9.03316137155959</v>
      </c>
      <c r="F17" s="159">
        <f>+E17/E11</f>
        <v>0.1100364002655617</v>
      </c>
      <c r="G17" s="138"/>
      <c r="H17" s="2052"/>
      <c r="I17" s="2052"/>
      <c r="J17" s="2052"/>
      <c r="K17" s="160"/>
      <c r="L17" s="2034"/>
      <c r="M17" s="2034"/>
      <c r="N17" s="2364" t="s">
        <v>1142</v>
      </c>
      <c r="O17" s="2365"/>
      <c r="P17" s="2366"/>
      <c r="Q17" s="2150" t="s">
        <v>1143</v>
      </c>
      <c r="R17" s="2151" t="s">
        <v>676</v>
      </c>
      <c r="S17" s="2152" t="s">
        <v>1131</v>
      </c>
      <c r="T17" s="2152" t="s">
        <v>679</v>
      </c>
      <c r="U17" s="2152" t="s">
        <v>681</v>
      </c>
      <c r="V17" s="2152" t="s">
        <v>683</v>
      </c>
      <c r="W17" s="2152" t="s">
        <v>685</v>
      </c>
      <c r="X17" s="2152" t="s">
        <v>687</v>
      </c>
      <c r="Y17" s="2152" t="s">
        <v>688</v>
      </c>
      <c r="Z17" s="1954" t="s">
        <v>689</v>
      </c>
    </row>
    <row r="18" spans="1:28" s="599" customFormat="1" ht="18" customHeight="1" thickBot="1">
      <c r="A18" s="161" t="s">
        <v>2278</v>
      </c>
      <c r="B18" s="162">
        <f>ROUND(B11*F18,0)</f>
        <v>15</v>
      </c>
      <c r="C18" s="138">
        <f>+B96</f>
        <v>87</v>
      </c>
      <c r="D18" s="154">
        <f t="shared" si="3"/>
        <v>5.0771008936374144E-2</v>
      </c>
      <c r="E18" s="138">
        <f t="shared" si="4"/>
        <v>5.0771008936374145</v>
      </c>
      <c r="F18" s="159">
        <f>+E18/E11</f>
        <v>6.184611158169457E-2</v>
      </c>
      <c r="G18" s="138"/>
      <c r="H18" s="2052"/>
      <c r="I18" s="2052"/>
      <c r="J18" s="2052"/>
      <c r="K18" s="160"/>
      <c r="L18" s="8"/>
      <c r="M18" s="8"/>
      <c r="N18" s="2367">
        <v>2016</v>
      </c>
      <c r="O18" s="2379" t="s">
        <v>565</v>
      </c>
      <c r="P18" s="2380"/>
      <c r="Q18" s="945">
        <v>989</v>
      </c>
      <c r="R18" s="946">
        <v>145</v>
      </c>
      <c r="S18" s="947">
        <v>191</v>
      </c>
      <c r="T18" s="947">
        <v>34</v>
      </c>
      <c r="U18" s="947">
        <v>25</v>
      </c>
      <c r="V18" s="947">
        <v>204</v>
      </c>
      <c r="W18" s="947">
        <v>159</v>
      </c>
      <c r="X18" s="947">
        <v>90</v>
      </c>
      <c r="Y18" s="947">
        <v>52</v>
      </c>
      <c r="Z18" s="946">
        <v>89</v>
      </c>
    </row>
    <row r="19" spans="1:28" ht="18" customHeight="1" thickBot="1">
      <c r="A19" s="163" t="s">
        <v>2279</v>
      </c>
      <c r="B19" s="164">
        <f>ROUND(B11*F19,0)</f>
        <v>31</v>
      </c>
      <c r="C19" s="138">
        <f>+B108</f>
        <v>32</v>
      </c>
      <c r="D19" s="154">
        <f t="shared" si="3"/>
        <v>0.10705795017806971</v>
      </c>
      <c r="E19" s="138">
        <f t="shared" si="4"/>
        <v>10.70579501780697</v>
      </c>
      <c r="F19" s="159">
        <f>+E19/E11</f>
        <v>0.1304113916805934</v>
      </c>
      <c r="G19" s="138"/>
      <c r="H19" s="2052"/>
      <c r="I19" s="2052"/>
      <c r="J19" s="2052"/>
      <c r="K19" s="160"/>
      <c r="L19" s="8"/>
      <c r="M19" s="8"/>
      <c r="N19" s="2368"/>
      <c r="O19" s="2381" t="s">
        <v>1144</v>
      </c>
      <c r="P19" s="2382"/>
      <c r="Q19" s="945">
        <v>548</v>
      </c>
      <c r="R19" s="946">
        <v>70</v>
      </c>
      <c r="S19" s="947">
        <v>109</v>
      </c>
      <c r="T19" s="947">
        <v>21</v>
      </c>
      <c r="U19" s="947">
        <v>14</v>
      </c>
      <c r="V19" s="947">
        <v>107</v>
      </c>
      <c r="W19" s="947">
        <v>101</v>
      </c>
      <c r="X19" s="947">
        <v>49</v>
      </c>
      <c r="Y19" s="947">
        <v>28</v>
      </c>
      <c r="Z19" s="946">
        <v>49</v>
      </c>
    </row>
    <row r="20" spans="1:28" ht="18" customHeight="1" thickBot="1">
      <c r="A20" s="163" t="s">
        <v>2280</v>
      </c>
      <c r="B20" s="164">
        <f>ROUND(B12*F20,0)</f>
        <v>0</v>
      </c>
      <c r="C20" s="1552">
        <f>B122</f>
        <v>254</v>
      </c>
      <c r="D20" s="154">
        <f t="shared" si="3"/>
        <v>0</v>
      </c>
      <c r="E20" s="138">
        <f t="shared" si="4"/>
        <v>0</v>
      </c>
      <c r="F20" s="141">
        <f>+E20/E12</f>
        <v>0</v>
      </c>
      <c r="G20" s="138"/>
      <c r="H20" s="2052"/>
      <c r="I20" s="2052"/>
      <c r="J20" s="2052"/>
      <c r="K20" s="160"/>
      <c r="L20" s="8"/>
      <c r="M20" s="8"/>
      <c r="N20" s="2368"/>
      <c r="O20" s="2383" t="s">
        <v>1145</v>
      </c>
      <c r="P20" s="2384"/>
      <c r="Q20" s="945">
        <v>441</v>
      </c>
      <c r="R20" s="946">
        <v>75</v>
      </c>
      <c r="S20" s="947">
        <v>82</v>
      </c>
      <c r="T20" s="947">
        <v>13</v>
      </c>
      <c r="U20" s="947">
        <v>11</v>
      </c>
      <c r="V20" s="947">
        <v>97</v>
      </c>
      <c r="W20" s="947">
        <v>58</v>
      </c>
      <c r="X20" s="947">
        <v>41</v>
      </c>
      <c r="Y20" s="947">
        <v>24</v>
      </c>
      <c r="Z20" s="946">
        <v>40</v>
      </c>
    </row>
    <row r="21" spans="1:28" ht="18" customHeight="1" thickBot="1">
      <c r="A21" s="2194"/>
      <c r="B21" s="2052"/>
      <c r="C21" s="2052"/>
      <c r="D21" s="2052"/>
      <c r="E21" s="2052"/>
      <c r="F21" s="2052"/>
      <c r="G21" s="2052"/>
      <c r="H21" s="2052"/>
      <c r="I21" s="2052"/>
      <c r="J21" s="2052"/>
      <c r="K21" s="160"/>
      <c r="L21" s="8"/>
      <c r="M21" s="8"/>
      <c r="N21" s="2368"/>
      <c r="O21" s="2380" t="s">
        <v>1146</v>
      </c>
      <c r="P21" s="943" t="s">
        <v>1147</v>
      </c>
      <c r="Q21" s="945">
        <v>157</v>
      </c>
      <c r="R21" s="946">
        <v>10</v>
      </c>
      <c r="S21" s="947">
        <v>45</v>
      </c>
      <c r="T21" s="947">
        <v>5</v>
      </c>
      <c r="U21" s="947">
        <v>1</v>
      </c>
      <c r="V21" s="947">
        <v>37</v>
      </c>
      <c r="W21" s="947">
        <v>31</v>
      </c>
      <c r="X21" s="947">
        <v>19</v>
      </c>
      <c r="Y21" s="947">
        <v>7</v>
      </c>
      <c r="Z21" s="946">
        <v>2</v>
      </c>
      <c r="AA21" s="949"/>
      <c r="AB21" s="948"/>
    </row>
    <row r="22" spans="1:28" ht="18" customHeight="1">
      <c r="A22" s="145" t="s">
        <v>1375</v>
      </c>
      <c r="B22" s="146" t="s">
        <v>1385</v>
      </c>
      <c r="C22" s="147" t="s">
        <v>1386</v>
      </c>
      <c r="D22" s="148" t="s">
        <v>168</v>
      </c>
      <c r="E22" s="138"/>
      <c r="F22" s="138" t="s">
        <v>169</v>
      </c>
      <c r="G22" s="149" t="s">
        <v>172</v>
      </c>
      <c r="H22" s="2052"/>
      <c r="I22" s="2052"/>
      <c r="J22" s="2052"/>
      <c r="K22" s="151" t="s">
        <v>577</v>
      </c>
      <c r="L22" s="8"/>
      <c r="M22" s="8"/>
      <c r="N22" s="2368"/>
      <c r="O22" s="2385"/>
      <c r="P22" s="944" t="s">
        <v>1148</v>
      </c>
      <c r="Q22" s="945">
        <v>221</v>
      </c>
      <c r="R22" s="946">
        <v>48</v>
      </c>
      <c r="S22" s="947">
        <v>48</v>
      </c>
      <c r="T22" s="947">
        <v>12</v>
      </c>
      <c r="U22" s="947">
        <v>14</v>
      </c>
      <c r="V22" s="947">
        <v>53</v>
      </c>
      <c r="W22" s="947">
        <v>34</v>
      </c>
      <c r="X22" s="947">
        <v>7</v>
      </c>
      <c r="Y22" s="947">
        <v>4</v>
      </c>
      <c r="Z22" s="946">
        <v>1</v>
      </c>
      <c r="AB22" s="948"/>
    </row>
    <row r="23" spans="1:28" ht="18" customHeight="1" thickBot="1">
      <c r="A23" s="152" t="s">
        <v>1376</v>
      </c>
      <c r="B23" s="153">
        <f>+$D$5</f>
        <v>2561</v>
      </c>
      <c r="C23" s="153">
        <f>SUM(C24:C32)</f>
        <v>1414</v>
      </c>
      <c r="D23" s="154">
        <f>SUM(D24:D32)</f>
        <v>0.78013324688260555</v>
      </c>
      <c r="E23" s="138">
        <f>+D23*100</f>
        <v>78.013324688260553</v>
      </c>
      <c r="F23" s="155">
        <f>SUM(F24:F32)</f>
        <v>1.0000000000000002</v>
      </c>
      <c r="G23" s="138"/>
      <c r="H23" s="2052"/>
      <c r="I23" s="2052"/>
      <c r="J23" s="2052"/>
      <c r="K23" s="156">
        <f>0-C23</f>
        <v>-1414</v>
      </c>
      <c r="L23" s="8"/>
      <c r="M23" s="8"/>
      <c r="N23" s="2368"/>
      <c r="O23" s="2386" t="s">
        <v>1149</v>
      </c>
      <c r="P23" s="2370"/>
      <c r="Q23" s="945">
        <v>611</v>
      </c>
      <c r="R23" s="946">
        <v>87</v>
      </c>
      <c r="S23" s="947">
        <v>98</v>
      </c>
      <c r="T23" s="947">
        <v>17</v>
      </c>
      <c r="U23" s="947">
        <v>10</v>
      </c>
      <c r="V23" s="947">
        <v>114</v>
      </c>
      <c r="W23" s="947">
        <v>94</v>
      </c>
      <c r="X23" s="947">
        <v>64</v>
      </c>
      <c r="Y23" s="947">
        <v>41</v>
      </c>
      <c r="Z23" s="946">
        <v>86</v>
      </c>
    </row>
    <row r="24" spans="1:28" ht="18" customHeight="1" thickBot="1">
      <c r="A24" s="157" t="s">
        <v>2272</v>
      </c>
      <c r="B24" s="158">
        <f>ROUND(B23*F24,0)-G24</f>
        <v>588</v>
      </c>
      <c r="C24" s="167">
        <f>+B12</f>
        <v>64</v>
      </c>
      <c r="D24" s="154">
        <f t="shared" ref="D24:D32" si="5">+HLOOKUP($A24,$B$2:$L$7,6,FALSE)</f>
        <v>0.17907516514908053</v>
      </c>
      <c r="E24" s="138">
        <f t="shared" ref="E24:E32" si="6">+D24*100</f>
        <v>17.907516514908053</v>
      </c>
      <c r="F24" s="141">
        <f>+E24/E23</f>
        <v>0.22954433215692416</v>
      </c>
      <c r="G24" s="138"/>
      <c r="H24" s="2052"/>
      <c r="I24" s="2052"/>
      <c r="J24" s="2052"/>
      <c r="K24" s="160"/>
      <c r="L24" s="8"/>
      <c r="M24" s="8"/>
      <c r="N24" s="2369"/>
      <c r="O24" s="2370" t="s">
        <v>1150</v>
      </c>
      <c r="P24" s="2371"/>
      <c r="Q24" s="950">
        <f>ROUND(Q21/Q18,2)</f>
        <v>0.16</v>
      </c>
      <c r="R24" s="950">
        <f>ROUND(R21/R18,2)</f>
        <v>7.0000000000000007E-2</v>
      </c>
      <c r="S24" s="950">
        <f t="shared" ref="S24:Z24" si="7">ROUND(S21/S18,2)</f>
        <v>0.24</v>
      </c>
      <c r="T24" s="950">
        <f t="shared" si="7"/>
        <v>0.15</v>
      </c>
      <c r="U24" s="950">
        <f t="shared" si="7"/>
        <v>0.04</v>
      </c>
      <c r="V24" s="950">
        <f t="shared" si="7"/>
        <v>0.18</v>
      </c>
      <c r="W24" s="950">
        <f t="shared" si="7"/>
        <v>0.19</v>
      </c>
      <c r="X24" s="950">
        <f t="shared" si="7"/>
        <v>0.21</v>
      </c>
      <c r="Y24" s="950">
        <f t="shared" si="7"/>
        <v>0.13</v>
      </c>
      <c r="Z24" s="950">
        <f t="shared" si="7"/>
        <v>0.02</v>
      </c>
    </row>
    <row r="25" spans="1:28" ht="18" customHeight="1" thickBot="1">
      <c r="A25" s="161" t="s">
        <v>2273</v>
      </c>
      <c r="B25" s="162">
        <f>ROUND(B23*F25,0)</f>
        <v>100</v>
      </c>
      <c r="C25" s="138">
        <f>+B37</f>
        <v>48</v>
      </c>
      <c r="D25" s="154">
        <f t="shared" si="5"/>
        <v>3.0445691088997265E-2</v>
      </c>
      <c r="E25" s="138">
        <f t="shared" si="6"/>
        <v>3.0445691088997267</v>
      </c>
      <c r="F25" s="141">
        <f>+E25/E23</f>
        <v>3.9026270461690417E-2</v>
      </c>
      <c r="G25" s="138"/>
      <c r="H25" s="2052"/>
      <c r="I25" s="2052"/>
      <c r="J25" s="2052"/>
      <c r="K25" s="160"/>
      <c r="L25" s="8"/>
      <c r="M25" s="8"/>
      <c r="N25" s="2387">
        <v>2015</v>
      </c>
      <c r="O25" s="2379" t="s">
        <v>565</v>
      </c>
      <c r="P25" s="2380"/>
      <c r="Q25" s="945">
        <v>1521</v>
      </c>
      <c r="R25" s="946">
        <v>129</v>
      </c>
      <c r="S25" s="947">
        <v>234</v>
      </c>
      <c r="T25" s="947">
        <v>23</v>
      </c>
      <c r="U25" s="947">
        <v>47</v>
      </c>
      <c r="V25" s="947">
        <v>620</v>
      </c>
      <c r="W25" s="947">
        <v>240</v>
      </c>
      <c r="X25" s="947">
        <v>65</v>
      </c>
      <c r="Y25" s="947">
        <v>65</v>
      </c>
      <c r="Z25" s="946">
        <v>98</v>
      </c>
    </row>
    <row r="26" spans="1:28" ht="18" customHeight="1" thickBot="1">
      <c r="A26" s="161" t="s">
        <v>2274</v>
      </c>
      <c r="B26" s="162">
        <f>ROUND(B23*F26,0)</f>
        <v>102</v>
      </c>
      <c r="C26" s="138">
        <f>+B49</f>
        <v>94</v>
      </c>
      <c r="D26" s="154">
        <f t="shared" si="5"/>
        <v>3.1169246093272818E-2</v>
      </c>
      <c r="E26" s="138">
        <f t="shared" si="6"/>
        <v>3.116924609327282</v>
      </c>
      <c r="F26" s="141">
        <f>+E26/E23</f>
        <v>3.9953746642415779E-2</v>
      </c>
      <c r="G26" s="138"/>
      <c r="H26" s="2052"/>
      <c r="I26" s="2052"/>
      <c r="J26" s="2052"/>
      <c r="K26" s="160"/>
      <c r="L26" s="8"/>
      <c r="M26" s="8"/>
      <c r="N26" s="2368"/>
      <c r="O26" s="2381" t="s">
        <v>1144</v>
      </c>
      <c r="P26" s="2382"/>
      <c r="Q26" s="945">
        <v>831</v>
      </c>
      <c r="R26" s="946">
        <v>70</v>
      </c>
      <c r="S26" s="947">
        <v>133</v>
      </c>
      <c r="T26" s="947">
        <v>13</v>
      </c>
      <c r="U26" s="947">
        <v>24</v>
      </c>
      <c r="V26" s="947">
        <v>343</v>
      </c>
      <c r="W26" s="947">
        <v>137</v>
      </c>
      <c r="X26" s="947">
        <v>35</v>
      </c>
      <c r="Y26" s="947">
        <v>37</v>
      </c>
      <c r="Z26" s="946">
        <v>39</v>
      </c>
    </row>
    <row r="27" spans="1:28" ht="18" customHeight="1" thickBot="1">
      <c r="A27" s="161" t="s">
        <v>2275</v>
      </c>
      <c r="B27" s="162">
        <f>ROUND(B23*F27,0)</f>
        <v>378</v>
      </c>
      <c r="C27" s="138">
        <f>+B61</f>
        <v>201</v>
      </c>
      <c r="D27" s="154">
        <f t="shared" si="5"/>
        <v>0.1151486106804236</v>
      </c>
      <c r="E27" s="138">
        <f t="shared" si="6"/>
        <v>11.514861068042361</v>
      </c>
      <c r="F27" s="141">
        <f>+E27/E23</f>
        <v>0.1476012093325785</v>
      </c>
      <c r="G27" s="138"/>
      <c r="H27" s="2195"/>
      <c r="I27" s="2052"/>
      <c r="J27" s="2052"/>
      <c r="K27" s="160"/>
      <c r="L27" s="8"/>
      <c r="M27" s="8"/>
      <c r="N27" s="2368"/>
      <c r="O27" s="2383" t="s">
        <v>1145</v>
      </c>
      <c r="P27" s="2384"/>
      <c r="Q27" s="945">
        <v>690</v>
      </c>
      <c r="R27" s="946">
        <v>59</v>
      </c>
      <c r="S27" s="947">
        <v>101</v>
      </c>
      <c r="T27" s="947">
        <v>10</v>
      </c>
      <c r="U27" s="947">
        <v>23</v>
      </c>
      <c r="V27" s="947">
        <v>277</v>
      </c>
      <c r="W27" s="947">
        <v>103</v>
      </c>
      <c r="X27" s="947">
        <v>30</v>
      </c>
      <c r="Y27" s="947">
        <v>28</v>
      </c>
      <c r="Z27" s="946">
        <v>59</v>
      </c>
    </row>
    <row r="28" spans="1:28" s="599" customFormat="1" ht="18" customHeight="1" thickBot="1">
      <c r="A28" s="161" t="s">
        <v>2276</v>
      </c>
      <c r="B28" s="162">
        <f>ROUND(B23*F28,0)-G28</f>
        <v>578</v>
      </c>
      <c r="C28" s="138">
        <f>+B73</f>
        <v>418</v>
      </c>
      <c r="D28" s="154">
        <f t="shared" si="5"/>
        <v>0.1761339610407916</v>
      </c>
      <c r="E28" s="138">
        <f t="shared" si="6"/>
        <v>17.613396104079161</v>
      </c>
      <c r="F28" s="141">
        <f>+E28/E23</f>
        <v>0.22577420170800164</v>
      </c>
      <c r="G28" s="138"/>
      <c r="H28" s="2195"/>
      <c r="I28" s="2052"/>
      <c r="J28" s="2052"/>
      <c r="K28" s="160"/>
      <c r="L28" s="2040"/>
      <c r="M28" s="2040"/>
      <c r="N28" s="2369"/>
      <c r="O28" s="2370" t="s">
        <v>1146</v>
      </c>
      <c r="P28" s="2153" t="s">
        <v>1147</v>
      </c>
      <c r="Q28" s="945">
        <v>352</v>
      </c>
      <c r="R28" s="946">
        <v>19</v>
      </c>
      <c r="S28" s="947">
        <v>47</v>
      </c>
      <c r="T28" s="947">
        <v>6</v>
      </c>
      <c r="U28" s="947">
        <v>13</v>
      </c>
      <c r="V28" s="947">
        <v>196</v>
      </c>
      <c r="W28" s="947">
        <v>44</v>
      </c>
      <c r="X28" s="947">
        <v>13</v>
      </c>
      <c r="Y28" s="947">
        <v>13</v>
      </c>
      <c r="Z28" s="946">
        <v>1</v>
      </c>
    </row>
    <row r="29" spans="1:28" s="599" customFormat="1" ht="18" customHeight="1" thickBot="1">
      <c r="A29" s="161" t="s">
        <v>2277</v>
      </c>
      <c r="B29" s="162">
        <f>ROUND(B23*F29,0)-G29</f>
        <v>297</v>
      </c>
      <c r="C29" s="167">
        <f>+B85</f>
        <v>131</v>
      </c>
      <c r="D29" s="1998">
        <f t="shared" si="5"/>
        <v>9.0331613715595893E-2</v>
      </c>
      <c r="E29" s="167">
        <f t="shared" si="6"/>
        <v>9.03316137155959</v>
      </c>
      <c r="F29" s="2130">
        <f>+E29/E23</f>
        <v>0.11578998084821913</v>
      </c>
      <c r="G29" s="167"/>
      <c r="H29" s="150"/>
      <c r="I29" s="150"/>
      <c r="J29" s="150"/>
      <c r="K29" s="160"/>
      <c r="L29"/>
      <c r="N29" s="2368"/>
      <c r="O29" s="2388"/>
      <c r="P29" s="2131" t="s">
        <v>1148</v>
      </c>
      <c r="Q29" s="2132">
        <v>401</v>
      </c>
      <c r="R29" s="2133">
        <v>38</v>
      </c>
      <c r="S29" s="2134">
        <v>30</v>
      </c>
      <c r="T29" s="2134">
        <v>8</v>
      </c>
      <c r="U29" s="2134">
        <v>14</v>
      </c>
      <c r="V29" s="2134">
        <v>224</v>
      </c>
      <c r="W29" s="2134">
        <v>51</v>
      </c>
      <c r="X29" s="2134">
        <v>12</v>
      </c>
      <c r="Y29" s="2134">
        <v>7</v>
      </c>
      <c r="Z29" s="947">
        <v>17</v>
      </c>
    </row>
    <row r="30" spans="1:28" ht="18" customHeight="1" thickBot="1">
      <c r="A30" s="161" t="s">
        <v>2278</v>
      </c>
      <c r="B30" s="162">
        <f>ROUND(B23*F30,0)-G30</f>
        <v>167</v>
      </c>
      <c r="C30" s="138">
        <f>+B97</f>
        <v>109</v>
      </c>
      <c r="D30" s="154">
        <f t="shared" si="5"/>
        <v>5.0771008936374144E-2</v>
      </c>
      <c r="E30" s="138">
        <f t="shared" si="6"/>
        <v>5.0771008936374145</v>
      </c>
      <c r="F30" s="141">
        <f>+E30/E23</f>
        <v>6.5079919538430037E-2</v>
      </c>
      <c r="G30" s="138"/>
      <c r="H30" s="150"/>
      <c r="I30" s="150"/>
      <c r="J30" s="150"/>
      <c r="K30" s="160"/>
      <c r="N30" s="2368"/>
      <c r="O30" s="2386" t="s">
        <v>1149</v>
      </c>
      <c r="P30" s="2370"/>
      <c r="Q30" s="945">
        <v>768</v>
      </c>
      <c r="R30" s="946">
        <v>72</v>
      </c>
      <c r="S30" s="947">
        <v>157</v>
      </c>
      <c r="T30" s="947">
        <v>9</v>
      </c>
      <c r="U30" s="947">
        <v>20</v>
      </c>
      <c r="V30" s="947">
        <v>200</v>
      </c>
      <c r="W30" s="947">
        <v>145</v>
      </c>
      <c r="X30" s="947">
        <v>40</v>
      </c>
      <c r="Y30" s="947">
        <v>45</v>
      </c>
      <c r="Z30" s="947">
        <v>80</v>
      </c>
    </row>
    <row r="31" spans="1:28" ht="18" customHeight="1" thickBot="1">
      <c r="A31" s="163" t="s">
        <v>2279</v>
      </c>
      <c r="B31" s="164">
        <f>ROUND(B23*F31,0)</f>
        <v>351</v>
      </c>
      <c r="C31" s="138">
        <f>+B109</f>
        <v>40</v>
      </c>
      <c r="D31" s="154">
        <f t="shared" si="5"/>
        <v>0.10705795017806971</v>
      </c>
      <c r="E31" s="138">
        <f t="shared" si="6"/>
        <v>10.70579501780697</v>
      </c>
      <c r="F31" s="141">
        <f>+E31/E23</f>
        <v>0.13723033931174039</v>
      </c>
      <c r="G31" s="138"/>
      <c r="H31" s="150"/>
      <c r="I31" s="150"/>
      <c r="J31" s="150"/>
      <c r="K31" s="160"/>
      <c r="N31" s="2369"/>
      <c r="O31" s="2370" t="s">
        <v>1150</v>
      </c>
      <c r="P31" s="2371"/>
      <c r="Q31" s="950">
        <f>ROUND(Q28/Q25,2)</f>
        <v>0.23</v>
      </c>
      <c r="R31" s="950">
        <f>ROUND(R28/R25,2)</f>
        <v>0.15</v>
      </c>
      <c r="S31" s="950">
        <f t="shared" ref="S31:Z31" si="8">ROUND(S28/S25,2)</f>
        <v>0.2</v>
      </c>
      <c r="T31" s="950">
        <f t="shared" si="8"/>
        <v>0.26</v>
      </c>
      <c r="U31" s="950">
        <f t="shared" si="8"/>
        <v>0.28000000000000003</v>
      </c>
      <c r="V31" s="950">
        <f t="shared" si="8"/>
        <v>0.32</v>
      </c>
      <c r="W31" s="950">
        <f t="shared" si="8"/>
        <v>0.18</v>
      </c>
      <c r="X31" s="950">
        <f t="shared" si="8"/>
        <v>0.2</v>
      </c>
      <c r="Y31" s="950">
        <f t="shared" si="8"/>
        <v>0.2</v>
      </c>
      <c r="Z31" s="950">
        <f t="shared" si="8"/>
        <v>0.01</v>
      </c>
    </row>
    <row r="32" spans="1:28" ht="18" customHeight="1" thickBot="1">
      <c r="A32" s="163" t="s">
        <v>2280</v>
      </c>
      <c r="B32" s="164">
        <f>ROUND(B24*F32,0)</f>
        <v>0</v>
      </c>
      <c r="C32" s="1552">
        <f>B123</f>
        <v>309</v>
      </c>
      <c r="D32" s="154">
        <f t="shared" si="5"/>
        <v>0</v>
      </c>
      <c r="E32" s="138">
        <f t="shared" si="6"/>
        <v>0</v>
      </c>
      <c r="F32" s="141">
        <f>+E32/E24</f>
        <v>0</v>
      </c>
      <c r="G32" s="138"/>
      <c r="H32" s="150"/>
      <c r="I32" s="150"/>
      <c r="J32" s="150"/>
      <c r="K32" s="160"/>
      <c r="L32" s="599"/>
      <c r="N32" s="2387">
        <v>2014</v>
      </c>
      <c r="O32" s="2379" t="s">
        <v>565</v>
      </c>
      <c r="P32" s="2380"/>
      <c r="Q32" s="945">
        <v>1287</v>
      </c>
      <c r="R32" s="946">
        <v>126</v>
      </c>
      <c r="S32" s="947">
        <v>552</v>
      </c>
      <c r="T32" s="947">
        <v>21</v>
      </c>
      <c r="U32" s="947">
        <v>25</v>
      </c>
      <c r="V32" s="947">
        <v>188</v>
      </c>
      <c r="W32" s="947">
        <v>147</v>
      </c>
      <c r="X32" s="947">
        <v>97</v>
      </c>
      <c r="Y32" s="947">
        <v>45</v>
      </c>
      <c r="Z32" s="947">
        <v>86</v>
      </c>
    </row>
    <row r="33" spans="1:26" ht="18" customHeight="1" thickBot="1">
      <c r="A33" s="168"/>
      <c r="B33" s="169"/>
      <c r="C33" s="169"/>
      <c r="D33" s="169"/>
      <c r="E33" s="169"/>
      <c r="F33" s="169"/>
      <c r="G33" s="169"/>
      <c r="H33" s="150"/>
      <c r="I33" s="150"/>
      <c r="J33" s="150"/>
      <c r="K33" s="166"/>
      <c r="N33" s="2368"/>
      <c r="O33" s="2381" t="s">
        <v>1144</v>
      </c>
      <c r="P33" s="2382"/>
      <c r="Q33" s="945">
        <v>673</v>
      </c>
      <c r="R33" s="946">
        <v>62</v>
      </c>
      <c r="S33" s="947">
        <v>282</v>
      </c>
      <c r="T33" s="947">
        <v>11</v>
      </c>
      <c r="U33" s="947">
        <v>16</v>
      </c>
      <c r="V33" s="947">
        <v>103</v>
      </c>
      <c r="W33" s="947">
        <v>77</v>
      </c>
      <c r="X33" s="947">
        <v>48</v>
      </c>
      <c r="Y33" s="947">
        <v>29</v>
      </c>
      <c r="Z33" s="947">
        <v>45</v>
      </c>
    </row>
    <row r="34" spans="1:26" ht="18" customHeight="1">
      <c r="A34" s="145" t="s">
        <v>1378</v>
      </c>
      <c r="B34" s="146" t="s">
        <v>1385</v>
      </c>
      <c r="C34" s="147" t="s">
        <v>1386</v>
      </c>
      <c r="D34" s="148" t="s">
        <v>168</v>
      </c>
      <c r="E34" s="138"/>
      <c r="F34" s="138" t="s">
        <v>169</v>
      </c>
      <c r="G34" s="149" t="s">
        <v>172</v>
      </c>
      <c r="H34" s="150"/>
      <c r="I34" s="150"/>
      <c r="J34" s="150"/>
      <c r="K34" s="151" t="s">
        <v>577</v>
      </c>
      <c r="N34" s="2368"/>
      <c r="O34" s="2383" t="s">
        <v>1145</v>
      </c>
      <c r="P34" s="2384"/>
      <c r="Q34" s="945">
        <v>614</v>
      </c>
      <c r="R34" s="946">
        <v>64</v>
      </c>
      <c r="S34" s="947">
        <v>270</v>
      </c>
      <c r="T34" s="947">
        <v>10</v>
      </c>
      <c r="U34" s="947">
        <v>9</v>
      </c>
      <c r="V34" s="947">
        <v>85</v>
      </c>
      <c r="W34" s="947">
        <v>70</v>
      </c>
      <c r="X34" s="947">
        <v>49</v>
      </c>
      <c r="Y34" s="947">
        <v>16</v>
      </c>
      <c r="Z34" s="947">
        <v>41</v>
      </c>
    </row>
    <row r="35" spans="1:26" ht="18" customHeight="1" thickBot="1">
      <c r="A35" s="152" t="s">
        <v>1376</v>
      </c>
      <c r="B35" s="153">
        <f>+$E$5</f>
        <v>213</v>
      </c>
      <c r="C35" s="153">
        <f>SUM(C36:C44)</f>
        <v>290</v>
      </c>
      <c r="D35" s="154">
        <f>SUM(D36:D44)</f>
        <v>0.96955430891100269</v>
      </c>
      <c r="E35" s="138">
        <f>+D35*100</f>
        <v>96.955430891100264</v>
      </c>
      <c r="F35" s="155">
        <f>SUM(F36:F44)</f>
        <v>1.0000000000000002</v>
      </c>
      <c r="G35" s="138"/>
      <c r="H35" s="150"/>
      <c r="I35" s="150"/>
      <c r="J35" s="150"/>
      <c r="K35" s="156">
        <f>0-C35</f>
        <v>-290</v>
      </c>
      <c r="N35" s="2368"/>
      <c r="O35" s="2380" t="s">
        <v>1146</v>
      </c>
      <c r="P35" s="943" t="s">
        <v>1147</v>
      </c>
      <c r="Q35" s="945">
        <v>496</v>
      </c>
      <c r="R35" s="946">
        <v>25</v>
      </c>
      <c r="S35" s="947">
        <v>330</v>
      </c>
      <c r="T35" s="947">
        <v>0</v>
      </c>
      <c r="U35" s="947">
        <v>2</v>
      </c>
      <c r="V35" s="947">
        <v>64</v>
      </c>
      <c r="W35" s="947">
        <v>35</v>
      </c>
      <c r="X35" s="947">
        <v>13</v>
      </c>
      <c r="Y35" s="947">
        <v>18</v>
      </c>
      <c r="Z35" s="947">
        <v>9</v>
      </c>
    </row>
    <row r="36" spans="1:26" ht="18" customHeight="1" thickBot="1">
      <c r="A36" s="157" t="s">
        <v>1377</v>
      </c>
      <c r="B36" s="158">
        <f>ROUND(B35*F36,0)-G36</f>
        <v>39</v>
      </c>
      <c r="C36" s="167">
        <f>+B13</f>
        <v>9</v>
      </c>
      <c r="D36" s="154">
        <f t="shared" ref="D36:D44" si="9">+HLOOKUP($A36,$B$2:$L$7,6,FALSE)</f>
        <v>0.17907516514908053</v>
      </c>
      <c r="E36" s="138">
        <f t="shared" ref="E36:E44" si="10">+D36*100</f>
        <v>17.907516514908053</v>
      </c>
      <c r="F36" s="141">
        <f>+E36/E35</f>
        <v>0.18469843669739</v>
      </c>
      <c r="G36" s="138"/>
      <c r="H36" s="150"/>
      <c r="I36" s="150"/>
      <c r="J36" s="150"/>
      <c r="K36" s="160"/>
      <c r="N36" s="2368"/>
      <c r="O36" s="2385"/>
      <c r="P36" s="944" t="s">
        <v>1148</v>
      </c>
      <c r="Q36" s="945">
        <v>216</v>
      </c>
      <c r="R36" s="946">
        <v>30</v>
      </c>
      <c r="S36" s="947">
        <v>67</v>
      </c>
      <c r="T36" s="947">
        <v>9</v>
      </c>
      <c r="U36" s="947">
        <v>7</v>
      </c>
      <c r="V36" s="947">
        <v>39</v>
      </c>
      <c r="W36" s="947">
        <v>28</v>
      </c>
      <c r="X36" s="947">
        <v>22</v>
      </c>
      <c r="Y36" s="947">
        <v>5</v>
      </c>
      <c r="Z36" s="947">
        <v>9</v>
      </c>
    </row>
    <row r="37" spans="1:26" ht="18" customHeight="1" thickBot="1">
      <c r="A37" s="161" t="s">
        <v>1375</v>
      </c>
      <c r="B37" s="162">
        <f>ROUND(B35*F37,0)</f>
        <v>48</v>
      </c>
      <c r="C37" s="138">
        <f>+B25</f>
        <v>100</v>
      </c>
      <c r="D37" s="154">
        <f t="shared" si="9"/>
        <v>0.21986675311739445</v>
      </c>
      <c r="E37" s="138">
        <f t="shared" si="10"/>
        <v>21.986675311739447</v>
      </c>
      <c r="F37" s="141">
        <f>+E37/E35</f>
        <v>0.22677095145329965</v>
      </c>
      <c r="G37" s="138"/>
      <c r="H37" s="150"/>
      <c r="I37" s="150"/>
      <c r="J37" s="150"/>
      <c r="K37" s="160"/>
      <c r="N37" s="2368"/>
      <c r="O37" s="2386" t="s">
        <v>1149</v>
      </c>
      <c r="P37" s="2370"/>
      <c r="Q37" s="945">
        <v>575</v>
      </c>
      <c r="R37" s="946">
        <v>71</v>
      </c>
      <c r="S37" s="947">
        <v>155</v>
      </c>
      <c r="T37" s="947">
        <v>12</v>
      </c>
      <c r="U37" s="947">
        <v>16</v>
      </c>
      <c r="V37" s="947">
        <v>85</v>
      </c>
      <c r="W37" s="947">
        <v>84</v>
      </c>
      <c r="X37" s="947">
        <v>62</v>
      </c>
      <c r="Y37" s="947">
        <v>22</v>
      </c>
      <c r="Z37" s="947">
        <v>68</v>
      </c>
    </row>
    <row r="38" spans="1:26" ht="18" customHeight="1" thickBot="1">
      <c r="A38" s="161" t="s">
        <v>1379</v>
      </c>
      <c r="B38" s="162">
        <f>ROUND(B35*F38,0)</f>
        <v>7</v>
      </c>
      <c r="C38" s="138">
        <f>+B50</f>
        <v>13</v>
      </c>
      <c r="D38" s="154">
        <f t="shared" si="9"/>
        <v>3.1169246093272818E-2</v>
      </c>
      <c r="E38" s="138">
        <f t="shared" si="10"/>
        <v>3.116924609327282</v>
      </c>
      <c r="F38" s="141">
        <f>+E38/E35</f>
        <v>3.2148014615377168E-2</v>
      </c>
      <c r="G38" s="138"/>
      <c r="H38" s="150"/>
      <c r="I38" s="150"/>
      <c r="J38" s="150"/>
      <c r="K38" s="160"/>
      <c r="N38" s="2369"/>
      <c r="O38" s="2370" t="s">
        <v>1150</v>
      </c>
      <c r="P38" s="2371"/>
      <c r="Q38" s="950">
        <f>ROUND(Q35/Q32,2)</f>
        <v>0.39</v>
      </c>
      <c r="R38" s="950">
        <f>ROUND(R35/R32,2)</f>
        <v>0.2</v>
      </c>
      <c r="S38" s="950">
        <f t="shared" ref="S38:Z38" si="11">ROUND(S35/S32,2)</f>
        <v>0.6</v>
      </c>
      <c r="T38" s="950">
        <f t="shared" si="11"/>
        <v>0</v>
      </c>
      <c r="U38" s="950">
        <f t="shared" si="11"/>
        <v>0.08</v>
      </c>
      <c r="V38" s="950">
        <f t="shared" si="11"/>
        <v>0.34</v>
      </c>
      <c r="W38" s="950">
        <f t="shared" si="11"/>
        <v>0.24</v>
      </c>
      <c r="X38" s="950">
        <f t="shared" si="11"/>
        <v>0.13</v>
      </c>
      <c r="Y38" s="950">
        <f t="shared" si="11"/>
        <v>0.4</v>
      </c>
      <c r="Z38" s="950">
        <f t="shared" si="11"/>
        <v>0.1</v>
      </c>
    </row>
    <row r="39" spans="1:26" s="599" customFormat="1" ht="18" customHeight="1" thickBot="1">
      <c r="A39" s="161" t="s">
        <v>1380</v>
      </c>
      <c r="B39" s="162">
        <f>ROUND(B35*F39,0)</f>
        <v>25</v>
      </c>
      <c r="C39" s="138">
        <f>+B62</f>
        <v>28</v>
      </c>
      <c r="D39" s="154">
        <f t="shared" si="9"/>
        <v>0.1151486106804236</v>
      </c>
      <c r="E39" s="138">
        <f t="shared" si="10"/>
        <v>11.514861068042361</v>
      </c>
      <c r="F39" s="141">
        <f>+E39/E35</f>
        <v>0.11876447726766107</v>
      </c>
      <c r="G39" s="138"/>
      <c r="H39" s="150"/>
      <c r="I39" s="150"/>
      <c r="J39" s="150"/>
      <c r="K39" s="160"/>
      <c r="N39" s="2387">
        <v>2013</v>
      </c>
      <c r="O39" s="2379" t="s">
        <v>565</v>
      </c>
      <c r="P39" s="2380"/>
      <c r="Q39" s="945">
        <v>973</v>
      </c>
      <c r="R39" s="946">
        <v>175</v>
      </c>
      <c r="S39" s="947">
        <v>192</v>
      </c>
      <c r="T39" s="947">
        <v>26</v>
      </c>
      <c r="U39" s="947">
        <v>18</v>
      </c>
      <c r="V39" s="947">
        <v>53</v>
      </c>
      <c r="W39" s="947">
        <v>212</v>
      </c>
      <c r="X39" s="947">
        <v>98</v>
      </c>
      <c r="Y39" s="947">
        <v>66</v>
      </c>
      <c r="Z39" s="947">
        <v>133</v>
      </c>
    </row>
    <row r="40" spans="1:26" s="599" customFormat="1" ht="18" customHeight="1" thickBot="1">
      <c r="A40" s="161" t="s">
        <v>1381</v>
      </c>
      <c r="B40" s="162">
        <f>ROUND(B35*F40,0)</f>
        <v>39</v>
      </c>
      <c r="C40" s="138">
        <f>+B74</f>
        <v>58</v>
      </c>
      <c r="D40" s="154">
        <f t="shared" si="9"/>
        <v>0.1761339610407916</v>
      </c>
      <c r="E40" s="138">
        <f t="shared" si="10"/>
        <v>17.613396104079161</v>
      </c>
      <c r="F40" s="141">
        <f>+E40/E35</f>
        <v>0.18166487366615303</v>
      </c>
      <c r="G40" s="138"/>
      <c r="H40" s="150"/>
      <c r="I40" s="150"/>
      <c r="J40" s="150"/>
      <c r="K40" s="160"/>
      <c r="N40" s="2368"/>
      <c r="O40" s="2381" t="s">
        <v>1144</v>
      </c>
      <c r="P40" s="2382"/>
      <c r="Q40" s="945">
        <v>540</v>
      </c>
      <c r="R40" s="946">
        <v>101</v>
      </c>
      <c r="S40" s="947">
        <v>102</v>
      </c>
      <c r="T40" s="947">
        <v>17</v>
      </c>
      <c r="U40" s="947">
        <v>9</v>
      </c>
      <c r="V40" s="947">
        <v>31</v>
      </c>
      <c r="W40" s="947">
        <v>117</v>
      </c>
      <c r="X40" s="947">
        <v>56</v>
      </c>
      <c r="Y40" s="947">
        <v>43</v>
      </c>
      <c r="Z40" s="947">
        <v>64</v>
      </c>
    </row>
    <row r="41" spans="1:26" ht="18" customHeight="1" thickBot="1">
      <c r="A41" s="161" t="s">
        <v>1382</v>
      </c>
      <c r="B41" s="162">
        <f>ROUND(B35*F41,0)</f>
        <v>20</v>
      </c>
      <c r="C41" s="138">
        <f>+B86</f>
        <v>18</v>
      </c>
      <c r="D41" s="154">
        <f t="shared" si="9"/>
        <v>9.0331613715595893E-2</v>
      </c>
      <c r="E41" s="138">
        <f t="shared" si="10"/>
        <v>9.03316137155959</v>
      </c>
      <c r="F41" s="141">
        <f>+E41/E35</f>
        <v>9.3168183448182298E-2</v>
      </c>
      <c r="G41" s="138"/>
      <c r="H41" s="150"/>
      <c r="I41" s="150"/>
      <c r="J41" s="150"/>
      <c r="K41" s="160"/>
      <c r="N41" s="2368"/>
      <c r="O41" s="2383" t="s">
        <v>1145</v>
      </c>
      <c r="P41" s="2384"/>
      <c r="Q41" s="945">
        <v>433</v>
      </c>
      <c r="R41" s="946">
        <v>74</v>
      </c>
      <c r="S41" s="947">
        <v>90</v>
      </c>
      <c r="T41" s="947">
        <v>9</v>
      </c>
      <c r="U41" s="947">
        <v>9</v>
      </c>
      <c r="V41" s="947">
        <v>22</v>
      </c>
      <c r="W41" s="947">
        <v>95</v>
      </c>
      <c r="X41" s="947">
        <v>42</v>
      </c>
      <c r="Y41" s="947">
        <v>23</v>
      </c>
      <c r="Z41" s="947">
        <v>69</v>
      </c>
    </row>
    <row r="42" spans="1:26" ht="18" customHeight="1" thickBot="1">
      <c r="A42" s="161" t="s">
        <v>1383</v>
      </c>
      <c r="B42" s="162">
        <f>ROUND(B35*F42,0)</f>
        <v>11</v>
      </c>
      <c r="C42" s="138">
        <f>+B98</f>
        <v>15</v>
      </c>
      <c r="D42" s="154">
        <f t="shared" si="9"/>
        <v>5.0771008936374144E-2</v>
      </c>
      <c r="E42" s="138">
        <f t="shared" si="10"/>
        <v>5.0771008936374145</v>
      </c>
      <c r="F42" s="141">
        <f>+E42/E35</f>
        <v>5.2365306893844686E-2</v>
      </c>
      <c r="G42" s="138"/>
      <c r="H42" s="150"/>
      <c r="I42" s="150"/>
      <c r="J42" s="150"/>
      <c r="K42" s="160"/>
      <c r="N42" s="2368"/>
      <c r="O42" s="2380" t="s">
        <v>1146</v>
      </c>
      <c r="P42" s="943" t="s">
        <v>1147</v>
      </c>
      <c r="Q42" s="945">
        <v>171</v>
      </c>
      <c r="R42" s="946">
        <v>37</v>
      </c>
      <c r="S42" s="947">
        <v>32</v>
      </c>
      <c r="T42" s="947">
        <v>1</v>
      </c>
      <c r="U42" s="947">
        <v>4</v>
      </c>
      <c r="V42" s="947">
        <v>15</v>
      </c>
      <c r="W42" s="947">
        <v>25</v>
      </c>
      <c r="X42" s="947">
        <v>26</v>
      </c>
      <c r="Y42" s="947">
        <v>28</v>
      </c>
      <c r="Z42" s="947">
        <v>3</v>
      </c>
    </row>
    <row r="43" spans="1:26" ht="18" customHeight="1" thickBot="1">
      <c r="A43" s="163" t="s">
        <v>1384</v>
      </c>
      <c r="B43" s="164">
        <f>ROUND(B35*F43,0)</f>
        <v>24</v>
      </c>
      <c r="C43" s="138">
        <f>+B110</f>
        <v>6</v>
      </c>
      <c r="D43" s="154">
        <f t="shared" si="9"/>
        <v>0.10705795017806971</v>
      </c>
      <c r="E43" s="138">
        <f t="shared" si="10"/>
        <v>10.70579501780697</v>
      </c>
      <c r="F43" s="141">
        <f>+E43/E35</f>
        <v>0.11041975595809225</v>
      </c>
      <c r="G43" s="138"/>
      <c r="H43" s="150"/>
      <c r="I43" s="150"/>
      <c r="J43" s="150"/>
      <c r="K43" s="160"/>
      <c r="N43" s="2368"/>
      <c r="O43" s="2385"/>
      <c r="P43" s="944" t="s">
        <v>1148</v>
      </c>
      <c r="Q43" s="945">
        <v>241</v>
      </c>
      <c r="R43" s="946">
        <v>48</v>
      </c>
      <c r="S43" s="947">
        <v>42</v>
      </c>
      <c r="T43" s="947">
        <v>7</v>
      </c>
      <c r="U43" s="947">
        <v>6</v>
      </c>
      <c r="V43" s="947">
        <v>10</v>
      </c>
      <c r="W43" s="947">
        <v>76</v>
      </c>
      <c r="X43" s="947">
        <v>18</v>
      </c>
      <c r="Y43" s="947">
        <v>14</v>
      </c>
      <c r="Z43" s="947">
        <v>20</v>
      </c>
    </row>
    <row r="44" spans="1:26" ht="18" customHeight="1" thickBot="1">
      <c r="A44" s="163" t="s">
        <v>1585</v>
      </c>
      <c r="B44" s="164">
        <f>ROUND(B36*F44,0)</f>
        <v>0</v>
      </c>
      <c r="C44" s="1552">
        <f>B124</f>
        <v>43</v>
      </c>
      <c r="D44" s="154">
        <f t="shared" si="9"/>
        <v>0</v>
      </c>
      <c r="E44" s="138">
        <f t="shared" si="10"/>
        <v>0</v>
      </c>
      <c r="F44" s="141">
        <f>+E44/E36</f>
        <v>0</v>
      </c>
      <c r="G44" s="138"/>
      <c r="H44" s="150"/>
      <c r="I44" s="150"/>
      <c r="J44" s="150"/>
      <c r="K44" s="160"/>
      <c r="L44" s="599"/>
      <c r="N44" s="2368"/>
      <c r="O44" s="2386" t="s">
        <v>1149</v>
      </c>
      <c r="P44" s="2370"/>
      <c r="Q44" s="945">
        <v>561</v>
      </c>
      <c r="R44" s="946">
        <v>90</v>
      </c>
      <c r="S44" s="947">
        <v>118</v>
      </c>
      <c r="T44" s="947">
        <v>18</v>
      </c>
      <c r="U44" s="947">
        <v>8</v>
      </c>
      <c r="V44" s="947">
        <v>28</v>
      </c>
      <c r="W44" s="947">
        <v>111</v>
      </c>
      <c r="X44" s="947">
        <v>54</v>
      </c>
      <c r="Y44" s="947">
        <v>24</v>
      </c>
      <c r="Z44" s="947">
        <v>110</v>
      </c>
    </row>
    <row r="45" spans="1:26" ht="18" customHeight="1" thickBot="1">
      <c r="A45" s="168"/>
      <c r="B45" s="169"/>
      <c r="C45" s="169"/>
      <c r="D45" s="169"/>
      <c r="E45" s="169"/>
      <c r="F45" s="169"/>
      <c r="G45" s="169"/>
      <c r="H45" s="150"/>
      <c r="I45" s="150"/>
      <c r="J45" s="150"/>
      <c r="K45" s="166"/>
      <c r="N45" s="2369"/>
      <c r="O45" s="2370" t="s">
        <v>1150</v>
      </c>
      <c r="P45" s="2371"/>
      <c r="Q45" s="950">
        <f>ROUND(Q42/Q39,2)</f>
        <v>0.18</v>
      </c>
      <c r="R45" s="950">
        <f>ROUND(R42/R39,2)</f>
        <v>0.21</v>
      </c>
      <c r="S45" s="950">
        <f t="shared" ref="S45:Z45" si="12">ROUND(S42/S39,2)</f>
        <v>0.17</v>
      </c>
      <c r="T45" s="950">
        <f t="shared" si="12"/>
        <v>0.04</v>
      </c>
      <c r="U45" s="950">
        <f t="shared" si="12"/>
        <v>0.22</v>
      </c>
      <c r="V45" s="950">
        <f t="shared" si="12"/>
        <v>0.28000000000000003</v>
      </c>
      <c r="W45" s="950">
        <f t="shared" si="12"/>
        <v>0.12</v>
      </c>
      <c r="X45" s="950">
        <f t="shared" si="12"/>
        <v>0.27</v>
      </c>
      <c r="Y45" s="950">
        <f t="shared" si="12"/>
        <v>0.42</v>
      </c>
      <c r="Z45" s="950">
        <f t="shared" si="12"/>
        <v>0.02</v>
      </c>
    </row>
    <row r="46" spans="1:26" ht="18" customHeight="1">
      <c r="A46" s="145" t="s">
        <v>1379</v>
      </c>
      <c r="B46" s="146" t="s">
        <v>1385</v>
      </c>
      <c r="C46" s="147" t="s">
        <v>1386</v>
      </c>
      <c r="D46" s="148" t="s">
        <v>168</v>
      </c>
      <c r="E46" s="138"/>
      <c r="F46" s="138" t="s">
        <v>169</v>
      </c>
      <c r="G46" s="149" t="s">
        <v>172</v>
      </c>
      <c r="H46" s="150"/>
      <c r="I46" s="150"/>
      <c r="J46" s="150"/>
      <c r="K46" s="151" t="s">
        <v>577</v>
      </c>
      <c r="N46" s="2387">
        <v>2012</v>
      </c>
      <c r="O46" s="2379" t="s">
        <v>565</v>
      </c>
      <c r="P46" s="2380"/>
      <c r="Q46" s="945">
        <v>929</v>
      </c>
      <c r="R46" s="946">
        <v>193</v>
      </c>
      <c r="S46" s="947">
        <v>199</v>
      </c>
      <c r="T46" s="947">
        <v>22</v>
      </c>
      <c r="U46" s="947">
        <v>25</v>
      </c>
      <c r="V46" s="947">
        <v>70</v>
      </c>
      <c r="W46" s="947">
        <v>155</v>
      </c>
      <c r="X46" s="947">
        <v>74</v>
      </c>
      <c r="Y46" s="947">
        <v>47</v>
      </c>
      <c r="Z46" s="947">
        <v>144</v>
      </c>
    </row>
    <row r="47" spans="1:26" ht="18" customHeight="1" thickBot="1">
      <c r="A47" s="152" t="s">
        <v>1376</v>
      </c>
      <c r="B47" s="153">
        <f>+$F$5</f>
        <v>413</v>
      </c>
      <c r="C47" s="153">
        <f>SUM(C48:C56)</f>
        <v>289</v>
      </c>
      <c r="D47" s="154">
        <f>SUM(D48:D56)</f>
        <v>0.96883075390672724</v>
      </c>
      <c r="E47" s="138">
        <f>+D47*100</f>
        <v>96.88307539067273</v>
      </c>
      <c r="F47" s="155">
        <f>SUM(F48:F56)</f>
        <v>0.99999999999999989</v>
      </c>
      <c r="G47" s="138"/>
      <c r="H47" s="150"/>
      <c r="I47" s="150"/>
      <c r="J47" s="150"/>
      <c r="K47" s="156">
        <f>0-C47</f>
        <v>-289</v>
      </c>
      <c r="N47" s="2368"/>
      <c r="O47" s="2381" t="s">
        <v>1144</v>
      </c>
      <c r="P47" s="2382"/>
      <c r="Q47" s="945">
        <v>479</v>
      </c>
      <c r="R47" s="946">
        <v>94</v>
      </c>
      <c r="S47" s="947">
        <v>106</v>
      </c>
      <c r="T47" s="947">
        <v>8</v>
      </c>
      <c r="U47" s="947">
        <v>13</v>
      </c>
      <c r="V47" s="947">
        <v>45</v>
      </c>
      <c r="W47" s="947">
        <v>79</v>
      </c>
      <c r="X47" s="947">
        <v>41</v>
      </c>
      <c r="Y47" s="947">
        <v>23</v>
      </c>
      <c r="Z47" s="947">
        <v>70</v>
      </c>
    </row>
    <row r="48" spans="1:26" ht="18" customHeight="1" thickBot="1">
      <c r="A48" s="157" t="s">
        <v>2272</v>
      </c>
      <c r="B48" s="158">
        <f>ROUND(B47*F48,0)-G48</f>
        <v>75</v>
      </c>
      <c r="C48" s="167">
        <f>+B14</f>
        <v>9</v>
      </c>
      <c r="D48" s="154">
        <f t="shared" ref="D48:D56" si="13">+HLOOKUP($A48,$B$2:$L$7,6,FALSE)</f>
        <v>0.17907516514908053</v>
      </c>
      <c r="E48" s="138">
        <f t="shared" ref="E48:E56" si="14">+D48*100</f>
        <v>17.907516514908053</v>
      </c>
      <c r="F48" s="141">
        <f>+E48/E47</f>
        <v>0.18483637562801886</v>
      </c>
      <c r="G48" s="138">
        <v>1</v>
      </c>
      <c r="H48" s="150"/>
      <c r="I48" s="150"/>
      <c r="J48" s="150"/>
      <c r="K48" s="160"/>
      <c r="N48" s="2368"/>
      <c r="O48" s="2383" t="s">
        <v>1145</v>
      </c>
      <c r="P48" s="2384"/>
      <c r="Q48" s="945">
        <v>450</v>
      </c>
      <c r="R48" s="946">
        <v>99</v>
      </c>
      <c r="S48" s="947">
        <v>93</v>
      </c>
      <c r="T48" s="947">
        <v>14</v>
      </c>
      <c r="U48" s="947">
        <v>12</v>
      </c>
      <c r="V48" s="947">
        <v>25</v>
      </c>
      <c r="W48" s="947">
        <v>76</v>
      </c>
      <c r="X48" s="947">
        <v>33</v>
      </c>
      <c r="Y48" s="947">
        <v>24</v>
      </c>
      <c r="Z48" s="947">
        <v>74</v>
      </c>
    </row>
    <row r="49" spans="1:26" ht="18" customHeight="1" thickBot="1">
      <c r="A49" s="161" t="s">
        <v>2281</v>
      </c>
      <c r="B49" s="162">
        <f>ROUND(B47*F49,0)</f>
        <v>94</v>
      </c>
      <c r="C49" s="138">
        <f>+B26</f>
        <v>102</v>
      </c>
      <c r="D49" s="154">
        <f t="shared" si="13"/>
        <v>0.21986675311739445</v>
      </c>
      <c r="E49" s="138">
        <f t="shared" si="14"/>
        <v>21.986675311739447</v>
      </c>
      <c r="F49" s="141">
        <f>+E49/E47</f>
        <v>0.22694031153614866</v>
      </c>
      <c r="G49" s="138"/>
      <c r="H49" s="150"/>
      <c r="I49" s="150"/>
      <c r="J49" s="150"/>
      <c r="K49" s="160"/>
      <c r="N49" s="2368"/>
      <c r="O49" s="2380" t="s">
        <v>1146</v>
      </c>
      <c r="P49" s="943" t="s">
        <v>1147</v>
      </c>
      <c r="Q49" s="945">
        <v>170</v>
      </c>
      <c r="R49" s="946">
        <v>34</v>
      </c>
      <c r="S49" s="947">
        <v>66</v>
      </c>
      <c r="T49" s="947">
        <v>1</v>
      </c>
      <c r="U49" s="947">
        <v>9</v>
      </c>
      <c r="V49" s="947">
        <v>11</v>
      </c>
      <c r="W49" s="947">
        <v>15</v>
      </c>
      <c r="X49" s="947">
        <v>18</v>
      </c>
      <c r="Y49" s="947">
        <v>9</v>
      </c>
      <c r="Z49" s="947">
        <v>7</v>
      </c>
    </row>
    <row r="50" spans="1:26" s="599" customFormat="1" ht="18" customHeight="1" thickBot="1">
      <c r="A50" s="161" t="s">
        <v>2273</v>
      </c>
      <c r="B50" s="162">
        <f>ROUND(B47*F50,0)</f>
        <v>13</v>
      </c>
      <c r="C50" s="138">
        <f>+B38</f>
        <v>7</v>
      </c>
      <c r="D50" s="154">
        <f t="shared" si="13"/>
        <v>3.0445691088997265E-2</v>
      </c>
      <c r="E50" s="138">
        <f t="shared" si="14"/>
        <v>3.0445691088997267</v>
      </c>
      <c r="F50" s="141">
        <f>+E50/E47</f>
        <v>3.1425190587961435E-2</v>
      </c>
      <c r="G50" s="138"/>
      <c r="H50" s="150"/>
      <c r="I50" s="150"/>
      <c r="J50" s="150"/>
      <c r="K50" s="160"/>
      <c r="L50"/>
      <c r="N50" s="2368"/>
      <c r="O50" s="2385"/>
      <c r="P50" s="944" t="s">
        <v>1148</v>
      </c>
      <c r="Q50" s="945">
        <v>226</v>
      </c>
      <c r="R50" s="946">
        <v>73</v>
      </c>
      <c r="S50" s="947">
        <v>26</v>
      </c>
      <c r="T50" s="947">
        <v>9</v>
      </c>
      <c r="U50" s="947">
        <v>10</v>
      </c>
      <c r="V50" s="947">
        <v>22</v>
      </c>
      <c r="W50" s="947">
        <v>50</v>
      </c>
      <c r="X50" s="947">
        <v>15</v>
      </c>
      <c r="Y50" s="947">
        <v>7</v>
      </c>
      <c r="Z50" s="947">
        <v>14</v>
      </c>
    </row>
    <row r="51" spans="1:26" s="599" customFormat="1" ht="18" customHeight="1" thickBot="1">
      <c r="A51" s="161" t="s">
        <v>2275</v>
      </c>
      <c r="B51" s="162">
        <f>ROUND(B47*F51,0)</f>
        <v>49</v>
      </c>
      <c r="C51" s="138">
        <f>+B63</f>
        <v>28</v>
      </c>
      <c r="D51" s="154">
        <f t="shared" si="13"/>
        <v>0.1151486106804236</v>
      </c>
      <c r="E51" s="138">
        <f t="shared" si="14"/>
        <v>11.514861068042361</v>
      </c>
      <c r="F51" s="141">
        <f>+E51/E47</f>
        <v>0.11885317452619734</v>
      </c>
      <c r="G51" s="138"/>
      <c r="H51" s="150"/>
      <c r="I51" s="150"/>
      <c r="J51" s="150"/>
      <c r="K51" s="160"/>
      <c r="N51" s="2368"/>
      <c r="O51" s="2386" t="s">
        <v>1149</v>
      </c>
      <c r="P51" s="2370"/>
      <c r="Q51" s="945">
        <v>533</v>
      </c>
      <c r="R51" s="946">
        <v>86</v>
      </c>
      <c r="S51" s="947">
        <v>107</v>
      </c>
      <c r="T51" s="947">
        <v>12</v>
      </c>
      <c r="U51" s="947">
        <v>6</v>
      </c>
      <c r="V51" s="947">
        <v>37</v>
      </c>
      <c r="W51" s="947">
        <v>90</v>
      </c>
      <c r="X51" s="947">
        <v>41</v>
      </c>
      <c r="Y51" s="947">
        <v>31</v>
      </c>
      <c r="Z51" s="947">
        <v>123</v>
      </c>
    </row>
    <row r="52" spans="1:26" ht="18" customHeight="1" thickBot="1">
      <c r="A52" s="161" t="s">
        <v>2276</v>
      </c>
      <c r="B52" s="162">
        <f>ROUND(B47*F52,0)</f>
        <v>75</v>
      </c>
      <c r="C52" s="138">
        <f>+B75</f>
        <v>59</v>
      </c>
      <c r="D52" s="154">
        <f t="shared" si="13"/>
        <v>0.1761339610407916</v>
      </c>
      <c r="E52" s="138">
        <f t="shared" si="14"/>
        <v>17.613396104079161</v>
      </c>
      <c r="F52" s="141">
        <f>+E52/E47</f>
        <v>0.18180054703109541</v>
      </c>
      <c r="G52" s="138"/>
      <c r="H52" s="150"/>
      <c r="I52" s="150"/>
      <c r="J52" s="150"/>
      <c r="K52" s="160"/>
      <c r="L52" s="599"/>
      <c r="N52" s="2369"/>
      <c r="O52" s="2370" t="s">
        <v>1150</v>
      </c>
      <c r="P52" s="2371"/>
      <c r="Q52" s="950">
        <f>ROUND(Q49/Q46,2)</f>
        <v>0.18</v>
      </c>
      <c r="R52" s="950">
        <f>ROUND(R49/R46,2)</f>
        <v>0.18</v>
      </c>
      <c r="S52" s="950">
        <f t="shared" ref="S52:Z52" si="15">ROUND(S49/S46,2)</f>
        <v>0.33</v>
      </c>
      <c r="T52" s="950">
        <f t="shared" si="15"/>
        <v>0.05</v>
      </c>
      <c r="U52" s="950">
        <f t="shared" si="15"/>
        <v>0.36</v>
      </c>
      <c r="V52" s="950">
        <f t="shared" si="15"/>
        <v>0.16</v>
      </c>
      <c r="W52" s="950">
        <f t="shared" si="15"/>
        <v>0.1</v>
      </c>
      <c r="X52" s="950">
        <f t="shared" si="15"/>
        <v>0.24</v>
      </c>
      <c r="Y52" s="950">
        <f t="shared" si="15"/>
        <v>0.19</v>
      </c>
      <c r="Z52" s="950">
        <f t="shared" si="15"/>
        <v>0.05</v>
      </c>
    </row>
    <row r="53" spans="1:26" ht="18" customHeight="1" thickBot="1">
      <c r="A53" s="161" t="s">
        <v>2277</v>
      </c>
      <c r="B53" s="162">
        <f>ROUND(B47*F53,0)</f>
        <v>39</v>
      </c>
      <c r="C53" s="138">
        <f>+B87</f>
        <v>19</v>
      </c>
      <c r="D53" s="154">
        <f t="shared" si="13"/>
        <v>9.0331613715595893E-2</v>
      </c>
      <c r="E53" s="138">
        <f t="shared" si="14"/>
        <v>9.03316137155959</v>
      </c>
      <c r="F53" s="141">
        <f>+E53/E47</f>
        <v>9.3237764543849772E-2</v>
      </c>
      <c r="G53" s="138"/>
      <c r="H53" s="150"/>
      <c r="I53" s="150"/>
      <c r="J53" s="150"/>
      <c r="K53" s="160"/>
      <c r="N53" s="2387">
        <v>2011</v>
      </c>
      <c r="O53" s="2379" t="s">
        <v>565</v>
      </c>
      <c r="P53" s="2380"/>
      <c r="Q53" s="945">
        <v>966</v>
      </c>
      <c r="R53" s="946">
        <v>120</v>
      </c>
      <c r="S53" s="947">
        <v>204</v>
      </c>
      <c r="T53" s="947">
        <v>25</v>
      </c>
      <c r="U53" s="947">
        <v>33</v>
      </c>
      <c r="V53" s="947">
        <v>62</v>
      </c>
      <c r="W53" s="947">
        <v>256</v>
      </c>
      <c r="X53" s="947">
        <v>82</v>
      </c>
      <c r="Y53" s="947">
        <v>56</v>
      </c>
      <c r="Z53" s="947">
        <v>128</v>
      </c>
    </row>
    <row r="54" spans="1:26" ht="17.25" thickBot="1">
      <c r="A54" s="161" t="s">
        <v>2278</v>
      </c>
      <c r="B54" s="162">
        <f>ROUND(B47*F54,0)</f>
        <v>22</v>
      </c>
      <c r="C54" s="138">
        <f>+B99</f>
        <v>15</v>
      </c>
      <c r="D54" s="154">
        <f t="shared" si="13"/>
        <v>5.0771008936374144E-2</v>
      </c>
      <c r="E54" s="138">
        <f t="shared" si="14"/>
        <v>5.0771008936374145</v>
      </c>
      <c r="F54" s="141">
        <f>+E54/E47</f>
        <v>5.2404415045294944E-2</v>
      </c>
      <c r="G54" s="138"/>
      <c r="H54" s="150"/>
      <c r="I54" s="150"/>
      <c r="J54" s="150"/>
      <c r="K54" s="160"/>
      <c r="N54" s="2368"/>
      <c r="O54" s="2381" t="s">
        <v>1144</v>
      </c>
      <c r="P54" s="2382"/>
      <c r="Q54" s="945">
        <v>525</v>
      </c>
      <c r="R54" s="946">
        <v>44</v>
      </c>
      <c r="S54" s="947">
        <v>108</v>
      </c>
      <c r="T54" s="947">
        <v>11</v>
      </c>
      <c r="U54" s="947">
        <v>17</v>
      </c>
      <c r="V54" s="947">
        <v>49</v>
      </c>
      <c r="W54" s="947">
        <v>141</v>
      </c>
      <c r="X54" s="947">
        <v>53</v>
      </c>
      <c r="Y54" s="947">
        <v>31</v>
      </c>
      <c r="Z54" s="947">
        <v>71</v>
      </c>
    </row>
    <row r="55" spans="1:26" ht="17.25" thickBot="1">
      <c r="A55" s="163" t="s">
        <v>2279</v>
      </c>
      <c r="B55" s="164">
        <f>ROUND(B47*F55,0)</f>
        <v>46</v>
      </c>
      <c r="C55" s="138">
        <f>+B111</f>
        <v>6</v>
      </c>
      <c r="D55" s="154">
        <f t="shared" si="13"/>
        <v>0.10705795017806971</v>
      </c>
      <c r="E55" s="138">
        <f t="shared" si="14"/>
        <v>10.70579501780697</v>
      </c>
      <c r="F55" s="141">
        <f>+E55/E47</f>
        <v>0.11050222110143351</v>
      </c>
      <c r="G55" s="138"/>
      <c r="H55" s="150"/>
      <c r="I55" s="150"/>
      <c r="J55" s="150"/>
      <c r="K55" s="160"/>
      <c r="N55" s="2368"/>
      <c r="O55" s="2383" t="s">
        <v>1145</v>
      </c>
      <c r="P55" s="2384"/>
      <c r="Q55" s="945">
        <v>441</v>
      </c>
      <c r="R55" s="946">
        <v>76</v>
      </c>
      <c r="S55" s="947">
        <v>96</v>
      </c>
      <c r="T55" s="947">
        <v>14</v>
      </c>
      <c r="U55" s="947">
        <v>16</v>
      </c>
      <c r="V55" s="947">
        <v>13</v>
      </c>
      <c r="W55" s="947">
        <v>115</v>
      </c>
      <c r="X55" s="947">
        <v>29</v>
      </c>
      <c r="Y55" s="947">
        <v>25</v>
      </c>
      <c r="Z55" s="947">
        <v>57</v>
      </c>
    </row>
    <row r="56" spans="1:26" ht="17.25" thickBot="1">
      <c r="A56" s="163" t="s">
        <v>2280</v>
      </c>
      <c r="B56" s="164">
        <f>ROUND(B48*F56,0)</f>
        <v>0</v>
      </c>
      <c r="C56" s="1552">
        <f>B125</f>
        <v>44</v>
      </c>
      <c r="D56" s="154">
        <f t="shared" si="13"/>
        <v>0</v>
      </c>
      <c r="E56" s="138">
        <f t="shared" si="14"/>
        <v>0</v>
      </c>
      <c r="F56" s="141">
        <f>+E56/E48</f>
        <v>0</v>
      </c>
      <c r="G56" s="138"/>
      <c r="H56" s="150"/>
      <c r="I56" s="150"/>
      <c r="J56" s="150"/>
      <c r="K56" s="160"/>
      <c r="L56" s="599"/>
      <c r="N56" s="2368"/>
      <c r="O56" s="2380" t="s">
        <v>1146</v>
      </c>
      <c r="P56" s="943" t="s">
        <v>1147</v>
      </c>
      <c r="Q56" s="945">
        <v>179</v>
      </c>
      <c r="R56" s="946">
        <v>22</v>
      </c>
      <c r="S56" s="947">
        <v>48</v>
      </c>
      <c r="T56" s="947">
        <v>8</v>
      </c>
      <c r="U56" s="947">
        <v>5</v>
      </c>
      <c r="V56" s="947">
        <v>4</v>
      </c>
      <c r="W56" s="947">
        <v>47</v>
      </c>
      <c r="X56" s="947">
        <v>16</v>
      </c>
      <c r="Y56" s="947">
        <v>18</v>
      </c>
      <c r="Z56" s="947">
        <v>11</v>
      </c>
    </row>
    <row r="57" spans="1:26" ht="17.25" thickBot="1">
      <c r="A57" s="168"/>
      <c r="B57" s="169"/>
      <c r="C57" s="169"/>
      <c r="D57" s="169"/>
      <c r="E57" s="169"/>
      <c r="F57" s="169"/>
      <c r="G57" s="169"/>
      <c r="H57" s="150"/>
      <c r="I57" s="150"/>
      <c r="J57" s="150"/>
      <c r="K57" s="166"/>
      <c r="N57" s="2368"/>
      <c r="O57" s="2385"/>
      <c r="P57" s="944" t="s">
        <v>1148</v>
      </c>
      <c r="Q57" s="945">
        <v>236</v>
      </c>
      <c r="R57" s="946">
        <v>46</v>
      </c>
      <c r="S57" s="947">
        <v>38</v>
      </c>
      <c r="T57" s="947">
        <v>9</v>
      </c>
      <c r="U57" s="947">
        <v>9</v>
      </c>
      <c r="V57" s="947">
        <v>13</v>
      </c>
      <c r="W57" s="947">
        <v>74</v>
      </c>
      <c r="X57" s="947">
        <v>20</v>
      </c>
      <c r="Y57" s="947">
        <v>12</v>
      </c>
      <c r="Z57" s="947">
        <v>15</v>
      </c>
    </row>
    <row r="58" spans="1:26">
      <c r="A58" s="145" t="s">
        <v>1380</v>
      </c>
      <c r="B58" s="146" t="s">
        <v>1385</v>
      </c>
      <c r="C58" s="147" t="s">
        <v>1386</v>
      </c>
      <c r="D58" s="148" t="s">
        <v>168</v>
      </c>
      <c r="E58" s="138"/>
      <c r="F58" s="138" t="s">
        <v>169</v>
      </c>
      <c r="G58" s="149" t="s">
        <v>172</v>
      </c>
      <c r="H58" s="150"/>
      <c r="I58" s="150"/>
      <c r="J58" s="150"/>
      <c r="K58" s="151" t="s">
        <v>577</v>
      </c>
      <c r="N58" s="2368"/>
      <c r="O58" s="2386" t="s">
        <v>1149</v>
      </c>
      <c r="P58" s="2370"/>
      <c r="Q58" s="945">
        <v>551</v>
      </c>
      <c r="R58" s="946">
        <v>52</v>
      </c>
      <c r="S58" s="947">
        <v>118</v>
      </c>
      <c r="T58" s="947">
        <v>8</v>
      </c>
      <c r="U58" s="947">
        <v>19</v>
      </c>
      <c r="V58" s="947">
        <v>45</v>
      </c>
      <c r="W58" s="947">
        <v>135</v>
      </c>
      <c r="X58" s="947">
        <v>46</v>
      </c>
      <c r="Y58" s="947">
        <v>26</v>
      </c>
      <c r="Z58" s="947">
        <v>102</v>
      </c>
    </row>
    <row r="59" spans="1:26" ht="17.25" thickBot="1">
      <c r="A59" s="152" t="s">
        <v>1376</v>
      </c>
      <c r="B59" s="153">
        <f>+$G$5</f>
        <v>808</v>
      </c>
      <c r="C59" s="153">
        <f>SUM(C60:C68)</f>
        <v>1013</v>
      </c>
      <c r="D59" s="154">
        <f>SUM(D60:D68)</f>
        <v>0.8848513893195763</v>
      </c>
      <c r="E59" s="138">
        <f>+D59*100</f>
        <v>88.485138931957636</v>
      </c>
      <c r="F59" s="155">
        <f>SUM(F60:F68)</f>
        <v>1.0000000000000002</v>
      </c>
      <c r="G59" s="138"/>
      <c r="H59" s="150"/>
      <c r="I59" s="150"/>
      <c r="J59" s="150"/>
      <c r="K59" s="156">
        <f>0-C59</f>
        <v>-1013</v>
      </c>
      <c r="N59" s="2368"/>
      <c r="O59" s="2391" t="s">
        <v>1151</v>
      </c>
      <c r="P59" s="2392"/>
      <c r="Q59" s="951">
        <f>ROUND(Q56/Q53,2)</f>
        <v>0.19</v>
      </c>
      <c r="R59" s="951">
        <f>ROUND(R56/R53,2)</f>
        <v>0.18</v>
      </c>
      <c r="S59" s="951">
        <f t="shared" ref="S59:Z59" si="16">ROUND(S56/S53,2)</f>
        <v>0.24</v>
      </c>
      <c r="T59" s="951">
        <f t="shared" si="16"/>
        <v>0.32</v>
      </c>
      <c r="U59" s="951">
        <f t="shared" si="16"/>
        <v>0.15</v>
      </c>
      <c r="V59" s="951">
        <f t="shared" si="16"/>
        <v>0.06</v>
      </c>
      <c r="W59" s="951">
        <f t="shared" si="16"/>
        <v>0.18</v>
      </c>
      <c r="X59" s="951">
        <f t="shared" si="16"/>
        <v>0.2</v>
      </c>
      <c r="Y59" s="951">
        <f t="shared" si="16"/>
        <v>0.32</v>
      </c>
      <c r="Z59" s="951">
        <f t="shared" si="16"/>
        <v>0.09</v>
      </c>
    </row>
    <row r="60" spans="1:26" ht="17.25" thickBot="1">
      <c r="A60" s="157" t="s">
        <v>1377</v>
      </c>
      <c r="B60" s="158">
        <f>ROUND(B59*F60,0)</f>
        <v>164</v>
      </c>
      <c r="C60" s="167">
        <f>+B15</f>
        <v>33</v>
      </c>
      <c r="D60" s="154">
        <f t="shared" ref="D60:D68" si="17">+HLOOKUP($A60,$B$2:$L$7,6,FALSE)</f>
        <v>0.17907516514908053</v>
      </c>
      <c r="E60" s="138">
        <f t="shared" ref="E60:E68" si="18">+D60*100</f>
        <v>17.907516514908053</v>
      </c>
      <c r="F60" s="141">
        <f>+E60/E59</f>
        <v>0.20237880316465781</v>
      </c>
      <c r="G60" s="138"/>
      <c r="H60" s="150"/>
      <c r="I60" s="150"/>
      <c r="J60" s="150"/>
      <c r="K60" s="160"/>
      <c r="N60" s="2389" t="s">
        <v>1152</v>
      </c>
      <c r="O60" s="2390"/>
      <c r="P60" s="2390"/>
      <c r="Q60" s="952">
        <f>AVERAGE(Q59,Q52,Q45,Q38,Q31,Q24)</f>
        <v>0.22166666666666668</v>
      </c>
      <c r="R60" s="952">
        <f>AVERAGE(R59,R52,R45,R38,R31,R24)</f>
        <v>0.16500000000000001</v>
      </c>
      <c r="S60" s="952">
        <f t="shared" ref="S60:Z60" si="19">AVERAGE(S59,S52,S45,S38,S31,S24)</f>
        <v>0.29666666666666669</v>
      </c>
      <c r="T60" s="952">
        <f t="shared" si="19"/>
        <v>0.13666666666666666</v>
      </c>
      <c r="U60" s="952">
        <f t="shared" si="19"/>
        <v>0.18833333333333332</v>
      </c>
      <c r="V60" s="952">
        <f t="shared" si="19"/>
        <v>0.22333333333333336</v>
      </c>
      <c r="W60" s="952">
        <f t="shared" si="19"/>
        <v>0.16833333333333333</v>
      </c>
      <c r="X60" s="952">
        <f t="shared" si="19"/>
        <v>0.20833333333333334</v>
      </c>
      <c r="Y60" s="952">
        <f t="shared" si="19"/>
        <v>0.27666666666666667</v>
      </c>
      <c r="Z60" s="952">
        <f t="shared" si="19"/>
        <v>4.8333333333333339E-2</v>
      </c>
    </row>
    <row r="61" spans="1:26" s="599" customFormat="1" ht="17.25" thickBot="1">
      <c r="A61" s="161" t="s">
        <v>1375</v>
      </c>
      <c r="B61" s="162">
        <f>ROUND(B59*F61,0)</f>
        <v>201</v>
      </c>
      <c r="C61" s="138">
        <f>+B27</f>
        <v>378</v>
      </c>
      <c r="D61" s="154">
        <f t="shared" si="17"/>
        <v>0.21986675311739445</v>
      </c>
      <c r="E61" s="138">
        <f t="shared" si="18"/>
        <v>21.986675311739447</v>
      </c>
      <c r="F61" s="141">
        <f>+E61/E59</f>
        <v>0.2484787341368874</v>
      </c>
      <c r="G61" s="138"/>
      <c r="H61" s="150"/>
      <c r="I61" s="150"/>
      <c r="J61" s="150"/>
      <c r="K61" s="160"/>
      <c r="L61"/>
      <c r="N61"/>
      <c r="O61"/>
      <c r="P61"/>
      <c r="Q61"/>
      <c r="R61"/>
      <c r="S61"/>
      <c r="T61"/>
      <c r="U61"/>
      <c r="V61"/>
      <c r="W61"/>
      <c r="X61"/>
      <c r="Y61"/>
      <c r="Z61" s="109"/>
    </row>
    <row r="62" spans="1:26" s="599" customFormat="1" ht="17.25" thickBot="1">
      <c r="A62" s="161" t="s">
        <v>1378</v>
      </c>
      <c r="B62" s="162">
        <f>ROUND(B59*F62,0)</f>
        <v>28</v>
      </c>
      <c r="C62" s="138">
        <f>+B39</f>
        <v>25</v>
      </c>
      <c r="D62" s="154">
        <f t="shared" si="17"/>
        <v>3.0445691088997265E-2</v>
      </c>
      <c r="E62" s="138">
        <f t="shared" si="18"/>
        <v>3.0445691088997267</v>
      </c>
      <c r="F62" s="141">
        <f>+E62/E59</f>
        <v>3.4407688631657198E-2</v>
      </c>
      <c r="G62" s="138"/>
      <c r="H62" s="150"/>
      <c r="I62" s="150"/>
      <c r="J62" s="150"/>
      <c r="K62" s="160"/>
      <c r="L62"/>
      <c r="N62"/>
      <c r="O62"/>
      <c r="P62"/>
      <c r="Q62"/>
      <c r="R62"/>
      <c r="S62"/>
      <c r="T62"/>
      <c r="U62"/>
      <c r="V62"/>
      <c r="W62"/>
      <c r="X62"/>
      <c r="Y62"/>
      <c r="Z62" s="109"/>
    </row>
    <row r="63" spans="1:26" ht="17.25" thickBot="1">
      <c r="A63" s="161" t="s">
        <v>1379</v>
      </c>
      <c r="B63" s="162">
        <f>ROUND(B59*F63,0)</f>
        <v>28</v>
      </c>
      <c r="C63" s="138">
        <f>+B51</f>
        <v>49</v>
      </c>
      <c r="D63" s="154">
        <f t="shared" si="17"/>
        <v>3.1169246093272818E-2</v>
      </c>
      <c r="E63" s="138">
        <f t="shared" si="18"/>
        <v>3.116924609327282</v>
      </c>
      <c r="F63" s="141">
        <f>+E63/E59</f>
        <v>3.522540221950831E-2</v>
      </c>
      <c r="G63" s="138"/>
      <c r="H63" s="150"/>
      <c r="I63" s="150"/>
      <c r="J63" s="150"/>
      <c r="K63" s="160"/>
      <c r="L63" s="599"/>
      <c r="Z63" s="109"/>
    </row>
    <row r="64" spans="1:26" ht="17.25" thickBot="1">
      <c r="A64" s="161" t="s">
        <v>1381</v>
      </c>
      <c r="B64" s="162">
        <f>ROUND(B59*F64,0)</f>
        <v>161</v>
      </c>
      <c r="C64" s="138">
        <f>+B76</f>
        <v>219</v>
      </c>
      <c r="D64" s="154">
        <f t="shared" si="17"/>
        <v>0.1761339610407916</v>
      </c>
      <c r="E64" s="138">
        <f t="shared" si="18"/>
        <v>17.613396104079161</v>
      </c>
      <c r="F64" s="141">
        <f>+E64/E59</f>
        <v>0.19905485052832797</v>
      </c>
      <c r="G64" s="138"/>
      <c r="H64" s="150"/>
      <c r="I64" s="150"/>
      <c r="J64" s="150"/>
      <c r="K64" s="160"/>
      <c r="L64" s="599"/>
      <c r="Z64" s="109"/>
    </row>
    <row r="65" spans="1:26" ht="17.25" thickBot="1">
      <c r="A65" s="161" t="s">
        <v>1382</v>
      </c>
      <c r="B65" s="162">
        <f>ROUND(B59*F65,0)</f>
        <v>82</v>
      </c>
      <c r="C65" s="138">
        <f>+B88</f>
        <v>69</v>
      </c>
      <c r="D65" s="154">
        <f t="shared" si="17"/>
        <v>9.0331613715595893E-2</v>
      </c>
      <c r="E65" s="138">
        <f t="shared" si="18"/>
        <v>9.03316137155959</v>
      </c>
      <c r="F65" s="141">
        <f>+E65/E59</f>
        <v>0.1020867625975681</v>
      </c>
      <c r="G65" s="138"/>
      <c r="H65" s="150"/>
      <c r="I65" s="150"/>
      <c r="J65" s="150"/>
      <c r="K65" s="160"/>
      <c r="Z65" s="109"/>
    </row>
    <row r="66" spans="1:26" ht="17.25" thickBot="1">
      <c r="A66" s="161" t="s">
        <v>1383</v>
      </c>
      <c r="B66" s="162">
        <f>ROUND(B59*F66,0)</f>
        <v>46</v>
      </c>
      <c r="C66" s="138">
        <f>+B100</f>
        <v>56</v>
      </c>
      <c r="D66" s="154">
        <f t="shared" si="17"/>
        <v>5.0771008936374144E-2</v>
      </c>
      <c r="E66" s="138">
        <f t="shared" si="18"/>
        <v>5.0771008936374145</v>
      </c>
      <c r="F66" s="141">
        <f>+E66/E59</f>
        <v>5.7378006690383905E-2</v>
      </c>
      <c r="G66" s="138"/>
      <c r="H66" s="150"/>
      <c r="I66" s="150"/>
      <c r="J66" s="150"/>
      <c r="K66" s="160"/>
      <c r="R66" s="599"/>
      <c r="S66" s="599"/>
      <c r="T66" s="599"/>
      <c r="U66" s="599"/>
      <c r="V66" s="599"/>
      <c r="W66" s="599"/>
      <c r="X66" s="599"/>
      <c r="Y66" s="599"/>
      <c r="Z66" s="109"/>
    </row>
    <row r="67" spans="1:26" ht="17.25" thickBot="1">
      <c r="A67" s="163" t="s">
        <v>1384</v>
      </c>
      <c r="B67" s="164">
        <f>ROUND(B59*F67,0)</f>
        <v>98</v>
      </c>
      <c r="C67" s="138">
        <f>+B112</f>
        <v>21</v>
      </c>
      <c r="D67" s="154">
        <f t="shared" si="17"/>
        <v>0.10705795017806971</v>
      </c>
      <c r="E67" s="138">
        <f t="shared" si="18"/>
        <v>10.70579501780697</v>
      </c>
      <c r="F67" s="141">
        <f>+E67/E59</f>
        <v>0.1209897520310094</v>
      </c>
      <c r="G67" s="138"/>
      <c r="H67" s="150"/>
      <c r="I67" s="150"/>
      <c r="J67" s="150"/>
      <c r="K67" s="160"/>
      <c r="R67" s="599"/>
      <c r="S67" s="599"/>
      <c r="T67" s="599"/>
      <c r="U67" s="599"/>
      <c r="V67" s="599"/>
      <c r="W67" s="599"/>
      <c r="X67" s="599"/>
      <c r="Y67" s="599"/>
      <c r="Z67" s="109"/>
    </row>
    <row r="68" spans="1:26" ht="17.25" thickBot="1">
      <c r="A68" s="163" t="s">
        <v>1585</v>
      </c>
      <c r="B68" s="164">
        <f>ROUND(B60*F68,0)</f>
        <v>0</v>
      </c>
      <c r="C68" s="1552">
        <f>B126</f>
        <v>163</v>
      </c>
      <c r="D68" s="154">
        <f t="shared" si="17"/>
        <v>0</v>
      </c>
      <c r="E68" s="138">
        <f t="shared" si="18"/>
        <v>0</v>
      </c>
      <c r="F68" s="141">
        <f>+E68/E60</f>
        <v>0</v>
      </c>
      <c r="G68" s="138"/>
      <c r="H68" s="150"/>
      <c r="I68" s="150"/>
      <c r="J68" s="150"/>
      <c r="K68" s="160"/>
      <c r="L68" s="599"/>
      <c r="N68" s="599"/>
      <c r="O68" s="599"/>
      <c r="P68" s="599"/>
      <c r="Q68" s="599"/>
      <c r="Z68" s="109"/>
    </row>
    <row r="69" spans="1:26" ht="17.25" thickBot="1">
      <c r="A69" s="168"/>
      <c r="B69" s="169"/>
      <c r="C69" s="169"/>
      <c r="D69" s="169"/>
      <c r="E69" s="169"/>
      <c r="F69" s="169"/>
      <c r="G69" s="169"/>
      <c r="H69" s="150"/>
      <c r="I69" s="150"/>
      <c r="J69" s="150"/>
      <c r="K69" s="166"/>
      <c r="N69" s="599"/>
      <c r="O69" s="599"/>
      <c r="P69" s="599"/>
      <c r="Q69" s="599"/>
      <c r="Z69" s="108"/>
    </row>
    <row r="70" spans="1:26">
      <c r="A70" s="145" t="s">
        <v>1381</v>
      </c>
      <c r="B70" s="146" t="s">
        <v>1385</v>
      </c>
      <c r="C70" s="147" t="s">
        <v>1386</v>
      </c>
      <c r="D70" s="148" t="s">
        <v>168</v>
      </c>
      <c r="E70" s="138"/>
      <c r="F70" s="138" t="s">
        <v>169</v>
      </c>
      <c r="G70" s="149" t="s">
        <v>172</v>
      </c>
      <c r="H70" s="150"/>
      <c r="I70" s="150"/>
      <c r="J70" s="150"/>
      <c r="K70" s="151" t="s">
        <v>577</v>
      </c>
      <c r="Z70" s="112"/>
    </row>
    <row r="71" spans="1:26" ht="17.25" thickBot="1">
      <c r="A71" s="152" t="s">
        <v>1376</v>
      </c>
      <c r="B71" s="153">
        <f>+$H$5</f>
        <v>1567</v>
      </c>
      <c r="C71" s="153">
        <f>SUM(C72:C80)</f>
        <v>1375</v>
      </c>
      <c r="D71" s="154">
        <f>SUM(D72:D80)</f>
        <v>0.8238660389592084</v>
      </c>
      <c r="E71" s="138">
        <f>+D71*100</f>
        <v>82.386603895920842</v>
      </c>
      <c r="F71" s="155">
        <f>SUM(F72:F80)</f>
        <v>1</v>
      </c>
      <c r="G71" s="138"/>
      <c r="H71" s="150"/>
      <c r="I71" s="150"/>
      <c r="J71" s="150"/>
      <c r="K71" s="156">
        <f>0-C71</f>
        <v>-1375</v>
      </c>
      <c r="Z71" s="109"/>
    </row>
    <row r="72" spans="1:26" s="599" customFormat="1" ht="17.25" thickBot="1">
      <c r="A72" s="157" t="s">
        <v>1377</v>
      </c>
      <c r="B72" s="158">
        <f>ROUND(B71*F72,0)-G72</f>
        <v>340</v>
      </c>
      <c r="C72" s="167">
        <f>+B16</f>
        <v>51</v>
      </c>
      <c r="D72" s="154">
        <f t="shared" ref="D72:D80" si="20">+HLOOKUP($A72,$B$2:$L$7,6,FALSE)</f>
        <v>0.17907516514908053</v>
      </c>
      <c r="E72" s="138">
        <f t="shared" ref="E72:E80" si="21">+D72*100</f>
        <v>17.907516514908053</v>
      </c>
      <c r="F72" s="141">
        <f>+E72/E71</f>
        <v>0.21735956658112349</v>
      </c>
      <c r="G72" s="138">
        <v>1</v>
      </c>
      <c r="H72" s="150"/>
      <c r="I72" s="150"/>
      <c r="J72" s="150"/>
      <c r="K72" s="160"/>
      <c r="L72"/>
      <c r="N72"/>
      <c r="O72"/>
      <c r="P72"/>
      <c r="Q72"/>
      <c r="R72"/>
      <c r="S72"/>
      <c r="T72"/>
      <c r="U72"/>
      <c r="V72"/>
      <c r="W72"/>
      <c r="X72"/>
      <c r="Y72"/>
      <c r="Z72" s="109"/>
    </row>
    <row r="73" spans="1:26" s="599" customFormat="1" ht="17.25" thickBot="1">
      <c r="A73" s="161" t="s">
        <v>1375</v>
      </c>
      <c r="B73" s="162">
        <f>ROUND(B71*F73,0)</f>
        <v>418</v>
      </c>
      <c r="C73" s="138">
        <f>+B28</f>
        <v>578</v>
      </c>
      <c r="D73" s="154">
        <f t="shared" si="20"/>
        <v>0.21986675311739445</v>
      </c>
      <c r="E73" s="138">
        <f t="shared" si="21"/>
        <v>21.986675311739447</v>
      </c>
      <c r="F73" s="141">
        <f>+E73/E71</f>
        <v>0.26687197034502425</v>
      </c>
      <c r="G73" s="138"/>
      <c r="H73" s="150"/>
      <c r="I73" s="150"/>
      <c r="J73" s="150"/>
      <c r="K73" s="160"/>
      <c r="L73"/>
      <c r="N73"/>
      <c r="O73"/>
      <c r="P73"/>
      <c r="Q73"/>
      <c r="R73"/>
      <c r="S73"/>
      <c r="T73"/>
      <c r="U73"/>
      <c r="V73"/>
      <c r="W73"/>
      <c r="X73"/>
      <c r="Y73"/>
      <c r="Z73" s="109"/>
    </row>
    <row r="74" spans="1:26" ht="17.25" thickBot="1">
      <c r="A74" s="161" t="s">
        <v>1378</v>
      </c>
      <c r="B74" s="162">
        <f>ROUND(B71*F74,0)</f>
        <v>58</v>
      </c>
      <c r="C74" s="138">
        <f>+B40</f>
        <v>39</v>
      </c>
      <c r="D74" s="154">
        <f t="shared" si="20"/>
        <v>3.0445691088997265E-2</v>
      </c>
      <c r="E74" s="138">
        <f t="shared" si="21"/>
        <v>3.0445691088997267</v>
      </c>
      <c r="F74" s="141">
        <f>+E74/E71</f>
        <v>3.6954662104362705E-2</v>
      </c>
      <c r="G74" s="138"/>
      <c r="H74" s="150"/>
      <c r="I74" s="150"/>
      <c r="J74" s="150"/>
      <c r="K74" s="160"/>
      <c r="Z74" s="109"/>
    </row>
    <row r="75" spans="1:26" ht="17.25" thickBot="1">
      <c r="A75" s="161" t="s">
        <v>1379</v>
      </c>
      <c r="B75" s="162">
        <f>ROUND(B71*F75,0)</f>
        <v>59</v>
      </c>
      <c r="C75" s="138">
        <f>+B52</f>
        <v>75</v>
      </c>
      <c r="D75" s="154">
        <f t="shared" si="20"/>
        <v>3.1169246093272818E-2</v>
      </c>
      <c r="E75" s="138">
        <f t="shared" si="21"/>
        <v>3.116924609327282</v>
      </c>
      <c r="F75" s="141">
        <f>+E75/E71</f>
        <v>3.7832905617336758E-2</v>
      </c>
      <c r="G75" s="138"/>
      <c r="H75" s="150"/>
      <c r="I75" s="150"/>
      <c r="J75" s="150"/>
      <c r="K75" s="160"/>
      <c r="L75" s="599"/>
      <c r="Z75" s="109"/>
    </row>
    <row r="76" spans="1:26" ht="17.25" thickBot="1">
      <c r="A76" s="161" t="s">
        <v>1380</v>
      </c>
      <c r="B76" s="162">
        <f>ROUND(B71*F76,0)</f>
        <v>219</v>
      </c>
      <c r="C76" s="138">
        <f>+B64</f>
        <v>161</v>
      </c>
      <c r="D76" s="154">
        <f t="shared" si="20"/>
        <v>0.1151486106804236</v>
      </c>
      <c r="E76" s="138">
        <f t="shared" si="21"/>
        <v>11.514861068042361</v>
      </c>
      <c r="F76" s="141">
        <f>+E76/E71</f>
        <v>0.13976618192187054</v>
      </c>
      <c r="G76" s="138"/>
      <c r="H76" s="150"/>
      <c r="I76" s="150"/>
      <c r="J76" s="150"/>
      <c r="K76" s="160"/>
      <c r="L76" s="599"/>
      <c r="Z76" s="109"/>
    </row>
    <row r="77" spans="1:26" ht="17.25" thickBot="1">
      <c r="A77" s="161" t="s">
        <v>1382</v>
      </c>
      <c r="B77" s="162">
        <f>ROUND(B71*F77,0)</f>
        <v>172</v>
      </c>
      <c r="C77" s="138">
        <f>+B89</f>
        <v>105</v>
      </c>
      <c r="D77" s="154">
        <f t="shared" si="20"/>
        <v>9.0331613715595893E-2</v>
      </c>
      <c r="E77" s="138">
        <f t="shared" si="21"/>
        <v>9.03316137155959</v>
      </c>
      <c r="F77" s="141">
        <f>+E77/E71</f>
        <v>0.10964357000285144</v>
      </c>
      <c r="G77" s="138"/>
      <c r="H77" s="150"/>
      <c r="I77" s="150"/>
      <c r="J77" s="150"/>
      <c r="K77" s="160"/>
      <c r="R77" s="599"/>
      <c r="S77" s="599"/>
      <c r="T77" s="599"/>
      <c r="U77" s="599"/>
      <c r="V77" s="599"/>
      <c r="W77" s="599"/>
      <c r="X77" s="599"/>
      <c r="Y77" s="599"/>
      <c r="Z77" s="109"/>
    </row>
    <row r="78" spans="1:26" ht="17.25" thickBot="1">
      <c r="A78" s="161" t="s">
        <v>1383</v>
      </c>
      <c r="B78" s="162">
        <f>ROUND(B71*F78,0)</f>
        <v>97</v>
      </c>
      <c r="C78" s="138">
        <f>+B101</f>
        <v>85</v>
      </c>
      <c r="D78" s="154">
        <f t="shared" si="20"/>
        <v>5.0771008936374144E-2</v>
      </c>
      <c r="E78" s="138">
        <f t="shared" si="21"/>
        <v>5.0771008936374145</v>
      </c>
      <c r="F78" s="141">
        <f>+E78/E71</f>
        <v>6.1625320786997437E-2</v>
      </c>
      <c r="G78" s="138"/>
      <c r="H78" s="150"/>
      <c r="I78" s="150"/>
      <c r="J78" s="150"/>
      <c r="K78" s="160"/>
      <c r="R78" s="599"/>
      <c r="S78" s="599"/>
      <c r="T78" s="599"/>
      <c r="U78" s="599"/>
      <c r="V78" s="599"/>
      <c r="W78" s="599"/>
      <c r="X78" s="599"/>
      <c r="Y78" s="599"/>
      <c r="Z78" s="109"/>
    </row>
    <row r="79" spans="1:26" ht="17.25" thickBot="1">
      <c r="A79" s="163" t="s">
        <v>1384</v>
      </c>
      <c r="B79" s="164">
        <f>ROUND(B71*F79,0)</f>
        <v>204</v>
      </c>
      <c r="C79" s="138">
        <f>+B113</f>
        <v>32</v>
      </c>
      <c r="D79" s="154">
        <f t="shared" si="20"/>
        <v>0.10705795017806971</v>
      </c>
      <c r="E79" s="138">
        <f t="shared" si="21"/>
        <v>10.70579501780697</v>
      </c>
      <c r="F79" s="141">
        <f>+E79/E71</f>
        <v>0.12994582264043342</v>
      </c>
      <c r="G79" s="138"/>
      <c r="H79" s="150"/>
      <c r="I79" s="150"/>
      <c r="J79" s="150"/>
      <c r="K79" s="160"/>
      <c r="N79" s="599"/>
      <c r="O79" s="599"/>
      <c r="P79" s="599"/>
      <c r="Q79" s="599"/>
      <c r="Z79" s="109"/>
    </row>
    <row r="80" spans="1:26" ht="17.25" thickBot="1">
      <c r="A80" s="163" t="s">
        <v>1585</v>
      </c>
      <c r="B80" s="164">
        <f>ROUND(B72*F80,0)</f>
        <v>0</v>
      </c>
      <c r="C80" s="1552">
        <f>B127</f>
        <v>249</v>
      </c>
      <c r="D80" s="154">
        <f t="shared" si="20"/>
        <v>0</v>
      </c>
      <c r="E80" s="138">
        <f t="shared" si="21"/>
        <v>0</v>
      </c>
      <c r="F80" s="141">
        <f>+E80/E72</f>
        <v>0</v>
      </c>
      <c r="G80" s="138"/>
      <c r="H80" s="150"/>
      <c r="I80" s="150"/>
      <c r="J80" s="150"/>
      <c r="K80" s="160"/>
      <c r="L80" s="599"/>
      <c r="N80" s="599"/>
      <c r="O80" s="599"/>
      <c r="P80" s="599"/>
      <c r="Q80" s="599"/>
      <c r="Z80" s="108"/>
    </row>
    <row r="81" spans="1:26" ht="17.25" thickBot="1">
      <c r="A81" s="168"/>
      <c r="B81" s="169"/>
      <c r="C81" s="169"/>
      <c r="D81" s="169"/>
      <c r="E81" s="169"/>
      <c r="F81" s="169"/>
      <c r="G81" s="169"/>
      <c r="H81" s="150"/>
      <c r="I81" s="150"/>
      <c r="J81" s="150"/>
      <c r="K81" s="166"/>
      <c r="Z81" s="112"/>
    </row>
    <row r="82" spans="1:26">
      <c r="A82" s="145" t="s">
        <v>1382</v>
      </c>
      <c r="B82" s="146" t="s">
        <v>1385</v>
      </c>
      <c r="C82" s="147" t="s">
        <v>1386</v>
      </c>
      <c r="D82" s="148" t="s">
        <v>168</v>
      </c>
      <c r="E82" s="138"/>
      <c r="F82" s="138" t="s">
        <v>169</v>
      </c>
      <c r="G82" s="149" t="s">
        <v>172</v>
      </c>
      <c r="H82" s="150"/>
      <c r="I82" s="150"/>
      <c r="J82" s="150"/>
      <c r="K82" s="151" t="s">
        <v>577</v>
      </c>
      <c r="Z82" s="109"/>
    </row>
    <row r="83" spans="1:26" ht="17.25" thickBot="1">
      <c r="A83" s="152" t="s">
        <v>1376</v>
      </c>
      <c r="B83" s="153">
        <f>+$I$5</f>
        <v>542</v>
      </c>
      <c r="C83" s="153">
        <f>SUM(C84:C92)</f>
        <v>824</v>
      </c>
      <c r="D83" s="154">
        <f>SUM(D84:D92)</f>
        <v>0.90966838628440405</v>
      </c>
      <c r="E83" s="138">
        <f>+D83*100</f>
        <v>90.966838628440399</v>
      </c>
      <c r="F83" s="155">
        <f>SUM(F84:F92)</f>
        <v>1.0000000000000002</v>
      </c>
      <c r="G83" s="138"/>
      <c r="H83" s="150"/>
      <c r="I83" s="150"/>
      <c r="J83" s="150"/>
      <c r="K83" s="156">
        <f>0-C83</f>
        <v>-824</v>
      </c>
      <c r="Z83" s="109"/>
    </row>
    <row r="84" spans="1:26" ht="17.25" thickBot="1">
      <c r="A84" s="157" t="s">
        <v>1377</v>
      </c>
      <c r="B84" s="158">
        <f>ROUND(B83*F84,0)-G84</f>
        <v>106</v>
      </c>
      <c r="C84" s="167">
        <f>+B17</f>
        <v>26</v>
      </c>
      <c r="D84" s="154">
        <f t="shared" ref="D84:D92" si="22">+HLOOKUP($A84,$B$2:$L$7,6,FALSE)</f>
        <v>0.17907516514908053</v>
      </c>
      <c r="E84" s="138">
        <f t="shared" ref="E84:E92" si="23">+D84*100</f>
        <v>17.907516514908053</v>
      </c>
      <c r="F84" s="141">
        <f>+E84/E83</f>
        <v>0.19685763279135593</v>
      </c>
      <c r="G84" s="138">
        <v>1</v>
      </c>
      <c r="H84" s="150"/>
      <c r="I84" s="150"/>
      <c r="J84" s="150"/>
      <c r="K84" s="160"/>
      <c r="Z84" s="109"/>
    </row>
    <row r="85" spans="1:26" ht="17.25" thickBot="1">
      <c r="A85" s="161" t="s">
        <v>1375</v>
      </c>
      <c r="B85" s="162">
        <f>ROUND(B83*F85,0)-G85</f>
        <v>131</v>
      </c>
      <c r="C85" s="138">
        <f>+B29</f>
        <v>297</v>
      </c>
      <c r="D85" s="154">
        <f t="shared" si="22"/>
        <v>0.21986675311739445</v>
      </c>
      <c r="E85" s="138">
        <f t="shared" si="23"/>
        <v>21.986675311739447</v>
      </c>
      <c r="F85" s="141">
        <f>+E85/E83</f>
        <v>0.24169989463463012</v>
      </c>
      <c r="G85" s="138"/>
      <c r="H85" s="150"/>
      <c r="I85" s="150"/>
      <c r="J85" s="150"/>
      <c r="K85" s="160"/>
      <c r="L85" s="2372" t="s">
        <v>576</v>
      </c>
      <c r="Z85" s="109"/>
    </row>
    <row r="86" spans="1:26" s="599" customFormat="1" ht="17.25" thickBot="1">
      <c r="A86" s="161" t="s">
        <v>1378</v>
      </c>
      <c r="B86" s="162">
        <f>ROUND(B83*F86,0)</f>
        <v>18</v>
      </c>
      <c r="C86" s="138">
        <f>+B41</f>
        <v>20</v>
      </c>
      <c r="D86" s="154">
        <f t="shared" si="22"/>
        <v>3.0445691088997265E-2</v>
      </c>
      <c r="E86" s="138">
        <f t="shared" si="23"/>
        <v>3.0445691088997267</v>
      </c>
      <c r="F86" s="141">
        <f>+E86/E83</f>
        <v>3.346899985538087E-2</v>
      </c>
      <c r="G86" s="138"/>
      <c r="H86" s="150"/>
      <c r="I86" s="150"/>
      <c r="J86" s="150"/>
      <c r="K86" s="160"/>
      <c r="L86" s="2373"/>
      <c r="N86"/>
      <c r="O86"/>
      <c r="P86"/>
      <c r="Q86"/>
      <c r="R86"/>
      <c r="S86"/>
      <c r="T86"/>
      <c r="U86"/>
      <c r="V86"/>
      <c r="W86"/>
      <c r="X86"/>
      <c r="Y86"/>
      <c r="Z86" s="109"/>
    </row>
    <row r="87" spans="1:26" s="599" customFormat="1" ht="17.25" thickBot="1">
      <c r="A87" s="161" t="s">
        <v>1379</v>
      </c>
      <c r="B87" s="162">
        <f>ROUND(B83*F87,0)</f>
        <v>19</v>
      </c>
      <c r="C87" s="138">
        <f>+B53</f>
        <v>39</v>
      </c>
      <c r="D87" s="154">
        <f t="shared" si="22"/>
        <v>3.1169246093272818E-2</v>
      </c>
      <c r="E87" s="138">
        <f t="shared" si="23"/>
        <v>3.116924609327282</v>
      </c>
      <c r="F87" s="141">
        <f>+E87/E83</f>
        <v>3.4264405098857517E-2</v>
      </c>
      <c r="G87" s="138"/>
      <c r="H87" s="150"/>
      <c r="I87" s="150"/>
      <c r="J87" s="150"/>
      <c r="K87"/>
      <c r="L87" s="170">
        <f>+K11+K23+K35+K47+K59+K71+K83</f>
        <v>-6890</v>
      </c>
      <c r="N87"/>
      <c r="O87"/>
      <c r="P87"/>
      <c r="Q87"/>
      <c r="R87"/>
      <c r="S87"/>
      <c r="T87"/>
      <c r="U87"/>
      <c r="V87"/>
      <c r="W87"/>
      <c r="X87"/>
      <c r="Y87"/>
      <c r="Z87" s="109"/>
    </row>
    <row r="88" spans="1:26" s="599" customFormat="1" ht="17.25" thickBot="1">
      <c r="A88" s="161" t="s">
        <v>1380</v>
      </c>
      <c r="B88" s="162">
        <f>ROUND(B83*F88,0)</f>
        <v>69</v>
      </c>
      <c r="C88" s="138">
        <f>+B65</f>
        <v>82</v>
      </c>
      <c r="D88" s="154">
        <f t="shared" si="22"/>
        <v>0.1151486106804236</v>
      </c>
      <c r="E88" s="138">
        <f t="shared" si="23"/>
        <v>11.514861068042361</v>
      </c>
      <c r="F88" s="141">
        <f>+E88/E83</f>
        <v>0.12658306303328307</v>
      </c>
      <c r="G88" s="138"/>
      <c r="H88" s="150"/>
      <c r="I88" s="150"/>
      <c r="J88" s="150"/>
      <c r="K88"/>
      <c r="L88"/>
      <c r="N88"/>
      <c r="O88"/>
      <c r="P88"/>
      <c r="Q88"/>
      <c r="R88"/>
      <c r="S88"/>
      <c r="T88"/>
      <c r="U88"/>
      <c r="V88"/>
      <c r="W88"/>
      <c r="X88"/>
      <c r="Y88"/>
      <c r="Z88" s="109"/>
    </row>
    <row r="89" spans="1:26" s="599" customFormat="1" ht="17.25" thickBot="1">
      <c r="A89" s="161" t="s">
        <v>1381</v>
      </c>
      <c r="B89" s="162">
        <f>ROUND(B83*F89,0)</f>
        <v>105</v>
      </c>
      <c r="C89" s="138">
        <f>+B77</f>
        <v>172</v>
      </c>
      <c r="D89" s="154">
        <f t="shared" si="22"/>
        <v>0.1761339610407916</v>
      </c>
      <c r="E89" s="138">
        <f t="shared" si="23"/>
        <v>17.613396104079161</v>
      </c>
      <c r="F89" s="141">
        <f>+E89/E83</f>
        <v>0.19362436212631454</v>
      </c>
      <c r="G89" s="138"/>
      <c r="H89" s="150"/>
      <c r="I89" s="150"/>
      <c r="J89" s="150"/>
      <c r="K89"/>
      <c r="L89"/>
      <c r="N89"/>
      <c r="O89"/>
      <c r="P89"/>
      <c r="Q89"/>
      <c r="R89"/>
      <c r="S89"/>
      <c r="T89"/>
      <c r="U89"/>
      <c r="V89"/>
      <c r="W89"/>
      <c r="X89"/>
      <c r="Y89"/>
      <c r="Z89"/>
    </row>
    <row r="90" spans="1:26" s="599" customFormat="1" ht="17.25" thickBot="1">
      <c r="A90" s="161" t="s">
        <v>1383</v>
      </c>
      <c r="B90" s="162">
        <f>ROUND(B83*F90,0)</f>
        <v>30</v>
      </c>
      <c r="C90" s="138">
        <f>+B102</f>
        <v>44</v>
      </c>
      <c r="D90" s="154">
        <f t="shared" si="22"/>
        <v>5.0771008936374144E-2</v>
      </c>
      <c r="E90" s="138">
        <f t="shared" si="23"/>
        <v>5.0771008936374145</v>
      </c>
      <c r="F90" s="141">
        <f>+E90/E83</f>
        <v>5.5812656240315693E-2</v>
      </c>
      <c r="G90" s="138"/>
      <c r="H90"/>
      <c r="K90"/>
      <c r="N90"/>
      <c r="O90"/>
      <c r="P90"/>
      <c r="Q90"/>
      <c r="R90"/>
      <c r="S90"/>
      <c r="T90"/>
      <c r="U90"/>
      <c r="V90"/>
      <c r="W90"/>
      <c r="X90"/>
      <c r="Y90"/>
      <c r="Z90"/>
    </row>
    <row r="91" spans="1:26" s="599" customFormat="1" ht="17.25" thickBot="1">
      <c r="A91" s="163" t="s">
        <v>1384</v>
      </c>
      <c r="B91" s="164">
        <f>ROUND(B83*F91,0)</f>
        <v>64</v>
      </c>
      <c r="C91" s="138">
        <f>+B114</f>
        <v>16</v>
      </c>
      <c r="D91" s="154">
        <f t="shared" si="22"/>
        <v>0.10705795017806971</v>
      </c>
      <c r="E91" s="138">
        <f t="shared" si="23"/>
        <v>10.70579501780697</v>
      </c>
      <c r="F91" s="141">
        <f>+E91/E83</f>
        <v>0.11768898621986242</v>
      </c>
      <c r="G91" s="138"/>
      <c r="H91"/>
      <c r="K91"/>
      <c r="N91"/>
      <c r="O91"/>
      <c r="P91"/>
      <c r="Q91"/>
      <c r="Z91" s="108"/>
    </row>
    <row r="92" spans="1:26" s="599" customFormat="1" ht="17.25" thickBot="1">
      <c r="A92" s="163" t="s">
        <v>1585</v>
      </c>
      <c r="B92" s="164">
        <f>ROUND(B84*F92,0)</f>
        <v>0</v>
      </c>
      <c r="C92" s="1552">
        <f>B128</f>
        <v>128</v>
      </c>
      <c r="D92" s="154">
        <f t="shared" si="22"/>
        <v>0</v>
      </c>
      <c r="E92" s="138">
        <f t="shared" si="23"/>
        <v>0</v>
      </c>
      <c r="F92" s="141">
        <f>+E92/E84</f>
        <v>0</v>
      </c>
      <c r="G92" s="138"/>
      <c r="H92" s="150"/>
      <c r="I92" s="150"/>
      <c r="J92" s="150"/>
      <c r="K92" s="160"/>
      <c r="N92"/>
      <c r="O92"/>
      <c r="P92"/>
      <c r="Q92"/>
      <c r="Z92" s="112"/>
    </row>
    <row r="93" spans="1:26" s="599" customFormat="1" ht="17.25" thickBot="1">
      <c r="A93" s="168"/>
      <c r="B93" s="169"/>
      <c r="C93" s="169"/>
      <c r="D93" s="169"/>
      <c r="E93" s="169"/>
      <c r="F93" s="169"/>
      <c r="G93" s="169"/>
      <c r="H93" s="150"/>
      <c r="I93" s="150"/>
      <c r="J93" s="150"/>
      <c r="K93" s="166"/>
      <c r="Z93" s="109"/>
    </row>
    <row r="94" spans="1:26" s="599" customFormat="1">
      <c r="A94" s="145" t="s">
        <v>1383</v>
      </c>
      <c r="B94" s="146" t="s">
        <v>1385</v>
      </c>
      <c r="C94" s="147" t="s">
        <v>1386</v>
      </c>
      <c r="D94" s="148" t="s">
        <v>168</v>
      </c>
      <c r="E94" s="138"/>
      <c r="F94" s="138" t="s">
        <v>169</v>
      </c>
      <c r="G94" s="149" t="s">
        <v>172</v>
      </c>
      <c r="H94" s="150"/>
      <c r="I94" s="150"/>
      <c r="J94" s="150"/>
      <c r="K94" s="151" t="s">
        <v>577</v>
      </c>
      <c r="Z94" s="109"/>
    </row>
    <row r="95" spans="1:26" s="599" customFormat="1" ht="17.25" thickBot="1">
      <c r="A95" s="152" t="s">
        <v>1376</v>
      </c>
      <c r="B95" s="153">
        <f>+$J$5</f>
        <v>460</v>
      </c>
      <c r="C95" s="153">
        <f>SUM(C96:C104)</f>
        <v>469</v>
      </c>
      <c r="D95" s="154">
        <f>SUM(D96:D104)</f>
        <v>0.94922899106362579</v>
      </c>
      <c r="E95" s="138">
        <f>+D95*100</f>
        <v>94.922899106362578</v>
      </c>
      <c r="F95" s="155">
        <f>SUM(F96:F104)</f>
        <v>1.0000000000000002</v>
      </c>
      <c r="G95" s="138"/>
      <c r="H95" s="150"/>
      <c r="I95" s="150"/>
      <c r="J95" s="150"/>
      <c r="K95" s="156">
        <f>0-C95</f>
        <v>-469</v>
      </c>
      <c r="Z95" s="109"/>
    </row>
    <row r="96" spans="1:26" s="599" customFormat="1" ht="17.25" thickBot="1">
      <c r="A96" s="157" t="s">
        <v>1377</v>
      </c>
      <c r="B96" s="158">
        <f>ROUND(B95*F96,0)-G96</f>
        <v>87</v>
      </c>
      <c r="C96" s="167">
        <f>B18</f>
        <v>15</v>
      </c>
      <c r="D96" s="154">
        <f t="shared" ref="D96:D104" si="24">+HLOOKUP($A96,$B$2:$L$7,6,FALSE)</f>
        <v>0.17907516514908053</v>
      </c>
      <c r="E96" s="138">
        <f t="shared" ref="E96:E102" si="25">+D96*100</f>
        <v>17.907516514908053</v>
      </c>
      <c r="F96" s="141">
        <f>+E96/E95</f>
        <v>0.18865328264829337</v>
      </c>
      <c r="G96" s="138"/>
      <c r="H96" s="150"/>
      <c r="I96" s="150"/>
      <c r="J96" s="150"/>
      <c r="K96" s="160"/>
      <c r="Z96" s="109"/>
    </row>
    <row r="97" spans="1:26" s="599" customFormat="1" ht="17.25" thickBot="1">
      <c r="A97" s="161" t="s">
        <v>1375</v>
      </c>
      <c r="B97" s="162">
        <f>ROUND(B95*F97,0)+G97</f>
        <v>109</v>
      </c>
      <c r="C97" s="138">
        <f>B30</f>
        <v>167</v>
      </c>
      <c r="D97" s="154">
        <f t="shared" si="24"/>
        <v>0.21986675311739445</v>
      </c>
      <c r="E97" s="138">
        <f t="shared" si="25"/>
        <v>21.986675311739447</v>
      </c>
      <c r="F97" s="141">
        <f>+E97/E95</f>
        <v>0.2316266730022967</v>
      </c>
      <c r="G97" s="138">
        <v>2</v>
      </c>
      <c r="H97" s="150"/>
      <c r="I97" s="150"/>
      <c r="J97" s="150"/>
      <c r="K97" s="160"/>
      <c r="Z97" s="109"/>
    </row>
    <row r="98" spans="1:26" s="599" customFormat="1" ht="17.25" thickBot="1">
      <c r="A98" s="161" t="s">
        <v>1378</v>
      </c>
      <c r="B98" s="162">
        <f>ROUND(B95*F98,0)</f>
        <v>15</v>
      </c>
      <c r="C98" s="138">
        <f>B42</f>
        <v>11</v>
      </c>
      <c r="D98" s="154">
        <f t="shared" si="24"/>
        <v>3.0445691088997265E-2</v>
      </c>
      <c r="E98" s="138">
        <f t="shared" si="25"/>
        <v>3.0445691088997267</v>
      </c>
      <c r="F98" s="141">
        <f>+E98/E95</f>
        <v>3.2074126870990739E-2</v>
      </c>
      <c r="G98" s="138"/>
      <c r="H98" s="150"/>
      <c r="I98" s="150"/>
      <c r="J98" s="150"/>
      <c r="K98" s="160"/>
      <c r="Z98" s="109"/>
    </row>
    <row r="99" spans="1:26" s="599" customFormat="1" ht="17.25" thickBot="1">
      <c r="A99" s="161" t="s">
        <v>1379</v>
      </c>
      <c r="B99" s="162">
        <f>ROUND(B95*F99,0)</f>
        <v>15</v>
      </c>
      <c r="C99" s="138">
        <f>B54</f>
        <v>22</v>
      </c>
      <c r="D99" s="154">
        <f t="shared" si="24"/>
        <v>3.1169246093272818E-2</v>
      </c>
      <c r="E99" s="138">
        <f t="shared" si="25"/>
        <v>3.116924609327282</v>
      </c>
      <c r="F99" s="141">
        <f>+E99/E95</f>
        <v>3.2836382355270456E-2</v>
      </c>
      <c r="G99" s="138"/>
      <c r="H99" s="150"/>
      <c r="I99" s="150"/>
      <c r="J99" s="150"/>
      <c r="K99" s="160"/>
      <c r="Z99" s="109"/>
    </row>
    <row r="100" spans="1:26" s="599" customFormat="1" ht="17.25" thickBot="1">
      <c r="A100" s="161" t="s">
        <v>1380</v>
      </c>
      <c r="B100" s="162">
        <f>ROUND(B95*F100,0)</f>
        <v>56</v>
      </c>
      <c r="C100" s="138">
        <f>B66</f>
        <v>46</v>
      </c>
      <c r="D100" s="154">
        <f t="shared" si="24"/>
        <v>0.1151486106804236</v>
      </c>
      <c r="E100" s="138">
        <f t="shared" si="25"/>
        <v>11.514861068042361</v>
      </c>
      <c r="F100" s="141">
        <f>+E100/E95</f>
        <v>0.12130751564108656</v>
      </c>
      <c r="G100" s="138"/>
      <c r="H100" s="150"/>
      <c r="I100" s="150"/>
      <c r="J100" s="150"/>
      <c r="K100" s="160"/>
      <c r="Z100" s="109"/>
    </row>
    <row r="101" spans="1:26" s="599" customFormat="1" ht="17.25" thickBot="1">
      <c r="A101" s="161" t="s">
        <v>1381</v>
      </c>
      <c r="B101" s="162">
        <f>ROUND(B95*F101,0)</f>
        <v>85</v>
      </c>
      <c r="C101" s="138">
        <f>B78</f>
        <v>97</v>
      </c>
      <c r="D101" s="154">
        <f t="shared" si="24"/>
        <v>0.1761339610407916</v>
      </c>
      <c r="E101" s="138">
        <f t="shared" si="25"/>
        <v>17.613396104079161</v>
      </c>
      <c r="F101" s="141">
        <f>+E101/E95</f>
        <v>0.1855547636018057</v>
      </c>
      <c r="G101" s="138"/>
      <c r="H101" s="150"/>
      <c r="I101" s="150"/>
      <c r="J101" s="150"/>
      <c r="K101" s="160"/>
      <c r="Z101" s="109"/>
    </row>
    <row r="102" spans="1:26" s="599" customFormat="1" ht="17.25" thickBot="1">
      <c r="A102" s="161" t="s">
        <v>1382</v>
      </c>
      <c r="B102" s="162">
        <f>ROUND(B95*F102,0)</f>
        <v>44</v>
      </c>
      <c r="C102" s="138">
        <f>B90</f>
        <v>30</v>
      </c>
      <c r="D102" s="154">
        <f t="shared" si="24"/>
        <v>9.0331613715595893E-2</v>
      </c>
      <c r="E102" s="138">
        <f t="shared" si="25"/>
        <v>9.03316137155959</v>
      </c>
      <c r="F102" s="141">
        <f>+E102/E95</f>
        <v>9.5163142472479617E-2</v>
      </c>
      <c r="G102" s="138"/>
      <c r="H102" s="150"/>
      <c r="I102" s="150"/>
      <c r="J102" s="150"/>
      <c r="K102" s="160"/>
      <c r="Z102" s="108"/>
    </row>
    <row r="103" spans="1:26" s="599" customFormat="1" ht="17.25" thickBot="1">
      <c r="A103" s="163" t="s">
        <v>1384</v>
      </c>
      <c r="B103" s="164">
        <f>ROUND(B95*F103,0)</f>
        <v>52</v>
      </c>
      <c r="C103" s="138">
        <f>B115</f>
        <v>9</v>
      </c>
      <c r="D103" s="154">
        <f t="shared" si="24"/>
        <v>0.10705795017806971</v>
      </c>
      <c r="E103" s="138">
        <f t="shared" ref="E103:E104" si="26">+D103*100</f>
        <v>10.70579501780697</v>
      </c>
      <c r="F103" s="141">
        <f>+E103/E95</f>
        <v>0.112784113407777</v>
      </c>
      <c r="G103" s="138"/>
      <c r="H103" s="150"/>
      <c r="I103" s="150"/>
      <c r="J103" s="150"/>
      <c r="K103" s="160"/>
      <c r="Z103" s="112"/>
    </row>
    <row r="104" spans="1:26" s="599" customFormat="1" ht="17.25" thickBot="1">
      <c r="A104" s="163" t="s">
        <v>1585</v>
      </c>
      <c r="B104" s="164">
        <f>ROUND(B96*F104,0)</f>
        <v>0</v>
      </c>
      <c r="C104" s="1552">
        <f>B129</f>
        <v>72</v>
      </c>
      <c r="D104" s="154">
        <f t="shared" si="24"/>
        <v>0</v>
      </c>
      <c r="E104" s="138">
        <f t="shared" si="26"/>
        <v>0</v>
      </c>
      <c r="F104" s="141">
        <f>+E104/E96</f>
        <v>0</v>
      </c>
      <c r="G104" s="138"/>
      <c r="H104" s="150"/>
      <c r="I104" s="150"/>
      <c r="J104" s="150"/>
      <c r="K104" s="160"/>
      <c r="Z104" s="109"/>
    </row>
    <row r="105" spans="1:26" s="599" customFormat="1" ht="17.25" thickBot="1">
      <c r="A105" s="168"/>
      <c r="B105" s="169"/>
      <c r="C105" s="169"/>
      <c r="D105" s="169"/>
      <c r="E105" s="169"/>
      <c r="F105" s="169"/>
      <c r="G105" s="169"/>
      <c r="H105" s="150"/>
      <c r="I105" s="150"/>
      <c r="J105" s="150"/>
      <c r="K105" s="166"/>
      <c r="Z105" s="109"/>
    </row>
    <row r="106" spans="1:26" s="599" customFormat="1">
      <c r="A106" s="145" t="s">
        <v>1384</v>
      </c>
      <c r="B106" s="146" t="s">
        <v>1385</v>
      </c>
      <c r="C106" s="147" t="s">
        <v>1386</v>
      </c>
      <c r="D106" s="148" t="s">
        <v>168</v>
      </c>
      <c r="E106" s="138"/>
      <c r="F106" s="138" t="s">
        <v>169</v>
      </c>
      <c r="G106" s="149" t="s">
        <v>172</v>
      </c>
      <c r="H106" s="150"/>
      <c r="I106" s="150"/>
      <c r="J106" s="150"/>
      <c r="K106" s="151" t="s">
        <v>577</v>
      </c>
      <c r="Z106" s="109"/>
    </row>
    <row r="107" spans="1:26" s="599" customFormat="1" ht="17.25" thickBot="1">
      <c r="A107" s="152" t="s">
        <v>1376</v>
      </c>
      <c r="B107" s="153">
        <f>+$K$5</f>
        <v>162</v>
      </c>
      <c r="C107" s="153">
        <f>SUM(C108:C116)</f>
        <v>1022</v>
      </c>
      <c r="D107" s="154">
        <f>SUM(D108:D116)</f>
        <v>0.89294204982193015</v>
      </c>
      <c r="E107" s="138">
        <f>+D107*100</f>
        <v>89.294204982193008</v>
      </c>
      <c r="F107" s="155">
        <f>SUM(F108:F116)</f>
        <v>1.0000000000000002</v>
      </c>
      <c r="G107" s="138"/>
      <c r="H107" s="150"/>
      <c r="I107" s="150"/>
      <c r="J107" s="150"/>
      <c r="K107" s="156">
        <f>0-C107</f>
        <v>-1022</v>
      </c>
      <c r="Z107" s="109"/>
    </row>
    <row r="108" spans="1:26" ht="17.25" thickBot="1">
      <c r="A108" s="157" t="s">
        <v>1377</v>
      </c>
      <c r="B108" s="158">
        <f>ROUND(B107*F108,0)</f>
        <v>32</v>
      </c>
      <c r="C108" s="167">
        <f>B19</f>
        <v>31</v>
      </c>
      <c r="D108" s="154">
        <f t="shared" ref="D108:D116" si="27">+HLOOKUP($A108,$B$2:$L$7,6,FALSE)</f>
        <v>0.17907516514908053</v>
      </c>
      <c r="E108" s="138">
        <f t="shared" ref="E108:E114" si="28">+D108*100</f>
        <v>17.907516514908053</v>
      </c>
      <c r="F108" s="141">
        <f>+E108/E107</f>
        <v>0.20054511396880859</v>
      </c>
      <c r="G108" s="138"/>
      <c r="H108" s="150"/>
      <c r="I108" s="150"/>
      <c r="J108" s="150"/>
      <c r="K108" s="160"/>
      <c r="L108" s="599"/>
      <c r="N108" s="599"/>
      <c r="O108" s="599"/>
      <c r="P108" s="599"/>
      <c r="Q108" s="599"/>
      <c r="R108" s="599"/>
      <c r="S108" s="599"/>
      <c r="T108" s="599"/>
      <c r="U108" s="599"/>
      <c r="V108" s="599"/>
      <c r="W108" s="599"/>
      <c r="X108" s="599"/>
      <c r="Y108" s="599"/>
      <c r="Z108" s="109"/>
    </row>
    <row r="109" spans="1:26" ht="17.25" thickBot="1">
      <c r="A109" s="161" t="s">
        <v>1375</v>
      </c>
      <c r="B109" s="162">
        <f>ROUND(B107*F109,0)-G109</f>
        <v>40</v>
      </c>
      <c r="C109" s="138">
        <f>B31</f>
        <v>351</v>
      </c>
      <c r="D109" s="154">
        <f t="shared" si="27"/>
        <v>0.21986675311739445</v>
      </c>
      <c r="E109" s="138">
        <f t="shared" si="28"/>
        <v>21.986675311739447</v>
      </c>
      <c r="F109" s="141">
        <f>+E109/E107</f>
        <v>0.24622734830467458</v>
      </c>
      <c r="G109" s="138"/>
      <c r="H109" s="150"/>
      <c r="I109" s="150"/>
      <c r="J109" s="150"/>
      <c r="K109" s="160"/>
      <c r="L109" s="599"/>
      <c r="N109" s="599"/>
      <c r="O109" s="599"/>
      <c r="P109" s="599"/>
      <c r="Q109" s="599"/>
      <c r="R109" s="599"/>
      <c r="S109" s="599"/>
      <c r="T109" s="599"/>
      <c r="U109" s="599"/>
      <c r="V109" s="599"/>
      <c r="W109" s="599"/>
      <c r="X109" s="599"/>
      <c r="Y109" s="599"/>
      <c r="Z109" s="109"/>
    </row>
    <row r="110" spans="1:26" ht="17.25" thickBot="1">
      <c r="A110" s="161" t="s">
        <v>1378</v>
      </c>
      <c r="B110" s="162">
        <f>ROUND(B107*F110,0)</f>
        <v>6</v>
      </c>
      <c r="C110" s="138">
        <f>B43</f>
        <v>24</v>
      </c>
      <c r="D110" s="154">
        <f t="shared" si="27"/>
        <v>3.0445691088997265E-2</v>
      </c>
      <c r="E110" s="138">
        <f t="shared" si="28"/>
        <v>3.0445691088997267</v>
      </c>
      <c r="F110" s="141">
        <f>+E110/E107</f>
        <v>3.409593163976176E-2</v>
      </c>
      <c r="G110" s="138"/>
      <c r="H110" s="150"/>
      <c r="I110" s="150"/>
      <c r="J110" s="150"/>
      <c r="K110" s="160"/>
      <c r="L110" s="599"/>
      <c r="N110" s="599"/>
      <c r="O110" s="599"/>
      <c r="P110" s="599"/>
      <c r="Q110" s="599"/>
      <c r="R110" s="599"/>
      <c r="S110" s="599"/>
      <c r="T110" s="599"/>
      <c r="U110" s="599"/>
      <c r="V110" s="599"/>
      <c r="W110" s="599"/>
      <c r="X110" s="599"/>
      <c r="Y110" s="599"/>
      <c r="Z110" s="109"/>
    </row>
    <row r="111" spans="1:26" ht="17.25" thickBot="1">
      <c r="A111" s="161" t="s">
        <v>1379</v>
      </c>
      <c r="B111" s="162">
        <f>ROUND(B107*F111,0)</f>
        <v>6</v>
      </c>
      <c r="C111" s="138">
        <f>B55</f>
        <v>46</v>
      </c>
      <c r="D111" s="154">
        <f t="shared" si="27"/>
        <v>3.1169246093272818E-2</v>
      </c>
      <c r="E111" s="138">
        <f t="shared" si="28"/>
        <v>3.116924609327282</v>
      </c>
      <c r="F111" s="141">
        <f>+E111/E107</f>
        <v>3.4906236187990665E-2</v>
      </c>
      <c r="G111" s="138"/>
      <c r="H111" s="150"/>
      <c r="I111" s="150"/>
      <c r="J111" s="150"/>
      <c r="K111" s="160"/>
      <c r="L111" s="599"/>
      <c r="N111" s="599"/>
      <c r="O111" s="599"/>
      <c r="P111" s="599"/>
      <c r="Q111" s="599"/>
      <c r="R111" s="599"/>
      <c r="S111" s="599"/>
      <c r="T111" s="599"/>
      <c r="U111" s="599"/>
      <c r="V111" s="599"/>
      <c r="W111" s="599"/>
      <c r="X111" s="599"/>
      <c r="Y111" s="599"/>
      <c r="Z111" s="109"/>
    </row>
    <row r="112" spans="1:26" ht="17.25" thickBot="1">
      <c r="A112" s="161" t="s">
        <v>1380</v>
      </c>
      <c r="B112" s="162">
        <f>ROUND(B107*F112,0)</f>
        <v>21</v>
      </c>
      <c r="C112" s="138">
        <f>B67</f>
        <v>98</v>
      </c>
      <c r="D112" s="154">
        <f t="shared" si="27"/>
        <v>0.1151486106804236</v>
      </c>
      <c r="E112" s="138">
        <f t="shared" si="28"/>
        <v>11.514861068042361</v>
      </c>
      <c r="F112" s="141">
        <f>+E112/E107</f>
        <v>0.12895418096100017</v>
      </c>
      <c r="G112" s="138"/>
      <c r="H112" s="150"/>
      <c r="I112" s="150"/>
      <c r="J112" s="150"/>
      <c r="K112" s="160"/>
      <c r="L112" s="599"/>
      <c r="N112" s="599"/>
      <c r="O112" s="599"/>
      <c r="P112" s="599"/>
      <c r="Q112" s="599"/>
      <c r="R112" s="599"/>
      <c r="S112" s="599"/>
      <c r="T112" s="599"/>
      <c r="U112" s="599"/>
      <c r="V112" s="599"/>
      <c r="W112" s="599"/>
      <c r="X112" s="599"/>
      <c r="Y112" s="599"/>
      <c r="Z112" s="109"/>
    </row>
    <row r="113" spans="1:30" ht="17.25" thickBot="1">
      <c r="A113" s="161" t="s">
        <v>1381</v>
      </c>
      <c r="B113" s="162">
        <f>ROUND(B107*F113,0)</f>
        <v>32</v>
      </c>
      <c r="C113" s="138">
        <f>B79</f>
        <v>204</v>
      </c>
      <c r="D113" s="154">
        <f t="shared" si="27"/>
        <v>0.1761339610407916</v>
      </c>
      <c r="E113" s="138">
        <f t="shared" si="28"/>
        <v>17.613396104079161</v>
      </c>
      <c r="F113" s="141">
        <f>+E113/E107</f>
        <v>0.19725127859743657</v>
      </c>
      <c r="G113" s="138"/>
      <c r="H113" s="150"/>
      <c r="I113" s="150"/>
      <c r="J113" s="150"/>
      <c r="K113" s="160"/>
      <c r="L113" s="599"/>
      <c r="M113" s="599"/>
      <c r="N113" s="599"/>
      <c r="O113" s="599"/>
      <c r="P113" s="599"/>
      <c r="Q113" s="599"/>
      <c r="R113" s="599"/>
      <c r="S113" s="599"/>
      <c r="T113" s="599"/>
      <c r="U113" s="599"/>
      <c r="V113" s="599"/>
      <c r="W113" s="599"/>
      <c r="X113" s="599"/>
      <c r="Y113" s="599"/>
      <c r="Z113" s="109"/>
      <c r="AA113" s="599"/>
      <c r="AB113" s="599"/>
      <c r="AC113" s="599"/>
      <c r="AD113" s="599"/>
    </row>
    <row r="114" spans="1:30" ht="17.25" thickBot="1">
      <c r="A114" s="161" t="s">
        <v>1382</v>
      </c>
      <c r="B114" s="162">
        <f>ROUND(B107*F114,0)</f>
        <v>16</v>
      </c>
      <c r="C114" s="138">
        <f>B91</f>
        <v>64</v>
      </c>
      <c r="D114" s="154">
        <f t="shared" si="27"/>
        <v>9.0331613715595893E-2</v>
      </c>
      <c r="E114" s="138">
        <f t="shared" si="28"/>
        <v>9.03316137155959</v>
      </c>
      <c r="F114" s="141">
        <f>+E114/E107</f>
        <v>0.10116178730031783</v>
      </c>
      <c r="G114" s="138"/>
      <c r="H114" s="150"/>
      <c r="I114" s="150"/>
      <c r="J114" s="150"/>
      <c r="K114" s="160"/>
      <c r="M114" s="599"/>
      <c r="N114" s="599"/>
      <c r="O114" s="599"/>
      <c r="P114" s="599"/>
      <c r="Q114" s="599"/>
      <c r="R114" s="599"/>
      <c r="S114" s="599"/>
      <c r="T114" s="599"/>
      <c r="U114" s="599"/>
      <c r="V114" s="599"/>
      <c r="W114" s="599"/>
      <c r="X114" s="599"/>
      <c r="Y114" s="599"/>
      <c r="Z114" s="109"/>
      <c r="AA114" s="599"/>
      <c r="AB114" s="599"/>
      <c r="AC114" s="599"/>
      <c r="AD114" s="599"/>
    </row>
    <row r="115" spans="1:30" ht="17.25" thickBot="1">
      <c r="A115" s="163" t="s">
        <v>1383</v>
      </c>
      <c r="B115" s="164">
        <f>ROUND(B107*F115,0)</f>
        <v>9</v>
      </c>
      <c r="C115" s="138">
        <f>B103</f>
        <v>52</v>
      </c>
      <c r="D115" s="154">
        <f t="shared" si="27"/>
        <v>5.0771008936374144E-2</v>
      </c>
      <c r="E115" s="138">
        <f t="shared" ref="E115" si="29">+D115*100</f>
        <v>5.0771008936374145</v>
      </c>
      <c r="F115" s="141">
        <f>+E115/E107</f>
        <v>5.6858123040010117E-2</v>
      </c>
      <c r="G115" s="138"/>
      <c r="H115" s="150"/>
      <c r="I115" s="150"/>
      <c r="J115" s="150"/>
      <c r="K115" s="160"/>
      <c r="N115" s="599"/>
      <c r="O115" s="599"/>
      <c r="P115" s="599"/>
      <c r="Q115" s="599"/>
    </row>
    <row r="116" spans="1:30" s="599" customFormat="1" ht="17.25" thickBot="1">
      <c r="A116" s="163" t="s">
        <v>1585</v>
      </c>
      <c r="B116" s="164">
        <f>ROUND(B108*F116,0)</f>
        <v>0</v>
      </c>
      <c r="C116" s="1552">
        <f>B130</f>
        <v>152</v>
      </c>
      <c r="D116" s="154">
        <f t="shared" si="27"/>
        <v>0</v>
      </c>
      <c r="E116" s="138">
        <f t="shared" ref="E116" si="30">+D116*100</f>
        <v>0</v>
      </c>
      <c r="F116" s="141">
        <f>+E116/E108</f>
        <v>0</v>
      </c>
      <c r="G116" s="138"/>
      <c r="H116"/>
      <c r="K116"/>
      <c r="L116"/>
      <c r="Z116" s="109"/>
    </row>
    <row r="117" spans="1:30" s="599" customFormat="1">
      <c r="A117"/>
      <c r="B117"/>
      <c r="C117"/>
      <c r="D117"/>
      <c r="E117"/>
      <c r="F117"/>
      <c r="G117"/>
      <c r="H117"/>
      <c r="K117"/>
      <c r="L117"/>
      <c r="Z117" s="109"/>
    </row>
    <row r="118" spans="1:30" s="599" customFormat="1">
      <c r="A118"/>
      <c r="B118"/>
      <c r="C118"/>
      <c r="D118"/>
      <c r="E118"/>
      <c r="F118"/>
      <c r="G118"/>
      <c r="H118"/>
      <c r="K118"/>
      <c r="L118"/>
      <c r="Z118" s="108"/>
    </row>
    <row r="119" spans="1:30" s="599" customFormat="1" ht="17.25" thickBot="1">
      <c r="A119"/>
      <c r="B119"/>
      <c r="C119"/>
      <c r="D119"/>
      <c r="E119"/>
      <c r="F119"/>
      <c r="G119"/>
      <c r="H119"/>
      <c r="I119"/>
      <c r="J119"/>
      <c r="K119"/>
      <c r="L119"/>
      <c r="Z119" s="109"/>
    </row>
    <row r="120" spans="1:30" s="599" customFormat="1">
      <c r="A120" s="145" t="s">
        <v>1583</v>
      </c>
      <c r="B120" s="146" t="s">
        <v>1385</v>
      </c>
      <c r="C120" s="147" t="s">
        <v>1386</v>
      </c>
      <c r="D120" s="148" t="s">
        <v>168</v>
      </c>
      <c r="E120" s="138"/>
      <c r="F120" s="138" t="s">
        <v>169</v>
      </c>
      <c r="G120" s="149" t="s">
        <v>172</v>
      </c>
      <c r="H120" s="150"/>
      <c r="I120" s="150"/>
      <c r="J120" s="150"/>
      <c r="K120" s="151" t="s">
        <v>577</v>
      </c>
      <c r="Z120" s="109"/>
    </row>
    <row r="121" spans="1:30" s="599" customFormat="1" ht="17.25" thickBot="1">
      <c r="A121" s="152" t="s">
        <v>1376</v>
      </c>
      <c r="B121" s="153">
        <f>+$L$5</f>
        <v>1416</v>
      </c>
      <c r="C121" s="153">
        <f>SUM(C122:C130)</f>
        <v>0</v>
      </c>
      <c r="D121" s="154">
        <f>SUM(D122:D130)</f>
        <v>0.99999999999999989</v>
      </c>
      <c r="E121" s="138">
        <f>+D121*100</f>
        <v>99.999999999999986</v>
      </c>
      <c r="F121" s="155">
        <f>SUM(F122:F129)</f>
        <v>0.89294204982193048</v>
      </c>
      <c r="G121" s="138"/>
      <c r="H121" s="150"/>
      <c r="I121" s="150"/>
      <c r="J121" s="150"/>
      <c r="K121" s="156">
        <f>0-C121</f>
        <v>0</v>
      </c>
      <c r="Z121" s="109"/>
    </row>
    <row r="122" spans="1:30" s="599" customFormat="1" ht="17.25" thickBot="1">
      <c r="A122" s="157" t="s">
        <v>691</v>
      </c>
      <c r="B122" s="158">
        <f>ROUND(B121*F122,0)</f>
        <v>254</v>
      </c>
      <c r="C122" s="1551">
        <f>B20</f>
        <v>0</v>
      </c>
      <c r="D122" s="154">
        <f t="shared" ref="D122:D130" si="31">+HLOOKUP($A122,$B$2:$L$7,6,FALSE)</f>
        <v>0.17907516514908053</v>
      </c>
      <c r="E122" s="138">
        <f t="shared" ref="E122:E130" si="32">+D122*100</f>
        <v>17.907516514908053</v>
      </c>
      <c r="F122" s="141">
        <f>+E122/E121</f>
        <v>0.17907516514908056</v>
      </c>
      <c r="G122" s="138"/>
      <c r="H122" s="150"/>
      <c r="I122" s="150"/>
      <c r="J122" s="150"/>
      <c r="K122" s="160"/>
      <c r="Z122" s="109"/>
    </row>
    <row r="123" spans="1:30" s="599" customFormat="1" ht="17.25" thickBot="1">
      <c r="A123" s="161" t="s">
        <v>1375</v>
      </c>
      <c r="B123" s="162">
        <f>ROUND(B121*F123,0)-G123</f>
        <v>309</v>
      </c>
      <c r="C123" s="1552">
        <f>B32</f>
        <v>0</v>
      </c>
      <c r="D123" s="154">
        <f t="shared" si="31"/>
        <v>0.21986675311739445</v>
      </c>
      <c r="E123" s="138">
        <f t="shared" si="32"/>
        <v>21.986675311739447</v>
      </c>
      <c r="F123" s="141">
        <f>+E123/E121</f>
        <v>0.21986675311739451</v>
      </c>
      <c r="G123" s="138">
        <v>2</v>
      </c>
      <c r="H123" s="150"/>
      <c r="I123" s="150"/>
      <c r="J123" s="150"/>
      <c r="K123" s="160"/>
      <c r="Z123" s="109"/>
    </row>
    <row r="124" spans="1:30" s="599" customFormat="1" ht="17.25" thickBot="1">
      <c r="A124" s="161" t="s">
        <v>1378</v>
      </c>
      <c r="B124" s="162">
        <f>ROUND(B121*F124,0)</f>
        <v>43</v>
      </c>
      <c r="C124" s="1552">
        <f>B44</f>
        <v>0</v>
      </c>
      <c r="D124" s="154">
        <f t="shared" si="31"/>
        <v>3.0445691088997265E-2</v>
      </c>
      <c r="E124" s="138">
        <f t="shared" si="32"/>
        <v>3.0445691088997267</v>
      </c>
      <c r="F124" s="141">
        <f>+E124/E121</f>
        <v>3.0445691088997272E-2</v>
      </c>
      <c r="G124" s="138"/>
      <c r="H124" s="150"/>
      <c r="I124" s="150"/>
      <c r="J124" s="150"/>
      <c r="K124" s="160"/>
      <c r="Z124" s="109"/>
    </row>
    <row r="125" spans="1:30" ht="17.25" thickBot="1">
      <c r="A125" s="161" t="s">
        <v>639</v>
      </c>
      <c r="B125" s="162">
        <f>ROUND(B121*F125,0)</f>
        <v>44</v>
      </c>
      <c r="C125" s="1552">
        <f>B56</f>
        <v>0</v>
      </c>
      <c r="D125" s="154">
        <f t="shared" si="31"/>
        <v>3.1169246093272818E-2</v>
      </c>
      <c r="E125" s="138">
        <f t="shared" si="32"/>
        <v>3.116924609327282</v>
      </c>
      <c r="F125" s="141">
        <f>+E125/E121</f>
        <v>3.1169246093272825E-2</v>
      </c>
      <c r="G125" s="138"/>
      <c r="H125" s="150"/>
      <c r="I125" s="150"/>
      <c r="J125" s="150"/>
      <c r="K125" s="160"/>
      <c r="L125" s="599"/>
      <c r="M125" s="599"/>
      <c r="N125" s="599"/>
      <c r="O125" s="599"/>
      <c r="P125" s="599"/>
      <c r="Q125" s="599"/>
      <c r="R125" s="599"/>
      <c r="S125" s="599"/>
      <c r="T125" s="599"/>
      <c r="U125" s="599"/>
      <c r="V125" s="599"/>
      <c r="W125" s="599"/>
      <c r="X125" s="599"/>
      <c r="Y125" s="599"/>
    </row>
    <row r="126" spans="1:30" ht="17.25" thickBot="1">
      <c r="A126" s="161" t="s">
        <v>1380</v>
      </c>
      <c r="B126" s="162">
        <f>ROUND(B121*F126,0)</f>
        <v>163</v>
      </c>
      <c r="C126" s="1552">
        <f>B68</f>
        <v>0</v>
      </c>
      <c r="D126" s="154">
        <f t="shared" si="31"/>
        <v>0.1151486106804236</v>
      </c>
      <c r="E126" s="138">
        <f t="shared" si="32"/>
        <v>11.514861068042361</v>
      </c>
      <c r="F126" s="141">
        <f>+E126/E121</f>
        <v>0.11514861068042362</v>
      </c>
      <c r="G126" s="138"/>
      <c r="H126" s="150"/>
      <c r="I126" s="150"/>
      <c r="J126" s="150"/>
      <c r="K126" s="160"/>
      <c r="L126" s="599"/>
      <c r="M126" s="599"/>
      <c r="N126" s="599"/>
      <c r="O126" s="599"/>
      <c r="P126" s="599"/>
      <c r="Q126" s="599"/>
      <c r="R126" s="599"/>
      <c r="S126" s="599"/>
      <c r="T126" s="599"/>
      <c r="U126" s="599"/>
      <c r="V126" s="599"/>
      <c r="W126" s="599"/>
      <c r="X126" s="599"/>
      <c r="Y126" s="599"/>
      <c r="AA126" s="97" t="s">
        <v>183</v>
      </c>
    </row>
    <row r="127" spans="1:30" ht="17.25" thickBot="1">
      <c r="A127" s="161" t="s">
        <v>641</v>
      </c>
      <c r="B127" s="162">
        <f>ROUND(B121*F127,0)</f>
        <v>249</v>
      </c>
      <c r="C127" s="1552">
        <f>B80</f>
        <v>0</v>
      </c>
      <c r="D127" s="154">
        <f t="shared" si="31"/>
        <v>0.1761339610407916</v>
      </c>
      <c r="E127" s="138">
        <f t="shared" si="32"/>
        <v>17.613396104079161</v>
      </c>
      <c r="F127" s="141">
        <f>+E127/E121</f>
        <v>0.17613396104079163</v>
      </c>
      <c r="G127" s="138"/>
      <c r="H127" s="150"/>
      <c r="I127" s="150"/>
      <c r="J127" s="150"/>
      <c r="K127" s="160"/>
      <c r="L127" s="599"/>
      <c r="M127" s="599"/>
      <c r="N127" s="599"/>
      <c r="O127" s="599"/>
      <c r="P127" s="599"/>
      <c r="Q127" s="599"/>
      <c r="R127" s="599"/>
      <c r="S127" s="599"/>
      <c r="T127" s="599"/>
      <c r="U127" s="599"/>
      <c r="V127" s="599"/>
      <c r="W127" s="599"/>
      <c r="X127" s="599"/>
      <c r="Y127" s="599"/>
      <c r="AA127" s="134">
        <f>+X136+X139+X142+X145+X148+X151+X160+X154+X157</f>
        <v>-22656</v>
      </c>
    </row>
    <row r="128" spans="1:30" ht="17.25" thickBot="1">
      <c r="A128" s="161" t="s">
        <v>1382</v>
      </c>
      <c r="B128" s="162">
        <f>ROUND(B121*F128,0)</f>
        <v>128</v>
      </c>
      <c r="C128" s="1552">
        <f>B92</f>
        <v>0</v>
      </c>
      <c r="D128" s="154">
        <f t="shared" si="31"/>
        <v>9.0331613715595893E-2</v>
      </c>
      <c r="E128" s="138">
        <f t="shared" si="32"/>
        <v>9.03316137155959</v>
      </c>
      <c r="F128" s="141">
        <f>+E128/E121</f>
        <v>9.0331613715595907E-2</v>
      </c>
      <c r="G128" s="138"/>
      <c r="H128" s="150"/>
      <c r="I128" s="150"/>
      <c r="J128" s="150"/>
      <c r="K128" s="160"/>
      <c r="L128" s="599"/>
      <c r="M128" s="599"/>
      <c r="N128" s="599"/>
      <c r="O128" s="599"/>
      <c r="P128" s="599"/>
      <c r="Q128" s="599"/>
      <c r="R128" s="599"/>
      <c r="S128" s="599"/>
      <c r="T128" s="599"/>
      <c r="U128" s="599"/>
      <c r="V128" s="599"/>
      <c r="W128" s="599"/>
      <c r="X128" s="599"/>
      <c r="Y128" s="599"/>
    </row>
    <row r="129" spans="1:30" ht="17.25" thickBot="1">
      <c r="A129" s="163" t="s">
        <v>643</v>
      </c>
      <c r="B129" s="164">
        <f>ROUND(B121*F129,0)</f>
        <v>72</v>
      </c>
      <c r="C129" s="1552">
        <f>B104</f>
        <v>0</v>
      </c>
      <c r="D129" s="154">
        <f t="shared" si="31"/>
        <v>5.0771008936374144E-2</v>
      </c>
      <c r="E129" s="138">
        <f t="shared" si="32"/>
        <v>5.0771008936374145</v>
      </c>
      <c r="F129" s="141">
        <f>+E129/E121</f>
        <v>5.0771008936374151E-2</v>
      </c>
      <c r="G129" s="138"/>
      <c r="H129" s="150"/>
      <c r="I129" s="150"/>
      <c r="J129" s="150"/>
      <c r="K129" s="160"/>
      <c r="L129" s="599"/>
      <c r="M129" s="599"/>
      <c r="N129" s="599"/>
      <c r="O129" s="599"/>
      <c r="P129" s="599"/>
      <c r="Q129" s="599"/>
      <c r="R129" s="599"/>
      <c r="S129" s="599"/>
      <c r="T129" s="599"/>
      <c r="U129" s="599"/>
      <c r="V129" s="599"/>
      <c r="W129" s="599"/>
      <c r="X129" s="599"/>
      <c r="Y129" s="599"/>
    </row>
    <row r="130" spans="1:30" s="599" customFormat="1" ht="17.25" thickBot="1">
      <c r="A130" s="163" t="s">
        <v>1384</v>
      </c>
      <c r="B130" s="164">
        <f>ROUND(B122*F130,0)</f>
        <v>152</v>
      </c>
      <c r="C130" s="1552">
        <f>B116</f>
        <v>0</v>
      </c>
      <c r="D130" s="154">
        <f t="shared" si="31"/>
        <v>0.10705795017806971</v>
      </c>
      <c r="E130" s="138">
        <f t="shared" si="32"/>
        <v>10.70579501780697</v>
      </c>
      <c r="F130" s="141">
        <f>+E130/E122</f>
        <v>0.59783806475310908</v>
      </c>
      <c r="G130" s="138"/>
      <c r="H130" s="150"/>
      <c r="I130" s="150"/>
      <c r="J130" s="150"/>
      <c r="K130" s="160"/>
      <c r="Z130" s="112"/>
    </row>
    <row r="131" spans="1:30">
      <c r="A131" s="1546"/>
      <c r="B131" s="1547"/>
      <c r="C131" s="1548"/>
      <c r="D131" s="1549"/>
      <c r="E131" s="1548"/>
      <c r="F131" s="1550"/>
      <c r="G131" s="1548"/>
      <c r="H131" s="150"/>
      <c r="I131" s="150"/>
      <c r="J131" s="150"/>
      <c r="K131" s="160"/>
      <c r="L131" s="599"/>
      <c r="M131" s="599"/>
      <c r="N131" s="599"/>
      <c r="O131" s="599"/>
      <c r="P131" s="599"/>
      <c r="Q131" s="599"/>
      <c r="R131" s="599"/>
      <c r="S131" s="599"/>
      <c r="T131" s="599"/>
      <c r="U131" s="599"/>
      <c r="V131" s="599"/>
      <c r="W131" s="599"/>
      <c r="X131" s="599"/>
      <c r="Y131" s="599"/>
    </row>
    <row r="132" spans="1:30">
      <c r="A132" t="s">
        <v>182</v>
      </c>
      <c r="N132" s="599"/>
      <c r="O132" s="599"/>
      <c r="P132" s="599"/>
      <c r="Q132" s="599"/>
    </row>
    <row r="133" spans="1:30">
      <c r="A133" s="2377" t="s">
        <v>174</v>
      </c>
      <c r="B133" s="2378"/>
      <c r="C133" s="118">
        <v>2014</v>
      </c>
      <c r="D133" s="118">
        <v>2015</v>
      </c>
      <c r="E133" s="118">
        <v>2016</v>
      </c>
      <c r="F133" s="118">
        <v>2017</v>
      </c>
      <c r="G133" s="118">
        <v>2018</v>
      </c>
      <c r="H133" s="118">
        <v>2019</v>
      </c>
      <c r="I133" s="118">
        <v>2020</v>
      </c>
      <c r="J133" s="118">
        <v>2021</v>
      </c>
      <c r="K133" s="118">
        <v>2022</v>
      </c>
      <c r="L133" s="118">
        <v>2023</v>
      </c>
      <c r="M133" s="118">
        <v>2024</v>
      </c>
      <c r="N133" s="118">
        <v>2025</v>
      </c>
      <c r="O133" s="118">
        <v>2026</v>
      </c>
      <c r="P133" s="118">
        <v>2027</v>
      </c>
      <c r="Q133" s="118">
        <v>2028</v>
      </c>
      <c r="R133" s="118">
        <v>2029</v>
      </c>
      <c r="S133" s="118">
        <v>2030</v>
      </c>
      <c r="T133" s="118">
        <v>2031</v>
      </c>
      <c r="U133" s="118">
        <v>2032</v>
      </c>
      <c r="V133" s="118">
        <v>2033</v>
      </c>
      <c r="W133" s="118">
        <v>2033</v>
      </c>
      <c r="X133" s="118">
        <v>2033</v>
      </c>
      <c r="Y133" s="119" t="s">
        <v>178</v>
      </c>
    </row>
    <row r="134" spans="1:30">
      <c r="A134" s="2374" t="s">
        <v>1130</v>
      </c>
      <c r="B134" s="107" t="s">
        <v>167</v>
      </c>
      <c r="C134" s="120">
        <f>+사회적유입!C11</f>
        <v>0</v>
      </c>
      <c r="D134" s="120">
        <f>+사회적유입!D11</f>
        <v>0</v>
      </c>
      <c r="E134" s="120">
        <f>+사회적유입!E11</f>
        <v>0</v>
      </c>
      <c r="F134" s="120">
        <f>+사회적유입!F11</f>
        <v>495</v>
      </c>
      <c r="G134" s="120">
        <f>+사회적유입!G11</f>
        <v>891</v>
      </c>
      <c r="H134" s="120">
        <f>+사회적유입!H11</f>
        <v>891</v>
      </c>
      <c r="I134" s="120">
        <f>+사회적유입!I11</f>
        <v>1832</v>
      </c>
      <c r="J134" s="120">
        <f>+사회적유입!J11</f>
        <v>1832</v>
      </c>
      <c r="K134" s="120">
        <f>+사회적유입!K11</f>
        <v>1832</v>
      </c>
      <c r="L134" s="120">
        <f>+사회적유입!L11</f>
        <v>1832</v>
      </c>
      <c r="M134" s="120">
        <f>+사회적유입!M11</f>
        <v>1832</v>
      </c>
      <c r="N134" s="120">
        <f>+사회적유입!N11</f>
        <v>1832</v>
      </c>
      <c r="O134" s="120">
        <f>+사회적유입!O11</f>
        <v>1832</v>
      </c>
      <c r="P134" s="120">
        <f>+사회적유입!P11</f>
        <v>1832</v>
      </c>
      <c r="Q134" s="120">
        <f>+사회적유입!Q11</f>
        <v>1832</v>
      </c>
      <c r="R134" s="120">
        <f>+사회적유입!R11</f>
        <v>1832</v>
      </c>
      <c r="S134" s="120">
        <f>+사회적유입!S11</f>
        <v>1832</v>
      </c>
      <c r="T134" s="120">
        <f>+사회적유입!T11</f>
        <v>1832</v>
      </c>
      <c r="U134" s="120">
        <f>+사회적유입!U11</f>
        <v>1832</v>
      </c>
      <c r="V134" s="120">
        <f>+사회적유입!V11</f>
        <v>1832</v>
      </c>
      <c r="W134" s="120">
        <f>+사회적유입!W11</f>
        <v>1832</v>
      </c>
      <c r="X134" s="120">
        <f>+사회적유입!X11</f>
        <v>1832</v>
      </c>
      <c r="Y134" s="120">
        <f>+S134</f>
        <v>1832</v>
      </c>
    </row>
    <row r="135" spans="1:30">
      <c r="A135" s="2375"/>
      <c r="B135" s="122" t="s">
        <v>179</v>
      </c>
      <c r="C135" s="124">
        <f t="shared" ref="C135:L135" si="33">IFERROR(C134/$Y134,0)</f>
        <v>0</v>
      </c>
      <c r="D135" s="124">
        <f t="shared" si="33"/>
        <v>0</v>
      </c>
      <c r="E135" s="124">
        <f t="shared" si="33"/>
        <v>0</v>
      </c>
      <c r="F135" s="124">
        <f t="shared" si="33"/>
        <v>0.27019650655021832</v>
      </c>
      <c r="G135" s="124">
        <f t="shared" si="33"/>
        <v>0.486353711790393</v>
      </c>
      <c r="H135" s="124">
        <f t="shared" si="33"/>
        <v>0.486353711790393</v>
      </c>
      <c r="I135" s="124">
        <f t="shared" si="33"/>
        <v>1</v>
      </c>
      <c r="J135" s="124">
        <f t="shared" si="33"/>
        <v>1</v>
      </c>
      <c r="K135" s="124">
        <f t="shared" si="33"/>
        <v>1</v>
      </c>
      <c r="L135" s="124">
        <f t="shared" si="33"/>
        <v>1</v>
      </c>
      <c r="M135" s="124">
        <f t="shared" ref="M135:X135" si="34">IFERROR(M134/$Y134,0)</f>
        <v>1</v>
      </c>
      <c r="N135" s="124">
        <f t="shared" si="34"/>
        <v>1</v>
      </c>
      <c r="O135" s="124">
        <f t="shared" si="34"/>
        <v>1</v>
      </c>
      <c r="P135" s="124">
        <f t="shared" si="34"/>
        <v>1</v>
      </c>
      <c r="Q135" s="124">
        <f t="shared" si="34"/>
        <v>1</v>
      </c>
      <c r="R135" s="124">
        <f t="shared" si="34"/>
        <v>1</v>
      </c>
      <c r="S135" s="124">
        <f t="shared" si="34"/>
        <v>1</v>
      </c>
      <c r="T135" s="124">
        <f t="shared" si="34"/>
        <v>1</v>
      </c>
      <c r="U135" s="124">
        <f t="shared" si="34"/>
        <v>1</v>
      </c>
      <c r="V135" s="124">
        <f t="shared" si="34"/>
        <v>1</v>
      </c>
      <c r="W135" s="124">
        <f t="shared" si="34"/>
        <v>1</v>
      </c>
      <c r="X135" s="124">
        <f t="shared" si="34"/>
        <v>1</v>
      </c>
      <c r="Y135" s="121"/>
    </row>
    <row r="136" spans="1:30">
      <c r="A136" s="2376"/>
      <c r="B136" s="127" t="s">
        <v>180</v>
      </c>
      <c r="C136" s="126">
        <f>ROUND($K$11*C135,0)</f>
        <v>0</v>
      </c>
      <c r="D136" s="126">
        <f>ROUND($L$11*D133,0)</f>
        <v>0</v>
      </c>
      <c r="E136" s="126">
        <f>ROUND($L$11*E135,0)</f>
        <v>0</v>
      </c>
      <c r="F136" s="126">
        <f t="shared" ref="F136:X136" si="35">ROUND($K$11*F135,0)</f>
        <v>-455</v>
      </c>
      <c r="G136" s="126">
        <f t="shared" si="35"/>
        <v>-820</v>
      </c>
      <c r="H136" s="126">
        <f t="shared" si="35"/>
        <v>-820</v>
      </c>
      <c r="I136" s="126">
        <f t="shared" si="35"/>
        <v>-1685</v>
      </c>
      <c r="J136" s="126">
        <f t="shared" si="35"/>
        <v>-1685</v>
      </c>
      <c r="K136" s="126">
        <f t="shared" si="35"/>
        <v>-1685</v>
      </c>
      <c r="L136" s="126">
        <f t="shared" si="35"/>
        <v>-1685</v>
      </c>
      <c r="M136" s="126">
        <f t="shared" si="35"/>
        <v>-1685</v>
      </c>
      <c r="N136" s="126">
        <f t="shared" si="35"/>
        <v>-1685</v>
      </c>
      <c r="O136" s="126">
        <f t="shared" si="35"/>
        <v>-1685</v>
      </c>
      <c r="P136" s="126">
        <f t="shared" si="35"/>
        <v>-1685</v>
      </c>
      <c r="Q136" s="126">
        <f t="shared" si="35"/>
        <v>-1685</v>
      </c>
      <c r="R136" s="126">
        <f t="shared" si="35"/>
        <v>-1685</v>
      </c>
      <c r="S136" s="126">
        <f t="shared" si="35"/>
        <v>-1685</v>
      </c>
      <c r="T136" s="126">
        <f t="shared" si="35"/>
        <v>-1685</v>
      </c>
      <c r="U136" s="126">
        <f t="shared" si="35"/>
        <v>-1685</v>
      </c>
      <c r="V136" s="126">
        <f t="shared" si="35"/>
        <v>-1685</v>
      </c>
      <c r="W136" s="126">
        <f t="shared" si="35"/>
        <v>-1685</v>
      </c>
      <c r="X136" s="126">
        <f t="shared" si="35"/>
        <v>-1685</v>
      </c>
      <c r="Y136" s="123"/>
    </row>
    <row r="137" spans="1:30">
      <c r="A137" s="2374" t="s">
        <v>637</v>
      </c>
      <c r="B137" s="107" t="s">
        <v>167</v>
      </c>
      <c r="C137" s="125">
        <f>+사회적유입!C43+사회적유입!C39</f>
        <v>0</v>
      </c>
      <c r="D137" s="125">
        <f>+사회적유입!D43</f>
        <v>0</v>
      </c>
      <c r="E137" s="125">
        <f>+사회적유입!E43</f>
        <v>0</v>
      </c>
      <c r="F137" s="125">
        <f>+사회적유입!F43</f>
        <v>942</v>
      </c>
      <c r="G137" s="125">
        <f>+사회적유입!G43</f>
        <v>942</v>
      </c>
      <c r="H137" s="125">
        <f>+사회적유입!H43</f>
        <v>942</v>
      </c>
      <c r="I137" s="125">
        <f>+사회적유입!I43</f>
        <v>4603</v>
      </c>
      <c r="J137" s="125">
        <f>+사회적유입!J43</f>
        <v>4603</v>
      </c>
      <c r="K137" s="125">
        <f>+사회적유입!K43</f>
        <v>4603</v>
      </c>
      <c r="L137" s="125">
        <f>+사회적유입!L43</f>
        <v>4603</v>
      </c>
      <c r="M137" s="125">
        <f>+사회적유입!M43</f>
        <v>4603</v>
      </c>
      <c r="N137" s="125">
        <f>+사회적유입!N43</f>
        <v>5311</v>
      </c>
      <c r="O137" s="125">
        <f>+사회적유입!O43</f>
        <v>5311</v>
      </c>
      <c r="P137" s="125">
        <f>+사회적유입!P43</f>
        <v>5311</v>
      </c>
      <c r="Q137" s="125">
        <f>+사회적유입!Q43</f>
        <v>5311</v>
      </c>
      <c r="R137" s="125">
        <f>+사회적유입!R43</f>
        <v>5311</v>
      </c>
      <c r="S137" s="125">
        <f>+사회적유입!S43</f>
        <v>5311</v>
      </c>
      <c r="T137" s="125">
        <f>+사회적유입!T43</f>
        <v>5311</v>
      </c>
      <c r="U137" s="125">
        <f>+사회적유입!U43</f>
        <v>5311</v>
      </c>
      <c r="V137" s="125">
        <f>+사회적유입!V43</f>
        <v>5311</v>
      </c>
      <c r="W137" s="125">
        <f>+사회적유입!W43</f>
        <v>5311</v>
      </c>
      <c r="X137" s="125">
        <f>+사회적유입!X43</f>
        <v>5311</v>
      </c>
      <c r="Y137" s="120">
        <f>+S137</f>
        <v>5311</v>
      </c>
    </row>
    <row r="138" spans="1:30">
      <c r="A138" s="2375"/>
      <c r="B138" s="122" t="s">
        <v>179</v>
      </c>
      <c r="C138" s="124">
        <f t="shared" ref="C138:L138" si="36">IFERROR(C137/$Y137,0)</f>
        <v>0</v>
      </c>
      <c r="D138" s="124">
        <f t="shared" si="36"/>
        <v>0</v>
      </c>
      <c r="E138" s="124">
        <f t="shared" si="36"/>
        <v>0</v>
      </c>
      <c r="F138" s="124">
        <f t="shared" si="36"/>
        <v>0.17736772735831294</v>
      </c>
      <c r="G138" s="124">
        <f t="shared" si="36"/>
        <v>0.17736772735831294</v>
      </c>
      <c r="H138" s="124">
        <f t="shared" si="36"/>
        <v>0.17736772735831294</v>
      </c>
      <c r="I138" s="124">
        <f t="shared" si="36"/>
        <v>0.86669177179438905</v>
      </c>
      <c r="J138" s="124">
        <f t="shared" si="36"/>
        <v>0.86669177179438905</v>
      </c>
      <c r="K138" s="124">
        <f t="shared" si="36"/>
        <v>0.86669177179438905</v>
      </c>
      <c r="L138" s="124">
        <f t="shared" si="36"/>
        <v>0.86669177179438905</v>
      </c>
      <c r="M138" s="124">
        <f t="shared" ref="M138:X138" si="37">IFERROR(M137/$Y137,0)</f>
        <v>0.86669177179438905</v>
      </c>
      <c r="N138" s="124">
        <f t="shared" si="37"/>
        <v>1</v>
      </c>
      <c r="O138" s="124">
        <f t="shared" si="37"/>
        <v>1</v>
      </c>
      <c r="P138" s="124">
        <f t="shared" si="37"/>
        <v>1</v>
      </c>
      <c r="Q138" s="124">
        <f t="shared" si="37"/>
        <v>1</v>
      </c>
      <c r="R138" s="124">
        <f t="shared" si="37"/>
        <v>1</v>
      </c>
      <c r="S138" s="124">
        <f t="shared" si="37"/>
        <v>1</v>
      </c>
      <c r="T138" s="124">
        <f t="shared" si="37"/>
        <v>1</v>
      </c>
      <c r="U138" s="124">
        <f t="shared" si="37"/>
        <v>1</v>
      </c>
      <c r="V138" s="124">
        <f t="shared" si="37"/>
        <v>1</v>
      </c>
      <c r="W138" s="124">
        <f t="shared" si="37"/>
        <v>1</v>
      </c>
      <c r="X138" s="124">
        <f t="shared" si="37"/>
        <v>1</v>
      </c>
      <c r="Y138" s="121"/>
    </row>
    <row r="139" spans="1:30">
      <c r="A139" s="2376"/>
      <c r="B139" s="127" t="s">
        <v>180</v>
      </c>
      <c r="C139" s="126">
        <f>ROUND($K$23*C138,0)</f>
        <v>0</v>
      </c>
      <c r="D139" s="126">
        <f>ROUND($L$23*D138,0)</f>
        <v>0</v>
      </c>
      <c r="E139" s="126">
        <f>ROUND($L$23*E138,0)</f>
        <v>0</v>
      </c>
      <c r="F139" s="126">
        <f t="shared" ref="F139:X139" si="38">ROUND($K$23*F138,0)</f>
        <v>-251</v>
      </c>
      <c r="G139" s="126">
        <f t="shared" si="38"/>
        <v>-251</v>
      </c>
      <c r="H139" s="126">
        <f t="shared" si="38"/>
        <v>-251</v>
      </c>
      <c r="I139" s="126">
        <f t="shared" si="38"/>
        <v>-1226</v>
      </c>
      <c r="J139" s="126">
        <f t="shared" si="38"/>
        <v>-1226</v>
      </c>
      <c r="K139" s="126">
        <f t="shared" si="38"/>
        <v>-1226</v>
      </c>
      <c r="L139" s="126">
        <f t="shared" si="38"/>
        <v>-1226</v>
      </c>
      <c r="M139" s="126">
        <f t="shared" si="38"/>
        <v>-1226</v>
      </c>
      <c r="N139" s="126">
        <f t="shared" si="38"/>
        <v>-1414</v>
      </c>
      <c r="O139" s="126">
        <f t="shared" si="38"/>
        <v>-1414</v>
      </c>
      <c r="P139" s="126">
        <f t="shared" si="38"/>
        <v>-1414</v>
      </c>
      <c r="Q139" s="126">
        <f t="shared" si="38"/>
        <v>-1414</v>
      </c>
      <c r="R139" s="126">
        <f t="shared" si="38"/>
        <v>-1414</v>
      </c>
      <c r="S139" s="126">
        <f t="shared" si="38"/>
        <v>-1414</v>
      </c>
      <c r="T139" s="126">
        <f t="shared" si="38"/>
        <v>-1414</v>
      </c>
      <c r="U139" s="126">
        <f t="shared" si="38"/>
        <v>-1414</v>
      </c>
      <c r="V139" s="126">
        <f t="shared" si="38"/>
        <v>-1414</v>
      </c>
      <c r="W139" s="126">
        <f t="shared" si="38"/>
        <v>-1414</v>
      </c>
      <c r="X139" s="126">
        <f t="shared" si="38"/>
        <v>-1414</v>
      </c>
      <c r="Y139" s="123"/>
    </row>
    <row r="140" spans="1:30">
      <c r="A140" s="2374" t="s">
        <v>638</v>
      </c>
      <c r="B140" s="107" t="s">
        <v>167</v>
      </c>
      <c r="C140" s="125">
        <v>0</v>
      </c>
      <c r="D140" s="125">
        <v>0</v>
      </c>
      <c r="E140" s="125">
        <v>0</v>
      </c>
      <c r="F140" s="125">
        <v>0</v>
      </c>
      <c r="G140" s="125">
        <v>0</v>
      </c>
      <c r="H140" s="125">
        <v>0</v>
      </c>
      <c r="I140" s="125">
        <v>0</v>
      </c>
      <c r="J140" s="125">
        <v>0</v>
      </c>
      <c r="K140" s="125">
        <v>0</v>
      </c>
      <c r="L140" s="125">
        <v>0</v>
      </c>
      <c r="M140" s="125">
        <v>0</v>
      </c>
      <c r="N140" s="125">
        <v>0</v>
      </c>
      <c r="O140" s="125">
        <v>0</v>
      </c>
      <c r="P140" s="125">
        <v>0</v>
      </c>
      <c r="Q140" s="125">
        <v>0</v>
      </c>
      <c r="R140" s="125">
        <v>0</v>
      </c>
      <c r="S140" s="125">
        <v>0</v>
      </c>
      <c r="T140" s="125">
        <v>0</v>
      </c>
      <c r="U140" s="125">
        <v>0</v>
      </c>
      <c r="V140" s="125">
        <v>0</v>
      </c>
      <c r="W140" s="125">
        <v>0</v>
      </c>
      <c r="X140" s="125">
        <v>0</v>
      </c>
      <c r="Y140" s="120">
        <f>+S140</f>
        <v>0</v>
      </c>
    </row>
    <row r="141" spans="1:30">
      <c r="A141" s="2375"/>
      <c r="B141" s="122" t="s">
        <v>179</v>
      </c>
      <c r="C141" s="124">
        <f>C164</f>
        <v>0</v>
      </c>
      <c r="D141" s="124">
        <f t="shared" ref="D141:X141" si="39">D164</f>
        <v>0</v>
      </c>
      <c r="E141" s="124">
        <f t="shared" si="39"/>
        <v>8.7337927812171465E-2</v>
      </c>
      <c r="F141" s="124">
        <f t="shared" si="39"/>
        <v>0.16515255905503259</v>
      </c>
      <c r="G141" s="124">
        <f t="shared" si="39"/>
        <v>0.27721336434854582</v>
      </c>
      <c r="H141" s="124">
        <f t="shared" si="39"/>
        <v>0.47835860083901455</v>
      </c>
      <c r="I141" s="124">
        <f t="shared" si="39"/>
        <v>0.72626275930435225</v>
      </c>
      <c r="J141" s="124">
        <f t="shared" si="39"/>
        <v>0.72626275930435225</v>
      </c>
      <c r="K141" s="124">
        <f t="shared" si="39"/>
        <v>0.72626275930435225</v>
      </c>
      <c r="L141" s="124">
        <f t="shared" si="39"/>
        <v>0.72626275930435225</v>
      </c>
      <c r="M141" s="124">
        <f t="shared" si="39"/>
        <v>0.72626275930435225</v>
      </c>
      <c r="N141" s="124">
        <f t="shared" si="39"/>
        <v>1</v>
      </c>
      <c r="O141" s="124">
        <f t="shared" si="39"/>
        <v>1</v>
      </c>
      <c r="P141" s="124">
        <f t="shared" si="39"/>
        <v>1</v>
      </c>
      <c r="Q141" s="124">
        <f t="shared" si="39"/>
        <v>1</v>
      </c>
      <c r="R141" s="124">
        <f t="shared" si="39"/>
        <v>1</v>
      </c>
      <c r="S141" s="124">
        <f t="shared" si="39"/>
        <v>1</v>
      </c>
      <c r="T141" s="124">
        <f t="shared" si="39"/>
        <v>1</v>
      </c>
      <c r="U141" s="124">
        <f t="shared" si="39"/>
        <v>1</v>
      </c>
      <c r="V141" s="124">
        <f t="shared" si="39"/>
        <v>1</v>
      </c>
      <c r="W141" s="124">
        <f t="shared" si="39"/>
        <v>1</v>
      </c>
      <c r="X141" s="124">
        <f t="shared" si="39"/>
        <v>4.0756145485867377</v>
      </c>
      <c r="Y141" s="121"/>
    </row>
    <row r="142" spans="1:30">
      <c r="A142" s="2376"/>
      <c r="B142" s="127" t="s">
        <v>180</v>
      </c>
      <c r="C142" s="126">
        <f>ROUND($K$35*C164,0)</f>
        <v>0</v>
      </c>
      <c r="D142" s="126">
        <f>ROUND($L$35*D164,0)</f>
        <v>0</v>
      </c>
      <c r="E142" s="126">
        <f>ROUND($L$35*E164,0)</f>
        <v>0</v>
      </c>
      <c r="F142" s="126">
        <f t="shared" ref="F142:X142" si="40">ROUND($K$35*F164,0)</f>
        <v>-48</v>
      </c>
      <c r="G142" s="126">
        <f t="shared" si="40"/>
        <v>-80</v>
      </c>
      <c r="H142" s="126">
        <f t="shared" si="40"/>
        <v>-139</v>
      </c>
      <c r="I142" s="126">
        <f t="shared" si="40"/>
        <v>-211</v>
      </c>
      <c r="J142" s="126">
        <f t="shared" si="40"/>
        <v>-211</v>
      </c>
      <c r="K142" s="126">
        <f t="shared" si="40"/>
        <v>-211</v>
      </c>
      <c r="L142" s="126">
        <f t="shared" si="40"/>
        <v>-211</v>
      </c>
      <c r="M142" s="126">
        <f t="shared" si="40"/>
        <v>-211</v>
      </c>
      <c r="N142" s="126">
        <f t="shared" si="40"/>
        <v>-290</v>
      </c>
      <c r="O142" s="126">
        <f t="shared" si="40"/>
        <v>-290</v>
      </c>
      <c r="P142" s="126">
        <f t="shared" si="40"/>
        <v>-290</v>
      </c>
      <c r="Q142" s="126">
        <f t="shared" si="40"/>
        <v>-290</v>
      </c>
      <c r="R142" s="126">
        <f t="shared" si="40"/>
        <v>-290</v>
      </c>
      <c r="S142" s="126">
        <f t="shared" si="40"/>
        <v>-290</v>
      </c>
      <c r="T142" s="126">
        <f t="shared" si="40"/>
        <v>-290</v>
      </c>
      <c r="U142" s="126">
        <f t="shared" si="40"/>
        <v>-290</v>
      </c>
      <c r="V142" s="126">
        <f t="shared" si="40"/>
        <v>-290</v>
      </c>
      <c r="W142" s="126">
        <f t="shared" si="40"/>
        <v>-290</v>
      </c>
      <c r="X142" s="126">
        <f t="shared" si="40"/>
        <v>-1182</v>
      </c>
      <c r="Y142" s="123"/>
    </row>
    <row r="143" spans="1:30">
      <c r="A143" s="2374" t="s">
        <v>639</v>
      </c>
      <c r="B143" s="107" t="s">
        <v>167</v>
      </c>
      <c r="C143" s="125">
        <v>0</v>
      </c>
      <c r="D143" s="125">
        <v>0</v>
      </c>
      <c r="E143" s="125">
        <v>0</v>
      </c>
      <c r="F143" s="125">
        <v>0</v>
      </c>
      <c r="G143" s="125">
        <v>0</v>
      </c>
      <c r="H143" s="125">
        <v>0</v>
      </c>
      <c r="I143" s="125">
        <v>0</v>
      </c>
      <c r="J143" s="125">
        <v>0</v>
      </c>
      <c r="K143" s="125">
        <v>0</v>
      </c>
      <c r="L143" s="125">
        <v>0</v>
      </c>
      <c r="M143" s="125">
        <v>0</v>
      </c>
      <c r="N143" s="125">
        <v>0</v>
      </c>
      <c r="O143" s="125">
        <v>0</v>
      </c>
      <c r="P143" s="125">
        <v>0</v>
      </c>
      <c r="Q143" s="125">
        <v>0</v>
      </c>
      <c r="R143" s="125">
        <v>0</v>
      </c>
      <c r="S143" s="125">
        <v>0</v>
      </c>
      <c r="T143" s="125">
        <v>0</v>
      </c>
      <c r="U143" s="125">
        <v>0</v>
      </c>
      <c r="V143" s="125">
        <v>0</v>
      </c>
      <c r="W143" s="125">
        <v>0</v>
      </c>
      <c r="X143" s="125">
        <v>0</v>
      </c>
      <c r="Y143" s="120">
        <f>+S143</f>
        <v>0</v>
      </c>
    </row>
    <row r="144" spans="1:30" s="599" customFormat="1">
      <c r="A144" s="2375"/>
      <c r="B144" s="122" t="s">
        <v>179</v>
      </c>
      <c r="C144" s="124">
        <f>C164</f>
        <v>0</v>
      </c>
      <c r="D144" s="124">
        <f t="shared" ref="D144:X144" si="41">D164</f>
        <v>0</v>
      </c>
      <c r="E144" s="124">
        <f t="shared" si="41"/>
        <v>8.7337927812171465E-2</v>
      </c>
      <c r="F144" s="124">
        <f t="shared" si="41"/>
        <v>0.16515255905503259</v>
      </c>
      <c r="G144" s="124">
        <f t="shared" si="41"/>
        <v>0.27721336434854582</v>
      </c>
      <c r="H144" s="124">
        <f t="shared" si="41"/>
        <v>0.47835860083901455</v>
      </c>
      <c r="I144" s="124">
        <f t="shared" si="41"/>
        <v>0.72626275930435225</v>
      </c>
      <c r="J144" s="124">
        <f t="shared" si="41"/>
        <v>0.72626275930435225</v>
      </c>
      <c r="K144" s="124">
        <f t="shared" si="41"/>
        <v>0.72626275930435225</v>
      </c>
      <c r="L144" s="124">
        <f t="shared" si="41"/>
        <v>0.72626275930435225</v>
      </c>
      <c r="M144" s="124">
        <f t="shared" si="41"/>
        <v>0.72626275930435225</v>
      </c>
      <c r="N144" s="124">
        <f t="shared" si="41"/>
        <v>1</v>
      </c>
      <c r="O144" s="124">
        <f t="shared" si="41"/>
        <v>1</v>
      </c>
      <c r="P144" s="124">
        <f t="shared" si="41"/>
        <v>1</v>
      </c>
      <c r="Q144" s="124">
        <f t="shared" si="41"/>
        <v>1</v>
      </c>
      <c r="R144" s="124">
        <f t="shared" si="41"/>
        <v>1</v>
      </c>
      <c r="S144" s="124">
        <f t="shared" si="41"/>
        <v>1</v>
      </c>
      <c r="T144" s="124">
        <f t="shared" si="41"/>
        <v>1</v>
      </c>
      <c r="U144" s="124">
        <f t="shared" si="41"/>
        <v>1</v>
      </c>
      <c r="V144" s="124">
        <f t="shared" si="41"/>
        <v>1</v>
      </c>
      <c r="W144" s="124">
        <f t="shared" si="41"/>
        <v>1</v>
      </c>
      <c r="X144" s="124">
        <f t="shared" si="41"/>
        <v>4.0756145485867377</v>
      </c>
      <c r="Y144" s="121"/>
      <c r="Z144"/>
      <c r="AA144"/>
      <c r="AB144"/>
      <c r="AC144"/>
      <c r="AD144"/>
    </row>
    <row r="145" spans="1:30" s="599" customFormat="1">
      <c r="A145" s="2376"/>
      <c r="B145" s="127" t="s">
        <v>180</v>
      </c>
      <c r="C145" s="126">
        <f>ROUND($K$47*C164,0)</f>
        <v>0</v>
      </c>
      <c r="D145" s="126">
        <f>ROUND($L$47*D164,0)</f>
        <v>0</v>
      </c>
      <c r="E145" s="126">
        <f>ROUND($L$47*E164,0)</f>
        <v>0</v>
      </c>
      <c r="F145" s="126">
        <f t="shared" ref="F145:X145" si="42">ROUND($K$47*F164,0)</f>
        <v>-48</v>
      </c>
      <c r="G145" s="126">
        <f t="shared" si="42"/>
        <v>-80</v>
      </c>
      <c r="H145" s="126">
        <f t="shared" si="42"/>
        <v>-138</v>
      </c>
      <c r="I145" s="126">
        <f t="shared" si="42"/>
        <v>-210</v>
      </c>
      <c r="J145" s="126">
        <f t="shared" si="42"/>
        <v>-210</v>
      </c>
      <c r="K145" s="126">
        <f t="shared" si="42"/>
        <v>-210</v>
      </c>
      <c r="L145" s="126">
        <f t="shared" si="42"/>
        <v>-210</v>
      </c>
      <c r="M145" s="126">
        <f t="shared" si="42"/>
        <v>-210</v>
      </c>
      <c r="N145" s="126">
        <f t="shared" si="42"/>
        <v>-289</v>
      </c>
      <c r="O145" s="126">
        <f t="shared" si="42"/>
        <v>-289</v>
      </c>
      <c r="P145" s="126">
        <f t="shared" si="42"/>
        <v>-289</v>
      </c>
      <c r="Q145" s="126">
        <f t="shared" si="42"/>
        <v>-289</v>
      </c>
      <c r="R145" s="126">
        <f t="shared" si="42"/>
        <v>-289</v>
      </c>
      <c r="S145" s="126">
        <f t="shared" si="42"/>
        <v>-289</v>
      </c>
      <c r="T145" s="126">
        <f t="shared" si="42"/>
        <v>-289</v>
      </c>
      <c r="U145" s="126">
        <f t="shared" si="42"/>
        <v>-289</v>
      </c>
      <c r="V145" s="126">
        <f t="shared" si="42"/>
        <v>-289</v>
      </c>
      <c r="W145" s="126">
        <f t="shared" si="42"/>
        <v>-289</v>
      </c>
      <c r="X145" s="126">
        <f t="shared" si="42"/>
        <v>-1178</v>
      </c>
      <c r="Y145" s="123"/>
      <c r="Z145"/>
      <c r="AA145"/>
      <c r="AB145"/>
      <c r="AC145"/>
      <c r="AD145"/>
    </row>
    <row r="146" spans="1:30" s="599" customFormat="1">
      <c r="A146" s="2374" t="s">
        <v>640</v>
      </c>
      <c r="B146" s="107" t="s">
        <v>167</v>
      </c>
      <c r="C146" s="125">
        <f>사회적유입!C88</f>
        <v>0</v>
      </c>
      <c r="D146" s="125">
        <f>사회적유입!D88</f>
        <v>0</v>
      </c>
      <c r="E146" s="125">
        <f>사회적유입!E88</f>
        <v>7477</v>
      </c>
      <c r="F146" s="125">
        <f>사회적유입!F88</f>
        <v>8665</v>
      </c>
      <c r="G146" s="125">
        <f>사회적유입!G88</f>
        <v>9853</v>
      </c>
      <c r="H146" s="125">
        <f>사회적유입!H88</f>
        <v>11041</v>
      </c>
      <c r="I146" s="125">
        <f>사회적유입!I88</f>
        <v>12230</v>
      </c>
      <c r="J146" s="125">
        <f>사회적유입!J88</f>
        <v>12230</v>
      </c>
      <c r="K146" s="125">
        <f>사회적유입!K88</f>
        <v>12230</v>
      </c>
      <c r="L146" s="125">
        <f>사회적유입!L88</f>
        <v>12230</v>
      </c>
      <c r="M146" s="125">
        <f>사회적유입!M88</f>
        <v>12230</v>
      </c>
      <c r="N146" s="125">
        <f>사회적유입!N88</f>
        <v>12230</v>
      </c>
      <c r="O146" s="125">
        <f>사회적유입!O88</f>
        <v>12230</v>
      </c>
      <c r="P146" s="125">
        <f>사회적유입!P88</f>
        <v>12230</v>
      </c>
      <c r="Q146" s="125">
        <f>사회적유입!Q88</f>
        <v>12230</v>
      </c>
      <c r="R146" s="125">
        <f>사회적유입!R88</f>
        <v>12230</v>
      </c>
      <c r="S146" s="125">
        <f>사회적유입!S88</f>
        <v>12230</v>
      </c>
      <c r="T146" s="125">
        <f>사회적유입!T88</f>
        <v>12230</v>
      </c>
      <c r="U146" s="125">
        <f>사회적유입!U88</f>
        <v>12230</v>
      </c>
      <c r="V146" s="125">
        <f>사회적유입!V88</f>
        <v>12230</v>
      </c>
      <c r="W146" s="125">
        <f>사회적유입!W88</f>
        <v>12230</v>
      </c>
      <c r="X146" s="125">
        <f>사회적유입!X88</f>
        <v>15560</v>
      </c>
      <c r="Y146" s="120">
        <f>+S146</f>
        <v>12230</v>
      </c>
      <c r="Z146"/>
    </row>
    <row r="147" spans="1:30" s="599" customFormat="1">
      <c r="A147" s="2375"/>
      <c r="B147" s="122" t="s">
        <v>179</v>
      </c>
      <c r="C147" s="124">
        <f t="shared" ref="C147:L147" si="43">IFERROR(C146/$Y146,0)</f>
        <v>0</v>
      </c>
      <c r="D147" s="124">
        <f t="shared" si="43"/>
        <v>0</v>
      </c>
      <c r="E147" s="124">
        <f t="shared" si="43"/>
        <v>0.61136549468520029</v>
      </c>
      <c r="F147" s="124">
        <f t="shared" si="43"/>
        <v>0.70850367947669668</v>
      </c>
      <c r="G147" s="124">
        <f t="shared" si="43"/>
        <v>0.80564186426819295</v>
      </c>
      <c r="H147" s="124">
        <f t="shared" si="43"/>
        <v>0.90278004905968934</v>
      </c>
      <c r="I147" s="124">
        <f t="shared" si="43"/>
        <v>1</v>
      </c>
      <c r="J147" s="124">
        <f t="shared" si="43"/>
        <v>1</v>
      </c>
      <c r="K147" s="124">
        <f t="shared" si="43"/>
        <v>1</v>
      </c>
      <c r="L147" s="124">
        <f t="shared" si="43"/>
        <v>1</v>
      </c>
      <c r="M147" s="124">
        <f t="shared" ref="M147:X147" si="44">IFERROR(M146/$Y146,0)</f>
        <v>1</v>
      </c>
      <c r="N147" s="124">
        <f t="shared" si="44"/>
        <v>1</v>
      </c>
      <c r="O147" s="124">
        <f t="shared" si="44"/>
        <v>1</v>
      </c>
      <c r="P147" s="124">
        <f t="shared" si="44"/>
        <v>1</v>
      </c>
      <c r="Q147" s="124">
        <f t="shared" si="44"/>
        <v>1</v>
      </c>
      <c r="R147" s="124">
        <f t="shared" si="44"/>
        <v>1</v>
      </c>
      <c r="S147" s="124">
        <f t="shared" si="44"/>
        <v>1</v>
      </c>
      <c r="T147" s="124">
        <f t="shared" si="44"/>
        <v>1</v>
      </c>
      <c r="U147" s="124">
        <f t="shared" si="44"/>
        <v>1</v>
      </c>
      <c r="V147" s="124">
        <f t="shared" si="44"/>
        <v>1</v>
      </c>
      <c r="W147" s="124">
        <f t="shared" si="44"/>
        <v>1</v>
      </c>
      <c r="X147" s="124">
        <f t="shared" si="44"/>
        <v>1.2722812755519215</v>
      </c>
      <c r="Y147" s="133"/>
      <c r="Z147"/>
    </row>
    <row r="148" spans="1:30" s="599" customFormat="1">
      <c r="A148" s="2376"/>
      <c r="B148" s="127" t="s">
        <v>180</v>
      </c>
      <c r="C148" s="126">
        <f>ROUND($K$59*C147,0)</f>
        <v>0</v>
      </c>
      <c r="D148" s="126">
        <f>ROUND($L$59*D147,0)</f>
        <v>0</v>
      </c>
      <c r="E148" s="126">
        <f>ROUND($L$59*E147,0)</f>
        <v>0</v>
      </c>
      <c r="F148" s="126">
        <f t="shared" ref="F148:X148" si="45">ROUND($K$59*F147,0)</f>
        <v>-718</v>
      </c>
      <c r="G148" s="126">
        <f t="shared" si="45"/>
        <v>-816</v>
      </c>
      <c r="H148" s="126">
        <f t="shared" si="45"/>
        <v>-915</v>
      </c>
      <c r="I148" s="126">
        <f t="shared" si="45"/>
        <v>-1013</v>
      </c>
      <c r="J148" s="126">
        <f t="shared" si="45"/>
        <v>-1013</v>
      </c>
      <c r="K148" s="126">
        <f t="shared" si="45"/>
        <v>-1013</v>
      </c>
      <c r="L148" s="126">
        <f t="shared" si="45"/>
        <v>-1013</v>
      </c>
      <c r="M148" s="126">
        <f t="shared" si="45"/>
        <v>-1013</v>
      </c>
      <c r="N148" s="126">
        <f t="shared" si="45"/>
        <v>-1013</v>
      </c>
      <c r="O148" s="126">
        <f t="shared" si="45"/>
        <v>-1013</v>
      </c>
      <c r="P148" s="126">
        <f t="shared" si="45"/>
        <v>-1013</v>
      </c>
      <c r="Q148" s="126">
        <f t="shared" si="45"/>
        <v>-1013</v>
      </c>
      <c r="R148" s="126">
        <f t="shared" si="45"/>
        <v>-1013</v>
      </c>
      <c r="S148" s="126">
        <f t="shared" si="45"/>
        <v>-1013</v>
      </c>
      <c r="T148" s="126">
        <f t="shared" si="45"/>
        <v>-1013</v>
      </c>
      <c r="U148" s="126">
        <f t="shared" si="45"/>
        <v>-1013</v>
      </c>
      <c r="V148" s="126">
        <f t="shared" si="45"/>
        <v>-1013</v>
      </c>
      <c r="W148" s="126">
        <f t="shared" si="45"/>
        <v>-1013</v>
      </c>
      <c r="X148" s="126">
        <f t="shared" si="45"/>
        <v>-1289</v>
      </c>
      <c r="Y148" s="133"/>
      <c r="Z148"/>
    </row>
    <row r="149" spans="1:30" s="599" customFormat="1">
      <c r="A149" s="2374" t="s">
        <v>641</v>
      </c>
      <c r="B149" s="107" t="s">
        <v>167</v>
      </c>
      <c r="C149" s="125">
        <f>+사회적유입!C101+사회적유입!C108</f>
        <v>0</v>
      </c>
      <c r="D149" s="125">
        <f>+사회적유입!D101+사회적유입!D108</f>
        <v>0</v>
      </c>
      <c r="E149" s="125">
        <f>+사회적유입!E101+사회적유입!E108</f>
        <v>0</v>
      </c>
      <c r="F149" s="125">
        <f>+사회적유입!F101+사회적유입!F108</f>
        <v>0</v>
      </c>
      <c r="G149" s="125">
        <f>+사회적유입!G101+사회적유입!G108</f>
        <v>941</v>
      </c>
      <c r="H149" s="125">
        <f>+사회적유입!H101+사회적유입!H108</f>
        <v>4356</v>
      </c>
      <c r="I149" s="125">
        <f>+사회적유입!I101+사회적유입!I108</f>
        <v>9136</v>
      </c>
      <c r="J149" s="125">
        <f>+사회적유입!J101+사회적유입!J108</f>
        <v>9136</v>
      </c>
      <c r="K149" s="125">
        <f>+사회적유입!K101+사회적유입!K108</f>
        <v>9136</v>
      </c>
      <c r="L149" s="125">
        <f>+사회적유입!L101+사회적유입!L108</f>
        <v>9136</v>
      </c>
      <c r="M149" s="125">
        <f>+사회적유입!M101+사회적유입!M108</f>
        <v>9136</v>
      </c>
      <c r="N149" s="125">
        <f>+사회적유입!N101+사회적유입!N108</f>
        <v>10985</v>
      </c>
      <c r="O149" s="125">
        <f>+사회적유입!O101+사회적유입!O108</f>
        <v>10985</v>
      </c>
      <c r="P149" s="125">
        <f>+사회적유입!P101+사회적유입!P108</f>
        <v>10985</v>
      </c>
      <c r="Q149" s="125">
        <f>+사회적유입!Q101+사회적유입!Q108</f>
        <v>10985</v>
      </c>
      <c r="R149" s="125">
        <f>+사회적유입!R101+사회적유입!R108</f>
        <v>10985</v>
      </c>
      <c r="S149" s="125">
        <f>+사회적유입!S101+사회적유입!S108</f>
        <v>10985</v>
      </c>
      <c r="T149" s="125">
        <f>+사회적유입!T101+사회적유입!T108</f>
        <v>10985</v>
      </c>
      <c r="U149" s="125">
        <f>+사회적유입!U101+사회적유입!U108</f>
        <v>10985</v>
      </c>
      <c r="V149" s="125">
        <f>+사회적유입!V101+사회적유입!V108</f>
        <v>10985</v>
      </c>
      <c r="W149" s="125">
        <f>+사회적유입!W101+사회적유입!W108</f>
        <v>10985</v>
      </c>
      <c r="X149" s="125">
        <f>+사회적유입!X101+사회적유입!X108</f>
        <v>18655</v>
      </c>
      <c r="Y149" s="120">
        <f>+S149</f>
        <v>10985</v>
      </c>
      <c r="Z149"/>
    </row>
    <row r="150" spans="1:30">
      <c r="A150" s="2375"/>
      <c r="B150" s="122" t="s">
        <v>179</v>
      </c>
      <c r="C150" s="124">
        <f t="shared" ref="C150:L150" si="46">IFERROR(C149/$Y149,0)</f>
        <v>0</v>
      </c>
      <c r="D150" s="124">
        <f t="shared" si="46"/>
        <v>0</v>
      </c>
      <c r="E150" s="124">
        <f t="shared" si="46"/>
        <v>0</v>
      </c>
      <c r="F150" s="124">
        <f t="shared" si="46"/>
        <v>0</v>
      </c>
      <c r="G150" s="124">
        <f t="shared" si="46"/>
        <v>8.5662266727355482E-2</v>
      </c>
      <c r="H150" s="124">
        <f t="shared" si="46"/>
        <v>0.39654073736913975</v>
      </c>
      <c r="I150" s="124">
        <f t="shared" si="46"/>
        <v>0.83167956304050983</v>
      </c>
      <c r="J150" s="124">
        <f t="shared" si="46"/>
        <v>0.83167956304050983</v>
      </c>
      <c r="K150" s="124">
        <f t="shared" si="46"/>
        <v>0.83167956304050983</v>
      </c>
      <c r="L150" s="124">
        <f t="shared" si="46"/>
        <v>0.83167956304050983</v>
      </c>
      <c r="M150" s="124">
        <f t="shared" ref="M150:X150" si="47">IFERROR(M149/$Y149,0)</f>
        <v>0.83167956304050983</v>
      </c>
      <c r="N150" s="124">
        <f t="shared" si="47"/>
        <v>1</v>
      </c>
      <c r="O150" s="124">
        <f t="shared" si="47"/>
        <v>1</v>
      </c>
      <c r="P150" s="124">
        <f t="shared" si="47"/>
        <v>1</v>
      </c>
      <c r="Q150" s="124">
        <f t="shared" si="47"/>
        <v>1</v>
      </c>
      <c r="R150" s="124">
        <f t="shared" si="47"/>
        <v>1</v>
      </c>
      <c r="S150" s="124">
        <f t="shared" si="47"/>
        <v>1</v>
      </c>
      <c r="T150" s="124">
        <f t="shared" si="47"/>
        <v>1</v>
      </c>
      <c r="U150" s="124">
        <f t="shared" si="47"/>
        <v>1</v>
      </c>
      <c r="V150" s="124">
        <f t="shared" si="47"/>
        <v>1</v>
      </c>
      <c r="W150" s="124">
        <f t="shared" si="47"/>
        <v>1</v>
      </c>
      <c r="X150" s="124">
        <f t="shared" si="47"/>
        <v>1.6982248520710059</v>
      </c>
      <c r="Y150" s="121"/>
      <c r="AA150" s="599"/>
      <c r="AB150" s="599"/>
      <c r="AC150" s="599"/>
      <c r="AD150" s="599"/>
    </row>
    <row r="151" spans="1:30">
      <c r="A151" s="2376"/>
      <c r="B151" s="127" t="s">
        <v>180</v>
      </c>
      <c r="C151" s="126">
        <f>ROUND($K$71*C150,0)</f>
        <v>0</v>
      </c>
      <c r="D151" s="126">
        <f>ROUND($L$71*D150,0)</f>
        <v>0</v>
      </c>
      <c r="E151" s="126">
        <f>ROUND($L$71*E150,0)</f>
        <v>0</v>
      </c>
      <c r="F151" s="126">
        <f t="shared" ref="F151:X151" si="48">ROUND($K$71*F150,0)</f>
        <v>0</v>
      </c>
      <c r="G151" s="126">
        <f t="shared" si="48"/>
        <v>-118</v>
      </c>
      <c r="H151" s="126">
        <f t="shared" si="48"/>
        <v>-545</v>
      </c>
      <c r="I151" s="126">
        <f t="shared" si="48"/>
        <v>-1144</v>
      </c>
      <c r="J151" s="126">
        <f t="shared" si="48"/>
        <v>-1144</v>
      </c>
      <c r="K151" s="126">
        <f t="shared" si="48"/>
        <v>-1144</v>
      </c>
      <c r="L151" s="126">
        <f t="shared" si="48"/>
        <v>-1144</v>
      </c>
      <c r="M151" s="126">
        <f t="shared" si="48"/>
        <v>-1144</v>
      </c>
      <c r="N151" s="126">
        <f t="shared" si="48"/>
        <v>-1375</v>
      </c>
      <c r="O151" s="126">
        <f t="shared" si="48"/>
        <v>-1375</v>
      </c>
      <c r="P151" s="126">
        <f t="shared" si="48"/>
        <v>-1375</v>
      </c>
      <c r="Q151" s="126">
        <f t="shared" si="48"/>
        <v>-1375</v>
      </c>
      <c r="R151" s="126">
        <f t="shared" si="48"/>
        <v>-1375</v>
      </c>
      <c r="S151" s="126">
        <f t="shared" si="48"/>
        <v>-1375</v>
      </c>
      <c r="T151" s="126">
        <f t="shared" si="48"/>
        <v>-1375</v>
      </c>
      <c r="U151" s="126">
        <f t="shared" si="48"/>
        <v>-1375</v>
      </c>
      <c r="V151" s="126">
        <f t="shared" si="48"/>
        <v>-1375</v>
      </c>
      <c r="W151" s="126">
        <f t="shared" si="48"/>
        <v>-1375</v>
      </c>
      <c r="X151" s="126">
        <f t="shared" si="48"/>
        <v>-2335</v>
      </c>
      <c r="Y151" s="123"/>
      <c r="Z151" s="599"/>
      <c r="AA151" s="599"/>
      <c r="AB151" s="599"/>
      <c r="AC151" s="599"/>
      <c r="AD151" s="599"/>
    </row>
    <row r="152" spans="1:30">
      <c r="A152" s="2374" t="s">
        <v>642</v>
      </c>
      <c r="B152" s="107" t="s">
        <v>167</v>
      </c>
      <c r="C152" s="125">
        <f>+사회적유입!C126+사회적유입!C124</f>
        <v>0</v>
      </c>
      <c r="D152" s="125">
        <f>+사회적유입!D126+사회적유입!D124</f>
        <v>0</v>
      </c>
      <c r="E152" s="125">
        <f>+사회적유입!E126+사회적유입!E124</f>
        <v>0</v>
      </c>
      <c r="F152" s="125">
        <f>+사회적유입!F126+사회적유입!F124</f>
        <v>0</v>
      </c>
      <c r="G152" s="125">
        <f>+사회적유입!G126+사회적유입!G124</f>
        <v>0</v>
      </c>
      <c r="H152" s="125">
        <f>+사회적유입!H126+사회적유입!H124</f>
        <v>0</v>
      </c>
      <c r="I152" s="125">
        <f>+사회적유입!I126+사회적유입!I124</f>
        <v>0</v>
      </c>
      <c r="J152" s="125">
        <f>+사회적유입!J126+사회적유입!J124</f>
        <v>0</v>
      </c>
      <c r="K152" s="125">
        <f>+사회적유입!K126+사회적유입!K124</f>
        <v>0</v>
      </c>
      <c r="L152" s="125">
        <f>+사회적유입!L126+사회적유입!L124</f>
        <v>0</v>
      </c>
      <c r="M152" s="125">
        <f>+사회적유입!M126+사회적유입!M124</f>
        <v>0</v>
      </c>
      <c r="N152" s="125">
        <f>+사회적유입!N126+사회적유입!N124</f>
        <v>976</v>
      </c>
      <c r="O152" s="125">
        <f>+사회적유입!O126+사회적유입!O124</f>
        <v>976</v>
      </c>
      <c r="P152" s="125">
        <f>+사회적유입!P126+사회적유입!P124</f>
        <v>976</v>
      </c>
      <c r="Q152" s="125">
        <f>+사회적유입!Q126+사회적유입!Q124</f>
        <v>976</v>
      </c>
      <c r="R152" s="125">
        <f>+사회적유입!R126+사회적유입!R124</f>
        <v>976</v>
      </c>
      <c r="S152" s="125">
        <f>+사회적유입!S126+사회적유입!S124</f>
        <v>976</v>
      </c>
      <c r="T152" s="125">
        <f>+사회적유입!T126+사회적유입!T124</f>
        <v>976</v>
      </c>
      <c r="U152" s="125">
        <f>+사회적유입!U126+사회적유입!U124</f>
        <v>976</v>
      </c>
      <c r="V152" s="125">
        <f>+사회적유입!V126+사회적유입!V124</f>
        <v>976</v>
      </c>
      <c r="W152" s="125">
        <f>+사회적유입!W126+사회적유입!W124</f>
        <v>976</v>
      </c>
      <c r="X152" s="125">
        <f>+사회적유입!X126+사회적유입!X124</f>
        <v>5416</v>
      </c>
      <c r="Y152" s="120">
        <f>+S152</f>
        <v>976</v>
      </c>
      <c r="Z152" s="599"/>
    </row>
    <row r="153" spans="1:30">
      <c r="A153" s="2375"/>
      <c r="B153" s="122" t="s">
        <v>179</v>
      </c>
      <c r="C153" s="124">
        <f t="shared" ref="C153:L153" si="49">IFERROR(C152/$Y152,0)</f>
        <v>0</v>
      </c>
      <c r="D153" s="124">
        <f t="shared" si="49"/>
        <v>0</v>
      </c>
      <c r="E153" s="124">
        <f t="shared" si="49"/>
        <v>0</v>
      </c>
      <c r="F153" s="124">
        <f t="shared" si="49"/>
        <v>0</v>
      </c>
      <c r="G153" s="124">
        <f t="shared" si="49"/>
        <v>0</v>
      </c>
      <c r="H153" s="124">
        <f t="shared" si="49"/>
        <v>0</v>
      </c>
      <c r="I153" s="124">
        <f t="shared" si="49"/>
        <v>0</v>
      </c>
      <c r="J153" s="124">
        <f t="shared" si="49"/>
        <v>0</v>
      </c>
      <c r="K153" s="124">
        <f t="shared" si="49"/>
        <v>0</v>
      </c>
      <c r="L153" s="124">
        <f t="shared" si="49"/>
        <v>0</v>
      </c>
      <c r="M153" s="124">
        <f t="shared" ref="M153:X153" si="50">IFERROR(M152/$Y152,0)</f>
        <v>0</v>
      </c>
      <c r="N153" s="124">
        <f t="shared" si="50"/>
        <v>1</v>
      </c>
      <c r="O153" s="124">
        <f t="shared" si="50"/>
        <v>1</v>
      </c>
      <c r="P153" s="124">
        <f t="shared" si="50"/>
        <v>1</v>
      </c>
      <c r="Q153" s="124">
        <f t="shared" si="50"/>
        <v>1</v>
      </c>
      <c r="R153" s="124">
        <f t="shared" si="50"/>
        <v>1</v>
      </c>
      <c r="S153" s="124">
        <f t="shared" si="50"/>
        <v>1</v>
      </c>
      <c r="T153" s="124">
        <f t="shared" si="50"/>
        <v>1</v>
      </c>
      <c r="U153" s="124">
        <f t="shared" si="50"/>
        <v>1</v>
      </c>
      <c r="V153" s="124">
        <f t="shared" si="50"/>
        <v>1</v>
      </c>
      <c r="W153" s="124">
        <f t="shared" si="50"/>
        <v>1</v>
      </c>
      <c r="X153" s="124">
        <f t="shared" si="50"/>
        <v>5.5491803278688527</v>
      </c>
      <c r="Y153" s="121"/>
      <c r="Z153" s="599"/>
    </row>
    <row r="154" spans="1:30">
      <c r="A154" s="2376"/>
      <c r="B154" s="127" t="s">
        <v>180</v>
      </c>
      <c r="C154" s="126">
        <f>ROUND($K$83*C153,0)</f>
        <v>0</v>
      </c>
      <c r="D154" s="126">
        <f>ROUND($L$83*D153,0)</f>
        <v>0</v>
      </c>
      <c r="E154" s="126">
        <f>ROUND($L$83*E153,0)</f>
        <v>0</v>
      </c>
      <c r="F154" s="126">
        <f t="shared" ref="F154:L154" si="51">ROUND($K$83*F153,0)</f>
        <v>0</v>
      </c>
      <c r="G154" s="126">
        <f t="shared" si="51"/>
        <v>0</v>
      </c>
      <c r="H154" s="126">
        <f t="shared" si="51"/>
        <v>0</v>
      </c>
      <c r="I154" s="126">
        <f t="shared" si="51"/>
        <v>0</v>
      </c>
      <c r="J154" s="126">
        <f t="shared" si="51"/>
        <v>0</v>
      </c>
      <c r="K154" s="126">
        <f t="shared" si="51"/>
        <v>0</v>
      </c>
      <c r="L154" s="126">
        <f t="shared" si="51"/>
        <v>0</v>
      </c>
      <c r="M154" s="126">
        <f>ROUND($K$71*M153,0)</f>
        <v>0</v>
      </c>
      <c r="N154" s="126">
        <f>ROUND($K$71*N153,0)</f>
        <v>-1375</v>
      </c>
      <c r="O154" s="126">
        <f>ROUND($K$71*O153,0)</f>
        <v>-1375</v>
      </c>
      <c r="P154" s="126">
        <f>ROUND($K$71*P153,0)</f>
        <v>-1375</v>
      </c>
      <c r="Q154" s="126">
        <f t="shared" ref="Q154:X154" si="52">ROUND($K$83*Q153,0)</f>
        <v>-824</v>
      </c>
      <c r="R154" s="126">
        <f t="shared" si="52"/>
        <v>-824</v>
      </c>
      <c r="S154" s="126">
        <f t="shared" si="52"/>
        <v>-824</v>
      </c>
      <c r="T154" s="126">
        <f t="shared" si="52"/>
        <v>-824</v>
      </c>
      <c r="U154" s="126">
        <f t="shared" si="52"/>
        <v>-824</v>
      </c>
      <c r="V154" s="126">
        <f t="shared" si="52"/>
        <v>-824</v>
      </c>
      <c r="W154" s="126">
        <f t="shared" si="52"/>
        <v>-824</v>
      </c>
      <c r="X154" s="126">
        <f t="shared" si="52"/>
        <v>-4573</v>
      </c>
      <c r="Y154" s="123"/>
      <c r="Z154" s="599"/>
    </row>
    <row r="155" spans="1:30">
      <c r="A155" s="2374" t="s">
        <v>643</v>
      </c>
      <c r="B155" s="107" t="s">
        <v>167</v>
      </c>
      <c r="C155" s="125">
        <f>+사회적유입!C144+사회적유입!C142</f>
        <v>0</v>
      </c>
      <c r="D155" s="125">
        <f>+사회적유입!D144+사회적유입!D142</f>
        <v>0</v>
      </c>
      <c r="E155" s="125">
        <f>+사회적유입!E144+사회적유입!E142</f>
        <v>0</v>
      </c>
      <c r="F155" s="125">
        <f>+사회적유입!F144+사회적유입!F142</f>
        <v>0</v>
      </c>
      <c r="G155" s="125">
        <f>+사회적유입!G144+사회적유입!G142</f>
        <v>0</v>
      </c>
      <c r="H155" s="125">
        <f>+사회적유입!H144+사회적유입!H142</f>
        <v>208</v>
      </c>
      <c r="I155" s="125">
        <f>+사회적유입!I144+사회적유입!I142</f>
        <v>208</v>
      </c>
      <c r="J155" s="125">
        <f>+사회적유입!J144+사회적유입!J142</f>
        <v>208</v>
      </c>
      <c r="K155" s="125">
        <f>+사회적유입!K144+사회적유입!K142</f>
        <v>208</v>
      </c>
      <c r="L155" s="125">
        <f>+사회적유입!L144+사회적유입!L142</f>
        <v>208</v>
      </c>
      <c r="M155" s="125">
        <f>+사회적유입!M144+사회적유입!M142</f>
        <v>208</v>
      </c>
      <c r="N155" s="125">
        <f>+사회적유입!N144+사회적유입!N142</f>
        <v>208</v>
      </c>
      <c r="O155" s="125">
        <f>+사회적유입!O144+사회적유입!O142</f>
        <v>208</v>
      </c>
      <c r="P155" s="125">
        <f>+사회적유입!P144+사회적유입!P142</f>
        <v>208</v>
      </c>
      <c r="Q155" s="125">
        <f>+사회적유입!Q144+사회적유입!Q142</f>
        <v>208</v>
      </c>
      <c r="R155" s="125">
        <f>+사회적유입!R144+사회적유입!R142</f>
        <v>208</v>
      </c>
      <c r="S155" s="125">
        <f>+사회적유입!S144+사회적유입!S142</f>
        <v>208</v>
      </c>
      <c r="T155" s="125">
        <f>+사회적유입!T144+사회적유입!T142</f>
        <v>208</v>
      </c>
      <c r="U155" s="125">
        <f>+사회적유입!U144+사회적유입!U142</f>
        <v>208</v>
      </c>
      <c r="V155" s="125">
        <f>+사회적유입!V144+사회적유입!V142</f>
        <v>208</v>
      </c>
      <c r="W155" s="125">
        <f>+사회적유입!W144+사회적유입!W142</f>
        <v>208</v>
      </c>
      <c r="X155" s="125">
        <f>+사회적유입!X144+사회적유입!X142</f>
        <v>3538</v>
      </c>
      <c r="Y155" s="120">
        <f>+S155</f>
        <v>208</v>
      </c>
      <c r="Z155" s="599"/>
    </row>
    <row r="156" spans="1:30">
      <c r="A156" s="2375"/>
      <c r="B156" s="122" t="s">
        <v>179</v>
      </c>
      <c r="C156" s="124">
        <f t="shared" ref="C156:L156" si="53">IFERROR(C155/$Y155,0)</f>
        <v>0</v>
      </c>
      <c r="D156" s="124">
        <f t="shared" si="53"/>
        <v>0</v>
      </c>
      <c r="E156" s="124">
        <f t="shared" si="53"/>
        <v>0</v>
      </c>
      <c r="F156" s="124">
        <f t="shared" si="53"/>
        <v>0</v>
      </c>
      <c r="G156" s="124">
        <f t="shared" si="53"/>
        <v>0</v>
      </c>
      <c r="H156" s="124">
        <f t="shared" si="53"/>
        <v>1</v>
      </c>
      <c r="I156" s="124">
        <f t="shared" si="53"/>
        <v>1</v>
      </c>
      <c r="J156" s="124">
        <f t="shared" si="53"/>
        <v>1</v>
      </c>
      <c r="K156" s="124">
        <f t="shared" si="53"/>
        <v>1</v>
      </c>
      <c r="L156" s="124">
        <f t="shared" si="53"/>
        <v>1</v>
      </c>
      <c r="M156" s="124">
        <f t="shared" ref="M156:X156" si="54">IFERROR(M155/$Y155,0)</f>
        <v>1</v>
      </c>
      <c r="N156" s="124">
        <f t="shared" si="54"/>
        <v>1</v>
      </c>
      <c r="O156" s="124">
        <f t="shared" si="54"/>
        <v>1</v>
      </c>
      <c r="P156" s="124">
        <f t="shared" si="54"/>
        <v>1</v>
      </c>
      <c r="Q156" s="124">
        <f t="shared" si="54"/>
        <v>1</v>
      </c>
      <c r="R156" s="124">
        <f t="shared" si="54"/>
        <v>1</v>
      </c>
      <c r="S156" s="124">
        <f t="shared" si="54"/>
        <v>1</v>
      </c>
      <c r="T156" s="124">
        <f t="shared" si="54"/>
        <v>1</v>
      </c>
      <c r="U156" s="124">
        <f t="shared" si="54"/>
        <v>1</v>
      </c>
      <c r="V156" s="124">
        <f t="shared" si="54"/>
        <v>1</v>
      </c>
      <c r="W156" s="124">
        <f t="shared" si="54"/>
        <v>1</v>
      </c>
      <c r="X156" s="124">
        <f t="shared" si="54"/>
        <v>17.009615384615383</v>
      </c>
      <c r="Y156" s="121"/>
      <c r="Z156" s="599"/>
    </row>
    <row r="157" spans="1:30">
      <c r="A157" s="2376"/>
      <c r="B157" s="127" t="s">
        <v>180</v>
      </c>
      <c r="C157" s="126">
        <f>ROUND($K$95*C156,0)</f>
        <v>0</v>
      </c>
      <c r="D157" s="126">
        <f>ROUND($L$95*D156,0)</f>
        <v>0</v>
      </c>
      <c r="E157" s="126">
        <f>ROUND($L$95*E156,0)</f>
        <v>0</v>
      </c>
      <c r="F157" s="126">
        <f t="shared" ref="F157:X157" si="55">ROUND($K$95*F156,0)</f>
        <v>0</v>
      </c>
      <c r="G157" s="126">
        <f t="shared" si="55"/>
        <v>0</v>
      </c>
      <c r="H157" s="126">
        <f t="shared" si="55"/>
        <v>-469</v>
      </c>
      <c r="I157" s="126">
        <f t="shared" si="55"/>
        <v>-469</v>
      </c>
      <c r="J157" s="126">
        <f t="shared" si="55"/>
        <v>-469</v>
      </c>
      <c r="K157" s="126">
        <f t="shared" si="55"/>
        <v>-469</v>
      </c>
      <c r="L157" s="126">
        <f t="shared" si="55"/>
        <v>-469</v>
      </c>
      <c r="M157" s="126">
        <f t="shared" si="55"/>
        <v>-469</v>
      </c>
      <c r="N157" s="126">
        <f t="shared" si="55"/>
        <v>-469</v>
      </c>
      <c r="O157" s="126">
        <f t="shared" si="55"/>
        <v>-469</v>
      </c>
      <c r="P157" s="126">
        <f t="shared" si="55"/>
        <v>-469</v>
      </c>
      <c r="Q157" s="126">
        <f t="shared" si="55"/>
        <v>-469</v>
      </c>
      <c r="R157" s="126">
        <f t="shared" si="55"/>
        <v>-469</v>
      </c>
      <c r="S157" s="126">
        <f t="shared" si="55"/>
        <v>-469</v>
      </c>
      <c r="T157" s="126">
        <f t="shared" si="55"/>
        <v>-469</v>
      </c>
      <c r="U157" s="126">
        <f t="shared" si="55"/>
        <v>-469</v>
      </c>
      <c r="V157" s="126">
        <f t="shared" si="55"/>
        <v>-469</v>
      </c>
      <c r="W157" s="126">
        <f t="shared" si="55"/>
        <v>-469</v>
      </c>
      <c r="X157" s="126">
        <f t="shared" si="55"/>
        <v>-7978</v>
      </c>
      <c r="Y157" s="123"/>
    </row>
    <row r="158" spans="1:30">
      <c r="A158" s="2374" t="s">
        <v>699</v>
      </c>
      <c r="B158" s="107" t="s">
        <v>167</v>
      </c>
      <c r="C158" s="125">
        <f>+사회적유입!C156</f>
        <v>0</v>
      </c>
      <c r="D158" s="125">
        <f>+사회적유입!D156</f>
        <v>0</v>
      </c>
      <c r="E158" s="125">
        <f>+사회적유입!E156</f>
        <v>0</v>
      </c>
      <c r="F158" s="125">
        <f>+사회적유입!F156</f>
        <v>0</v>
      </c>
      <c r="G158" s="125">
        <f>+사회적유입!G156</f>
        <v>626</v>
      </c>
      <c r="H158" s="125">
        <f>+사회적유입!H156</f>
        <v>626</v>
      </c>
      <c r="I158" s="125">
        <f>+사회적유입!I156</f>
        <v>626</v>
      </c>
      <c r="J158" s="125">
        <f>+사회적유입!J156</f>
        <v>626</v>
      </c>
      <c r="K158" s="125">
        <f>+사회적유입!K156</f>
        <v>626</v>
      </c>
      <c r="L158" s="125">
        <f>+사회적유입!L156</f>
        <v>626</v>
      </c>
      <c r="M158" s="125">
        <f>+사회적유입!M156</f>
        <v>626</v>
      </c>
      <c r="N158" s="125">
        <f>+사회적유입!N156</f>
        <v>1624</v>
      </c>
      <c r="O158" s="125">
        <f>+사회적유입!O156</f>
        <v>1624</v>
      </c>
      <c r="P158" s="125">
        <f>+사회적유입!P156</f>
        <v>1624</v>
      </c>
      <c r="Q158" s="125">
        <f>+사회적유입!Q156</f>
        <v>1624</v>
      </c>
      <c r="R158" s="125">
        <f>+사회적유입!R156</f>
        <v>1624</v>
      </c>
      <c r="S158" s="125">
        <f>+사회적유입!S156</f>
        <v>1624</v>
      </c>
      <c r="T158" s="125">
        <f>+사회적유입!T156</f>
        <v>1624</v>
      </c>
      <c r="U158" s="125">
        <f>+사회적유입!U156</f>
        <v>1624</v>
      </c>
      <c r="V158" s="125">
        <f>+사회적유입!V156</f>
        <v>1624</v>
      </c>
      <c r="W158" s="125">
        <f>+사회적유입!W156</f>
        <v>1624</v>
      </c>
      <c r="X158" s="125">
        <f>+사회적유입!X156</f>
        <v>1624</v>
      </c>
      <c r="Y158" s="120">
        <f>+S158</f>
        <v>1624</v>
      </c>
    </row>
    <row r="159" spans="1:30">
      <c r="A159" s="2375"/>
      <c r="B159" s="122" t="s">
        <v>179</v>
      </c>
      <c r="C159" s="124">
        <f t="shared" ref="C159:L159" si="56">IFERROR(C158/$Y158,0)</f>
        <v>0</v>
      </c>
      <c r="D159" s="124">
        <f t="shared" si="56"/>
        <v>0</v>
      </c>
      <c r="E159" s="124">
        <f t="shared" si="56"/>
        <v>0</v>
      </c>
      <c r="F159" s="124">
        <f t="shared" si="56"/>
        <v>0</v>
      </c>
      <c r="G159" s="124">
        <f t="shared" si="56"/>
        <v>0.3854679802955665</v>
      </c>
      <c r="H159" s="124">
        <f t="shared" si="56"/>
        <v>0.3854679802955665</v>
      </c>
      <c r="I159" s="124">
        <f t="shared" si="56"/>
        <v>0.3854679802955665</v>
      </c>
      <c r="J159" s="124">
        <f t="shared" si="56"/>
        <v>0.3854679802955665</v>
      </c>
      <c r="K159" s="124">
        <f t="shared" si="56"/>
        <v>0.3854679802955665</v>
      </c>
      <c r="L159" s="124">
        <f t="shared" si="56"/>
        <v>0.3854679802955665</v>
      </c>
      <c r="M159" s="124">
        <f t="shared" ref="M159:X159" si="57">IFERROR(M158/$Y158,0)</f>
        <v>0.3854679802955665</v>
      </c>
      <c r="N159" s="124">
        <f t="shared" si="57"/>
        <v>1</v>
      </c>
      <c r="O159" s="124">
        <f t="shared" si="57"/>
        <v>1</v>
      </c>
      <c r="P159" s="124">
        <f t="shared" si="57"/>
        <v>1</v>
      </c>
      <c r="Q159" s="124">
        <f t="shared" si="57"/>
        <v>1</v>
      </c>
      <c r="R159" s="124">
        <f t="shared" si="57"/>
        <v>1</v>
      </c>
      <c r="S159" s="124">
        <f t="shared" si="57"/>
        <v>1</v>
      </c>
      <c r="T159" s="124">
        <f t="shared" si="57"/>
        <v>1</v>
      </c>
      <c r="U159" s="124">
        <f t="shared" si="57"/>
        <v>1</v>
      </c>
      <c r="V159" s="124">
        <f t="shared" si="57"/>
        <v>1</v>
      </c>
      <c r="W159" s="124">
        <f t="shared" si="57"/>
        <v>1</v>
      </c>
      <c r="X159" s="124">
        <f t="shared" si="57"/>
        <v>1</v>
      </c>
      <c r="Y159" s="121"/>
    </row>
    <row r="160" spans="1:30">
      <c r="A160" s="2376"/>
      <c r="B160" s="127" t="s">
        <v>180</v>
      </c>
      <c r="C160" s="126">
        <f>ROUND($K$107*C159,0)</f>
        <v>0</v>
      </c>
      <c r="D160" s="126">
        <f>ROUND($L$107*D159,0)</f>
        <v>0</v>
      </c>
      <c r="E160" s="126">
        <f>ROUND($L$107*E159,0)</f>
        <v>0</v>
      </c>
      <c r="F160" s="126">
        <f t="shared" ref="F160:X160" si="58">ROUND($K$107*F159,0)</f>
        <v>0</v>
      </c>
      <c r="G160" s="126">
        <f t="shared" si="58"/>
        <v>-394</v>
      </c>
      <c r="H160" s="126">
        <f t="shared" si="58"/>
        <v>-394</v>
      </c>
      <c r="I160" s="126">
        <f t="shared" si="58"/>
        <v>-394</v>
      </c>
      <c r="J160" s="126">
        <f t="shared" si="58"/>
        <v>-394</v>
      </c>
      <c r="K160" s="126">
        <f t="shared" si="58"/>
        <v>-394</v>
      </c>
      <c r="L160" s="126">
        <f t="shared" si="58"/>
        <v>-394</v>
      </c>
      <c r="M160" s="126">
        <f t="shared" si="58"/>
        <v>-394</v>
      </c>
      <c r="N160" s="126">
        <f t="shared" si="58"/>
        <v>-1022</v>
      </c>
      <c r="O160" s="126">
        <f t="shared" si="58"/>
        <v>-1022</v>
      </c>
      <c r="P160" s="126">
        <f t="shared" si="58"/>
        <v>-1022</v>
      </c>
      <c r="Q160" s="126">
        <f t="shared" si="58"/>
        <v>-1022</v>
      </c>
      <c r="R160" s="126">
        <f t="shared" si="58"/>
        <v>-1022</v>
      </c>
      <c r="S160" s="126">
        <f t="shared" si="58"/>
        <v>-1022</v>
      </c>
      <c r="T160" s="126">
        <f t="shared" si="58"/>
        <v>-1022</v>
      </c>
      <c r="U160" s="126">
        <f t="shared" si="58"/>
        <v>-1022</v>
      </c>
      <c r="V160" s="126">
        <f t="shared" si="58"/>
        <v>-1022</v>
      </c>
      <c r="W160" s="126">
        <f t="shared" si="58"/>
        <v>-1022</v>
      </c>
      <c r="X160" s="126">
        <f t="shared" si="58"/>
        <v>-1022</v>
      </c>
      <c r="Y160" s="123"/>
    </row>
    <row r="161" spans="1:26">
      <c r="A161" s="113" t="s">
        <v>170</v>
      </c>
      <c r="B161" s="131"/>
      <c r="C161" s="136">
        <f t="shared" ref="C161:W161" si="59">+C136+C139+C142+C145+C148+C151+C160+C154+C157</f>
        <v>0</v>
      </c>
      <c r="D161" s="136">
        <f t="shared" si="59"/>
        <v>0</v>
      </c>
      <c r="E161" s="136">
        <f t="shared" si="59"/>
        <v>0</v>
      </c>
      <c r="F161" s="136">
        <f t="shared" si="59"/>
        <v>-1520</v>
      </c>
      <c r="G161" s="136">
        <f t="shared" si="59"/>
        <v>-2559</v>
      </c>
      <c r="H161" s="136">
        <f t="shared" si="59"/>
        <v>-3671</v>
      </c>
      <c r="I161" s="136">
        <f t="shared" si="59"/>
        <v>-6352</v>
      </c>
      <c r="J161" s="136">
        <f t="shared" si="59"/>
        <v>-6352</v>
      </c>
      <c r="K161" s="136">
        <f t="shared" si="59"/>
        <v>-6352</v>
      </c>
      <c r="L161" s="136">
        <f t="shared" si="59"/>
        <v>-6352</v>
      </c>
      <c r="M161" s="136">
        <f t="shared" si="59"/>
        <v>-6352</v>
      </c>
      <c r="N161" s="136">
        <f t="shared" si="59"/>
        <v>-8932</v>
      </c>
      <c r="O161" s="136">
        <f t="shared" si="59"/>
        <v>-8932</v>
      </c>
      <c r="P161" s="136">
        <f t="shared" si="59"/>
        <v>-8932</v>
      </c>
      <c r="Q161" s="136">
        <f t="shared" si="59"/>
        <v>-8381</v>
      </c>
      <c r="R161" s="136">
        <f t="shared" si="59"/>
        <v>-8381</v>
      </c>
      <c r="S161" s="136">
        <f t="shared" si="59"/>
        <v>-8381</v>
      </c>
      <c r="T161" s="136">
        <f t="shared" si="59"/>
        <v>-8381</v>
      </c>
      <c r="U161" s="136">
        <f t="shared" si="59"/>
        <v>-8381</v>
      </c>
      <c r="V161" s="136">
        <f t="shared" si="59"/>
        <v>-8381</v>
      </c>
      <c r="W161" s="136">
        <f t="shared" si="59"/>
        <v>-8381</v>
      </c>
      <c r="X161" s="136">
        <f>+X136+X139+X142+X145+X148+X151+X160+X154+X157</f>
        <v>-22656</v>
      </c>
      <c r="Y161" s="97"/>
    </row>
    <row r="162" spans="1:26">
      <c r="A162" s="128"/>
      <c r="B162" s="114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8"/>
    </row>
    <row r="163" spans="1:26">
      <c r="A163" s="130" t="s">
        <v>181</v>
      </c>
      <c r="B163" s="114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8"/>
      <c r="Z163" s="135"/>
    </row>
    <row r="164" spans="1:26">
      <c r="A164" s="113" t="s">
        <v>1132</v>
      </c>
      <c r="B164" s="131"/>
      <c r="C164" s="132">
        <f>AVERAGE(C135,C138,C147,C150,C153,C156,C159)</f>
        <v>0</v>
      </c>
      <c r="D164" s="132">
        <f>AVERAGE(D135,D138,D147,D150,D153,D156,D159)</f>
        <v>0</v>
      </c>
      <c r="E164" s="132">
        <f t="shared" ref="E164:X164" si="60">AVERAGE(E135,E138,E147,E150,E153,E156,E159)</f>
        <v>8.7337927812171465E-2</v>
      </c>
      <c r="F164" s="132">
        <f t="shared" si="60"/>
        <v>0.16515255905503259</v>
      </c>
      <c r="G164" s="132">
        <f t="shared" si="60"/>
        <v>0.27721336434854582</v>
      </c>
      <c r="H164" s="132">
        <f t="shared" si="60"/>
        <v>0.47835860083901455</v>
      </c>
      <c r="I164" s="132">
        <f t="shared" si="60"/>
        <v>0.72626275930435225</v>
      </c>
      <c r="J164" s="132">
        <f t="shared" si="60"/>
        <v>0.72626275930435225</v>
      </c>
      <c r="K164" s="132">
        <f t="shared" si="60"/>
        <v>0.72626275930435225</v>
      </c>
      <c r="L164" s="132">
        <f t="shared" si="60"/>
        <v>0.72626275930435225</v>
      </c>
      <c r="M164" s="132">
        <f t="shared" si="60"/>
        <v>0.72626275930435225</v>
      </c>
      <c r="N164" s="132">
        <f t="shared" si="60"/>
        <v>1</v>
      </c>
      <c r="O164" s="132">
        <f t="shared" si="60"/>
        <v>1</v>
      </c>
      <c r="P164" s="132">
        <f t="shared" si="60"/>
        <v>1</v>
      </c>
      <c r="Q164" s="132">
        <f t="shared" si="60"/>
        <v>1</v>
      </c>
      <c r="R164" s="132">
        <f t="shared" si="60"/>
        <v>1</v>
      </c>
      <c r="S164" s="132">
        <f t="shared" si="60"/>
        <v>1</v>
      </c>
      <c r="T164" s="132">
        <f t="shared" si="60"/>
        <v>1</v>
      </c>
      <c r="U164" s="132">
        <f t="shared" si="60"/>
        <v>1</v>
      </c>
      <c r="V164" s="132">
        <f t="shared" si="60"/>
        <v>1</v>
      </c>
      <c r="W164" s="132">
        <f t="shared" si="60"/>
        <v>1</v>
      </c>
      <c r="X164" s="132">
        <f t="shared" si="60"/>
        <v>4.0756145485867377</v>
      </c>
      <c r="Y164" s="132"/>
    </row>
    <row r="165" spans="1:26">
      <c r="A165" s="128"/>
      <c r="B165" s="114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R165" s="129"/>
      <c r="S165" s="129"/>
      <c r="T165" s="129"/>
      <c r="U165" s="129"/>
      <c r="V165" s="129"/>
      <c r="W165" s="129"/>
      <c r="X165" s="8"/>
    </row>
    <row r="166" spans="1:26">
      <c r="A166" t="s">
        <v>184</v>
      </c>
    </row>
    <row r="167" spans="1:26">
      <c r="A167" t="s">
        <v>177</v>
      </c>
      <c r="N167" s="129"/>
      <c r="O167" s="129"/>
      <c r="P167" s="129"/>
      <c r="Q167" s="129"/>
    </row>
  </sheetData>
  <mergeCells count="55">
    <mergeCell ref="N60:P60"/>
    <mergeCell ref="O53:P53"/>
    <mergeCell ref="O54:P54"/>
    <mergeCell ref="O55:P55"/>
    <mergeCell ref="O56:O57"/>
    <mergeCell ref="O58:P58"/>
    <mergeCell ref="N53:N59"/>
    <mergeCell ref="O59:P59"/>
    <mergeCell ref="O37:P37"/>
    <mergeCell ref="N46:N52"/>
    <mergeCell ref="O52:P52"/>
    <mergeCell ref="O39:P39"/>
    <mergeCell ref="O40:P40"/>
    <mergeCell ref="O41:P41"/>
    <mergeCell ref="O42:O43"/>
    <mergeCell ref="O44:P44"/>
    <mergeCell ref="N39:N45"/>
    <mergeCell ref="O45:P45"/>
    <mergeCell ref="O46:P46"/>
    <mergeCell ref="O47:P47"/>
    <mergeCell ref="O48:P48"/>
    <mergeCell ref="O49:O50"/>
    <mergeCell ref="O51:P51"/>
    <mergeCell ref="O20:P20"/>
    <mergeCell ref="O21:O22"/>
    <mergeCell ref="O23:P23"/>
    <mergeCell ref="N32:N38"/>
    <mergeCell ref="O38:P38"/>
    <mergeCell ref="O25:P25"/>
    <mergeCell ref="O26:P26"/>
    <mergeCell ref="O27:P27"/>
    <mergeCell ref="O28:O29"/>
    <mergeCell ref="O30:P30"/>
    <mergeCell ref="N25:N31"/>
    <mergeCell ref="O31:P31"/>
    <mergeCell ref="O32:P32"/>
    <mergeCell ref="O33:P33"/>
    <mergeCell ref="O34:P34"/>
    <mergeCell ref="O35:O36"/>
    <mergeCell ref="N17:P17"/>
    <mergeCell ref="N18:N24"/>
    <mergeCell ref="O24:P24"/>
    <mergeCell ref="L85:L86"/>
    <mergeCell ref="A158:A160"/>
    <mergeCell ref="A133:B133"/>
    <mergeCell ref="A146:A148"/>
    <mergeCell ref="A134:A136"/>
    <mergeCell ref="A137:A139"/>
    <mergeCell ref="A140:A142"/>
    <mergeCell ref="A143:A145"/>
    <mergeCell ref="A149:A151"/>
    <mergeCell ref="A155:A157"/>
    <mergeCell ref="A152:A154"/>
    <mergeCell ref="O18:P18"/>
    <mergeCell ref="O19:P19"/>
  </mergeCells>
  <phoneticPr fontId="3" type="noConversion"/>
  <pageMargins left="0.70866141732283472" right="0.70866141732283472" top="0.74803149606299213" bottom="0.74803149606299213" header="0.31496062992125984" footer="0.31496062992125984"/>
  <pageSetup paperSize="9" scale="67" orientation="portrait" r:id="rId1"/>
  <rowBreaks count="2" manualBreakCount="2">
    <brk id="57" max="10" man="1"/>
    <brk id="119" max="10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R176"/>
  <sheetViews>
    <sheetView view="pageBreakPreview" topLeftCell="A91" zoomScaleNormal="100" zoomScaleSheetLayoutView="100" workbookViewId="0"/>
  </sheetViews>
  <sheetFormatPr defaultRowHeight="16.5"/>
  <cols>
    <col min="1" max="1" width="15.75" style="599" customWidth="1"/>
    <col min="2" max="9" width="10.125" style="599" customWidth="1"/>
    <col min="10" max="10" width="9" style="599"/>
    <col min="11" max="11" width="9.75" style="599" bestFit="1" customWidth="1"/>
    <col min="12" max="24" width="9" style="599"/>
    <col min="25" max="27" width="9" style="599" customWidth="1"/>
    <col min="28" max="28" width="14.25" style="599" customWidth="1"/>
    <col min="29" max="42" width="9" style="599" customWidth="1"/>
    <col min="43" max="44" width="9" style="599"/>
    <col min="45" max="45" width="9" style="599" customWidth="1"/>
    <col min="46" max="16384" width="9" style="599"/>
  </cols>
  <sheetData>
    <row r="1" spans="1:44">
      <c r="A1" s="601" t="s">
        <v>1503</v>
      </c>
    </row>
    <row r="2" spans="1:44" ht="17.25" customHeight="1">
      <c r="A2" s="137" t="s">
        <v>174</v>
      </c>
      <c r="B2" s="137" t="s">
        <v>690</v>
      </c>
      <c r="C2" s="137" t="s">
        <v>691</v>
      </c>
      <c r="D2" s="137" t="s">
        <v>637</v>
      </c>
      <c r="E2" s="137" t="s">
        <v>638</v>
      </c>
      <c r="F2" s="137" t="s">
        <v>639</v>
      </c>
      <c r="G2" s="137" t="s">
        <v>640</v>
      </c>
      <c r="H2" s="137" t="s">
        <v>641</v>
      </c>
      <c r="I2" s="137" t="s">
        <v>642</v>
      </c>
      <c r="J2" s="137" t="s">
        <v>643</v>
      </c>
      <c r="K2" s="137" t="s">
        <v>699</v>
      </c>
      <c r="L2" s="140" t="s">
        <v>1583</v>
      </c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</row>
    <row r="3" spans="1:44" ht="30" customHeight="1" thickBot="1">
      <c r="A3" s="139" t="s">
        <v>173</v>
      </c>
      <c r="B3" s="139"/>
      <c r="C3" s="140">
        <f>+사회적유입!X11</f>
        <v>1832</v>
      </c>
      <c r="D3" s="140">
        <f>사회적유입!X43+사회적유입!X39</f>
        <v>7531</v>
      </c>
      <c r="E3" s="140">
        <f>사회적유입!X73</f>
        <v>1635</v>
      </c>
      <c r="F3" s="140">
        <f>사회적유입!X81</f>
        <v>3175</v>
      </c>
      <c r="G3" s="140">
        <f>+사회적유입!X88-사회적유입!E88</f>
        <v>8083</v>
      </c>
      <c r="H3" s="140">
        <f>+사회적유입!X101+사회적유입!X108-사회적유입!X105-사회적유입!X106</f>
        <v>15670</v>
      </c>
      <c r="I3" s="140">
        <f>+사회적유입!X126+사회적유입!X124</f>
        <v>5416</v>
      </c>
      <c r="J3" s="140">
        <f>+사회적유입!X144+사회적유입!X142</f>
        <v>3538</v>
      </c>
      <c r="K3" s="140">
        <f>+사회적유입!X156</f>
        <v>1624</v>
      </c>
      <c r="L3" s="1545">
        <f>사회적유입!X109</f>
        <v>14162</v>
      </c>
      <c r="M3" s="106"/>
      <c r="N3" s="106" t="s">
        <v>620</v>
      </c>
      <c r="O3" s="106"/>
      <c r="P3" s="106"/>
      <c r="Q3" s="106"/>
      <c r="R3" s="106"/>
      <c r="S3" s="106"/>
      <c r="T3" s="106" t="s">
        <v>1257</v>
      </c>
      <c r="U3" s="106" t="s">
        <v>1258</v>
      </c>
      <c r="V3" s="106" t="s">
        <v>1259</v>
      </c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</row>
    <row r="4" spans="1:44" ht="30" customHeight="1">
      <c r="A4" s="137" t="s">
        <v>161</v>
      </c>
      <c r="B4" s="137"/>
      <c r="C4" s="141">
        <v>0.13</v>
      </c>
      <c r="D4" s="141">
        <v>0.34</v>
      </c>
      <c r="E4" s="141">
        <v>0.13</v>
      </c>
      <c r="F4" s="141">
        <v>0.13</v>
      </c>
      <c r="G4" s="141">
        <v>0.1</v>
      </c>
      <c r="H4" s="141">
        <v>0.1</v>
      </c>
      <c r="I4" s="141">
        <v>0.1</v>
      </c>
      <c r="J4" s="141">
        <v>0.13</v>
      </c>
      <c r="K4" s="141">
        <v>0.1</v>
      </c>
      <c r="L4" s="141">
        <v>0.1</v>
      </c>
      <c r="M4" s="106"/>
      <c r="N4" s="106"/>
      <c r="O4" s="106"/>
      <c r="P4" s="682" t="s">
        <v>623</v>
      </c>
      <c r="Q4" s="106" t="s">
        <v>624</v>
      </c>
      <c r="R4" s="106"/>
      <c r="S4" s="106"/>
      <c r="T4" s="106">
        <v>42000</v>
      </c>
      <c r="U4" s="106">
        <v>6917</v>
      </c>
      <c r="V4" s="106">
        <v>4882</v>
      </c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</row>
    <row r="5" spans="1:44" ht="30" customHeight="1">
      <c r="A5" s="142" t="s">
        <v>162</v>
      </c>
      <c r="B5" s="142"/>
      <c r="C5" s="143">
        <f t="shared" ref="C5:L5" si="0">ROUND(C3*C4,0)</f>
        <v>238</v>
      </c>
      <c r="D5" s="143">
        <f t="shared" si="0"/>
        <v>2561</v>
      </c>
      <c r="E5" s="143">
        <f t="shared" si="0"/>
        <v>213</v>
      </c>
      <c r="F5" s="143">
        <f t="shared" si="0"/>
        <v>413</v>
      </c>
      <c r="G5" s="143">
        <f t="shared" si="0"/>
        <v>808</v>
      </c>
      <c r="H5" s="143">
        <f t="shared" si="0"/>
        <v>1567</v>
      </c>
      <c r="I5" s="143">
        <f t="shared" si="0"/>
        <v>542</v>
      </c>
      <c r="J5" s="143">
        <f t="shared" si="0"/>
        <v>460</v>
      </c>
      <c r="K5" s="143">
        <f t="shared" si="0"/>
        <v>162</v>
      </c>
      <c r="L5" s="143">
        <f t="shared" si="0"/>
        <v>1416</v>
      </c>
      <c r="M5" s="106"/>
      <c r="N5" s="685" t="s">
        <v>621</v>
      </c>
      <c r="O5" s="679">
        <f>SUM(O6:O14)</f>
        <v>1</v>
      </c>
      <c r="P5" s="684">
        <f>SUM(P6:P14)</f>
        <v>1</v>
      </c>
      <c r="Q5" s="681">
        <f>ROUND(-T8*0.1,0)</f>
        <v>-499</v>
      </c>
      <c r="R5" s="106"/>
      <c r="S5" s="106"/>
      <c r="T5" s="106">
        <f>T4-U4-V4</f>
        <v>30201</v>
      </c>
      <c r="U5" s="106">
        <v>7239</v>
      </c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</row>
    <row r="6" spans="1:44" ht="30" customHeight="1">
      <c r="A6" s="137" t="s">
        <v>164</v>
      </c>
      <c r="B6" s="1172">
        <f>SUM(C6:K6)</f>
        <v>104316</v>
      </c>
      <c r="C6" s="1172">
        <f>'조성법총괄(내부이동률 적용 전)출력x'!C4</f>
        <v>18986</v>
      </c>
      <c r="D6" s="1172">
        <f>'조성법총괄(내부이동률 적용 전)출력x'!C7</f>
        <v>23334</v>
      </c>
      <c r="E6" s="1172">
        <f>'조성법총괄(내부이동률 적용 전)출력x'!C10</f>
        <v>3221</v>
      </c>
      <c r="F6" s="1172">
        <f>'조성법총괄(내부이동률 적용 전)출력x'!C13</f>
        <v>3243</v>
      </c>
      <c r="G6" s="1172">
        <f>'조성법총괄(내부이동률 적용 전)출력x'!C16</f>
        <v>10418</v>
      </c>
      <c r="H6" s="1172">
        <f>'조성법총괄(내부이동률 적용 전)출력x'!C19</f>
        <v>18802</v>
      </c>
      <c r="I6" s="1172">
        <f>'조성법총괄(내부이동률 적용 전)출력x'!C22</f>
        <v>9571</v>
      </c>
      <c r="J6" s="1172">
        <f>'조성법총괄(내부이동률 적용 전)출력x'!C25</f>
        <v>5351</v>
      </c>
      <c r="K6" s="1172">
        <f>'조성법총괄(내부이동률 적용 전)출력x'!C28</f>
        <v>11390</v>
      </c>
      <c r="L6" s="1172">
        <v>0</v>
      </c>
      <c r="M6" s="106"/>
      <c r="N6" s="685" t="str">
        <f>+C2</f>
        <v>음성읍</v>
      </c>
      <c r="O6" s="679">
        <f>+C7</f>
        <v>0.18200467809348517</v>
      </c>
      <c r="P6" s="684">
        <v>0.15</v>
      </c>
      <c r="Q6" s="681">
        <f t="shared" ref="Q6:Q14" si="1">ROUND($Q$5*P6,0)</f>
        <v>-75</v>
      </c>
      <c r="R6" s="106"/>
      <c r="S6" s="106"/>
      <c r="T6" s="106" t="s">
        <v>1327</v>
      </c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</row>
    <row r="7" spans="1:44" ht="30" customHeight="1">
      <c r="A7" s="137" t="s">
        <v>163</v>
      </c>
      <c r="B7" s="678">
        <f>SUM(C7:K7)</f>
        <v>1</v>
      </c>
      <c r="C7" s="144">
        <f t="shared" ref="C7:L7" si="2">C6/$B$6</f>
        <v>0.18200467809348517</v>
      </c>
      <c r="D7" s="144">
        <f t="shared" si="2"/>
        <v>0.22368572414586449</v>
      </c>
      <c r="E7" s="144">
        <f t="shared" si="2"/>
        <v>3.0877334253614018E-2</v>
      </c>
      <c r="F7" s="144">
        <f t="shared" si="2"/>
        <v>3.1088231910732775E-2</v>
      </c>
      <c r="G7" s="144">
        <f t="shared" si="2"/>
        <v>9.9869626902872044E-2</v>
      </c>
      <c r="H7" s="144">
        <f t="shared" si="2"/>
        <v>0.18024080677940105</v>
      </c>
      <c r="I7" s="144">
        <f t="shared" si="2"/>
        <v>9.1750067103799987E-2</v>
      </c>
      <c r="J7" s="144">
        <f t="shared" si="2"/>
        <v>5.1296061965566166E-2</v>
      </c>
      <c r="K7" s="144">
        <f t="shared" si="2"/>
        <v>0.10918746884466429</v>
      </c>
      <c r="L7" s="144">
        <f t="shared" si="2"/>
        <v>0</v>
      </c>
      <c r="M7" s="106"/>
      <c r="N7" s="685" t="str">
        <f>+D2</f>
        <v>금왕읍</v>
      </c>
      <c r="O7" s="679">
        <f>+D7</f>
        <v>0.22368572414586449</v>
      </c>
      <c r="P7" s="684">
        <v>0.3</v>
      </c>
      <c r="Q7" s="681">
        <f t="shared" si="1"/>
        <v>-150</v>
      </c>
      <c r="R7" s="106"/>
      <c r="S7" s="106"/>
      <c r="T7" s="106">
        <v>12230</v>
      </c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</row>
    <row r="8" spans="1:44">
      <c r="A8" s="104"/>
      <c r="B8" s="105"/>
      <c r="C8" s="105"/>
      <c r="D8" s="105"/>
      <c r="E8" s="105"/>
      <c r="F8" s="105"/>
      <c r="G8" s="105"/>
      <c r="H8" s="105"/>
      <c r="I8" s="105"/>
      <c r="J8" s="105"/>
      <c r="K8" s="105"/>
      <c r="M8" s="106"/>
      <c r="N8" s="685" t="str">
        <f>+E2</f>
        <v>소이면</v>
      </c>
      <c r="O8" s="679">
        <f>+E7</f>
        <v>3.0877334253614018E-2</v>
      </c>
      <c r="P8" s="684">
        <v>0.03</v>
      </c>
      <c r="Q8" s="681">
        <f t="shared" si="1"/>
        <v>-15</v>
      </c>
      <c r="R8" s="106"/>
      <c r="S8" s="106"/>
      <c r="T8" s="106">
        <f>T7-U5</f>
        <v>4991</v>
      </c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</row>
    <row r="9" spans="1:44" ht="18" customHeight="1" thickBot="1">
      <c r="A9" s="104"/>
      <c r="B9" s="105"/>
      <c r="C9" s="105"/>
      <c r="D9" s="105"/>
      <c r="E9" s="105"/>
      <c r="F9" s="105"/>
      <c r="G9" s="105"/>
      <c r="H9" s="105"/>
      <c r="I9" s="105"/>
      <c r="J9" s="105"/>
      <c r="K9" s="105"/>
      <c r="M9" s="106"/>
      <c r="N9" s="685" t="str">
        <f>+F2</f>
        <v>원남면</v>
      </c>
      <c r="O9" s="679">
        <f>+F7</f>
        <v>3.1088231910732775E-2</v>
      </c>
      <c r="P9" s="684">
        <v>0.03</v>
      </c>
      <c r="Q9" s="681">
        <f t="shared" si="1"/>
        <v>-15</v>
      </c>
      <c r="R9" s="106"/>
      <c r="S9" s="106" t="s">
        <v>1612</v>
      </c>
      <c r="T9" s="106">
        <v>45</v>
      </c>
      <c r="U9" s="106">
        <v>29</v>
      </c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</row>
    <row r="10" spans="1:44" ht="18" customHeight="1">
      <c r="A10" s="145" t="s">
        <v>691</v>
      </c>
      <c r="B10" s="146" t="s">
        <v>166</v>
      </c>
      <c r="C10" s="147" t="s">
        <v>171</v>
      </c>
      <c r="D10" s="148" t="s">
        <v>168</v>
      </c>
      <c r="E10" s="138"/>
      <c r="F10" s="138" t="s">
        <v>169</v>
      </c>
      <c r="G10" s="149" t="s">
        <v>172</v>
      </c>
      <c r="H10" s="150"/>
      <c r="I10" s="150"/>
      <c r="J10" s="150"/>
      <c r="K10" s="151" t="s">
        <v>577</v>
      </c>
      <c r="N10" s="97" t="str">
        <f>+G2</f>
        <v>맹동면</v>
      </c>
      <c r="O10" s="677">
        <f>+G7</f>
        <v>9.9869626902872044E-2</v>
      </c>
      <c r="P10" s="680">
        <v>0.11</v>
      </c>
      <c r="Q10" s="681">
        <f t="shared" si="1"/>
        <v>-55</v>
      </c>
      <c r="S10" s="599" t="s">
        <v>1614</v>
      </c>
      <c r="T10" s="599">
        <v>45</v>
      </c>
      <c r="U10" s="599">
        <v>37</v>
      </c>
      <c r="AA10" s="112"/>
    </row>
    <row r="11" spans="1:44" ht="18" customHeight="1" thickBot="1">
      <c r="A11" s="152" t="s">
        <v>170</v>
      </c>
      <c r="B11" s="153">
        <f>+$C$5</f>
        <v>238</v>
      </c>
      <c r="C11" s="153">
        <f>SUM(C12:C20)</f>
        <v>1714</v>
      </c>
      <c r="D11" s="154">
        <f>SUM(D12:D20)</f>
        <v>0.81799532190651481</v>
      </c>
      <c r="E11" s="138">
        <f>+D11*100</f>
        <v>81.799532190651476</v>
      </c>
      <c r="F11" s="155">
        <f>SUM(F12:F20)</f>
        <v>1</v>
      </c>
      <c r="G11" s="138"/>
      <c r="H11" s="150"/>
      <c r="I11" s="150"/>
      <c r="J11" s="150"/>
      <c r="K11" s="156">
        <f>0-C11</f>
        <v>-1714</v>
      </c>
      <c r="N11" s="97" t="str">
        <f>+H2</f>
        <v>대소면</v>
      </c>
      <c r="O11" s="677">
        <f>+H7</f>
        <v>0.18024080677940105</v>
      </c>
      <c r="P11" s="680">
        <v>0.25</v>
      </c>
      <c r="Q11" s="681">
        <f t="shared" si="1"/>
        <v>-125</v>
      </c>
      <c r="S11" s="599" t="s">
        <v>1156</v>
      </c>
      <c r="T11" s="1025">
        <v>10</v>
      </c>
      <c r="U11" s="599">
        <v>34</v>
      </c>
      <c r="AA11" s="109"/>
    </row>
    <row r="12" spans="1:44" ht="18" customHeight="1" thickBot="1">
      <c r="A12" s="157" t="s">
        <v>637</v>
      </c>
      <c r="B12" s="158">
        <f>ROUND(B11*F12,0)-G12</f>
        <v>65</v>
      </c>
      <c r="C12" s="167">
        <f>+B24</f>
        <v>600</v>
      </c>
      <c r="D12" s="154">
        <f t="shared" ref="D12:D20" si="3">+HLOOKUP($A12,$B$2:$L$7,6,FALSE)</f>
        <v>0.22368572414586449</v>
      </c>
      <c r="E12" s="138">
        <f t="shared" ref="E12:E20" si="4">+D12*100</f>
        <v>22.368572414586449</v>
      </c>
      <c r="F12" s="159">
        <f>+E12/E11</f>
        <v>0.2734559943747803</v>
      </c>
      <c r="G12" s="138"/>
      <c r="H12" s="150"/>
      <c r="I12" s="150"/>
      <c r="J12" s="150"/>
      <c r="K12" s="160"/>
      <c r="N12" s="97" t="str">
        <f>I2</f>
        <v>삼성면</v>
      </c>
      <c r="O12" s="677">
        <f>I7</f>
        <v>9.1750067103799987E-2</v>
      </c>
      <c r="P12" s="726">
        <v>0.05</v>
      </c>
      <c r="Q12" s="681">
        <f t="shared" si="1"/>
        <v>-25</v>
      </c>
      <c r="AA12" s="109"/>
    </row>
    <row r="13" spans="1:44" ht="18" customHeight="1" thickBot="1">
      <c r="A13" s="161" t="s">
        <v>638</v>
      </c>
      <c r="B13" s="162">
        <f>ROUND(B11*F13,0)</f>
        <v>9</v>
      </c>
      <c r="C13" s="138">
        <f>+B36</f>
        <v>40</v>
      </c>
      <c r="D13" s="154">
        <f t="shared" si="3"/>
        <v>3.0877334253614018E-2</v>
      </c>
      <c r="E13" s="138">
        <f t="shared" si="4"/>
        <v>3.0877334253614017</v>
      </c>
      <c r="F13" s="159">
        <f>+E13/E11</f>
        <v>3.7747568264385328E-2</v>
      </c>
      <c r="G13" s="138"/>
      <c r="H13" s="150"/>
      <c r="I13" s="150"/>
      <c r="J13" s="150"/>
      <c r="K13" s="160"/>
      <c r="N13" s="97" t="str">
        <f>J2</f>
        <v>생극면</v>
      </c>
      <c r="O13" s="677">
        <f>J7</f>
        <v>5.1296061965566166E-2</v>
      </c>
      <c r="P13" s="726">
        <v>0.03</v>
      </c>
      <c r="Q13" s="681">
        <f t="shared" si="1"/>
        <v>-15</v>
      </c>
      <c r="Z13" s="109"/>
    </row>
    <row r="14" spans="1:44" ht="18" customHeight="1" thickBot="1">
      <c r="A14" s="161" t="s">
        <v>639</v>
      </c>
      <c r="B14" s="162">
        <f>ROUND(B11*F14,0)</f>
        <v>9</v>
      </c>
      <c r="C14" s="138">
        <f>+B48</f>
        <v>77</v>
      </c>
      <c r="D14" s="154">
        <f t="shared" si="3"/>
        <v>3.1088231910732775E-2</v>
      </c>
      <c r="E14" s="138">
        <f t="shared" si="4"/>
        <v>3.1088231910732773</v>
      </c>
      <c r="F14" s="159">
        <f>+E14/E11</f>
        <v>3.8005390835579515E-2</v>
      </c>
      <c r="G14" s="138"/>
      <c r="H14" s="150"/>
      <c r="I14" s="150"/>
      <c r="J14" s="150"/>
      <c r="K14" s="160"/>
      <c r="N14" s="97" t="str">
        <f>K2</f>
        <v>감곡면</v>
      </c>
      <c r="O14" s="677">
        <f>+K7</f>
        <v>0.10918746884466429</v>
      </c>
      <c r="P14" s="683">
        <v>0.05</v>
      </c>
      <c r="Q14" s="681">
        <f t="shared" si="1"/>
        <v>-25</v>
      </c>
      <c r="Z14" s="109"/>
    </row>
    <row r="15" spans="1:44" ht="18" customHeight="1" thickBot="1">
      <c r="A15" s="161" t="s">
        <v>640</v>
      </c>
      <c r="B15" s="162">
        <f>ROUND(B11*F15,0)</f>
        <v>29</v>
      </c>
      <c r="C15" s="138">
        <f>+B60</f>
        <v>163</v>
      </c>
      <c r="D15" s="154">
        <f t="shared" si="3"/>
        <v>9.9869626902872044E-2</v>
      </c>
      <c r="E15" s="138">
        <f t="shared" si="4"/>
        <v>9.9869626902872035</v>
      </c>
      <c r="F15" s="159">
        <f>+E15/E11</f>
        <v>0.12209070666822923</v>
      </c>
      <c r="G15" s="138"/>
      <c r="H15" s="150"/>
      <c r="I15" s="150"/>
      <c r="J15" s="150"/>
      <c r="K15" s="160"/>
      <c r="Z15" s="109"/>
    </row>
    <row r="16" spans="1:44" ht="18" customHeight="1" thickBot="1">
      <c r="A16" s="161" t="s">
        <v>641</v>
      </c>
      <c r="B16" s="162">
        <f>ROUND(B11*F16,0)</f>
        <v>52</v>
      </c>
      <c r="C16" s="138">
        <f>+B72</f>
        <v>347</v>
      </c>
      <c r="D16" s="154">
        <f t="shared" si="3"/>
        <v>0.18024080677940105</v>
      </c>
      <c r="E16" s="138">
        <f t="shared" si="4"/>
        <v>18.024080677940105</v>
      </c>
      <c r="F16" s="159">
        <f>+E16/E11</f>
        <v>0.22034454470877771</v>
      </c>
      <c r="G16" s="138"/>
      <c r="H16" s="150"/>
      <c r="I16" s="150"/>
      <c r="J16" s="150"/>
      <c r="K16" s="160"/>
      <c r="Q16" s="1025"/>
      <c r="Z16" s="109"/>
    </row>
    <row r="17" spans="1:28" ht="18" customHeight="1" thickBot="1">
      <c r="A17" s="161" t="s">
        <v>642</v>
      </c>
      <c r="B17" s="162">
        <f>ROUND(B11*F17,0)</f>
        <v>27</v>
      </c>
      <c r="C17" s="138">
        <f>+B84</f>
        <v>108</v>
      </c>
      <c r="D17" s="154">
        <f t="shared" si="3"/>
        <v>9.1750067103799987E-2</v>
      </c>
      <c r="E17" s="138">
        <f t="shared" si="4"/>
        <v>9.1750067103799982</v>
      </c>
      <c r="F17" s="159">
        <f>+E17/E11</f>
        <v>0.11216453767725301</v>
      </c>
      <c r="G17" s="138"/>
      <c r="H17" s="150"/>
      <c r="I17" s="150"/>
      <c r="J17" s="150"/>
      <c r="K17" s="160"/>
      <c r="N17" s="2393" t="s">
        <v>1142</v>
      </c>
      <c r="O17" s="2394"/>
      <c r="P17" s="2395"/>
      <c r="Q17" s="939" t="s">
        <v>1143</v>
      </c>
      <c r="R17" s="940" t="s">
        <v>676</v>
      </c>
      <c r="S17" s="941" t="s">
        <v>1131</v>
      </c>
      <c r="T17" s="941" t="s">
        <v>679</v>
      </c>
      <c r="U17" s="941" t="s">
        <v>681</v>
      </c>
      <c r="V17" s="941" t="s">
        <v>683</v>
      </c>
      <c r="W17" s="941" t="s">
        <v>685</v>
      </c>
      <c r="X17" s="941" t="s">
        <v>687</v>
      </c>
      <c r="Y17" s="941" t="s">
        <v>688</v>
      </c>
      <c r="Z17" s="942" t="s">
        <v>689</v>
      </c>
    </row>
    <row r="18" spans="1:28" ht="18" customHeight="1" thickBot="1">
      <c r="A18" s="161" t="s">
        <v>643</v>
      </c>
      <c r="B18" s="162">
        <f>ROUND(B11*F18,0)</f>
        <v>15</v>
      </c>
      <c r="C18" s="138">
        <f>+B96</f>
        <v>88</v>
      </c>
      <c r="D18" s="154">
        <f t="shared" si="3"/>
        <v>5.1296061965566166E-2</v>
      </c>
      <c r="E18" s="138">
        <f t="shared" si="4"/>
        <v>5.1296061965566162</v>
      </c>
      <c r="F18" s="159">
        <f>+E18/E11</f>
        <v>6.2709480839095277E-2</v>
      </c>
      <c r="G18" s="138"/>
      <c r="H18" s="150"/>
      <c r="I18" s="150"/>
      <c r="J18" s="150"/>
      <c r="K18" s="160"/>
      <c r="N18" s="2367">
        <v>2016</v>
      </c>
      <c r="O18" s="2379" t="s">
        <v>565</v>
      </c>
      <c r="P18" s="2380"/>
      <c r="Q18" s="945">
        <v>989</v>
      </c>
      <c r="R18" s="946">
        <v>145</v>
      </c>
      <c r="S18" s="947">
        <v>191</v>
      </c>
      <c r="T18" s="947">
        <v>34</v>
      </c>
      <c r="U18" s="947">
        <v>25</v>
      </c>
      <c r="V18" s="947">
        <v>204</v>
      </c>
      <c r="W18" s="947">
        <v>159</v>
      </c>
      <c r="X18" s="947">
        <v>90</v>
      </c>
      <c r="Y18" s="947">
        <v>52</v>
      </c>
      <c r="Z18" s="947">
        <v>89</v>
      </c>
    </row>
    <row r="19" spans="1:28" ht="18" customHeight="1" thickBot="1">
      <c r="A19" s="163" t="s">
        <v>699</v>
      </c>
      <c r="B19" s="164">
        <f>ROUND(B11*F19,0)</f>
        <v>32</v>
      </c>
      <c r="C19" s="138">
        <f>+B108</f>
        <v>33</v>
      </c>
      <c r="D19" s="154">
        <f t="shared" si="3"/>
        <v>0.10918746884466429</v>
      </c>
      <c r="E19" s="138">
        <f t="shared" si="4"/>
        <v>10.918746884466429</v>
      </c>
      <c r="F19" s="159">
        <f>+E19/E11</f>
        <v>0.1334817766318997</v>
      </c>
      <c r="G19" s="138"/>
      <c r="H19" s="150"/>
      <c r="I19" s="150"/>
      <c r="J19" s="150"/>
      <c r="K19" s="160"/>
      <c r="N19" s="2368"/>
      <c r="O19" s="2381" t="s">
        <v>1144</v>
      </c>
      <c r="P19" s="2382"/>
      <c r="Q19" s="945">
        <v>548</v>
      </c>
      <c r="R19" s="946">
        <v>70</v>
      </c>
      <c r="S19" s="947">
        <v>109</v>
      </c>
      <c r="T19" s="947">
        <v>21</v>
      </c>
      <c r="U19" s="947">
        <v>14</v>
      </c>
      <c r="V19" s="947">
        <v>107</v>
      </c>
      <c r="W19" s="947">
        <v>101</v>
      </c>
      <c r="X19" s="947">
        <v>49</v>
      </c>
      <c r="Y19" s="947">
        <v>28</v>
      </c>
      <c r="Z19" s="947">
        <v>49</v>
      </c>
    </row>
    <row r="20" spans="1:28" ht="18" customHeight="1" thickBot="1">
      <c r="A20" s="163" t="s">
        <v>1583</v>
      </c>
      <c r="B20" s="164">
        <f>ROUND(B12*F20,0)</f>
        <v>0</v>
      </c>
      <c r="C20" s="1552">
        <f>B122</f>
        <v>258</v>
      </c>
      <c r="D20" s="154">
        <f t="shared" si="3"/>
        <v>0</v>
      </c>
      <c r="E20" s="138">
        <f t="shared" si="4"/>
        <v>0</v>
      </c>
      <c r="F20" s="141">
        <f>+E20/E12</f>
        <v>0</v>
      </c>
      <c r="G20" s="138"/>
      <c r="H20" s="150"/>
      <c r="I20" s="150"/>
      <c r="J20" s="150"/>
      <c r="K20" s="160"/>
      <c r="N20" s="2368"/>
      <c r="O20" s="2383" t="s">
        <v>1145</v>
      </c>
      <c r="P20" s="2384"/>
      <c r="Q20" s="945">
        <v>441</v>
      </c>
      <c r="R20" s="946">
        <v>75</v>
      </c>
      <c r="S20" s="947">
        <v>82</v>
      </c>
      <c r="T20" s="947">
        <v>13</v>
      </c>
      <c r="U20" s="947">
        <v>11</v>
      </c>
      <c r="V20" s="947">
        <v>97</v>
      </c>
      <c r="W20" s="947">
        <v>58</v>
      </c>
      <c r="X20" s="947">
        <v>41</v>
      </c>
      <c r="Y20" s="947">
        <v>24</v>
      </c>
      <c r="Z20" s="947">
        <v>40</v>
      </c>
    </row>
    <row r="21" spans="1:28" ht="18" customHeight="1" thickBot="1">
      <c r="A21" s="165"/>
      <c r="B21" s="150"/>
      <c r="C21" s="150"/>
      <c r="D21" s="150"/>
      <c r="E21" s="150"/>
      <c r="F21" s="150"/>
      <c r="G21" s="150"/>
      <c r="H21" s="150"/>
      <c r="I21" s="150"/>
      <c r="J21" s="150"/>
      <c r="K21" s="166"/>
      <c r="N21" s="2368"/>
      <c r="O21" s="2380" t="s">
        <v>1146</v>
      </c>
      <c r="P21" s="943" t="s">
        <v>1147</v>
      </c>
      <c r="Q21" s="945">
        <v>157</v>
      </c>
      <c r="R21" s="946">
        <v>10</v>
      </c>
      <c r="S21" s="947">
        <v>45</v>
      </c>
      <c r="T21" s="947">
        <v>5</v>
      </c>
      <c r="U21" s="947">
        <v>1</v>
      </c>
      <c r="V21" s="947">
        <v>37</v>
      </c>
      <c r="W21" s="947">
        <v>31</v>
      </c>
      <c r="X21" s="947">
        <v>19</v>
      </c>
      <c r="Y21" s="947">
        <v>7</v>
      </c>
      <c r="Z21" s="947">
        <v>2</v>
      </c>
      <c r="AA21" s="949"/>
      <c r="AB21" s="948"/>
    </row>
    <row r="22" spans="1:28" ht="18" customHeight="1">
      <c r="A22" s="145" t="s">
        <v>637</v>
      </c>
      <c r="B22" s="146" t="s">
        <v>166</v>
      </c>
      <c r="C22" s="147" t="s">
        <v>1386</v>
      </c>
      <c r="D22" s="148" t="s">
        <v>168</v>
      </c>
      <c r="E22" s="138"/>
      <c r="F22" s="138" t="s">
        <v>169</v>
      </c>
      <c r="G22" s="149" t="s">
        <v>172</v>
      </c>
      <c r="H22" s="150"/>
      <c r="I22" s="150"/>
      <c r="J22" s="150"/>
      <c r="K22" s="151" t="s">
        <v>577</v>
      </c>
      <c r="N22" s="2368"/>
      <c r="O22" s="2385"/>
      <c r="P22" s="944" t="s">
        <v>1148</v>
      </c>
      <c r="Q22" s="945">
        <v>221</v>
      </c>
      <c r="R22" s="946">
        <v>48</v>
      </c>
      <c r="S22" s="947">
        <v>48</v>
      </c>
      <c r="T22" s="947">
        <v>12</v>
      </c>
      <c r="U22" s="947">
        <v>14</v>
      </c>
      <c r="V22" s="947">
        <v>53</v>
      </c>
      <c r="W22" s="947">
        <v>34</v>
      </c>
      <c r="X22" s="947">
        <v>7</v>
      </c>
      <c r="Y22" s="947">
        <v>4</v>
      </c>
      <c r="Z22" s="947">
        <v>1</v>
      </c>
      <c r="AB22" s="948"/>
    </row>
    <row r="23" spans="1:28" ht="18" customHeight="1" thickBot="1">
      <c r="A23" s="152" t="s">
        <v>434</v>
      </c>
      <c r="B23" s="153">
        <f>+$D$5</f>
        <v>2561</v>
      </c>
      <c r="C23" s="153">
        <f>SUM(C24:C32)</f>
        <v>1437</v>
      </c>
      <c r="D23" s="154">
        <f>SUM(D24:D32)</f>
        <v>0.77631427585413548</v>
      </c>
      <c r="E23" s="138">
        <f>+D23*100</f>
        <v>77.631427585413547</v>
      </c>
      <c r="F23" s="155">
        <f>SUM(F24:F32)</f>
        <v>0.99999999999999989</v>
      </c>
      <c r="G23" s="138"/>
      <c r="H23" s="150"/>
      <c r="I23" s="150"/>
      <c r="J23" s="150"/>
      <c r="K23" s="156">
        <f>0-C23</f>
        <v>-1437</v>
      </c>
      <c r="N23" s="2368"/>
      <c r="O23" s="2386" t="s">
        <v>1149</v>
      </c>
      <c r="P23" s="2370"/>
      <c r="Q23" s="945">
        <v>611</v>
      </c>
      <c r="R23" s="946">
        <v>87</v>
      </c>
      <c r="S23" s="947">
        <v>98</v>
      </c>
      <c r="T23" s="947">
        <v>17</v>
      </c>
      <c r="U23" s="947">
        <v>10</v>
      </c>
      <c r="V23" s="947">
        <v>114</v>
      </c>
      <c r="W23" s="947">
        <v>94</v>
      </c>
      <c r="X23" s="947">
        <v>64</v>
      </c>
      <c r="Y23" s="947">
        <v>41</v>
      </c>
      <c r="Z23" s="947">
        <v>86</v>
      </c>
    </row>
    <row r="24" spans="1:28" ht="18" customHeight="1" thickBot="1">
      <c r="A24" s="157" t="s">
        <v>691</v>
      </c>
      <c r="B24" s="158">
        <f>ROUND(B23*F24,0)-G24</f>
        <v>600</v>
      </c>
      <c r="C24" s="167">
        <f>+B12</f>
        <v>65</v>
      </c>
      <c r="D24" s="154">
        <f t="shared" ref="D24:D32" si="5">+HLOOKUP($A24,$B$2:$L$7,6,FALSE)</f>
        <v>0.18200467809348517</v>
      </c>
      <c r="E24" s="138">
        <f t="shared" ref="E24:E32" si="6">+D24*100</f>
        <v>18.200467809348517</v>
      </c>
      <c r="F24" s="141">
        <f>+E24/E23</f>
        <v>0.23444716109752783</v>
      </c>
      <c r="G24" s="138"/>
      <c r="H24" s="150"/>
      <c r="I24" s="150"/>
      <c r="J24" s="150"/>
      <c r="K24" s="160"/>
      <c r="N24" s="2369"/>
      <c r="O24" s="2370" t="s">
        <v>1150</v>
      </c>
      <c r="P24" s="2371"/>
      <c r="Q24" s="950">
        <f>ROUND(Q21/Q18,2)</f>
        <v>0.16</v>
      </c>
      <c r="R24" s="950">
        <f>ROUND(R21/R18,2)</f>
        <v>7.0000000000000007E-2</v>
      </c>
      <c r="S24" s="950">
        <f t="shared" ref="S24:Z24" si="7">ROUND(S21/S18,2)</f>
        <v>0.24</v>
      </c>
      <c r="T24" s="950">
        <f t="shared" si="7"/>
        <v>0.15</v>
      </c>
      <c r="U24" s="950">
        <f t="shared" si="7"/>
        <v>0.04</v>
      </c>
      <c r="V24" s="950">
        <f t="shared" si="7"/>
        <v>0.18</v>
      </c>
      <c r="W24" s="950">
        <f t="shared" si="7"/>
        <v>0.19</v>
      </c>
      <c r="X24" s="950">
        <f t="shared" si="7"/>
        <v>0.21</v>
      </c>
      <c r="Y24" s="950">
        <f t="shared" si="7"/>
        <v>0.13</v>
      </c>
      <c r="Z24" s="950">
        <f t="shared" si="7"/>
        <v>0.02</v>
      </c>
    </row>
    <row r="25" spans="1:28" ht="18" customHeight="1" thickBot="1">
      <c r="A25" s="161" t="s">
        <v>638</v>
      </c>
      <c r="B25" s="162">
        <f>ROUND(B23*F25,0)</f>
        <v>102</v>
      </c>
      <c r="C25" s="138">
        <f>+B37</f>
        <v>49</v>
      </c>
      <c r="D25" s="154">
        <f t="shared" si="5"/>
        <v>3.0877334253614018E-2</v>
      </c>
      <c r="E25" s="138">
        <f t="shared" si="6"/>
        <v>3.0877334253614017</v>
      </c>
      <c r="F25" s="141">
        <f>+E25/E23</f>
        <v>3.9774270825615569E-2</v>
      </c>
      <c r="G25" s="138"/>
      <c r="H25" s="150"/>
      <c r="I25" s="150"/>
      <c r="J25" s="150"/>
      <c r="K25" s="160"/>
      <c r="N25" s="2387">
        <v>2015</v>
      </c>
      <c r="O25" s="2379" t="s">
        <v>565</v>
      </c>
      <c r="P25" s="2380"/>
      <c r="Q25" s="945">
        <v>1521</v>
      </c>
      <c r="R25" s="946">
        <v>129</v>
      </c>
      <c r="S25" s="947">
        <v>234</v>
      </c>
      <c r="T25" s="947">
        <v>23</v>
      </c>
      <c r="U25" s="947">
        <v>47</v>
      </c>
      <c r="V25" s="947">
        <v>620</v>
      </c>
      <c r="W25" s="947">
        <v>240</v>
      </c>
      <c r="X25" s="947">
        <v>65</v>
      </c>
      <c r="Y25" s="947">
        <v>65</v>
      </c>
      <c r="Z25" s="947">
        <v>98</v>
      </c>
    </row>
    <row r="26" spans="1:28" ht="18" customHeight="1" thickBot="1">
      <c r="A26" s="161" t="s">
        <v>639</v>
      </c>
      <c r="B26" s="162">
        <f>ROUND(B23*F26,0)</f>
        <v>103</v>
      </c>
      <c r="C26" s="138">
        <f>+B49</f>
        <v>95</v>
      </c>
      <c r="D26" s="154">
        <f t="shared" si="5"/>
        <v>3.1088231910732775E-2</v>
      </c>
      <c r="E26" s="138">
        <f t="shared" si="6"/>
        <v>3.1088231910732773</v>
      </c>
      <c r="F26" s="141">
        <f>+E26/E23</f>
        <v>4.0045936133955698E-2</v>
      </c>
      <c r="G26" s="138"/>
      <c r="H26" s="150"/>
      <c r="I26" s="150"/>
      <c r="J26" s="150"/>
      <c r="K26" s="160"/>
      <c r="N26" s="2368"/>
      <c r="O26" s="2381" t="s">
        <v>1144</v>
      </c>
      <c r="P26" s="2382"/>
      <c r="Q26" s="945">
        <v>831</v>
      </c>
      <c r="R26" s="946">
        <v>70</v>
      </c>
      <c r="S26" s="947">
        <v>133</v>
      </c>
      <c r="T26" s="947">
        <v>13</v>
      </c>
      <c r="U26" s="947">
        <v>24</v>
      </c>
      <c r="V26" s="947">
        <v>343</v>
      </c>
      <c r="W26" s="947">
        <v>137</v>
      </c>
      <c r="X26" s="947">
        <v>35</v>
      </c>
      <c r="Y26" s="947">
        <v>37</v>
      </c>
      <c r="Z26" s="947">
        <v>39</v>
      </c>
    </row>
    <row r="27" spans="1:28" ht="18" customHeight="1" thickBot="1">
      <c r="A27" s="161" t="s">
        <v>640</v>
      </c>
      <c r="B27" s="162">
        <f>ROUND(B23*F27,0)</f>
        <v>329</v>
      </c>
      <c r="C27" s="138">
        <f>+B61</f>
        <v>201</v>
      </c>
      <c r="D27" s="154">
        <f t="shared" si="5"/>
        <v>9.9869626902872044E-2</v>
      </c>
      <c r="E27" s="138">
        <f t="shared" si="6"/>
        <v>9.9869626902872035</v>
      </c>
      <c r="F27" s="141">
        <f>+E27/E23</f>
        <v>0.12864587192215554</v>
      </c>
      <c r="G27" s="138"/>
      <c r="H27" s="150"/>
      <c r="I27" s="150"/>
      <c r="J27" s="150"/>
      <c r="K27" s="160"/>
      <c r="N27" s="2368"/>
      <c r="O27" s="2383" t="s">
        <v>1145</v>
      </c>
      <c r="P27" s="2384"/>
      <c r="Q27" s="945">
        <v>690</v>
      </c>
      <c r="R27" s="946">
        <v>59</v>
      </c>
      <c r="S27" s="947">
        <v>101</v>
      </c>
      <c r="T27" s="947">
        <v>10</v>
      </c>
      <c r="U27" s="947">
        <v>23</v>
      </c>
      <c r="V27" s="947">
        <v>277</v>
      </c>
      <c r="W27" s="947">
        <v>103</v>
      </c>
      <c r="X27" s="947">
        <v>30</v>
      </c>
      <c r="Y27" s="947">
        <v>28</v>
      </c>
      <c r="Z27" s="947">
        <v>59</v>
      </c>
    </row>
    <row r="28" spans="1:28" ht="18" customHeight="1" thickBot="1">
      <c r="A28" s="161" t="s">
        <v>641</v>
      </c>
      <c r="B28" s="162">
        <f>ROUND(B23*F28,0)-G28</f>
        <v>595</v>
      </c>
      <c r="C28" s="138">
        <f>+B73</f>
        <v>428</v>
      </c>
      <c r="D28" s="154">
        <f t="shared" si="5"/>
        <v>0.18024080677940105</v>
      </c>
      <c r="E28" s="138">
        <f t="shared" si="6"/>
        <v>18.024080677940105</v>
      </c>
      <c r="F28" s="141">
        <f>+E28/E23</f>
        <v>0.23217505124595592</v>
      </c>
      <c r="G28" s="138"/>
      <c r="H28" s="150"/>
      <c r="I28" s="150"/>
      <c r="J28" s="150"/>
      <c r="K28" s="160"/>
      <c r="N28" s="2368"/>
      <c r="O28" s="2380" t="s">
        <v>1146</v>
      </c>
      <c r="P28" s="943" t="s">
        <v>1147</v>
      </c>
      <c r="Q28" s="945">
        <v>352</v>
      </c>
      <c r="R28" s="946">
        <v>19</v>
      </c>
      <c r="S28" s="947">
        <v>47</v>
      </c>
      <c r="T28" s="947">
        <v>6</v>
      </c>
      <c r="U28" s="947">
        <v>13</v>
      </c>
      <c r="V28" s="947">
        <v>196</v>
      </c>
      <c r="W28" s="947">
        <v>44</v>
      </c>
      <c r="X28" s="947">
        <v>13</v>
      </c>
      <c r="Y28" s="947">
        <v>13</v>
      </c>
      <c r="Z28" s="947">
        <v>1</v>
      </c>
    </row>
    <row r="29" spans="1:28" ht="18" customHeight="1" thickBot="1">
      <c r="A29" s="161" t="s">
        <v>642</v>
      </c>
      <c r="B29" s="162">
        <f>ROUND(B23*F29,0)-G29</f>
        <v>303</v>
      </c>
      <c r="C29" s="138">
        <f>+B85</f>
        <v>133</v>
      </c>
      <c r="D29" s="154">
        <f t="shared" si="5"/>
        <v>9.1750067103799987E-2</v>
      </c>
      <c r="E29" s="138">
        <f t="shared" si="6"/>
        <v>9.1750067103799982</v>
      </c>
      <c r="F29" s="141">
        <f>+E29/E23</f>
        <v>0.11818675755106073</v>
      </c>
      <c r="G29" s="138"/>
      <c r="H29" s="150"/>
      <c r="I29" s="150"/>
      <c r="J29" s="150"/>
      <c r="K29" s="160"/>
      <c r="N29" s="2368"/>
      <c r="O29" s="2385"/>
      <c r="P29" s="944" t="s">
        <v>1148</v>
      </c>
      <c r="Q29" s="945">
        <v>401</v>
      </c>
      <c r="R29" s="946">
        <v>38</v>
      </c>
      <c r="S29" s="947">
        <v>30</v>
      </c>
      <c r="T29" s="947">
        <v>8</v>
      </c>
      <c r="U29" s="947">
        <v>14</v>
      </c>
      <c r="V29" s="947">
        <v>224</v>
      </c>
      <c r="W29" s="947">
        <v>51</v>
      </c>
      <c r="X29" s="947">
        <v>12</v>
      </c>
      <c r="Y29" s="947">
        <v>7</v>
      </c>
      <c r="Z29" s="947">
        <v>17</v>
      </c>
    </row>
    <row r="30" spans="1:28" ht="18" customHeight="1" thickBot="1">
      <c r="A30" s="161" t="s">
        <v>643</v>
      </c>
      <c r="B30" s="162">
        <f>ROUND(B23*F30,0)-G30</f>
        <v>169</v>
      </c>
      <c r="C30" s="138">
        <f>+B97</f>
        <v>110</v>
      </c>
      <c r="D30" s="154">
        <f t="shared" si="5"/>
        <v>5.1296061965566166E-2</v>
      </c>
      <c r="E30" s="138">
        <f t="shared" si="6"/>
        <v>5.1296061965566162</v>
      </c>
      <c r="F30" s="141">
        <f>+E30/E23</f>
        <v>6.6076412042182217E-2</v>
      </c>
      <c r="G30" s="138"/>
      <c r="H30" s="150"/>
      <c r="I30" s="150"/>
      <c r="J30" s="150"/>
      <c r="K30" s="160"/>
      <c r="N30" s="2368"/>
      <c r="O30" s="2386" t="s">
        <v>1149</v>
      </c>
      <c r="P30" s="2370"/>
      <c r="Q30" s="945">
        <v>768</v>
      </c>
      <c r="R30" s="946">
        <v>72</v>
      </c>
      <c r="S30" s="947">
        <v>157</v>
      </c>
      <c r="T30" s="947">
        <v>9</v>
      </c>
      <c r="U30" s="947">
        <v>20</v>
      </c>
      <c r="V30" s="947">
        <v>200</v>
      </c>
      <c r="W30" s="947">
        <v>145</v>
      </c>
      <c r="X30" s="947">
        <v>40</v>
      </c>
      <c r="Y30" s="947">
        <v>45</v>
      </c>
      <c r="Z30" s="947">
        <v>80</v>
      </c>
    </row>
    <row r="31" spans="1:28" ht="18" customHeight="1" thickBot="1">
      <c r="A31" s="163" t="s">
        <v>699</v>
      </c>
      <c r="B31" s="164">
        <f>ROUND(B23*F31,0)</f>
        <v>360</v>
      </c>
      <c r="C31" s="138">
        <f>+B109</f>
        <v>41</v>
      </c>
      <c r="D31" s="154">
        <f t="shared" si="5"/>
        <v>0.10918746884466429</v>
      </c>
      <c r="E31" s="138">
        <f t="shared" si="6"/>
        <v>10.918746884466429</v>
      </c>
      <c r="F31" s="141">
        <f>+E31/E23</f>
        <v>0.14064853918154652</v>
      </c>
      <c r="G31" s="138"/>
      <c r="H31" s="150"/>
      <c r="I31" s="150"/>
      <c r="J31" s="150"/>
      <c r="K31" s="160"/>
      <c r="N31" s="2369"/>
      <c r="O31" s="2370" t="s">
        <v>1150</v>
      </c>
      <c r="P31" s="2371"/>
      <c r="Q31" s="950">
        <f>ROUND(Q28/Q25,2)</f>
        <v>0.23</v>
      </c>
      <c r="R31" s="950">
        <f>ROUND(R28/R25,2)</f>
        <v>0.15</v>
      </c>
      <c r="S31" s="950">
        <f t="shared" ref="S31:Z31" si="8">ROUND(S28/S25,2)</f>
        <v>0.2</v>
      </c>
      <c r="T31" s="950">
        <f t="shared" si="8"/>
        <v>0.26</v>
      </c>
      <c r="U31" s="950">
        <f t="shared" si="8"/>
        <v>0.28000000000000003</v>
      </c>
      <c r="V31" s="950">
        <f t="shared" si="8"/>
        <v>0.32</v>
      </c>
      <c r="W31" s="950">
        <f t="shared" si="8"/>
        <v>0.18</v>
      </c>
      <c r="X31" s="950">
        <f t="shared" si="8"/>
        <v>0.2</v>
      </c>
      <c r="Y31" s="950">
        <f t="shared" si="8"/>
        <v>0.2</v>
      </c>
      <c r="Z31" s="950">
        <f t="shared" si="8"/>
        <v>0.01</v>
      </c>
    </row>
    <row r="32" spans="1:28" ht="18" customHeight="1" thickBot="1">
      <c r="A32" s="163" t="s">
        <v>1583</v>
      </c>
      <c r="B32" s="164">
        <f>ROUND(B24*F32,0)</f>
        <v>0</v>
      </c>
      <c r="C32" s="1552">
        <f>B123</f>
        <v>315</v>
      </c>
      <c r="D32" s="154">
        <f t="shared" si="5"/>
        <v>0</v>
      </c>
      <c r="E32" s="138">
        <f t="shared" si="6"/>
        <v>0</v>
      </c>
      <c r="F32" s="141">
        <f>+E32/E24</f>
        <v>0</v>
      </c>
      <c r="G32" s="138"/>
      <c r="H32" s="150"/>
      <c r="I32" s="150"/>
      <c r="J32" s="150"/>
      <c r="K32" s="160"/>
      <c r="N32" s="2387">
        <v>2014</v>
      </c>
      <c r="O32" s="2379" t="s">
        <v>565</v>
      </c>
      <c r="P32" s="2380"/>
      <c r="Q32" s="945">
        <v>1287</v>
      </c>
      <c r="R32" s="946">
        <v>126</v>
      </c>
      <c r="S32" s="947">
        <v>552</v>
      </c>
      <c r="T32" s="947">
        <v>21</v>
      </c>
      <c r="U32" s="947">
        <v>25</v>
      </c>
      <c r="V32" s="947">
        <v>188</v>
      </c>
      <c r="W32" s="947">
        <v>147</v>
      </c>
      <c r="X32" s="947">
        <v>97</v>
      </c>
      <c r="Y32" s="947">
        <v>45</v>
      </c>
      <c r="Z32" s="947">
        <v>86</v>
      </c>
    </row>
    <row r="33" spans="1:26" ht="18" customHeight="1" thickBot="1">
      <c r="A33" s="168"/>
      <c r="B33" s="169"/>
      <c r="C33" s="169"/>
      <c r="D33" s="169"/>
      <c r="E33" s="169"/>
      <c r="F33" s="169"/>
      <c r="G33" s="169"/>
      <c r="H33" s="150"/>
      <c r="I33" s="150"/>
      <c r="J33" s="150"/>
      <c r="K33" s="166"/>
      <c r="N33" s="2368"/>
      <c r="O33" s="2381" t="s">
        <v>1144</v>
      </c>
      <c r="P33" s="2382"/>
      <c r="Q33" s="945">
        <v>673</v>
      </c>
      <c r="R33" s="946">
        <v>62</v>
      </c>
      <c r="S33" s="947">
        <v>282</v>
      </c>
      <c r="T33" s="947">
        <v>11</v>
      </c>
      <c r="U33" s="947">
        <v>16</v>
      </c>
      <c r="V33" s="947">
        <v>103</v>
      </c>
      <c r="W33" s="947">
        <v>77</v>
      </c>
      <c r="X33" s="947">
        <v>48</v>
      </c>
      <c r="Y33" s="947">
        <v>29</v>
      </c>
      <c r="Z33" s="947">
        <v>45</v>
      </c>
    </row>
    <row r="34" spans="1:26" ht="18" customHeight="1">
      <c r="A34" s="145" t="s">
        <v>638</v>
      </c>
      <c r="B34" s="146" t="s">
        <v>166</v>
      </c>
      <c r="C34" s="147" t="s">
        <v>1386</v>
      </c>
      <c r="D34" s="148" t="s">
        <v>168</v>
      </c>
      <c r="E34" s="138"/>
      <c r="F34" s="138" t="s">
        <v>169</v>
      </c>
      <c r="G34" s="149" t="s">
        <v>172</v>
      </c>
      <c r="H34" s="150"/>
      <c r="I34" s="150"/>
      <c r="J34" s="150"/>
      <c r="K34" s="151" t="s">
        <v>577</v>
      </c>
      <c r="N34" s="2368"/>
      <c r="O34" s="2383" t="s">
        <v>1145</v>
      </c>
      <c r="P34" s="2384"/>
      <c r="Q34" s="945">
        <v>614</v>
      </c>
      <c r="R34" s="946">
        <v>64</v>
      </c>
      <c r="S34" s="947">
        <v>270</v>
      </c>
      <c r="T34" s="947">
        <v>10</v>
      </c>
      <c r="U34" s="947">
        <v>9</v>
      </c>
      <c r="V34" s="947">
        <v>85</v>
      </c>
      <c r="W34" s="947">
        <v>70</v>
      </c>
      <c r="X34" s="947">
        <v>49</v>
      </c>
      <c r="Y34" s="947">
        <v>16</v>
      </c>
      <c r="Z34" s="947">
        <v>41</v>
      </c>
    </row>
    <row r="35" spans="1:26" ht="18" customHeight="1" thickBot="1">
      <c r="A35" s="152" t="s">
        <v>434</v>
      </c>
      <c r="B35" s="153">
        <f>+$E$5</f>
        <v>213</v>
      </c>
      <c r="C35" s="153">
        <f>SUM(C36:C44)</f>
        <v>294</v>
      </c>
      <c r="D35" s="154">
        <f>SUM(D36:D44)</f>
        <v>0.96912266574638584</v>
      </c>
      <c r="E35" s="138">
        <f>+D35*100</f>
        <v>96.912266574638579</v>
      </c>
      <c r="F35" s="155">
        <f>SUM(F36:F44)</f>
        <v>1.0000000000000002</v>
      </c>
      <c r="G35" s="138"/>
      <c r="H35" s="150"/>
      <c r="I35" s="150"/>
      <c r="J35" s="150"/>
      <c r="K35" s="156">
        <f>0-C35</f>
        <v>-294</v>
      </c>
      <c r="N35" s="2368"/>
      <c r="O35" s="2380" t="s">
        <v>1146</v>
      </c>
      <c r="P35" s="943" t="s">
        <v>1147</v>
      </c>
      <c r="Q35" s="945">
        <v>496</v>
      </c>
      <c r="R35" s="946">
        <v>25</v>
      </c>
      <c r="S35" s="947">
        <v>330</v>
      </c>
      <c r="T35" s="947">
        <v>0</v>
      </c>
      <c r="U35" s="947">
        <v>2</v>
      </c>
      <c r="V35" s="947">
        <v>64</v>
      </c>
      <c r="W35" s="947">
        <v>35</v>
      </c>
      <c r="X35" s="947">
        <v>13</v>
      </c>
      <c r="Y35" s="947">
        <v>18</v>
      </c>
      <c r="Z35" s="947">
        <v>9</v>
      </c>
    </row>
    <row r="36" spans="1:26" ht="18" customHeight="1" thickBot="1">
      <c r="A36" s="157" t="s">
        <v>691</v>
      </c>
      <c r="B36" s="158">
        <f>ROUND(B35*F36,0)-G36</f>
        <v>40</v>
      </c>
      <c r="C36" s="167">
        <f>+B13</f>
        <v>9</v>
      </c>
      <c r="D36" s="154">
        <f t="shared" ref="D36:D44" si="9">+HLOOKUP($A36,$B$2:$L$7,6,FALSE)</f>
        <v>0.18200467809348517</v>
      </c>
      <c r="E36" s="138">
        <f t="shared" ref="E36:E44" si="10">+D36*100</f>
        <v>18.200467809348517</v>
      </c>
      <c r="F36" s="141">
        <f>+E36/E35</f>
        <v>0.18780355111528763</v>
      </c>
      <c r="G36" s="138"/>
      <c r="H36" s="150"/>
      <c r="I36" s="150"/>
      <c r="J36" s="150"/>
      <c r="K36" s="160"/>
      <c r="N36" s="2368"/>
      <c r="O36" s="2385"/>
      <c r="P36" s="944" t="s">
        <v>1148</v>
      </c>
      <c r="Q36" s="945">
        <v>216</v>
      </c>
      <c r="R36" s="946">
        <v>30</v>
      </c>
      <c r="S36" s="947">
        <v>67</v>
      </c>
      <c r="T36" s="947">
        <v>9</v>
      </c>
      <c r="U36" s="947">
        <v>7</v>
      </c>
      <c r="V36" s="947">
        <v>39</v>
      </c>
      <c r="W36" s="947">
        <v>28</v>
      </c>
      <c r="X36" s="947">
        <v>22</v>
      </c>
      <c r="Y36" s="947">
        <v>5</v>
      </c>
      <c r="Z36" s="947">
        <v>9</v>
      </c>
    </row>
    <row r="37" spans="1:26" ht="18" customHeight="1" thickBot="1">
      <c r="A37" s="161" t="s">
        <v>637</v>
      </c>
      <c r="B37" s="162">
        <f>ROUND(B35*F37,0)</f>
        <v>49</v>
      </c>
      <c r="C37" s="138">
        <f>+B25</f>
        <v>102</v>
      </c>
      <c r="D37" s="154">
        <f t="shared" si="9"/>
        <v>0.22368572414586449</v>
      </c>
      <c r="E37" s="138">
        <f t="shared" si="10"/>
        <v>22.368572414586449</v>
      </c>
      <c r="F37" s="141">
        <f>+E37/E35</f>
        <v>0.23081260200801232</v>
      </c>
      <c r="G37" s="138"/>
      <c r="H37" s="150"/>
      <c r="I37" s="150"/>
      <c r="J37" s="150"/>
      <c r="K37" s="160"/>
      <c r="N37" s="2368"/>
      <c r="O37" s="2386" t="s">
        <v>1149</v>
      </c>
      <c r="P37" s="2370"/>
      <c r="Q37" s="945">
        <v>575</v>
      </c>
      <c r="R37" s="946">
        <v>71</v>
      </c>
      <c r="S37" s="947">
        <v>155</v>
      </c>
      <c r="T37" s="947">
        <v>12</v>
      </c>
      <c r="U37" s="947">
        <v>16</v>
      </c>
      <c r="V37" s="947">
        <v>85</v>
      </c>
      <c r="W37" s="947">
        <v>84</v>
      </c>
      <c r="X37" s="947">
        <v>62</v>
      </c>
      <c r="Y37" s="947">
        <v>22</v>
      </c>
      <c r="Z37" s="947">
        <v>68</v>
      </c>
    </row>
    <row r="38" spans="1:26" ht="18" customHeight="1" thickBot="1">
      <c r="A38" s="161" t="s">
        <v>639</v>
      </c>
      <c r="B38" s="162">
        <f>ROUND(B35*F38,0)</f>
        <v>7</v>
      </c>
      <c r="C38" s="138">
        <f>+B50</f>
        <v>13</v>
      </c>
      <c r="D38" s="154">
        <f t="shared" si="9"/>
        <v>3.1088231910732775E-2</v>
      </c>
      <c r="E38" s="138">
        <f t="shared" si="10"/>
        <v>3.1088231910732773</v>
      </c>
      <c r="F38" s="141">
        <f>+E38/E35</f>
        <v>3.2078737820861569E-2</v>
      </c>
      <c r="G38" s="138"/>
      <c r="H38" s="150"/>
      <c r="I38" s="150"/>
      <c r="J38" s="150"/>
      <c r="K38" s="160"/>
      <c r="N38" s="2369"/>
      <c r="O38" s="2370" t="s">
        <v>1150</v>
      </c>
      <c r="P38" s="2371"/>
      <c r="Q38" s="950">
        <f>ROUND(Q35/Q32,2)</f>
        <v>0.39</v>
      </c>
      <c r="R38" s="950">
        <f>ROUND(R35/R32,2)</f>
        <v>0.2</v>
      </c>
      <c r="S38" s="950">
        <f t="shared" ref="S38:Z38" si="11">ROUND(S35/S32,2)</f>
        <v>0.6</v>
      </c>
      <c r="T38" s="950">
        <f t="shared" si="11"/>
        <v>0</v>
      </c>
      <c r="U38" s="950">
        <f t="shared" si="11"/>
        <v>0.08</v>
      </c>
      <c r="V38" s="950">
        <f t="shared" si="11"/>
        <v>0.34</v>
      </c>
      <c r="W38" s="950">
        <f t="shared" si="11"/>
        <v>0.24</v>
      </c>
      <c r="X38" s="950">
        <f t="shared" si="11"/>
        <v>0.13</v>
      </c>
      <c r="Y38" s="950">
        <f t="shared" si="11"/>
        <v>0.4</v>
      </c>
      <c r="Z38" s="950">
        <f t="shared" si="11"/>
        <v>0.1</v>
      </c>
    </row>
    <row r="39" spans="1:26" ht="18" customHeight="1" thickBot="1">
      <c r="A39" s="161" t="s">
        <v>640</v>
      </c>
      <c r="B39" s="162">
        <f>ROUND(B35*F39,0)</f>
        <v>22</v>
      </c>
      <c r="C39" s="138">
        <f>+B62</f>
        <v>28</v>
      </c>
      <c r="D39" s="154">
        <f t="shared" si="9"/>
        <v>9.9869626902872044E-2</v>
      </c>
      <c r="E39" s="138">
        <f t="shared" si="10"/>
        <v>9.9869626902872035</v>
      </c>
      <c r="F39" s="141">
        <f>+E39/E35</f>
        <v>0.10305158514268759</v>
      </c>
      <c r="G39" s="138"/>
      <c r="H39" s="150"/>
      <c r="I39" s="150"/>
      <c r="J39" s="150"/>
      <c r="K39" s="160"/>
      <c r="N39" s="2387">
        <v>2013</v>
      </c>
      <c r="O39" s="2379" t="s">
        <v>565</v>
      </c>
      <c r="P39" s="2380"/>
      <c r="Q39" s="945">
        <v>973</v>
      </c>
      <c r="R39" s="946">
        <v>175</v>
      </c>
      <c r="S39" s="947">
        <v>192</v>
      </c>
      <c r="T39" s="947">
        <v>26</v>
      </c>
      <c r="U39" s="947">
        <v>18</v>
      </c>
      <c r="V39" s="947">
        <v>53</v>
      </c>
      <c r="W39" s="947">
        <v>212</v>
      </c>
      <c r="X39" s="947">
        <v>98</v>
      </c>
      <c r="Y39" s="947">
        <v>66</v>
      </c>
      <c r="Z39" s="947">
        <v>133</v>
      </c>
    </row>
    <row r="40" spans="1:26" ht="18" customHeight="1" thickBot="1">
      <c r="A40" s="161" t="s">
        <v>641</v>
      </c>
      <c r="B40" s="162">
        <f>ROUND(B35*F40,0)</f>
        <v>40</v>
      </c>
      <c r="C40" s="138">
        <f>+B74</f>
        <v>59</v>
      </c>
      <c r="D40" s="154">
        <f t="shared" si="9"/>
        <v>0.18024080677940105</v>
      </c>
      <c r="E40" s="138">
        <f t="shared" si="10"/>
        <v>18.024080677940105</v>
      </c>
      <c r="F40" s="141">
        <f>+E40/E35</f>
        <v>0.18598348088431677</v>
      </c>
      <c r="G40" s="138"/>
      <c r="H40" s="150"/>
      <c r="I40" s="150"/>
      <c r="J40" s="150"/>
      <c r="K40" s="160"/>
      <c r="N40" s="2368"/>
      <c r="O40" s="2381" t="s">
        <v>1144</v>
      </c>
      <c r="P40" s="2382"/>
      <c r="Q40" s="945">
        <v>540</v>
      </c>
      <c r="R40" s="946">
        <v>101</v>
      </c>
      <c r="S40" s="947">
        <v>102</v>
      </c>
      <c r="T40" s="947">
        <v>17</v>
      </c>
      <c r="U40" s="947">
        <v>9</v>
      </c>
      <c r="V40" s="947">
        <v>31</v>
      </c>
      <c r="W40" s="947">
        <v>117</v>
      </c>
      <c r="X40" s="947">
        <v>56</v>
      </c>
      <c r="Y40" s="947">
        <v>43</v>
      </c>
      <c r="Z40" s="947">
        <v>64</v>
      </c>
    </row>
    <row r="41" spans="1:26" ht="18" customHeight="1" thickBot="1">
      <c r="A41" s="161" t="s">
        <v>642</v>
      </c>
      <c r="B41" s="162">
        <f>ROUND(B35*F41,0)</f>
        <v>20</v>
      </c>
      <c r="C41" s="138">
        <f>+B86</f>
        <v>18</v>
      </c>
      <c r="D41" s="154">
        <f t="shared" si="9"/>
        <v>9.1750067103799987E-2</v>
      </c>
      <c r="E41" s="138">
        <f t="shared" si="10"/>
        <v>9.1750067103799982</v>
      </c>
      <c r="F41" s="141">
        <f>+E41/E35</f>
        <v>9.467332706859885E-2</v>
      </c>
      <c r="G41" s="138"/>
      <c r="H41" s="150"/>
      <c r="I41" s="150"/>
      <c r="J41" s="150"/>
      <c r="K41" s="160"/>
      <c r="N41" s="2368"/>
      <c r="O41" s="2383" t="s">
        <v>1145</v>
      </c>
      <c r="P41" s="2384"/>
      <c r="Q41" s="945">
        <v>433</v>
      </c>
      <c r="R41" s="946">
        <v>74</v>
      </c>
      <c r="S41" s="947">
        <v>90</v>
      </c>
      <c r="T41" s="947">
        <v>9</v>
      </c>
      <c r="U41" s="947">
        <v>9</v>
      </c>
      <c r="V41" s="947">
        <v>22</v>
      </c>
      <c r="W41" s="947">
        <v>95</v>
      </c>
      <c r="X41" s="947">
        <v>42</v>
      </c>
      <c r="Y41" s="947">
        <v>23</v>
      </c>
      <c r="Z41" s="947">
        <v>69</v>
      </c>
    </row>
    <row r="42" spans="1:26" ht="18" customHeight="1" thickBot="1">
      <c r="A42" s="161" t="s">
        <v>643</v>
      </c>
      <c r="B42" s="162">
        <f>ROUND(B35*F42,0)</f>
        <v>11</v>
      </c>
      <c r="C42" s="138">
        <f>+B98</f>
        <v>15</v>
      </c>
      <c r="D42" s="154">
        <f t="shared" si="9"/>
        <v>5.1296061965566166E-2</v>
      </c>
      <c r="E42" s="138">
        <f t="shared" si="10"/>
        <v>5.1296061965566162</v>
      </c>
      <c r="F42" s="141">
        <f>+E42/E35</f>
        <v>5.2930411988723489E-2</v>
      </c>
      <c r="G42" s="138"/>
      <c r="H42" s="150"/>
      <c r="I42" s="150"/>
      <c r="J42" s="150"/>
      <c r="K42" s="160"/>
      <c r="N42" s="2368"/>
      <c r="O42" s="2380" t="s">
        <v>1146</v>
      </c>
      <c r="P42" s="943" t="s">
        <v>1147</v>
      </c>
      <c r="Q42" s="945">
        <v>171</v>
      </c>
      <c r="R42" s="946">
        <v>37</v>
      </c>
      <c r="S42" s="947">
        <v>32</v>
      </c>
      <c r="T42" s="947">
        <v>1</v>
      </c>
      <c r="U42" s="947">
        <v>4</v>
      </c>
      <c r="V42" s="947">
        <v>15</v>
      </c>
      <c r="W42" s="947">
        <v>25</v>
      </c>
      <c r="X42" s="947">
        <v>26</v>
      </c>
      <c r="Y42" s="947">
        <v>28</v>
      </c>
      <c r="Z42" s="947">
        <v>3</v>
      </c>
    </row>
    <row r="43" spans="1:26" ht="18" customHeight="1" thickBot="1">
      <c r="A43" s="163" t="s">
        <v>699</v>
      </c>
      <c r="B43" s="164">
        <f>ROUND(B35*F43,0)</f>
        <v>24</v>
      </c>
      <c r="C43" s="138">
        <f>+B110</f>
        <v>6</v>
      </c>
      <c r="D43" s="154">
        <f t="shared" si="9"/>
        <v>0.10918746884466429</v>
      </c>
      <c r="E43" s="138">
        <f t="shared" si="10"/>
        <v>10.918746884466429</v>
      </c>
      <c r="F43" s="141">
        <f>+E43/E35</f>
        <v>0.11266630397151198</v>
      </c>
      <c r="G43" s="138"/>
      <c r="H43" s="150"/>
      <c r="I43" s="150"/>
      <c r="J43" s="150"/>
      <c r="K43" s="160"/>
      <c r="N43" s="2368"/>
      <c r="O43" s="2385"/>
      <c r="P43" s="944" t="s">
        <v>1148</v>
      </c>
      <c r="Q43" s="945">
        <v>241</v>
      </c>
      <c r="R43" s="946">
        <v>48</v>
      </c>
      <c r="S43" s="947">
        <v>42</v>
      </c>
      <c r="T43" s="947">
        <v>7</v>
      </c>
      <c r="U43" s="947">
        <v>6</v>
      </c>
      <c r="V43" s="947">
        <v>10</v>
      </c>
      <c r="W43" s="947">
        <v>76</v>
      </c>
      <c r="X43" s="947">
        <v>18</v>
      </c>
      <c r="Y43" s="947">
        <v>14</v>
      </c>
      <c r="Z43" s="947">
        <v>20</v>
      </c>
    </row>
    <row r="44" spans="1:26" ht="18" customHeight="1" thickBot="1">
      <c r="A44" s="163" t="s">
        <v>1583</v>
      </c>
      <c r="B44" s="164">
        <f>ROUND(B36*F44,0)</f>
        <v>0</v>
      </c>
      <c r="C44" s="1552">
        <f>B124</f>
        <v>44</v>
      </c>
      <c r="D44" s="154">
        <f t="shared" si="9"/>
        <v>0</v>
      </c>
      <c r="E44" s="138">
        <f t="shared" si="10"/>
        <v>0</v>
      </c>
      <c r="F44" s="141">
        <f>+E44/E36</f>
        <v>0</v>
      </c>
      <c r="G44" s="138"/>
      <c r="H44" s="150"/>
      <c r="I44" s="150"/>
      <c r="J44" s="150"/>
      <c r="K44" s="160"/>
      <c r="N44" s="2368"/>
      <c r="O44" s="2386" t="s">
        <v>1149</v>
      </c>
      <c r="P44" s="2370"/>
      <c r="Q44" s="945">
        <v>561</v>
      </c>
      <c r="R44" s="946">
        <v>90</v>
      </c>
      <c r="S44" s="947">
        <v>118</v>
      </c>
      <c r="T44" s="947">
        <v>18</v>
      </c>
      <c r="U44" s="947">
        <v>8</v>
      </c>
      <c r="V44" s="947">
        <v>28</v>
      </c>
      <c r="W44" s="947">
        <v>111</v>
      </c>
      <c r="X44" s="947">
        <v>54</v>
      </c>
      <c r="Y44" s="947">
        <v>24</v>
      </c>
      <c r="Z44" s="947">
        <v>110</v>
      </c>
    </row>
    <row r="45" spans="1:26" ht="18" customHeight="1" thickBot="1">
      <c r="A45" s="168"/>
      <c r="B45" s="169"/>
      <c r="C45" s="169"/>
      <c r="D45" s="169"/>
      <c r="E45" s="169"/>
      <c r="F45" s="169"/>
      <c r="G45" s="169"/>
      <c r="H45" s="150"/>
      <c r="I45" s="150"/>
      <c r="J45" s="150"/>
      <c r="K45" s="166"/>
      <c r="N45" s="2369"/>
      <c r="O45" s="2370" t="s">
        <v>1150</v>
      </c>
      <c r="P45" s="2371"/>
      <c r="Q45" s="950">
        <f>ROUND(Q42/Q39,2)</f>
        <v>0.18</v>
      </c>
      <c r="R45" s="950">
        <f>ROUND(R42/R39,2)</f>
        <v>0.21</v>
      </c>
      <c r="S45" s="950">
        <f t="shared" ref="S45:Z45" si="12">ROUND(S42/S39,2)</f>
        <v>0.17</v>
      </c>
      <c r="T45" s="950">
        <f t="shared" si="12"/>
        <v>0.04</v>
      </c>
      <c r="U45" s="950">
        <f t="shared" si="12"/>
        <v>0.22</v>
      </c>
      <c r="V45" s="950">
        <f t="shared" si="12"/>
        <v>0.28000000000000003</v>
      </c>
      <c r="W45" s="950">
        <f t="shared" si="12"/>
        <v>0.12</v>
      </c>
      <c r="X45" s="950">
        <f t="shared" si="12"/>
        <v>0.27</v>
      </c>
      <c r="Y45" s="950">
        <f t="shared" si="12"/>
        <v>0.42</v>
      </c>
      <c r="Z45" s="950">
        <f t="shared" si="12"/>
        <v>0.02</v>
      </c>
    </row>
    <row r="46" spans="1:26" ht="18" customHeight="1">
      <c r="A46" s="145" t="s">
        <v>639</v>
      </c>
      <c r="B46" s="146" t="s">
        <v>166</v>
      </c>
      <c r="C46" s="147" t="s">
        <v>1386</v>
      </c>
      <c r="D46" s="148" t="s">
        <v>168</v>
      </c>
      <c r="E46" s="138"/>
      <c r="F46" s="138" t="s">
        <v>169</v>
      </c>
      <c r="G46" s="149" t="s">
        <v>172</v>
      </c>
      <c r="H46" s="150"/>
      <c r="I46" s="150"/>
      <c r="J46" s="150"/>
      <c r="K46" s="151" t="s">
        <v>577</v>
      </c>
      <c r="N46" s="2387">
        <v>2012</v>
      </c>
      <c r="O46" s="2379" t="s">
        <v>565</v>
      </c>
      <c r="P46" s="2380"/>
      <c r="Q46" s="945">
        <v>929</v>
      </c>
      <c r="R46" s="946">
        <v>193</v>
      </c>
      <c r="S46" s="947">
        <v>199</v>
      </c>
      <c r="T46" s="947">
        <v>22</v>
      </c>
      <c r="U46" s="947">
        <v>25</v>
      </c>
      <c r="V46" s="947">
        <v>70</v>
      </c>
      <c r="W46" s="947">
        <v>155</v>
      </c>
      <c r="X46" s="947">
        <v>74</v>
      </c>
      <c r="Y46" s="947">
        <v>47</v>
      </c>
      <c r="Z46" s="947">
        <v>144</v>
      </c>
    </row>
    <row r="47" spans="1:26" ht="18" customHeight="1" thickBot="1">
      <c r="A47" s="152" t="s">
        <v>434</v>
      </c>
      <c r="B47" s="153">
        <f>+$F$5</f>
        <v>413</v>
      </c>
      <c r="C47" s="153">
        <f>SUM(C48:C56)</f>
        <v>290</v>
      </c>
      <c r="D47" s="154">
        <f>SUM(D48:D56)</f>
        <v>0.96891176808926716</v>
      </c>
      <c r="E47" s="138">
        <f>+D47*100</f>
        <v>96.891176808926716</v>
      </c>
      <c r="F47" s="155">
        <f>SUM(F48:F56)</f>
        <v>1</v>
      </c>
      <c r="G47" s="138"/>
      <c r="H47" s="150"/>
      <c r="I47" s="150"/>
      <c r="J47" s="150"/>
      <c r="K47" s="156">
        <f>0-C47</f>
        <v>-290</v>
      </c>
      <c r="N47" s="2368"/>
      <c r="O47" s="2381" t="s">
        <v>1144</v>
      </c>
      <c r="P47" s="2382"/>
      <c r="Q47" s="945">
        <v>479</v>
      </c>
      <c r="R47" s="946">
        <v>94</v>
      </c>
      <c r="S47" s="947">
        <v>106</v>
      </c>
      <c r="T47" s="947">
        <v>8</v>
      </c>
      <c r="U47" s="947">
        <v>13</v>
      </c>
      <c r="V47" s="947">
        <v>45</v>
      </c>
      <c r="W47" s="947">
        <v>79</v>
      </c>
      <c r="X47" s="947">
        <v>41</v>
      </c>
      <c r="Y47" s="947">
        <v>23</v>
      </c>
      <c r="Z47" s="947">
        <v>70</v>
      </c>
    </row>
    <row r="48" spans="1:26" ht="18" customHeight="1" thickBot="1">
      <c r="A48" s="157" t="s">
        <v>691</v>
      </c>
      <c r="B48" s="158">
        <f>ROUND(B47*F48,0)-G48</f>
        <v>77</v>
      </c>
      <c r="C48" s="167">
        <f>+B14</f>
        <v>9</v>
      </c>
      <c r="D48" s="154">
        <f t="shared" ref="D48:D56" si="13">+HLOOKUP($A48,$B$2:$L$7,6,FALSE)</f>
        <v>0.18200467809348517</v>
      </c>
      <c r="E48" s="138">
        <f t="shared" ref="E48:E56" si="14">+D48*100</f>
        <v>18.200467809348517</v>
      </c>
      <c r="F48" s="141">
        <f>+E48/E47</f>
        <v>0.18784442927389114</v>
      </c>
      <c r="G48" s="138">
        <v>1</v>
      </c>
      <c r="H48" s="150"/>
      <c r="I48" s="150"/>
      <c r="J48" s="150"/>
      <c r="K48" s="160"/>
      <c r="N48" s="2368"/>
      <c r="O48" s="2383" t="s">
        <v>1145</v>
      </c>
      <c r="P48" s="2384"/>
      <c r="Q48" s="945">
        <v>450</v>
      </c>
      <c r="R48" s="946">
        <v>99</v>
      </c>
      <c r="S48" s="947">
        <v>93</v>
      </c>
      <c r="T48" s="947">
        <v>14</v>
      </c>
      <c r="U48" s="947">
        <v>12</v>
      </c>
      <c r="V48" s="947">
        <v>25</v>
      </c>
      <c r="W48" s="947">
        <v>76</v>
      </c>
      <c r="X48" s="947">
        <v>33</v>
      </c>
      <c r="Y48" s="947">
        <v>24</v>
      </c>
      <c r="Z48" s="947">
        <v>74</v>
      </c>
    </row>
    <row r="49" spans="1:26" ht="18" customHeight="1" thickBot="1">
      <c r="A49" s="161" t="s">
        <v>637</v>
      </c>
      <c r="B49" s="162">
        <f>ROUND(B47*F49,0)</f>
        <v>95</v>
      </c>
      <c r="C49" s="138">
        <f>+B26</f>
        <v>103</v>
      </c>
      <c r="D49" s="154">
        <f t="shared" si="13"/>
        <v>0.22368572414586449</v>
      </c>
      <c r="E49" s="138">
        <f t="shared" si="14"/>
        <v>22.368572414586449</v>
      </c>
      <c r="F49" s="141">
        <f>+E49/E47</f>
        <v>0.23086284170846816</v>
      </c>
      <c r="G49" s="138"/>
      <c r="H49" s="150"/>
      <c r="I49" s="150"/>
      <c r="J49" s="150"/>
      <c r="K49" s="160"/>
      <c r="N49" s="2368"/>
      <c r="O49" s="2380" t="s">
        <v>1146</v>
      </c>
      <c r="P49" s="943" t="s">
        <v>1147</v>
      </c>
      <c r="Q49" s="945">
        <v>170</v>
      </c>
      <c r="R49" s="946">
        <v>34</v>
      </c>
      <c r="S49" s="947">
        <v>66</v>
      </c>
      <c r="T49" s="947">
        <v>1</v>
      </c>
      <c r="U49" s="947">
        <v>9</v>
      </c>
      <c r="V49" s="947">
        <v>11</v>
      </c>
      <c r="W49" s="947">
        <v>15</v>
      </c>
      <c r="X49" s="947">
        <v>18</v>
      </c>
      <c r="Y49" s="947">
        <v>9</v>
      </c>
      <c r="Z49" s="947">
        <v>7</v>
      </c>
    </row>
    <row r="50" spans="1:26" ht="18" customHeight="1" thickBot="1">
      <c r="A50" s="161" t="s">
        <v>638</v>
      </c>
      <c r="B50" s="162">
        <f>ROUND(B47*F50,0)</f>
        <v>13</v>
      </c>
      <c r="C50" s="138">
        <f>+B38</f>
        <v>7</v>
      </c>
      <c r="D50" s="154">
        <f t="shared" si="13"/>
        <v>3.0877334253614018E-2</v>
      </c>
      <c r="E50" s="138">
        <f t="shared" si="14"/>
        <v>3.0877334253614017</v>
      </c>
      <c r="F50" s="141">
        <f>+E50/E47</f>
        <v>3.1868055761677207E-2</v>
      </c>
      <c r="G50" s="138"/>
      <c r="H50" s="150"/>
      <c r="I50" s="150"/>
      <c r="J50" s="150"/>
      <c r="K50" s="160"/>
      <c r="N50" s="2368"/>
      <c r="O50" s="2385"/>
      <c r="P50" s="944" t="s">
        <v>1148</v>
      </c>
      <c r="Q50" s="945">
        <v>226</v>
      </c>
      <c r="R50" s="946">
        <v>73</v>
      </c>
      <c r="S50" s="947">
        <v>26</v>
      </c>
      <c r="T50" s="947">
        <v>9</v>
      </c>
      <c r="U50" s="947">
        <v>10</v>
      </c>
      <c r="V50" s="947">
        <v>22</v>
      </c>
      <c r="W50" s="947">
        <v>50</v>
      </c>
      <c r="X50" s="947">
        <v>15</v>
      </c>
      <c r="Y50" s="947">
        <v>7</v>
      </c>
      <c r="Z50" s="947">
        <v>14</v>
      </c>
    </row>
    <row r="51" spans="1:26" ht="18" customHeight="1" thickBot="1">
      <c r="A51" s="161" t="s">
        <v>640</v>
      </c>
      <c r="B51" s="162">
        <f>ROUND(B47*F51,0)</f>
        <v>43</v>
      </c>
      <c r="C51" s="138">
        <f>+B63</f>
        <v>28</v>
      </c>
      <c r="D51" s="154">
        <f t="shared" si="13"/>
        <v>9.9869626902872044E-2</v>
      </c>
      <c r="E51" s="138">
        <f t="shared" si="14"/>
        <v>9.9869626902872035</v>
      </c>
      <c r="F51" s="141">
        <f>+E51/E47</f>
        <v>0.10307401581035489</v>
      </c>
      <c r="G51" s="138"/>
      <c r="H51" s="150"/>
      <c r="I51" s="150"/>
      <c r="J51" s="150"/>
      <c r="K51" s="160"/>
      <c r="N51" s="2368"/>
      <c r="O51" s="2386" t="s">
        <v>1149</v>
      </c>
      <c r="P51" s="2370"/>
      <c r="Q51" s="945">
        <v>533</v>
      </c>
      <c r="R51" s="946">
        <v>86</v>
      </c>
      <c r="S51" s="947">
        <v>107</v>
      </c>
      <c r="T51" s="947">
        <v>12</v>
      </c>
      <c r="U51" s="947">
        <v>6</v>
      </c>
      <c r="V51" s="947">
        <v>37</v>
      </c>
      <c r="W51" s="947">
        <v>90</v>
      </c>
      <c r="X51" s="947">
        <v>41</v>
      </c>
      <c r="Y51" s="947">
        <v>31</v>
      </c>
      <c r="Z51" s="947">
        <v>123</v>
      </c>
    </row>
    <row r="52" spans="1:26" ht="18" customHeight="1" thickBot="1">
      <c r="A52" s="161" t="s">
        <v>641</v>
      </c>
      <c r="B52" s="162">
        <f>ROUND(B47*F52,0)</f>
        <v>77</v>
      </c>
      <c r="C52" s="138">
        <f>+B75</f>
        <v>59</v>
      </c>
      <c r="D52" s="154">
        <f t="shared" si="13"/>
        <v>0.18024080677940105</v>
      </c>
      <c r="E52" s="138">
        <f t="shared" si="14"/>
        <v>18.024080677940105</v>
      </c>
      <c r="F52" s="141">
        <f>+E52/E47</f>
        <v>0.18602396287831569</v>
      </c>
      <c r="G52" s="138"/>
      <c r="H52" s="150"/>
      <c r="I52" s="150"/>
      <c r="J52" s="150"/>
      <c r="K52" s="160"/>
      <c r="N52" s="2369"/>
      <c r="O52" s="2370" t="s">
        <v>1150</v>
      </c>
      <c r="P52" s="2371"/>
      <c r="Q52" s="950">
        <f>ROUND(Q49/Q46,2)</f>
        <v>0.18</v>
      </c>
      <c r="R52" s="950">
        <f>ROUND(R49/R46,2)</f>
        <v>0.18</v>
      </c>
      <c r="S52" s="950">
        <f t="shared" ref="S52:Z52" si="15">ROUND(S49/S46,2)</f>
        <v>0.33</v>
      </c>
      <c r="T52" s="950">
        <f t="shared" si="15"/>
        <v>0.05</v>
      </c>
      <c r="U52" s="950">
        <f t="shared" si="15"/>
        <v>0.36</v>
      </c>
      <c r="V52" s="950">
        <f t="shared" si="15"/>
        <v>0.16</v>
      </c>
      <c r="W52" s="950">
        <f t="shared" si="15"/>
        <v>0.1</v>
      </c>
      <c r="X52" s="950">
        <f t="shared" si="15"/>
        <v>0.24</v>
      </c>
      <c r="Y52" s="950">
        <f t="shared" si="15"/>
        <v>0.19</v>
      </c>
      <c r="Z52" s="950">
        <f t="shared" si="15"/>
        <v>0.05</v>
      </c>
    </row>
    <row r="53" spans="1:26" ht="18" customHeight="1" thickBot="1">
      <c r="A53" s="161" t="s">
        <v>642</v>
      </c>
      <c r="B53" s="162">
        <f>ROUND(B47*F53,0)</f>
        <v>39</v>
      </c>
      <c r="C53" s="138">
        <f>+B87</f>
        <v>19</v>
      </c>
      <c r="D53" s="154">
        <f t="shared" si="13"/>
        <v>9.1750067103799987E-2</v>
      </c>
      <c r="E53" s="138">
        <f t="shared" si="14"/>
        <v>9.1750067103799982</v>
      </c>
      <c r="F53" s="141">
        <f>+E53/E47</f>
        <v>9.4693934087243872E-2</v>
      </c>
      <c r="G53" s="138"/>
      <c r="H53" s="150"/>
      <c r="I53" s="150"/>
      <c r="J53" s="150"/>
      <c r="K53" s="160"/>
      <c r="N53" s="2387">
        <v>2011</v>
      </c>
      <c r="O53" s="2379" t="s">
        <v>565</v>
      </c>
      <c r="P53" s="2380"/>
      <c r="Q53" s="945">
        <v>966</v>
      </c>
      <c r="R53" s="946">
        <v>120</v>
      </c>
      <c r="S53" s="947">
        <v>204</v>
      </c>
      <c r="T53" s="947">
        <v>25</v>
      </c>
      <c r="U53" s="947">
        <v>33</v>
      </c>
      <c r="V53" s="947">
        <v>62</v>
      </c>
      <c r="W53" s="947">
        <v>256</v>
      </c>
      <c r="X53" s="947">
        <v>82</v>
      </c>
      <c r="Y53" s="947">
        <v>56</v>
      </c>
      <c r="Z53" s="947">
        <v>128</v>
      </c>
    </row>
    <row r="54" spans="1:26" ht="17.25" thickBot="1">
      <c r="A54" s="161" t="s">
        <v>643</v>
      </c>
      <c r="B54" s="162">
        <f>ROUND(B47*F54,0)</f>
        <v>22</v>
      </c>
      <c r="C54" s="138">
        <f>+B99</f>
        <v>15</v>
      </c>
      <c r="D54" s="154">
        <f t="shared" si="13"/>
        <v>5.1296061965566166E-2</v>
      </c>
      <c r="E54" s="138">
        <f t="shared" si="14"/>
        <v>5.1296061965566162</v>
      </c>
      <c r="F54" s="141">
        <f>+E54/E47</f>
        <v>5.294193305828461E-2</v>
      </c>
      <c r="G54" s="138"/>
      <c r="H54" s="150"/>
      <c r="I54" s="150"/>
      <c r="J54" s="150"/>
      <c r="K54" s="160"/>
      <c r="N54" s="2368"/>
      <c r="O54" s="2381" t="s">
        <v>1144</v>
      </c>
      <c r="P54" s="2382"/>
      <c r="Q54" s="945">
        <v>525</v>
      </c>
      <c r="R54" s="946">
        <v>44</v>
      </c>
      <c r="S54" s="947">
        <v>108</v>
      </c>
      <c r="T54" s="947">
        <v>11</v>
      </c>
      <c r="U54" s="947">
        <v>17</v>
      </c>
      <c r="V54" s="947">
        <v>49</v>
      </c>
      <c r="W54" s="947">
        <v>141</v>
      </c>
      <c r="X54" s="947">
        <v>53</v>
      </c>
      <c r="Y54" s="947">
        <v>31</v>
      </c>
      <c r="Z54" s="947">
        <v>71</v>
      </c>
    </row>
    <row r="55" spans="1:26" ht="17.25" thickBot="1">
      <c r="A55" s="163" t="s">
        <v>699</v>
      </c>
      <c r="B55" s="164">
        <f>ROUND(B47*F55,0)</f>
        <v>47</v>
      </c>
      <c r="C55" s="138">
        <f>+B111</f>
        <v>6</v>
      </c>
      <c r="D55" s="154">
        <f t="shared" si="13"/>
        <v>0.10918746884466429</v>
      </c>
      <c r="E55" s="138">
        <f t="shared" si="14"/>
        <v>10.918746884466429</v>
      </c>
      <c r="F55" s="141">
        <f>+E55/E47</f>
        <v>0.11269082742176448</v>
      </c>
      <c r="G55" s="138"/>
      <c r="H55" s="150"/>
      <c r="I55" s="150"/>
      <c r="J55" s="150"/>
      <c r="K55" s="160"/>
      <c r="N55" s="2368"/>
      <c r="O55" s="2383" t="s">
        <v>1145</v>
      </c>
      <c r="P55" s="2384"/>
      <c r="Q55" s="945">
        <v>441</v>
      </c>
      <c r="R55" s="946">
        <v>76</v>
      </c>
      <c r="S55" s="947">
        <v>96</v>
      </c>
      <c r="T55" s="947">
        <v>14</v>
      </c>
      <c r="U55" s="947">
        <v>16</v>
      </c>
      <c r="V55" s="947">
        <v>13</v>
      </c>
      <c r="W55" s="947">
        <v>115</v>
      </c>
      <c r="X55" s="947">
        <v>29</v>
      </c>
      <c r="Y55" s="947">
        <v>25</v>
      </c>
      <c r="Z55" s="947">
        <v>57</v>
      </c>
    </row>
    <row r="56" spans="1:26" ht="17.25" thickBot="1">
      <c r="A56" s="163" t="s">
        <v>1583</v>
      </c>
      <c r="B56" s="164">
        <f>ROUND(B48*F56,0)</f>
        <v>0</v>
      </c>
      <c r="C56" s="1552">
        <f>B125</f>
        <v>44</v>
      </c>
      <c r="D56" s="154">
        <f t="shared" si="13"/>
        <v>0</v>
      </c>
      <c r="E56" s="138">
        <f t="shared" si="14"/>
        <v>0</v>
      </c>
      <c r="F56" s="141">
        <f>+E56/E48</f>
        <v>0</v>
      </c>
      <c r="G56" s="138"/>
      <c r="H56" s="150"/>
      <c r="I56" s="150"/>
      <c r="J56" s="150"/>
      <c r="K56" s="160"/>
      <c r="N56" s="2368"/>
      <c r="O56" s="2380" t="s">
        <v>1146</v>
      </c>
      <c r="P56" s="943" t="s">
        <v>1147</v>
      </c>
      <c r="Q56" s="945">
        <v>179</v>
      </c>
      <c r="R56" s="946">
        <v>22</v>
      </c>
      <c r="S56" s="947">
        <v>48</v>
      </c>
      <c r="T56" s="947">
        <v>8</v>
      </c>
      <c r="U56" s="947">
        <v>5</v>
      </c>
      <c r="V56" s="947">
        <v>4</v>
      </c>
      <c r="W56" s="947">
        <v>47</v>
      </c>
      <c r="X56" s="947">
        <v>16</v>
      </c>
      <c r="Y56" s="947">
        <v>18</v>
      </c>
      <c r="Z56" s="947">
        <v>11</v>
      </c>
    </row>
    <row r="57" spans="1:26" ht="17.25" thickBot="1">
      <c r="A57" s="168"/>
      <c r="B57" s="169"/>
      <c r="C57" s="169"/>
      <c r="D57" s="169"/>
      <c r="E57" s="169"/>
      <c r="F57" s="169"/>
      <c r="G57" s="169"/>
      <c r="H57" s="150"/>
      <c r="I57" s="150"/>
      <c r="J57" s="150"/>
      <c r="K57" s="166"/>
      <c r="N57" s="2368"/>
      <c r="O57" s="2385"/>
      <c r="P57" s="944" t="s">
        <v>1148</v>
      </c>
      <c r="Q57" s="945">
        <v>236</v>
      </c>
      <c r="R57" s="946">
        <v>46</v>
      </c>
      <c r="S57" s="947">
        <v>38</v>
      </c>
      <c r="T57" s="947">
        <v>9</v>
      </c>
      <c r="U57" s="947">
        <v>9</v>
      </c>
      <c r="V57" s="947">
        <v>13</v>
      </c>
      <c r="W57" s="947">
        <v>74</v>
      </c>
      <c r="X57" s="947">
        <v>20</v>
      </c>
      <c r="Y57" s="947">
        <v>12</v>
      </c>
      <c r="Z57" s="947">
        <v>15</v>
      </c>
    </row>
    <row r="58" spans="1:26">
      <c r="A58" s="145" t="s">
        <v>640</v>
      </c>
      <c r="B58" s="146" t="s">
        <v>166</v>
      </c>
      <c r="C58" s="147" t="s">
        <v>1386</v>
      </c>
      <c r="D58" s="148" t="s">
        <v>168</v>
      </c>
      <c r="E58" s="138"/>
      <c r="F58" s="138" t="s">
        <v>169</v>
      </c>
      <c r="G58" s="149" t="s">
        <v>172</v>
      </c>
      <c r="H58" s="150"/>
      <c r="I58" s="150"/>
      <c r="J58" s="150"/>
      <c r="K58" s="151" t="s">
        <v>577</v>
      </c>
      <c r="N58" s="2368"/>
      <c r="O58" s="2386" t="s">
        <v>1149</v>
      </c>
      <c r="P58" s="2370"/>
      <c r="Q58" s="945">
        <v>551</v>
      </c>
      <c r="R58" s="946">
        <v>52</v>
      </c>
      <c r="S58" s="947">
        <v>118</v>
      </c>
      <c r="T58" s="947">
        <v>8</v>
      </c>
      <c r="U58" s="947">
        <v>19</v>
      </c>
      <c r="V58" s="947">
        <v>45</v>
      </c>
      <c r="W58" s="947">
        <v>135</v>
      </c>
      <c r="X58" s="947">
        <v>46</v>
      </c>
      <c r="Y58" s="947">
        <v>26</v>
      </c>
      <c r="Z58" s="947">
        <v>102</v>
      </c>
    </row>
    <row r="59" spans="1:26" ht="17.25" thickBot="1">
      <c r="A59" s="152" t="s">
        <v>434</v>
      </c>
      <c r="B59" s="153">
        <f>+$G$5</f>
        <v>808</v>
      </c>
      <c r="C59" s="153">
        <f>SUM(C60:C68)</f>
        <v>881</v>
      </c>
      <c r="D59" s="154">
        <f>SUM(D60:D68)</f>
        <v>0.90013037309712796</v>
      </c>
      <c r="E59" s="138">
        <f>+D59*100</f>
        <v>90.0130373097128</v>
      </c>
      <c r="F59" s="155">
        <f>SUM(F60:F68)</f>
        <v>0.99999999999999989</v>
      </c>
      <c r="G59" s="138"/>
      <c r="H59" s="150"/>
      <c r="I59" s="150"/>
      <c r="J59" s="150"/>
      <c r="K59" s="156">
        <f>0-C59</f>
        <v>-881</v>
      </c>
      <c r="N59" s="2368"/>
      <c r="O59" s="2391" t="s">
        <v>1150</v>
      </c>
      <c r="P59" s="2392"/>
      <c r="Q59" s="951">
        <f>ROUND(Q56/Q53,2)</f>
        <v>0.19</v>
      </c>
      <c r="R59" s="951">
        <f>ROUND(R56/R53,2)</f>
        <v>0.18</v>
      </c>
      <c r="S59" s="951">
        <f t="shared" ref="S59:Z59" si="16">ROUND(S56/S53,2)</f>
        <v>0.24</v>
      </c>
      <c r="T59" s="951">
        <f t="shared" si="16"/>
        <v>0.32</v>
      </c>
      <c r="U59" s="951">
        <f t="shared" si="16"/>
        <v>0.15</v>
      </c>
      <c r="V59" s="951">
        <f t="shared" si="16"/>
        <v>0.06</v>
      </c>
      <c r="W59" s="951">
        <f t="shared" si="16"/>
        <v>0.18</v>
      </c>
      <c r="X59" s="951">
        <f t="shared" si="16"/>
        <v>0.2</v>
      </c>
      <c r="Y59" s="951">
        <f t="shared" si="16"/>
        <v>0.32</v>
      </c>
      <c r="Z59" s="951">
        <f t="shared" si="16"/>
        <v>0.09</v>
      </c>
    </row>
    <row r="60" spans="1:26" ht="17.25" thickBot="1">
      <c r="A60" s="157" t="s">
        <v>691</v>
      </c>
      <c r="B60" s="158">
        <f>ROUND(B59*F60,0)</f>
        <v>163</v>
      </c>
      <c r="C60" s="167">
        <f>+B15</f>
        <v>29</v>
      </c>
      <c r="D60" s="154">
        <f t="shared" ref="D60:D68" si="17">+HLOOKUP($A60,$B$2:$L$7,6,FALSE)</f>
        <v>0.18200467809348517</v>
      </c>
      <c r="E60" s="138">
        <f t="shared" ref="E60:E68" si="18">+D60*100</f>
        <v>18.200467809348517</v>
      </c>
      <c r="F60" s="141">
        <f>+E60/E59</f>
        <v>0.20219812988562055</v>
      </c>
      <c r="G60" s="138"/>
      <c r="H60" s="150"/>
      <c r="I60" s="150"/>
      <c r="J60" s="150"/>
      <c r="K60" s="160"/>
      <c r="N60" s="2389" t="s">
        <v>1152</v>
      </c>
      <c r="O60" s="2390"/>
      <c r="P60" s="2390"/>
      <c r="Q60" s="952">
        <f>AVERAGE(Q59,Q52,Q45,Q38,Q31,Q24)</f>
        <v>0.22166666666666668</v>
      </c>
      <c r="R60" s="952">
        <f>AVERAGE(R59,R52,R45,R38,R31,R24)</f>
        <v>0.16500000000000001</v>
      </c>
      <c r="S60" s="952">
        <f t="shared" ref="S60:Z60" si="19">AVERAGE(S59,S52,S45,S38,S31,S24)</f>
        <v>0.29666666666666669</v>
      </c>
      <c r="T60" s="952">
        <f t="shared" si="19"/>
        <v>0.13666666666666666</v>
      </c>
      <c r="U60" s="952">
        <f t="shared" si="19"/>
        <v>0.18833333333333332</v>
      </c>
      <c r="V60" s="952">
        <f t="shared" si="19"/>
        <v>0.22333333333333336</v>
      </c>
      <c r="W60" s="952">
        <f t="shared" si="19"/>
        <v>0.16833333333333333</v>
      </c>
      <c r="X60" s="952">
        <f t="shared" si="19"/>
        <v>0.20833333333333334</v>
      </c>
      <c r="Y60" s="952">
        <f t="shared" si="19"/>
        <v>0.27666666666666667</v>
      </c>
      <c r="Z60" s="952">
        <f t="shared" si="19"/>
        <v>4.8333333333333339E-2</v>
      </c>
    </row>
    <row r="61" spans="1:26" ht="17.25" thickBot="1">
      <c r="A61" s="161" t="s">
        <v>637</v>
      </c>
      <c r="B61" s="162">
        <f>ROUND(B59*F61,0)</f>
        <v>201</v>
      </c>
      <c r="C61" s="138">
        <f>+B27</f>
        <v>329</v>
      </c>
      <c r="D61" s="154">
        <f t="shared" si="17"/>
        <v>0.22368572414586449</v>
      </c>
      <c r="E61" s="138">
        <f t="shared" si="18"/>
        <v>22.368572414586449</v>
      </c>
      <c r="F61" s="141">
        <f>+E61/E59</f>
        <v>0.24850369549937165</v>
      </c>
      <c r="G61" s="138"/>
      <c r="H61" s="150"/>
      <c r="I61" s="150"/>
      <c r="J61" s="150"/>
      <c r="K61" s="160"/>
      <c r="Z61" s="109"/>
    </row>
    <row r="62" spans="1:26" ht="17.25" thickBot="1">
      <c r="A62" s="161" t="s">
        <v>638</v>
      </c>
      <c r="B62" s="162">
        <f>ROUND(B59*F62,0)</f>
        <v>28</v>
      </c>
      <c r="C62" s="138">
        <f>+B39</f>
        <v>22</v>
      </c>
      <c r="D62" s="154">
        <f t="shared" si="17"/>
        <v>3.0877334253614018E-2</v>
      </c>
      <c r="E62" s="138">
        <f t="shared" si="18"/>
        <v>3.0877334253614017</v>
      </c>
      <c r="F62" s="141">
        <f>+E62/E59</f>
        <v>3.430318004643336E-2</v>
      </c>
      <c r="G62" s="138"/>
      <c r="H62" s="150"/>
      <c r="I62" s="150"/>
      <c r="J62" s="150"/>
      <c r="K62" s="160"/>
      <c r="Z62" s="109"/>
    </row>
    <row r="63" spans="1:26" ht="17.25" thickBot="1">
      <c r="A63" s="161" t="s">
        <v>639</v>
      </c>
      <c r="B63" s="162">
        <f>ROUND(B59*F63,0)</f>
        <v>28</v>
      </c>
      <c r="C63" s="138">
        <f>+B51</f>
        <v>43</v>
      </c>
      <c r="D63" s="154">
        <f t="shared" si="17"/>
        <v>3.1088231910732775E-2</v>
      </c>
      <c r="E63" s="138">
        <f t="shared" si="18"/>
        <v>3.1088231910732773</v>
      </c>
      <c r="F63" s="141">
        <f>+E63/E59</f>
        <v>3.4537476836567334E-2</v>
      </c>
      <c r="G63" s="138"/>
      <c r="H63" s="150"/>
      <c r="I63" s="150"/>
      <c r="J63" s="150"/>
      <c r="K63" s="160"/>
      <c r="Z63" s="109"/>
    </row>
    <row r="64" spans="1:26" ht="17.25" thickBot="1">
      <c r="A64" s="161" t="s">
        <v>641</v>
      </c>
      <c r="B64" s="162">
        <f>ROUND(B59*F64,0)</f>
        <v>162</v>
      </c>
      <c r="C64" s="138">
        <f>+B76</f>
        <v>191</v>
      </c>
      <c r="D64" s="154">
        <f t="shared" si="17"/>
        <v>0.18024080677940105</v>
      </c>
      <c r="E64" s="138">
        <f t="shared" si="18"/>
        <v>18.024080677940105</v>
      </c>
      <c r="F64" s="141">
        <f>+E64/E59</f>
        <v>0.20023855673177277</v>
      </c>
      <c r="G64" s="138"/>
      <c r="H64" s="150"/>
      <c r="I64" s="150"/>
      <c r="J64" s="150"/>
      <c r="K64" s="160"/>
      <c r="Z64" s="109"/>
    </row>
    <row r="65" spans="1:26" ht="17.25" thickBot="1">
      <c r="A65" s="161" t="s">
        <v>642</v>
      </c>
      <c r="B65" s="162">
        <f>ROUND(B59*F65,0)</f>
        <v>82</v>
      </c>
      <c r="C65" s="138">
        <f>+B88</f>
        <v>60</v>
      </c>
      <c r="D65" s="154">
        <f t="shared" si="17"/>
        <v>9.1750067103799987E-2</v>
      </c>
      <c r="E65" s="138">
        <f t="shared" si="18"/>
        <v>9.1750067103799982</v>
      </c>
      <c r="F65" s="141">
        <f>+E65/E59</f>
        <v>0.10192975356237619</v>
      </c>
      <c r="G65" s="138"/>
      <c r="H65" s="150"/>
      <c r="I65" s="150"/>
      <c r="J65" s="150"/>
      <c r="K65" s="160"/>
      <c r="Z65" s="109"/>
    </row>
    <row r="66" spans="1:26" ht="17.25" thickBot="1">
      <c r="A66" s="161" t="s">
        <v>643</v>
      </c>
      <c r="B66" s="162">
        <f>ROUND(B59*F66,0)</f>
        <v>46</v>
      </c>
      <c r="C66" s="138">
        <f>+B100</f>
        <v>48</v>
      </c>
      <c r="D66" s="154">
        <f t="shared" si="17"/>
        <v>5.1296061965566166E-2</v>
      </c>
      <c r="E66" s="138">
        <f t="shared" si="18"/>
        <v>5.1296061965566162</v>
      </c>
      <c r="F66" s="141">
        <f>+E66/E59</f>
        <v>5.6987369273040954E-2</v>
      </c>
      <c r="G66" s="138"/>
      <c r="H66" s="150"/>
      <c r="I66" s="150"/>
      <c r="J66" s="150"/>
      <c r="K66" s="160"/>
      <c r="Z66" s="109"/>
    </row>
    <row r="67" spans="1:26" ht="17.25" thickBot="1">
      <c r="A67" s="163" t="s">
        <v>699</v>
      </c>
      <c r="B67" s="164">
        <f>ROUND(B59*F67,0)</f>
        <v>98</v>
      </c>
      <c r="C67" s="138">
        <f>+B112</f>
        <v>18</v>
      </c>
      <c r="D67" s="154">
        <f t="shared" si="17"/>
        <v>0.10918746884466429</v>
      </c>
      <c r="E67" s="138">
        <f t="shared" si="18"/>
        <v>10.918746884466429</v>
      </c>
      <c r="F67" s="141">
        <f>+E67/E59</f>
        <v>0.12130183816481714</v>
      </c>
      <c r="G67" s="138"/>
      <c r="H67" s="150"/>
      <c r="I67" s="150"/>
      <c r="J67" s="150"/>
      <c r="K67" s="160"/>
      <c r="Z67" s="109"/>
    </row>
    <row r="68" spans="1:26" ht="17.25" thickBot="1">
      <c r="A68" s="163" t="s">
        <v>1583</v>
      </c>
      <c r="B68" s="164">
        <f>ROUND(B60*F68,0)</f>
        <v>0</v>
      </c>
      <c r="C68" s="1552">
        <f>B126</f>
        <v>141</v>
      </c>
      <c r="D68" s="154">
        <f t="shared" si="17"/>
        <v>0</v>
      </c>
      <c r="E68" s="138">
        <f t="shared" si="18"/>
        <v>0</v>
      </c>
      <c r="F68" s="141">
        <f>+E68/E60</f>
        <v>0</v>
      </c>
      <c r="G68" s="138"/>
      <c r="H68" s="150"/>
      <c r="I68" s="150"/>
      <c r="J68" s="150"/>
      <c r="K68" s="160"/>
      <c r="Z68" s="109"/>
    </row>
    <row r="69" spans="1:26" ht="17.25" thickBot="1">
      <c r="A69" s="168"/>
      <c r="B69" s="169"/>
      <c r="C69" s="169"/>
      <c r="D69" s="169"/>
      <c r="E69" s="169"/>
      <c r="F69" s="169"/>
      <c r="G69" s="169"/>
      <c r="H69" s="150"/>
      <c r="I69" s="150"/>
      <c r="J69" s="150"/>
      <c r="K69" s="166"/>
      <c r="Z69" s="108"/>
    </row>
    <row r="70" spans="1:26">
      <c r="A70" s="145" t="s">
        <v>641</v>
      </c>
      <c r="B70" s="146" t="s">
        <v>166</v>
      </c>
      <c r="C70" s="147" t="s">
        <v>1386</v>
      </c>
      <c r="D70" s="148" t="s">
        <v>168</v>
      </c>
      <c r="E70" s="138"/>
      <c r="F70" s="138" t="s">
        <v>169</v>
      </c>
      <c r="G70" s="149" t="s">
        <v>172</v>
      </c>
      <c r="H70" s="150"/>
      <c r="I70" s="150"/>
      <c r="J70" s="150"/>
      <c r="K70" s="151" t="s">
        <v>577</v>
      </c>
      <c r="Z70" s="112"/>
    </row>
    <row r="71" spans="1:26" ht="17.25" thickBot="1">
      <c r="A71" s="152" t="s">
        <v>434</v>
      </c>
      <c r="B71" s="153">
        <f>+$H$5</f>
        <v>1567</v>
      </c>
      <c r="C71" s="153">
        <f>SUM(C72:C80)</f>
        <v>1409</v>
      </c>
      <c r="D71" s="154">
        <f>SUM(D72:D80)</f>
        <v>0.81975919322059898</v>
      </c>
      <c r="E71" s="138">
        <f>+D71*100</f>
        <v>81.975919322059895</v>
      </c>
      <c r="F71" s="155">
        <f>SUM(F72:F80)</f>
        <v>1</v>
      </c>
      <c r="G71" s="138"/>
      <c r="H71" s="150"/>
      <c r="I71" s="150"/>
      <c r="J71" s="150"/>
      <c r="K71" s="156">
        <f>0-C71</f>
        <v>-1409</v>
      </c>
      <c r="Z71" s="109"/>
    </row>
    <row r="72" spans="1:26" ht="17.25" thickBot="1">
      <c r="A72" s="157" t="s">
        <v>691</v>
      </c>
      <c r="B72" s="158">
        <f>ROUND(B71*F72,0)-G72</f>
        <v>347</v>
      </c>
      <c r="C72" s="167">
        <f>+B16</f>
        <v>52</v>
      </c>
      <c r="D72" s="154">
        <f t="shared" ref="D72:D80" si="20">+HLOOKUP($A72,$B$2:$L$7,6,FALSE)</f>
        <v>0.18200467809348517</v>
      </c>
      <c r="E72" s="138">
        <f t="shared" ref="E72:E80" si="21">+D72*100</f>
        <v>18.200467809348517</v>
      </c>
      <c r="F72" s="141">
        <f>+E72/E71</f>
        <v>0.22202212503215846</v>
      </c>
      <c r="G72" s="138">
        <v>1</v>
      </c>
      <c r="H72" s="150"/>
      <c r="I72" s="150"/>
      <c r="J72" s="150"/>
      <c r="K72" s="160"/>
      <c r="Z72" s="109"/>
    </row>
    <row r="73" spans="1:26" ht="17.25" thickBot="1">
      <c r="A73" s="161" t="s">
        <v>637</v>
      </c>
      <c r="B73" s="162">
        <f>ROUND(B71*F73,0)</f>
        <v>428</v>
      </c>
      <c r="C73" s="138">
        <f>+B28</f>
        <v>595</v>
      </c>
      <c r="D73" s="154">
        <f t="shared" si="20"/>
        <v>0.22368572414586449</v>
      </c>
      <c r="E73" s="138">
        <f t="shared" si="21"/>
        <v>22.368572414586449</v>
      </c>
      <c r="F73" s="141">
        <f>+E73/E71</f>
        <v>0.27286760062679793</v>
      </c>
      <c r="G73" s="138"/>
      <c r="H73" s="150"/>
      <c r="I73" s="150"/>
      <c r="J73" s="150"/>
      <c r="K73" s="160"/>
      <c r="Z73" s="109"/>
    </row>
    <row r="74" spans="1:26" ht="17.25" thickBot="1">
      <c r="A74" s="161" t="s">
        <v>638</v>
      </c>
      <c r="B74" s="162">
        <f>ROUND(B71*F74,0)</f>
        <v>59</v>
      </c>
      <c r="C74" s="138">
        <f>+B40</f>
        <v>40</v>
      </c>
      <c r="D74" s="154">
        <f t="shared" si="20"/>
        <v>3.0877334253614018E-2</v>
      </c>
      <c r="E74" s="138">
        <f t="shared" si="21"/>
        <v>3.0877334253614017</v>
      </c>
      <c r="F74" s="141">
        <f>+E74/E71</f>
        <v>3.7666347030895525E-2</v>
      </c>
      <c r="G74" s="138"/>
      <c r="H74" s="150"/>
      <c r="I74" s="150"/>
      <c r="J74" s="150"/>
      <c r="K74" s="160"/>
      <c r="Z74" s="109"/>
    </row>
    <row r="75" spans="1:26" ht="17.25" thickBot="1">
      <c r="A75" s="161" t="s">
        <v>639</v>
      </c>
      <c r="B75" s="162">
        <f>ROUND(B71*F75,0)</f>
        <v>59</v>
      </c>
      <c r="C75" s="138">
        <f>+B52</f>
        <v>77</v>
      </c>
      <c r="D75" s="154">
        <f t="shared" si="20"/>
        <v>3.1088231910732775E-2</v>
      </c>
      <c r="E75" s="138">
        <f t="shared" si="21"/>
        <v>3.1088231910732773</v>
      </c>
      <c r="F75" s="141">
        <f>+E75/E71</f>
        <v>3.7923614846691767E-2</v>
      </c>
      <c r="G75" s="138"/>
      <c r="H75" s="150"/>
      <c r="I75" s="150"/>
      <c r="J75" s="150"/>
      <c r="K75" s="160"/>
      <c r="Z75" s="109"/>
    </row>
    <row r="76" spans="1:26" ht="17.25" thickBot="1">
      <c r="A76" s="161" t="s">
        <v>640</v>
      </c>
      <c r="B76" s="162">
        <f>ROUND(B71*F76,0)</f>
        <v>191</v>
      </c>
      <c r="C76" s="138">
        <f>+B64</f>
        <v>162</v>
      </c>
      <c r="D76" s="154">
        <f t="shared" si="20"/>
        <v>9.9869626902872044E-2</v>
      </c>
      <c r="E76" s="138">
        <f t="shared" si="21"/>
        <v>9.9869626902872035</v>
      </c>
      <c r="F76" s="141">
        <f>+E76/E71</f>
        <v>0.12182800477114858</v>
      </c>
      <c r="G76" s="138"/>
      <c r="H76" s="150"/>
      <c r="I76" s="150"/>
      <c r="J76" s="150"/>
      <c r="K76" s="160"/>
      <c r="Z76" s="109"/>
    </row>
    <row r="77" spans="1:26" ht="17.25" thickBot="1">
      <c r="A77" s="161" t="s">
        <v>642</v>
      </c>
      <c r="B77" s="162">
        <f>ROUND(B71*F77,0)</f>
        <v>175</v>
      </c>
      <c r="C77" s="138">
        <f>+B89</f>
        <v>108</v>
      </c>
      <c r="D77" s="154">
        <f t="shared" si="20"/>
        <v>9.1750067103799987E-2</v>
      </c>
      <c r="E77" s="138">
        <f t="shared" si="21"/>
        <v>9.1750067103799982</v>
      </c>
      <c r="F77" s="141">
        <f>+E77/E71</f>
        <v>0.11192319386299318</v>
      </c>
      <c r="G77" s="138"/>
      <c r="H77" s="150"/>
      <c r="I77" s="150"/>
      <c r="J77" s="150"/>
      <c r="K77" s="160"/>
      <c r="Z77" s="109"/>
    </row>
    <row r="78" spans="1:26" ht="17.25" thickBot="1">
      <c r="A78" s="161" t="s">
        <v>643</v>
      </c>
      <c r="B78" s="162">
        <f>ROUND(B71*F78,0)</f>
        <v>98</v>
      </c>
      <c r="C78" s="138">
        <f>+B101</f>
        <v>87</v>
      </c>
      <c r="D78" s="154">
        <f t="shared" si="20"/>
        <v>5.1296061965566166E-2</v>
      </c>
      <c r="E78" s="138">
        <f t="shared" si="21"/>
        <v>5.1296061965566162</v>
      </c>
      <c r="F78" s="141">
        <f>+E78/E71</f>
        <v>6.2574549196622767E-2</v>
      </c>
      <c r="G78" s="138"/>
      <c r="H78" s="150"/>
      <c r="I78" s="150"/>
      <c r="J78" s="150"/>
      <c r="K78" s="160"/>
      <c r="Z78" s="109"/>
    </row>
    <row r="79" spans="1:26" ht="17.25" thickBot="1">
      <c r="A79" s="163" t="s">
        <v>699</v>
      </c>
      <c r="B79" s="164">
        <f>ROUND(B71*F79,0)</f>
        <v>209</v>
      </c>
      <c r="C79" s="138">
        <f>+B113</f>
        <v>33</v>
      </c>
      <c r="D79" s="154">
        <f t="shared" si="20"/>
        <v>0.10918746884466429</v>
      </c>
      <c r="E79" s="138">
        <f t="shared" si="21"/>
        <v>10.918746884466429</v>
      </c>
      <c r="F79" s="141">
        <f>+E79/E71</f>
        <v>0.13319456463269172</v>
      </c>
      <c r="G79" s="138"/>
      <c r="H79" s="150"/>
      <c r="I79" s="150"/>
      <c r="J79" s="150"/>
      <c r="K79" s="160"/>
      <c r="Z79" s="109"/>
    </row>
    <row r="80" spans="1:26" ht="17.25" thickBot="1">
      <c r="A80" s="163" t="s">
        <v>1583</v>
      </c>
      <c r="B80" s="164">
        <f>ROUND(B72*F80,0)</f>
        <v>0</v>
      </c>
      <c r="C80" s="1552">
        <f>B127</f>
        <v>255</v>
      </c>
      <c r="D80" s="154">
        <f t="shared" si="20"/>
        <v>0</v>
      </c>
      <c r="E80" s="138">
        <f t="shared" si="21"/>
        <v>0</v>
      </c>
      <c r="F80" s="141">
        <f>+E80/E72</f>
        <v>0</v>
      </c>
      <c r="G80" s="138"/>
      <c r="H80" s="150"/>
      <c r="I80" s="150"/>
      <c r="J80" s="150"/>
      <c r="K80" s="160"/>
      <c r="Z80" s="108"/>
    </row>
    <row r="81" spans="1:26" ht="17.25" thickBot="1">
      <c r="A81" s="168"/>
      <c r="B81" s="169"/>
      <c r="C81" s="169"/>
      <c r="D81" s="169"/>
      <c r="E81" s="169"/>
      <c r="F81" s="169"/>
      <c r="G81" s="169"/>
      <c r="H81" s="150"/>
      <c r="I81" s="150"/>
      <c r="J81" s="150"/>
      <c r="K81" s="166"/>
      <c r="Z81" s="112"/>
    </row>
    <row r="82" spans="1:26">
      <c r="A82" s="145" t="s">
        <v>642</v>
      </c>
      <c r="B82" s="146" t="s">
        <v>166</v>
      </c>
      <c r="C82" s="147" t="s">
        <v>1386</v>
      </c>
      <c r="D82" s="148" t="s">
        <v>168</v>
      </c>
      <c r="E82" s="138"/>
      <c r="F82" s="138" t="s">
        <v>169</v>
      </c>
      <c r="G82" s="149" t="s">
        <v>172</v>
      </c>
      <c r="H82" s="150"/>
      <c r="I82" s="150"/>
      <c r="J82" s="150"/>
      <c r="K82" s="151" t="s">
        <v>577</v>
      </c>
      <c r="Z82" s="109"/>
    </row>
    <row r="83" spans="1:26" ht="17.25" thickBot="1">
      <c r="A83" s="152" t="s">
        <v>434</v>
      </c>
      <c r="B83" s="153">
        <f>+$I$5</f>
        <v>542</v>
      </c>
      <c r="C83" s="153">
        <f>SUM(C84:C92)</f>
        <v>837</v>
      </c>
      <c r="D83" s="154">
        <f>SUM(D84:D92)</f>
        <v>0.90824993289619993</v>
      </c>
      <c r="E83" s="138">
        <f>+D83*100</f>
        <v>90.824993289619997</v>
      </c>
      <c r="F83" s="155">
        <f>SUM(F84:F92)</f>
        <v>1.0000000000000002</v>
      </c>
      <c r="G83" s="138"/>
      <c r="H83" s="150"/>
      <c r="I83" s="150"/>
      <c r="J83" s="150"/>
      <c r="K83" s="156">
        <f>0-C83</f>
        <v>-837</v>
      </c>
      <c r="Z83" s="109"/>
    </row>
    <row r="84" spans="1:26" ht="17.25" thickBot="1">
      <c r="A84" s="157" t="s">
        <v>691</v>
      </c>
      <c r="B84" s="158">
        <f>ROUND(B83*F84,0)-G84</f>
        <v>108</v>
      </c>
      <c r="C84" s="167">
        <f>+B17</f>
        <v>27</v>
      </c>
      <c r="D84" s="154">
        <f t="shared" ref="D84:D92" si="22">+HLOOKUP($A84,$B$2:$L$7,6,FALSE)</f>
        <v>0.18200467809348517</v>
      </c>
      <c r="E84" s="138">
        <f t="shared" ref="E84:E92" si="23">+D84*100</f>
        <v>18.200467809348517</v>
      </c>
      <c r="F84" s="141">
        <f>+E84/E83</f>
        <v>0.20039052192727849</v>
      </c>
      <c r="G84" s="138">
        <v>1</v>
      </c>
      <c r="H84" s="150"/>
      <c r="I84" s="150"/>
      <c r="J84" s="150"/>
      <c r="K84" s="160"/>
      <c r="Z84" s="109"/>
    </row>
    <row r="85" spans="1:26" ht="17.25" thickBot="1">
      <c r="A85" s="161" t="s">
        <v>637</v>
      </c>
      <c r="B85" s="162">
        <f>ROUND(B83*F85,0)-G85</f>
        <v>133</v>
      </c>
      <c r="C85" s="138">
        <f>+B29</f>
        <v>303</v>
      </c>
      <c r="D85" s="154">
        <f t="shared" si="22"/>
        <v>0.22368572414586449</v>
      </c>
      <c r="E85" s="138">
        <f t="shared" si="23"/>
        <v>22.368572414586449</v>
      </c>
      <c r="F85" s="141">
        <f>+E85/E83</f>
        <v>0.24628212570584201</v>
      </c>
      <c r="G85" s="138"/>
      <c r="H85" s="150"/>
      <c r="I85" s="150"/>
      <c r="J85" s="150"/>
      <c r="K85" s="160"/>
      <c r="L85" s="2372" t="s">
        <v>576</v>
      </c>
      <c r="Z85" s="109"/>
    </row>
    <row r="86" spans="1:26" ht="17.25" thickBot="1">
      <c r="A86" s="161" t="s">
        <v>638</v>
      </c>
      <c r="B86" s="162">
        <f>ROUND(B83*F86,0)</f>
        <v>18</v>
      </c>
      <c r="C86" s="138">
        <f>+B41</f>
        <v>20</v>
      </c>
      <c r="D86" s="154">
        <f t="shared" si="22"/>
        <v>3.0877334253614018E-2</v>
      </c>
      <c r="E86" s="138">
        <f t="shared" si="23"/>
        <v>3.0877334253614017</v>
      </c>
      <c r="F86" s="141">
        <f>+E86/E83</f>
        <v>3.3996516966594545E-2</v>
      </c>
      <c r="G86" s="138"/>
      <c r="H86" s="150"/>
      <c r="I86" s="150"/>
      <c r="J86" s="150"/>
      <c r="K86" s="160"/>
      <c r="L86" s="2373"/>
      <c r="Z86" s="109"/>
    </row>
    <row r="87" spans="1:26" ht="17.25" thickBot="1">
      <c r="A87" s="161" t="s">
        <v>639</v>
      </c>
      <c r="B87" s="162">
        <f>ROUND(B83*F87,0)</f>
        <v>19</v>
      </c>
      <c r="C87" s="138">
        <f>+B53</f>
        <v>39</v>
      </c>
      <c r="D87" s="154">
        <f t="shared" si="22"/>
        <v>3.1088231910732775E-2</v>
      </c>
      <c r="E87" s="138">
        <f t="shared" si="23"/>
        <v>3.1088231910732773</v>
      </c>
      <c r="F87" s="141">
        <f>+E87/E83</f>
        <v>3.4228719193624996E-2</v>
      </c>
      <c r="G87" s="138"/>
      <c r="H87" s="150"/>
      <c r="I87" s="150"/>
      <c r="J87" s="150"/>
      <c r="L87" s="170">
        <f>+K11+K23+K35+K47+K59+K71+K83</f>
        <v>-6862</v>
      </c>
      <c r="Z87" s="109"/>
    </row>
    <row r="88" spans="1:26" ht="17.25" thickBot="1">
      <c r="A88" s="161" t="s">
        <v>640</v>
      </c>
      <c r="B88" s="162">
        <f>ROUND(B83*F88,0)</f>
        <v>60</v>
      </c>
      <c r="C88" s="138">
        <f>+B65</f>
        <v>82</v>
      </c>
      <c r="D88" s="154">
        <f t="shared" si="22"/>
        <v>9.9869626902872044E-2</v>
      </c>
      <c r="E88" s="138">
        <f t="shared" si="23"/>
        <v>9.9869626902872035</v>
      </c>
      <c r="F88" s="141">
        <f>+E88/E83</f>
        <v>0.10995830914560135</v>
      </c>
      <c r="G88" s="138"/>
      <c r="H88" s="150"/>
      <c r="I88" s="150"/>
      <c r="J88" s="150"/>
      <c r="Z88" s="109"/>
    </row>
    <row r="89" spans="1:26" ht="17.25" thickBot="1">
      <c r="A89" s="161" t="s">
        <v>641</v>
      </c>
      <c r="B89" s="162">
        <f>ROUND(B83*F89,0)</f>
        <v>108</v>
      </c>
      <c r="C89" s="138">
        <f>+B77</f>
        <v>175</v>
      </c>
      <c r="D89" s="154">
        <f t="shared" si="22"/>
        <v>0.18024080677940105</v>
      </c>
      <c r="E89" s="138">
        <f t="shared" si="23"/>
        <v>18.024080677940105</v>
      </c>
      <c r="F89" s="141">
        <f>+E89/E83</f>
        <v>0.19844846693756929</v>
      </c>
      <c r="G89" s="138"/>
      <c r="H89" s="150"/>
      <c r="I89" s="150"/>
      <c r="J89" s="150"/>
    </row>
    <row r="90" spans="1:26" ht="17.25" thickBot="1">
      <c r="A90" s="161" t="s">
        <v>643</v>
      </c>
      <c r="B90" s="162">
        <f>ROUND(B83*F90,0)</f>
        <v>31</v>
      </c>
      <c r="C90" s="138">
        <f>+B102</f>
        <v>44</v>
      </c>
      <c r="D90" s="154">
        <f t="shared" si="22"/>
        <v>5.1296061965566166E-2</v>
      </c>
      <c r="E90" s="138">
        <f t="shared" si="23"/>
        <v>5.1296061965566162</v>
      </c>
      <c r="F90" s="141">
        <f>+E90/E83</f>
        <v>5.6477914401815398E-2</v>
      </c>
      <c r="G90" s="138"/>
    </row>
    <row r="91" spans="1:26" ht="17.25" thickBot="1">
      <c r="A91" s="163" t="s">
        <v>699</v>
      </c>
      <c r="B91" s="164">
        <f>ROUND(B83*F91,0)</f>
        <v>65</v>
      </c>
      <c r="C91" s="138">
        <f>+B114</f>
        <v>17</v>
      </c>
      <c r="D91" s="154">
        <f t="shared" si="22"/>
        <v>0.10918746884466429</v>
      </c>
      <c r="E91" s="138">
        <f t="shared" si="23"/>
        <v>10.918746884466429</v>
      </c>
      <c r="F91" s="141">
        <f>+E91/E83</f>
        <v>0.12021742572167397</v>
      </c>
      <c r="G91" s="138"/>
      <c r="Z91" s="108"/>
    </row>
    <row r="92" spans="1:26" ht="17.25" thickBot="1">
      <c r="A92" s="163" t="s">
        <v>1583</v>
      </c>
      <c r="B92" s="164">
        <f>ROUND(B84*F92,0)</f>
        <v>0</v>
      </c>
      <c r="C92" s="1552">
        <f>B128</f>
        <v>130</v>
      </c>
      <c r="D92" s="154">
        <f t="shared" si="22"/>
        <v>0</v>
      </c>
      <c r="E92" s="138">
        <f t="shared" si="23"/>
        <v>0</v>
      </c>
      <c r="F92" s="141">
        <f>+E92/E84</f>
        <v>0</v>
      </c>
      <c r="G92" s="138"/>
      <c r="H92" s="150"/>
      <c r="I92" s="150"/>
      <c r="J92" s="150"/>
      <c r="K92" s="160"/>
      <c r="Z92" s="112"/>
    </row>
    <row r="93" spans="1:26" ht="17.25" thickBot="1">
      <c r="A93" s="168"/>
      <c r="B93" s="169"/>
      <c r="C93" s="169"/>
      <c r="D93" s="169"/>
      <c r="E93" s="169"/>
      <c r="F93" s="169"/>
      <c r="G93" s="169"/>
      <c r="H93" s="150"/>
      <c r="I93" s="150"/>
      <c r="J93" s="150"/>
      <c r="K93" s="166"/>
      <c r="Z93" s="109"/>
    </row>
    <row r="94" spans="1:26">
      <c r="A94" s="145" t="s">
        <v>643</v>
      </c>
      <c r="B94" s="146" t="s">
        <v>166</v>
      </c>
      <c r="C94" s="147" t="s">
        <v>1386</v>
      </c>
      <c r="D94" s="148" t="s">
        <v>168</v>
      </c>
      <c r="E94" s="138"/>
      <c r="F94" s="138" t="s">
        <v>169</v>
      </c>
      <c r="G94" s="149" t="s">
        <v>172</v>
      </c>
      <c r="H94" s="150"/>
      <c r="I94" s="150"/>
      <c r="J94" s="150"/>
      <c r="K94" s="151" t="s">
        <v>577</v>
      </c>
      <c r="Z94" s="109"/>
    </row>
    <row r="95" spans="1:26" ht="17.25" thickBot="1">
      <c r="A95" s="152" t="s">
        <v>434</v>
      </c>
      <c r="B95" s="153">
        <f>+$J$5</f>
        <v>460</v>
      </c>
      <c r="C95" s="153">
        <f>SUM(C96:C104)</f>
        <v>474</v>
      </c>
      <c r="D95" s="154">
        <f>SUM(D96:D104)</f>
        <v>0.94870393803443376</v>
      </c>
      <c r="E95" s="138">
        <f>+D95*100</f>
        <v>94.870393803443378</v>
      </c>
      <c r="F95" s="155">
        <f>SUM(F96:F104)</f>
        <v>1</v>
      </c>
      <c r="G95" s="138"/>
      <c r="H95" s="150"/>
      <c r="I95" s="150"/>
      <c r="J95" s="150"/>
      <c r="K95" s="156">
        <f>0-C95</f>
        <v>-474</v>
      </c>
      <c r="Z95" s="109"/>
    </row>
    <row r="96" spans="1:26" ht="17.25" thickBot="1">
      <c r="A96" s="157" t="s">
        <v>691</v>
      </c>
      <c r="B96" s="158">
        <f>ROUND(B95*F96,0)-G96</f>
        <v>88</v>
      </c>
      <c r="C96" s="167">
        <f>B18</f>
        <v>15</v>
      </c>
      <c r="D96" s="154">
        <f t="shared" ref="D96:D104" si="24">+HLOOKUP($A96,$B$2:$L$7,6,FALSE)</f>
        <v>0.18200467809348517</v>
      </c>
      <c r="E96" s="138">
        <f t="shared" ref="E96:E104" si="25">+D96*100</f>
        <v>18.200467809348517</v>
      </c>
      <c r="F96" s="141">
        <f>+E96/E95</f>
        <v>0.19184560198049816</v>
      </c>
      <c r="G96" s="138"/>
      <c r="H96" s="150"/>
      <c r="I96" s="150"/>
      <c r="J96" s="150"/>
      <c r="K96" s="160"/>
      <c r="Z96" s="109"/>
    </row>
    <row r="97" spans="1:26" ht="17.25" thickBot="1">
      <c r="A97" s="161" t="s">
        <v>637</v>
      </c>
      <c r="B97" s="162">
        <f>ROUND(B95*F97,0)+G97</f>
        <v>110</v>
      </c>
      <c r="C97" s="138">
        <f>B30</f>
        <v>169</v>
      </c>
      <c r="D97" s="154">
        <f t="shared" si="24"/>
        <v>0.22368572414586449</v>
      </c>
      <c r="E97" s="138">
        <f t="shared" si="25"/>
        <v>22.368572414586449</v>
      </c>
      <c r="F97" s="141">
        <f>+E97/E95</f>
        <v>0.23578032637801244</v>
      </c>
      <c r="G97" s="138">
        <v>2</v>
      </c>
      <c r="H97" s="150"/>
      <c r="I97" s="150"/>
      <c r="J97" s="150"/>
      <c r="K97" s="160"/>
      <c r="Z97" s="109"/>
    </row>
    <row r="98" spans="1:26" ht="17.25" thickBot="1">
      <c r="A98" s="161" t="s">
        <v>638</v>
      </c>
      <c r="B98" s="162">
        <f>ROUND(B95*F98,0)</f>
        <v>15</v>
      </c>
      <c r="C98" s="138">
        <f>B42</f>
        <v>11</v>
      </c>
      <c r="D98" s="154">
        <f t="shared" si="24"/>
        <v>3.0877334253614018E-2</v>
      </c>
      <c r="E98" s="138">
        <f t="shared" si="25"/>
        <v>3.0877334253614017</v>
      </c>
      <c r="F98" s="141">
        <f>+E98/E95</f>
        <v>3.2546860001010459E-2</v>
      </c>
      <c r="G98" s="138"/>
      <c r="H98" s="150"/>
      <c r="I98" s="150"/>
      <c r="J98" s="150"/>
      <c r="K98" s="160"/>
      <c r="Z98" s="109"/>
    </row>
    <row r="99" spans="1:26" ht="17.25" thickBot="1">
      <c r="A99" s="161" t="s">
        <v>639</v>
      </c>
      <c r="B99" s="162">
        <f>ROUND(B95*F99,0)</f>
        <v>15</v>
      </c>
      <c r="C99" s="138">
        <f>B54</f>
        <v>22</v>
      </c>
      <c r="D99" s="154">
        <f t="shared" si="24"/>
        <v>3.1088231910732775E-2</v>
      </c>
      <c r="E99" s="138">
        <f t="shared" si="25"/>
        <v>3.1088231910732773</v>
      </c>
      <c r="F99" s="141">
        <f>+E99/E95</f>
        <v>3.2769160814429342E-2</v>
      </c>
      <c r="G99" s="138"/>
      <c r="H99" s="150"/>
      <c r="I99" s="150"/>
      <c r="J99" s="150"/>
      <c r="K99" s="160"/>
      <c r="Z99" s="109"/>
    </row>
    <row r="100" spans="1:26" ht="17.25" thickBot="1">
      <c r="A100" s="161" t="s">
        <v>640</v>
      </c>
      <c r="B100" s="162">
        <f>ROUND(B95*F100,0)</f>
        <v>48</v>
      </c>
      <c r="C100" s="138">
        <f>B66</f>
        <v>46</v>
      </c>
      <c r="D100" s="154">
        <f t="shared" si="24"/>
        <v>9.9869626902872044E-2</v>
      </c>
      <c r="E100" s="138">
        <f t="shared" si="25"/>
        <v>9.9869626902872035</v>
      </c>
      <c r="F100" s="141">
        <f>+E100/E95</f>
        <v>0.1052695397362704</v>
      </c>
      <c r="G100" s="138"/>
      <c r="H100" s="150"/>
      <c r="I100" s="150"/>
      <c r="J100" s="150"/>
      <c r="K100" s="160"/>
      <c r="Z100" s="109"/>
    </row>
    <row r="101" spans="1:26" ht="17.25" thickBot="1">
      <c r="A101" s="161" t="s">
        <v>641</v>
      </c>
      <c r="B101" s="162">
        <f>ROUND(B95*F101,0)</f>
        <v>87</v>
      </c>
      <c r="C101" s="138">
        <f>B78</f>
        <v>98</v>
      </c>
      <c r="D101" s="154">
        <f t="shared" si="24"/>
        <v>0.18024080677940105</v>
      </c>
      <c r="E101" s="138">
        <f t="shared" si="25"/>
        <v>18.024080677940105</v>
      </c>
      <c r="F101" s="141">
        <f>+E101/E95</f>
        <v>0.18998635881372203</v>
      </c>
      <c r="G101" s="138"/>
      <c r="H101" s="150"/>
      <c r="I101" s="150"/>
      <c r="J101" s="150"/>
      <c r="K101" s="160"/>
      <c r="Z101" s="109"/>
    </row>
    <row r="102" spans="1:26" ht="17.25" thickBot="1">
      <c r="A102" s="161" t="s">
        <v>642</v>
      </c>
      <c r="B102" s="162">
        <f>ROUND(B95*F102,0)</f>
        <v>44</v>
      </c>
      <c r="C102" s="138">
        <f>B90</f>
        <v>31</v>
      </c>
      <c r="D102" s="154">
        <f t="shared" si="24"/>
        <v>9.1750067103799987E-2</v>
      </c>
      <c r="E102" s="138">
        <f t="shared" si="25"/>
        <v>9.1750067103799982</v>
      </c>
      <c r="F102" s="141">
        <f>+E102/E95</f>
        <v>9.6710958419643306E-2</v>
      </c>
      <c r="G102" s="138"/>
      <c r="H102" s="150"/>
      <c r="I102" s="150"/>
      <c r="J102" s="150"/>
      <c r="K102" s="160"/>
      <c r="Z102" s="108"/>
    </row>
    <row r="103" spans="1:26" ht="17.25" thickBot="1">
      <c r="A103" s="163" t="s">
        <v>699</v>
      </c>
      <c r="B103" s="164">
        <f>ROUND(B95*F103,0)</f>
        <v>53</v>
      </c>
      <c r="C103" s="138">
        <f>B115</f>
        <v>9</v>
      </c>
      <c r="D103" s="154">
        <f t="shared" si="24"/>
        <v>0.10918746884466429</v>
      </c>
      <c r="E103" s="138">
        <f t="shared" si="25"/>
        <v>10.918746884466429</v>
      </c>
      <c r="F103" s="141">
        <f>+E103/E95</f>
        <v>0.11509119385641389</v>
      </c>
      <c r="G103" s="138"/>
      <c r="H103" s="150"/>
      <c r="I103" s="150"/>
      <c r="J103" s="150"/>
      <c r="K103" s="160"/>
      <c r="Z103" s="112"/>
    </row>
    <row r="104" spans="1:26" ht="17.25" thickBot="1">
      <c r="A104" s="163" t="s">
        <v>1583</v>
      </c>
      <c r="B104" s="164">
        <f>ROUND(B96*F104,0)</f>
        <v>0</v>
      </c>
      <c r="C104" s="1552">
        <f>B129</f>
        <v>73</v>
      </c>
      <c r="D104" s="154">
        <f t="shared" si="24"/>
        <v>0</v>
      </c>
      <c r="E104" s="138">
        <f t="shared" si="25"/>
        <v>0</v>
      </c>
      <c r="F104" s="141">
        <f>+E104/E96</f>
        <v>0</v>
      </c>
      <c r="G104" s="138"/>
      <c r="H104" s="150"/>
      <c r="I104" s="150"/>
      <c r="J104" s="150"/>
      <c r="K104" s="160"/>
      <c r="Z104" s="109"/>
    </row>
    <row r="105" spans="1:26" ht="17.25" thickBot="1">
      <c r="A105" s="168"/>
      <c r="B105" s="169"/>
      <c r="C105" s="169"/>
      <c r="D105" s="169"/>
      <c r="E105" s="169"/>
      <c r="F105" s="169"/>
      <c r="G105" s="169"/>
      <c r="H105" s="150"/>
      <c r="I105" s="150"/>
      <c r="J105" s="150"/>
      <c r="K105" s="166"/>
      <c r="Z105" s="109"/>
    </row>
    <row r="106" spans="1:26">
      <c r="A106" s="145" t="s">
        <v>699</v>
      </c>
      <c r="B106" s="146" t="s">
        <v>166</v>
      </c>
      <c r="C106" s="147" t="s">
        <v>1386</v>
      </c>
      <c r="D106" s="148" t="s">
        <v>168</v>
      </c>
      <c r="E106" s="138"/>
      <c r="F106" s="138" t="s">
        <v>169</v>
      </c>
      <c r="G106" s="149" t="s">
        <v>172</v>
      </c>
      <c r="H106" s="150"/>
      <c r="I106" s="150"/>
      <c r="J106" s="150"/>
      <c r="K106" s="151" t="s">
        <v>577</v>
      </c>
      <c r="Z106" s="109"/>
    </row>
    <row r="107" spans="1:26" ht="17.25" thickBot="1">
      <c r="A107" s="152" t="s">
        <v>434</v>
      </c>
      <c r="B107" s="153">
        <f>+$K$5</f>
        <v>162</v>
      </c>
      <c r="C107" s="153">
        <f>SUM(C108:C116)</f>
        <v>1043</v>
      </c>
      <c r="D107" s="154">
        <f>SUM(D108:D116)</f>
        <v>0.89081253115533565</v>
      </c>
      <c r="E107" s="138">
        <f>+D107*100</f>
        <v>89.081253115533571</v>
      </c>
      <c r="F107" s="155">
        <f>SUM(F108:F116)</f>
        <v>1</v>
      </c>
      <c r="G107" s="138"/>
      <c r="H107" s="150"/>
      <c r="I107" s="150"/>
      <c r="J107" s="150"/>
      <c r="K107" s="156">
        <f>0-C107</f>
        <v>-1043</v>
      </c>
      <c r="Z107" s="109"/>
    </row>
    <row r="108" spans="1:26" ht="17.25" thickBot="1">
      <c r="A108" s="157" t="s">
        <v>691</v>
      </c>
      <c r="B108" s="158">
        <f>ROUND(B107*F108,0)</f>
        <v>33</v>
      </c>
      <c r="C108" s="167">
        <f>B19</f>
        <v>32</v>
      </c>
      <c r="D108" s="154">
        <f t="shared" ref="D108:D116" si="26">+HLOOKUP($A108,$B$2:$L$7,6,FALSE)</f>
        <v>0.18200467809348517</v>
      </c>
      <c r="E108" s="138">
        <f t="shared" ref="E108:E116" si="27">+D108*100</f>
        <v>18.200467809348517</v>
      </c>
      <c r="F108" s="141">
        <f>+E108/E107</f>
        <v>0.20431310935583152</v>
      </c>
      <c r="G108" s="138"/>
      <c r="H108" s="150"/>
      <c r="I108" s="150"/>
      <c r="J108" s="150"/>
      <c r="K108" s="160"/>
      <c r="Z108" s="109"/>
    </row>
    <row r="109" spans="1:26" ht="17.25" thickBot="1">
      <c r="A109" s="161" t="s">
        <v>637</v>
      </c>
      <c r="B109" s="162">
        <f>ROUND(B107*F109,0)-G109</f>
        <v>41</v>
      </c>
      <c r="C109" s="138">
        <f>B31</f>
        <v>360</v>
      </c>
      <c r="D109" s="154">
        <f t="shared" si="26"/>
        <v>0.22368572414586449</v>
      </c>
      <c r="E109" s="138">
        <f t="shared" si="27"/>
        <v>22.368572414586449</v>
      </c>
      <c r="F109" s="141">
        <f>+E109/E107</f>
        <v>0.25110302821599984</v>
      </c>
      <c r="G109" s="138"/>
      <c r="H109" s="150"/>
      <c r="I109" s="150"/>
      <c r="J109" s="150"/>
      <c r="K109" s="160"/>
      <c r="Z109" s="109"/>
    </row>
    <row r="110" spans="1:26" ht="17.25" thickBot="1">
      <c r="A110" s="161" t="s">
        <v>638</v>
      </c>
      <c r="B110" s="162">
        <f>ROUND(B107*F110,0)</f>
        <v>6</v>
      </c>
      <c r="C110" s="138">
        <f>B43</f>
        <v>24</v>
      </c>
      <c r="D110" s="154">
        <f t="shared" si="26"/>
        <v>3.0877334253614018E-2</v>
      </c>
      <c r="E110" s="138">
        <f t="shared" si="27"/>
        <v>3.0877334253614017</v>
      </c>
      <c r="F110" s="141">
        <f>+E110/E107</f>
        <v>3.46619891096141E-2</v>
      </c>
      <c r="G110" s="138"/>
      <c r="H110" s="150"/>
      <c r="I110" s="150"/>
      <c r="J110" s="150"/>
      <c r="K110" s="160"/>
      <c r="Z110" s="109"/>
    </row>
    <row r="111" spans="1:26" ht="17.25" thickBot="1">
      <c r="A111" s="161" t="s">
        <v>639</v>
      </c>
      <c r="B111" s="162">
        <f>ROUND(B107*F111,0)</f>
        <v>6</v>
      </c>
      <c r="C111" s="138">
        <f>B55</f>
        <v>47</v>
      </c>
      <c r="D111" s="154">
        <f t="shared" si="26"/>
        <v>3.1088231910732775E-2</v>
      </c>
      <c r="E111" s="138">
        <f t="shared" si="27"/>
        <v>3.1088231910732773</v>
      </c>
      <c r="F111" s="141">
        <f>+E111/E107</f>
        <v>3.489873662914577E-2</v>
      </c>
      <c r="G111" s="138"/>
      <c r="H111" s="150"/>
      <c r="I111" s="150"/>
      <c r="J111" s="150"/>
      <c r="K111" s="160"/>
      <c r="Z111" s="109"/>
    </row>
    <row r="112" spans="1:26" ht="17.25" thickBot="1">
      <c r="A112" s="161" t="s">
        <v>640</v>
      </c>
      <c r="B112" s="162">
        <f>ROUND(B107*F112,0)</f>
        <v>18</v>
      </c>
      <c r="C112" s="138">
        <f>B67</f>
        <v>98</v>
      </c>
      <c r="D112" s="154">
        <f t="shared" si="26"/>
        <v>9.9869626902872044E-2</v>
      </c>
      <c r="E112" s="138">
        <f t="shared" si="27"/>
        <v>9.9869626902872035</v>
      </c>
      <c r="F112" s="141">
        <f>+E112/E107</f>
        <v>0.11211071174913372</v>
      </c>
      <c r="G112" s="138"/>
      <c r="H112" s="150"/>
      <c r="I112" s="150"/>
      <c r="J112" s="150"/>
      <c r="K112" s="160"/>
      <c r="Z112" s="109"/>
    </row>
    <row r="113" spans="1:27" ht="17.25" thickBot="1">
      <c r="A113" s="161" t="s">
        <v>641</v>
      </c>
      <c r="B113" s="162">
        <f>ROUND(B107*F113,0)</f>
        <v>33</v>
      </c>
      <c r="C113" s="138">
        <f>B79</f>
        <v>209</v>
      </c>
      <c r="D113" s="154">
        <f t="shared" si="26"/>
        <v>0.18024080677940105</v>
      </c>
      <c r="E113" s="138">
        <f t="shared" si="27"/>
        <v>18.024080677940105</v>
      </c>
      <c r="F113" s="141">
        <f>+E113/E107</f>
        <v>0.20233303919247575</v>
      </c>
      <c r="G113" s="138"/>
      <c r="H113" s="150"/>
      <c r="I113" s="150"/>
      <c r="J113" s="150"/>
      <c r="K113" s="160"/>
      <c r="Z113" s="109"/>
    </row>
    <row r="114" spans="1:27" ht="17.25" thickBot="1">
      <c r="A114" s="161" t="s">
        <v>642</v>
      </c>
      <c r="B114" s="162">
        <f>ROUND(B107*F114,0)</f>
        <v>17</v>
      </c>
      <c r="C114" s="138">
        <f>B91</f>
        <v>65</v>
      </c>
      <c r="D114" s="154">
        <f t="shared" si="26"/>
        <v>9.1750067103799987E-2</v>
      </c>
      <c r="E114" s="138">
        <f t="shared" si="27"/>
        <v>9.1750067103799982</v>
      </c>
      <c r="F114" s="141">
        <f>+E114/E107</f>
        <v>0.1029959322471644</v>
      </c>
      <c r="G114" s="138"/>
      <c r="H114" s="150"/>
      <c r="I114" s="150"/>
      <c r="J114" s="150"/>
      <c r="K114" s="160"/>
      <c r="Z114" s="109"/>
    </row>
    <row r="115" spans="1:27" ht="17.25" thickBot="1">
      <c r="A115" s="163" t="s">
        <v>643</v>
      </c>
      <c r="B115" s="164">
        <f>ROUND(B107*F115,0)</f>
        <v>9</v>
      </c>
      <c r="C115" s="138">
        <f>B103</f>
        <v>53</v>
      </c>
      <c r="D115" s="154">
        <f t="shared" si="26"/>
        <v>5.1296061965566166E-2</v>
      </c>
      <c r="E115" s="138">
        <f t="shared" si="27"/>
        <v>5.1296061965566162</v>
      </c>
      <c r="F115" s="141">
        <f>+E115/E107</f>
        <v>5.7583453500634908E-2</v>
      </c>
      <c r="G115" s="138"/>
      <c r="H115" s="150"/>
      <c r="I115" s="150"/>
      <c r="J115" s="150"/>
      <c r="K115" s="160"/>
    </row>
    <row r="116" spans="1:27" ht="17.25" thickBot="1">
      <c r="A116" s="163" t="s">
        <v>1583</v>
      </c>
      <c r="B116" s="164">
        <f>ROUND(B108*F116,0)</f>
        <v>0</v>
      </c>
      <c r="C116" s="1552">
        <f>B130</f>
        <v>155</v>
      </c>
      <c r="D116" s="154">
        <f t="shared" si="26"/>
        <v>0</v>
      </c>
      <c r="E116" s="138">
        <f t="shared" si="27"/>
        <v>0</v>
      </c>
      <c r="F116" s="141">
        <f>+E116/E108</f>
        <v>0</v>
      </c>
      <c r="G116" s="138"/>
      <c r="Z116" s="109"/>
    </row>
    <row r="117" spans="1:27">
      <c r="Z117" s="109"/>
    </row>
    <row r="118" spans="1:27">
      <c r="Z118" s="108"/>
    </row>
    <row r="119" spans="1:27" ht="17.25" thickBot="1">
      <c r="Z119" s="109"/>
    </row>
    <row r="120" spans="1:27">
      <c r="A120" s="145" t="s">
        <v>1583</v>
      </c>
      <c r="B120" s="146" t="s">
        <v>166</v>
      </c>
      <c r="C120" s="147" t="s">
        <v>1386</v>
      </c>
      <c r="D120" s="148" t="s">
        <v>168</v>
      </c>
      <c r="E120" s="138"/>
      <c r="F120" s="138" t="s">
        <v>169</v>
      </c>
      <c r="G120" s="149" t="s">
        <v>172</v>
      </c>
      <c r="H120" s="150"/>
      <c r="I120" s="150"/>
      <c r="J120" s="150"/>
      <c r="K120" s="151" t="s">
        <v>577</v>
      </c>
      <c r="Z120" s="109"/>
    </row>
    <row r="121" spans="1:27" ht="17.25" thickBot="1">
      <c r="A121" s="152" t="s">
        <v>434</v>
      </c>
      <c r="B121" s="153">
        <f>+$L$5</f>
        <v>1416</v>
      </c>
      <c r="C121" s="153">
        <f>SUM(C122:C130)</f>
        <v>0</v>
      </c>
      <c r="D121" s="154">
        <f>SUM(D122:D130)</f>
        <v>1</v>
      </c>
      <c r="E121" s="138">
        <f>+D121*100</f>
        <v>100</v>
      </c>
      <c r="F121" s="155">
        <f>SUM(F122:F129)</f>
        <v>0.89081253115533554</v>
      </c>
      <c r="G121" s="138"/>
      <c r="H121" s="150"/>
      <c r="I121" s="150"/>
      <c r="J121" s="150"/>
      <c r="K121" s="156">
        <f>0-C121</f>
        <v>0</v>
      </c>
      <c r="Z121" s="109"/>
    </row>
    <row r="122" spans="1:27" ht="17.25" thickBot="1">
      <c r="A122" s="157" t="s">
        <v>691</v>
      </c>
      <c r="B122" s="158">
        <f>ROUND(B121*F122,0)</f>
        <v>258</v>
      </c>
      <c r="C122" s="1551">
        <f>B20</f>
        <v>0</v>
      </c>
      <c r="D122" s="154">
        <f t="shared" ref="D122:D130" si="28">+HLOOKUP($A122,$B$2:$L$7,6,FALSE)</f>
        <v>0.18200467809348517</v>
      </c>
      <c r="E122" s="138">
        <f t="shared" ref="E122:E130" si="29">+D122*100</f>
        <v>18.200467809348517</v>
      </c>
      <c r="F122" s="141">
        <f>+E122/E121</f>
        <v>0.18200467809348517</v>
      </c>
      <c r="G122" s="138"/>
      <c r="H122" s="150"/>
      <c r="I122" s="150"/>
      <c r="J122" s="150"/>
      <c r="K122" s="160"/>
      <c r="Z122" s="109"/>
    </row>
    <row r="123" spans="1:27" ht="17.25" thickBot="1">
      <c r="A123" s="161" t="s">
        <v>637</v>
      </c>
      <c r="B123" s="162">
        <f>ROUND(B121*F123,0)-G123</f>
        <v>315</v>
      </c>
      <c r="C123" s="1552">
        <f>B32</f>
        <v>0</v>
      </c>
      <c r="D123" s="154">
        <f t="shared" si="28"/>
        <v>0.22368572414586449</v>
      </c>
      <c r="E123" s="138">
        <f t="shared" si="29"/>
        <v>22.368572414586449</v>
      </c>
      <c r="F123" s="141">
        <f>+E123/E121</f>
        <v>0.22368572414586449</v>
      </c>
      <c r="G123" s="138">
        <v>2</v>
      </c>
      <c r="H123" s="150"/>
      <c r="I123" s="150"/>
      <c r="J123" s="150"/>
      <c r="K123" s="160"/>
      <c r="Z123" s="109"/>
    </row>
    <row r="124" spans="1:27" ht="17.25" thickBot="1">
      <c r="A124" s="161" t="s">
        <v>638</v>
      </c>
      <c r="B124" s="162">
        <f>ROUND(B121*F124,0)</f>
        <v>44</v>
      </c>
      <c r="C124" s="1552">
        <f>B44</f>
        <v>0</v>
      </c>
      <c r="D124" s="154">
        <f t="shared" si="28"/>
        <v>3.0877334253614018E-2</v>
      </c>
      <c r="E124" s="138">
        <f t="shared" si="29"/>
        <v>3.0877334253614017</v>
      </c>
      <c r="F124" s="141">
        <f>+E124/E121</f>
        <v>3.0877334253614018E-2</v>
      </c>
      <c r="G124" s="138"/>
      <c r="H124" s="150"/>
      <c r="I124" s="150"/>
      <c r="J124" s="150"/>
      <c r="K124" s="160"/>
      <c r="Z124" s="109"/>
    </row>
    <row r="125" spans="1:27" ht="17.25" thickBot="1">
      <c r="A125" s="161" t="s">
        <v>639</v>
      </c>
      <c r="B125" s="162">
        <f>ROUND(B121*F125,0)</f>
        <v>44</v>
      </c>
      <c r="C125" s="1552">
        <f>B56</f>
        <v>0</v>
      </c>
      <c r="D125" s="154">
        <f t="shared" si="28"/>
        <v>3.1088231910732775E-2</v>
      </c>
      <c r="E125" s="138">
        <f t="shared" si="29"/>
        <v>3.1088231910732773</v>
      </c>
      <c r="F125" s="141">
        <f>+E125/E121</f>
        <v>3.1088231910732775E-2</v>
      </c>
      <c r="G125" s="138"/>
      <c r="H125" s="150"/>
      <c r="I125" s="150"/>
      <c r="J125" s="150"/>
      <c r="K125" s="160"/>
    </row>
    <row r="126" spans="1:27" ht="17.25" thickBot="1">
      <c r="A126" s="161" t="s">
        <v>640</v>
      </c>
      <c r="B126" s="162">
        <f>ROUND(B121*F126,0)</f>
        <v>141</v>
      </c>
      <c r="C126" s="1552">
        <f>B68</f>
        <v>0</v>
      </c>
      <c r="D126" s="154">
        <f t="shared" si="28"/>
        <v>9.9869626902872044E-2</v>
      </c>
      <c r="E126" s="138">
        <f t="shared" si="29"/>
        <v>9.9869626902872035</v>
      </c>
      <c r="F126" s="141">
        <f>+E126/E121</f>
        <v>9.986962690287203E-2</v>
      </c>
      <c r="G126" s="138"/>
      <c r="H126" s="150"/>
      <c r="I126" s="150"/>
      <c r="J126" s="150"/>
      <c r="K126" s="160"/>
      <c r="AA126" s="97" t="s">
        <v>183</v>
      </c>
    </row>
    <row r="127" spans="1:27" ht="17.25" thickBot="1">
      <c r="A127" s="161" t="s">
        <v>641</v>
      </c>
      <c r="B127" s="162">
        <f>ROUND(B121*F127,0)</f>
        <v>255</v>
      </c>
      <c r="C127" s="1552">
        <f>B80</f>
        <v>0</v>
      </c>
      <c r="D127" s="154">
        <f t="shared" si="28"/>
        <v>0.18024080677940105</v>
      </c>
      <c r="E127" s="138">
        <f t="shared" si="29"/>
        <v>18.024080677940105</v>
      </c>
      <c r="F127" s="141">
        <f>+E127/E121</f>
        <v>0.18024080677940105</v>
      </c>
      <c r="G127" s="138"/>
      <c r="H127" s="150"/>
      <c r="I127" s="150"/>
      <c r="J127" s="150"/>
      <c r="K127" s="160"/>
      <c r="AA127" s="134">
        <f>+X137+X141+X145+X149+X153+X157+X169+X161+X165</f>
        <v>-22796</v>
      </c>
    </row>
    <row r="128" spans="1:27" ht="17.25" thickBot="1">
      <c r="A128" s="161" t="s">
        <v>642</v>
      </c>
      <c r="B128" s="162">
        <f>ROUND(B121*F128,0)</f>
        <v>130</v>
      </c>
      <c r="C128" s="1552">
        <f>B92</f>
        <v>0</v>
      </c>
      <c r="D128" s="154">
        <f t="shared" si="28"/>
        <v>9.1750067103799987E-2</v>
      </c>
      <c r="E128" s="138">
        <f t="shared" si="29"/>
        <v>9.1750067103799982</v>
      </c>
      <c r="F128" s="141">
        <f>+E128/E121</f>
        <v>9.1750067103799987E-2</v>
      </c>
      <c r="G128" s="138"/>
      <c r="H128" s="150"/>
      <c r="I128" s="150"/>
      <c r="J128" s="150"/>
      <c r="K128" s="160"/>
    </row>
    <row r="129" spans="1:26" ht="17.25" thickBot="1">
      <c r="A129" s="163" t="s">
        <v>643</v>
      </c>
      <c r="B129" s="164">
        <f>ROUND(B121*F129,0)</f>
        <v>73</v>
      </c>
      <c r="C129" s="1552">
        <f>B104</f>
        <v>0</v>
      </c>
      <c r="D129" s="154">
        <f t="shared" si="28"/>
        <v>5.1296061965566166E-2</v>
      </c>
      <c r="E129" s="138">
        <f t="shared" si="29"/>
        <v>5.1296061965566162</v>
      </c>
      <c r="F129" s="141">
        <f>+E129/E121</f>
        <v>5.1296061965566159E-2</v>
      </c>
      <c r="G129" s="138"/>
      <c r="H129" s="150"/>
      <c r="I129" s="150"/>
      <c r="J129" s="150"/>
      <c r="K129" s="160"/>
    </row>
    <row r="130" spans="1:26" ht="17.25" thickBot="1">
      <c r="A130" s="163" t="s">
        <v>699</v>
      </c>
      <c r="B130" s="164">
        <f>ROUND(B122*F130,0)</f>
        <v>155</v>
      </c>
      <c r="C130" s="1552">
        <f>B116</f>
        <v>0</v>
      </c>
      <c r="D130" s="154">
        <f t="shared" si="28"/>
        <v>0.10918746884466429</v>
      </c>
      <c r="E130" s="138">
        <f t="shared" si="29"/>
        <v>10.918746884466429</v>
      </c>
      <c r="F130" s="141">
        <f>+E130/E122</f>
        <v>0.59991572737806809</v>
      </c>
      <c r="G130" s="138"/>
      <c r="H130" s="150"/>
      <c r="I130" s="150"/>
      <c r="J130" s="150"/>
      <c r="K130" s="160"/>
      <c r="Z130" s="112"/>
    </row>
    <row r="131" spans="1:26">
      <c r="A131" s="1546"/>
      <c r="B131" s="1547"/>
      <c r="C131" s="1548"/>
      <c r="D131" s="1549"/>
      <c r="E131" s="1548"/>
      <c r="F131" s="1550"/>
      <c r="G131" s="1548"/>
      <c r="H131" s="150"/>
      <c r="I131" s="150"/>
      <c r="J131" s="150"/>
      <c r="K131" s="160"/>
    </row>
    <row r="132" spans="1:26">
      <c r="A132" s="599" t="s">
        <v>182</v>
      </c>
    </row>
    <row r="133" spans="1:26">
      <c r="A133" s="2377" t="s">
        <v>174</v>
      </c>
      <c r="B133" s="2378"/>
      <c r="C133" s="1733">
        <v>2014</v>
      </c>
      <c r="D133" s="1733">
        <v>2015</v>
      </c>
      <c r="E133" s="1733">
        <v>2016</v>
      </c>
      <c r="F133" s="1733">
        <v>2017</v>
      </c>
      <c r="G133" s="1733">
        <v>2018</v>
      </c>
      <c r="H133" s="1733">
        <v>2019</v>
      </c>
      <c r="I133" s="1733">
        <v>2020</v>
      </c>
      <c r="J133" s="1733">
        <v>2021</v>
      </c>
      <c r="K133" s="1733">
        <v>2022</v>
      </c>
      <c r="L133" s="1733">
        <v>2023</v>
      </c>
      <c r="M133" s="1733">
        <v>2024</v>
      </c>
      <c r="N133" s="1733">
        <v>2025</v>
      </c>
      <c r="O133" s="1733">
        <v>2026</v>
      </c>
      <c r="P133" s="1733">
        <v>2027</v>
      </c>
      <c r="Q133" s="1733">
        <v>2028</v>
      </c>
      <c r="R133" s="1733">
        <v>2029</v>
      </c>
      <c r="S133" s="1733">
        <v>2030</v>
      </c>
      <c r="T133" s="1733">
        <v>2031</v>
      </c>
      <c r="U133" s="1733">
        <v>2032</v>
      </c>
      <c r="V133" s="1733">
        <v>2033</v>
      </c>
      <c r="W133" s="1733">
        <v>2033</v>
      </c>
      <c r="X133" s="1733">
        <v>2033</v>
      </c>
      <c r="Y133" s="119" t="s">
        <v>178</v>
      </c>
    </row>
    <row r="134" spans="1:26">
      <c r="A134" s="2374" t="s">
        <v>1130</v>
      </c>
      <c r="B134" s="107" t="s">
        <v>167</v>
      </c>
      <c r="C134" s="1734">
        <f>+사회적유입!C11</f>
        <v>0</v>
      </c>
      <c r="D134" s="1735">
        <f>+사회적유입!D11</f>
        <v>0</v>
      </c>
      <c r="E134" s="1735">
        <f>+사회적유입!E11</f>
        <v>0</v>
      </c>
      <c r="F134" s="1735">
        <f>+사회적유입!F11</f>
        <v>495</v>
      </c>
      <c r="G134" s="1735">
        <f>+사회적유입!G11</f>
        <v>891</v>
      </c>
      <c r="H134" s="1735">
        <f>+사회적유입!H11</f>
        <v>891</v>
      </c>
      <c r="I134" s="1735">
        <f>+사회적유입!I11</f>
        <v>1832</v>
      </c>
      <c r="J134" s="1735">
        <f>+사회적유입!J11</f>
        <v>1832</v>
      </c>
      <c r="K134" s="1735">
        <f>+사회적유입!K11</f>
        <v>1832</v>
      </c>
      <c r="L134" s="1735">
        <f>+사회적유입!L11</f>
        <v>1832</v>
      </c>
      <c r="M134" s="1735">
        <f>+사회적유입!M11</f>
        <v>1832</v>
      </c>
      <c r="N134" s="1735">
        <f>+사회적유입!N11</f>
        <v>1832</v>
      </c>
      <c r="O134" s="1735">
        <f>+사회적유입!O11</f>
        <v>1832</v>
      </c>
      <c r="P134" s="1735">
        <f>+사회적유입!P11</f>
        <v>1832</v>
      </c>
      <c r="Q134" s="1735">
        <f>+사회적유입!Q11</f>
        <v>1832</v>
      </c>
      <c r="R134" s="1735">
        <f>+사회적유입!R11</f>
        <v>1832</v>
      </c>
      <c r="S134" s="1735">
        <f>+사회적유입!S11</f>
        <v>1832</v>
      </c>
      <c r="T134" s="1735">
        <f>+사회적유입!T11</f>
        <v>1832</v>
      </c>
      <c r="U134" s="1735">
        <f>+사회적유입!U11</f>
        <v>1832</v>
      </c>
      <c r="V134" s="1735">
        <f>+사회적유입!V11</f>
        <v>1832</v>
      </c>
      <c r="W134" s="1735">
        <f>+사회적유입!W11</f>
        <v>1832</v>
      </c>
      <c r="X134" s="1736">
        <f>+사회적유입!X11</f>
        <v>1832</v>
      </c>
      <c r="Y134" s="120">
        <f>+S134</f>
        <v>1832</v>
      </c>
    </row>
    <row r="135" spans="1:26">
      <c r="A135" s="2375"/>
      <c r="B135" s="122" t="s">
        <v>179</v>
      </c>
      <c r="C135" s="1737">
        <f t="shared" ref="C135:X135" si="30">IFERROR(C134/$Y134,0)</f>
        <v>0</v>
      </c>
      <c r="D135" s="1738">
        <f t="shared" si="30"/>
        <v>0</v>
      </c>
      <c r="E135" s="1738">
        <f t="shared" si="30"/>
        <v>0</v>
      </c>
      <c r="F135" s="1738">
        <f t="shared" si="30"/>
        <v>0.27019650655021832</v>
      </c>
      <c r="G135" s="1738">
        <f t="shared" si="30"/>
        <v>0.486353711790393</v>
      </c>
      <c r="H135" s="1738">
        <f t="shared" si="30"/>
        <v>0.486353711790393</v>
      </c>
      <c r="I135" s="1738">
        <f t="shared" si="30"/>
        <v>1</v>
      </c>
      <c r="J135" s="1738">
        <f t="shared" si="30"/>
        <v>1</v>
      </c>
      <c r="K135" s="1738">
        <f t="shared" si="30"/>
        <v>1</v>
      </c>
      <c r="L135" s="1738">
        <f t="shared" si="30"/>
        <v>1</v>
      </c>
      <c r="M135" s="1738">
        <f t="shared" si="30"/>
        <v>1</v>
      </c>
      <c r="N135" s="1738">
        <f t="shared" si="30"/>
        <v>1</v>
      </c>
      <c r="O135" s="1738">
        <f t="shared" si="30"/>
        <v>1</v>
      </c>
      <c r="P135" s="1738">
        <f t="shared" si="30"/>
        <v>1</v>
      </c>
      <c r="Q135" s="1738">
        <f t="shared" si="30"/>
        <v>1</v>
      </c>
      <c r="R135" s="1738">
        <f t="shared" si="30"/>
        <v>1</v>
      </c>
      <c r="S135" s="1738">
        <f t="shared" si="30"/>
        <v>1</v>
      </c>
      <c r="T135" s="1738">
        <f t="shared" si="30"/>
        <v>1</v>
      </c>
      <c r="U135" s="1738">
        <f t="shared" si="30"/>
        <v>1</v>
      </c>
      <c r="V135" s="1738">
        <f t="shared" si="30"/>
        <v>1</v>
      </c>
      <c r="W135" s="1738">
        <f t="shared" si="30"/>
        <v>1</v>
      </c>
      <c r="X135" s="1739">
        <f t="shared" si="30"/>
        <v>1</v>
      </c>
      <c r="Y135" s="121"/>
    </row>
    <row r="136" spans="1:26">
      <c r="A136" s="2375"/>
      <c r="B136" s="1705" t="s">
        <v>2124</v>
      </c>
      <c r="C136" s="1740">
        <f>ROUND($B$11*C135,0)</f>
        <v>0</v>
      </c>
      <c r="D136" s="1741">
        <f t="shared" ref="D136:X136" si="31">ROUND($B$11*D135,0)</f>
        <v>0</v>
      </c>
      <c r="E136" s="1741">
        <f t="shared" si="31"/>
        <v>0</v>
      </c>
      <c r="F136" s="1741">
        <f t="shared" si="31"/>
        <v>64</v>
      </c>
      <c r="G136" s="1741">
        <f t="shared" si="31"/>
        <v>116</v>
      </c>
      <c r="H136" s="1741">
        <f t="shared" si="31"/>
        <v>116</v>
      </c>
      <c r="I136" s="1741">
        <f t="shared" si="31"/>
        <v>238</v>
      </c>
      <c r="J136" s="1741">
        <f t="shared" si="31"/>
        <v>238</v>
      </c>
      <c r="K136" s="1741">
        <f t="shared" si="31"/>
        <v>238</v>
      </c>
      <c r="L136" s="1741">
        <f t="shared" si="31"/>
        <v>238</v>
      </c>
      <c r="M136" s="1741">
        <f t="shared" si="31"/>
        <v>238</v>
      </c>
      <c r="N136" s="1741">
        <f t="shared" si="31"/>
        <v>238</v>
      </c>
      <c r="O136" s="1741">
        <f t="shared" si="31"/>
        <v>238</v>
      </c>
      <c r="P136" s="1741">
        <f t="shared" si="31"/>
        <v>238</v>
      </c>
      <c r="Q136" s="1741">
        <f t="shared" si="31"/>
        <v>238</v>
      </c>
      <c r="R136" s="1741">
        <f t="shared" si="31"/>
        <v>238</v>
      </c>
      <c r="S136" s="1741">
        <f t="shared" si="31"/>
        <v>238</v>
      </c>
      <c r="T136" s="1741">
        <f t="shared" si="31"/>
        <v>238</v>
      </c>
      <c r="U136" s="1741">
        <f t="shared" si="31"/>
        <v>238</v>
      </c>
      <c r="V136" s="1741">
        <f t="shared" si="31"/>
        <v>238</v>
      </c>
      <c r="W136" s="1741">
        <f t="shared" si="31"/>
        <v>238</v>
      </c>
      <c r="X136" s="1742">
        <f t="shared" si="31"/>
        <v>238</v>
      </c>
      <c r="Y136" s="1732"/>
    </row>
    <row r="137" spans="1:26">
      <c r="A137" s="2376"/>
      <c r="B137" s="127" t="s">
        <v>180</v>
      </c>
      <c r="C137" s="1750">
        <f>ROUND($K$11*C135,0)</f>
        <v>0</v>
      </c>
      <c r="D137" s="1751">
        <f>ROUND($L$11*D133,0)</f>
        <v>0</v>
      </c>
      <c r="E137" s="1751">
        <f>ROUND($L$11*E135,0)</f>
        <v>0</v>
      </c>
      <c r="F137" s="1751">
        <f t="shared" ref="F137:X137" si="32">ROUND($K$11*F135,0)</f>
        <v>-463</v>
      </c>
      <c r="G137" s="1751">
        <f t="shared" si="32"/>
        <v>-834</v>
      </c>
      <c r="H137" s="1751">
        <f t="shared" si="32"/>
        <v>-834</v>
      </c>
      <c r="I137" s="1751">
        <f>ROUND($K$11*I135,0)</f>
        <v>-1714</v>
      </c>
      <c r="J137" s="1751">
        <f t="shared" si="32"/>
        <v>-1714</v>
      </c>
      <c r="K137" s="1751">
        <f t="shared" si="32"/>
        <v>-1714</v>
      </c>
      <c r="L137" s="1751">
        <f t="shared" si="32"/>
        <v>-1714</v>
      </c>
      <c r="M137" s="1751">
        <f t="shared" si="32"/>
        <v>-1714</v>
      </c>
      <c r="N137" s="1751">
        <f t="shared" si="32"/>
        <v>-1714</v>
      </c>
      <c r="O137" s="1751">
        <f t="shared" si="32"/>
        <v>-1714</v>
      </c>
      <c r="P137" s="1751">
        <f t="shared" si="32"/>
        <v>-1714</v>
      </c>
      <c r="Q137" s="1751">
        <f t="shared" si="32"/>
        <v>-1714</v>
      </c>
      <c r="R137" s="1751">
        <f t="shared" si="32"/>
        <v>-1714</v>
      </c>
      <c r="S137" s="1751">
        <f t="shared" si="32"/>
        <v>-1714</v>
      </c>
      <c r="T137" s="1751">
        <f t="shared" si="32"/>
        <v>-1714</v>
      </c>
      <c r="U137" s="1751">
        <f t="shared" si="32"/>
        <v>-1714</v>
      </c>
      <c r="V137" s="1751">
        <f t="shared" si="32"/>
        <v>-1714</v>
      </c>
      <c r="W137" s="1751">
        <f t="shared" si="32"/>
        <v>-1714</v>
      </c>
      <c r="X137" s="1752">
        <f t="shared" si="32"/>
        <v>-1714</v>
      </c>
      <c r="Y137" s="123"/>
    </row>
    <row r="138" spans="1:26">
      <c r="A138" s="2374" t="s">
        <v>637</v>
      </c>
      <c r="B138" s="107" t="s">
        <v>167</v>
      </c>
      <c r="C138" s="1753">
        <f>+사회적유입!C43+사회적유입!C39</f>
        <v>0</v>
      </c>
      <c r="D138" s="1754">
        <f>+사회적유입!D43</f>
        <v>0</v>
      </c>
      <c r="E138" s="1754">
        <f>+사회적유입!E43</f>
        <v>0</v>
      </c>
      <c r="F138" s="1754">
        <f>+사회적유입!F43</f>
        <v>942</v>
      </c>
      <c r="G138" s="1754">
        <f>+사회적유입!G43</f>
        <v>942</v>
      </c>
      <c r="H138" s="1754">
        <f>+사회적유입!H43</f>
        <v>942</v>
      </c>
      <c r="I138" s="1754">
        <f>+사회적유입!I43</f>
        <v>4603</v>
      </c>
      <c r="J138" s="1754">
        <f>+사회적유입!J43</f>
        <v>4603</v>
      </c>
      <c r="K138" s="1754">
        <f>+사회적유입!K43</f>
        <v>4603</v>
      </c>
      <c r="L138" s="1754">
        <f>+사회적유입!L43</f>
        <v>4603</v>
      </c>
      <c r="M138" s="1754">
        <f>+사회적유입!M43</f>
        <v>4603</v>
      </c>
      <c r="N138" s="1754">
        <f>+사회적유입!N43</f>
        <v>5311</v>
      </c>
      <c r="O138" s="1754">
        <f>+사회적유입!O43</f>
        <v>5311</v>
      </c>
      <c r="P138" s="1754">
        <f>+사회적유입!P43</f>
        <v>5311</v>
      </c>
      <c r="Q138" s="1754">
        <f>+사회적유입!Q43</f>
        <v>5311</v>
      </c>
      <c r="R138" s="1754">
        <f>+사회적유입!R43</f>
        <v>5311</v>
      </c>
      <c r="S138" s="1754">
        <f>+사회적유입!S43</f>
        <v>5311</v>
      </c>
      <c r="T138" s="1754">
        <f>+사회적유입!T43</f>
        <v>5311</v>
      </c>
      <c r="U138" s="1754">
        <f>+사회적유입!U43</f>
        <v>5311</v>
      </c>
      <c r="V138" s="1754">
        <f>+사회적유입!V43</f>
        <v>5311</v>
      </c>
      <c r="W138" s="1754">
        <f>+사회적유입!W43</f>
        <v>5311</v>
      </c>
      <c r="X138" s="1755">
        <f>+사회적유입!X43</f>
        <v>5311</v>
      </c>
      <c r="Y138" s="120">
        <f>+S138</f>
        <v>5311</v>
      </c>
    </row>
    <row r="139" spans="1:26">
      <c r="A139" s="2375"/>
      <c r="B139" s="122" t="s">
        <v>179</v>
      </c>
      <c r="C139" s="1737">
        <f t="shared" ref="C139:X139" si="33">IFERROR(C138/$Y138,0)</f>
        <v>0</v>
      </c>
      <c r="D139" s="1738">
        <f t="shared" si="33"/>
        <v>0</v>
      </c>
      <c r="E139" s="1738">
        <f t="shared" si="33"/>
        <v>0</v>
      </c>
      <c r="F139" s="1738">
        <f t="shared" si="33"/>
        <v>0.17736772735831294</v>
      </c>
      <c r="G139" s="1738">
        <f t="shared" si="33"/>
        <v>0.17736772735831294</v>
      </c>
      <c r="H139" s="1738">
        <f t="shared" si="33"/>
        <v>0.17736772735831294</v>
      </c>
      <c r="I139" s="1738">
        <f t="shared" si="33"/>
        <v>0.86669177179438905</v>
      </c>
      <c r="J139" s="1738">
        <f t="shared" si="33"/>
        <v>0.86669177179438905</v>
      </c>
      <c r="K139" s="1738">
        <f t="shared" si="33"/>
        <v>0.86669177179438905</v>
      </c>
      <c r="L139" s="1738">
        <f t="shared" si="33"/>
        <v>0.86669177179438905</v>
      </c>
      <c r="M139" s="1738">
        <f t="shared" si="33"/>
        <v>0.86669177179438905</v>
      </c>
      <c r="N139" s="1738">
        <f t="shared" si="33"/>
        <v>1</v>
      </c>
      <c r="O139" s="1738">
        <f t="shared" si="33"/>
        <v>1</v>
      </c>
      <c r="P139" s="1738">
        <f t="shared" si="33"/>
        <v>1</v>
      </c>
      <c r="Q139" s="1738">
        <f t="shared" si="33"/>
        <v>1</v>
      </c>
      <c r="R139" s="1738">
        <f t="shared" si="33"/>
        <v>1</v>
      </c>
      <c r="S139" s="1738">
        <f t="shared" si="33"/>
        <v>1</v>
      </c>
      <c r="T139" s="1738">
        <f t="shared" si="33"/>
        <v>1</v>
      </c>
      <c r="U139" s="1738">
        <f t="shared" si="33"/>
        <v>1</v>
      </c>
      <c r="V139" s="1738">
        <f t="shared" si="33"/>
        <v>1</v>
      </c>
      <c r="W139" s="1738">
        <f t="shared" si="33"/>
        <v>1</v>
      </c>
      <c r="X139" s="1739">
        <f t="shared" si="33"/>
        <v>1</v>
      </c>
      <c r="Y139" s="121"/>
    </row>
    <row r="140" spans="1:26">
      <c r="A140" s="2375"/>
      <c r="B140" s="1705" t="s">
        <v>2124</v>
      </c>
      <c r="C140" s="1740">
        <f>ROUND($B$23*C139,0)</f>
        <v>0</v>
      </c>
      <c r="D140" s="1741">
        <f t="shared" ref="D140:X140" si="34">ROUND($B$23*D139,0)</f>
        <v>0</v>
      </c>
      <c r="E140" s="1741">
        <f t="shared" si="34"/>
        <v>0</v>
      </c>
      <c r="F140" s="1741">
        <f t="shared" si="34"/>
        <v>454</v>
      </c>
      <c r="G140" s="1741">
        <f t="shared" si="34"/>
        <v>454</v>
      </c>
      <c r="H140" s="1741">
        <f t="shared" si="34"/>
        <v>454</v>
      </c>
      <c r="I140" s="1741">
        <f t="shared" si="34"/>
        <v>2220</v>
      </c>
      <c r="J140" s="1741">
        <f t="shared" si="34"/>
        <v>2220</v>
      </c>
      <c r="K140" s="1741">
        <f t="shared" si="34"/>
        <v>2220</v>
      </c>
      <c r="L140" s="1741">
        <f t="shared" si="34"/>
        <v>2220</v>
      </c>
      <c r="M140" s="1741">
        <f t="shared" si="34"/>
        <v>2220</v>
      </c>
      <c r="N140" s="1741">
        <f t="shared" si="34"/>
        <v>2561</v>
      </c>
      <c r="O140" s="1741">
        <f t="shared" si="34"/>
        <v>2561</v>
      </c>
      <c r="P140" s="1741">
        <f t="shared" si="34"/>
        <v>2561</v>
      </c>
      <c r="Q140" s="1741">
        <f t="shared" si="34"/>
        <v>2561</v>
      </c>
      <c r="R140" s="1741">
        <f t="shared" si="34"/>
        <v>2561</v>
      </c>
      <c r="S140" s="1741">
        <f t="shared" si="34"/>
        <v>2561</v>
      </c>
      <c r="T140" s="1741">
        <f t="shared" si="34"/>
        <v>2561</v>
      </c>
      <c r="U140" s="1741">
        <f t="shared" si="34"/>
        <v>2561</v>
      </c>
      <c r="V140" s="1741">
        <f t="shared" si="34"/>
        <v>2561</v>
      </c>
      <c r="W140" s="1741">
        <f t="shared" si="34"/>
        <v>2561</v>
      </c>
      <c r="X140" s="1742">
        <f t="shared" si="34"/>
        <v>2561</v>
      </c>
      <c r="Y140" s="1732"/>
    </row>
    <row r="141" spans="1:26">
      <c r="A141" s="2376"/>
      <c r="B141" s="127" t="s">
        <v>180</v>
      </c>
      <c r="C141" s="1744">
        <f>ROUND($K$23*C139,0)</f>
        <v>0</v>
      </c>
      <c r="D141" s="1745">
        <f>ROUND($L$23*D139,0)</f>
        <v>0</v>
      </c>
      <c r="E141" s="1745">
        <f>ROUND($L$23*E139,0)</f>
        <v>0</v>
      </c>
      <c r="F141" s="1745">
        <f t="shared" ref="F141:X141" si="35">ROUND($K$23*F139,0)</f>
        <v>-255</v>
      </c>
      <c r="G141" s="1745">
        <f t="shared" si="35"/>
        <v>-255</v>
      </c>
      <c r="H141" s="1745">
        <f t="shared" si="35"/>
        <v>-255</v>
      </c>
      <c r="I141" s="1745">
        <f t="shared" si="35"/>
        <v>-1245</v>
      </c>
      <c r="J141" s="1745">
        <f t="shared" si="35"/>
        <v>-1245</v>
      </c>
      <c r="K141" s="1745">
        <f t="shared" si="35"/>
        <v>-1245</v>
      </c>
      <c r="L141" s="1745">
        <f t="shared" si="35"/>
        <v>-1245</v>
      </c>
      <c r="M141" s="1745">
        <f t="shared" si="35"/>
        <v>-1245</v>
      </c>
      <c r="N141" s="1745">
        <f t="shared" si="35"/>
        <v>-1437</v>
      </c>
      <c r="O141" s="1745">
        <f t="shared" si="35"/>
        <v>-1437</v>
      </c>
      <c r="P141" s="1745">
        <f t="shared" si="35"/>
        <v>-1437</v>
      </c>
      <c r="Q141" s="1745">
        <f t="shared" si="35"/>
        <v>-1437</v>
      </c>
      <c r="R141" s="1745">
        <f t="shared" si="35"/>
        <v>-1437</v>
      </c>
      <c r="S141" s="1745">
        <f t="shared" si="35"/>
        <v>-1437</v>
      </c>
      <c r="T141" s="1745">
        <f t="shared" si="35"/>
        <v>-1437</v>
      </c>
      <c r="U141" s="1745">
        <f t="shared" si="35"/>
        <v>-1437</v>
      </c>
      <c r="V141" s="1745">
        <f t="shared" si="35"/>
        <v>-1437</v>
      </c>
      <c r="W141" s="1745">
        <f t="shared" si="35"/>
        <v>-1437</v>
      </c>
      <c r="X141" s="1746">
        <f t="shared" si="35"/>
        <v>-1437</v>
      </c>
      <c r="Y141" s="123"/>
    </row>
    <row r="142" spans="1:26">
      <c r="A142" s="2374" t="s">
        <v>638</v>
      </c>
      <c r="B142" s="107" t="s">
        <v>167</v>
      </c>
      <c r="C142" s="1747">
        <v>0</v>
      </c>
      <c r="D142" s="1748">
        <v>0</v>
      </c>
      <c r="E142" s="1748">
        <v>0</v>
      </c>
      <c r="F142" s="1748">
        <v>0</v>
      </c>
      <c r="G142" s="1748">
        <v>0</v>
      </c>
      <c r="H142" s="1748">
        <v>0</v>
      </c>
      <c r="I142" s="1748">
        <v>0</v>
      </c>
      <c r="J142" s="1748">
        <v>0</v>
      </c>
      <c r="K142" s="1748">
        <v>0</v>
      </c>
      <c r="L142" s="1748">
        <v>0</v>
      </c>
      <c r="M142" s="1748">
        <v>0</v>
      </c>
      <c r="N142" s="1748">
        <v>0</v>
      </c>
      <c r="O142" s="1748">
        <v>0</v>
      </c>
      <c r="P142" s="1748">
        <v>0</v>
      </c>
      <c r="Q142" s="1748">
        <v>0</v>
      </c>
      <c r="R142" s="1748">
        <v>0</v>
      </c>
      <c r="S142" s="1748">
        <v>0</v>
      </c>
      <c r="T142" s="1748">
        <v>0</v>
      </c>
      <c r="U142" s="1748">
        <v>0</v>
      </c>
      <c r="V142" s="1748">
        <v>0</v>
      </c>
      <c r="W142" s="1748">
        <v>0</v>
      </c>
      <c r="X142" s="1749">
        <v>0</v>
      </c>
      <c r="Y142" s="120">
        <f>+S142</f>
        <v>0</v>
      </c>
    </row>
    <row r="143" spans="1:26">
      <c r="A143" s="2375"/>
      <c r="B143" s="122" t="s">
        <v>179</v>
      </c>
      <c r="C143" s="1737">
        <f>C173</f>
        <v>0</v>
      </c>
      <c r="D143" s="1738">
        <f t="shared" ref="D143:X143" si="36">D173</f>
        <v>0</v>
      </c>
      <c r="E143" s="1738">
        <f t="shared" si="36"/>
        <v>8.7337927812171465E-2</v>
      </c>
      <c r="F143" s="1738">
        <f t="shared" si="36"/>
        <v>0.16515255905503259</v>
      </c>
      <c r="G143" s="1738">
        <f t="shared" si="36"/>
        <v>0.27721336434854582</v>
      </c>
      <c r="H143" s="1738">
        <f t="shared" si="36"/>
        <v>0.47835860083901455</v>
      </c>
      <c r="I143" s="1738">
        <f t="shared" si="36"/>
        <v>0.72626275930435225</v>
      </c>
      <c r="J143" s="1738">
        <f t="shared" si="36"/>
        <v>0.72626275930435225</v>
      </c>
      <c r="K143" s="1738">
        <f t="shared" si="36"/>
        <v>0.72626275930435225</v>
      </c>
      <c r="L143" s="1738">
        <f t="shared" si="36"/>
        <v>0.72626275930435225</v>
      </c>
      <c r="M143" s="1738">
        <f t="shared" si="36"/>
        <v>0.72626275930435225</v>
      </c>
      <c r="N143" s="1738">
        <f t="shared" si="36"/>
        <v>1</v>
      </c>
      <c r="O143" s="1738">
        <f t="shared" si="36"/>
        <v>1</v>
      </c>
      <c r="P143" s="1738">
        <f t="shared" si="36"/>
        <v>1</v>
      </c>
      <c r="Q143" s="1738">
        <f t="shared" si="36"/>
        <v>1</v>
      </c>
      <c r="R143" s="1738">
        <f t="shared" si="36"/>
        <v>1</v>
      </c>
      <c r="S143" s="1738">
        <f t="shared" si="36"/>
        <v>1</v>
      </c>
      <c r="T143" s="1738">
        <f t="shared" si="36"/>
        <v>1</v>
      </c>
      <c r="U143" s="1738">
        <f t="shared" si="36"/>
        <v>1</v>
      </c>
      <c r="V143" s="1738">
        <f t="shared" si="36"/>
        <v>1</v>
      </c>
      <c r="W143" s="1738">
        <f t="shared" si="36"/>
        <v>1</v>
      </c>
      <c r="X143" s="1739">
        <f t="shared" si="36"/>
        <v>4.0756145485867377</v>
      </c>
      <c r="Y143" s="121"/>
    </row>
    <row r="144" spans="1:26">
      <c r="A144" s="2375"/>
      <c r="B144" s="1705" t="s">
        <v>2124</v>
      </c>
      <c r="C144" s="1740">
        <f>ROUND($B$35*C173,0)</f>
        <v>0</v>
      </c>
      <c r="D144" s="1741">
        <f t="shared" ref="D144:X144" si="37">ROUND($B$35*D173,0)</f>
        <v>0</v>
      </c>
      <c r="E144" s="1741">
        <f t="shared" si="37"/>
        <v>19</v>
      </c>
      <c r="F144" s="1741">
        <f t="shared" si="37"/>
        <v>35</v>
      </c>
      <c r="G144" s="1741">
        <f t="shared" si="37"/>
        <v>59</v>
      </c>
      <c r="H144" s="1741">
        <f t="shared" si="37"/>
        <v>102</v>
      </c>
      <c r="I144" s="1741">
        <f t="shared" si="37"/>
        <v>155</v>
      </c>
      <c r="J144" s="1741">
        <f t="shared" si="37"/>
        <v>155</v>
      </c>
      <c r="K144" s="1741">
        <f t="shared" si="37"/>
        <v>155</v>
      </c>
      <c r="L144" s="1741">
        <f t="shared" si="37"/>
        <v>155</v>
      </c>
      <c r="M144" s="1741">
        <f t="shared" si="37"/>
        <v>155</v>
      </c>
      <c r="N144" s="1741">
        <f t="shared" si="37"/>
        <v>213</v>
      </c>
      <c r="O144" s="1741">
        <f t="shared" si="37"/>
        <v>213</v>
      </c>
      <c r="P144" s="1741">
        <f t="shared" si="37"/>
        <v>213</v>
      </c>
      <c r="Q144" s="1741">
        <f t="shared" si="37"/>
        <v>213</v>
      </c>
      <c r="R144" s="1741">
        <f t="shared" si="37"/>
        <v>213</v>
      </c>
      <c r="S144" s="1741">
        <f t="shared" si="37"/>
        <v>213</v>
      </c>
      <c r="T144" s="1741">
        <f t="shared" si="37"/>
        <v>213</v>
      </c>
      <c r="U144" s="1741">
        <f t="shared" si="37"/>
        <v>213</v>
      </c>
      <c r="V144" s="1741">
        <f t="shared" si="37"/>
        <v>213</v>
      </c>
      <c r="W144" s="1741">
        <f t="shared" si="37"/>
        <v>213</v>
      </c>
      <c r="X144" s="1742">
        <f t="shared" si="37"/>
        <v>868</v>
      </c>
      <c r="Y144" s="1732"/>
    </row>
    <row r="145" spans="1:25">
      <c r="A145" s="2376"/>
      <c r="B145" s="127" t="s">
        <v>180</v>
      </c>
      <c r="C145" s="1744">
        <f>ROUND($K$35*C173,0)</f>
        <v>0</v>
      </c>
      <c r="D145" s="1745">
        <f>ROUND($L$35*D173,0)</f>
        <v>0</v>
      </c>
      <c r="E145" s="1745">
        <f>ROUND($L$35*E173,0)</f>
        <v>0</v>
      </c>
      <c r="F145" s="1745">
        <f t="shared" ref="F145:X145" si="38">ROUND($K$35*F173,0)</f>
        <v>-49</v>
      </c>
      <c r="G145" s="1745">
        <f t="shared" si="38"/>
        <v>-82</v>
      </c>
      <c r="H145" s="1745">
        <f t="shared" si="38"/>
        <v>-141</v>
      </c>
      <c r="I145" s="1745">
        <f t="shared" si="38"/>
        <v>-214</v>
      </c>
      <c r="J145" s="1745">
        <f t="shared" si="38"/>
        <v>-214</v>
      </c>
      <c r="K145" s="1745">
        <f t="shared" si="38"/>
        <v>-214</v>
      </c>
      <c r="L145" s="1745">
        <f t="shared" si="38"/>
        <v>-214</v>
      </c>
      <c r="M145" s="1745">
        <f t="shared" si="38"/>
        <v>-214</v>
      </c>
      <c r="N145" s="1745">
        <f t="shared" si="38"/>
        <v>-294</v>
      </c>
      <c r="O145" s="1745">
        <f t="shared" si="38"/>
        <v>-294</v>
      </c>
      <c r="P145" s="1745">
        <f t="shared" si="38"/>
        <v>-294</v>
      </c>
      <c r="Q145" s="1745">
        <f t="shared" si="38"/>
        <v>-294</v>
      </c>
      <c r="R145" s="1745">
        <f t="shared" si="38"/>
        <v>-294</v>
      </c>
      <c r="S145" s="1745">
        <f t="shared" si="38"/>
        <v>-294</v>
      </c>
      <c r="T145" s="1745">
        <f t="shared" si="38"/>
        <v>-294</v>
      </c>
      <c r="U145" s="1745">
        <f t="shared" si="38"/>
        <v>-294</v>
      </c>
      <c r="V145" s="1745">
        <f t="shared" si="38"/>
        <v>-294</v>
      </c>
      <c r="W145" s="1745">
        <f t="shared" si="38"/>
        <v>-294</v>
      </c>
      <c r="X145" s="1746">
        <f t="shared" si="38"/>
        <v>-1198</v>
      </c>
      <c r="Y145" s="123"/>
    </row>
    <row r="146" spans="1:25">
      <c r="A146" s="2374" t="s">
        <v>639</v>
      </c>
      <c r="B146" s="107" t="s">
        <v>167</v>
      </c>
      <c r="C146" s="1747">
        <v>0</v>
      </c>
      <c r="D146" s="1748">
        <v>0</v>
      </c>
      <c r="E146" s="1748">
        <v>0</v>
      </c>
      <c r="F146" s="1748">
        <v>0</v>
      </c>
      <c r="G146" s="1748">
        <v>0</v>
      </c>
      <c r="H146" s="1748">
        <v>0</v>
      </c>
      <c r="I146" s="1748">
        <v>0</v>
      </c>
      <c r="J146" s="1748">
        <v>0</v>
      </c>
      <c r="K146" s="1748">
        <v>0</v>
      </c>
      <c r="L146" s="1748">
        <v>0</v>
      </c>
      <c r="M146" s="1748">
        <v>0</v>
      </c>
      <c r="N146" s="1748">
        <v>0</v>
      </c>
      <c r="O146" s="1748">
        <v>0</v>
      </c>
      <c r="P146" s="1748">
        <v>0</v>
      </c>
      <c r="Q146" s="1748">
        <v>0</v>
      </c>
      <c r="R146" s="1748">
        <v>0</v>
      </c>
      <c r="S146" s="1748">
        <v>0</v>
      </c>
      <c r="T146" s="1748">
        <v>0</v>
      </c>
      <c r="U146" s="1748">
        <v>0</v>
      </c>
      <c r="V146" s="1748">
        <v>0</v>
      </c>
      <c r="W146" s="1748">
        <v>0</v>
      </c>
      <c r="X146" s="1749">
        <v>0</v>
      </c>
      <c r="Y146" s="120">
        <f>+S146</f>
        <v>0</v>
      </c>
    </row>
    <row r="147" spans="1:25">
      <c r="A147" s="2375"/>
      <c r="B147" s="122" t="s">
        <v>179</v>
      </c>
      <c r="C147" s="1737">
        <f>C173</f>
        <v>0</v>
      </c>
      <c r="D147" s="1738">
        <f t="shared" ref="D147:X147" si="39">D173</f>
        <v>0</v>
      </c>
      <c r="E147" s="1738">
        <f t="shared" si="39"/>
        <v>8.7337927812171465E-2</v>
      </c>
      <c r="F147" s="1738">
        <f t="shared" si="39"/>
        <v>0.16515255905503259</v>
      </c>
      <c r="G147" s="1738">
        <f t="shared" si="39"/>
        <v>0.27721336434854582</v>
      </c>
      <c r="H147" s="1738">
        <f t="shared" si="39"/>
        <v>0.47835860083901455</v>
      </c>
      <c r="I147" s="1738">
        <f t="shared" si="39"/>
        <v>0.72626275930435225</v>
      </c>
      <c r="J147" s="1738">
        <f t="shared" si="39"/>
        <v>0.72626275930435225</v>
      </c>
      <c r="K147" s="1738">
        <f t="shared" si="39"/>
        <v>0.72626275930435225</v>
      </c>
      <c r="L147" s="1738">
        <f t="shared" si="39"/>
        <v>0.72626275930435225</v>
      </c>
      <c r="M147" s="1738">
        <f t="shared" si="39"/>
        <v>0.72626275930435225</v>
      </c>
      <c r="N147" s="1738">
        <f t="shared" si="39"/>
        <v>1</v>
      </c>
      <c r="O147" s="1738">
        <f t="shared" si="39"/>
        <v>1</v>
      </c>
      <c r="P147" s="1738">
        <f t="shared" si="39"/>
        <v>1</v>
      </c>
      <c r="Q147" s="1738">
        <f t="shared" si="39"/>
        <v>1</v>
      </c>
      <c r="R147" s="1738">
        <f t="shared" si="39"/>
        <v>1</v>
      </c>
      <c r="S147" s="1738">
        <f t="shared" si="39"/>
        <v>1</v>
      </c>
      <c r="T147" s="1738">
        <f t="shared" si="39"/>
        <v>1</v>
      </c>
      <c r="U147" s="1738">
        <f t="shared" si="39"/>
        <v>1</v>
      </c>
      <c r="V147" s="1738">
        <f t="shared" si="39"/>
        <v>1</v>
      </c>
      <c r="W147" s="1738">
        <f t="shared" si="39"/>
        <v>1</v>
      </c>
      <c r="X147" s="1739">
        <f t="shared" si="39"/>
        <v>4.0756145485867377</v>
      </c>
      <c r="Y147" s="121"/>
    </row>
    <row r="148" spans="1:25">
      <c r="A148" s="2375"/>
      <c r="B148" s="1705" t="s">
        <v>2124</v>
      </c>
      <c r="C148" s="1740">
        <f>ROUND($B$47*C173,0)</f>
        <v>0</v>
      </c>
      <c r="D148" s="1741">
        <f t="shared" ref="D148:X148" si="40">ROUND($B$47*D173,0)</f>
        <v>0</v>
      </c>
      <c r="E148" s="1741">
        <f t="shared" si="40"/>
        <v>36</v>
      </c>
      <c r="F148" s="1741">
        <f t="shared" si="40"/>
        <v>68</v>
      </c>
      <c r="G148" s="1741">
        <f t="shared" si="40"/>
        <v>114</v>
      </c>
      <c r="H148" s="1741">
        <f t="shared" si="40"/>
        <v>198</v>
      </c>
      <c r="I148" s="1741">
        <f t="shared" si="40"/>
        <v>300</v>
      </c>
      <c r="J148" s="1741">
        <f t="shared" si="40"/>
        <v>300</v>
      </c>
      <c r="K148" s="1741">
        <f t="shared" si="40"/>
        <v>300</v>
      </c>
      <c r="L148" s="1741">
        <f t="shared" si="40"/>
        <v>300</v>
      </c>
      <c r="M148" s="1741">
        <f t="shared" si="40"/>
        <v>300</v>
      </c>
      <c r="N148" s="1741">
        <f t="shared" si="40"/>
        <v>413</v>
      </c>
      <c r="O148" s="1741">
        <f t="shared" si="40"/>
        <v>413</v>
      </c>
      <c r="P148" s="1741">
        <f t="shared" si="40"/>
        <v>413</v>
      </c>
      <c r="Q148" s="1741">
        <f t="shared" si="40"/>
        <v>413</v>
      </c>
      <c r="R148" s="1741">
        <f t="shared" si="40"/>
        <v>413</v>
      </c>
      <c r="S148" s="1741">
        <f t="shared" si="40"/>
        <v>413</v>
      </c>
      <c r="T148" s="1741">
        <f t="shared" si="40"/>
        <v>413</v>
      </c>
      <c r="U148" s="1741">
        <f t="shared" si="40"/>
        <v>413</v>
      </c>
      <c r="V148" s="1741">
        <f t="shared" si="40"/>
        <v>413</v>
      </c>
      <c r="W148" s="1741">
        <f t="shared" si="40"/>
        <v>413</v>
      </c>
      <c r="X148" s="1742">
        <f t="shared" si="40"/>
        <v>1683</v>
      </c>
      <c r="Y148" s="1732"/>
    </row>
    <row r="149" spans="1:25">
      <c r="A149" s="2376"/>
      <c r="B149" s="127" t="s">
        <v>180</v>
      </c>
      <c r="C149" s="1744">
        <f>ROUND($K$47*C173,0)</f>
        <v>0</v>
      </c>
      <c r="D149" s="1745">
        <f>ROUND($L$47*D173,0)</f>
        <v>0</v>
      </c>
      <c r="E149" s="1745">
        <f>ROUND($L$47*E173,0)</f>
        <v>0</v>
      </c>
      <c r="F149" s="1745">
        <f t="shared" ref="F149:X149" si="41">ROUND($K$47*F173,0)</f>
        <v>-48</v>
      </c>
      <c r="G149" s="1745">
        <f t="shared" si="41"/>
        <v>-80</v>
      </c>
      <c r="H149" s="1745">
        <f t="shared" si="41"/>
        <v>-139</v>
      </c>
      <c r="I149" s="1745">
        <f t="shared" si="41"/>
        <v>-211</v>
      </c>
      <c r="J149" s="1745">
        <f t="shared" si="41"/>
        <v>-211</v>
      </c>
      <c r="K149" s="1745">
        <f t="shared" si="41"/>
        <v>-211</v>
      </c>
      <c r="L149" s="1745">
        <f t="shared" si="41"/>
        <v>-211</v>
      </c>
      <c r="M149" s="1745">
        <f t="shared" si="41"/>
        <v>-211</v>
      </c>
      <c r="N149" s="1745">
        <f t="shared" si="41"/>
        <v>-290</v>
      </c>
      <c r="O149" s="1745">
        <f t="shared" si="41"/>
        <v>-290</v>
      </c>
      <c r="P149" s="1745">
        <f t="shared" si="41"/>
        <v>-290</v>
      </c>
      <c r="Q149" s="1745">
        <f t="shared" si="41"/>
        <v>-290</v>
      </c>
      <c r="R149" s="1745">
        <f t="shared" si="41"/>
        <v>-290</v>
      </c>
      <c r="S149" s="1745">
        <f t="shared" si="41"/>
        <v>-290</v>
      </c>
      <c r="T149" s="1745">
        <f t="shared" si="41"/>
        <v>-290</v>
      </c>
      <c r="U149" s="1745">
        <f t="shared" si="41"/>
        <v>-290</v>
      </c>
      <c r="V149" s="1745">
        <f t="shared" si="41"/>
        <v>-290</v>
      </c>
      <c r="W149" s="1745">
        <f t="shared" si="41"/>
        <v>-290</v>
      </c>
      <c r="X149" s="1746">
        <f t="shared" si="41"/>
        <v>-1182</v>
      </c>
      <c r="Y149" s="123"/>
    </row>
    <row r="150" spans="1:25">
      <c r="A150" s="2374" t="s">
        <v>640</v>
      </c>
      <c r="B150" s="107" t="s">
        <v>167</v>
      </c>
      <c r="C150" s="1747">
        <f>사회적유입!C88</f>
        <v>0</v>
      </c>
      <c r="D150" s="1748">
        <f>사회적유입!D88</f>
        <v>0</v>
      </c>
      <c r="E150" s="1748">
        <f>사회적유입!E88</f>
        <v>7477</v>
      </c>
      <c r="F150" s="1748">
        <f>사회적유입!F88</f>
        <v>8665</v>
      </c>
      <c r="G150" s="1748">
        <f>사회적유입!G88</f>
        <v>9853</v>
      </c>
      <c r="H150" s="1748">
        <f>사회적유입!H88</f>
        <v>11041</v>
      </c>
      <c r="I150" s="1748">
        <f>사회적유입!I88</f>
        <v>12230</v>
      </c>
      <c r="J150" s="1748">
        <f>사회적유입!J88</f>
        <v>12230</v>
      </c>
      <c r="K150" s="1748">
        <f>사회적유입!K88</f>
        <v>12230</v>
      </c>
      <c r="L150" s="1748">
        <f>사회적유입!L88</f>
        <v>12230</v>
      </c>
      <c r="M150" s="1748">
        <f>사회적유입!M88</f>
        <v>12230</v>
      </c>
      <c r="N150" s="1748">
        <f>사회적유입!N88</f>
        <v>12230</v>
      </c>
      <c r="O150" s="1748">
        <f>사회적유입!O88</f>
        <v>12230</v>
      </c>
      <c r="P150" s="1748">
        <f>사회적유입!P88</f>
        <v>12230</v>
      </c>
      <c r="Q150" s="1748">
        <f>사회적유입!Q88</f>
        <v>12230</v>
      </c>
      <c r="R150" s="1748">
        <f>사회적유입!R88</f>
        <v>12230</v>
      </c>
      <c r="S150" s="1748">
        <f>사회적유입!S88</f>
        <v>12230</v>
      </c>
      <c r="T150" s="1748">
        <f>사회적유입!T88</f>
        <v>12230</v>
      </c>
      <c r="U150" s="1748">
        <f>사회적유입!U88</f>
        <v>12230</v>
      </c>
      <c r="V150" s="1748">
        <f>사회적유입!V88</f>
        <v>12230</v>
      </c>
      <c r="W150" s="1748">
        <f>사회적유입!W88</f>
        <v>12230</v>
      </c>
      <c r="X150" s="1749">
        <f>사회적유입!X88</f>
        <v>15560</v>
      </c>
      <c r="Y150" s="120">
        <f>+S150</f>
        <v>12230</v>
      </c>
    </row>
    <row r="151" spans="1:25">
      <c r="A151" s="2375"/>
      <c r="B151" s="122" t="s">
        <v>179</v>
      </c>
      <c r="C151" s="1737">
        <f t="shared" ref="C151:X151" si="42">IFERROR(C150/$Y150,0)</f>
        <v>0</v>
      </c>
      <c r="D151" s="1738">
        <f t="shared" si="42"/>
        <v>0</v>
      </c>
      <c r="E151" s="1738">
        <f t="shared" si="42"/>
        <v>0.61136549468520029</v>
      </c>
      <c r="F151" s="1738">
        <f t="shared" si="42"/>
        <v>0.70850367947669668</v>
      </c>
      <c r="G151" s="1738">
        <f t="shared" si="42"/>
        <v>0.80564186426819295</v>
      </c>
      <c r="H151" s="1738">
        <f t="shared" si="42"/>
        <v>0.90278004905968934</v>
      </c>
      <c r="I151" s="1738">
        <f t="shared" si="42"/>
        <v>1</v>
      </c>
      <c r="J151" s="1738">
        <f t="shared" si="42"/>
        <v>1</v>
      </c>
      <c r="K151" s="1738">
        <f t="shared" si="42"/>
        <v>1</v>
      </c>
      <c r="L151" s="1738">
        <f t="shared" si="42"/>
        <v>1</v>
      </c>
      <c r="M151" s="1738">
        <f t="shared" si="42"/>
        <v>1</v>
      </c>
      <c r="N151" s="1738">
        <f t="shared" si="42"/>
        <v>1</v>
      </c>
      <c r="O151" s="1738">
        <f t="shared" si="42"/>
        <v>1</v>
      </c>
      <c r="P151" s="1738">
        <f t="shared" si="42"/>
        <v>1</v>
      </c>
      <c r="Q151" s="1738">
        <f t="shared" si="42"/>
        <v>1</v>
      </c>
      <c r="R151" s="1738">
        <f t="shared" si="42"/>
        <v>1</v>
      </c>
      <c r="S151" s="1738">
        <f t="shared" si="42"/>
        <v>1</v>
      </c>
      <c r="T151" s="1738">
        <f t="shared" si="42"/>
        <v>1</v>
      </c>
      <c r="U151" s="1738">
        <f t="shared" si="42"/>
        <v>1</v>
      </c>
      <c r="V151" s="1738">
        <f t="shared" si="42"/>
        <v>1</v>
      </c>
      <c r="W151" s="1738">
        <f t="shared" si="42"/>
        <v>1</v>
      </c>
      <c r="X151" s="1739">
        <f t="shared" si="42"/>
        <v>1.2722812755519215</v>
      </c>
      <c r="Y151" s="133"/>
    </row>
    <row r="152" spans="1:25">
      <c r="A152" s="2375"/>
      <c r="B152" s="1705" t="s">
        <v>2124</v>
      </c>
      <c r="C152" s="1740">
        <f>ROUND($B$59*C151,0)</f>
        <v>0</v>
      </c>
      <c r="D152" s="1741">
        <f t="shared" ref="D152:X152" si="43">ROUND($B$59*D151,0)</f>
        <v>0</v>
      </c>
      <c r="E152" s="1741">
        <f t="shared" si="43"/>
        <v>494</v>
      </c>
      <c r="F152" s="1741">
        <f t="shared" si="43"/>
        <v>572</v>
      </c>
      <c r="G152" s="1741">
        <f t="shared" si="43"/>
        <v>651</v>
      </c>
      <c r="H152" s="1741">
        <f t="shared" si="43"/>
        <v>729</v>
      </c>
      <c r="I152" s="1741">
        <f t="shared" si="43"/>
        <v>808</v>
      </c>
      <c r="J152" s="1741">
        <f t="shared" si="43"/>
        <v>808</v>
      </c>
      <c r="K152" s="1741">
        <f t="shared" si="43"/>
        <v>808</v>
      </c>
      <c r="L152" s="1741">
        <f t="shared" si="43"/>
        <v>808</v>
      </c>
      <c r="M152" s="1741">
        <f t="shared" si="43"/>
        <v>808</v>
      </c>
      <c r="N152" s="1741">
        <f t="shared" si="43"/>
        <v>808</v>
      </c>
      <c r="O152" s="1741">
        <f t="shared" si="43"/>
        <v>808</v>
      </c>
      <c r="P152" s="1741">
        <f t="shared" si="43"/>
        <v>808</v>
      </c>
      <c r="Q152" s="1741">
        <f t="shared" si="43"/>
        <v>808</v>
      </c>
      <c r="R152" s="1741">
        <f t="shared" si="43"/>
        <v>808</v>
      </c>
      <c r="S152" s="1741">
        <f t="shared" si="43"/>
        <v>808</v>
      </c>
      <c r="T152" s="1741">
        <f t="shared" si="43"/>
        <v>808</v>
      </c>
      <c r="U152" s="1741">
        <f t="shared" si="43"/>
        <v>808</v>
      </c>
      <c r="V152" s="1741">
        <f t="shared" si="43"/>
        <v>808</v>
      </c>
      <c r="W152" s="1741">
        <f t="shared" si="43"/>
        <v>808</v>
      </c>
      <c r="X152" s="1742">
        <f t="shared" si="43"/>
        <v>1028</v>
      </c>
      <c r="Y152" s="133"/>
    </row>
    <row r="153" spans="1:25">
      <c r="A153" s="2376"/>
      <c r="B153" s="127" t="s">
        <v>180</v>
      </c>
      <c r="C153" s="1744">
        <f>ROUND($K$59*C151,0)</f>
        <v>0</v>
      </c>
      <c r="D153" s="1745">
        <f>ROUND($L$59*D151,0)</f>
        <v>0</v>
      </c>
      <c r="E153" s="1745">
        <f>ROUND($L$59*E151,0)</f>
        <v>0</v>
      </c>
      <c r="F153" s="1745">
        <f t="shared" ref="F153:X153" si="44">ROUND($K$59*F151,0)</f>
        <v>-624</v>
      </c>
      <c r="G153" s="1745">
        <f t="shared" si="44"/>
        <v>-710</v>
      </c>
      <c r="H153" s="1745">
        <f t="shared" si="44"/>
        <v>-795</v>
      </c>
      <c r="I153" s="1745">
        <f t="shared" si="44"/>
        <v>-881</v>
      </c>
      <c r="J153" s="1745">
        <f t="shared" si="44"/>
        <v>-881</v>
      </c>
      <c r="K153" s="1745">
        <f t="shared" si="44"/>
        <v>-881</v>
      </c>
      <c r="L153" s="1745">
        <f t="shared" si="44"/>
        <v>-881</v>
      </c>
      <c r="M153" s="1745">
        <f t="shared" si="44"/>
        <v>-881</v>
      </c>
      <c r="N153" s="1745">
        <f t="shared" si="44"/>
        <v>-881</v>
      </c>
      <c r="O153" s="1745">
        <f t="shared" si="44"/>
        <v>-881</v>
      </c>
      <c r="P153" s="1745">
        <f t="shared" si="44"/>
        <v>-881</v>
      </c>
      <c r="Q153" s="1745">
        <f t="shared" si="44"/>
        <v>-881</v>
      </c>
      <c r="R153" s="1745">
        <f t="shared" si="44"/>
        <v>-881</v>
      </c>
      <c r="S153" s="1745">
        <f t="shared" si="44"/>
        <v>-881</v>
      </c>
      <c r="T153" s="1745">
        <f t="shared" si="44"/>
        <v>-881</v>
      </c>
      <c r="U153" s="1745">
        <f t="shared" si="44"/>
        <v>-881</v>
      </c>
      <c r="V153" s="1745">
        <f t="shared" si="44"/>
        <v>-881</v>
      </c>
      <c r="W153" s="1745">
        <f t="shared" si="44"/>
        <v>-881</v>
      </c>
      <c r="X153" s="1746">
        <f t="shared" si="44"/>
        <v>-1121</v>
      </c>
      <c r="Y153" s="133"/>
    </row>
    <row r="154" spans="1:25">
      <c r="A154" s="2374" t="s">
        <v>641</v>
      </c>
      <c r="B154" s="107" t="s">
        <v>167</v>
      </c>
      <c r="C154" s="1747">
        <f>+사회적유입!C101+사회적유입!C108</f>
        <v>0</v>
      </c>
      <c r="D154" s="1748">
        <f>+사회적유입!D101+사회적유입!D108</f>
        <v>0</v>
      </c>
      <c r="E154" s="1748">
        <f>+사회적유입!E101+사회적유입!E108</f>
        <v>0</v>
      </c>
      <c r="F154" s="1748">
        <f>+사회적유입!F101+사회적유입!F108</f>
        <v>0</v>
      </c>
      <c r="G154" s="1748">
        <f>+사회적유입!G101+사회적유입!G108</f>
        <v>941</v>
      </c>
      <c r="H154" s="1748">
        <f>+사회적유입!H101+사회적유입!H108</f>
        <v>4356</v>
      </c>
      <c r="I154" s="1748">
        <f>+사회적유입!I101+사회적유입!I108</f>
        <v>9136</v>
      </c>
      <c r="J154" s="1748">
        <f>+사회적유입!J101+사회적유입!J108</f>
        <v>9136</v>
      </c>
      <c r="K154" s="1748">
        <f>+사회적유입!K101+사회적유입!K108</f>
        <v>9136</v>
      </c>
      <c r="L154" s="1748">
        <f>+사회적유입!L101+사회적유입!L108</f>
        <v>9136</v>
      </c>
      <c r="M154" s="1748">
        <f>+사회적유입!M101+사회적유입!M108</f>
        <v>9136</v>
      </c>
      <c r="N154" s="1748">
        <f>+사회적유입!N101+사회적유입!N108</f>
        <v>10985</v>
      </c>
      <c r="O154" s="1748">
        <f>+사회적유입!O101+사회적유입!O108</f>
        <v>10985</v>
      </c>
      <c r="P154" s="1748">
        <f>+사회적유입!P101+사회적유입!P108</f>
        <v>10985</v>
      </c>
      <c r="Q154" s="1748">
        <f>+사회적유입!Q101+사회적유입!Q108</f>
        <v>10985</v>
      </c>
      <c r="R154" s="1748">
        <f>+사회적유입!R101+사회적유입!R108</f>
        <v>10985</v>
      </c>
      <c r="S154" s="1748">
        <f>+사회적유입!S101+사회적유입!S108</f>
        <v>10985</v>
      </c>
      <c r="T154" s="1748">
        <f>+사회적유입!T101+사회적유입!T108</f>
        <v>10985</v>
      </c>
      <c r="U154" s="1748">
        <f>+사회적유입!U101+사회적유입!U108</f>
        <v>10985</v>
      </c>
      <c r="V154" s="1748">
        <f>+사회적유입!V101+사회적유입!V108</f>
        <v>10985</v>
      </c>
      <c r="W154" s="1748">
        <f>+사회적유입!W101+사회적유입!W108</f>
        <v>10985</v>
      </c>
      <c r="X154" s="1749">
        <f>+사회적유입!X101+사회적유입!X108</f>
        <v>18655</v>
      </c>
      <c r="Y154" s="120">
        <f>+S154</f>
        <v>10985</v>
      </c>
    </row>
    <row r="155" spans="1:25">
      <c r="A155" s="2375"/>
      <c r="B155" s="122" t="s">
        <v>179</v>
      </c>
      <c r="C155" s="1737">
        <f t="shared" ref="C155:X155" si="45">IFERROR(C154/$Y154,0)</f>
        <v>0</v>
      </c>
      <c r="D155" s="1738">
        <f t="shared" si="45"/>
        <v>0</v>
      </c>
      <c r="E155" s="1738">
        <f t="shared" si="45"/>
        <v>0</v>
      </c>
      <c r="F155" s="1738">
        <f t="shared" si="45"/>
        <v>0</v>
      </c>
      <c r="G155" s="1738">
        <f t="shared" si="45"/>
        <v>8.5662266727355482E-2</v>
      </c>
      <c r="H155" s="1738">
        <f t="shared" si="45"/>
        <v>0.39654073736913975</v>
      </c>
      <c r="I155" s="1738">
        <f t="shared" si="45"/>
        <v>0.83167956304050983</v>
      </c>
      <c r="J155" s="1738">
        <f t="shared" si="45"/>
        <v>0.83167956304050983</v>
      </c>
      <c r="K155" s="1738">
        <f t="shared" si="45"/>
        <v>0.83167956304050983</v>
      </c>
      <c r="L155" s="1738">
        <f t="shared" si="45"/>
        <v>0.83167956304050983</v>
      </c>
      <c r="M155" s="1738">
        <f t="shared" si="45"/>
        <v>0.83167956304050983</v>
      </c>
      <c r="N155" s="1738">
        <f t="shared" si="45"/>
        <v>1</v>
      </c>
      <c r="O155" s="1738">
        <f t="shared" si="45"/>
        <v>1</v>
      </c>
      <c r="P155" s="1738">
        <f t="shared" si="45"/>
        <v>1</v>
      </c>
      <c r="Q155" s="1738">
        <f t="shared" si="45"/>
        <v>1</v>
      </c>
      <c r="R155" s="1738">
        <f t="shared" si="45"/>
        <v>1</v>
      </c>
      <c r="S155" s="1738">
        <f t="shared" si="45"/>
        <v>1</v>
      </c>
      <c r="T155" s="1738">
        <f t="shared" si="45"/>
        <v>1</v>
      </c>
      <c r="U155" s="1738">
        <f t="shared" si="45"/>
        <v>1</v>
      </c>
      <c r="V155" s="1738">
        <f t="shared" si="45"/>
        <v>1</v>
      </c>
      <c r="W155" s="1738">
        <f t="shared" si="45"/>
        <v>1</v>
      </c>
      <c r="X155" s="1739">
        <f t="shared" si="45"/>
        <v>1.6982248520710059</v>
      </c>
      <c r="Y155" s="121"/>
    </row>
    <row r="156" spans="1:25">
      <c r="A156" s="2375"/>
      <c r="B156" s="1705" t="s">
        <v>2124</v>
      </c>
      <c r="C156" s="1740">
        <f>ROUND($B$71*C155,0)</f>
        <v>0</v>
      </c>
      <c r="D156" s="1741">
        <f t="shared" ref="D156:X156" si="46">ROUND($B$71*D155,0)</f>
        <v>0</v>
      </c>
      <c r="E156" s="1741">
        <f t="shared" si="46"/>
        <v>0</v>
      </c>
      <c r="F156" s="1741">
        <f t="shared" si="46"/>
        <v>0</v>
      </c>
      <c r="G156" s="1741">
        <f t="shared" si="46"/>
        <v>134</v>
      </c>
      <c r="H156" s="1741">
        <f t="shared" si="46"/>
        <v>621</v>
      </c>
      <c r="I156" s="1741">
        <f t="shared" si="46"/>
        <v>1303</v>
      </c>
      <c r="J156" s="1741">
        <f t="shared" si="46"/>
        <v>1303</v>
      </c>
      <c r="K156" s="1741">
        <f t="shared" si="46"/>
        <v>1303</v>
      </c>
      <c r="L156" s="1741">
        <f t="shared" si="46"/>
        <v>1303</v>
      </c>
      <c r="M156" s="1741">
        <f t="shared" si="46"/>
        <v>1303</v>
      </c>
      <c r="N156" s="1741">
        <f t="shared" si="46"/>
        <v>1567</v>
      </c>
      <c r="O156" s="1741">
        <f t="shared" si="46"/>
        <v>1567</v>
      </c>
      <c r="P156" s="1741">
        <f t="shared" si="46"/>
        <v>1567</v>
      </c>
      <c r="Q156" s="1741">
        <f t="shared" si="46"/>
        <v>1567</v>
      </c>
      <c r="R156" s="1741">
        <f t="shared" si="46"/>
        <v>1567</v>
      </c>
      <c r="S156" s="1741">
        <f t="shared" si="46"/>
        <v>1567</v>
      </c>
      <c r="T156" s="1741">
        <f t="shared" si="46"/>
        <v>1567</v>
      </c>
      <c r="U156" s="1741">
        <f t="shared" si="46"/>
        <v>1567</v>
      </c>
      <c r="V156" s="1741">
        <f t="shared" si="46"/>
        <v>1567</v>
      </c>
      <c r="W156" s="1741">
        <f t="shared" si="46"/>
        <v>1567</v>
      </c>
      <c r="X156" s="1742">
        <f t="shared" si="46"/>
        <v>2661</v>
      </c>
      <c r="Y156" s="1732"/>
    </row>
    <row r="157" spans="1:25">
      <c r="A157" s="2376"/>
      <c r="B157" s="127" t="s">
        <v>180</v>
      </c>
      <c r="C157" s="1744">
        <f>ROUND($K$71*C155,0)</f>
        <v>0</v>
      </c>
      <c r="D157" s="1745">
        <f>ROUND($L$71*D155,0)</f>
        <v>0</v>
      </c>
      <c r="E157" s="1745">
        <f>ROUND($L$71*E155,0)</f>
        <v>0</v>
      </c>
      <c r="F157" s="1745">
        <f t="shared" ref="F157:X157" si="47">ROUND($K$71*F155,0)</f>
        <v>0</v>
      </c>
      <c r="G157" s="1745">
        <f t="shared" si="47"/>
        <v>-121</v>
      </c>
      <c r="H157" s="1745">
        <f t="shared" si="47"/>
        <v>-559</v>
      </c>
      <c r="I157" s="1745">
        <f t="shared" si="47"/>
        <v>-1172</v>
      </c>
      <c r="J157" s="1745">
        <f t="shared" si="47"/>
        <v>-1172</v>
      </c>
      <c r="K157" s="1745">
        <f t="shared" si="47"/>
        <v>-1172</v>
      </c>
      <c r="L157" s="1745">
        <f t="shared" si="47"/>
        <v>-1172</v>
      </c>
      <c r="M157" s="1745">
        <f t="shared" si="47"/>
        <v>-1172</v>
      </c>
      <c r="N157" s="1745">
        <f t="shared" si="47"/>
        <v>-1409</v>
      </c>
      <c r="O157" s="1745">
        <f t="shared" si="47"/>
        <v>-1409</v>
      </c>
      <c r="P157" s="1745">
        <f t="shared" si="47"/>
        <v>-1409</v>
      </c>
      <c r="Q157" s="1745">
        <f t="shared" si="47"/>
        <v>-1409</v>
      </c>
      <c r="R157" s="1745">
        <f t="shared" si="47"/>
        <v>-1409</v>
      </c>
      <c r="S157" s="1745">
        <f t="shared" si="47"/>
        <v>-1409</v>
      </c>
      <c r="T157" s="1745">
        <f t="shared" si="47"/>
        <v>-1409</v>
      </c>
      <c r="U157" s="1745">
        <f t="shared" si="47"/>
        <v>-1409</v>
      </c>
      <c r="V157" s="1745">
        <f t="shared" si="47"/>
        <v>-1409</v>
      </c>
      <c r="W157" s="1745">
        <f t="shared" si="47"/>
        <v>-1409</v>
      </c>
      <c r="X157" s="1746">
        <f t="shared" si="47"/>
        <v>-2393</v>
      </c>
      <c r="Y157" s="123"/>
    </row>
    <row r="158" spans="1:25">
      <c r="A158" s="2374" t="s">
        <v>642</v>
      </c>
      <c r="B158" s="107" t="s">
        <v>167</v>
      </c>
      <c r="C158" s="1747">
        <f>+사회적유입!C126+사회적유입!C124</f>
        <v>0</v>
      </c>
      <c r="D158" s="1748">
        <f>+사회적유입!D126+사회적유입!D124</f>
        <v>0</v>
      </c>
      <c r="E158" s="1748">
        <f>+사회적유입!E126+사회적유입!E124</f>
        <v>0</v>
      </c>
      <c r="F158" s="1748">
        <f>+사회적유입!F126+사회적유입!F124</f>
        <v>0</v>
      </c>
      <c r="G158" s="1748">
        <f>+사회적유입!G126+사회적유입!G124</f>
        <v>0</v>
      </c>
      <c r="H158" s="1748">
        <f>+사회적유입!H126+사회적유입!H124</f>
        <v>0</v>
      </c>
      <c r="I158" s="1748">
        <f>+사회적유입!I126+사회적유입!I124</f>
        <v>0</v>
      </c>
      <c r="J158" s="1748">
        <f>+사회적유입!J126+사회적유입!J124</f>
        <v>0</v>
      </c>
      <c r="K158" s="1748">
        <f>+사회적유입!K126+사회적유입!K124</f>
        <v>0</v>
      </c>
      <c r="L158" s="1748">
        <f>+사회적유입!L126+사회적유입!L124</f>
        <v>0</v>
      </c>
      <c r="M158" s="1748">
        <f>+사회적유입!M126+사회적유입!M124</f>
        <v>0</v>
      </c>
      <c r="N158" s="1748">
        <f>+사회적유입!N126+사회적유입!N124</f>
        <v>976</v>
      </c>
      <c r="O158" s="1748">
        <f>+사회적유입!O126+사회적유입!O124</f>
        <v>976</v>
      </c>
      <c r="P158" s="1748">
        <f>+사회적유입!P126+사회적유입!P124</f>
        <v>976</v>
      </c>
      <c r="Q158" s="1748">
        <f>+사회적유입!Q126+사회적유입!Q124</f>
        <v>976</v>
      </c>
      <c r="R158" s="1748">
        <f>+사회적유입!R126+사회적유입!R124</f>
        <v>976</v>
      </c>
      <c r="S158" s="1748">
        <f>+사회적유입!S126+사회적유입!S124</f>
        <v>976</v>
      </c>
      <c r="T158" s="1748">
        <f>+사회적유입!T126+사회적유입!T124</f>
        <v>976</v>
      </c>
      <c r="U158" s="1748">
        <f>+사회적유입!U126+사회적유입!U124</f>
        <v>976</v>
      </c>
      <c r="V158" s="1748">
        <f>+사회적유입!V126+사회적유입!V124</f>
        <v>976</v>
      </c>
      <c r="W158" s="1748">
        <f>+사회적유입!W126+사회적유입!W124</f>
        <v>976</v>
      </c>
      <c r="X158" s="1749">
        <f>+사회적유입!X126+사회적유입!X124</f>
        <v>5416</v>
      </c>
      <c r="Y158" s="120">
        <f>+S158</f>
        <v>976</v>
      </c>
    </row>
    <row r="159" spans="1:25">
      <c r="A159" s="2375"/>
      <c r="B159" s="122" t="s">
        <v>179</v>
      </c>
      <c r="C159" s="1737">
        <f t="shared" ref="C159:X159" si="48">IFERROR(C158/$Y158,0)</f>
        <v>0</v>
      </c>
      <c r="D159" s="1738">
        <f t="shared" si="48"/>
        <v>0</v>
      </c>
      <c r="E159" s="1738">
        <f t="shared" si="48"/>
        <v>0</v>
      </c>
      <c r="F159" s="1738">
        <f t="shared" si="48"/>
        <v>0</v>
      </c>
      <c r="G159" s="1738">
        <f t="shared" si="48"/>
        <v>0</v>
      </c>
      <c r="H159" s="1738">
        <f t="shared" si="48"/>
        <v>0</v>
      </c>
      <c r="I159" s="1738">
        <f t="shared" si="48"/>
        <v>0</v>
      </c>
      <c r="J159" s="1738">
        <f t="shared" si="48"/>
        <v>0</v>
      </c>
      <c r="K159" s="1738">
        <f t="shared" si="48"/>
        <v>0</v>
      </c>
      <c r="L159" s="1738">
        <f t="shared" si="48"/>
        <v>0</v>
      </c>
      <c r="M159" s="1738">
        <f t="shared" si="48"/>
        <v>0</v>
      </c>
      <c r="N159" s="1738">
        <f t="shared" si="48"/>
        <v>1</v>
      </c>
      <c r="O159" s="1738">
        <f t="shared" si="48"/>
        <v>1</v>
      </c>
      <c r="P159" s="1738">
        <f t="shared" si="48"/>
        <v>1</v>
      </c>
      <c r="Q159" s="1738">
        <f t="shared" si="48"/>
        <v>1</v>
      </c>
      <c r="R159" s="1738">
        <f t="shared" si="48"/>
        <v>1</v>
      </c>
      <c r="S159" s="1738">
        <f t="shared" si="48"/>
        <v>1</v>
      </c>
      <c r="T159" s="1738">
        <f t="shared" si="48"/>
        <v>1</v>
      </c>
      <c r="U159" s="1738">
        <f t="shared" si="48"/>
        <v>1</v>
      </c>
      <c r="V159" s="1738">
        <f t="shared" si="48"/>
        <v>1</v>
      </c>
      <c r="W159" s="1738">
        <f t="shared" si="48"/>
        <v>1</v>
      </c>
      <c r="X159" s="1739">
        <f t="shared" si="48"/>
        <v>5.5491803278688527</v>
      </c>
      <c r="Y159" s="121"/>
    </row>
    <row r="160" spans="1:25">
      <c r="A160" s="2375"/>
      <c r="B160" s="1705" t="s">
        <v>2124</v>
      </c>
      <c r="C160" s="1740">
        <f>ROUND($B$83*C159,0)</f>
        <v>0</v>
      </c>
      <c r="D160" s="1741">
        <f t="shared" ref="D160:X160" si="49">ROUND($B$83*D159,0)</f>
        <v>0</v>
      </c>
      <c r="E160" s="1741">
        <f t="shared" si="49"/>
        <v>0</v>
      </c>
      <c r="F160" s="1741">
        <f t="shared" si="49"/>
        <v>0</v>
      </c>
      <c r="G160" s="1741">
        <f t="shared" si="49"/>
        <v>0</v>
      </c>
      <c r="H160" s="1741">
        <f t="shared" si="49"/>
        <v>0</v>
      </c>
      <c r="I160" s="1741">
        <f t="shared" si="49"/>
        <v>0</v>
      </c>
      <c r="J160" s="1741">
        <f t="shared" si="49"/>
        <v>0</v>
      </c>
      <c r="K160" s="1741">
        <f t="shared" si="49"/>
        <v>0</v>
      </c>
      <c r="L160" s="1741">
        <f t="shared" si="49"/>
        <v>0</v>
      </c>
      <c r="M160" s="1741">
        <f t="shared" si="49"/>
        <v>0</v>
      </c>
      <c r="N160" s="1741">
        <f t="shared" si="49"/>
        <v>542</v>
      </c>
      <c r="O160" s="1741">
        <f t="shared" si="49"/>
        <v>542</v>
      </c>
      <c r="P160" s="1741">
        <f t="shared" si="49"/>
        <v>542</v>
      </c>
      <c r="Q160" s="1741">
        <f t="shared" si="49"/>
        <v>542</v>
      </c>
      <c r="R160" s="1741">
        <f t="shared" si="49"/>
        <v>542</v>
      </c>
      <c r="S160" s="1741">
        <f t="shared" si="49"/>
        <v>542</v>
      </c>
      <c r="T160" s="1741">
        <f t="shared" si="49"/>
        <v>542</v>
      </c>
      <c r="U160" s="1741">
        <f t="shared" si="49"/>
        <v>542</v>
      </c>
      <c r="V160" s="1741">
        <f t="shared" si="49"/>
        <v>542</v>
      </c>
      <c r="W160" s="1741">
        <f t="shared" si="49"/>
        <v>542</v>
      </c>
      <c r="X160" s="1742">
        <f t="shared" si="49"/>
        <v>3008</v>
      </c>
      <c r="Y160" s="1732"/>
    </row>
    <row r="161" spans="1:26">
      <c r="A161" s="2376"/>
      <c r="B161" s="127" t="s">
        <v>180</v>
      </c>
      <c r="C161" s="1744">
        <f>ROUND($K$83*C159,0)</f>
        <v>0</v>
      </c>
      <c r="D161" s="1745">
        <f>ROUND($L$83*D159,0)</f>
        <v>0</v>
      </c>
      <c r="E161" s="1745">
        <f>ROUND($L$83*E159,0)</f>
        <v>0</v>
      </c>
      <c r="F161" s="1745">
        <f t="shared" ref="F161:J161" si="50">ROUND($K$83*F159,0)</f>
        <v>0</v>
      </c>
      <c r="G161" s="1745">
        <f t="shared" si="50"/>
        <v>0</v>
      </c>
      <c r="H161" s="1745">
        <f t="shared" si="50"/>
        <v>0</v>
      </c>
      <c r="I161" s="1745">
        <f t="shared" si="50"/>
        <v>0</v>
      </c>
      <c r="J161" s="1745">
        <f t="shared" si="50"/>
        <v>0</v>
      </c>
      <c r="K161" s="1745">
        <f t="shared" ref="K161:X161" si="51">ROUND($K$83*K159,0)</f>
        <v>0</v>
      </c>
      <c r="L161" s="1745">
        <f t="shared" si="51"/>
        <v>0</v>
      </c>
      <c r="M161" s="1745">
        <f t="shared" si="51"/>
        <v>0</v>
      </c>
      <c r="N161" s="1745">
        <f t="shared" si="51"/>
        <v>-837</v>
      </c>
      <c r="O161" s="1745">
        <f t="shared" si="51"/>
        <v>-837</v>
      </c>
      <c r="P161" s="1745">
        <f t="shared" si="51"/>
        <v>-837</v>
      </c>
      <c r="Q161" s="1745">
        <f t="shared" si="51"/>
        <v>-837</v>
      </c>
      <c r="R161" s="1745">
        <f t="shared" si="51"/>
        <v>-837</v>
      </c>
      <c r="S161" s="1745">
        <f t="shared" si="51"/>
        <v>-837</v>
      </c>
      <c r="T161" s="1745">
        <f t="shared" si="51"/>
        <v>-837</v>
      </c>
      <c r="U161" s="1745">
        <f t="shared" si="51"/>
        <v>-837</v>
      </c>
      <c r="V161" s="1745">
        <f t="shared" si="51"/>
        <v>-837</v>
      </c>
      <c r="W161" s="1745">
        <f t="shared" si="51"/>
        <v>-837</v>
      </c>
      <c r="X161" s="1746">
        <f t="shared" si="51"/>
        <v>-4645</v>
      </c>
      <c r="Y161" s="123"/>
    </row>
    <row r="162" spans="1:26">
      <c r="A162" s="2374" t="s">
        <v>643</v>
      </c>
      <c r="B162" s="107" t="s">
        <v>167</v>
      </c>
      <c r="C162" s="1747">
        <f>+사회적유입!C144+사회적유입!C142</f>
        <v>0</v>
      </c>
      <c r="D162" s="1748">
        <f>+사회적유입!D144+사회적유입!D142</f>
        <v>0</v>
      </c>
      <c r="E162" s="1748">
        <f>+사회적유입!E144+사회적유입!E142</f>
        <v>0</v>
      </c>
      <c r="F162" s="1748">
        <f>+사회적유입!F144+사회적유입!F142</f>
        <v>0</v>
      </c>
      <c r="G162" s="1748">
        <f>+사회적유입!G144+사회적유입!G142</f>
        <v>0</v>
      </c>
      <c r="H162" s="1748">
        <f>+사회적유입!H144+사회적유입!H142</f>
        <v>208</v>
      </c>
      <c r="I162" s="1748">
        <f>+사회적유입!I144+사회적유입!I142</f>
        <v>208</v>
      </c>
      <c r="J162" s="1748">
        <f>+사회적유입!J144+사회적유입!J142</f>
        <v>208</v>
      </c>
      <c r="K162" s="1748">
        <f>+사회적유입!K144+사회적유입!K142</f>
        <v>208</v>
      </c>
      <c r="L162" s="1748">
        <f>+사회적유입!L144+사회적유입!L142</f>
        <v>208</v>
      </c>
      <c r="M162" s="1748">
        <f>+사회적유입!M144+사회적유입!M142</f>
        <v>208</v>
      </c>
      <c r="N162" s="1748">
        <f>+사회적유입!N144+사회적유입!N142</f>
        <v>208</v>
      </c>
      <c r="O162" s="1748">
        <f>+사회적유입!O144+사회적유입!O142</f>
        <v>208</v>
      </c>
      <c r="P162" s="1748">
        <f>+사회적유입!P144+사회적유입!P142</f>
        <v>208</v>
      </c>
      <c r="Q162" s="1748">
        <f>+사회적유입!Q144+사회적유입!Q142</f>
        <v>208</v>
      </c>
      <c r="R162" s="1748">
        <f>+사회적유입!R144+사회적유입!R142</f>
        <v>208</v>
      </c>
      <c r="S162" s="1748">
        <f>+사회적유입!S144+사회적유입!S142</f>
        <v>208</v>
      </c>
      <c r="T162" s="1748">
        <f>+사회적유입!T144+사회적유입!T142</f>
        <v>208</v>
      </c>
      <c r="U162" s="1748">
        <f>+사회적유입!U144+사회적유입!U142</f>
        <v>208</v>
      </c>
      <c r="V162" s="1748">
        <f>+사회적유입!V144+사회적유입!V142</f>
        <v>208</v>
      </c>
      <c r="W162" s="1748">
        <f>+사회적유입!W144+사회적유입!W142</f>
        <v>208</v>
      </c>
      <c r="X162" s="1749">
        <f>+사회적유입!X144+사회적유입!X142</f>
        <v>3538</v>
      </c>
      <c r="Y162" s="120">
        <f>+S162</f>
        <v>208</v>
      </c>
    </row>
    <row r="163" spans="1:26">
      <c r="A163" s="2375"/>
      <c r="B163" s="122" t="s">
        <v>179</v>
      </c>
      <c r="C163" s="1737">
        <f t="shared" ref="C163:X163" si="52">IFERROR(C162/$Y162,0)</f>
        <v>0</v>
      </c>
      <c r="D163" s="1738">
        <f t="shared" si="52"/>
        <v>0</v>
      </c>
      <c r="E163" s="1738">
        <f t="shared" si="52"/>
        <v>0</v>
      </c>
      <c r="F163" s="1738">
        <f t="shared" si="52"/>
        <v>0</v>
      </c>
      <c r="G163" s="1738">
        <f t="shared" si="52"/>
        <v>0</v>
      </c>
      <c r="H163" s="1738">
        <f t="shared" si="52"/>
        <v>1</v>
      </c>
      <c r="I163" s="1738">
        <f t="shared" si="52"/>
        <v>1</v>
      </c>
      <c r="J163" s="1738">
        <f t="shared" si="52"/>
        <v>1</v>
      </c>
      <c r="K163" s="1738">
        <f t="shared" si="52"/>
        <v>1</v>
      </c>
      <c r="L163" s="1738">
        <f t="shared" si="52"/>
        <v>1</v>
      </c>
      <c r="M163" s="1738">
        <f t="shared" si="52"/>
        <v>1</v>
      </c>
      <c r="N163" s="1738">
        <f t="shared" si="52"/>
        <v>1</v>
      </c>
      <c r="O163" s="1738">
        <f t="shared" si="52"/>
        <v>1</v>
      </c>
      <c r="P163" s="1738">
        <f t="shared" si="52"/>
        <v>1</v>
      </c>
      <c r="Q163" s="1738">
        <f t="shared" si="52"/>
        <v>1</v>
      </c>
      <c r="R163" s="1738">
        <f t="shared" si="52"/>
        <v>1</v>
      </c>
      <c r="S163" s="1738">
        <f t="shared" si="52"/>
        <v>1</v>
      </c>
      <c r="T163" s="1738">
        <f t="shared" si="52"/>
        <v>1</v>
      </c>
      <c r="U163" s="1738">
        <f t="shared" si="52"/>
        <v>1</v>
      </c>
      <c r="V163" s="1738">
        <f t="shared" si="52"/>
        <v>1</v>
      </c>
      <c r="W163" s="1738">
        <f t="shared" si="52"/>
        <v>1</v>
      </c>
      <c r="X163" s="1739">
        <f t="shared" si="52"/>
        <v>17.009615384615383</v>
      </c>
      <c r="Y163" s="121"/>
    </row>
    <row r="164" spans="1:26">
      <c r="A164" s="2375"/>
      <c r="B164" s="1705" t="s">
        <v>2124</v>
      </c>
      <c r="C164" s="1740">
        <f>ROUND($B$95*C163,0)</f>
        <v>0</v>
      </c>
      <c r="D164" s="1741">
        <f t="shared" ref="D164:X164" si="53">ROUND($B$95*D163,0)</f>
        <v>0</v>
      </c>
      <c r="E164" s="1741">
        <f t="shared" si="53"/>
        <v>0</v>
      </c>
      <c r="F164" s="1741">
        <f t="shared" si="53"/>
        <v>0</v>
      </c>
      <c r="G164" s="1741">
        <f t="shared" si="53"/>
        <v>0</v>
      </c>
      <c r="H164" s="1741">
        <f t="shared" si="53"/>
        <v>460</v>
      </c>
      <c r="I164" s="1741">
        <f t="shared" si="53"/>
        <v>460</v>
      </c>
      <c r="J164" s="1741">
        <f t="shared" si="53"/>
        <v>460</v>
      </c>
      <c r="K164" s="1741">
        <f t="shared" si="53"/>
        <v>460</v>
      </c>
      <c r="L164" s="1741">
        <f t="shared" si="53"/>
        <v>460</v>
      </c>
      <c r="M164" s="1741">
        <f t="shared" si="53"/>
        <v>460</v>
      </c>
      <c r="N164" s="1741">
        <f t="shared" si="53"/>
        <v>460</v>
      </c>
      <c r="O164" s="1741">
        <f t="shared" si="53"/>
        <v>460</v>
      </c>
      <c r="P164" s="1741">
        <f t="shared" si="53"/>
        <v>460</v>
      </c>
      <c r="Q164" s="1741">
        <f t="shared" si="53"/>
        <v>460</v>
      </c>
      <c r="R164" s="1741">
        <f t="shared" si="53"/>
        <v>460</v>
      </c>
      <c r="S164" s="1741">
        <f t="shared" si="53"/>
        <v>460</v>
      </c>
      <c r="T164" s="1741">
        <f t="shared" si="53"/>
        <v>460</v>
      </c>
      <c r="U164" s="1741">
        <f t="shared" si="53"/>
        <v>460</v>
      </c>
      <c r="V164" s="1741">
        <f t="shared" si="53"/>
        <v>460</v>
      </c>
      <c r="W164" s="1741">
        <f t="shared" si="53"/>
        <v>460</v>
      </c>
      <c r="X164" s="1742">
        <f t="shared" si="53"/>
        <v>7824</v>
      </c>
      <c r="Y164" s="1732"/>
    </row>
    <row r="165" spans="1:26">
      <c r="A165" s="2376"/>
      <c r="B165" s="127" t="s">
        <v>180</v>
      </c>
      <c r="C165" s="1744">
        <f>ROUND($K$95*C163,0)</f>
        <v>0</v>
      </c>
      <c r="D165" s="1745">
        <f>ROUND($L$95*D163,0)</f>
        <v>0</v>
      </c>
      <c r="E165" s="1745">
        <f>ROUND($L$95*E163,0)</f>
        <v>0</v>
      </c>
      <c r="F165" s="1745">
        <f t="shared" ref="F165:X165" si="54">ROUND($K$95*F163,0)</f>
        <v>0</v>
      </c>
      <c r="G165" s="1745">
        <f t="shared" si="54"/>
        <v>0</v>
      </c>
      <c r="H165" s="1745">
        <f t="shared" si="54"/>
        <v>-474</v>
      </c>
      <c r="I165" s="1745">
        <f t="shared" si="54"/>
        <v>-474</v>
      </c>
      <c r="J165" s="1745">
        <f t="shared" si="54"/>
        <v>-474</v>
      </c>
      <c r="K165" s="1745">
        <f t="shared" si="54"/>
        <v>-474</v>
      </c>
      <c r="L165" s="1745">
        <f t="shared" si="54"/>
        <v>-474</v>
      </c>
      <c r="M165" s="1745">
        <f t="shared" si="54"/>
        <v>-474</v>
      </c>
      <c r="N165" s="1745">
        <f t="shared" si="54"/>
        <v>-474</v>
      </c>
      <c r="O165" s="1745">
        <f t="shared" si="54"/>
        <v>-474</v>
      </c>
      <c r="P165" s="1745">
        <f t="shared" si="54"/>
        <v>-474</v>
      </c>
      <c r="Q165" s="1745">
        <f t="shared" si="54"/>
        <v>-474</v>
      </c>
      <c r="R165" s="1745">
        <f t="shared" si="54"/>
        <v>-474</v>
      </c>
      <c r="S165" s="1745">
        <f t="shared" si="54"/>
        <v>-474</v>
      </c>
      <c r="T165" s="1745">
        <f t="shared" si="54"/>
        <v>-474</v>
      </c>
      <c r="U165" s="1745">
        <f t="shared" si="54"/>
        <v>-474</v>
      </c>
      <c r="V165" s="1745">
        <f t="shared" si="54"/>
        <v>-474</v>
      </c>
      <c r="W165" s="1745">
        <f t="shared" si="54"/>
        <v>-474</v>
      </c>
      <c r="X165" s="1746">
        <f t="shared" si="54"/>
        <v>-8063</v>
      </c>
      <c r="Y165" s="123"/>
    </row>
    <row r="166" spans="1:26">
      <c r="A166" s="2374" t="s">
        <v>699</v>
      </c>
      <c r="B166" s="107" t="s">
        <v>167</v>
      </c>
      <c r="C166" s="1747">
        <f>+사회적유입!C156</f>
        <v>0</v>
      </c>
      <c r="D166" s="1748">
        <f>+사회적유입!D156</f>
        <v>0</v>
      </c>
      <c r="E166" s="1748">
        <f>+사회적유입!E156</f>
        <v>0</v>
      </c>
      <c r="F166" s="1748">
        <f>+사회적유입!F156</f>
        <v>0</v>
      </c>
      <c r="G166" s="1748">
        <f>+사회적유입!G156</f>
        <v>626</v>
      </c>
      <c r="H166" s="1748">
        <f>+사회적유입!H156</f>
        <v>626</v>
      </c>
      <c r="I166" s="1748">
        <f>+사회적유입!I156</f>
        <v>626</v>
      </c>
      <c r="J166" s="1748">
        <f>+사회적유입!J156</f>
        <v>626</v>
      </c>
      <c r="K166" s="1748">
        <f>+사회적유입!K156</f>
        <v>626</v>
      </c>
      <c r="L166" s="1748">
        <f>+사회적유입!L156</f>
        <v>626</v>
      </c>
      <c r="M166" s="1748">
        <f>+사회적유입!M156</f>
        <v>626</v>
      </c>
      <c r="N166" s="1748">
        <f>+사회적유입!N156</f>
        <v>1624</v>
      </c>
      <c r="O166" s="1748">
        <f>+사회적유입!O156</f>
        <v>1624</v>
      </c>
      <c r="P166" s="1748">
        <f>+사회적유입!P156</f>
        <v>1624</v>
      </c>
      <c r="Q166" s="1748">
        <f>+사회적유입!Q156</f>
        <v>1624</v>
      </c>
      <c r="R166" s="1748">
        <f>+사회적유입!R156</f>
        <v>1624</v>
      </c>
      <c r="S166" s="1748">
        <f>+사회적유입!S156</f>
        <v>1624</v>
      </c>
      <c r="T166" s="1748">
        <f>+사회적유입!T156</f>
        <v>1624</v>
      </c>
      <c r="U166" s="1748">
        <f>+사회적유입!U156</f>
        <v>1624</v>
      </c>
      <c r="V166" s="1748">
        <f>+사회적유입!V156</f>
        <v>1624</v>
      </c>
      <c r="W166" s="1748">
        <f>+사회적유입!W156</f>
        <v>1624</v>
      </c>
      <c r="X166" s="1749">
        <f>+사회적유입!X156</f>
        <v>1624</v>
      </c>
      <c r="Y166" s="120">
        <f>+S166</f>
        <v>1624</v>
      </c>
    </row>
    <row r="167" spans="1:26">
      <c r="A167" s="2375"/>
      <c r="B167" s="122" t="s">
        <v>179</v>
      </c>
      <c r="C167" s="1737">
        <f t="shared" ref="C167:X167" si="55">IFERROR(C166/$Y166,0)</f>
        <v>0</v>
      </c>
      <c r="D167" s="1738">
        <f t="shared" si="55"/>
        <v>0</v>
      </c>
      <c r="E167" s="1738">
        <f t="shared" si="55"/>
        <v>0</v>
      </c>
      <c r="F167" s="1738">
        <f t="shared" si="55"/>
        <v>0</v>
      </c>
      <c r="G167" s="1738">
        <f t="shared" si="55"/>
        <v>0.3854679802955665</v>
      </c>
      <c r="H167" s="1738">
        <f t="shared" si="55"/>
        <v>0.3854679802955665</v>
      </c>
      <c r="I167" s="1738">
        <f t="shared" si="55"/>
        <v>0.3854679802955665</v>
      </c>
      <c r="J167" s="1738">
        <f t="shared" si="55"/>
        <v>0.3854679802955665</v>
      </c>
      <c r="K167" s="1738">
        <f t="shared" si="55"/>
        <v>0.3854679802955665</v>
      </c>
      <c r="L167" s="1738">
        <f t="shared" si="55"/>
        <v>0.3854679802955665</v>
      </c>
      <c r="M167" s="1738">
        <f t="shared" si="55"/>
        <v>0.3854679802955665</v>
      </c>
      <c r="N167" s="1738">
        <f t="shared" si="55"/>
        <v>1</v>
      </c>
      <c r="O167" s="1738">
        <f t="shared" si="55"/>
        <v>1</v>
      </c>
      <c r="P167" s="1738">
        <f t="shared" si="55"/>
        <v>1</v>
      </c>
      <c r="Q167" s="1738">
        <f t="shared" si="55"/>
        <v>1</v>
      </c>
      <c r="R167" s="1738">
        <f t="shared" si="55"/>
        <v>1</v>
      </c>
      <c r="S167" s="1738">
        <f t="shared" si="55"/>
        <v>1</v>
      </c>
      <c r="T167" s="1738">
        <f t="shared" si="55"/>
        <v>1</v>
      </c>
      <c r="U167" s="1738">
        <f t="shared" si="55"/>
        <v>1</v>
      </c>
      <c r="V167" s="1738">
        <f t="shared" si="55"/>
        <v>1</v>
      </c>
      <c r="W167" s="1738">
        <f t="shared" si="55"/>
        <v>1</v>
      </c>
      <c r="X167" s="1739">
        <f t="shared" si="55"/>
        <v>1</v>
      </c>
      <c r="Y167" s="121"/>
    </row>
    <row r="168" spans="1:26">
      <c r="A168" s="2375"/>
      <c r="B168" s="1705" t="s">
        <v>2124</v>
      </c>
      <c r="C168" s="1740">
        <f>ROUND($B$107*C167,0)</f>
        <v>0</v>
      </c>
      <c r="D168" s="1741">
        <f t="shared" ref="D168:X168" si="56">ROUND($B$107*D167,0)</f>
        <v>0</v>
      </c>
      <c r="E168" s="1741">
        <f t="shared" si="56"/>
        <v>0</v>
      </c>
      <c r="F168" s="1741">
        <f t="shared" si="56"/>
        <v>0</v>
      </c>
      <c r="G168" s="1741">
        <f t="shared" si="56"/>
        <v>62</v>
      </c>
      <c r="H168" s="1741">
        <f t="shared" si="56"/>
        <v>62</v>
      </c>
      <c r="I168" s="1741">
        <f t="shared" si="56"/>
        <v>62</v>
      </c>
      <c r="J168" s="1741">
        <f t="shared" si="56"/>
        <v>62</v>
      </c>
      <c r="K168" s="1741">
        <f t="shared" si="56"/>
        <v>62</v>
      </c>
      <c r="L168" s="1741">
        <f t="shared" si="56"/>
        <v>62</v>
      </c>
      <c r="M168" s="1741">
        <f t="shared" si="56"/>
        <v>62</v>
      </c>
      <c r="N168" s="1741">
        <f t="shared" si="56"/>
        <v>162</v>
      </c>
      <c r="O168" s="1741">
        <f t="shared" si="56"/>
        <v>162</v>
      </c>
      <c r="P168" s="1741">
        <f t="shared" si="56"/>
        <v>162</v>
      </c>
      <c r="Q168" s="1741">
        <f t="shared" si="56"/>
        <v>162</v>
      </c>
      <c r="R168" s="1741">
        <f t="shared" si="56"/>
        <v>162</v>
      </c>
      <c r="S168" s="1741">
        <f t="shared" si="56"/>
        <v>162</v>
      </c>
      <c r="T168" s="1741">
        <f t="shared" si="56"/>
        <v>162</v>
      </c>
      <c r="U168" s="1741">
        <f t="shared" si="56"/>
        <v>162</v>
      </c>
      <c r="V168" s="1741">
        <f t="shared" si="56"/>
        <v>162</v>
      </c>
      <c r="W168" s="1741">
        <f t="shared" si="56"/>
        <v>162</v>
      </c>
      <c r="X168" s="1742">
        <f t="shared" si="56"/>
        <v>162</v>
      </c>
      <c r="Y168" s="1732"/>
    </row>
    <row r="169" spans="1:26">
      <c r="A169" s="2376"/>
      <c r="B169" s="127" t="s">
        <v>180</v>
      </c>
      <c r="C169" s="1744">
        <f>ROUND($K$107*C167,0)</f>
        <v>0</v>
      </c>
      <c r="D169" s="1745">
        <f>ROUND($L$107*D167,0)</f>
        <v>0</v>
      </c>
      <c r="E169" s="1745">
        <f>ROUND($L$107*E167,0)</f>
        <v>0</v>
      </c>
      <c r="F169" s="1745">
        <f t="shared" ref="F169:X169" si="57">ROUND($K$107*F167,0)</f>
        <v>0</v>
      </c>
      <c r="G169" s="1745">
        <f t="shared" si="57"/>
        <v>-402</v>
      </c>
      <c r="H169" s="1745">
        <f t="shared" si="57"/>
        <v>-402</v>
      </c>
      <c r="I169" s="1745">
        <f t="shared" si="57"/>
        <v>-402</v>
      </c>
      <c r="J169" s="1745">
        <f t="shared" si="57"/>
        <v>-402</v>
      </c>
      <c r="K169" s="1745">
        <f t="shared" si="57"/>
        <v>-402</v>
      </c>
      <c r="L169" s="1745">
        <f t="shared" si="57"/>
        <v>-402</v>
      </c>
      <c r="M169" s="1745">
        <f t="shared" si="57"/>
        <v>-402</v>
      </c>
      <c r="N169" s="1745">
        <f t="shared" si="57"/>
        <v>-1043</v>
      </c>
      <c r="O169" s="1745">
        <f t="shared" si="57"/>
        <v>-1043</v>
      </c>
      <c r="P169" s="1745">
        <f t="shared" si="57"/>
        <v>-1043</v>
      </c>
      <c r="Q169" s="1745">
        <f t="shared" si="57"/>
        <v>-1043</v>
      </c>
      <c r="R169" s="1745">
        <f t="shared" si="57"/>
        <v>-1043</v>
      </c>
      <c r="S169" s="1745">
        <f t="shared" si="57"/>
        <v>-1043</v>
      </c>
      <c r="T169" s="1745">
        <f t="shared" si="57"/>
        <v>-1043</v>
      </c>
      <c r="U169" s="1745">
        <f t="shared" si="57"/>
        <v>-1043</v>
      </c>
      <c r="V169" s="1745">
        <f t="shared" si="57"/>
        <v>-1043</v>
      </c>
      <c r="W169" s="1745">
        <f t="shared" si="57"/>
        <v>-1043</v>
      </c>
      <c r="X169" s="1746">
        <f t="shared" si="57"/>
        <v>-1043</v>
      </c>
      <c r="Y169" s="123"/>
    </row>
    <row r="170" spans="1:26">
      <c r="A170" s="1731" t="s">
        <v>170</v>
      </c>
      <c r="B170" s="131"/>
      <c r="C170" s="1743">
        <f t="shared" ref="C170:W170" si="58">+C137+C141+C145+C149+C153+C157+C169+C161+C165</f>
        <v>0</v>
      </c>
      <c r="D170" s="1743">
        <f t="shared" si="58"/>
        <v>0</v>
      </c>
      <c r="E170" s="1743">
        <f t="shared" si="58"/>
        <v>0</v>
      </c>
      <c r="F170" s="1743">
        <f t="shared" si="58"/>
        <v>-1439</v>
      </c>
      <c r="G170" s="1743">
        <f t="shared" si="58"/>
        <v>-2484</v>
      </c>
      <c r="H170" s="1743">
        <f t="shared" si="58"/>
        <v>-3599</v>
      </c>
      <c r="I170" s="1743">
        <f t="shared" si="58"/>
        <v>-6313</v>
      </c>
      <c r="J170" s="1743">
        <f t="shared" si="58"/>
        <v>-6313</v>
      </c>
      <c r="K170" s="1743">
        <f t="shared" si="58"/>
        <v>-6313</v>
      </c>
      <c r="L170" s="1743">
        <f t="shared" si="58"/>
        <v>-6313</v>
      </c>
      <c r="M170" s="1743">
        <f t="shared" si="58"/>
        <v>-6313</v>
      </c>
      <c r="N170" s="1743">
        <f t="shared" si="58"/>
        <v>-8379</v>
      </c>
      <c r="O170" s="1743">
        <f t="shared" si="58"/>
        <v>-8379</v>
      </c>
      <c r="P170" s="1743">
        <f t="shared" si="58"/>
        <v>-8379</v>
      </c>
      <c r="Q170" s="1743">
        <f t="shared" si="58"/>
        <v>-8379</v>
      </c>
      <c r="R170" s="1743">
        <f t="shared" si="58"/>
        <v>-8379</v>
      </c>
      <c r="S170" s="1743">
        <f t="shared" si="58"/>
        <v>-8379</v>
      </c>
      <c r="T170" s="1743">
        <f t="shared" si="58"/>
        <v>-8379</v>
      </c>
      <c r="U170" s="1743">
        <f t="shared" si="58"/>
        <v>-8379</v>
      </c>
      <c r="V170" s="1743">
        <f t="shared" si="58"/>
        <v>-8379</v>
      </c>
      <c r="W170" s="1743">
        <f t="shared" si="58"/>
        <v>-8379</v>
      </c>
      <c r="X170" s="1743">
        <f>+X137+X141+X145+X149+X153+X157+X169+X161+X165</f>
        <v>-22796</v>
      </c>
      <c r="Y170" s="97"/>
    </row>
    <row r="171" spans="1:26">
      <c r="A171" s="128"/>
      <c r="B171" s="114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8"/>
    </row>
    <row r="172" spans="1:26">
      <c r="A172" s="130" t="s">
        <v>181</v>
      </c>
      <c r="B172" s="114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8"/>
      <c r="Z172" s="135"/>
    </row>
    <row r="173" spans="1:26">
      <c r="A173" s="1731" t="s">
        <v>1132</v>
      </c>
      <c r="B173" s="131"/>
      <c r="C173" s="132">
        <f>AVERAGE(C135,C139,C151,C155,C159,C163,C167)</f>
        <v>0</v>
      </c>
      <c r="D173" s="132">
        <f>AVERAGE(D135,D139,D151,D155,D159,D163,D167)</f>
        <v>0</v>
      </c>
      <c r="E173" s="132">
        <f t="shared" ref="E173:X173" si="59">AVERAGE(E135,E139,E151,E155,E159,E163,E167)</f>
        <v>8.7337927812171465E-2</v>
      </c>
      <c r="F173" s="132">
        <f t="shared" si="59"/>
        <v>0.16515255905503259</v>
      </c>
      <c r="G173" s="132">
        <f t="shared" si="59"/>
        <v>0.27721336434854582</v>
      </c>
      <c r="H173" s="132">
        <f t="shared" si="59"/>
        <v>0.47835860083901455</v>
      </c>
      <c r="I173" s="132">
        <f t="shared" si="59"/>
        <v>0.72626275930435225</v>
      </c>
      <c r="J173" s="132">
        <f t="shared" si="59"/>
        <v>0.72626275930435225</v>
      </c>
      <c r="K173" s="132">
        <f t="shared" si="59"/>
        <v>0.72626275930435225</v>
      </c>
      <c r="L173" s="132">
        <f t="shared" si="59"/>
        <v>0.72626275930435225</v>
      </c>
      <c r="M173" s="132">
        <f t="shared" si="59"/>
        <v>0.72626275930435225</v>
      </c>
      <c r="N173" s="132">
        <f t="shared" si="59"/>
        <v>1</v>
      </c>
      <c r="O173" s="132">
        <f t="shared" si="59"/>
        <v>1</v>
      </c>
      <c r="P173" s="132">
        <f t="shared" si="59"/>
        <v>1</v>
      </c>
      <c r="Q173" s="132">
        <f t="shared" si="59"/>
        <v>1</v>
      </c>
      <c r="R173" s="132">
        <f t="shared" si="59"/>
        <v>1</v>
      </c>
      <c r="S173" s="132">
        <f t="shared" si="59"/>
        <v>1</v>
      </c>
      <c r="T173" s="132">
        <f t="shared" si="59"/>
        <v>1</v>
      </c>
      <c r="U173" s="132">
        <f t="shared" si="59"/>
        <v>1</v>
      </c>
      <c r="V173" s="132">
        <f t="shared" si="59"/>
        <v>1</v>
      </c>
      <c r="W173" s="132">
        <f t="shared" si="59"/>
        <v>1</v>
      </c>
      <c r="X173" s="132">
        <f t="shared" si="59"/>
        <v>4.0756145485867377</v>
      </c>
      <c r="Y173" s="132"/>
    </row>
    <row r="174" spans="1:26">
      <c r="A174" s="128"/>
      <c r="B174" s="114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R174" s="129"/>
      <c r="S174" s="129"/>
      <c r="T174" s="129"/>
      <c r="U174" s="129"/>
      <c r="V174" s="129"/>
      <c r="W174" s="129"/>
      <c r="X174" s="8"/>
    </row>
    <row r="175" spans="1:26">
      <c r="A175" s="599" t="s">
        <v>184</v>
      </c>
    </row>
    <row r="176" spans="1:26">
      <c r="A176" s="599" t="s">
        <v>177</v>
      </c>
      <c r="N176" s="129"/>
      <c r="O176" s="129"/>
      <c r="P176" s="129"/>
      <c r="Q176" s="129"/>
    </row>
  </sheetData>
  <mergeCells count="55">
    <mergeCell ref="N17:P17"/>
    <mergeCell ref="N18:N24"/>
    <mergeCell ref="O18:P18"/>
    <mergeCell ref="O19:P19"/>
    <mergeCell ref="O20:P20"/>
    <mergeCell ref="O21:O22"/>
    <mergeCell ref="O23:P23"/>
    <mergeCell ref="O24:P24"/>
    <mergeCell ref="N25:N31"/>
    <mergeCell ref="O25:P25"/>
    <mergeCell ref="O26:P26"/>
    <mergeCell ref="O27:P27"/>
    <mergeCell ref="O28:O29"/>
    <mergeCell ref="O30:P30"/>
    <mergeCell ref="O31:P31"/>
    <mergeCell ref="N32:N38"/>
    <mergeCell ref="O32:P32"/>
    <mergeCell ref="O33:P33"/>
    <mergeCell ref="O34:P34"/>
    <mergeCell ref="O35:O36"/>
    <mergeCell ref="O37:P37"/>
    <mergeCell ref="O38:P38"/>
    <mergeCell ref="N39:N45"/>
    <mergeCell ref="O39:P39"/>
    <mergeCell ref="O40:P40"/>
    <mergeCell ref="O41:P41"/>
    <mergeCell ref="O42:O43"/>
    <mergeCell ref="O44:P44"/>
    <mergeCell ref="O45:P45"/>
    <mergeCell ref="N46:N52"/>
    <mergeCell ref="O46:P46"/>
    <mergeCell ref="O47:P47"/>
    <mergeCell ref="O48:P48"/>
    <mergeCell ref="O49:O50"/>
    <mergeCell ref="O51:P51"/>
    <mergeCell ref="O52:P52"/>
    <mergeCell ref="N53:N59"/>
    <mergeCell ref="O53:P53"/>
    <mergeCell ref="O54:P54"/>
    <mergeCell ref="O55:P55"/>
    <mergeCell ref="O56:O57"/>
    <mergeCell ref="O58:P58"/>
    <mergeCell ref="O59:P59"/>
    <mergeCell ref="A166:A169"/>
    <mergeCell ref="N60:P60"/>
    <mergeCell ref="L85:L86"/>
    <mergeCell ref="A133:B133"/>
    <mergeCell ref="A134:A137"/>
    <mergeCell ref="A138:A141"/>
    <mergeCell ref="A142:A145"/>
    <mergeCell ref="A146:A149"/>
    <mergeCell ref="A150:A153"/>
    <mergeCell ref="A154:A157"/>
    <mergeCell ref="A158:A161"/>
    <mergeCell ref="A162:A165"/>
  </mergeCells>
  <phoneticPr fontId="3" type="noConversion"/>
  <pageMargins left="0.70866141732283472" right="0.70866141732283472" top="0.74803149606299213" bottom="0.74803149606299213" header="0.31496062992125984" footer="0.31496062992125984"/>
  <pageSetup paperSize="9" scale="67" orientation="portrait" r:id="rId1"/>
  <rowBreaks count="1" manualBreakCount="1">
    <brk id="57" max="1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A90"/>
  <sheetViews>
    <sheetView view="pageBreakPreview" topLeftCell="A16" zoomScaleNormal="100" zoomScaleSheetLayoutView="100" workbookViewId="0">
      <pane xSplit="2" topLeftCell="C1" activePane="topRight" state="frozen"/>
      <selection activeCell="M3" sqref="M3"/>
      <selection pane="topRight" activeCell="T38" sqref="T18:T38"/>
    </sheetView>
  </sheetViews>
  <sheetFormatPr defaultRowHeight="27.95" customHeight="1" outlineLevelCol="1"/>
  <cols>
    <col min="1" max="1" width="4.25" style="1257" customWidth="1"/>
    <col min="2" max="2" width="12.75" style="1257" customWidth="1"/>
    <col min="3" max="3" width="23.125" style="1257" customWidth="1"/>
    <col min="4" max="6" width="7.625" style="1257" customWidth="1"/>
    <col min="7" max="7" width="10" style="1257" customWidth="1"/>
    <col min="8" max="8" width="7.625" style="1257" customWidth="1"/>
    <col min="9" max="9" width="13.375" style="1257" customWidth="1"/>
    <col min="10" max="10" width="15.5" style="1257" hidden="1" customWidth="1" outlineLevel="1"/>
    <col min="11" max="11" width="10.125" style="1257" hidden="1" customWidth="1" outlineLevel="1"/>
    <col min="12" max="12" width="11" style="1257" hidden="1" customWidth="1" outlineLevel="1" collapsed="1"/>
    <col min="13" max="13" width="11" style="1257" customWidth="1" collapsed="1"/>
    <col min="14" max="15" width="7.625" style="1257" customWidth="1"/>
    <col min="16" max="16" width="8.5" style="1257" customWidth="1"/>
    <col min="17" max="20" width="7.625" style="1257" customWidth="1"/>
    <col min="21" max="23" width="8.625" style="1257" customWidth="1"/>
    <col min="24" max="25" width="9.75" style="1257" hidden="1" customWidth="1" outlineLevel="1"/>
    <col min="26" max="26" width="10.75" style="1257" hidden="1" customWidth="1" outlineLevel="1"/>
    <col min="27" max="27" width="12.25" style="1257" hidden="1" customWidth="1" outlineLevel="1"/>
    <col min="28" max="28" width="17.125" style="1257" customWidth="1" collapsed="1"/>
    <col min="29" max="29" width="17.125" style="1257" customWidth="1"/>
    <col min="30" max="30" width="15.625" style="1431" customWidth="1"/>
    <col min="31" max="31" width="16.375" style="1431" customWidth="1"/>
    <col min="32" max="32" width="21.5" style="1463" bestFit="1" customWidth="1"/>
    <col min="33" max="33" width="13.5" style="1463" bestFit="1" customWidth="1"/>
    <col min="34" max="38" width="11" style="1463" customWidth="1"/>
    <col min="39" max="39" width="10" style="1434" customWidth="1"/>
    <col min="40" max="43" width="10" style="1434" hidden="1" customWidth="1"/>
    <col min="44" max="44" width="10" style="1434" customWidth="1"/>
    <col min="45" max="48" width="10" style="1434" hidden="1" customWidth="1"/>
    <col min="49" max="49" width="10" style="1434" customWidth="1"/>
    <col min="50" max="53" width="10" style="1434" hidden="1" customWidth="1"/>
    <col min="54" max="54" width="10" style="1434" customWidth="1"/>
    <col min="55" max="16384" width="9" style="1434"/>
  </cols>
  <sheetData>
    <row r="1" spans="1:39" ht="30" customHeight="1">
      <c r="A1" s="1429" t="s">
        <v>1504</v>
      </c>
      <c r="B1" s="1253"/>
      <c r="C1" s="1267"/>
      <c r="D1" s="1267"/>
      <c r="E1" s="1267"/>
      <c r="F1" s="1267"/>
      <c r="G1" s="1267"/>
      <c r="H1" s="1267"/>
      <c r="I1" s="1267"/>
      <c r="J1" s="1430"/>
      <c r="K1" s="1430"/>
      <c r="L1" s="1430"/>
      <c r="M1" s="1430"/>
      <c r="N1" s="1430"/>
      <c r="O1" s="1430"/>
      <c r="P1" s="1430"/>
      <c r="Q1" s="1430"/>
      <c r="R1" s="1430"/>
      <c r="S1" s="1430"/>
      <c r="T1" s="1430"/>
      <c r="U1" s="1430"/>
      <c r="V1" s="1430"/>
      <c r="W1" s="1430"/>
      <c r="X1" s="1430"/>
      <c r="Y1" s="1430"/>
      <c r="Z1" s="1430"/>
      <c r="AA1" s="1430"/>
      <c r="AB1" s="1430"/>
      <c r="AC1" s="1430"/>
      <c r="AE1" s="1432"/>
      <c r="AF1" s="1433"/>
      <c r="AG1" s="1433"/>
      <c r="AH1" s="1433"/>
      <c r="AI1" s="1433"/>
      <c r="AJ1" s="1433"/>
      <c r="AK1" s="1433"/>
      <c r="AL1" s="1433"/>
    </row>
    <row r="2" spans="1:39" ht="30" customHeight="1">
      <c r="A2" s="1259" t="s">
        <v>42</v>
      </c>
      <c r="B2" s="1435"/>
      <c r="C2" s="1267"/>
      <c r="D2" s="1267"/>
      <c r="E2" s="1267"/>
      <c r="F2" s="1267"/>
      <c r="G2" s="1267"/>
      <c r="H2" s="1267"/>
      <c r="I2" s="1267"/>
      <c r="J2" s="1430"/>
      <c r="K2" s="1430"/>
      <c r="L2" s="1430"/>
      <c r="M2" s="1436"/>
      <c r="N2" s="1436"/>
      <c r="O2" s="1436"/>
      <c r="P2" s="1436"/>
      <c r="Q2" s="1436"/>
      <c r="R2" s="1436"/>
      <c r="S2" s="1436"/>
      <c r="T2" s="1436"/>
      <c r="U2" s="1436"/>
      <c r="V2" s="1436"/>
      <c r="W2" s="1436"/>
      <c r="X2" s="1430"/>
      <c r="Y2" s="1430"/>
      <c r="Z2" s="1430"/>
      <c r="AA2" s="1430"/>
      <c r="AB2" s="1430"/>
      <c r="AC2" s="1430"/>
      <c r="AD2" s="1437"/>
      <c r="AE2" s="1432"/>
      <c r="AF2" s="1433"/>
      <c r="AG2" s="1433"/>
      <c r="AH2" s="1433"/>
      <c r="AI2" s="1433"/>
      <c r="AJ2" s="1433"/>
      <c r="AK2" s="1433"/>
      <c r="AL2" s="1433"/>
    </row>
    <row r="3" spans="1:39" ht="30" customHeight="1">
      <c r="A3" s="2238" t="s">
        <v>81</v>
      </c>
      <c r="B3" s="2238"/>
      <c r="C3" s="2239"/>
      <c r="D3" s="2239"/>
      <c r="E3" s="2239"/>
      <c r="F3" s="2239"/>
      <c r="G3" s="2239"/>
      <c r="H3" s="2239"/>
      <c r="I3" s="2239"/>
      <c r="J3" s="2240"/>
      <c r="K3" s="2240"/>
      <c r="L3" s="2241"/>
      <c r="M3" s="2242"/>
      <c r="N3" s="2242"/>
      <c r="O3" s="2242"/>
      <c r="P3" s="2242"/>
      <c r="Q3" s="2242"/>
      <c r="R3" s="2242"/>
      <c r="S3" s="2242"/>
      <c r="T3" s="2242"/>
      <c r="U3" s="2242"/>
      <c r="V3" s="2242"/>
      <c r="W3" s="2242"/>
      <c r="X3" s="2043"/>
      <c r="Y3" s="2044"/>
      <c r="Z3" s="2469"/>
      <c r="AA3" s="2469"/>
      <c r="AB3" s="1438"/>
      <c r="AC3" s="1438"/>
      <c r="AD3" s="1441"/>
      <c r="AE3" s="1432"/>
      <c r="AF3" s="1433"/>
      <c r="AG3" s="1433"/>
      <c r="AH3" s="1433"/>
      <c r="AI3" s="1433"/>
      <c r="AJ3" s="1433"/>
      <c r="AK3" s="1433"/>
      <c r="AL3" s="1433"/>
    </row>
    <row r="4" spans="1:39" ht="30" customHeight="1">
      <c r="A4" s="2470" t="s">
        <v>43</v>
      </c>
      <c r="B4" s="2471"/>
      <c r="C4" s="2474" t="s">
        <v>44</v>
      </c>
      <c r="D4" s="2413" t="s">
        <v>2126</v>
      </c>
      <c r="E4" s="2413" t="s">
        <v>2127</v>
      </c>
      <c r="F4" s="2413" t="s">
        <v>2128</v>
      </c>
      <c r="G4" s="2413" t="s">
        <v>2140</v>
      </c>
      <c r="H4" s="2413" t="s">
        <v>2129</v>
      </c>
      <c r="I4" s="2413"/>
      <c r="J4" s="2474" t="s">
        <v>45</v>
      </c>
      <c r="K4" s="2413" t="s">
        <v>46</v>
      </c>
      <c r="L4" s="2413" t="s">
        <v>47</v>
      </c>
      <c r="M4" s="2413" t="s">
        <v>2131</v>
      </c>
      <c r="N4" s="2413" t="s">
        <v>2132</v>
      </c>
      <c r="O4" s="2413" t="s">
        <v>2133</v>
      </c>
      <c r="P4" s="2413" t="s">
        <v>2134</v>
      </c>
      <c r="Q4" s="2413" t="s">
        <v>2135</v>
      </c>
      <c r="R4" s="2413"/>
      <c r="S4" s="2413"/>
      <c r="T4" s="2413"/>
      <c r="U4" s="2413" t="s">
        <v>2136</v>
      </c>
      <c r="V4" s="2413"/>
      <c r="W4" s="2413"/>
      <c r="X4" s="2413" t="s">
        <v>83</v>
      </c>
      <c r="Y4" s="2446"/>
      <c r="Z4" s="2436" t="s">
        <v>1342</v>
      </c>
      <c r="AA4" s="2413"/>
      <c r="AB4" s="2446" t="s">
        <v>49</v>
      </c>
      <c r="AC4" s="1272"/>
      <c r="AD4" s="1442"/>
      <c r="AE4" s="1433"/>
      <c r="AF4" s="1433"/>
      <c r="AG4" s="1433"/>
      <c r="AH4" s="1433"/>
      <c r="AI4" s="1434"/>
      <c r="AJ4" s="1434"/>
      <c r="AK4" s="1434"/>
      <c r="AL4" s="1434"/>
    </row>
    <row r="5" spans="1:39" ht="30" customHeight="1">
      <c r="A5" s="2472"/>
      <c r="B5" s="2473"/>
      <c r="C5" s="2475"/>
      <c r="D5" s="2414"/>
      <c r="E5" s="2414"/>
      <c r="F5" s="2414"/>
      <c r="G5" s="2414"/>
      <c r="H5" s="1955" t="s">
        <v>2130</v>
      </c>
      <c r="I5" s="1955" t="s">
        <v>61</v>
      </c>
      <c r="J5" s="2475"/>
      <c r="K5" s="2475"/>
      <c r="L5" s="2414"/>
      <c r="M5" s="2414"/>
      <c r="N5" s="2414"/>
      <c r="O5" s="2414"/>
      <c r="P5" s="2414"/>
      <c r="Q5" s="1955">
        <v>2020</v>
      </c>
      <c r="R5" s="1955">
        <v>2025</v>
      </c>
      <c r="S5" s="1955">
        <v>2030</v>
      </c>
      <c r="T5" s="1955">
        <v>2035</v>
      </c>
      <c r="U5" s="1955" t="s">
        <v>2137</v>
      </c>
      <c r="V5" s="1955" t="s">
        <v>2138</v>
      </c>
      <c r="W5" s="1955" t="s">
        <v>2139</v>
      </c>
      <c r="X5" s="1955" t="s">
        <v>50</v>
      </c>
      <c r="Y5" s="1956" t="s">
        <v>51</v>
      </c>
      <c r="Z5" s="1983" t="s">
        <v>50</v>
      </c>
      <c r="AA5" s="1464" t="s">
        <v>51</v>
      </c>
      <c r="AB5" s="2447"/>
      <c r="AC5" s="1272"/>
      <c r="AD5" s="1442"/>
      <c r="AE5" s="1433"/>
      <c r="AF5" s="1433"/>
      <c r="AG5" s="1433"/>
      <c r="AH5" s="1433"/>
      <c r="AI5" s="1434"/>
      <c r="AJ5" s="1434"/>
      <c r="AK5" s="1434"/>
      <c r="AL5" s="1434"/>
    </row>
    <row r="6" spans="1:39" ht="32.1" customHeight="1">
      <c r="A6" s="2448" t="s">
        <v>1136</v>
      </c>
      <c r="B6" s="2449"/>
      <c r="C6" s="1778" t="s">
        <v>1269</v>
      </c>
      <c r="D6" s="1778"/>
      <c r="E6" s="1780" t="s">
        <v>2174</v>
      </c>
      <c r="F6" s="1780" t="s">
        <v>2174</v>
      </c>
      <c r="G6" s="1778" t="s">
        <v>2177</v>
      </c>
      <c r="H6" s="1778" t="s">
        <v>2141</v>
      </c>
      <c r="I6" s="1768">
        <v>176700</v>
      </c>
      <c r="J6" s="1768"/>
      <c r="K6" s="1769">
        <v>2020</v>
      </c>
      <c r="L6" s="1768">
        <v>0</v>
      </c>
      <c r="M6" s="1768">
        <v>4780</v>
      </c>
      <c r="N6" s="1770" t="s">
        <v>2147</v>
      </c>
      <c r="O6" s="1770">
        <v>70</v>
      </c>
      <c r="P6" s="1770">
        <v>3346</v>
      </c>
      <c r="Q6" s="1808">
        <f>사회적유입!AH99</f>
        <v>3346</v>
      </c>
      <c r="R6" s="1808">
        <f>Q6</f>
        <v>3346</v>
      </c>
      <c r="S6" s="1808">
        <f>R6</f>
        <v>3346</v>
      </c>
      <c r="T6" s="1808">
        <f>S6</f>
        <v>3346</v>
      </c>
      <c r="U6" s="1770" t="s">
        <v>2148</v>
      </c>
      <c r="V6" s="1770" t="s">
        <v>2149</v>
      </c>
      <c r="W6" s="1770" t="s">
        <v>2212</v>
      </c>
      <c r="X6" s="1770">
        <v>0</v>
      </c>
      <c r="Y6" s="2045">
        <v>0</v>
      </c>
      <c r="Z6" s="1984">
        <f>+L6-X6</f>
        <v>0</v>
      </c>
      <c r="AA6" s="1770">
        <f>+M6-Y6</f>
        <v>4780</v>
      </c>
      <c r="AB6" s="1779" t="s">
        <v>82</v>
      </c>
      <c r="AC6" s="1448" t="s">
        <v>1103</v>
      </c>
      <c r="AD6" s="1442">
        <v>3</v>
      </c>
      <c r="AE6" s="1433"/>
      <c r="AF6" s="1433"/>
      <c r="AG6" s="1433"/>
      <c r="AH6" s="1433"/>
      <c r="AI6" s="1434"/>
      <c r="AJ6" s="1434"/>
      <c r="AK6" s="1434"/>
      <c r="AL6" s="1434"/>
    </row>
    <row r="7" spans="1:39" ht="32.1" customHeight="1">
      <c r="A7" s="2450" t="s">
        <v>1135</v>
      </c>
      <c r="B7" s="2451"/>
      <c r="C7" s="1780" t="s">
        <v>759</v>
      </c>
      <c r="D7" s="1780" t="s">
        <v>2152</v>
      </c>
      <c r="E7" s="1780" t="s">
        <v>2173</v>
      </c>
      <c r="F7" s="1780" t="s">
        <v>2174</v>
      </c>
      <c r="G7" s="1780"/>
      <c r="H7" s="1780" t="s">
        <v>2142</v>
      </c>
      <c r="I7" s="1771">
        <v>3400000</v>
      </c>
      <c r="J7" s="1772"/>
      <c r="K7" s="1773">
        <v>2020</v>
      </c>
      <c r="L7" s="1771">
        <v>0</v>
      </c>
      <c r="M7" s="1774">
        <v>10000</v>
      </c>
      <c r="N7" s="1774" t="s">
        <v>2147</v>
      </c>
      <c r="O7" s="1774">
        <v>100</v>
      </c>
      <c r="P7" s="1774">
        <v>12230</v>
      </c>
      <c r="Q7" s="1809">
        <f>사회적유입!AD86</f>
        <v>7477</v>
      </c>
      <c r="R7" s="1809">
        <f>P7</f>
        <v>12230</v>
      </c>
      <c r="S7" s="1809">
        <f>R7</f>
        <v>12230</v>
      </c>
      <c r="T7" s="1809">
        <f>S7</f>
        <v>12230</v>
      </c>
      <c r="U7" s="1774" t="s">
        <v>2148</v>
      </c>
      <c r="V7" s="1774" t="s">
        <v>2150</v>
      </c>
      <c r="W7" s="1774" t="s">
        <v>2147</v>
      </c>
      <c r="X7" s="1774">
        <v>0</v>
      </c>
      <c r="Y7" s="2046">
        <v>0</v>
      </c>
      <c r="Z7" s="1985">
        <f>+L7-X7</f>
        <v>0</v>
      </c>
      <c r="AA7" s="1774">
        <f>+M7-Y7</f>
        <v>10000</v>
      </c>
      <c r="AB7" s="1781" t="s">
        <v>137</v>
      </c>
      <c r="AC7" s="1448" t="s">
        <v>1099</v>
      </c>
      <c r="AD7" s="1453"/>
      <c r="AE7" s="1433"/>
      <c r="AF7" s="1433"/>
      <c r="AG7" s="1433"/>
      <c r="AH7" s="1433"/>
      <c r="AI7" s="1434"/>
      <c r="AJ7" s="1434"/>
      <c r="AK7" s="1434"/>
      <c r="AL7" s="1434"/>
    </row>
    <row r="8" spans="1:39" ht="32.1" customHeight="1">
      <c r="A8" s="2467" t="s">
        <v>1389</v>
      </c>
      <c r="B8" s="2468"/>
      <c r="C8" s="1782" t="s">
        <v>1396</v>
      </c>
      <c r="D8" s="1782"/>
      <c r="E8" s="1780" t="s">
        <v>2174</v>
      </c>
      <c r="F8" s="1780" t="s">
        <v>2174</v>
      </c>
      <c r="G8" s="1782"/>
      <c r="H8" s="1782" t="s">
        <v>2143</v>
      </c>
      <c r="I8" s="1775">
        <v>100000</v>
      </c>
      <c r="J8" s="1775"/>
      <c r="K8" s="1776">
        <v>2035</v>
      </c>
      <c r="L8" s="1775">
        <v>0</v>
      </c>
      <c r="M8" s="1775">
        <v>2220</v>
      </c>
      <c r="N8" s="1777" t="s">
        <v>2147</v>
      </c>
      <c r="O8" s="1777">
        <v>70</v>
      </c>
      <c r="P8" s="1777">
        <v>1554</v>
      </c>
      <c r="Q8" s="1810">
        <f>사회적유입!AH38</f>
        <v>0</v>
      </c>
      <c r="R8" s="1810">
        <f t="shared" ref="R8:S12" si="0">Q8</f>
        <v>0</v>
      </c>
      <c r="S8" s="1810">
        <f t="shared" si="0"/>
        <v>0</v>
      </c>
      <c r="T8" s="1810">
        <f>P8</f>
        <v>1554</v>
      </c>
      <c r="U8" s="1777" t="s">
        <v>2148</v>
      </c>
      <c r="V8" s="1777" t="s">
        <v>2149</v>
      </c>
      <c r="W8" s="1777" t="s">
        <v>2151</v>
      </c>
      <c r="X8" s="1777">
        <v>0</v>
      </c>
      <c r="Y8" s="2047">
        <v>0</v>
      </c>
      <c r="Z8" s="1986">
        <f t="shared" ref="Z8" si="1">+L8-X8</f>
        <v>0</v>
      </c>
      <c r="AA8" s="1777">
        <f t="shared" ref="AA8" si="2">+M8-Y8</f>
        <v>2220</v>
      </c>
      <c r="AB8" s="1783" t="s">
        <v>1387</v>
      </c>
      <c r="AC8" s="1448" t="s">
        <v>2213</v>
      </c>
      <c r="AD8" s="1453"/>
      <c r="AE8" s="1433"/>
      <c r="AF8" s="1433"/>
      <c r="AG8" s="1433"/>
      <c r="AH8" s="1433"/>
      <c r="AI8" s="1434"/>
      <c r="AJ8" s="1434"/>
      <c r="AK8" s="1434"/>
      <c r="AL8" s="1434"/>
    </row>
    <row r="9" spans="1:39" ht="32.1" customHeight="1">
      <c r="A9" s="2467" t="s">
        <v>1450</v>
      </c>
      <c r="B9" s="2468"/>
      <c r="C9" s="1782" t="s">
        <v>1397</v>
      </c>
      <c r="D9" s="1782"/>
      <c r="E9" s="1780" t="s">
        <v>2174</v>
      </c>
      <c r="F9" s="1780" t="s">
        <v>2174</v>
      </c>
      <c r="G9" s="1782"/>
      <c r="H9" s="1782" t="s">
        <v>2141</v>
      </c>
      <c r="I9" s="1775">
        <v>240000</v>
      </c>
      <c r="J9" s="1775"/>
      <c r="K9" s="1776">
        <v>2035</v>
      </c>
      <c r="L9" s="1775">
        <v>0</v>
      </c>
      <c r="M9" s="1775">
        <v>7670</v>
      </c>
      <c r="N9" s="1777" t="s">
        <v>2147</v>
      </c>
      <c r="O9" s="1777">
        <v>70</v>
      </c>
      <c r="P9" s="1777">
        <v>5369</v>
      </c>
      <c r="Q9" s="1810">
        <v>0</v>
      </c>
      <c r="R9" s="1810">
        <f t="shared" si="0"/>
        <v>0</v>
      </c>
      <c r="S9" s="1810">
        <f t="shared" si="0"/>
        <v>0</v>
      </c>
      <c r="T9" s="1810">
        <f t="shared" ref="T9:T12" si="3">P9</f>
        <v>5369</v>
      </c>
      <c r="U9" s="1777" t="s">
        <v>2148</v>
      </c>
      <c r="V9" s="1777" t="s">
        <v>2149</v>
      </c>
      <c r="W9" s="1777" t="s">
        <v>2214</v>
      </c>
      <c r="X9" s="1777">
        <v>0</v>
      </c>
      <c r="Y9" s="2047">
        <v>0</v>
      </c>
      <c r="Z9" s="1986">
        <f t="shared" ref="Z9:Z12" si="4">+L9-X9</f>
        <v>0</v>
      </c>
      <c r="AA9" s="1777">
        <f t="shared" ref="AA9:AA12" si="5">+M9-Y9</f>
        <v>7670</v>
      </c>
      <c r="AB9" s="1783" t="s">
        <v>1387</v>
      </c>
      <c r="AC9" s="1448"/>
      <c r="AD9" s="1453"/>
      <c r="AE9" s="1433"/>
      <c r="AF9" s="1433"/>
      <c r="AG9" s="1433"/>
      <c r="AH9" s="1433"/>
      <c r="AI9" s="1434"/>
      <c r="AJ9" s="1434"/>
      <c r="AK9" s="1434"/>
      <c r="AL9" s="1434"/>
    </row>
    <row r="10" spans="1:39" ht="32.1" customHeight="1">
      <c r="A10" s="2467" t="s">
        <v>1391</v>
      </c>
      <c r="B10" s="2468"/>
      <c r="C10" s="1782" t="s">
        <v>1398</v>
      </c>
      <c r="D10" s="1782"/>
      <c r="E10" s="1780" t="s">
        <v>2174</v>
      </c>
      <c r="F10" s="1780" t="s">
        <v>2174</v>
      </c>
      <c r="G10" s="1782"/>
      <c r="H10" s="1782" t="s">
        <v>2144</v>
      </c>
      <c r="I10" s="1775">
        <v>150000</v>
      </c>
      <c r="J10" s="1775"/>
      <c r="K10" s="1776">
        <v>2035</v>
      </c>
      <c r="L10" s="1775">
        <v>0</v>
      </c>
      <c r="M10" s="1775">
        <v>3330</v>
      </c>
      <c r="N10" s="1777" t="s">
        <v>2147</v>
      </c>
      <c r="O10" s="1777">
        <v>70</v>
      </c>
      <c r="P10" s="1777">
        <v>2331</v>
      </c>
      <c r="Q10" s="1810">
        <v>0</v>
      </c>
      <c r="R10" s="1810">
        <f t="shared" si="0"/>
        <v>0</v>
      </c>
      <c r="S10" s="1810">
        <f t="shared" si="0"/>
        <v>0</v>
      </c>
      <c r="T10" s="1810">
        <f t="shared" si="3"/>
        <v>2331</v>
      </c>
      <c r="U10" s="1777" t="s">
        <v>2148</v>
      </c>
      <c r="V10" s="1777" t="s">
        <v>2149</v>
      </c>
      <c r="W10" s="1777" t="s">
        <v>2151</v>
      </c>
      <c r="X10" s="1777">
        <v>0</v>
      </c>
      <c r="Y10" s="2047">
        <v>0</v>
      </c>
      <c r="Z10" s="1986">
        <f t="shared" si="4"/>
        <v>0</v>
      </c>
      <c r="AA10" s="1777">
        <f t="shared" si="5"/>
        <v>3330</v>
      </c>
      <c r="AB10" s="1783" t="s">
        <v>1387</v>
      </c>
      <c r="AC10" s="1448" t="s">
        <v>2213</v>
      </c>
      <c r="AD10" s="1453"/>
      <c r="AE10" s="1433"/>
      <c r="AF10" s="1433"/>
      <c r="AG10" s="1433"/>
      <c r="AH10" s="1433"/>
      <c r="AI10" s="1434"/>
      <c r="AJ10" s="1434"/>
      <c r="AK10" s="1434"/>
      <c r="AL10" s="1434"/>
    </row>
    <row r="11" spans="1:39" ht="32.1" customHeight="1">
      <c r="A11" s="2467" t="s">
        <v>1393</v>
      </c>
      <c r="B11" s="2468"/>
      <c r="C11" s="1782" t="s">
        <v>1399</v>
      </c>
      <c r="D11" s="1782"/>
      <c r="E11" s="1780" t="s">
        <v>2174</v>
      </c>
      <c r="F11" s="1780" t="s">
        <v>2174</v>
      </c>
      <c r="G11" s="1782"/>
      <c r="H11" s="1782" t="s">
        <v>2145</v>
      </c>
      <c r="I11" s="1775">
        <v>200000</v>
      </c>
      <c r="J11" s="1775"/>
      <c r="K11" s="1776">
        <v>2035</v>
      </c>
      <c r="L11" s="1775">
        <v>0</v>
      </c>
      <c r="M11" s="1775">
        <v>4440</v>
      </c>
      <c r="N11" s="1777" t="s">
        <v>2147</v>
      </c>
      <c r="O11" s="1777">
        <v>70</v>
      </c>
      <c r="P11" s="1777">
        <v>3108</v>
      </c>
      <c r="Q11" s="1810">
        <v>0</v>
      </c>
      <c r="R11" s="1810">
        <f t="shared" si="0"/>
        <v>0</v>
      </c>
      <c r="S11" s="1810">
        <f t="shared" si="0"/>
        <v>0</v>
      </c>
      <c r="T11" s="1810">
        <f t="shared" si="3"/>
        <v>3108</v>
      </c>
      <c r="U11" s="1777" t="s">
        <v>2148</v>
      </c>
      <c r="V11" s="1777" t="s">
        <v>2149</v>
      </c>
      <c r="W11" s="1777" t="s">
        <v>2151</v>
      </c>
      <c r="X11" s="1777">
        <v>0</v>
      </c>
      <c r="Y11" s="2047">
        <v>0</v>
      </c>
      <c r="Z11" s="1986">
        <f t="shared" si="4"/>
        <v>0</v>
      </c>
      <c r="AA11" s="1777">
        <f t="shared" si="5"/>
        <v>4440</v>
      </c>
      <c r="AB11" s="1783" t="s">
        <v>1387</v>
      </c>
      <c r="AC11" s="1448" t="s">
        <v>2213</v>
      </c>
      <c r="AD11" s="1453"/>
      <c r="AE11" s="1433"/>
      <c r="AF11" s="1433"/>
      <c r="AG11" s="1433"/>
      <c r="AH11" s="1433"/>
      <c r="AI11" s="1434"/>
      <c r="AJ11" s="1434"/>
      <c r="AK11" s="1434"/>
      <c r="AL11" s="1434"/>
    </row>
    <row r="12" spans="1:39" ht="32.1" customHeight="1">
      <c r="A12" s="2467" t="s">
        <v>1395</v>
      </c>
      <c r="B12" s="2468"/>
      <c r="C12" s="1782" t="s">
        <v>1400</v>
      </c>
      <c r="D12" s="1782"/>
      <c r="E12" s="1780" t="s">
        <v>2174</v>
      </c>
      <c r="F12" s="1780" t="s">
        <v>2174</v>
      </c>
      <c r="G12" s="1782"/>
      <c r="H12" s="1782" t="s">
        <v>2146</v>
      </c>
      <c r="I12" s="1775">
        <v>150000</v>
      </c>
      <c r="J12" s="1775"/>
      <c r="K12" s="1776">
        <v>2035</v>
      </c>
      <c r="L12" s="1775">
        <v>0</v>
      </c>
      <c r="M12" s="1775">
        <v>3330</v>
      </c>
      <c r="N12" s="1777" t="s">
        <v>2147</v>
      </c>
      <c r="O12" s="1777">
        <v>70</v>
      </c>
      <c r="P12" s="1777">
        <v>2331</v>
      </c>
      <c r="Q12" s="1810">
        <v>0</v>
      </c>
      <c r="R12" s="1810">
        <f t="shared" si="0"/>
        <v>0</v>
      </c>
      <c r="S12" s="1810">
        <f t="shared" si="0"/>
        <v>0</v>
      </c>
      <c r="T12" s="1810">
        <f t="shared" si="3"/>
        <v>2331</v>
      </c>
      <c r="U12" s="1777" t="s">
        <v>2148</v>
      </c>
      <c r="V12" s="1777" t="s">
        <v>2149</v>
      </c>
      <c r="W12" s="1777" t="s">
        <v>2151</v>
      </c>
      <c r="X12" s="1777">
        <v>0</v>
      </c>
      <c r="Y12" s="2047">
        <v>0</v>
      </c>
      <c r="Z12" s="1986">
        <f t="shared" si="4"/>
        <v>0</v>
      </c>
      <c r="AA12" s="1777">
        <f t="shared" si="5"/>
        <v>3330</v>
      </c>
      <c r="AB12" s="1783" t="s">
        <v>1387</v>
      </c>
      <c r="AC12" s="1448" t="s">
        <v>2213</v>
      </c>
      <c r="AD12" s="1453"/>
      <c r="AE12" s="1433"/>
      <c r="AF12" s="1433"/>
      <c r="AG12" s="1433"/>
      <c r="AH12" s="1433"/>
      <c r="AI12" s="1434"/>
      <c r="AJ12" s="1434"/>
      <c r="AK12" s="1434"/>
      <c r="AL12" s="1434"/>
    </row>
    <row r="13" spans="1:39" ht="32.1" customHeight="1">
      <c r="A13" s="2465" t="s">
        <v>52</v>
      </c>
      <c r="B13" s="2466"/>
      <c r="C13" s="1795">
        <f>COUNTA(A6:B12)</f>
        <v>7</v>
      </c>
      <c r="D13" s="1795"/>
      <c r="E13" s="1795"/>
      <c r="F13" s="1795"/>
      <c r="G13" s="1795"/>
      <c r="H13" s="1795"/>
      <c r="I13" s="1493"/>
      <c r="J13" s="1493"/>
      <c r="K13" s="1493"/>
      <c r="L13" s="1493">
        <f>SUM(L6:L7)</f>
        <v>0</v>
      </c>
      <c r="M13" s="1493">
        <f>SUM(M6:M12)</f>
        <v>35770</v>
      </c>
      <c r="N13" s="1493"/>
      <c r="O13" s="1493"/>
      <c r="P13" s="1493"/>
      <c r="Q13" s="1493"/>
      <c r="R13" s="1493"/>
      <c r="S13" s="1493"/>
      <c r="T13" s="1493"/>
      <c r="U13" s="1493"/>
      <c r="V13" s="1493"/>
      <c r="W13" s="1493"/>
      <c r="X13" s="1493">
        <f>SUM(X6:X7)</f>
        <v>0</v>
      </c>
      <c r="Y13" s="2048">
        <f>SUM(Y6:Y7)</f>
        <v>0</v>
      </c>
      <c r="Z13" s="1987">
        <f>SUM(Z6:Z7)</f>
        <v>0</v>
      </c>
      <c r="AA13" s="1493">
        <f>SUM(AA6:AA12)</f>
        <v>35770</v>
      </c>
      <c r="AB13" s="1796"/>
      <c r="AC13" s="1457"/>
      <c r="AD13" s="1442"/>
      <c r="AE13" s="1433"/>
      <c r="AF13" s="1433"/>
      <c r="AG13" s="1433"/>
      <c r="AH13" s="1433"/>
      <c r="AI13" s="1434"/>
      <c r="AJ13" s="1434"/>
      <c r="AK13" s="1434"/>
      <c r="AL13" s="1434"/>
    </row>
    <row r="14" spans="1:39" ht="30" customHeight="1">
      <c r="A14" s="2243"/>
      <c r="B14" s="2243"/>
      <c r="C14" s="2243"/>
      <c r="D14" s="2243"/>
      <c r="E14" s="2243"/>
      <c r="F14" s="2243"/>
      <c r="G14" s="2243"/>
      <c r="H14" s="2243"/>
      <c r="I14" s="2244"/>
      <c r="J14" s="2244"/>
      <c r="K14" s="2245"/>
      <c r="L14" s="2244"/>
      <c r="M14" s="2246"/>
      <c r="N14" s="2246"/>
      <c r="O14" s="2246"/>
      <c r="P14" s="2246"/>
      <c r="Q14" s="2246"/>
      <c r="R14" s="2246"/>
      <c r="S14" s="2246"/>
      <c r="T14" s="2246"/>
      <c r="U14" s="2246"/>
      <c r="V14" s="2246"/>
      <c r="W14" s="2246"/>
      <c r="X14" s="2245"/>
      <c r="Y14" s="2247"/>
      <c r="Z14" s="2244"/>
      <c r="AA14" s="2244"/>
      <c r="AB14" s="2248"/>
      <c r="AC14" s="1457"/>
      <c r="AD14" s="1460"/>
      <c r="AE14" s="1442"/>
      <c r="AF14" s="1433"/>
      <c r="AG14" s="1433"/>
      <c r="AH14" s="1433"/>
      <c r="AI14" s="1433"/>
      <c r="AJ14" s="1434"/>
      <c r="AK14" s="1434"/>
      <c r="AL14" s="1434"/>
    </row>
    <row r="15" spans="1:39" ht="29.25" customHeight="1">
      <c r="A15" s="1435" t="s">
        <v>600</v>
      </c>
      <c r="B15" s="1435"/>
      <c r="C15" s="1267"/>
      <c r="D15" s="1267"/>
      <c r="E15" s="1267"/>
      <c r="F15" s="1267"/>
      <c r="G15" s="1267"/>
      <c r="H15" s="1267"/>
      <c r="I15" s="1267"/>
      <c r="J15" s="1430"/>
      <c r="K15" s="1430"/>
      <c r="L15" s="1430"/>
      <c r="M15" s="1430"/>
      <c r="N15" s="1430"/>
      <c r="O15" s="1430"/>
      <c r="P15" s="1430"/>
      <c r="Q15" s="1430"/>
      <c r="R15" s="1430"/>
      <c r="S15" s="1430"/>
      <c r="T15" s="1430"/>
      <c r="U15" s="1430"/>
      <c r="V15" s="1430"/>
      <c r="W15" s="1430"/>
      <c r="X15" s="1430"/>
      <c r="Y15" s="1430"/>
      <c r="Z15" s="1430"/>
      <c r="AA15" s="1430"/>
      <c r="AB15" s="1430"/>
      <c r="AC15" s="1430"/>
      <c r="AE15" s="1442"/>
      <c r="AF15" s="1433"/>
      <c r="AG15" s="1433"/>
      <c r="AH15" s="1433"/>
      <c r="AI15" s="1433"/>
      <c r="AJ15" s="1433"/>
      <c r="AK15" s="1433"/>
      <c r="AL15" s="1434"/>
    </row>
    <row r="16" spans="1:39" ht="30" customHeight="1">
      <c r="A16" s="2461" t="s">
        <v>43</v>
      </c>
      <c r="B16" s="2462"/>
      <c r="C16" s="2444" t="s">
        <v>65</v>
      </c>
      <c r="D16" s="2411" t="s">
        <v>2126</v>
      </c>
      <c r="E16" s="2411" t="s">
        <v>2127</v>
      </c>
      <c r="F16" s="2411" t="s">
        <v>2128</v>
      </c>
      <c r="G16" s="2411" t="s">
        <v>2140</v>
      </c>
      <c r="H16" s="2411" t="s">
        <v>2129</v>
      </c>
      <c r="I16" s="2411"/>
      <c r="J16" s="2444" t="s">
        <v>66</v>
      </c>
      <c r="K16" s="2411" t="s">
        <v>46</v>
      </c>
      <c r="L16" s="2411" t="s">
        <v>47</v>
      </c>
      <c r="M16" s="2411" t="s">
        <v>2131</v>
      </c>
      <c r="N16" s="2411" t="s">
        <v>2132</v>
      </c>
      <c r="O16" s="2411" t="s">
        <v>2133</v>
      </c>
      <c r="P16" s="2411" t="s">
        <v>2134</v>
      </c>
      <c r="Q16" s="2411" t="s">
        <v>2135</v>
      </c>
      <c r="R16" s="2411"/>
      <c r="S16" s="2411"/>
      <c r="T16" s="2411"/>
      <c r="U16" s="2411" t="s">
        <v>2136</v>
      </c>
      <c r="V16" s="2411"/>
      <c r="W16" s="2411"/>
      <c r="X16" s="2459" t="s">
        <v>1330</v>
      </c>
      <c r="Y16" s="2460"/>
      <c r="Z16" s="2434" t="s">
        <v>758</v>
      </c>
      <c r="AA16" s="2436"/>
      <c r="AB16" s="2452" t="s">
        <v>49</v>
      </c>
      <c r="AC16" s="1461"/>
      <c r="AD16" s="1462"/>
      <c r="AE16" s="1462"/>
      <c r="AG16" s="1433"/>
      <c r="AH16" s="1433"/>
      <c r="AI16" s="1433"/>
      <c r="AJ16" s="1433"/>
      <c r="AK16" s="1433"/>
      <c r="AL16" s="1433"/>
      <c r="AM16" s="1433"/>
    </row>
    <row r="17" spans="1:39" ht="30" customHeight="1">
      <c r="A17" s="2463"/>
      <c r="B17" s="2464"/>
      <c r="C17" s="2456"/>
      <c r="D17" s="2458"/>
      <c r="E17" s="2458"/>
      <c r="F17" s="2458"/>
      <c r="G17" s="2458"/>
      <c r="H17" s="2145" t="s">
        <v>2130</v>
      </c>
      <c r="I17" s="2145" t="s">
        <v>61</v>
      </c>
      <c r="J17" s="2456"/>
      <c r="K17" s="2457"/>
      <c r="L17" s="2458"/>
      <c r="M17" s="2458"/>
      <c r="N17" s="2458"/>
      <c r="O17" s="2458"/>
      <c r="P17" s="2458"/>
      <c r="Q17" s="2145">
        <v>2020</v>
      </c>
      <c r="R17" s="2145">
        <v>2025</v>
      </c>
      <c r="S17" s="2145">
        <v>2030</v>
      </c>
      <c r="T17" s="2145">
        <v>2035</v>
      </c>
      <c r="U17" s="2145" t="s">
        <v>2137</v>
      </c>
      <c r="V17" s="2145" t="s">
        <v>2138</v>
      </c>
      <c r="W17" s="2145" t="s">
        <v>2139</v>
      </c>
      <c r="X17" s="2146" t="s">
        <v>62</v>
      </c>
      <c r="Y17" s="1271" t="s">
        <v>63</v>
      </c>
      <c r="Z17" s="2094" t="s">
        <v>62</v>
      </c>
      <c r="AA17" s="1464" t="s">
        <v>63</v>
      </c>
      <c r="AB17" s="2453"/>
      <c r="AC17" s="1461"/>
      <c r="AD17" s="1465"/>
      <c r="AE17" s="1466" t="s">
        <v>41</v>
      </c>
      <c r="AG17" s="1433"/>
      <c r="AH17" s="1433"/>
      <c r="AI17" s="1433"/>
      <c r="AJ17" s="1433"/>
      <c r="AK17" s="1433"/>
      <c r="AL17" s="1433"/>
      <c r="AM17" s="1433"/>
    </row>
    <row r="18" spans="1:39" ht="32.1" customHeight="1">
      <c r="A18" s="2454" t="s">
        <v>725</v>
      </c>
      <c r="B18" s="2455"/>
      <c r="C18" s="2219" t="s">
        <v>2153</v>
      </c>
      <c r="D18" s="2219"/>
      <c r="E18" s="2219" t="s">
        <v>2174</v>
      </c>
      <c r="F18" s="2219" t="s">
        <v>2174</v>
      </c>
      <c r="G18" s="2219" t="s">
        <v>2178</v>
      </c>
      <c r="H18" s="2219" t="s">
        <v>2198</v>
      </c>
      <c r="I18" s="2220">
        <v>0</v>
      </c>
      <c r="J18" s="2221"/>
      <c r="K18" s="2222">
        <v>2019</v>
      </c>
      <c r="L18" s="2223">
        <v>187</v>
      </c>
      <c r="M18" s="2224">
        <f t="shared" ref="M18:M30" si="6">ROUND(L18*SUMIFS($AE$18:$AE$26,$AD$18:$AD$26,$AC18),0)</f>
        <v>430</v>
      </c>
      <c r="N18" s="2224">
        <v>0</v>
      </c>
      <c r="O18" s="2224">
        <v>55</v>
      </c>
      <c r="P18" s="2224">
        <f>사회적유입!AH102</f>
        <v>237</v>
      </c>
      <c r="Q18" s="2225">
        <f>사회적유입!AH102</f>
        <v>237</v>
      </c>
      <c r="R18" s="2225">
        <f t="shared" ref="R18:T19" si="7">Q18</f>
        <v>237</v>
      </c>
      <c r="S18" s="2225">
        <f t="shared" si="7"/>
        <v>237</v>
      </c>
      <c r="T18" s="2225">
        <f t="shared" si="7"/>
        <v>237</v>
      </c>
      <c r="U18" s="2224" t="s">
        <v>2271</v>
      </c>
      <c r="V18" s="2224" t="s">
        <v>2270</v>
      </c>
      <c r="W18" s="2224" t="s">
        <v>2208</v>
      </c>
      <c r="X18" s="2223">
        <v>0</v>
      </c>
      <c r="Y18" s="2223">
        <f t="shared" ref="Y18:Y23" si="8">+ROUND(X18*2.7,0)</f>
        <v>0</v>
      </c>
      <c r="Z18" s="2223">
        <f t="shared" ref="Z18:AA24" si="9">+L18-X18</f>
        <v>187</v>
      </c>
      <c r="AA18" s="2223">
        <f t="shared" si="9"/>
        <v>430</v>
      </c>
      <c r="AB18" s="2226" t="s">
        <v>745</v>
      </c>
      <c r="AC18" s="1473" t="s">
        <v>749</v>
      </c>
      <c r="AD18" s="1474" t="s">
        <v>751</v>
      </c>
      <c r="AE18" s="1475">
        <v>2.2999999999999998</v>
      </c>
      <c r="AG18" s="1476">
        <f>SUMIFS(AE18:AE26,AD18:AD26,AC18)</f>
        <v>2.2999999999999998</v>
      </c>
      <c r="AH18" s="1433"/>
      <c r="AI18" s="1433"/>
      <c r="AJ18" s="1433"/>
      <c r="AK18" s="1433"/>
      <c r="AL18" s="1434"/>
    </row>
    <row r="19" spans="1:39" ht="32.1" customHeight="1">
      <c r="A19" s="2396" t="s">
        <v>726</v>
      </c>
      <c r="B19" s="2397"/>
      <c r="C19" s="1782" t="s">
        <v>2154</v>
      </c>
      <c r="D19" s="1782"/>
      <c r="E19" s="1782" t="s">
        <v>2173</v>
      </c>
      <c r="F19" s="1782" t="s">
        <v>2174</v>
      </c>
      <c r="G19" s="1782" t="s">
        <v>2179</v>
      </c>
      <c r="H19" s="1782" t="s">
        <v>2199</v>
      </c>
      <c r="I19" s="1784">
        <v>0</v>
      </c>
      <c r="J19" s="1785"/>
      <c r="K19" s="1776">
        <v>2017</v>
      </c>
      <c r="L19" s="1786">
        <v>428</v>
      </c>
      <c r="M19" s="2227">
        <f t="shared" si="6"/>
        <v>942</v>
      </c>
      <c r="N19" s="2227">
        <v>0</v>
      </c>
      <c r="O19" s="2227">
        <v>63</v>
      </c>
      <c r="P19" s="2227">
        <f>사회적유입!AH40</f>
        <v>593</v>
      </c>
      <c r="Q19" s="2228">
        <f>사회적유입!AH40</f>
        <v>593</v>
      </c>
      <c r="R19" s="2228">
        <f t="shared" si="7"/>
        <v>593</v>
      </c>
      <c r="S19" s="2228">
        <f t="shared" si="7"/>
        <v>593</v>
      </c>
      <c r="T19" s="2228">
        <f t="shared" si="7"/>
        <v>593</v>
      </c>
      <c r="U19" s="2227" t="s">
        <v>2271</v>
      </c>
      <c r="V19" s="2227" t="s">
        <v>2270</v>
      </c>
      <c r="W19" s="2227" t="s">
        <v>2208</v>
      </c>
      <c r="X19" s="1775">
        <v>0</v>
      </c>
      <c r="Y19" s="1775">
        <f t="shared" si="8"/>
        <v>0</v>
      </c>
      <c r="Z19" s="1775">
        <f t="shared" si="9"/>
        <v>428</v>
      </c>
      <c r="AA19" s="1775">
        <f t="shared" si="9"/>
        <v>942</v>
      </c>
      <c r="AB19" s="1787" t="s">
        <v>745</v>
      </c>
      <c r="AC19" s="1479" t="s">
        <v>750</v>
      </c>
      <c r="AD19" s="1474" t="s">
        <v>750</v>
      </c>
      <c r="AE19" s="1475">
        <v>2.2000000000000002</v>
      </c>
      <c r="AG19" s="1433"/>
      <c r="AH19" s="1433"/>
      <c r="AI19" s="1433"/>
      <c r="AJ19" s="1433"/>
      <c r="AK19" s="1433"/>
      <c r="AL19" s="1434"/>
    </row>
    <row r="20" spans="1:39" ht="32.1" customHeight="1">
      <c r="A20" s="2396" t="s">
        <v>1329</v>
      </c>
      <c r="B20" s="2397"/>
      <c r="C20" s="1782" t="s">
        <v>2155</v>
      </c>
      <c r="D20" s="1782"/>
      <c r="E20" s="1782" t="s">
        <v>2173</v>
      </c>
      <c r="F20" s="1782" t="s">
        <v>2174</v>
      </c>
      <c r="G20" s="1782"/>
      <c r="H20" s="1782" t="s">
        <v>2199</v>
      </c>
      <c r="I20" s="1784">
        <v>0</v>
      </c>
      <c r="J20" s="1785"/>
      <c r="K20" s="1776">
        <v>2025</v>
      </c>
      <c r="L20" s="1786">
        <v>322</v>
      </c>
      <c r="M20" s="2227">
        <f t="shared" si="6"/>
        <v>708</v>
      </c>
      <c r="N20" s="2227">
        <v>0</v>
      </c>
      <c r="O20" s="2227">
        <v>63</v>
      </c>
      <c r="P20" s="2227">
        <f>사회적유입!AM41</f>
        <v>446</v>
      </c>
      <c r="Q20" s="2228">
        <f>사회적유입!AH41</f>
        <v>0</v>
      </c>
      <c r="R20" s="2228">
        <f>사회적유입!AM41</f>
        <v>446</v>
      </c>
      <c r="S20" s="2228">
        <f t="shared" ref="S20:T22" si="10">R20</f>
        <v>446</v>
      </c>
      <c r="T20" s="2228">
        <f t="shared" si="10"/>
        <v>446</v>
      </c>
      <c r="U20" s="2227" t="s">
        <v>2271</v>
      </c>
      <c r="V20" s="2227" t="s">
        <v>2270</v>
      </c>
      <c r="W20" s="2227" t="s">
        <v>2208</v>
      </c>
      <c r="X20" s="1775">
        <v>0</v>
      </c>
      <c r="Y20" s="1775">
        <f t="shared" si="8"/>
        <v>0</v>
      </c>
      <c r="Z20" s="1775">
        <f t="shared" si="9"/>
        <v>322</v>
      </c>
      <c r="AA20" s="1775">
        <f t="shared" si="9"/>
        <v>708</v>
      </c>
      <c r="AB20" s="1787" t="s">
        <v>1328</v>
      </c>
      <c r="AC20" s="1479" t="s">
        <v>750</v>
      </c>
      <c r="AD20" s="1474" t="s">
        <v>756</v>
      </c>
      <c r="AE20" s="1475">
        <v>2</v>
      </c>
      <c r="AG20" s="1433"/>
      <c r="AH20" s="1433">
        <v>110</v>
      </c>
      <c r="AI20" s="1476">
        <f>AH20/$AH$23</f>
        <v>0.37800687285223367</v>
      </c>
      <c r="AJ20" s="1476">
        <v>0.45</v>
      </c>
      <c r="AK20" s="1476">
        <f>AVERAGE(AI20:AJ20)</f>
        <v>0.41400343642611681</v>
      </c>
      <c r="AL20" s="1434"/>
    </row>
    <row r="21" spans="1:39" ht="32.1" customHeight="1">
      <c r="A21" s="2396" t="s">
        <v>727</v>
      </c>
      <c r="B21" s="2397"/>
      <c r="C21" s="1782" t="s">
        <v>2156</v>
      </c>
      <c r="D21" s="1782"/>
      <c r="E21" s="1782" t="s">
        <v>2174</v>
      </c>
      <c r="F21" s="1782" t="s">
        <v>2174</v>
      </c>
      <c r="G21" s="1782" t="s">
        <v>2180</v>
      </c>
      <c r="H21" s="1782" t="s">
        <v>2198</v>
      </c>
      <c r="I21" s="1784">
        <v>0</v>
      </c>
      <c r="J21" s="1788"/>
      <c r="K21" s="1776">
        <v>2018</v>
      </c>
      <c r="L21" s="1775">
        <v>409</v>
      </c>
      <c r="M21" s="2227">
        <f t="shared" si="6"/>
        <v>941</v>
      </c>
      <c r="N21" s="2227">
        <v>0</v>
      </c>
      <c r="O21" s="2227">
        <v>55</v>
      </c>
      <c r="P21" s="2227">
        <f>사회적유입!AH103</f>
        <v>518</v>
      </c>
      <c r="Q21" s="2228">
        <f>사회적유입!AH103</f>
        <v>518</v>
      </c>
      <c r="R21" s="2228">
        <f>Q21</f>
        <v>518</v>
      </c>
      <c r="S21" s="2228">
        <f t="shared" si="10"/>
        <v>518</v>
      </c>
      <c r="T21" s="2228">
        <f t="shared" si="10"/>
        <v>518</v>
      </c>
      <c r="U21" s="2227" t="s">
        <v>2271</v>
      </c>
      <c r="V21" s="2227" t="s">
        <v>2270</v>
      </c>
      <c r="W21" s="2227" t="s">
        <v>2208</v>
      </c>
      <c r="X21" s="1775">
        <v>0</v>
      </c>
      <c r="Y21" s="1775">
        <f t="shared" si="8"/>
        <v>0</v>
      </c>
      <c r="Z21" s="1775">
        <f t="shared" si="9"/>
        <v>409</v>
      </c>
      <c r="AA21" s="1775">
        <f t="shared" si="9"/>
        <v>941</v>
      </c>
      <c r="AB21" s="1787" t="s">
        <v>745</v>
      </c>
      <c r="AC21" s="1479" t="s">
        <v>749</v>
      </c>
      <c r="AD21" s="1474" t="s">
        <v>757</v>
      </c>
      <c r="AE21" s="1475">
        <v>2</v>
      </c>
      <c r="AG21" s="1433" t="s">
        <v>1608</v>
      </c>
      <c r="AH21" s="1433">
        <v>99</v>
      </c>
      <c r="AI21" s="1476">
        <f>AH21/$AH$23</f>
        <v>0.34020618556701032</v>
      </c>
      <c r="AJ21" s="1476">
        <v>0.1</v>
      </c>
      <c r="AK21" s="1476">
        <f>AVERAGE(AI21:AJ21)</f>
        <v>0.22010309278350515</v>
      </c>
      <c r="AL21" s="1434"/>
    </row>
    <row r="22" spans="1:39" ht="32.1" customHeight="1">
      <c r="A22" s="2396" t="s">
        <v>728</v>
      </c>
      <c r="B22" s="2397"/>
      <c r="C22" s="1782" t="s">
        <v>2157</v>
      </c>
      <c r="D22" s="1782"/>
      <c r="E22" s="1782" t="s">
        <v>2174</v>
      </c>
      <c r="F22" s="1782" t="s">
        <v>2174</v>
      </c>
      <c r="G22" s="1782" t="s">
        <v>2181</v>
      </c>
      <c r="H22" s="1782" t="s">
        <v>2200</v>
      </c>
      <c r="I22" s="1784">
        <v>0</v>
      </c>
      <c r="J22" s="1788"/>
      <c r="K22" s="1776">
        <v>2017</v>
      </c>
      <c r="L22" s="1775">
        <v>136</v>
      </c>
      <c r="M22" s="2227">
        <f t="shared" si="6"/>
        <v>313</v>
      </c>
      <c r="N22" s="2227">
        <v>0</v>
      </c>
      <c r="O22" s="2227">
        <v>40</v>
      </c>
      <c r="P22" s="2227">
        <f>사회적유입!AH5</f>
        <v>125</v>
      </c>
      <c r="Q22" s="2228">
        <f>사회적유입!AH5</f>
        <v>125</v>
      </c>
      <c r="R22" s="2228">
        <f>Q22</f>
        <v>125</v>
      </c>
      <c r="S22" s="2228">
        <f t="shared" si="10"/>
        <v>125</v>
      </c>
      <c r="T22" s="2228">
        <f t="shared" si="10"/>
        <v>125</v>
      </c>
      <c r="U22" s="2227" t="s">
        <v>2206</v>
      </c>
      <c r="V22" s="2227" t="s">
        <v>2207</v>
      </c>
      <c r="W22" s="2227" t="s">
        <v>2208</v>
      </c>
      <c r="X22" s="1775">
        <v>0</v>
      </c>
      <c r="Y22" s="1775">
        <f t="shared" si="8"/>
        <v>0</v>
      </c>
      <c r="Z22" s="1775">
        <f t="shared" si="9"/>
        <v>136</v>
      </c>
      <c r="AA22" s="1775">
        <f t="shared" si="9"/>
        <v>313</v>
      </c>
      <c r="AB22" s="1787" t="s">
        <v>745</v>
      </c>
      <c r="AC22" s="1479" t="s">
        <v>751</v>
      </c>
      <c r="AD22" s="1474" t="s">
        <v>752</v>
      </c>
      <c r="AE22" s="1475">
        <v>2.5</v>
      </c>
      <c r="AG22" s="1433" t="s">
        <v>1607</v>
      </c>
      <c r="AH22" s="1433">
        <v>82</v>
      </c>
      <c r="AI22" s="1476">
        <f>AH22/$AH$23</f>
        <v>0.28178694158075601</v>
      </c>
      <c r="AJ22" s="1476">
        <v>0.45</v>
      </c>
      <c r="AK22" s="1476">
        <f>AVERAGE(AI22:AJ22)</f>
        <v>0.36589347079037804</v>
      </c>
      <c r="AL22" s="1434"/>
    </row>
    <row r="23" spans="1:39" ht="32.1" customHeight="1">
      <c r="A23" s="2396" t="s">
        <v>729</v>
      </c>
      <c r="B23" s="2397"/>
      <c r="C23" s="1782" t="s">
        <v>2158</v>
      </c>
      <c r="D23" s="1782"/>
      <c r="E23" s="1782" t="s">
        <v>2174</v>
      </c>
      <c r="F23" s="1782" t="s">
        <v>2174</v>
      </c>
      <c r="G23" s="1782" t="s">
        <v>2182</v>
      </c>
      <c r="H23" s="1782" t="s">
        <v>2201</v>
      </c>
      <c r="I23" s="1784">
        <v>0</v>
      </c>
      <c r="J23" s="1788"/>
      <c r="K23" s="1776">
        <v>2017</v>
      </c>
      <c r="L23" s="1775">
        <v>694</v>
      </c>
      <c r="M23" s="2227">
        <f t="shared" si="6"/>
        <v>1735</v>
      </c>
      <c r="N23" s="2227">
        <v>0</v>
      </c>
      <c r="O23" s="2227">
        <v>80</v>
      </c>
      <c r="P23" s="2227">
        <v>0</v>
      </c>
      <c r="Q23" s="2228">
        <v>0</v>
      </c>
      <c r="R23" s="2228">
        <v>0</v>
      </c>
      <c r="S23" s="2228">
        <v>0</v>
      </c>
      <c r="T23" s="2228">
        <v>0</v>
      </c>
      <c r="U23" s="2227"/>
      <c r="V23" s="2227"/>
      <c r="W23" s="2227"/>
      <c r="X23" s="1775">
        <v>0</v>
      </c>
      <c r="Y23" s="1775">
        <f t="shared" si="8"/>
        <v>0</v>
      </c>
      <c r="Z23" s="1775">
        <f t="shared" si="9"/>
        <v>694</v>
      </c>
      <c r="AA23" s="1775">
        <f t="shared" si="9"/>
        <v>1735</v>
      </c>
      <c r="AB23" s="1787" t="s">
        <v>2209</v>
      </c>
      <c r="AC23" s="1479" t="s">
        <v>752</v>
      </c>
      <c r="AD23" s="1474" t="s">
        <v>749</v>
      </c>
      <c r="AE23" s="1475">
        <v>2.2999999999999998</v>
      </c>
      <c r="AG23" s="1433"/>
      <c r="AH23" s="1433">
        <f>SUM(AH20:AH22)</f>
        <v>291</v>
      </c>
      <c r="AI23" s="1433"/>
      <c r="AJ23" s="1433"/>
      <c r="AK23" s="1433"/>
      <c r="AL23" s="1434"/>
    </row>
    <row r="24" spans="1:39" ht="32.1" customHeight="1">
      <c r="A24" s="2396" t="s">
        <v>1134</v>
      </c>
      <c r="B24" s="2397"/>
      <c r="C24" s="1782" t="s">
        <v>2159</v>
      </c>
      <c r="D24" s="1782"/>
      <c r="E24" s="1782" t="s">
        <v>2174</v>
      </c>
      <c r="F24" s="1782" t="s">
        <v>2174</v>
      </c>
      <c r="G24" s="1782"/>
      <c r="H24" s="1782" t="s">
        <v>2200</v>
      </c>
      <c r="I24" s="1784">
        <v>0</v>
      </c>
      <c r="J24" s="1788"/>
      <c r="K24" s="1776">
        <v>2017</v>
      </c>
      <c r="L24" s="1775">
        <v>50</v>
      </c>
      <c r="M24" s="2227">
        <f t="shared" si="6"/>
        <v>115</v>
      </c>
      <c r="N24" s="2227">
        <v>0</v>
      </c>
      <c r="O24" s="2227">
        <v>40</v>
      </c>
      <c r="P24" s="2227">
        <f>사회적유입!AH6</f>
        <v>46</v>
      </c>
      <c r="Q24" s="2228">
        <f>사회적유입!AH6</f>
        <v>46</v>
      </c>
      <c r="R24" s="2228">
        <f t="shared" ref="R24:T35" si="11">Q24</f>
        <v>46</v>
      </c>
      <c r="S24" s="2228">
        <f t="shared" si="11"/>
        <v>46</v>
      </c>
      <c r="T24" s="2228">
        <f t="shared" si="11"/>
        <v>46</v>
      </c>
      <c r="U24" s="2227" t="s">
        <v>2206</v>
      </c>
      <c r="V24" s="2227" t="s">
        <v>2207</v>
      </c>
      <c r="W24" s="2227" t="s">
        <v>2208</v>
      </c>
      <c r="X24" s="1775">
        <v>0</v>
      </c>
      <c r="Y24" s="1775">
        <v>0</v>
      </c>
      <c r="Z24" s="1775">
        <f t="shared" si="9"/>
        <v>50</v>
      </c>
      <c r="AA24" s="1775">
        <f t="shared" si="9"/>
        <v>115</v>
      </c>
      <c r="AB24" s="1787" t="s">
        <v>2215</v>
      </c>
      <c r="AC24" s="1481" t="s">
        <v>751</v>
      </c>
      <c r="AD24" s="1474" t="s">
        <v>755</v>
      </c>
      <c r="AE24" s="1475">
        <v>2</v>
      </c>
      <c r="AG24" s="1433" t="s">
        <v>1609</v>
      </c>
      <c r="AH24" s="1433">
        <v>44</v>
      </c>
      <c r="AI24" s="1433"/>
      <c r="AJ24" s="1433"/>
      <c r="AK24" s="1433"/>
      <c r="AL24" s="1434"/>
    </row>
    <row r="25" spans="1:39" ht="32.1" customHeight="1">
      <c r="A25" s="2396" t="s">
        <v>730</v>
      </c>
      <c r="B25" s="2397"/>
      <c r="C25" s="1782" t="s">
        <v>2160</v>
      </c>
      <c r="D25" s="1782"/>
      <c r="E25" s="1782" t="s">
        <v>2174</v>
      </c>
      <c r="F25" s="1782" t="s">
        <v>2174</v>
      </c>
      <c r="G25" s="1782"/>
      <c r="H25" s="1782" t="s">
        <v>2200</v>
      </c>
      <c r="I25" s="1784">
        <v>0</v>
      </c>
      <c r="J25" s="1788"/>
      <c r="K25" s="1776">
        <v>2018</v>
      </c>
      <c r="L25" s="1775">
        <v>156</v>
      </c>
      <c r="M25" s="2227">
        <f t="shared" si="6"/>
        <v>359</v>
      </c>
      <c r="N25" s="2227">
        <v>0</v>
      </c>
      <c r="O25" s="2227">
        <v>40</v>
      </c>
      <c r="P25" s="2227">
        <f>사회적유입!AH7</f>
        <v>144</v>
      </c>
      <c r="Q25" s="2228">
        <f>사회적유입!AH7</f>
        <v>144</v>
      </c>
      <c r="R25" s="2228">
        <f t="shared" si="11"/>
        <v>144</v>
      </c>
      <c r="S25" s="2228">
        <f t="shared" si="11"/>
        <v>144</v>
      </c>
      <c r="T25" s="2228">
        <f t="shared" si="11"/>
        <v>144</v>
      </c>
      <c r="U25" s="2227" t="s">
        <v>2206</v>
      </c>
      <c r="V25" s="2227" t="s">
        <v>2207</v>
      </c>
      <c r="W25" s="2227" t="s">
        <v>2208</v>
      </c>
      <c r="X25" s="1775">
        <v>0</v>
      </c>
      <c r="Y25" s="1775">
        <f t="shared" ref="Y25:Y38" si="12">+ROUND(X25*2.7,0)</f>
        <v>0</v>
      </c>
      <c r="Z25" s="1775">
        <f t="shared" ref="Z25:Z38" si="13">+L25-X25</f>
        <v>156</v>
      </c>
      <c r="AA25" s="1775">
        <f>+M25-Y25</f>
        <v>359</v>
      </c>
      <c r="AB25" s="1787" t="s">
        <v>2216</v>
      </c>
      <c r="AC25" s="1479" t="s">
        <v>751</v>
      </c>
      <c r="AD25" s="1474" t="s">
        <v>754</v>
      </c>
      <c r="AE25" s="1475">
        <v>2</v>
      </c>
      <c r="AG25" s="1433" t="s">
        <v>1610</v>
      </c>
      <c r="AH25" s="1433">
        <v>28</v>
      </c>
      <c r="AI25" s="1433"/>
      <c r="AJ25" s="1433"/>
      <c r="AK25" s="1433"/>
      <c r="AL25" s="1434"/>
    </row>
    <row r="26" spans="1:39" ht="32.1" customHeight="1">
      <c r="A26" s="2396" t="s">
        <v>731</v>
      </c>
      <c r="B26" s="2424"/>
      <c r="C26" s="1782" t="s">
        <v>2161</v>
      </c>
      <c r="D26" s="1782"/>
      <c r="E26" s="1782" t="s">
        <v>2174</v>
      </c>
      <c r="F26" s="1782" t="s">
        <v>2174</v>
      </c>
      <c r="G26" s="1782"/>
      <c r="H26" s="1782" t="s">
        <v>2200</v>
      </c>
      <c r="I26" s="1784">
        <v>0</v>
      </c>
      <c r="J26" s="1788"/>
      <c r="K26" s="1776">
        <v>2017</v>
      </c>
      <c r="L26" s="1775">
        <v>29</v>
      </c>
      <c r="M26" s="2227">
        <f t="shared" si="6"/>
        <v>67</v>
      </c>
      <c r="N26" s="2227">
        <v>0</v>
      </c>
      <c r="O26" s="2227">
        <v>40</v>
      </c>
      <c r="P26" s="2227">
        <f>사회적유입!AH8</f>
        <v>27</v>
      </c>
      <c r="Q26" s="2228">
        <f>사회적유입!AH8</f>
        <v>27</v>
      </c>
      <c r="R26" s="2228">
        <f t="shared" si="11"/>
        <v>27</v>
      </c>
      <c r="S26" s="2228">
        <f t="shared" si="11"/>
        <v>27</v>
      </c>
      <c r="T26" s="2228">
        <f t="shared" si="11"/>
        <v>27</v>
      </c>
      <c r="U26" s="2227" t="s">
        <v>2206</v>
      </c>
      <c r="V26" s="2227" t="s">
        <v>2207</v>
      </c>
      <c r="W26" s="2227" t="s">
        <v>2208</v>
      </c>
      <c r="X26" s="1775">
        <v>0</v>
      </c>
      <c r="Y26" s="1775">
        <f t="shared" si="12"/>
        <v>0</v>
      </c>
      <c r="Z26" s="1775">
        <f t="shared" si="13"/>
        <v>29</v>
      </c>
      <c r="AA26" s="1775">
        <f>+M26-Y26</f>
        <v>67</v>
      </c>
      <c r="AB26" s="1787" t="s">
        <v>2215</v>
      </c>
      <c r="AC26" s="1481" t="s">
        <v>751</v>
      </c>
      <c r="AD26" s="1474" t="s">
        <v>753</v>
      </c>
      <c r="AE26" s="1475">
        <v>2.1</v>
      </c>
      <c r="AG26" s="1433" t="s">
        <v>1611</v>
      </c>
      <c r="AH26" s="1433">
        <v>27</v>
      </c>
      <c r="AI26" s="1433"/>
      <c r="AJ26" s="1433"/>
      <c r="AK26" s="1433"/>
      <c r="AL26" s="1434"/>
    </row>
    <row r="27" spans="1:39" ht="32.1" customHeight="1">
      <c r="A27" s="2396" t="s">
        <v>2267</v>
      </c>
      <c r="B27" s="2424"/>
      <c r="C27" s="1782" t="s">
        <v>2265</v>
      </c>
      <c r="D27" s="1782"/>
      <c r="E27" s="1782" t="s">
        <v>2174</v>
      </c>
      <c r="F27" s="1782" t="s">
        <v>2174</v>
      </c>
      <c r="G27" s="1782"/>
      <c r="H27" s="1782" t="s">
        <v>2198</v>
      </c>
      <c r="I27" s="1784">
        <v>0</v>
      </c>
      <c r="J27" s="1788"/>
      <c r="K27" s="1776">
        <v>2025</v>
      </c>
      <c r="L27" s="1775">
        <v>154</v>
      </c>
      <c r="M27" s="2227">
        <f t="shared" si="6"/>
        <v>354</v>
      </c>
      <c r="N27" s="2227">
        <v>0</v>
      </c>
      <c r="O27" s="2227">
        <v>55</v>
      </c>
      <c r="P27" s="2227">
        <f>사회적유입!AR104</f>
        <v>195</v>
      </c>
      <c r="Q27" s="2228">
        <f>사회적유입!AH104</f>
        <v>0</v>
      </c>
      <c r="R27" s="2228">
        <f>사회적유입!AM104</f>
        <v>195</v>
      </c>
      <c r="S27" s="2228">
        <f>R27</f>
        <v>195</v>
      </c>
      <c r="T27" s="2228">
        <f t="shared" si="11"/>
        <v>195</v>
      </c>
      <c r="U27" s="2227" t="s">
        <v>2206</v>
      </c>
      <c r="V27" s="2227" t="s">
        <v>2207</v>
      </c>
      <c r="W27" s="2227" t="s">
        <v>2269</v>
      </c>
      <c r="X27" s="1775">
        <v>0</v>
      </c>
      <c r="Y27" s="1775">
        <f t="shared" si="12"/>
        <v>0</v>
      </c>
      <c r="Z27" s="1775">
        <f t="shared" si="13"/>
        <v>154</v>
      </c>
      <c r="AA27" s="1775">
        <f>+M27-Y27</f>
        <v>354</v>
      </c>
      <c r="AB27" s="1787" t="s">
        <v>746</v>
      </c>
      <c r="AC27" s="1479" t="s">
        <v>749</v>
      </c>
      <c r="AD27" s="1483"/>
      <c r="AE27" s="1484"/>
      <c r="AG27" s="1433"/>
      <c r="AH27" s="1433">
        <f>SUM(AH24:AH26)</f>
        <v>99</v>
      </c>
      <c r="AI27" s="1433"/>
      <c r="AJ27" s="1433"/>
      <c r="AK27" s="1433"/>
      <c r="AL27" s="1434"/>
    </row>
    <row r="28" spans="1:39" ht="32.1" customHeight="1">
      <c r="A28" s="2396" t="s">
        <v>733</v>
      </c>
      <c r="B28" s="2424"/>
      <c r="C28" s="1782" t="s">
        <v>2162</v>
      </c>
      <c r="D28" s="1782"/>
      <c r="E28" s="1782" t="s">
        <v>2174</v>
      </c>
      <c r="F28" s="1782" t="s">
        <v>2174</v>
      </c>
      <c r="G28" s="1782" t="s">
        <v>2217</v>
      </c>
      <c r="H28" s="1782" t="s">
        <v>2198</v>
      </c>
      <c r="I28" s="1784">
        <v>0</v>
      </c>
      <c r="J28" s="1788"/>
      <c r="K28" s="1776">
        <v>2019</v>
      </c>
      <c r="L28" s="1775">
        <v>651</v>
      </c>
      <c r="M28" s="2227">
        <f t="shared" si="6"/>
        <v>1497</v>
      </c>
      <c r="N28" s="2227">
        <v>0</v>
      </c>
      <c r="O28" s="2227">
        <v>55</v>
      </c>
      <c r="P28" s="2227">
        <f>사회적유입!AH105</f>
        <v>0</v>
      </c>
      <c r="Q28" s="2228">
        <f>사회적유입!AH105</f>
        <v>0</v>
      </c>
      <c r="R28" s="2228">
        <f t="shared" si="11"/>
        <v>0</v>
      </c>
      <c r="S28" s="2228">
        <f t="shared" si="11"/>
        <v>0</v>
      </c>
      <c r="T28" s="2228">
        <f t="shared" si="11"/>
        <v>0</v>
      </c>
      <c r="U28" s="2227" t="s">
        <v>2206</v>
      </c>
      <c r="V28" s="2227" t="s">
        <v>2207</v>
      </c>
      <c r="W28" s="2227" t="s">
        <v>2208</v>
      </c>
      <c r="X28" s="1775">
        <v>0</v>
      </c>
      <c r="Y28" s="1775">
        <f t="shared" si="12"/>
        <v>0</v>
      </c>
      <c r="Z28" s="1775">
        <f t="shared" si="13"/>
        <v>651</v>
      </c>
      <c r="AA28" s="1775">
        <f>+M28-Y28</f>
        <v>1497</v>
      </c>
      <c r="AB28" s="1787" t="s">
        <v>745</v>
      </c>
      <c r="AC28" s="1479" t="s">
        <v>749</v>
      </c>
      <c r="AD28" s="1485" t="s">
        <v>1331</v>
      </c>
      <c r="AE28" s="1486"/>
      <c r="AG28" s="1433"/>
      <c r="AH28" s="1433"/>
      <c r="AI28" s="1433"/>
      <c r="AJ28" s="1433"/>
      <c r="AK28" s="1433"/>
      <c r="AL28" s="1434"/>
    </row>
    <row r="29" spans="1:39" ht="32.1" customHeight="1">
      <c r="A29" s="2396" t="s">
        <v>734</v>
      </c>
      <c r="B29" s="2424"/>
      <c r="C29" s="1782" t="s">
        <v>2163</v>
      </c>
      <c r="D29" s="1782"/>
      <c r="E29" s="1782" t="s">
        <v>2174</v>
      </c>
      <c r="F29" s="1782" t="s">
        <v>2174</v>
      </c>
      <c r="G29" s="1782" t="s">
        <v>2218</v>
      </c>
      <c r="H29" s="1782" t="s">
        <v>2200</v>
      </c>
      <c r="I29" s="1784">
        <v>0</v>
      </c>
      <c r="J29" s="1785"/>
      <c r="K29" s="1776">
        <v>2020</v>
      </c>
      <c r="L29" s="1786">
        <v>409</v>
      </c>
      <c r="M29" s="2227">
        <f t="shared" si="6"/>
        <v>941</v>
      </c>
      <c r="N29" s="2227">
        <v>0</v>
      </c>
      <c r="O29" s="2227">
        <v>40</v>
      </c>
      <c r="P29" s="2227">
        <f>사회적유입!AH9</f>
        <v>376</v>
      </c>
      <c r="Q29" s="2228">
        <f>사회적유입!AH9</f>
        <v>376</v>
      </c>
      <c r="R29" s="2228">
        <f t="shared" si="11"/>
        <v>376</v>
      </c>
      <c r="S29" s="2228">
        <f t="shared" si="11"/>
        <v>376</v>
      </c>
      <c r="T29" s="2228">
        <f t="shared" si="11"/>
        <v>376</v>
      </c>
      <c r="U29" s="2227" t="s">
        <v>2206</v>
      </c>
      <c r="V29" s="2227" t="s">
        <v>2207</v>
      </c>
      <c r="W29" s="2227" t="s">
        <v>2208</v>
      </c>
      <c r="X29" s="1786">
        <v>0</v>
      </c>
      <c r="Y29" s="1786">
        <f>+ROUND(X29*2.7,0)</f>
        <v>0</v>
      </c>
      <c r="Z29" s="1786">
        <f t="shared" si="13"/>
        <v>409</v>
      </c>
      <c r="AA29" s="1786">
        <f>+M29-Y29</f>
        <v>941</v>
      </c>
      <c r="AB29" s="1787" t="s">
        <v>745</v>
      </c>
      <c r="AC29" s="1481" t="s">
        <v>751</v>
      </c>
      <c r="AD29" s="1485"/>
      <c r="AE29" s="1486"/>
      <c r="AG29" s="1433"/>
      <c r="AH29" s="1433"/>
      <c r="AI29" s="1433"/>
      <c r="AJ29" s="1433"/>
      <c r="AK29" s="1433"/>
      <c r="AL29" s="1434"/>
    </row>
    <row r="30" spans="1:39" ht="32.1" customHeight="1">
      <c r="A30" s="2396" t="s">
        <v>735</v>
      </c>
      <c r="B30" s="2424"/>
      <c r="C30" s="1782" t="s">
        <v>2164</v>
      </c>
      <c r="D30" s="1782"/>
      <c r="E30" s="1782" t="s">
        <v>2174</v>
      </c>
      <c r="F30" s="1782" t="s">
        <v>2174</v>
      </c>
      <c r="G30" s="1782"/>
      <c r="H30" s="1782" t="s">
        <v>2200</v>
      </c>
      <c r="I30" s="1784">
        <v>0</v>
      </c>
      <c r="J30" s="1785"/>
      <c r="K30" s="1776">
        <v>2018</v>
      </c>
      <c r="L30" s="1786">
        <v>16</v>
      </c>
      <c r="M30" s="2227">
        <f t="shared" si="6"/>
        <v>37</v>
      </c>
      <c r="N30" s="2227">
        <v>0</v>
      </c>
      <c r="O30" s="2227">
        <v>40</v>
      </c>
      <c r="P30" s="2227">
        <f>사회적유입!AH10</f>
        <v>15</v>
      </c>
      <c r="Q30" s="2228">
        <f>사회적유입!AH10</f>
        <v>15</v>
      </c>
      <c r="R30" s="2228">
        <f t="shared" si="11"/>
        <v>15</v>
      </c>
      <c r="S30" s="2228">
        <f t="shared" si="11"/>
        <v>15</v>
      </c>
      <c r="T30" s="2228">
        <f t="shared" si="11"/>
        <v>15</v>
      </c>
      <c r="U30" s="2227" t="s">
        <v>2206</v>
      </c>
      <c r="V30" s="2227" t="s">
        <v>2207</v>
      </c>
      <c r="W30" s="2227" t="s">
        <v>2208</v>
      </c>
      <c r="X30" s="1786">
        <v>0</v>
      </c>
      <c r="Y30" s="1786">
        <v>0</v>
      </c>
      <c r="Z30" s="1786">
        <f t="shared" si="13"/>
        <v>16</v>
      </c>
      <c r="AA30" s="1786">
        <f t="shared" ref="AA30:AA35" si="14">+M30-Y30</f>
        <v>37</v>
      </c>
      <c r="AB30" s="1787" t="s">
        <v>745</v>
      </c>
      <c r="AC30" s="1481" t="s">
        <v>751</v>
      </c>
      <c r="AD30" s="1485"/>
      <c r="AE30" s="1460"/>
      <c r="AG30" s="1433"/>
      <c r="AH30" s="1433"/>
      <c r="AI30" s="1433"/>
      <c r="AJ30" s="1433"/>
      <c r="AK30" s="1433"/>
      <c r="AL30" s="1434"/>
    </row>
    <row r="31" spans="1:39" ht="32.1" customHeight="1">
      <c r="A31" s="2396" t="s">
        <v>736</v>
      </c>
      <c r="B31" s="2424"/>
      <c r="C31" s="1782" t="s">
        <v>2165</v>
      </c>
      <c r="D31" s="1782"/>
      <c r="E31" s="1782" t="s">
        <v>2174</v>
      </c>
      <c r="F31" s="1782" t="s">
        <v>2174</v>
      </c>
      <c r="G31" s="1782" t="s">
        <v>2183</v>
      </c>
      <c r="H31" s="1782" t="s">
        <v>2202</v>
      </c>
      <c r="I31" s="1784">
        <v>0</v>
      </c>
      <c r="J31" s="1785"/>
      <c r="K31" s="1776">
        <v>2018</v>
      </c>
      <c r="L31" s="1786">
        <v>200</v>
      </c>
      <c r="M31" s="2227">
        <f t="shared" ref="M31:M38" si="15">ROUND(L31*SUMIFS($AE$18:$AE$26,$AD$18:$AD$26,$AC31),0)</f>
        <v>420</v>
      </c>
      <c r="N31" s="2227">
        <v>0</v>
      </c>
      <c r="O31" s="2227">
        <v>55</v>
      </c>
      <c r="P31" s="2227">
        <f>사회적유입!AH153</f>
        <v>231</v>
      </c>
      <c r="Q31" s="2228">
        <f>사회적유입!AH153</f>
        <v>231</v>
      </c>
      <c r="R31" s="2228">
        <f t="shared" si="11"/>
        <v>231</v>
      </c>
      <c r="S31" s="2228">
        <f t="shared" si="11"/>
        <v>231</v>
      </c>
      <c r="T31" s="2228">
        <f t="shared" si="11"/>
        <v>231</v>
      </c>
      <c r="U31" s="2227" t="s">
        <v>2206</v>
      </c>
      <c r="V31" s="2227" t="s">
        <v>2207</v>
      </c>
      <c r="W31" s="2227" t="s">
        <v>2208</v>
      </c>
      <c r="X31" s="1786">
        <v>0</v>
      </c>
      <c r="Y31" s="1786">
        <v>0</v>
      </c>
      <c r="Z31" s="1786">
        <f t="shared" si="13"/>
        <v>200</v>
      </c>
      <c r="AA31" s="1786">
        <f t="shared" si="14"/>
        <v>420</v>
      </c>
      <c r="AB31" s="1787" t="s">
        <v>747</v>
      </c>
      <c r="AC31" s="1481" t="s">
        <v>753</v>
      </c>
      <c r="AD31" s="1485"/>
      <c r="AE31" s="1460"/>
      <c r="AG31" s="1433"/>
      <c r="AH31" s="1433"/>
      <c r="AI31" s="1433"/>
      <c r="AJ31" s="1433"/>
      <c r="AK31" s="1433"/>
      <c r="AL31" s="1434"/>
    </row>
    <row r="32" spans="1:39" ht="32.1" customHeight="1">
      <c r="A32" s="2396" t="s">
        <v>737</v>
      </c>
      <c r="B32" s="2424"/>
      <c r="C32" s="1782" t="s">
        <v>2166</v>
      </c>
      <c r="D32" s="1782"/>
      <c r="E32" s="1782" t="s">
        <v>2174</v>
      </c>
      <c r="F32" s="1782" t="s">
        <v>2174</v>
      </c>
      <c r="G32" s="1782" t="s">
        <v>2184</v>
      </c>
      <c r="H32" s="1782" t="s">
        <v>2198</v>
      </c>
      <c r="I32" s="1784">
        <v>0</v>
      </c>
      <c r="J32" s="1785"/>
      <c r="K32" s="1776">
        <v>2019</v>
      </c>
      <c r="L32" s="1786">
        <v>647</v>
      </c>
      <c r="M32" s="2227">
        <f t="shared" si="15"/>
        <v>1488</v>
      </c>
      <c r="N32" s="2227">
        <v>0</v>
      </c>
      <c r="O32" s="2227">
        <v>55</v>
      </c>
      <c r="P32" s="2227">
        <f>사회적유입!AH106</f>
        <v>0</v>
      </c>
      <c r="Q32" s="2228">
        <f>사회적유입!AH106</f>
        <v>0</v>
      </c>
      <c r="R32" s="2228">
        <f t="shared" si="11"/>
        <v>0</v>
      </c>
      <c r="S32" s="2228">
        <f t="shared" si="11"/>
        <v>0</v>
      </c>
      <c r="T32" s="2228">
        <f t="shared" si="11"/>
        <v>0</v>
      </c>
      <c r="U32" s="2227" t="s">
        <v>2206</v>
      </c>
      <c r="V32" s="2227" t="s">
        <v>2207</v>
      </c>
      <c r="W32" s="2227" t="s">
        <v>2208</v>
      </c>
      <c r="X32" s="1786">
        <v>0</v>
      </c>
      <c r="Y32" s="1786">
        <v>0</v>
      </c>
      <c r="Z32" s="1786">
        <f t="shared" si="13"/>
        <v>647</v>
      </c>
      <c r="AA32" s="1786">
        <f t="shared" si="14"/>
        <v>1488</v>
      </c>
      <c r="AB32" s="1787" t="s">
        <v>747</v>
      </c>
      <c r="AC32" s="1481" t="s">
        <v>749</v>
      </c>
      <c r="AD32" s="1485" t="s">
        <v>1332</v>
      </c>
      <c r="AE32" s="1460"/>
      <c r="AG32" s="1433"/>
      <c r="AH32" s="1433"/>
      <c r="AI32" s="1433"/>
      <c r="AJ32" s="1433"/>
      <c r="AK32" s="1433"/>
      <c r="AL32" s="1434"/>
    </row>
    <row r="33" spans="1:38" ht="32.1" customHeight="1">
      <c r="A33" s="2396" t="s">
        <v>738</v>
      </c>
      <c r="B33" s="2424"/>
      <c r="C33" s="1782" t="s">
        <v>2167</v>
      </c>
      <c r="D33" s="1782"/>
      <c r="E33" s="1782" t="s">
        <v>2174</v>
      </c>
      <c r="F33" s="1782" t="s">
        <v>2174</v>
      </c>
      <c r="G33" s="1782" t="s">
        <v>2185</v>
      </c>
      <c r="H33" s="1782" t="s">
        <v>2203</v>
      </c>
      <c r="I33" s="1784">
        <v>0</v>
      </c>
      <c r="J33" s="1785"/>
      <c r="K33" s="1776">
        <v>2018</v>
      </c>
      <c r="L33" s="1786">
        <v>98</v>
      </c>
      <c r="M33" s="2227">
        <f t="shared" si="15"/>
        <v>206</v>
      </c>
      <c r="N33" s="2227">
        <v>0</v>
      </c>
      <c r="O33" s="2227">
        <v>55</v>
      </c>
      <c r="P33" s="2227">
        <f>사회적유입!AH154</f>
        <v>113</v>
      </c>
      <c r="Q33" s="2228">
        <f>사회적유입!AH154</f>
        <v>113</v>
      </c>
      <c r="R33" s="2228">
        <f t="shared" si="11"/>
        <v>113</v>
      </c>
      <c r="S33" s="2228">
        <f t="shared" si="11"/>
        <v>113</v>
      </c>
      <c r="T33" s="2228">
        <f t="shared" si="11"/>
        <v>113</v>
      </c>
      <c r="U33" s="2227" t="s">
        <v>2206</v>
      </c>
      <c r="V33" s="2227" t="s">
        <v>2207</v>
      </c>
      <c r="W33" s="2227" t="s">
        <v>2208</v>
      </c>
      <c r="X33" s="1786">
        <v>0</v>
      </c>
      <c r="Y33" s="1786">
        <v>0</v>
      </c>
      <c r="Z33" s="1786">
        <f t="shared" si="13"/>
        <v>98</v>
      </c>
      <c r="AA33" s="1786">
        <f t="shared" si="14"/>
        <v>206</v>
      </c>
      <c r="AB33" s="1787" t="s">
        <v>745</v>
      </c>
      <c r="AC33" s="1481" t="s">
        <v>753</v>
      </c>
      <c r="AD33" s="1485"/>
      <c r="AE33" s="1460"/>
      <c r="AG33" s="1433"/>
      <c r="AH33" s="1433"/>
      <c r="AI33" s="1433"/>
      <c r="AJ33" s="1433"/>
      <c r="AK33" s="1433"/>
      <c r="AL33" s="1434"/>
    </row>
    <row r="34" spans="1:38" ht="32.1" customHeight="1">
      <c r="A34" s="2396" t="s">
        <v>739</v>
      </c>
      <c r="B34" s="2424"/>
      <c r="C34" s="1782" t="s">
        <v>2168</v>
      </c>
      <c r="D34" s="1782"/>
      <c r="E34" s="1782" t="s">
        <v>2174</v>
      </c>
      <c r="F34" s="1782" t="s">
        <v>2174</v>
      </c>
      <c r="G34" s="1782" t="s">
        <v>2186</v>
      </c>
      <c r="H34" s="1782" t="s">
        <v>2204</v>
      </c>
      <c r="I34" s="1784">
        <v>0</v>
      </c>
      <c r="J34" s="1785"/>
      <c r="K34" s="1776">
        <v>2019</v>
      </c>
      <c r="L34" s="1786">
        <v>104</v>
      </c>
      <c r="M34" s="2227">
        <f t="shared" si="15"/>
        <v>208</v>
      </c>
      <c r="N34" s="2227">
        <v>0</v>
      </c>
      <c r="O34" s="2227">
        <v>40</v>
      </c>
      <c r="P34" s="2227">
        <f>사회적유입!AH143</f>
        <v>83</v>
      </c>
      <c r="Q34" s="2228">
        <f>사회적유입!AH143</f>
        <v>83</v>
      </c>
      <c r="R34" s="2228">
        <f t="shared" si="11"/>
        <v>83</v>
      </c>
      <c r="S34" s="2228">
        <f t="shared" si="11"/>
        <v>83</v>
      </c>
      <c r="T34" s="2228">
        <f t="shared" si="11"/>
        <v>83</v>
      </c>
      <c r="U34" s="2227" t="s">
        <v>2271</v>
      </c>
      <c r="V34" s="2227" t="s">
        <v>2270</v>
      </c>
      <c r="W34" s="2227" t="s">
        <v>2208</v>
      </c>
      <c r="X34" s="1786">
        <v>0</v>
      </c>
      <c r="Y34" s="1786">
        <v>0</v>
      </c>
      <c r="Z34" s="1786">
        <f t="shared" si="13"/>
        <v>104</v>
      </c>
      <c r="AA34" s="1786">
        <f t="shared" si="14"/>
        <v>208</v>
      </c>
      <c r="AB34" s="1787" t="s">
        <v>745</v>
      </c>
      <c r="AC34" s="1481" t="s">
        <v>754</v>
      </c>
      <c r="AD34" s="1485"/>
      <c r="AE34" s="1460"/>
      <c r="AG34" s="1433"/>
      <c r="AH34" s="1433"/>
      <c r="AI34" s="1433"/>
      <c r="AJ34" s="1433"/>
      <c r="AK34" s="1433"/>
      <c r="AL34" s="1434"/>
    </row>
    <row r="35" spans="1:38" ht="32.1" customHeight="1">
      <c r="A35" s="2396" t="s">
        <v>740</v>
      </c>
      <c r="B35" s="2424"/>
      <c r="C35" s="1782" t="s">
        <v>2169</v>
      </c>
      <c r="D35" s="1782"/>
      <c r="E35" s="1782" t="s">
        <v>2174</v>
      </c>
      <c r="F35" s="1782" t="s">
        <v>2174</v>
      </c>
      <c r="G35" s="1782"/>
      <c r="H35" s="1782" t="s">
        <v>2205</v>
      </c>
      <c r="I35" s="1784">
        <v>0</v>
      </c>
      <c r="J35" s="1785"/>
      <c r="K35" s="1776">
        <v>2020</v>
      </c>
      <c r="L35" s="1786">
        <v>1664</v>
      </c>
      <c r="M35" s="2227">
        <f t="shared" si="15"/>
        <v>3661</v>
      </c>
      <c r="N35" s="2227">
        <v>0</v>
      </c>
      <c r="O35" s="2227">
        <v>63</v>
      </c>
      <c r="P35" s="2227">
        <f>사회적유입!AH42</f>
        <v>2306</v>
      </c>
      <c r="Q35" s="2228">
        <f>사회적유입!AH42</f>
        <v>2306</v>
      </c>
      <c r="R35" s="2228">
        <f t="shared" si="11"/>
        <v>2306</v>
      </c>
      <c r="S35" s="2228">
        <f t="shared" si="11"/>
        <v>2306</v>
      </c>
      <c r="T35" s="2228">
        <f t="shared" si="11"/>
        <v>2306</v>
      </c>
      <c r="U35" s="2227" t="s">
        <v>2206</v>
      </c>
      <c r="V35" s="2227" t="s">
        <v>2207</v>
      </c>
      <c r="W35" s="2227" t="s">
        <v>2208</v>
      </c>
      <c r="X35" s="1786">
        <v>0</v>
      </c>
      <c r="Y35" s="1786">
        <v>0</v>
      </c>
      <c r="Z35" s="1786">
        <f t="shared" si="13"/>
        <v>1664</v>
      </c>
      <c r="AA35" s="1786">
        <f t="shared" si="14"/>
        <v>3661</v>
      </c>
      <c r="AB35" s="1787" t="s">
        <v>748</v>
      </c>
      <c r="AC35" s="1481" t="s">
        <v>750</v>
      </c>
      <c r="AD35" s="1485"/>
      <c r="AE35" s="1460"/>
      <c r="AG35" s="1433"/>
      <c r="AH35" s="1433"/>
      <c r="AI35" s="1433"/>
      <c r="AJ35" s="1433"/>
      <c r="AK35" s="1433"/>
      <c r="AL35" s="1434"/>
    </row>
    <row r="36" spans="1:38" ht="32.1" customHeight="1">
      <c r="A36" s="2396" t="s">
        <v>742</v>
      </c>
      <c r="B36" s="2424"/>
      <c r="C36" s="1782" t="s">
        <v>2170</v>
      </c>
      <c r="D36" s="1782"/>
      <c r="E36" s="1782" t="s">
        <v>2174</v>
      </c>
      <c r="F36" s="1782" t="s">
        <v>2174</v>
      </c>
      <c r="G36" s="1782"/>
      <c r="H36" s="1782" t="s">
        <v>2203</v>
      </c>
      <c r="I36" s="1784">
        <v>0</v>
      </c>
      <c r="J36" s="1788"/>
      <c r="K36" s="1776">
        <v>2025</v>
      </c>
      <c r="L36" s="1775">
        <v>475</v>
      </c>
      <c r="M36" s="2227">
        <f t="shared" si="15"/>
        <v>998</v>
      </c>
      <c r="N36" s="2227">
        <v>0</v>
      </c>
      <c r="O36" s="2227">
        <v>55</v>
      </c>
      <c r="P36" s="2227">
        <f>사회적유입!AM155</f>
        <v>549</v>
      </c>
      <c r="Q36" s="2228">
        <f>사회적유입!AM155</f>
        <v>549</v>
      </c>
      <c r="R36" s="2228">
        <f>Q36</f>
        <v>549</v>
      </c>
      <c r="S36" s="2228">
        <f>R36</f>
        <v>549</v>
      </c>
      <c r="T36" s="2228">
        <f>S36</f>
        <v>549</v>
      </c>
      <c r="U36" s="2227" t="s">
        <v>2206</v>
      </c>
      <c r="V36" s="2227" t="s">
        <v>2207</v>
      </c>
      <c r="W36" s="2227" t="s">
        <v>2208</v>
      </c>
      <c r="X36" s="1786">
        <v>0</v>
      </c>
      <c r="Y36" s="1786">
        <f t="shared" si="12"/>
        <v>0</v>
      </c>
      <c r="Z36" s="1786">
        <f t="shared" si="13"/>
        <v>475</v>
      </c>
      <c r="AA36" s="1786">
        <f>+M36-Y36</f>
        <v>998</v>
      </c>
      <c r="AB36" s="1787" t="s">
        <v>748</v>
      </c>
      <c r="AC36" s="1481" t="s">
        <v>753</v>
      </c>
      <c r="AD36" s="1485"/>
      <c r="AE36" s="1460"/>
      <c r="AG36" s="1433"/>
      <c r="AH36" s="1433"/>
      <c r="AI36" s="1433"/>
      <c r="AJ36" s="1433"/>
      <c r="AK36" s="1433"/>
      <c r="AL36" s="1434"/>
    </row>
    <row r="37" spans="1:38" ht="32.1" customHeight="1">
      <c r="A37" s="2396" t="s">
        <v>743</v>
      </c>
      <c r="B37" s="2424"/>
      <c r="C37" s="1782" t="s">
        <v>2171</v>
      </c>
      <c r="D37" s="1782"/>
      <c r="E37" s="1782" t="s">
        <v>2174</v>
      </c>
      <c r="F37" s="1782" t="s">
        <v>2174</v>
      </c>
      <c r="G37" s="1782"/>
      <c r="H37" s="1782" t="s">
        <v>2198</v>
      </c>
      <c r="I37" s="1784">
        <v>0</v>
      </c>
      <c r="J37" s="1788"/>
      <c r="K37" s="1776">
        <v>2025</v>
      </c>
      <c r="L37" s="1775">
        <v>650</v>
      </c>
      <c r="M37" s="2227">
        <f t="shared" si="15"/>
        <v>1495</v>
      </c>
      <c r="N37" s="2227">
        <v>0</v>
      </c>
      <c r="O37" s="2227">
        <v>55</v>
      </c>
      <c r="P37" s="2227">
        <f>사회적유입!AM107</f>
        <v>822</v>
      </c>
      <c r="Q37" s="2228">
        <v>0</v>
      </c>
      <c r="R37" s="2228">
        <f>사회적유입!AM107</f>
        <v>822</v>
      </c>
      <c r="S37" s="2228">
        <f>R37</f>
        <v>822</v>
      </c>
      <c r="T37" s="2228">
        <f>S37</f>
        <v>822</v>
      </c>
      <c r="U37" s="2227" t="s">
        <v>2206</v>
      </c>
      <c r="V37" s="2227" t="s">
        <v>2207</v>
      </c>
      <c r="W37" s="2227" t="s">
        <v>2208</v>
      </c>
      <c r="X37" s="1786">
        <v>0</v>
      </c>
      <c r="Y37" s="1786">
        <f t="shared" si="12"/>
        <v>0</v>
      </c>
      <c r="Z37" s="1786">
        <f t="shared" si="13"/>
        <v>650</v>
      </c>
      <c r="AA37" s="1786">
        <f>+M37-Y37</f>
        <v>1495</v>
      </c>
      <c r="AB37" s="1787" t="s">
        <v>748</v>
      </c>
      <c r="AC37" s="1481" t="s">
        <v>749</v>
      </c>
      <c r="AD37" s="1485" t="s">
        <v>1333</v>
      </c>
      <c r="AE37" s="1460"/>
      <c r="AG37" s="1433"/>
      <c r="AH37" s="1433"/>
      <c r="AI37" s="1433"/>
      <c r="AJ37" s="1433"/>
      <c r="AK37" s="1433"/>
      <c r="AL37" s="1434"/>
    </row>
    <row r="38" spans="1:38" ht="39" customHeight="1">
      <c r="A38" s="2427" t="s">
        <v>744</v>
      </c>
      <c r="B38" s="2428"/>
      <c r="C38" s="2147" t="s">
        <v>2172</v>
      </c>
      <c r="D38" s="2147"/>
      <c r="E38" s="2147" t="s">
        <v>2174</v>
      </c>
      <c r="F38" s="2147" t="s">
        <v>2174</v>
      </c>
      <c r="G38" s="2147"/>
      <c r="H38" s="2147" t="s">
        <v>2198</v>
      </c>
      <c r="I38" s="1789">
        <v>0</v>
      </c>
      <c r="J38" s="1790"/>
      <c r="K38" s="1791">
        <v>2025</v>
      </c>
      <c r="L38" s="1792">
        <v>488</v>
      </c>
      <c r="M38" s="2148">
        <f t="shared" si="15"/>
        <v>976</v>
      </c>
      <c r="N38" s="2148">
        <v>0</v>
      </c>
      <c r="O38" s="2148">
        <v>55</v>
      </c>
      <c r="P38" s="2148">
        <f>사회적유입!AM125</f>
        <v>537</v>
      </c>
      <c r="Q38" s="2149">
        <v>0</v>
      </c>
      <c r="R38" s="2149">
        <f>사회적유입!AM125</f>
        <v>537</v>
      </c>
      <c r="S38" s="2149">
        <f>R38</f>
        <v>537</v>
      </c>
      <c r="T38" s="2149">
        <f>S38</f>
        <v>537</v>
      </c>
      <c r="U38" s="2148" t="s">
        <v>2271</v>
      </c>
      <c r="V38" s="2148" t="s">
        <v>2270</v>
      </c>
      <c r="W38" s="2148" t="s">
        <v>2208</v>
      </c>
      <c r="X38" s="1793">
        <v>0</v>
      </c>
      <c r="Y38" s="1793">
        <f t="shared" si="12"/>
        <v>0</v>
      </c>
      <c r="Z38" s="1793">
        <f t="shared" si="13"/>
        <v>488</v>
      </c>
      <c r="AA38" s="1793">
        <f>+M38-Y38</f>
        <v>976</v>
      </c>
      <c r="AB38" s="1794" t="s">
        <v>579</v>
      </c>
      <c r="AC38" s="1481" t="s">
        <v>755</v>
      </c>
      <c r="AD38" s="1485"/>
      <c r="AE38" s="1460"/>
      <c r="AG38" s="1433"/>
      <c r="AH38" s="1433"/>
      <c r="AI38" s="1433"/>
      <c r="AJ38" s="1433"/>
      <c r="AK38" s="1433"/>
      <c r="AL38" s="1434"/>
    </row>
    <row r="39" spans="1:38" ht="38.25" customHeight="1">
      <c r="A39" s="2465" t="s">
        <v>64</v>
      </c>
      <c r="B39" s="2466"/>
      <c r="C39" s="1795">
        <f>COUNTA(A18:B38)</f>
        <v>21</v>
      </c>
      <c r="D39" s="1795"/>
      <c r="E39" s="1795"/>
      <c r="F39" s="1795"/>
      <c r="G39" s="1795"/>
      <c r="H39" s="1795"/>
      <c r="I39" s="1493"/>
      <c r="J39" s="1797"/>
      <c r="K39" s="1797"/>
      <c r="L39" s="1493">
        <f>SUM(L18:L38)</f>
        <v>7967</v>
      </c>
      <c r="M39" s="1493">
        <f>SUM(M18:M38)</f>
        <v>17891</v>
      </c>
      <c r="N39" s="1493"/>
      <c r="O39" s="1493"/>
      <c r="P39" s="1493"/>
      <c r="Q39" s="1493"/>
      <c r="R39" s="1493"/>
      <c r="S39" s="1493"/>
      <c r="T39" s="1493"/>
      <c r="U39" s="1493"/>
      <c r="V39" s="1493"/>
      <c r="W39" s="1493"/>
      <c r="X39" s="1493">
        <f>SUM(X18:X38)</f>
        <v>0</v>
      </c>
      <c r="Y39" s="1493">
        <f>SUM(Y18:Y38)</f>
        <v>0</v>
      </c>
      <c r="Z39" s="1493">
        <f>SUM(Z18:Z38)</f>
        <v>7967</v>
      </c>
      <c r="AA39" s="1493">
        <f>SUM(AA18:AA38)</f>
        <v>17891</v>
      </c>
      <c r="AB39" s="1798"/>
      <c r="AC39" s="1496"/>
      <c r="AD39" s="1460"/>
      <c r="AE39" s="1460"/>
      <c r="AG39" s="1433"/>
      <c r="AH39" s="1433"/>
      <c r="AI39" s="1433"/>
      <c r="AJ39" s="1433"/>
      <c r="AK39" s="1433"/>
      <c r="AL39" s="1434"/>
    </row>
    <row r="40" spans="1:38" ht="32.1" customHeight="1">
      <c r="A40" s="1261"/>
      <c r="B40" s="1261"/>
      <c r="C40" s="1497"/>
      <c r="D40" s="1497"/>
      <c r="E40" s="1497"/>
      <c r="F40" s="1497"/>
      <c r="G40" s="1497"/>
      <c r="H40" s="1497"/>
      <c r="I40" s="1498"/>
      <c r="J40" s="1499"/>
      <c r="K40" s="1499"/>
      <c r="L40" s="1262"/>
      <c r="M40" s="1262"/>
      <c r="N40" s="1262"/>
      <c r="O40" s="1262"/>
      <c r="P40" s="1262"/>
      <c r="Q40" s="1262"/>
      <c r="R40" s="1262"/>
      <c r="S40" s="1262"/>
      <c r="T40" s="1262"/>
      <c r="U40" s="1262"/>
      <c r="V40" s="1262"/>
      <c r="W40" s="1262"/>
      <c r="X40" s="1262"/>
      <c r="Y40" s="1262"/>
      <c r="Z40" s="1262"/>
      <c r="AA40" s="1262"/>
      <c r="AB40" s="1496"/>
      <c r="AC40" s="1496"/>
      <c r="AD40" s="1460"/>
      <c r="AE40" s="1460"/>
      <c r="AG40" s="1433"/>
      <c r="AH40" s="1433"/>
      <c r="AI40" s="1433"/>
      <c r="AJ40" s="1433"/>
      <c r="AK40" s="1433"/>
      <c r="AL40" s="1434"/>
    </row>
    <row r="41" spans="1:38" ht="24.95" customHeight="1">
      <c r="A41" s="1435" t="s">
        <v>601</v>
      </c>
      <c r="B41" s="1435"/>
      <c r="C41" s="1267"/>
      <c r="D41" s="1267"/>
      <c r="E41" s="1267"/>
      <c r="F41" s="1267"/>
      <c r="G41" s="1267"/>
      <c r="H41" s="1267"/>
      <c r="I41" s="1267"/>
      <c r="J41" s="1430"/>
      <c r="K41" s="1430"/>
      <c r="L41" s="1430"/>
      <c r="M41" s="1430"/>
      <c r="N41" s="1430"/>
      <c r="O41" s="1430"/>
      <c r="P41" s="1430"/>
      <c r="Q41" s="1430"/>
      <c r="R41" s="1430"/>
      <c r="S41" s="1430"/>
      <c r="T41" s="1430"/>
      <c r="U41" s="1430"/>
      <c r="V41" s="1430"/>
      <c r="W41" s="1430"/>
      <c r="X41" s="1430"/>
      <c r="Y41" s="1430"/>
      <c r="Z41" s="1430"/>
      <c r="AA41" s="1430"/>
      <c r="AB41" s="1430"/>
      <c r="AC41" s="1430"/>
      <c r="AE41" s="2404" t="s">
        <v>85</v>
      </c>
      <c r="AF41" s="2405"/>
      <c r="AG41" s="2408" t="s">
        <v>86</v>
      </c>
      <c r="AH41" s="2408"/>
      <c r="AI41" s="2408"/>
      <c r="AJ41" s="2409" t="s">
        <v>87</v>
      </c>
      <c r="AK41" s="2398" t="s">
        <v>1159</v>
      </c>
      <c r="AL41" s="2398" t="s">
        <v>544</v>
      </c>
    </row>
    <row r="42" spans="1:38" ht="30" customHeight="1">
      <c r="A42" s="2416" t="s">
        <v>67</v>
      </c>
      <c r="B42" s="2417"/>
      <c r="C42" s="2420" t="s">
        <v>65</v>
      </c>
      <c r="D42" s="2413" t="s">
        <v>2126</v>
      </c>
      <c r="E42" s="2413" t="s">
        <v>2127</v>
      </c>
      <c r="F42" s="2413" t="s">
        <v>2128</v>
      </c>
      <c r="G42" s="2413" t="s">
        <v>2140</v>
      </c>
      <c r="H42" s="2413" t="s">
        <v>2129</v>
      </c>
      <c r="I42" s="2413"/>
      <c r="J42" s="2444" t="s">
        <v>66</v>
      </c>
      <c r="K42" s="2411" t="s">
        <v>46</v>
      </c>
      <c r="L42" s="2411" t="s">
        <v>47</v>
      </c>
      <c r="M42" s="2413" t="s">
        <v>2131</v>
      </c>
      <c r="N42" s="2413" t="s">
        <v>2132</v>
      </c>
      <c r="O42" s="2413" t="s">
        <v>2133</v>
      </c>
      <c r="P42" s="2413" t="s">
        <v>2134</v>
      </c>
      <c r="Q42" s="2413" t="s">
        <v>2135</v>
      </c>
      <c r="R42" s="2413"/>
      <c r="S42" s="2413"/>
      <c r="T42" s="2413"/>
      <c r="U42" s="2413" t="s">
        <v>2136</v>
      </c>
      <c r="V42" s="2413"/>
      <c r="W42" s="2413"/>
      <c r="X42" s="2415" t="s">
        <v>916</v>
      </c>
      <c r="Y42" s="2415"/>
      <c r="Z42" s="2415" t="s">
        <v>917</v>
      </c>
      <c r="AA42" s="2415"/>
      <c r="AB42" s="2482" t="s">
        <v>49</v>
      </c>
      <c r="AC42" s="1461"/>
      <c r="AD42" s="1500"/>
      <c r="AE42" s="2406"/>
      <c r="AF42" s="2407"/>
      <c r="AG42" s="1317" t="s">
        <v>88</v>
      </c>
      <c r="AH42" s="1317" t="s">
        <v>89</v>
      </c>
      <c r="AI42" s="1317" t="s">
        <v>90</v>
      </c>
      <c r="AJ42" s="2410"/>
      <c r="AK42" s="2399"/>
      <c r="AL42" s="2399"/>
    </row>
    <row r="43" spans="1:38" ht="30" customHeight="1">
      <c r="A43" s="2418"/>
      <c r="B43" s="2419"/>
      <c r="C43" s="2421"/>
      <c r="D43" s="2414"/>
      <c r="E43" s="2414"/>
      <c r="F43" s="2414"/>
      <c r="G43" s="2414"/>
      <c r="H43" s="1464" t="s">
        <v>2130</v>
      </c>
      <c r="I43" s="1464" t="s">
        <v>61</v>
      </c>
      <c r="J43" s="2445"/>
      <c r="K43" s="2433"/>
      <c r="L43" s="2412"/>
      <c r="M43" s="2414"/>
      <c r="N43" s="2414"/>
      <c r="O43" s="2414"/>
      <c r="P43" s="2414"/>
      <c r="Q43" s="1464">
        <v>2020</v>
      </c>
      <c r="R43" s="1464">
        <v>2025</v>
      </c>
      <c r="S43" s="1464">
        <v>2030</v>
      </c>
      <c r="T43" s="1464">
        <v>2035</v>
      </c>
      <c r="U43" s="1464" t="s">
        <v>2137</v>
      </c>
      <c r="V43" s="1464" t="s">
        <v>2138</v>
      </c>
      <c r="W43" s="1464" t="s">
        <v>2139</v>
      </c>
      <c r="X43" s="1501" t="s">
        <v>62</v>
      </c>
      <c r="Y43" s="1501" t="s">
        <v>63</v>
      </c>
      <c r="Z43" s="1501" t="s">
        <v>62</v>
      </c>
      <c r="AA43" s="1501" t="s">
        <v>63</v>
      </c>
      <c r="AB43" s="2483"/>
      <c r="AC43" s="1461"/>
      <c r="AD43" s="1500"/>
      <c r="AE43" s="2402" t="s">
        <v>91</v>
      </c>
      <c r="AF43" s="1252" t="str">
        <f t="shared" ref="AF43:AF53" si="16">A44</f>
        <v>리노삼봉산업단지</v>
      </c>
      <c r="AG43" s="1502">
        <v>441</v>
      </c>
      <c r="AH43" s="1503">
        <f t="shared" ref="AH43:AH48" si="17">ROUND(AG43*0.64,0)</f>
        <v>282</v>
      </c>
      <c r="AI43" s="1503">
        <f t="shared" ref="AI43:AI48" si="18">ROUND(AG43*0.36,0)</f>
        <v>159</v>
      </c>
      <c r="AJ43" s="44">
        <f t="shared" ref="AJ43:AJ53" si="19">ROUND(AH43*2.6,0)+4</f>
        <v>737</v>
      </c>
      <c r="AK43" s="44">
        <f t="shared" ref="AK43:AK53" si="20">AI43+AJ43</f>
        <v>896</v>
      </c>
      <c r="AL43" s="45">
        <f t="shared" ref="AL43:AL53" si="21">ROUND(AK43*0.35,0)</f>
        <v>314</v>
      </c>
    </row>
    <row r="44" spans="1:38" ht="30" customHeight="1">
      <c r="A44" s="2422" t="s">
        <v>911</v>
      </c>
      <c r="B44" s="2423"/>
      <c r="C44" s="1504" t="s">
        <v>912</v>
      </c>
      <c r="D44" s="1504"/>
      <c r="E44" s="1780" t="s">
        <v>2174</v>
      </c>
      <c r="F44" s="1780" t="s">
        <v>2174</v>
      </c>
      <c r="G44" s="1780" t="s">
        <v>2188</v>
      </c>
      <c r="H44" s="1504"/>
      <c r="I44" s="1505">
        <v>164556.4</v>
      </c>
      <c r="J44" s="1763" t="s">
        <v>913</v>
      </c>
      <c r="K44" s="1799">
        <v>2018</v>
      </c>
      <c r="L44" s="1508">
        <v>0</v>
      </c>
      <c r="M44" s="1508">
        <v>314</v>
      </c>
      <c r="N44" s="1508">
        <v>0</v>
      </c>
      <c r="O44" s="1508">
        <v>45</v>
      </c>
      <c r="P44" s="1508">
        <f>사회적유입!AH93</f>
        <v>29</v>
      </c>
      <c r="Q44" s="1811">
        <f>사회적유입!AH93</f>
        <v>29</v>
      </c>
      <c r="R44" s="1811">
        <f>Q44</f>
        <v>29</v>
      </c>
      <c r="S44" s="1811">
        <f>R44</f>
        <v>29</v>
      </c>
      <c r="T44" s="1811">
        <f>S44</f>
        <v>29</v>
      </c>
      <c r="U44" s="1508" t="s">
        <v>2210</v>
      </c>
      <c r="V44" s="1508" t="s">
        <v>2207</v>
      </c>
      <c r="W44" s="1508" t="s">
        <v>2211</v>
      </c>
      <c r="X44" s="1508">
        <v>0</v>
      </c>
      <c r="Y44" s="1508">
        <v>0</v>
      </c>
      <c r="Z44" s="1508">
        <f t="shared" ref="Z44:Z54" si="22">+L44-X44</f>
        <v>0</v>
      </c>
      <c r="AA44" s="1508">
        <f t="shared" ref="AA44:AA54" si="23">+M44-Y44</f>
        <v>314</v>
      </c>
      <c r="AB44" s="1800"/>
      <c r="AC44" s="1510" t="s">
        <v>1099</v>
      </c>
      <c r="AD44" s="1500"/>
      <c r="AE44" s="2403"/>
      <c r="AF44" s="62" t="str">
        <f t="shared" si="16"/>
        <v>상우산업단지</v>
      </c>
      <c r="AG44" s="1502">
        <v>1701</v>
      </c>
      <c r="AH44" s="1503">
        <f t="shared" si="17"/>
        <v>1089</v>
      </c>
      <c r="AI44" s="1503">
        <f t="shared" si="18"/>
        <v>612</v>
      </c>
      <c r="AJ44" s="44">
        <f t="shared" si="19"/>
        <v>2835</v>
      </c>
      <c r="AK44" s="44">
        <f t="shared" si="20"/>
        <v>3447</v>
      </c>
      <c r="AL44" s="45">
        <f t="shared" si="21"/>
        <v>1206</v>
      </c>
    </row>
    <row r="45" spans="1:38" ht="30" customHeight="1">
      <c r="A45" s="2400" t="s">
        <v>914</v>
      </c>
      <c r="B45" s="2401"/>
      <c r="C45" s="1511" t="s">
        <v>915</v>
      </c>
      <c r="D45" s="1511"/>
      <c r="E45" s="1780" t="s">
        <v>2174</v>
      </c>
      <c r="F45" s="1780" t="s">
        <v>2174</v>
      </c>
      <c r="G45" s="1780" t="s">
        <v>2189</v>
      </c>
      <c r="H45" s="1511"/>
      <c r="I45" s="1512">
        <v>678567</v>
      </c>
      <c r="J45" s="1758" t="s">
        <v>1319</v>
      </c>
      <c r="K45" s="1801">
        <v>2020</v>
      </c>
      <c r="L45" s="1515">
        <v>0</v>
      </c>
      <c r="M45" s="1515">
        <v>2249</v>
      </c>
      <c r="N45" s="1515">
        <v>0</v>
      </c>
      <c r="O45" s="1515">
        <v>45</v>
      </c>
      <c r="P45" s="1515">
        <f>사회적유입!AM159</f>
        <v>668</v>
      </c>
      <c r="Q45" s="1812">
        <f>사회적유입!AH159</f>
        <v>134</v>
      </c>
      <c r="R45" s="1812">
        <f>사회적유입!AM159</f>
        <v>668</v>
      </c>
      <c r="S45" s="1812">
        <f>R45</f>
        <v>668</v>
      </c>
      <c r="T45" s="1812">
        <f>S45</f>
        <v>668</v>
      </c>
      <c r="U45" s="1515" t="s">
        <v>2210</v>
      </c>
      <c r="V45" s="1515" t="s">
        <v>2207</v>
      </c>
      <c r="W45" s="1515" t="s">
        <v>2211</v>
      </c>
      <c r="X45" s="1515">
        <v>0</v>
      </c>
      <c r="Y45" s="1515">
        <v>0</v>
      </c>
      <c r="Z45" s="1515">
        <f t="shared" si="22"/>
        <v>0</v>
      </c>
      <c r="AA45" s="1515">
        <f t="shared" si="23"/>
        <v>2249</v>
      </c>
      <c r="AB45" s="1802"/>
      <c r="AC45" s="1510" t="s">
        <v>1100</v>
      </c>
      <c r="AD45" s="1500"/>
      <c r="AE45" s="2403"/>
      <c r="AF45" s="62" t="str">
        <f t="shared" si="16"/>
        <v>신천보부산업단지</v>
      </c>
      <c r="AG45" s="1502">
        <v>2254</v>
      </c>
      <c r="AH45" s="1503">
        <f t="shared" si="17"/>
        <v>1443</v>
      </c>
      <c r="AI45" s="1503">
        <f t="shared" si="18"/>
        <v>811</v>
      </c>
      <c r="AJ45" s="44">
        <f t="shared" si="19"/>
        <v>3756</v>
      </c>
      <c r="AK45" s="44">
        <f t="shared" si="20"/>
        <v>4567</v>
      </c>
      <c r="AL45" s="45">
        <f t="shared" si="21"/>
        <v>1598</v>
      </c>
    </row>
    <row r="46" spans="1:38" ht="30" customHeight="1">
      <c r="A46" s="2400" t="s">
        <v>918</v>
      </c>
      <c r="B46" s="2401"/>
      <c r="C46" s="1511" t="s">
        <v>919</v>
      </c>
      <c r="D46" s="1511"/>
      <c r="E46" s="1780" t="s">
        <v>2174</v>
      </c>
      <c r="F46" s="1780" t="s">
        <v>2174</v>
      </c>
      <c r="G46" s="1780" t="s">
        <v>2193</v>
      </c>
      <c r="H46" s="1511"/>
      <c r="I46" s="1512">
        <v>144926</v>
      </c>
      <c r="J46" s="1758" t="s">
        <v>920</v>
      </c>
      <c r="K46" s="1801">
        <v>2018</v>
      </c>
      <c r="L46" s="1515">
        <v>0</v>
      </c>
      <c r="M46" s="1515">
        <v>372</v>
      </c>
      <c r="N46" s="1515">
        <v>0</v>
      </c>
      <c r="O46" s="1515">
        <v>45</v>
      </c>
      <c r="P46" s="1515">
        <v>0</v>
      </c>
      <c r="Q46" s="1812">
        <v>0</v>
      </c>
      <c r="R46" s="1812">
        <v>0</v>
      </c>
      <c r="S46" s="1812">
        <v>0</v>
      </c>
      <c r="T46" s="1812">
        <v>0</v>
      </c>
      <c r="U46" s="1515" t="s">
        <v>2210</v>
      </c>
      <c r="V46" s="1515" t="s">
        <v>2207</v>
      </c>
      <c r="W46" s="1515" t="s">
        <v>2211</v>
      </c>
      <c r="X46" s="1515">
        <v>0</v>
      </c>
      <c r="Y46" s="1515">
        <v>0</v>
      </c>
      <c r="Z46" s="1515">
        <f t="shared" si="22"/>
        <v>0</v>
      </c>
      <c r="AA46" s="1515">
        <f t="shared" si="23"/>
        <v>372</v>
      </c>
      <c r="AB46" s="1802"/>
      <c r="AC46" s="1510" t="s">
        <v>1098</v>
      </c>
      <c r="AD46" s="1500"/>
      <c r="AE46" s="2403"/>
      <c r="AF46" s="62" t="str">
        <f t="shared" si="16"/>
        <v>오선산업단지</v>
      </c>
      <c r="AG46" s="1502">
        <v>1011</v>
      </c>
      <c r="AH46" s="1503">
        <f t="shared" si="17"/>
        <v>647</v>
      </c>
      <c r="AI46" s="1503">
        <f t="shared" si="18"/>
        <v>364</v>
      </c>
      <c r="AJ46" s="44">
        <f t="shared" si="19"/>
        <v>1686</v>
      </c>
      <c r="AK46" s="44">
        <f t="shared" si="20"/>
        <v>2050</v>
      </c>
      <c r="AL46" s="45">
        <f t="shared" si="21"/>
        <v>718</v>
      </c>
    </row>
    <row r="47" spans="1:38" ht="30" customHeight="1">
      <c r="A47" s="2400" t="s">
        <v>921</v>
      </c>
      <c r="B47" s="2401"/>
      <c r="C47" s="1511" t="s">
        <v>922</v>
      </c>
      <c r="D47" s="1511"/>
      <c r="E47" s="1780" t="s">
        <v>2174</v>
      </c>
      <c r="F47" s="1780" t="s">
        <v>2174</v>
      </c>
      <c r="G47" s="1780" t="s">
        <v>2194</v>
      </c>
      <c r="H47" s="1511"/>
      <c r="I47" s="1512">
        <v>459091</v>
      </c>
      <c r="J47" s="1758" t="s">
        <v>923</v>
      </c>
      <c r="K47" s="1801">
        <v>2018</v>
      </c>
      <c r="L47" s="1515"/>
      <c r="M47" s="1515">
        <v>1051</v>
      </c>
      <c r="N47" s="1515">
        <v>0</v>
      </c>
      <c r="O47" s="1515">
        <v>45</v>
      </c>
      <c r="P47" s="1515">
        <f>사회적유입!AH46</f>
        <v>47</v>
      </c>
      <c r="Q47" s="1812">
        <f>사회적유입!AH46</f>
        <v>47</v>
      </c>
      <c r="R47" s="1812">
        <f>Q47</f>
        <v>47</v>
      </c>
      <c r="S47" s="1812">
        <f>R47</f>
        <v>47</v>
      </c>
      <c r="T47" s="1812">
        <f>S47</f>
        <v>47</v>
      </c>
      <c r="U47" s="1515" t="s">
        <v>2210</v>
      </c>
      <c r="V47" s="1515" t="s">
        <v>2207</v>
      </c>
      <c r="W47" s="1515" t="s">
        <v>2211</v>
      </c>
      <c r="X47" s="1515">
        <v>0</v>
      </c>
      <c r="Y47" s="1515">
        <v>0</v>
      </c>
      <c r="Z47" s="1515">
        <f t="shared" si="22"/>
        <v>0</v>
      </c>
      <c r="AA47" s="1515">
        <f t="shared" si="23"/>
        <v>1051</v>
      </c>
      <c r="AB47" s="1802"/>
      <c r="AC47" s="1510" t="s">
        <v>1101</v>
      </c>
      <c r="AD47" s="1500"/>
      <c r="AE47" s="2403"/>
      <c r="AF47" s="1252" t="str">
        <f t="shared" si="16"/>
        <v>유촌산업단지</v>
      </c>
      <c r="AG47" s="1502">
        <v>1753</v>
      </c>
      <c r="AH47" s="1503">
        <f t="shared" si="17"/>
        <v>1122</v>
      </c>
      <c r="AI47" s="1503">
        <f t="shared" si="18"/>
        <v>631</v>
      </c>
      <c r="AJ47" s="44">
        <f t="shared" si="19"/>
        <v>2921</v>
      </c>
      <c r="AK47" s="44">
        <f t="shared" si="20"/>
        <v>3552</v>
      </c>
      <c r="AL47" s="45">
        <f t="shared" si="21"/>
        <v>1243</v>
      </c>
    </row>
    <row r="48" spans="1:38" ht="30" customHeight="1">
      <c r="A48" s="2400" t="s">
        <v>924</v>
      </c>
      <c r="B48" s="2401"/>
      <c r="C48" s="1511" t="s">
        <v>925</v>
      </c>
      <c r="D48" s="1511"/>
      <c r="E48" s="1780" t="s">
        <v>2174</v>
      </c>
      <c r="F48" s="1780" t="s">
        <v>2174</v>
      </c>
      <c r="G48" s="1780" t="s">
        <v>2195</v>
      </c>
      <c r="H48" s="1511"/>
      <c r="I48" s="1512">
        <v>409725</v>
      </c>
      <c r="J48" s="1758" t="s">
        <v>1320</v>
      </c>
      <c r="K48" s="1801">
        <v>2019</v>
      </c>
      <c r="L48" s="1515">
        <v>0</v>
      </c>
      <c r="M48" s="1515">
        <v>1753</v>
      </c>
      <c r="N48" s="1515">
        <v>0</v>
      </c>
      <c r="O48" s="1515">
        <v>45</v>
      </c>
      <c r="P48" s="1515">
        <f>사회적유입!AM49</f>
        <v>157</v>
      </c>
      <c r="Q48" s="1812">
        <f>사회적유입!AH49</f>
        <v>94</v>
      </c>
      <c r="R48" s="1812">
        <f>사회적유입!AM49</f>
        <v>157</v>
      </c>
      <c r="S48" s="1812">
        <f>R48</f>
        <v>157</v>
      </c>
      <c r="T48" s="1812">
        <f>S48</f>
        <v>157</v>
      </c>
      <c r="U48" s="1515" t="s">
        <v>2210</v>
      </c>
      <c r="V48" s="1515" t="s">
        <v>2207</v>
      </c>
      <c r="W48" s="1515" t="s">
        <v>2211</v>
      </c>
      <c r="X48" s="1515">
        <v>0</v>
      </c>
      <c r="Y48" s="1515">
        <v>0</v>
      </c>
      <c r="Z48" s="1515">
        <f t="shared" si="22"/>
        <v>0</v>
      </c>
      <c r="AA48" s="1515">
        <f t="shared" si="23"/>
        <v>1753</v>
      </c>
      <c r="AB48" s="1802"/>
      <c r="AC48" s="1510" t="s">
        <v>1101</v>
      </c>
      <c r="AD48" s="1500"/>
      <c r="AE48" s="2403"/>
      <c r="AF48" s="62" t="str">
        <f t="shared" si="16"/>
        <v>생극산업단지</v>
      </c>
      <c r="AG48" s="1502">
        <v>2208</v>
      </c>
      <c r="AH48" s="1503">
        <f t="shared" si="17"/>
        <v>1413</v>
      </c>
      <c r="AI48" s="1503">
        <f t="shared" si="18"/>
        <v>795</v>
      </c>
      <c r="AJ48" s="44">
        <f t="shared" si="19"/>
        <v>3678</v>
      </c>
      <c r="AK48" s="44">
        <f t="shared" si="20"/>
        <v>4473</v>
      </c>
      <c r="AL48" s="45">
        <f t="shared" si="21"/>
        <v>1566</v>
      </c>
    </row>
    <row r="49" spans="1:38" ht="30" customHeight="1">
      <c r="A49" s="2400" t="s">
        <v>926</v>
      </c>
      <c r="B49" s="2401"/>
      <c r="C49" s="1511" t="s">
        <v>927</v>
      </c>
      <c r="D49" s="1511"/>
      <c r="E49" s="1780" t="s">
        <v>2174</v>
      </c>
      <c r="F49" s="1780" t="s">
        <v>2174</v>
      </c>
      <c r="G49" s="1780" t="s">
        <v>2190</v>
      </c>
      <c r="H49" s="1511"/>
      <c r="I49" s="1512">
        <v>456756.2</v>
      </c>
      <c r="J49" s="1758" t="s">
        <v>1321</v>
      </c>
      <c r="K49" s="1801">
        <v>2018</v>
      </c>
      <c r="L49" s="1515">
        <v>0</v>
      </c>
      <c r="M49" s="1515">
        <v>1649</v>
      </c>
      <c r="N49" s="1515">
        <v>0</v>
      </c>
      <c r="O49" s="1515">
        <v>45</v>
      </c>
      <c r="P49" s="1515">
        <f>사회적유입!AH147</f>
        <v>362</v>
      </c>
      <c r="Q49" s="1812">
        <f>사회적유입!AH147</f>
        <v>362</v>
      </c>
      <c r="R49" s="1812">
        <f>Q49</f>
        <v>362</v>
      </c>
      <c r="S49" s="1812">
        <f>R49</f>
        <v>362</v>
      </c>
      <c r="T49" s="1812">
        <f>S49</f>
        <v>362</v>
      </c>
      <c r="U49" s="1515" t="s">
        <v>2210</v>
      </c>
      <c r="V49" s="1515" t="s">
        <v>2207</v>
      </c>
      <c r="W49" s="1515" t="s">
        <v>2211</v>
      </c>
      <c r="X49" s="1515">
        <v>0</v>
      </c>
      <c r="Y49" s="1515">
        <v>0</v>
      </c>
      <c r="Z49" s="1515">
        <f t="shared" si="22"/>
        <v>0</v>
      </c>
      <c r="AA49" s="1515">
        <f t="shared" si="23"/>
        <v>1649</v>
      </c>
      <c r="AB49" s="1802"/>
      <c r="AC49" s="1510" t="s">
        <v>1102</v>
      </c>
      <c r="AD49" s="1500"/>
      <c r="AE49" s="2403"/>
      <c r="AF49" s="62" t="str">
        <f t="shared" si="16"/>
        <v>성본산업단지</v>
      </c>
      <c r="AG49" s="1502">
        <v>7790</v>
      </c>
      <c r="AH49" s="1503">
        <f>ROUND(AG49*0.64,0)-1</f>
        <v>4985</v>
      </c>
      <c r="AI49" s="1503">
        <f>ROUND(AG49*0.36,0)+1</f>
        <v>2805</v>
      </c>
      <c r="AJ49" s="44">
        <f t="shared" si="19"/>
        <v>12965</v>
      </c>
      <c r="AK49" s="44">
        <f t="shared" si="20"/>
        <v>15770</v>
      </c>
      <c r="AL49" s="45">
        <f t="shared" si="21"/>
        <v>5520</v>
      </c>
    </row>
    <row r="50" spans="1:38" ht="30" customHeight="1">
      <c r="A50" s="2400" t="s">
        <v>928</v>
      </c>
      <c r="B50" s="2401"/>
      <c r="C50" s="1511" t="s">
        <v>929</v>
      </c>
      <c r="D50" s="1511"/>
      <c r="E50" s="1780" t="s">
        <v>2174</v>
      </c>
      <c r="F50" s="1780" t="s">
        <v>2174</v>
      </c>
      <c r="G50" s="1780" t="s">
        <v>2192</v>
      </c>
      <c r="H50" s="1511"/>
      <c r="I50" s="1512">
        <v>1975543</v>
      </c>
      <c r="J50" s="1758" t="s">
        <v>1322</v>
      </c>
      <c r="K50" s="1801">
        <v>2019</v>
      </c>
      <c r="L50" s="1515">
        <v>5447</v>
      </c>
      <c r="M50" s="1515">
        <v>14162</v>
      </c>
      <c r="N50" s="1515">
        <v>0</v>
      </c>
      <c r="O50" s="1515">
        <v>45</v>
      </c>
      <c r="P50" s="1515">
        <v>0</v>
      </c>
      <c r="Q50" s="1812">
        <v>0</v>
      </c>
      <c r="R50" s="1812">
        <v>0</v>
      </c>
      <c r="S50" s="1812">
        <v>0</v>
      </c>
      <c r="T50" s="1812">
        <v>0</v>
      </c>
      <c r="U50" s="1515" t="s">
        <v>2210</v>
      </c>
      <c r="V50" s="1515" t="s">
        <v>2207</v>
      </c>
      <c r="W50" s="1515" t="s">
        <v>2211</v>
      </c>
      <c r="X50" s="1515">
        <v>0</v>
      </c>
      <c r="Y50" s="1515">
        <v>0</v>
      </c>
      <c r="Z50" s="1515">
        <f>+L50-X50</f>
        <v>5447</v>
      </c>
      <c r="AA50" s="1515">
        <f>+M50-Y50</f>
        <v>14162</v>
      </c>
      <c r="AB50" s="1802"/>
      <c r="AC50" s="1510" t="s">
        <v>1103</v>
      </c>
      <c r="AD50" s="1500"/>
      <c r="AE50" s="2403"/>
      <c r="AF50" s="62" t="str">
        <f t="shared" si="16"/>
        <v>금왕테크노밸리</v>
      </c>
      <c r="AG50" s="1502">
        <v>4709</v>
      </c>
      <c r="AH50" s="1503">
        <f>ROUND(AG50*0.64,0)</f>
        <v>3014</v>
      </c>
      <c r="AI50" s="1503">
        <f>ROUND(AG50*0.36,0)</f>
        <v>1695</v>
      </c>
      <c r="AJ50" s="44">
        <f t="shared" si="19"/>
        <v>7840</v>
      </c>
      <c r="AK50" s="44">
        <f t="shared" si="20"/>
        <v>9535</v>
      </c>
      <c r="AL50" s="45">
        <f t="shared" si="21"/>
        <v>3337</v>
      </c>
    </row>
    <row r="51" spans="1:38" ht="30" customHeight="1">
      <c r="A51" s="2400" t="s">
        <v>930</v>
      </c>
      <c r="B51" s="2401"/>
      <c r="C51" s="1511" t="s">
        <v>933</v>
      </c>
      <c r="D51" s="1511"/>
      <c r="E51" s="1780" t="s">
        <v>2174</v>
      </c>
      <c r="F51" s="1780" t="s">
        <v>2174</v>
      </c>
      <c r="G51" s="1780" t="s">
        <v>2197</v>
      </c>
      <c r="H51" s="1511"/>
      <c r="I51" s="1512">
        <v>1043727</v>
      </c>
      <c r="J51" s="1758" t="s">
        <v>1323</v>
      </c>
      <c r="K51" s="1801">
        <v>2019</v>
      </c>
      <c r="L51" s="1515">
        <v>0</v>
      </c>
      <c r="M51" s="1515">
        <v>4547</v>
      </c>
      <c r="N51" s="1515">
        <v>0</v>
      </c>
      <c r="O51" s="1515">
        <v>45</v>
      </c>
      <c r="P51" s="1515">
        <f>사회적유입!AM52</f>
        <v>409</v>
      </c>
      <c r="Q51" s="1812">
        <f>사회적유입!AH52</f>
        <v>245</v>
      </c>
      <c r="R51" s="1812">
        <f>사회적유입!AM52</f>
        <v>409</v>
      </c>
      <c r="S51" s="1812">
        <f>R51</f>
        <v>409</v>
      </c>
      <c r="T51" s="1812">
        <f>S51</f>
        <v>409</v>
      </c>
      <c r="U51" s="1515" t="s">
        <v>2210</v>
      </c>
      <c r="V51" s="1515" t="s">
        <v>2207</v>
      </c>
      <c r="W51" s="1515" t="s">
        <v>2211</v>
      </c>
      <c r="X51" s="1515">
        <v>0</v>
      </c>
      <c r="Y51" s="1515">
        <v>0</v>
      </c>
      <c r="Z51" s="1515">
        <f t="shared" si="22"/>
        <v>0</v>
      </c>
      <c r="AA51" s="1515">
        <f t="shared" si="23"/>
        <v>4547</v>
      </c>
      <c r="AB51" s="1802"/>
      <c r="AC51" s="1510" t="s">
        <v>1101</v>
      </c>
      <c r="AD51" s="1500"/>
      <c r="AE51" s="2403"/>
      <c r="AF51" s="62" t="str">
        <f t="shared" si="16"/>
        <v>성안산업단지</v>
      </c>
      <c r="AG51" s="1502">
        <v>119</v>
      </c>
      <c r="AH51" s="1503">
        <f>ROUND(AG51*0.64,0)</f>
        <v>76</v>
      </c>
      <c r="AI51" s="1503">
        <f>ROUND(AG51*0.36,0)</f>
        <v>43</v>
      </c>
      <c r="AJ51" s="44">
        <f t="shared" si="19"/>
        <v>202</v>
      </c>
      <c r="AK51" s="44">
        <f t="shared" si="20"/>
        <v>245</v>
      </c>
      <c r="AL51" s="45">
        <f t="shared" si="21"/>
        <v>86</v>
      </c>
    </row>
    <row r="52" spans="1:38" ht="30" customHeight="1">
      <c r="A52" s="2400" t="s">
        <v>931</v>
      </c>
      <c r="B52" s="2401"/>
      <c r="C52" s="1511" t="s">
        <v>932</v>
      </c>
      <c r="D52" s="1511"/>
      <c r="E52" s="1780" t="s">
        <v>2174</v>
      </c>
      <c r="F52" s="1780" t="s">
        <v>2174</v>
      </c>
      <c r="G52" s="1780" t="s">
        <v>2191</v>
      </c>
      <c r="H52" s="1511"/>
      <c r="I52" s="1512">
        <v>136900</v>
      </c>
      <c r="J52" s="1758" t="s">
        <v>1324</v>
      </c>
      <c r="K52" s="1801">
        <v>2019</v>
      </c>
      <c r="L52" s="1515">
        <v>0</v>
      </c>
      <c r="M52" s="1515">
        <v>119</v>
      </c>
      <c r="N52" s="1515">
        <v>0</v>
      </c>
      <c r="O52" s="1515">
        <v>45</v>
      </c>
      <c r="P52" s="1515">
        <f>사회적유입!AM55</f>
        <v>6</v>
      </c>
      <c r="Q52" s="1812">
        <f>사회적유입!AH55</f>
        <v>4</v>
      </c>
      <c r="R52" s="1812">
        <f>사회적유입!AM55</f>
        <v>6</v>
      </c>
      <c r="S52" s="1812">
        <f>R52</f>
        <v>6</v>
      </c>
      <c r="T52" s="1812">
        <f>S52</f>
        <v>6</v>
      </c>
      <c r="U52" s="1515" t="s">
        <v>2210</v>
      </c>
      <c r="V52" s="1515" t="s">
        <v>2207</v>
      </c>
      <c r="W52" s="1515" t="s">
        <v>2211</v>
      </c>
      <c r="X52" s="1515">
        <v>0</v>
      </c>
      <c r="Y52" s="1515">
        <v>0</v>
      </c>
      <c r="Z52" s="1515">
        <f t="shared" si="22"/>
        <v>0</v>
      </c>
      <c r="AA52" s="1515">
        <f t="shared" si="23"/>
        <v>119</v>
      </c>
      <c r="AB52" s="1802"/>
      <c r="AC52" s="1510" t="s">
        <v>1101</v>
      </c>
      <c r="AD52" s="1500"/>
      <c r="AE52" s="1517"/>
      <c r="AF52" s="62" t="str">
        <f t="shared" si="16"/>
        <v>중부산업단지</v>
      </c>
      <c r="AG52" s="1502">
        <v>398</v>
      </c>
      <c r="AH52" s="1503">
        <f>ROUND(AG52*0.64,0)</f>
        <v>255</v>
      </c>
      <c r="AI52" s="1503">
        <f>ROUND(AG52*0.36,0)</f>
        <v>143</v>
      </c>
      <c r="AJ52" s="44">
        <f t="shared" si="19"/>
        <v>667</v>
      </c>
      <c r="AK52" s="44">
        <f t="shared" si="20"/>
        <v>810</v>
      </c>
      <c r="AL52" s="45">
        <f t="shared" si="21"/>
        <v>284</v>
      </c>
    </row>
    <row r="53" spans="1:38" ht="30" customHeight="1">
      <c r="A53" s="2400" t="s">
        <v>1228</v>
      </c>
      <c r="B53" s="2401"/>
      <c r="C53" s="1511" t="s">
        <v>1229</v>
      </c>
      <c r="D53" s="1511"/>
      <c r="E53" s="1780" t="s">
        <v>2173</v>
      </c>
      <c r="F53" s="1780" t="s">
        <v>2174</v>
      </c>
      <c r="G53" s="1780" t="s">
        <v>2187</v>
      </c>
      <c r="H53" s="1511"/>
      <c r="I53" s="1512">
        <v>148426.20000000001</v>
      </c>
      <c r="J53" s="1758" t="s">
        <v>1325</v>
      </c>
      <c r="K53" s="1801">
        <v>2018</v>
      </c>
      <c r="L53" s="1515">
        <v>0</v>
      </c>
      <c r="M53" s="1515">
        <v>284</v>
      </c>
      <c r="N53" s="1515">
        <v>0</v>
      </c>
      <c r="O53" s="1515">
        <v>45</v>
      </c>
      <c r="P53" s="1515">
        <v>0</v>
      </c>
      <c r="Q53" s="1812">
        <v>0</v>
      </c>
      <c r="R53" s="1812">
        <v>0</v>
      </c>
      <c r="S53" s="1812">
        <v>0</v>
      </c>
      <c r="T53" s="1812">
        <v>0</v>
      </c>
      <c r="U53" s="1515" t="s">
        <v>2210</v>
      </c>
      <c r="V53" s="1515" t="s">
        <v>2207</v>
      </c>
      <c r="W53" s="1515" t="s">
        <v>2211</v>
      </c>
      <c r="X53" s="1515">
        <v>0</v>
      </c>
      <c r="Y53" s="1515">
        <v>0</v>
      </c>
      <c r="Z53" s="1515">
        <f t="shared" si="22"/>
        <v>0</v>
      </c>
      <c r="AA53" s="1515">
        <f t="shared" si="23"/>
        <v>284</v>
      </c>
      <c r="AB53" s="1802"/>
      <c r="AC53" s="1510"/>
      <c r="AD53" s="1500"/>
      <c r="AE53" s="1517"/>
      <c r="AF53" s="62" t="str">
        <f t="shared" si="16"/>
        <v>육령일반산업단지</v>
      </c>
      <c r="AG53" s="1502">
        <v>73</v>
      </c>
      <c r="AH53" s="1503">
        <f>ROUND(AG53*0.64,0)</f>
        <v>47</v>
      </c>
      <c r="AI53" s="1503">
        <f>ROUND(AG53*0.36,0)</f>
        <v>26</v>
      </c>
      <c r="AJ53" s="44">
        <f t="shared" si="19"/>
        <v>126</v>
      </c>
      <c r="AK53" s="44">
        <f t="shared" si="20"/>
        <v>152</v>
      </c>
      <c r="AL53" s="45">
        <f t="shared" si="21"/>
        <v>53</v>
      </c>
    </row>
    <row r="54" spans="1:38" ht="32.1" customHeight="1">
      <c r="A54" s="2400" t="s">
        <v>1263</v>
      </c>
      <c r="B54" s="2401"/>
      <c r="C54" s="1511" t="s">
        <v>1230</v>
      </c>
      <c r="D54" s="1511"/>
      <c r="E54" s="1780" t="s">
        <v>2174</v>
      </c>
      <c r="F54" s="1780" t="s">
        <v>2174</v>
      </c>
      <c r="G54" s="1780" t="s">
        <v>2196</v>
      </c>
      <c r="H54" s="1511"/>
      <c r="I54" s="1512">
        <v>63798</v>
      </c>
      <c r="J54" s="1758" t="s">
        <v>1326</v>
      </c>
      <c r="K54" s="1801">
        <v>2020</v>
      </c>
      <c r="L54" s="1515">
        <v>0</v>
      </c>
      <c r="M54" s="1515">
        <f t="shared" ref="M54" si="24">+AL53</f>
        <v>53</v>
      </c>
      <c r="N54" s="1515">
        <v>0</v>
      </c>
      <c r="O54" s="1515">
        <v>45</v>
      </c>
      <c r="P54" s="1515">
        <f>사회적유입!AM58</f>
        <v>5</v>
      </c>
      <c r="Q54" s="1812">
        <f>사회적유입!AH58</f>
        <v>1</v>
      </c>
      <c r="R54" s="1812">
        <f>사회적유입!AM58</f>
        <v>5</v>
      </c>
      <c r="S54" s="1812">
        <f>R54</f>
        <v>5</v>
      </c>
      <c r="T54" s="1812">
        <f>S54</f>
        <v>5</v>
      </c>
      <c r="U54" s="1515" t="s">
        <v>2210</v>
      </c>
      <c r="V54" s="1515" t="s">
        <v>2207</v>
      </c>
      <c r="W54" s="1515" t="s">
        <v>2211</v>
      </c>
      <c r="X54" s="1515">
        <v>0</v>
      </c>
      <c r="Y54" s="1515">
        <v>0</v>
      </c>
      <c r="Z54" s="1515">
        <f t="shared" si="22"/>
        <v>0</v>
      </c>
      <c r="AA54" s="1515">
        <f t="shared" si="23"/>
        <v>53</v>
      </c>
      <c r="AB54" s="1802"/>
      <c r="AC54" s="1510"/>
      <c r="AD54" s="1518"/>
      <c r="AE54" s="1519" t="s">
        <v>138</v>
      </c>
      <c r="AG54" s="1502"/>
      <c r="AH54" s="1503">
        <f>ROUND(AG54*0.694,0)</f>
        <v>0</v>
      </c>
      <c r="AI54" s="1503">
        <f>ROUND(AG54*0.306,0)</f>
        <v>0</v>
      </c>
      <c r="AJ54" s="44">
        <f>ROUND(AH54*1.58,0)</f>
        <v>0</v>
      </c>
      <c r="AK54" s="44"/>
      <c r="AL54" s="45">
        <f t="shared" ref="AL54" si="25">+AJ54+AG54</f>
        <v>0</v>
      </c>
    </row>
    <row r="55" spans="1:38" ht="32.1" customHeight="1">
      <c r="A55" s="2400" t="s">
        <v>1402</v>
      </c>
      <c r="B55" s="2401"/>
      <c r="C55" s="1511" t="s">
        <v>1403</v>
      </c>
      <c r="D55" s="1511"/>
      <c r="E55" s="1780" t="s">
        <v>2174</v>
      </c>
      <c r="F55" s="1780" t="s">
        <v>2174</v>
      </c>
      <c r="G55" s="1511"/>
      <c r="H55" s="1511"/>
      <c r="I55" s="1512">
        <v>1987000</v>
      </c>
      <c r="J55" s="1758"/>
      <c r="K55" s="1801">
        <v>2035</v>
      </c>
      <c r="L55" s="1515">
        <v>0</v>
      </c>
      <c r="M55" s="1515">
        <v>4952</v>
      </c>
      <c r="N55" s="1515">
        <v>0</v>
      </c>
      <c r="O55" s="1515">
        <v>45</v>
      </c>
      <c r="P55" s="1515">
        <f>사회적유입!AW162</f>
        <v>2228</v>
      </c>
      <c r="Q55" s="1812">
        <f>사회적유입!AH162</f>
        <v>0</v>
      </c>
      <c r="R55" s="1812">
        <f>사회적유입!AM162</f>
        <v>0</v>
      </c>
      <c r="S55" s="1812">
        <f>사회적유입!AR162</f>
        <v>0</v>
      </c>
      <c r="T55" s="1812">
        <f>사회적유입!AW162</f>
        <v>2228</v>
      </c>
      <c r="U55" s="1515" t="s">
        <v>2210</v>
      </c>
      <c r="V55" s="1515" t="s">
        <v>2207</v>
      </c>
      <c r="W55" s="1515" t="s">
        <v>2211</v>
      </c>
      <c r="X55" s="1515">
        <v>0</v>
      </c>
      <c r="Y55" s="1515">
        <v>0</v>
      </c>
      <c r="Z55" s="1515">
        <f t="shared" ref="Z55:Z56" si="26">+L55-X55</f>
        <v>0</v>
      </c>
      <c r="AA55" s="1515">
        <f t="shared" ref="AA55:AA56" si="27">+M55-Y55</f>
        <v>4952</v>
      </c>
      <c r="AB55" s="1803" t="s">
        <v>1387</v>
      </c>
      <c r="AC55" s="1448" t="s">
        <v>2213</v>
      </c>
      <c r="AD55" s="1498"/>
      <c r="AE55" s="1251" t="s">
        <v>1160</v>
      </c>
    </row>
    <row r="56" spans="1:38" ht="32.1" customHeight="1">
      <c r="A56" s="2400" t="s">
        <v>1405</v>
      </c>
      <c r="B56" s="2401"/>
      <c r="C56" s="1511" t="s">
        <v>1406</v>
      </c>
      <c r="D56" s="1511"/>
      <c r="E56" s="1780" t="s">
        <v>2174</v>
      </c>
      <c r="F56" s="1780" t="s">
        <v>2174</v>
      </c>
      <c r="G56" s="1511"/>
      <c r="H56" s="1511"/>
      <c r="I56" s="1512">
        <v>400000</v>
      </c>
      <c r="J56" s="1758"/>
      <c r="K56" s="1801">
        <v>2035</v>
      </c>
      <c r="L56" s="1515">
        <v>0</v>
      </c>
      <c r="M56" s="1515">
        <v>1058</v>
      </c>
      <c r="N56" s="1515">
        <v>0</v>
      </c>
      <c r="O56" s="1515">
        <v>45</v>
      </c>
      <c r="P56" s="1515">
        <f>사회적유입!AW165</f>
        <v>476</v>
      </c>
      <c r="Q56" s="1812">
        <f>사회적유입!AH165</f>
        <v>0</v>
      </c>
      <c r="R56" s="1812">
        <f>사회적유입!AM165</f>
        <v>0</v>
      </c>
      <c r="S56" s="1812">
        <f>사회적유입!AR165</f>
        <v>0</v>
      </c>
      <c r="T56" s="1812">
        <f>사회적유입!AW165</f>
        <v>476</v>
      </c>
      <c r="U56" s="1515" t="s">
        <v>2210</v>
      </c>
      <c r="V56" s="1515" t="s">
        <v>2207</v>
      </c>
      <c r="W56" s="1515" t="s">
        <v>2211</v>
      </c>
      <c r="X56" s="1515">
        <v>0</v>
      </c>
      <c r="Y56" s="1515">
        <v>0</v>
      </c>
      <c r="Z56" s="1515">
        <f t="shared" si="26"/>
        <v>0</v>
      </c>
      <c r="AA56" s="1515">
        <f t="shared" si="27"/>
        <v>1058</v>
      </c>
      <c r="AB56" s="1803" t="s">
        <v>1387</v>
      </c>
      <c r="AC56" s="1510"/>
      <c r="AD56" s="1460"/>
      <c r="AE56" s="1519"/>
      <c r="AF56" s="1434"/>
      <c r="AG56" s="1434"/>
      <c r="AH56" s="1434"/>
      <c r="AI56" s="1434"/>
      <c r="AJ56" s="1434"/>
      <c r="AK56" s="1434"/>
      <c r="AL56" s="1434"/>
    </row>
    <row r="57" spans="1:38" ht="24.6" customHeight="1">
      <c r="A57" s="2400" t="s">
        <v>1411</v>
      </c>
      <c r="B57" s="2401"/>
      <c r="C57" s="1511" t="s">
        <v>1412</v>
      </c>
      <c r="D57" s="1511"/>
      <c r="E57" s="1780" t="s">
        <v>2174</v>
      </c>
      <c r="F57" s="1780" t="s">
        <v>2174</v>
      </c>
      <c r="G57" s="1511"/>
      <c r="H57" s="1511"/>
      <c r="I57" s="1512">
        <v>1000000</v>
      </c>
      <c r="J57" s="1758"/>
      <c r="K57" s="1801">
        <v>2035</v>
      </c>
      <c r="L57" s="1515">
        <v>0</v>
      </c>
      <c r="M57" s="1515">
        <v>2646</v>
      </c>
      <c r="N57" s="1515">
        <v>0</v>
      </c>
      <c r="O57" s="1515">
        <v>45</v>
      </c>
      <c r="P57" s="1515">
        <f>사회적유입!AW61</f>
        <v>636</v>
      </c>
      <c r="Q57" s="1812">
        <f>사회적유입!AH61</f>
        <v>0</v>
      </c>
      <c r="R57" s="1812">
        <f>사회적유입!AM61</f>
        <v>0</v>
      </c>
      <c r="S57" s="1812">
        <f>사회적유입!AR61</f>
        <v>0</v>
      </c>
      <c r="T57" s="1812">
        <f>사회적유입!AW61</f>
        <v>636</v>
      </c>
      <c r="U57" s="1515" t="s">
        <v>2210</v>
      </c>
      <c r="V57" s="1515" t="s">
        <v>2207</v>
      </c>
      <c r="W57" s="1515" t="s">
        <v>2211</v>
      </c>
      <c r="X57" s="1515">
        <v>0</v>
      </c>
      <c r="Y57" s="1515">
        <v>0</v>
      </c>
      <c r="Z57" s="1515">
        <f t="shared" ref="Z57" si="28">+L57-X57</f>
        <v>0</v>
      </c>
      <c r="AA57" s="1515">
        <f t="shared" ref="AA57" si="29">+M57-Y57</f>
        <v>2646</v>
      </c>
      <c r="AB57" s="1803" t="s">
        <v>1387</v>
      </c>
      <c r="AC57" s="1510"/>
      <c r="AD57" s="1437"/>
      <c r="AL57" s="1434"/>
    </row>
    <row r="58" spans="1:38" ht="30" customHeight="1">
      <c r="A58" s="2400" t="s">
        <v>1408</v>
      </c>
      <c r="B58" s="2401"/>
      <c r="C58" s="1511" t="s">
        <v>1409</v>
      </c>
      <c r="D58" s="1511"/>
      <c r="E58" s="1780" t="s">
        <v>2174</v>
      </c>
      <c r="F58" s="1780" t="s">
        <v>2174</v>
      </c>
      <c r="G58" s="1511"/>
      <c r="H58" s="1511"/>
      <c r="I58" s="1512">
        <v>1800000</v>
      </c>
      <c r="J58" s="1758"/>
      <c r="K58" s="1801">
        <v>2035</v>
      </c>
      <c r="L58" s="1515">
        <v>0</v>
      </c>
      <c r="M58" s="1515">
        <v>4763</v>
      </c>
      <c r="N58" s="1515">
        <v>0</v>
      </c>
      <c r="O58" s="1515">
        <v>45</v>
      </c>
      <c r="P58" s="1515">
        <f>사회적유입!AW64</f>
        <v>1144</v>
      </c>
      <c r="Q58" s="1812">
        <f>사회적유입!AH64</f>
        <v>0</v>
      </c>
      <c r="R58" s="1812">
        <f>사회적유입!AM64</f>
        <v>0</v>
      </c>
      <c r="S58" s="1812">
        <f>사회적유입!AR64</f>
        <v>0</v>
      </c>
      <c r="T58" s="1812">
        <f>사회적유입!AW64</f>
        <v>1144</v>
      </c>
      <c r="U58" s="1515" t="s">
        <v>2210</v>
      </c>
      <c r="V58" s="1515" t="s">
        <v>2207</v>
      </c>
      <c r="W58" s="1515" t="s">
        <v>2211</v>
      </c>
      <c r="X58" s="1515">
        <v>0</v>
      </c>
      <c r="Y58" s="1515">
        <v>0</v>
      </c>
      <c r="Z58" s="1515">
        <f t="shared" ref="Z58" si="30">+L58-X58</f>
        <v>0</v>
      </c>
      <c r="AA58" s="1515">
        <f t="shared" ref="AA58" si="31">+M58-Y58</f>
        <v>4763</v>
      </c>
      <c r="AB58" s="1803" t="s">
        <v>1387</v>
      </c>
      <c r="AC58" s="1448" t="s">
        <v>2213</v>
      </c>
      <c r="AD58" s="1460"/>
      <c r="AL58" s="1434"/>
    </row>
    <row r="59" spans="1:38" ht="30" customHeight="1">
      <c r="A59" s="2400" t="s">
        <v>1414</v>
      </c>
      <c r="B59" s="2401"/>
      <c r="C59" s="1511" t="s">
        <v>1415</v>
      </c>
      <c r="D59" s="1511"/>
      <c r="E59" s="1780" t="s">
        <v>2174</v>
      </c>
      <c r="F59" s="1780" t="s">
        <v>2174</v>
      </c>
      <c r="G59" s="1511"/>
      <c r="H59" s="1511"/>
      <c r="I59" s="1512">
        <v>435000</v>
      </c>
      <c r="J59" s="1758"/>
      <c r="K59" s="1801">
        <v>2035</v>
      </c>
      <c r="L59" s="1515">
        <v>0</v>
      </c>
      <c r="M59" s="1515">
        <v>307</v>
      </c>
      <c r="N59" s="1515">
        <v>0</v>
      </c>
      <c r="O59" s="1515">
        <v>45</v>
      </c>
      <c r="P59" s="1515">
        <f>0</f>
        <v>0</v>
      </c>
      <c r="Q59" s="1812">
        <v>0</v>
      </c>
      <c r="R59" s="1812">
        <v>0</v>
      </c>
      <c r="S59" s="1812">
        <v>0</v>
      </c>
      <c r="T59" s="1812">
        <v>0</v>
      </c>
      <c r="U59" s="1515" t="s">
        <v>2210</v>
      </c>
      <c r="V59" s="1515" t="s">
        <v>2207</v>
      </c>
      <c r="W59" s="1515" t="s">
        <v>2211</v>
      </c>
      <c r="X59" s="1515">
        <v>0</v>
      </c>
      <c r="Y59" s="1515">
        <v>0</v>
      </c>
      <c r="Z59" s="1515">
        <f t="shared" ref="Z59:Z68" si="32">+L59-X59</f>
        <v>0</v>
      </c>
      <c r="AA59" s="1515">
        <f t="shared" ref="AA59:AA68" si="33">+M59-Y59</f>
        <v>307</v>
      </c>
      <c r="AB59" s="1803" t="s">
        <v>1387</v>
      </c>
      <c r="AC59" s="1510"/>
      <c r="AD59" s="1460"/>
      <c r="AL59" s="1434"/>
    </row>
    <row r="60" spans="1:38" ht="30" customHeight="1">
      <c r="A60" s="2400" t="s">
        <v>1417</v>
      </c>
      <c r="B60" s="2401"/>
      <c r="C60" s="1511" t="s">
        <v>1418</v>
      </c>
      <c r="D60" s="1511"/>
      <c r="E60" s="1780" t="s">
        <v>2174</v>
      </c>
      <c r="F60" s="1780" t="s">
        <v>2174</v>
      </c>
      <c r="G60" s="1511"/>
      <c r="H60" s="1511"/>
      <c r="I60" s="1512">
        <v>268000</v>
      </c>
      <c r="J60" s="1758"/>
      <c r="K60" s="1801">
        <v>2035</v>
      </c>
      <c r="L60" s="1515">
        <v>0</v>
      </c>
      <c r="M60" s="1515">
        <v>709</v>
      </c>
      <c r="N60" s="1515">
        <v>0</v>
      </c>
      <c r="O60" s="1515">
        <v>45</v>
      </c>
      <c r="P60" s="1515">
        <f>0</f>
        <v>0</v>
      </c>
      <c r="Q60" s="1812">
        <v>0</v>
      </c>
      <c r="R60" s="1812">
        <v>0</v>
      </c>
      <c r="S60" s="1812">
        <v>0</v>
      </c>
      <c r="T60" s="1812">
        <v>0</v>
      </c>
      <c r="U60" s="1515" t="s">
        <v>2210</v>
      </c>
      <c r="V60" s="1515" t="s">
        <v>2207</v>
      </c>
      <c r="W60" s="1515" t="s">
        <v>2211</v>
      </c>
      <c r="X60" s="1515">
        <v>0</v>
      </c>
      <c r="Y60" s="1515">
        <v>0</v>
      </c>
      <c r="Z60" s="1515">
        <f t="shared" si="32"/>
        <v>0</v>
      </c>
      <c r="AA60" s="1515">
        <f t="shared" si="33"/>
        <v>709</v>
      </c>
      <c r="AB60" s="1803" t="s">
        <v>1387</v>
      </c>
      <c r="AC60" s="1510"/>
      <c r="AD60" s="1460"/>
      <c r="AL60" s="1434"/>
    </row>
    <row r="61" spans="1:38" ht="30" customHeight="1">
      <c r="A61" s="2400" t="s">
        <v>1420</v>
      </c>
      <c r="B61" s="2401"/>
      <c r="C61" s="1511" t="s">
        <v>1418</v>
      </c>
      <c r="D61" s="1511"/>
      <c r="E61" s="1780" t="s">
        <v>2174</v>
      </c>
      <c r="F61" s="1780" t="s">
        <v>2174</v>
      </c>
      <c r="G61" s="1511"/>
      <c r="H61" s="1511"/>
      <c r="I61" s="1512">
        <v>150000</v>
      </c>
      <c r="J61" s="1758"/>
      <c r="K61" s="1801">
        <v>2035</v>
      </c>
      <c r="L61" s="1515">
        <v>0</v>
      </c>
      <c r="M61" s="1515">
        <v>622</v>
      </c>
      <c r="N61" s="1515">
        <v>0</v>
      </c>
      <c r="O61" s="1515">
        <v>45</v>
      </c>
      <c r="P61" s="1515">
        <f>0</f>
        <v>0</v>
      </c>
      <c r="Q61" s="1812">
        <v>0</v>
      </c>
      <c r="R61" s="1812">
        <v>0</v>
      </c>
      <c r="S61" s="1812">
        <v>0</v>
      </c>
      <c r="T61" s="1812">
        <v>0</v>
      </c>
      <c r="U61" s="1515" t="s">
        <v>2210</v>
      </c>
      <c r="V61" s="1515" t="s">
        <v>2207</v>
      </c>
      <c r="W61" s="1515" t="s">
        <v>2211</v>
      </c>
      <c r="X61" s="1515">
        <v>0</v>
      </c>
      <c r="Y61" s="1515">
        <v>0</v>
      </c>
      <c r="Z61" s="1515">
        <f t="shared" si="32"/>
        <v>0</v>
      </c>
      <c r="AA61" s="1515">
        <f t="shared" si="33"/>
        <v>622</v>
      </c>
      <c r="AB61" s="1803" t="s">
        <v>1387</v>
      </c>
      <c r="AC61" s="1510"/>
      <c r="AD61" s="1460"/>
      <c r="AL61" s="1434"/>
    </row>
    <row r="62" spans="1:38" ht="30" customHeight="1">
      <c r="A62" s="2400" t="s">
        <v>1422</v>
      </c>
      <c r="B62" s="2401"/>
      <c r="C62" s="1511" t="s">
        <v>1418</v>
      </c>
      <c r="D62" s="1511"/>
      <c r="E62" s="1780" t="s">
        <v>2174</v>
      </c>
      <c r="F62" s="1780" t="s">
        <v>2174</v>
      </c>
      <c r="G62" s="1511"/>
      <c r="H62" s="1511"/>
      <c r="I62" s="1512">
        <v>176000</v>
      </c>
      <c r="J62" s="1758"/>
      <c r="K62" s="1801">
        <v>2035</v>
      </c>
      <c r="L62" s="1515">
        <v>0</v>
      </c>
      <c r="M62" s="1515">
        <v>466</v>
      </c>
      <c r="N62" s="1515">
        <v>0</v>
      </c>
      <c r="O62" s="1515">
        <v>45</v>
      </c>
      <c r="P62" s="1515">
        <v>0</v>
      </c>
      <c r="Q62" s="1812">
        <v>0</v>
      </c>
      <c r="R62" s="1812">
        <v>0</v>
      </c>
      <c r="S62" s="1812">
        <v>0</v>
      </c>
      <c r="T62" s="1812">
        <v>0</v>
      </c>
      <c r="U62" s="1515" t="s">
        <v>2210</v>
      </c>
      <c r="V62" s="1515" t="s">
        <v>2207</v>
      </c>
      <c r="W62" s="1515" t="s">
        <v>2211</v>
      </c>
      <c r="X62" s="1515">
        <v>0</v>
      </c>
      <c r="Y62" s="1515">
        <v>0</v>
      </c>
      <c r="Z62" s="1515">
        <f t="shared" si="32"/>
        <v>0</v>
      </c>
      <c r="AA62" s="1515">
        <f t="shared" si="33"/>
        <v>466</v>
      </c>
      <c r="AB62" s="1803" t="s">
        <v>1387</v>
      </c>
      <c r="AC62" s="1510"/>
      <c r="AD62" s="1460"/>
      <c r="AL62" s="1434"/>
    </row>
    <row r="63" spans="1:38" ht="30" customHeight="1">
      <c r="A63" s="2400" t="s">
        <v>1424</v>
      </c>
      <c r="B63" s="2401"/>
      <c r="C63" s="1511" t="s">
        <v>1425</v>
      </c>
      <c r="D63" s="1511"/>
      <c r="E63" s="1780" t="s">
        <v>2174</v>
      </c>
      <c r="F63" s="1780" t="s">
        <v>2174</v>
      </c>
      <c r="G63" s="1511"/>
      <c r="H63" s="1511"/>
      <c r="I63" s="1512">
        <v>1500000</v>
      </c>
      <c r="J63" s="1758"/>
      <c r="K63" s="1801">
        <v>2035</v>
      </c>
      <c r="L63" s="1515">
        <v>0</v>
      </c>
      <c r="M63" s="1515">
        <v>1635</v>
      </c>
      <c r="N63" s="1515">
        <v>0</v>
      </c>
      <c r="O63" s="1515">
        <v>45</v>
      </c>
      <c r="P63" s="1515">
        <f>사회적유입!AW72</f>
        <v>736</v>
      </c>
      <c r="Q63" s="1812">
        <f>사회적유입!AH72</f>
        <v>0</v>
      </c>
      <c r="R63" s="1812">
        <f>사회적유입!AM72</f>
        <v>0</v>
      </c>
      <c r="S63" s="1812">
        <f>사회적유입!AR72</f>
        <v>0</v>
      </c>
      <c r="T63" s="1812">
        <f>사회적유입!AW72</f>
        <v>736</v>
      </c>
      <c r="U63" s="1515" t="s">
        <v>2210</v>
      </c>
      <c r="V63" s="1515" t="s">
        <v>2207</v>
      </c>
      <c r="W63" s="1515" t="s">
        <v>2211</v>
      </c>
      <c r="X63" s="1515">
        <v>0</v>
      </c>
      <c r="Y63" s="1515">
        <v>0</v>
      </c>
      <c r="Z63" s="1515">
        <f t="shared" si="32"/>
        <v>0</v>
      </c>
      <c r="AA63" s="1515">
        <f t="shared" si="33"/>
        <v>1635</v>
      </c>
      <c r="AB63" s="1803" t="s">
        <v>1387</v>
      </c>
      <c r="AC63" s="1510"/>
      <c r="AD63" s="1460"/>
      <c r="AL63" s="1434"/>
    </row>
    <row r="64" spans="1:38" ht="30" customHeight="1">
      <c r="A64" s="2400" t="s">
        <v>1427</v>
      </c>
      <c r="B64" s="2401"/>
      <c r="C64" s="1511" t="s">
        <v>1428</v>
      </c>
      <c r="D64" s="1511"/>
      <c r="E64" s="1780" t="s">
        <v>2174</v>
      </c>
      <c r="F64" s="1780" t="s">
        <v>2174</v>
      </c>
      <c r="G64" s="1511"/>
      <c r="H64" s="1511"/>
      <c r="I64" s="1512">
        <v>1200000</v>
      </c>
      <c r="J64" s="1758"/>
      <c r="K64" s="1801">
        <v>2035</v>
      </c>
      <c r="L64" s="1515">
        <v>0</v>
      </c>
      <c r="M64" s="1515">
        <v>3175</v>
      </c>
      <c r="N64" s="1515">
        <v>0</v>
      </c>
      <c r="O64" s="1515">
        <v>45</v>
      </c>
      <c r="P64" s="1515">
        <f>사회적유입!AW80</f>
        <v>1429</v>
      </c>
      <c r="Q64" s="1812">
        <f>사회적유입!AH80</f>
        <v>0</v>
      </c>
      <c r="R64" s="1812">
        <f>사회적유입!AM80</f>
        <v>0</v>
      </c>
      <c r="S64" s="1812">
        <f>사회적유입!AR80</f>
        <v>0</v>
      </c>
      <c r="T64" s="1812">
        <f>사회적유입!AW80</f>
        <v>1429</v>
      </c>
      <c r="U64" s="1515" t="s">
        <v>2210</v>
      </c>
      <c r="V64" s="1515" t="s">
        <v>2207</v>
      </c>
      <c r="W64" s="1515" t="s">
        <v>2211</v>
      </c>
      <c r="X64" s="1515">
        <v>0</v>
      </c>
      <c r="Y64" s="1515">
        <v>0</v>
      </c>
      <c r="Z64" s="1515">
        <f t="shared" si="32"/>
        <v>0</v>
      </c>
      <c r="AA64" s="1515">
        <f t="shared" si="33"/>
        <v>3175</v>
      </c>
      <c r="AB64" s="1803" t="s">
        <v>1387</v>
      </c>
      <c r="AC64" s="1510"/>
      <c r="AD64" s="1460"/>
      <c r="AL64" s="1434"/>
    </row>
    <row r="65" spans="1:49" ht="30" customHeight="1">
      <c r="A65" s="2400" t="s">
        <v>1430</v>
      </c>
      <c r="B65" s="2401"/>
      <c r="C65" s="1511" t="s">
        <v>1437</v>
      </c>
      <c r="D65" s="1511"/>
      <c r="E65" s="1780" t="s">
        <v>2173</v>
      </c>
      <c r="F65" s="1780" t="s">
        <v>2174</v>
      </c>
      <c r="G65" s="1511" t="s">
        <v>2175</v>
      </c>
      <c r="H65" s="1511"/>
      <c r="I65" s="1512">
        <v>1000000</v>
      </c>
      <c r="J65" s="1758"/>
      <c r="K65" s="1801">
        <v>2035</v>
      </c>
      <c r="L65" s="1515">
        <v>0</v>
      </c>
      <c r="M65" s="1515">
        <v>2646</v>
      </c>
      <c r="N65" s="1515">
        <v>0</v>
      </c>
      <c r="O65" s="1515">
        <v>45</v>
      </c>
      <c r="P65" s="1515">
        <f>사회적유입!AW17</f>
        <v>1191</v>
      </c>
      <c r="Q65" s="1812">
        <f>사회적유입!AH17</f>
        <v>0</v>
      </c>
      <c r="R65" s="1812">
        <f>사회적유입!AM17</f>
        <v>0</v>
      </c>
      <c r="S65" s="1812">
        <f>사회적유입!AR17</f>
        <v>0</v>
      </c>
      <c r="T65" s="1812">
        <f>사회적유입!AW17</f>
        <v>1191</v>
      </c>
      <c r="U65" s="1515" t="s">
        <v>2210</v>
      </c>
      <c r="V65" s="1515" t="s">
        <v>2207</v>
      </c>
      <c r="W65" s="1515" t="s">
        <v>2211</v>
      </c>
      <c r="X65" s="1515">
        <v>0</v>
      </c>
      <c r="Y65" s="1515">
        <v>0</v>
      </c>
      <c r="Z65" s="1515">
        <f t="shared" si="32"/>
        <v>0</v>
      </c>
      <c r="AA65" s="1515">
        <f t="shared" si="33"/>
        <v>2646</v>
      </c>
      <c r="AB65" s="1803" t="s">
        <v>1387</v>
      </c>
      <c r="AC65" s="1510"/>
      <c r="AD65" s="1460"/>
      <c r="AL65" s="1434"/>
    </row>
    <row r="66" spans="1:49" ht="30" customHeight="1">
      <c r="A66" s="2400" t="s">
        <v>1432</v>
      </c>
      <c r="B66" s="2401"/>
      <c r="C66" s="1511" t="s">
        <v>1438</v>
      </c>
      <c r="D66" s="1511"/>
      <c r="E66" s="1780" t="s">
        <v>2174</v>
      </c>
      <c r="F66" s="1780" t="s">
        <v>2174</v>
      </c>
      <c r="G66" s="1511"/>
      <c r="H66" s="1511"/>
      <c r="I66" s="1512">
        <v>1299000</v>
      </c>
      <c r="J66" s="1758"/>
      <c r="K66" s="1801">
        <v>2035</v>
      </c>
      <c r="L66" s="1515">
        <v>0</v>
      </c>
      <c r="M66" s="1515">
        <v>3436</v>
      </c>
      <c r="N66" s="1515">
        <v>0</v>
      </c>
      <c r="O66" s="1515">
        <v>45</v>
      </c>
      <c r="P66" s="1515">
        <f>사회적유입!AW20</f>
        <v>1546</v>
      </c>
      <c r="Q66" s="1812">
        <f>사회적유입!AH20</f>
        <v>0</v>
      </c>
      <c r="R66" s="1812">
        <f>사회적유입!AM20</f>
        <v>0</v>
      </c>
      <c r="S66" s="1812">
        <f>사회적유입!AR20</f>
        <v>0</v>
      </c>
      <c r="T66" s="1812">
        <f>사회적유입!AW20</f>
        <v>1546</v>
      </c>
      <c r="U66" s="1515" t="s">
        <v>2210</v>
      </c>
      <c r="V66" s="1515" t="s">
        <v>2207</v>
      </c>
      <c r="W66" s="1515" t="s">
        <v>2211</v>
      </c>
      <c r="X66" s="1515">
        <v>0</v>
      </c>
      <c r="Y66" s="1515">
        <v>0</v>
      </c>
      <c r="Z66" s="1515">
        <f t="shared" ref="Z66" si="34">+L66-X66</f>
        <v>0</v>
      </c>
      <c r="AA66" s="1515">
        <f t="shared" ref="AA66" si="35">+M66-Y66</f>
        <v>3436</v>
      </c>
      <c r="AB66" s="1803" t="s">
        <v>1387</v>
      </c>
      <c r="AC66" s="1510"/>
      <c r="AD66" s="1460"/>
      <c r="AL66" s="1434"/>
    </row>
    <row r="67" spans="1:49" ht="30" customHeight="1">
      <c r="A67" s="2400" t="s">
        <v>1434</v>
      </c>
      <c r="B67" s="2401"/>
      <c r="C67" s="1511" t="s">
        <v>1438</v>
      </c>
      <c r="D67" s="1511"/>
      <c r="E67" s="1780" t="s">
        <v>2174</v>
      </c>
      <c r="F67" s="1780" t="s">
        <v>2174</v>
      </c>
      <c r="G67" s="1511"/>
      <c r="H67" s="1511"/>
      <c r="I67" s="1512">
        <v>84000</v>
      </c>
      <c r="J67" s="1758"/>
      <c r="K67" s="1801">
        <v>2035</v>
      </c>
      <c r="L67" s="1515">
        <v>0</v>
      </c>
      <c r="M67" s="1515">
        <v>219</v>
      </c>
      <c r="N67" s="1515">
        <v>0</v>
      </c>
      <c r="O67" s="1515">
        <v>45</v>
      </c>
      <c r="P67" s="1515">
        <f>사회적유입!AW23</f>
        <v>99</v>
      </c>
      <c r="Q67" s="1812">
        <f>사회적유입!AH23</f>
        <v>0</v>
      </c>
      <c r="R67" s="1812">
        <f>사회적유입!AM23</f>
        <v>0</v>
      </c>
      <c r="S67" s="1812">
        <f>사회적유입!AR23</f>
        <v>0</v>
      </c>
      <c r="T67" s="1812">
        <f>사회적유입!AW23</f>
        <v>99</v>
      </c>
      <c r="U67" s="1515" t="s">
        <v>2210</v>
      </c>
      <c r="V67" s="1515" t="s">
        <v>2207</v>
      </c>
      <c r="W67" s="1515" t="s">
        <v>2211</v>
      </c>
      <c r="X67" s="1515">
        <v>0</v>
      </c>
      <c r="Y67" s="1515">
        <v>0</v>
      </c>
      <c r="Z67" s="1515">
        <f t="shared" si="32"/>
        <v>0</v>
      </c>
      <c r="AA67" s="1515">
        <f t="shared" si="33"/>
        <v>219</v>
      </c>
      <c r="AB67" s="1803" t="s">
        <v>1387</v>
      </c>
      <c r="AC67" s="1510"/>
      <c r="AD67" s="1460"/>
      <c r="AL67" s="1434"/>
    </row>
    <row r="68" spans="1:49" ht="30" customHeight="1">
      <c r="A68" s="2400" t="s">
        <v>1436</v>
      </c>
      <c r="B68" s="2401"/>
      <c r="C68" s="1511" t="s">
        <v>1438</v>
      </c>
      <c r="D68" s="1511"/>
      <c r="E68" s="1807" t="s">
        <v>2176</v>
      </c>
      <c r="F68" s="1807" t="s">
        <v>2176</v>
      </c>
      <c r="G68" s="1511"/>
      <c r="H68" s="1511"/>
      <c r="I68" s="1512">
        <v>200000</v>
      </c>
      <c r="J68" s="1758"/>
      <c r="K68" s="1801">
        <v>2035</v>
      </c>
      <c r="L68" s="1515">
        <v>0</v>
      </c>
      <c r="M68" s="1515">
        <v>500</v>
      </c>
      <c r="N68" s="1515">
        <v>0</v>
      </c>
      <c r="O68" s="1515">
        <v>45</v>
      </c>
      <c r="P68" s="1515">
        <f>사회적유입!AW26</f>
        <v>225</v>
      </c>
      <c r="Q68" s="1812">
        <f>사회적유입!AH26</f>
        <v>0</v>
      </c>
      <c r="R68" s="1812">
        <f>사회적유입!AM26</f>
        <v>0</v>
      </c>
      <c r="S68" s="1812">
        <f>사회적유입!AR26</f>
        <v>0</v>
      </c>
      <c r="T68" s="1812">
        <f>사회적유입!AW26</f>
        <v>225</v>
      </c>
      <c r="U68" s="1515" t="s">
        <v>2210</v>
      </c>
      <c r="V68" s="1515" t="s">
        <v>2207</v>
      </c>
      <c r="W68" s="1515" t="s">
        <v>2211</v>
      </c>
      <c r="X68" s="1515">
        <v>0</v>
      </c>
      <c r="Y68" s="1515">
        <v>0</v>
      </c>
      <c r="Z68" s="1515">
        <f t="shared" si="32"/>
        <v>0</v>
      </c>
      <c r="AA68" s="1515">
        <f t="shared" si="33"/>
        <v>500</v>
      </c>
      <c r="AB68" s="1803" t="s">
        <v>1387</v>
      </c>
      <c r="AC68" s="1510"/>
      <c r="AD68" s="1460"/>
      <c r="AL68" s="1434"/>
    </row>
    <row r="69" spans="1:49" ht="32.1" customHeight="1">
      <c r="A69" s="2484" t="s">
        <v>52</v>
      </c>
      <c r="B69" s="2485"/>
      <c r="C69" s="1804">
        <f>COUNTA(C44:C68)</f>
        <v>25</v>
      </c>
      <c r="D69" s="1804"/>
      <c r="E69" s="1804"/>
      <c r="F69" s="1804"/>
      <c r="G69" s="1804"/>
      <c r="H69" s="1804"/>
      <c r="I69" s="1522"/>
      <c r="J69" s="1805"/>
      <c r="K69" s="1805"/>
      <c r="L69" s="1524">
        <f>SUM(L44:L54)</f>
        <v>5447</v>
      </c>
      <c r="M69" s="1524">
        <f>SUM(M44:M68)</f>
        <v>53687</v>
      </c>
      <c r="N69" s="1524"/>
      <c r="O69" s="1524"/>
      <c r="P69" s="1524"/>
      <c r="Q69" s="1813"/>
      <c r="R69" s="1813"/>
      <c r="S69" s="1813"/>
      <c r="T69" s="1813"/>
      <c r="U69" s="1524"/>
      <c r="V69" s="1524"/>
      <c r="W69" s="1524"/>
      <c r="X69" s="1524">
        <f>SUM(X44:X54)</f>
        <v>0</v>
      </c>
      <c r="Y69" s="1524">
        <f>SUM(Y44:Y54)</f>
        <v>0</v>
      </c>
      <c r="Z69" s="1524">
        <f>SUM(Z44:Z68)</f>
        <v>5447</v>
      </c>
      <c r="AA69" s="1524">
        <f>SUM(AA44:AA68)</f>
        <v>53687</v>
      </c>
      <c r="AB69" s="1806"/>
      <c r="AC69" s="1526"/>
      <c r="AD69" s="1460"/>
      <c r="AL69" s="1434"/>
    </row>
    <row r="70" spans="1:49" ht="32.1" customHeight="1">
      <c r="A70" s="1261"/>
      <c r="B70" s="1261"/>
      <c r="C70" s="1261"/>
      <c r="D70" s="1261"/>
      <c r="E70" s="1261"/>
      <c r="F70" s="1261"/>
      <c r="G70" s="1261"/>
      <c r="H70" s="1261"/>
      <c r="I70" s="1498"/>
      <c r="J70" s="1499"/>
      <c r="K70" s="1499"/>
      <c r="L70" s="1498"/>
      <c r="M70" s="1498"/>
      <c r="N70" s="1498"/>
      <c r="O70" s="1498"/>
      <c r="P70" s="1498"/>
      <c r="Q70" s="1498"/>
      <c r="R70" s="1498"/>
      <c r="S70" s="1498"/>
      <c r="T70" s="1498"/>
      <c r="U70" s="1498"/>
      <c r="V70" s="1498"/>
      <c r="W70" s="1498"/>
      <c r="X70" s="1498"/>
      <c r="Y70" s="1498"/>
      <c r="Z70" s="1498"/>
      <c r="AA70" s="1498"/>
      <c r="AB70" s="1526"/>
      <c r="AC70" s="1526"/>
      <c r="AD70" s="1460"/>
      <c r="AL70" s="1434"/>
    </row>
    <row r="71" spans="1:49" ht="32.1" customHeight="1">
      <c r="A71" s="1435" t="s">
        <v>602</v>
      </c>
      <c r="B71" s="1435"/>
      <c r="C71" s="1267"/>
      <c r="D71" s="1267"/>
      <c r="E71" s="1267"/>
      <c r="F71" s="1267"/>
      <c r="G71" s="1267"/>
      <c r="H71" s="1267"/>
      <c r="I71" s="1267"/>
      <c r="J71" s="1430"/>
      <c r="K71" s="1430"/>
      <c r="L71" s="1430"/>
      <c r="M71" s="1430"/>
      <c r="N71" s="1430"/>
      <c r="O71" s="1430"/>
      <c r="P71" s="1430"/>
      <c r="Q71" s="1430"/>
      <c r="R71" s="1430"/>
      <c r="S71" s="1430"/>
      <c r="T71" s="1430"/>
      <c r="U71" s="1430"/>
      <c r="V71" s="1430"/>
      <c r="W71" s="1430"/>
      <c r="X71" s="1430"/>
      <c r="Y71" s="1430"/>
      <c r="Z71" s="1430"/>
      <c r="AA71" s="1430"/>
      <c r="AB71" s="1430"/>
      <c r="AC71" s="1430"/>
      <c r="AL71" s="1434"/>
    </row>
    <row r="72" spans="1:49" ht="32.1" customHeight="1">
      <c r="A72" s="2439" t="s">
        <v>68</v>
      </c>
      <c r="B72" s="2440"/>
      <c r="C72" s="2443" t="s">
        <v>53</v>
      </c>
      <c r="D72" s="1759"/>
      <c r="E72" s="1759"/>
      <c r="F72" s="1759"/>
      <c r="G72" s="1759"/>
      <c r="H72" s="1759"/>
      <c r="I72" s="2411" t="s">
        <v>54</v>
      </c>
      <c r="J72" s="2443" t="s">
        <v>55</v>
      </c>
      <c r="K72" s="2411" t="s">
        <v>56</v>
      </c>
      <c r="L72" s="2411" t="s">
        <v>57</v>
      </c>
      <c r="M72" s="2411" t="s">
        <v>58</v>
      </c>
      <c r="N72" s="1767"/>
      <c r="O72" s="1767"/>
      <c r="P72" s="1767"/>
      <c r="Q72" s="1767"/>
      <c r="R72" s="1767"/>
      <c r="S72" s="1767"/>
      <c r="T72" s="1767"/>
      <c r="U72" s="1767"/>
      <c r="V72" s="1767"/>
      <c r="W72" s="1767"/>
      <c r="X72" s="2434" t="s">
        <v>84</v>
      </c>
      <c r="Y72" s="2435"/>
      <c r="Z72" s="2434" t="s">
        <v>59</v>
      </c>
      <c r="AA72" s="2436"/>
      <c r="AB72" s="2437" t="s">
        <v>60</v>
      </c>
      <c r="AC72" s="1272"/>
      <c r="AL72" s="1434"/>
    </row>
    <row r="73" spans="1:49" ht="30" customHeight="1">
      <c r="A73" s="2441"/>
      <c r="B73" s="2442"/>
      <c r="C73" s="2433"/>
      <c r="D73" s="1760"/>
      <c r="E73" s="1760"/>
      <c r="F73" s="1760"/>
      <c r="G73" s="1760"/>
      <c r="H73" s="1760"/>
      <c r="I73" s="2412"/>
      <c r="J73" s="2433"/>
      <c r="K73" s="2433"/>
      <c r="L73" s="2412"/>
      <c r="M73" s="2412"/>
      <c r="N73" s="1443"/>
      <c r="O73" s="1443"/>
      <c r="P73" s="1443"/>
      <c r="Q73" s="1443"/>
      <c r="R73" s="1443"/>
      <c r="S73" s="1443"/>
      <c r="T73" s="1443"/>
      <c r="U73" s="1443"/>
      <c r="V73" s="1443"/>
      <c r="W73" s="1443"/>
      <c r="X73" s="1443" t="s">
        <v>50</v>
      </c>
      <c r="Y73" s="1443" t="s">
        <v>51</v>
      </c>
      <c r="Z73" s="1443" t="s">
        <v>50</v>
      </c>
      <c r="AA73" s="1443" t="s">
        <v>51</v>
      </c>
      <c r="AB73" s="2438"/>
      <c r="AC73" s="1272"/>
      <c r="AE73" s="2481" t="s">
        <v>93</v>
      </c>
      <c r="AF73" s="2408" t="s">
        <v>86</v>
      </c>
      <c r="AG73" s="2408"/>
      <c r="AH73" s="2408"/>
      <c r="AI73" s="2478" t="s">
        <v>87</v>
      </c>
      <c r="AJ73" s="2479" t="s">
        <v>544</v>
      </c>
      <c r="AK73" s="1527"/>
      <c r="AL73" s="1434"/>
      <c r="AM73" s="2476" t="s">
        <v>125</v>
      </c>
      <c r="AN73" s="2477"/>
      <c r="AO73" s="2477"/>
      <c r="AP73" s="2477"/>
      <c r="AQ73" s="2477"/>
      <c r="AR73" s="2477"/>
      <c r="AS73" s="2477"/>
      <c r="AT73" s="2477"/>
      <c r="AU73" s="2477"/>
      <c r="AV73" s="2477"/>
      <c r="AW73" s="2477"/>
    </row>
    <row r="74" spans="1:49" ht="27.95" customHeight="1">
      <c r="A74" s="2429" t="s">
        <v>1231</v>
      </c>
      <c r="B74" s="2430"/>
      <c r="C74" s="1528" t="s">
        <v>622</v>
      </c>
      <c r="D74" s="1528"/>
      <c r="E74" s="1528"/>
      <c r="F74" s="1528"/>
      <c r="G74" s="1528"/>
      <c r="H74" s="1528"/>
      <c r="I74" s="1306">
        <v>145191</v>
      </c>
      <c r="J74" s="1306"/>
      <c r="K74" s="1529">
        <v>2020</v>
      </c>
      <c r="L74" s="1306"/>
      <c r="M74" s="1306">
        <v>0</v>
      </c>
      <c r="N74" s="1306"/>
      <c r="O74" s="1306"/>
      <c r="P74" s="1306"/>
      <c r="Q74" s="1306"/>
      <c r="R74" s="1306"/>
      <c r="S74" s="1306"/>
      <c r="T74" s="1306"/>
      <c r="U74" s="1306"/>
      <c r="V74" s="1306"/>
      <c r="W74" s="1306"/>
      <c r="X74" s="1306"/>
      <c r="Y74" s="1306"/>
      <c r="Z74" s="1306">
        <v>0</v>
      </c>
      <c r="AA74" s="1306">
        <f>+M74-Y74</f>
        <v>0</v>
      </c>
      <c r="AB74" s="1530"/>
      <c r="AC74" s="1448"/>
      <c r="AE74" s="2481"/>
      <c r="AF74" s="1317" t="s">
        <v>88</v>
      </c>
      <c r="AG74" s="1317" t="s">
        <v>89</v>
      </c>
      <c r="AH74" s="1317" t="s">
        <v>90</v>
      </c>
      <c r="AI74" s="2478"/>
      <c r="AJ74" s="2480"/>
      <c r="AK74" s="1531"/>
      <c r="AL74" s="1434"/>
      <c r="AM74" s="1532" t="s">
        <v>126</v>
      </c>
      <c r="AN74" s="1532"/>
      <c r="AO74" s="1532"/>
      <c r="AP74" s="1532"/>
      <c r="AQ74" s="1532"/>
      <c r="AR74" s="1532" t="s">
        <v>127</v>
      </c>
      <c r="AW74" s="1434" t="s">
        <v>129</v>
      </c>
    </row>
    <row r="75" spans="1:49" ht="27.95" customHeight="1">
      <c r="A75" s="2431" t="s">
        <v>1498</v>
      </c>
      <c r="B75" s="2432"/>
      <c r="C75" s="1444" t="s">
        <v>1233</v>
      </c>
      <c r="D75" s="1444"/>
      <c r="E75" s="1444"/>
      <c r="F75" s="1444"/>
      <c r="G75" s="1444"/>
      <c r="H75" s="1444"/>
      <c r="I75" s="1335">
        <v>339290</v>
      </c>
      <c r="J75" s="1335" t="s">
        <v>92</v>
      </c>
      <c r="K75" s="1445">
        <v>2020</v>
      </c>
      <c r="L75" s="1335"/>
      <c r="M75" s="1335">
        <v>0</v>
      </c>
      <c r="N75" s="1764"/>
      <c r="O75" s="1764"/>
      <c r="P75" s="1764"/>
      <c r="Q75" s="1764"/>
      <c r="R75" s="1764"/>
      <c r="S75" s="1764"/>
      <c r="T75" s="1764"/>
      <c r="U75" s="1764"/>
      <c r="V75" s="1764"/>
      <c r="W75" s="1764"/>
      <c r="X75" s="1335"/>
      <c r="Y75" s="1335"/>
      <c r="Z75" s="1335">
        <f>+L75-X75</f>
        <v>0</v>
      </c>
      <c r="AA75" s="1335">
        <f>+M75-Y75</f>
        <v>0</v>
      </c>
      <c r="AB75" s="1447"/>
      <c r="AC75" s="1448"/>
      <c r="AE75" s="1533" t="str">
        <f>A74</f>
        <v>감곡 역세권</v>
      </c>
      <c r="AF75" s="1502">
        <f>45+173</f>
        <v>218</v>
      </c>
      <c r="AG75" s="1503">
        <f>ROUND(AF75*0.694,0)</f>
        <v>151</v>
      </c>
      <c r="AH75" s="1503">
        <f>ROUND(AF75*0.306,0)</f>
        <v>67</v>
      </c>
      <c r="AI75" s="44">
        <f>ROUND(AG75*1.58,0)</f>
        <v>239</v>
      </c>
      <c r="AJ75" s="45">
        <f>+AI75+AF75</f>
        <v>457</v>
      </c>
      <c r="AK75" s="63"/>
      <c r="AL75" s="1434"/>
    </row>
    <row r="76" spans="1:49" ht="27.95" customHeight="1">
      <c r="A76" s="2431" t="s">
        <v>1499</v>
      </c>
      <c r="B76" s="2432"/>
      <c r="C76" s="1444" t="s">
        <v>1232</v>
      </c>
      <c r="D76" s="1444"/>
      <c r="E76" s="1444"/>
      <c r="F76" s="1444"/>
      <c r="G76" s="1444"/>
      <c r="H76" s="1444"/>
      <c r="I76" s="1335">
        <v>611283</v>
      </c>
      <c r="J76" s="1335"/>
      <c r="K76" s="1445">
        <v>2020</v>
      </c>
      <c r="L76" s="1335"/>
      <c r="M76" s="1335">
        <v>0</v>
      </c>
      <c r="N76" s="1764"/>
      <c r="O76" s="1764"/>
      <c r="P76" s="1764"/>
      <c r="Q76" s="1764"/>
      <c r="R76" s="1764"/>
      <c r="S76" s="1764"/>
      <c r="T76" s="1764"/>
      <c r="U76" s="1764"/>
      <c r="V76" s="1764"/>
      <c r="W76" s="1764"/>
      <c r="X76" s="1335"/>
      <c r="Y76" s="1335"/>
      <c r="Z76" s="1335">
        <f>+L76-X76</f>
        <v>0</v>
      </c>
      <c r="AA76" s="1335">
        <f>+M76-Y76</f>
        <v>0</v>
      </c>
      <c r="AB76" s="1447"/>
      <c r="AC76" s="1448"/>
      <c r="AE76" s="1533" t="str">
        <f>A75</f>
        <v>모래우물
자연체험학교</v>
      </c>
      <c r="AF76" s="1502">
        <v>1259</v>
      </c>
      <c r="AG76" s="1503">
        <f>ROUND(AF76*0.694,0)</f>
        <v>874</v>
      </c>
      <c r="AH76" s="1503">
        <f>ROUND(AF76*0.306,0)</f>
        <v>385</v>
      </c>
      <c r="AI76" s="44">
        <f>ROUND(AG76*1.58,0)</f>
        <v>1381</v>
      </c>
      <c r="AJ76" s="45">
        <f>+AI76+AF76</f>
        <v>2640</v>
      </c>
      <c r="AK76" s="63"/>
      <c r="AL76" s="1434"/>
    </row>
    <row r="77" spans="1:49" ht="27.95" customHeight="1">
      <c r="A77" s="2425" t="s">
        <v>52</v>
      </c>
      <c r="B77" s="2426"/>
      <c r="C77" s="1454">
        <f>COUNTA(A74:B76)</f>
        <v>3</v>
      </c>
      <c r="D77" s="1454"/>
      <c r="E77" s="1454"/>
      <c r="F77" s="1454"/>
      <c r="G77" s="1454"/>
      <c r="H77" s="1454"/>
      <c r="I77" s="1455"/>
      <c r="J77" s="1455"/>
      <c r="K77" s="1455"/>
      <c r="L77" s="1455">
        <f t="shared" ref="L77:AA77" si="36">SUM(L74:L76)</f>
        <v>0</v>
      </c>
      <c r="M77" s="1455">
        <f t="shared" si="36"/>
        <v>0</v>
      </c>
      <c r="N77" s="1455"/>
      <c r="O77" s="1455"/>
      <c r="P77" s="1455"/>
      <c r="Q77" s="1455"/>
      <c r="R77" s="1455"/>
      <c r="S77" s="1455"/>
      <c r="T77" s="1455"/>
      <c r="U77" s="1455"/>
      <c r="V77" s="1455"/>
      <c r="W77" s="1455"/>
      <c r="X77" s="1455">
        <f t="shared" si="36"/>
        <v>0</v>
      </c>
      <c r="Y77" s="1455">
        <f t="shared" si="36"/>
        <v>0</v>
      </c>
      <c r="Z77" s="1455">
        <f t="shared" si="36"/>
        <v>0</v>
      </c>
      <c r="AA77" s="1455">
        <f t="shared" si="36"/>
        <v>0</v>
      </c>
      <c r="AB77" s="1534"/>
      <c r="AC77" s="1262"/>
      <c r="AE77" s="1535" t="str">
        <f>A76</f>
        <v>품바
재생예술체험촌</v>
      </c>
      <c r="AF77" s="1502">
        <v>1958</v>
      </c>
      <c r="AG77" s="1503">
        <f>ROUND(AF77*0.694,0)</f>
        <v>1359</v>
      </c>
      <c r="AH77" s="1503">
        <f>ROUND(AF77*0.306,0)</f>
        <v>599</v>
      </c>
      <c r="AI77" s="44">
        <f>ROUND(AG77*1.58,0)</f>
        <v>2147</v>
      </c>
      <c r="AJ77" s="45">
        <f>+AI77+AF77</f>
        <v>4105</v>
      </c>
      <c r="AK77" s="63"/>
      <c r="AL77" s="1434"/>
      <c r="AM77" s="1536">
        <v>405</v>
      </c>
      <c r="AN77" s="1536"/>
      <c r="AO77" s="1536"/>
      <c r="AP77" s="1536"/>
      <c r="AQ77" s="1536"/>
      <c r="AR77" s="1536">
        <v>156</v>
      </c>
    </row>
    <row r="78" spans="1:49" ht="27.95" customHeight="1">
      <c r="AE78" s="1519" t="s">
        <v>138</v>
      </c>
      <c r="AF78" s="1434"/>
      <c r="AG78" s="1434"/>
      <c r="AH78" s="1434"/>
      <c r="AI78" s="1434"/>
      <c r="AJ78" s="1434"/>
      <c r="AK78" s="1434"/>
      <c r="AL78" s="1434"/>
      <c r="AM78" s="1434" t="s">
        <v>128</v>
      </c>
    </row>
    <row r="79" spans="1:49" ht="27.95" customHeight="1">
      <c r="AF79" s="1434"/>
      <c r="AG79" s="1434"/>
      <c r="AH79" s="1434"/>
      <c r="AI79" s="1434"/>
      <c r="AJ79" s="1434"/>
      <c r="AK79" s="1434"/>
      <c r="AL79" s="1434"/>
    </row>
    <row r="80" spans="1:49" ht="27.95" customHeight="1">
      <c r="AF80" s="1434"/>
      <c r="AG80" s="1434"/>
      <c r="AH80" s="1434"/>
      <c r="AI80" s="1434"/>
      <c r="AJ80" s="1434"/>
      <c r="AK80" s="1434"/>
      <c r="AL80" s="1434"/>
    </row>
    <row r="85" spans="31:38" ht="27.95" customHeight="1">
      <c r="AE85" s="1431">
        <v>45</v>
      </c>
      <c r="AF85" s="1463">
        <v>173</v>
      </c>
    </row>
    <row r="87" spans="31:38" ht="27.95" customHeight="1">
      <c r="AF87" s="1433"/>
      <c r="AG87" s="1433"/>
      <c r="AH87" s="1433"/>
      <c r="AI87" s="1433"/>
      <c r="AJ87" s="1434"/>
      <c r="AK87" s="1434"/>
      <c r="AL87" s="1434"/>
    </row>
    <row r="88" spans="31:38" ht="27.95" customHeight="1">
      <c r="AF88" s="1433"/>
      <c r="AG88" s="1433"/>
      <c r="AH88" s="1433"/>
      <c r="AI88" s="1433"/>
      <c r="AJ88" s="1434"/>
      <c r="AK88" s="1434"/>
      <c r="AL88" s="1434"/>
    </row>
    <row r="89" spans="31:38" ht="27.95" customHeight="1">
      <c r="AF89" s="1433"/>
      <c r="AG89" s="1433"/>
      <c r="AH89" s="1433"/>
      <c r="AI89" s="1433"/>
      <c r="AJ89" s="1434"/>
      <c r="AK89" s="1434"/>
      <c r="AL89" s="1434"/>
    </row>
    <row r="90" spans="31:38" ht="27.95" customHeight="1">
      <c r="AF90" s="1433"/>
      <c r="AG90" s="1433"/>
      <c r="AH90" s="1433"/>
      <c r="AI90" s="1433"/>
      <c r="AJ90" s="1434"/>
      <c r="AK90" s="1434"/>
      <c r="AL90" s="1434"/>
    </row>
  </sheetData>
  <mergeCells count="139">
    <mergeCell ref="N16:N17"/>
    <mergeCell ref="O16:O17"/>
    <mergeCell ref="P16:P17"/>
    <mergeCell ref="Q16:T16"/>
    <mergeCell ref="U16:W16"/>
    <mergeCell ref="D42:D43"/>
    <mergeCell ref="E42:E43"/>
    <mergeCell ref="F42:F43"/>
    <mergeCell ref="G42:G43"/>
    <mergeCell ref="H42:I42"/>
    <mergeCell ref="N42:N43"/>
    <mergeCell ref="O42:O43"/>
    <mergeCell ref="P42:P43"/>
    <mergeCell ref="Q42:T42"/>
    <mergeCell ref="U42:W42"/>
    <mergeCell ref="AM73:AW73"/>
    <mergeCell ref="A39:B39"/>
    <mergeCell ref="A27:B27"/>
    <mergeCell ref="A28:B28"/>
    <mergeCell ref="AI73:AI74"/>
    <mergeCell ref="AJ73:AJ74"/>
    <mergeCell ref="AE73:AE74"/>
    <mergeCell ref="Z42:AA42"/>
    <mergeCell ref="AB42:AB43"/>
    <mergeCell ref="A69:B69"/>
    <mergeCell ref="A30:B30"/>
    <mergeCell ref="A54:B54"/>
    <mergeCell ref="A55:B55"/>
    <mergeCell ref="A56:B56"/>
    <mergeCell ref="A57:B57"/>
    <mergeCell ref="A58:B58"/>
    <mergeCell ref="A59:B59"/>
    <mergeCell ref="A60:B60"/>
    <mergeCell ref="A61:B61"/>
    <mergeCell ref="AL41:AL42"/>
    <mergeCell ref="A36:B36"/>
    <mergeCell ref="A37:B37"/>
    <mergeCell ref="A31:B31"/>
    <mergeCell ref="A34:B34"/>
    <mergeCell ref="Z3:AA3"/>
    <mergeCell ref="A4:B5"/>
    <mergeCell ref="C4:C5"/>
    <mergeCell ref="J4:J5"/>
    <mergeCell ref="K4:K5"/>
    <mergeCell ref="L4:L5"/>
    <mergeCell ref="M4:M5"/>
    <mergeCell ref="X4:Y4"/>
    <mergeCell ref="Z4:AA4"/>
    <mergeCell ref="D4:D5"/>
    <mergeCell ref="E4:E5"/>
    <mergeCell ref="F4:F5"/>
    <mergeCell ref="G4:G5"/>
    <mergeCell ref="H4:I4"/>
    <mergeCell ref="N4:N5"/>
    <mergeCell ref="O4:O5"/>
    <mergeCell ref="P4:P5"/>
    <mergeCell ref="Q4:T4"/>
    <mergeCell ref="U4:W4"/>
    <mergeCell ref="AB4:AB5"/>
    <mergeCell ref="A6:B6"/>
    <mergeCell ref="A7:B7"/>
    <mergeCell ref="AB16:AB17"/>
    <mergeCell ref="A18:B18"/>
    <mergeCell ref="J16:J17"/>
    <mergeCell ref="K16:K17"/>
    <mergeCell ref="L16:L17"/>
    <mergeCell ref="M16:M17"/>
    <mergeCell ref="X16:Y16"/>
    <mergeCell ref="Z16:AA16"/>
    <mergeCell ref="A16:B17"/>
    <mergeCell ref="C16:C17"/>
    <mergeCell ref="A13:B13"/>
    <mergeCell ref="A8:B8"/>
    <mergeCell ref="A9:B9"/>
    <mergeCell ref="A10:B10"/>
    <mergeCell ref="A11:B11"/>
    <mergeCell ref="A12:B12"/>
    <mergeCell ref="D16:D17"/>
    <mergeCell ref="E16:E17"/>
    <mergeCell ref="F16:F17"/>
    <mergeCell ref="G16:G17"/>
    <mergeCell ref="H16:I16"/>
    <mergeCell ref="A77:B77"/>
    <mergeCell ref="A38:B38"/>
    <mergeCell ref="AF73:AH73"/>
    <mergeCell ref="A74:B74"/>
    <mergeCell ref="A75:B75"/>
    <mergeCell ref="A76:B76"/>
    <mergeCell ref="K72:K73"/>
    <mergeCell ref="L72:L73"/>
    <mergeCell ref="M72:M73"/>
    <mergeCell ref="X72:Y72"/>
    <mergeCell ref="Z72:AA72"/>
    <mergeCell ref="AB72:AB73"/>
    <mergeCell ref="A72:B73"/>
    <mergeCell ref="C72:C73"/>
    <mergeCell ref="J42:J43"/>
    <mergeCell ref="K42:K43"/>
    <mergeCell ref="I72:I73"/>
    <mergeCell ref="J72:J73"/>
    <mergeCell ref="A51:B51"/>
    <mergeCell ref="A52:B52"/>
    <mergeCell ref="A48:B48"/>
    <mergeCell ref="A49:B49"/>
    <mergeCell ref="A50:B50"/>
    <mergeCell ref="A53:B53"/>
    <mergeCell ref="A35:B35"/>
    <mergeCell ref="A23:B23"/>
    <mergeCell ref="A24:B24"/>
    <mergeCell ref="A25:B25"/>
    <mergeCell ref="A26:B26"/>
    <mergeCell ref="A20:B20"/>
    <mergeCell ref="A21:B21"/>
    <mergeCell ref="A29:B29"/>
    <mergeCell ref="A22:B22"/>
    <mergeCell ref="A19:B19"/>
    <mergeCell ref="AK41:AK42"/>
    <mergeCell ref="A68:B68"/>
    <mergeCell ref="A66:B66"/>
    <mergeCell ref="A62:B62"/>
    <mergeCell ref="A63:B63"/>
    <mergeCell ref="A64:B64"/>
    <mergeCell ref="A65:B65"/>
    <mergeCell ref="A67:B67"/>
    <mergeCell ref="AE43:AE51"/>
    <mergeCell ref="A45:B45"/>
    <mergeCell ref="A46:B46"/>
    <mergeCell ref="AE41:AF42"/>
    <mergeCell ref="AG41:AI41"/>
    <mergeCell ref="AJ41:AJ42"/>
    <mergeCell ref="A47:B47"/>
    <mergeCell ref="L42:L43"/>
    <mergeCell ref="M42:M43"/>
    <mergeCell ref="X42:Y42"/>
    <mergeCell ref="A42:B43"/>
    <mergeCell ref="C42:C43"/>
    <mergeCell ref="A44:B44"/>
    <mergeCell ref="A32:B32"/>
    <mergeCell ref="A33:B33"/>
  </mergeCells>
  <phoneticPr fontId="4" type="noConversion"/>
  <printOptions horizontalCentered="1"/>
  <pageMargins left="0.70866141732283472" right="0.47244094488188981" top="0.78740157480314965" bottom="0.78740157480314965" header="0.39370078740157483" footer="0.39370078740157483"/>
  <pageSetup paperSize="9" scale="41" orientation="portrait" r:id="rId1"/>
  <headerFooter alignWithMargins="0"/>
  <rowBreaks count="1" manualBreakCount="1">
    <brk id="40" max="27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L91"/>
  <sheetViews>
    <sheetView view="pageBreakPreview" zoomScaleNormal="100" zoomScaleSheetLayoutView="100" workbookViewId="0"/>
  </sheetViews>
  <sheetFormatPr defaultRowHeight="27.95" customHeight="1"/>
  <cols>
    <col min="1" max="1" width="4.25" style="1257" customWidth="1"/>
    <col min="2" max="2" width="12.75" style="1257" customWidth="1"/>
    <col min="3" max="3" width="23.125" style="1257" customWidth="1"/>
    <col min="4" max="4" width="13.375" style="1257" customWidth="1"/>
    <col min="5" max="5" width="15.5" style="1257" customWidth="1"/>
    <col min="6" max="6" width="10.125" style="1257" customWidth="1"/>
    <col min="7" max="8" width="11" style="1257" customWidth="1"/>
    <col min="9" max="10" width="9.75" style="1257" customWidth="1"/>
    <col min="11" max="11" width="10.75" style="1257" customWidth="1"/>
    <col min="12" max="12" width="12.25" style="1257" customWidth="1"/>
    <col min="13" max="14" width="17.125" style="1257" customWidth="1"/>
    <col min="15" max="15" width="15.625" style="1431" customWidth="1"/>
    <col min="16" max="16" width="16.375" style="1431" customWidth="1"/>
    <col min="17" max="17" width="21.5" style="1463" bestFit="1" customWidth="1"/>
    <col min="18" max="18" width="13.5" style="1463" bestFit="1" customWidth="1"/>
    <col min="19" max="23" width="11" style="1463" customWidth="1"/>
    <col min="24" max="24" width="10" style="1434" customWidth="1"/>
    <col min="25" max="28" width="10" style="1434" hidden="1" customWidth="1"/>
    <col min="29" max="29" width="10" style="1434" customWidth="1"/>
    <col min="30" max="33" width="10" style="1434" hidden="1" customWidth="1"/>
    <col min="34" max="34" width="10" style="1434" customWidth="1"/>
    <col min="35" max="38" width="10" style="1434" hidden="1" customWidth="1"/>
    <col min="39" max="39" width="10" style="1434" customWidth="1"/>
    <col min="40" max="16384" width="9" style="1434"/>
  </cols>
  <sheetData>
    <row r="1" spans="1:24" ht="30" customHeight="1">
      <c r="A1" s="1429" t="s">
        <v>1504</v>
      </c>
      <c r="B1" s="1253"/>
      <c r="C1" s="1267"/>
      <c r="D1" s="1267"/>
      <c r="E1" s="1430"/>
      <c r="F1" s="1430"/>
      <c r="G1" s="1430"/>
      <c r="H1" s="1430"/>
      <c r="I1" s="1430"/>
      <c r="J1" s="1430"/>
      <c r="K1" s="1430"/>
      <c r="L1" s="1430"/>
      <c r="M1" s="1430"/>
      <c r="N1" s="1430"/>
      <c r="P1" s="1432"/>
      <c r="Q1" s="1433"/>
      <c r="R1" s="1433"/>
      <c r="S1" s="1433"/>
      <c r="T1" s="1433"/>
      <c r="U1" s="1433"/>
      <c r="V1" s="1433"/>
      <c r="W1" s="1433"/>
    </row>
    <row r="2" spans="1:24" ht="30" customHeight="1">
      <c r="A2" s="1259" t="s">
        <v>42</v>
      </c>
      <c r="B2" s="1435"/>
      <c r="C2" s="1267"/>
      <c r="D2" s="1267"/>
      <c r="E2" s="1430"/>
      <c r="F2" s="1430"/>
      <c r="G2" s="1430"/>
      <c r="H2" s="1436"/>
      <c r="I2" s="1430"/>
      <c r="J2" s="1430"/>
      <c r="K2" s="1430"/>
      <c r="L2" s="1430"/>
      <c r="M2" s="1430"/>
      <c r="N2" s="1430"/>
      <c r="O2" s="1437"/>
      <c r="P2" s="1432"/>
      <c r="Q2" s="1433"/>
      <c r="R2" s="1433"/>
      <c r="S2" s="1433"/>
      <c r="T2" s="1433"/>
      <c r="U2" s="1433"/>
      <c r="V2" s="1433"/>
      <c r="W2" s="1433"/>
    </row>
    <row r="3" spans="1:24" ht="30" customHeight="1">
      <c r="A3" s="1435" t="s">
        <v>81</v>
      </c>
      <c r="B3" s="1435"/>
      <c r="C3" s="1267"/>
      <c r="D3" s="1267"/>
      <c r="E3" s="1430"/>
      <c r="F3" s="1430"/>
      <c r="G3" s="1438"/>
      <c r="H3" s="1439"/>
      <c r="I3" s="1440"/>
      <c r="J3" s="1440"/>
      <c r="K3" s="2469"/>
      <c r="L3" s="2469"/>
      <c r="M3" s="1438"/>
      <c r="N3" s="1438"/>
      <c r="O3" s="1441"/>
      <c r="P3" s="1432"/>
      <c r="Q3" s="1433"/>
      <c r="R3" s="1433"/>
      <c r="S3" s="1433"/>
      <c r="T3" s="1433"/>
      <c r="U3" s="1433"/>
      <c r="V3" s="1433"/>
      <c r="W3" s="1433"/>
    </row>
    <row r="4" spans="1:24" ht="30" customHeight="1">
      <c r="A4" s="2461" t="s">
        <v>43</v>
      </c>
      <c r="B4" s="2462"/>
      <c r="C4" s="2443" t="s">
        <v>44</v>
      </c>
      <c r="D4" s="2411" t="s">
        <v>61</v>
      </c>
      <c r="E4" s="2443" t="s">
        <v>45</v>
      </c>
      <c r="F4" s="2411" t="s">
        <v>46</v>
      </c>
      <c r="G4" s="2411" t="s">
        <v>47</v>
      </c>
      <c r="H4" s="2411" t="s">
        <v>48</v>
      </c>
      <c r="I4" s="2434" t="s">
        <v>83</v>
      </c>
      <c r="J4" s="2435"/>
      <c r="K4" s="2434" t="s">
        <v>1342</v>
      </c>
      <c r="L4" s="2436"/>
      <c r="M4" s="2437" t="s">
        <v>49</v>
      </c>
      <c r="N4" s="1272"/>
      <c r="O4" s="1442"/>
      <c r="P4" s="1433"/>
      <c r="Q4" s="1433"/>
      <c r="R4" s="1433"/>
      <c r="S4" s="1433"/>
      <c r="T4" s="1434"/>
      <c r="U4" s="1434"/>
      <c r="V4" s="1434"/>
      <c r="W4" s="1434"/>
    </row>
    <row r="5" spans="1:24" ht="30" customHeight="1">
      <c r="A5" s="2486"/>
      <c r="B5" s="2487"/>
      <c r="C5" s="2433"/>
      <c r="D5" s="2412"/>
      <c r="E5" s="2433"/>
      <c r="F5" s="2433"/>
      <c r="G5" s="2412"/>
      <c r="H5" s="2412"/>
      <c r="I5" s="1443" t="s">
        <v>50</v>
      </c>
      <c r="J5" s="1443" t="s">
        <v>51</v>
      </c>
      <c r="K5" s="1443" t="s">
        <v>50</v>
      </c>
      <c r="L5" s="1443" t="s">
        <v>51</v>
      </c>
      <c r="M5" s="2438"/>
      <c r="N5" s="1272"/>
      <c r="O5" s="1442"/>
      <c r="P5" s="1433"/>
      <c r="Q5" s="1433"/>
      <c r="R5" s="1433"/>
      <c r="S5" s="1433"/>
      <c r="T5" s="1434"/>
      <c r="U5" s="1434"/>
      <c r="V5" s="1434"/>
      <c r="W5" s="1434"/>
    </row>
    <row r="6" spans="1:24" ht="32.1" customHeight="1">
      <c r="A6" s="2488" t="s">
        <v>1136</v>
      </c>
      <c r="B6" s="2489"/>
      <c r="C6" s="1444" t="s">
        <v>1269</v>
      </c>
      <c r="D6" s="1764">
        <v>176700</v>
      </c>
      <c r="E6" s="1764"/>
      <c r="F6" s="1445">
        <v>2020</v>
      </c>
      <c r="G6" s="1764">
        <v>0</v>
      </c>
      <c r="H6" s="1764">
        <v>4780</v>
      </c>
      <c r="I6" s="1446">
        <v>0</v>
      </c>
      <c r="J6" s="1446">
        <v>0</v>
      </c>
      <c r="K6" s="1446">
        <f t="shared" ref="K6:L12" si="0">+G6-I6</f>
        <v>0</v>
      </c>
      <c r="L6" s="1446">
        <f t="shared" si="0"/>
        <v>4780</v>
      </c>
      <c r="M6" s="1447" t="s">
        <v>82</v>
      </c>
      <c r="N6" s="1448" t="s">
        <v>1103</v>
      </c>
      <c r="O6" s="1442">
        <v>3</v>
      </c>
      <c r="P6" s="1433"/>
      <c r="Q6" s="1433"/>
      <c r="R6" s="1433"/>
      <c r="S6" s="1433"/>
      <c r="T6" s="1434"/>
      <c r="U6" s="1434"/>
      <c r="V6" s="1434"/>
      <c r="W6" s="1434"/>
    </row>
    <row r="7" spans="1:24" ht="32.1" customHeight="1">
      <c r="A7" s="2490" t="s">
        <v>1135</v>
      </c>
      <c r="B7" s="2491"/>
      <c r="C7" s="1449" t="s">
        <v>759</v>
      </c>
      <c r="D7" s="1765">
        <v>3400000</v>
      </c>
      <c r="E7" s="1766"/>
      <c r="F7" s="1450">
        <v>2020</v>
      </c>
      <c r="G7" s="1765">
        <v>0</v>
      </c>
      <c r="H7" s="1451">
        <v>10000</v>
      </c>
      <c r="I7" s="1451">
        <v>0</v>
      </c>
      <c r="J7" s="1451">
        <v>0</v>
      </c>
      <c r="K7" s="1451">
        <f t="shared" si="0"/>
        <v>0</v>
      </c>
      <c r="L7" s="1451">
        <f t="shared" si="0"/>
        <v>10000</v>
      </c>
      <c r="M7" s="1452" t="s">
        <v>137</v>
      </c>
      <c r="N7" s="1448" t="s">
        <v>1099</v>
      </c>
      <c r="O7" s="1453"/>
      <c r="P7" s="1433"/>
      <c r="Q7" s="1433"/>
      <c r="R7" s="1433"/>
      <c r="S7" s="1433"/>
      <c r="T7" s="1434"/>
      <c r="U7" s="1434"/>
      <c r="V7" s="1434"/>
      <c r="W7" s="1434"/>
    </row>
    <row r="8" spans="1:24" ht="32.1" customHeight="1">
      <c r="A8" s="2488" t="s">
        <v>1389</v>
      </c>
      <c r="B8" s="2489"/>
      <c r="C8" s="1444" t="s">
        <v>1396</v>
      </c>
      <c r="D8" s="1764">
        <v>100000</v>
      </c>
      <c r="E8" s="1764"/>
      <c r="F8" s="1445">
        <v>2030</v>
      </c>
      <c r="G8" s="1764">
        <v>0</v>
      </c>
      <c r="H8" s="1764">
        <v>2220</v>
      </c>
      <c r="I8" s="1446">
        <v>0</v>
      </c>
      <c r="J8" s="1446">
        <v>0</v>
      </c>
      <c r="K8" s="1446">
        <f t="shared" si="0"/>
        <v>0</v>
      </c>
      <c r="L8" s="1446">
        <f t="shared" si="0"/>
        <v>2220</v>
      </c>
      <c r="M8" s="1447" t="s">
        <v>1387</v>
      </c>
      <c r="N8" s="1448"/>
      <c r="O8" s="1453"/>
      <c r="P8" s="1433"/>
      <c r="Q8" s="1433"/>
      <c r="R8" s="1433"/>
      <c r="S8" s="1433"/>
      <c r="T8" s="1434"/>
      <c r="U8" s="1434"/>
      <c r="V8" s="1434"/>
      <c r="W8" s="1434"/>
    </row>
    <row r="9" spans="1:24" ht="32.1" customHeight="1">
      <c r="A9" s="2488" t="s">
        <v>1450</v>
      </c>
      <c r="B9" s="2489"/>
      <c r="C9" s="1444" t="s">
        <v>1397</v>
      </c>
      <c r="D9" s="1764">
        <v>240000</v>
      </c>
      <c r="E9" s="1764"/>
      <c r="F9" s="1445">
        <v>2030</v>
      </c>
      <c r="G9" s="1764">
        <v>0</v>
      </c>
      <c r="H9" s="1764">
        <v>7670</v>
      </c>
      <c r="I9" s="1446">
        <v>0</v>
      </c>
      <c r="J9" s="1446">
        <v>0</v>
      </c>
      <c r="K9" s="1446">
        <f t="shared" si="0"/>
        <v>0</v>
      </c>
      <c r="L9" s="1446">
        <f t="shared" si="0"/>
        <v>7670</v>
      </c>
      <c r="M9" s="1447" t="s">
        <v>1387</v>
      </c>
      <c r="N9" s="1448"/>
      <c r="O9" s="1453"/>
      <c r="P9" s="1433"/>
      <c r="Q9" s="1433"/>
      <c r="R9" s="1433"/>
      <c r="S9" s="1433"/>
      <c r="T9" s="1434"/>
      <c r="U9" s="1434"/>
      <c r="V9" s="1434"/>
      <c r="W9" s="1434"/>
    </row>
    <row r="10" spans="1:24" ht="32.1" customHeight="1">
      <c r="A10" s="2488" t="s">
        <v>1391</v>
      </c>
      <c r="B10" s="2489"/>
      <c r="C10" s="1444" t="s">
        <v>1398</v>
      </c>
      <c r="D10" s="1764">
        <v>150000</v>
      </c>
      <c r="E10" s="1764"/>
      <c r="F10" s="1445">
        <v>2030</v>
      </c>
      <c r="G10" s="1764">
        <v>0</v>
      </c>
      <c r="H10" s="1764">
        <v>3330</v>
      </c>
      <c r="I10" s="1446">
        <v>0</v>
      </c>
      <c r="J10" s="1446">
        <v>0</v>
      </c>
      <c r="K10" s="1446">
        <f t="shared" si="0"/>
        <v>0</v>
      </c>
      <c r="L10" s="1446">
        <f t="shared" si="0"/>
        <v>3330</v>
      </c>
      <c r="M10" s="1447" t="s">
        <v>1387</v>
      </c>
      <c r="N10" s="1448"/>
      <c r="O10" s="1453"/>
      <c r="P10" s="1433"/>
      <c r="Q10" s="1433"/>
      <c r="R10" s="1433"/>
      <c r="S10" s="1433"/>
      <c r="T10" s="1434"/>
      <c r="U10" s="1434"/>
      <c r="V10" s="1434"/>
      <c r="W10" s="1434"/>
    </row>
    <row r="11" spans="1:24" ht="32.1" customHeight="1">
      <c r="A11" s="2488" t="s">
        <v>1393</v>
      </c>
      <c r="B11" s="2489"/>
      <c r="C11" s="1444" t="s">
        <v>1399</v>
      </c>
      <c r="D11" s="1764">
        <v>200000</v>
      </c>
      <c r="E11" s="1764"/>
      <c r="F11" s="1445">
        <v>2030</v>
      </c>
      <c r="G11" s="1764">
        <v>0</v>
      </c>
      <c r="H11" s="1764">
        <v>4440</v>
      </c>
      <c r="I11" s="1446">
        <v>0</v>
      </c>
      <c r="J11" s="1446">
        <v>0</v>
      </c>
      <c r="K11" s="1446">
        <f t="shared" si="0"/>
        <v>0</v>
      </c>
      <c r="L11" s="1446">
        <f t="shared" si="0"/>
        <v>4440</v>
      </c>
      <c r="M11" s="1447" t="s">
        <v>1387</v>
      </c>
      <c r="N11" s="1448"/>
      <c r="O11" s="1453"/>
      <c r="P11" s="1433"/>
      <c r="Q11" s="1433"/>
      <c r="R11" s="1433"/>
      <c r="S11" s="1433"/>
      <c r="T11" s="1434"/>
      <c r="U11" s="1434"/>
      <c r="V11" s="1434"/>
      <c r="W11" s="1434"/>
    </row>
    <row r="12" spans="1:24" ht="32.1" customHeight="1">
      <c r="A12" s="2488" t="s">
        <v>1395</v>
      </c>
      <c r="B12" s="2489"/>
      <c r="C12" s="1444" t="s">
        <v>1400</v>
      </c>
      <c r="D12" s="1764">
        <v>150000</v>
      </c>
      <c r="E12" s="1764"/>
      <c r="F12" s="1445">
        <v>2030</v>
      </c>
      <c r="G12" s="1764">
        <v>0</v>
      </c>
      <c r="H12" s="1764">
        <v>3330</v>
      </c>
      <c r="I12" s="1446">
        <v>0</v>
      </c>
      <c r="J12" s="1446">
        <v>0</v>
      </c>
      <c r="K12" s="1446">
        <f t="shared" si="0"/>
        <v>0</v>
      </c>
      <c r="L12" s="1446">
        <f t="shared" si="0"/>
        <v>3330</v>
      </c>
      <c r="M12" s="1447" t="s">
        <v>1387</v>
      </c>
      <c r="N12" s="1448"/>
      <c r="O12" s="1453"/>
      <c r="P12" s="1433"/>
      <c r="Q12" s="1433"/>
      <c r="R12" s="1433"/>
      <c r="S12" s="1433"/>
      <c r="T12" s="1434"/>
      <c r="U12" s="1434"/>
      <c r="V12" s="1434"/>
      <c r="W12" s="1434"/>
    </row>
    <row r="13" spans="1:24" ht="32.1" customHeight="1">
      <c r="A13" s="2425" t="s">
        <v>52</v>
      </c>
      <c r="B13" s="2426"/>
      <c r="C13" s="1454">
        <f>COUNTA(A6:B12)</f>
        <v>7</v>
      </c>
      <c r="D13" s="1455"/>
      <c r="E13" s="1455"/>
      <c r="F13" s="1455"/>
      <c r="G13" s="1455">
        <f>SUM(G6:G7)</f>
        <v>0</v>
      </c>
      <c r="H13" s="1455">
        <f>SUM(H6:H12)</f>
        <v>35770</v>
      </c>
      <c r="I13" s="1455">
        <f>SUM(I6:I7)</f>
        <v>0</v>
      </c>
      <c r="J13" s="1455">
        <f>SUM(J6:J7)</f>
        <v>0</v>
      </c>
      <c r="K13" s="1455">
        <f>SUM(K6:K7)</f>
        <v>0</v>
      </c>
      <c r="L13" s="1455">
        <f>SUM(L6:L12)</f>
        <v>35770</v>
      </c>
      <c r="M13" s="1456"/>
      <c r="N13" s="1457"/>
      <c r="O13" s="1442"/>
      <c r="P13" s="1433"/>
      <c r="Q13" s="1433"/>
      <c r="R13" s="1433"/>
      <c r="S13" s="1433"/>
      <c r="T13" s="1434"/>
      <c r="U13" s="1434"/>
      <c r="V13" s="1434"/>
      <c r="W13" s="1434"/>
    </row>
    <row r="14" spans="1:24" ht="30" customHeight="1">
      <c r="A14" s="1261"/>
      <c r="B14" s="1261"/>
      <c r="C14" s="1261"/>
      <c r="D14" s="1262"/>
      <c r="E14" s="1262"/>
      <c r="F14" s="1458"/>
      <c r="G14" s="1262"/>
      <c r="H14" s="1459"/>
      <c r="I14" s="1458"/>
      <c r="J14" s="1262"/>
      <c r="K14" s="1262"/>
      <c r="L14" s="1262"/>
      <c r="M14" s="1457"/>
      <c r="N14" s="1457"/>
      <c r="O14" s="1460"/>
      <c r="P14" s="1442"/>
      <c r="Q14" s="1433"/>
      <c r="R14" s="1433"/>
      <c r="S14" s="1433"/>
      <c r="T14" s="1433"/>
      <c r="U14" s="1434"/>
      <c r="V14" s="1434"/>
      <c r="W14" s="1434"/>
    </row>
    <row r="15" spans="1:24" ht="29.25" customHeight="1">
      <c r="A15" s="1435" t="s">
        <v>600</v>
      </c>
      <c r="B15" s="1435"/>
      <c r="C15" s="1267"/>
      <c r="D15" s="1267"/>
      <c r="E15" s="1430"/>
      <c r="F15" s="1430"/>
      <c r="G15" s="1430"/>
      <c r="H15" s="1430"/>
      <c r="I15" s="1430"/>
      <c r="J15" s="1430"/>
      <c r="K15" s="1430"/>
      <c r="L15" s="1430"/>
      <c r="M15" s="1430"/>
      <c r="N15" s="1430"/>
      <c r="P15" s="1442"/>
      <c r="Q15" s="1433"/>
      <c r="R15" s="1433"/>
      <c r="S15" s="1433"/>
      <c r="T15" s="1433"/>
      <c r="U15" s="1433"/>
      <c r="V15" s="1433"/>
      <c r="W15" s="1434"/>
    </row>
    <row r="16" spans="1:24" ht="30" customHeight="1">
      <c r="A16" s="2461" t="s">
        <v>43</v>
      </c>
      <c r="B16" s="2462"/>
      <c r="C16" s="2444" t="s">
        <v>65</v>
      </c>
      <c r="D16" s="2411" t="s">
        <v>61</v>
      </c>
      <c r="E16" s="2444" t="s">
        <v>66</v>
      </c>
      <c r="F16" s="2411" t="s">
        <v>46</v>
      </c>
      <c r="G16" s="2411" t="s">
        <v>47</v>
      </c>
      <c r="H16" s="2411" t="s">
        <v>48</v>
      </c>
      <c r="I16" s="2434" t="s">
        <v>1330</v>
      </c>
      <c r="J16" s="2435"/>
      <c r="K16" s="2434" t="s">
        <v>758</v>
      </c>
      <c r="L16" s="2436"/>
      <c r="M16" s="2452" t="s">
        <v>49</v>
      </c>
      <c r="N16" s="1461"/>
      <c r="O16" s="1462"/>
      <c r="P16" s="1462"/>
      <c r="R16" s="1433"/>
      <c r="S16" s="1433"/>
      <c r="T16" s="1433"/>
      <c r="U16" s="1433"/>
      <c r="V16" s="1433"/>
      <c r="W16" s="1433"/>
      <c r="X16" s="1433"/>
    </row>
    <row r="17" spans="1:24" ht="30" customHeight="1">
      <c r="A17" s="2486"/>
      <c r="B17" s="2487"/>
      <c r="C17" s="2445"/>
      <c r="D17" s="2412"/>
      <c r="E17" s="2445"/>
      <c r="F17" s="2433"/>
      <c r="G17" s="2412"/>
      <c r="H17" s="2412"/>
      <c r="I17" s="1443" t="s">
        <v>62</v>
      </c>
      <c r="J17" s="1443" t="s">
        <v>63</v>
      </c>
      <c r="K17" s="1443" t="s">
        <v>62</v>
      </c>
      <c r="L17" s="1464" t="s">
        <v>63</v>
      </c>
      <c r="M17" s="2453"/>
      <c r="N17" s="1461"/>
      <c r="O17" s="1465"/>
      <c r="P17" s="1466" t="s">
        <v>41</v>
      </c>
      <c r="R17" s="1433"/>
      <c r="S17" s="1433"/>
      <c r="T17" s="1433"/>
      <c r="U17" s="1433"/>
      <c r="V17" s="1433"/>
      <c r="W17" s="1433"/>
      <c r="X17" s="1433"/>
    </row>
    <row r="18" spans="1:24" ht="32.1" customHeight="1">
      <c r="A18" s="2492" t="s">
        <v>725</v>
      </c>
      <c r="B18" s="2493"/>
      <c r="C18" s="1449" t="s">
        <v>1539</v>
      </c>
      <c r="D18" s="1467">
        <v>0</v>
      </c>
      <c r="E18" s="1468"/>
      <c r="F18" s="1469">
        <v>2019</v>
      </c>
      <c r="G18" s="1470">
        <v>187</v>
      </c>
      <c r="H18" s="1471">
        <f t="shared" ref="H18:H39" si="1">ROUND(G18*SUMIFS($P$18:$P$26,$O$18:$O$26,$N18),0)</f>
        <v>430</v>
      </c>
      <c r="I18" s="1470">
        <v>0</v>
      </c>
      <c r="J18" s="1470">
        <f t="shared" ref="J18:J23" si="2">+ROUND(I18*2.7,0)</f>
        <v>0</v>
      </c>
      <c r="K18" s="1470">
        <f t="shared" ref="K18:L33" si="3">+G18-I18</f>
        <v>187</v>
      </c>
      <c r="L18" s="1470">
        <f t="shared" si="3"/>
        <v>430</v>
      </c>
      <c r="M18" s="1472" t="s">
        <v>745</v>
      </c>
      <c r="N18" s="1473" t="s">
        <v>749</v>
      </c>
      <c r="O18" s="1474" t="s">
        <v>751</v>
      </c>
      <c r="P18" s="1475">
        <v>2.2999999999999998</v>
      </c>
      <c r="R18" s="1476">
        <f>SUMIFS(P18:P26,O18:O26,N18)</f>
        <v>2.2999999999999998</v>
      </c>
      <c r="S18" s="1433"/>
      <c r="T18" s="1433"/>
      <c r="U18" s="1433"/>
      <c r="V18" s="1433"/>
      <c r="W18" s="1434"/>
    </row>
    <row r="19" spans="1:24" ht="32.1" customHeight="1">
      <c r="A19" s="2492" t="s">
        <v>726</v>
      </c>
      <c r="B19" s="2493"/>
      <c r="C19" s="1449" t="s">
        <v>1540</v>
      </c>
      <c r="D19" s="1467">
        <v>0</v>
      </c>
      <c r="E19" s="1477"/>
      <c r="F19" s="1445">
        <v>2017</v>
      </c>
      <c r="G19" s="1312">
        <v>428</v>
      </c>
      <c r="H19" s="1471">
        <f t="shared" si="1"/>
        <v>942</v>
      </c>
      <c r="I19" s="1764">
        <v>0</v>
      </c>
      <c r="J19" s="1764">
        <f t="shared" si="2"/>
        <v>0</v>
      </c>
      <c r="K19" s="1764">
        <f t="shared" si="3"/>
        <v>428</v>
      </c>
      <c r="L19" s="1764">
        <f t="shared" si="3"/>
        <v>942</v>
      </c>
      <c r="M19" s="1478" t="s">
        <v>745</v>
      </c>
      <c r="N19" s="1479" t="s">
        <v>750</v>
      </c>
      <c r="O19" s="1474" t="s">
        <v>750</v>
      </c>
      <c r="P19" s="1475">
        <v>2.2000000000000002</v>
      </c>
      <c r="R19" s="1433"/>
      <c r="S19" s="1433"/>
      <c r="T19" s="1433"/>
      <c r="U19" s="1433"/>
      <c r="V19" s="1433"/>
      <c r="W19" s="1434"/>
    </row>
    <row r="20" spans="1:24" ht="32.1" customHeight="1">
      <c r="A20" s="2492" t="s">
        <v>1329</v>
      </c>
      <c r="B20" s="2493"/>
      <c r="C20" s="1449" t="s">
        <v>1541</v>
      </c>
      <c r="D20" s="1467">
        <v>0</v>
      </c>
      <c r="E20" s="1477"/>
      <c r="F20" s="1445">
        <v>2025</v>
      </c>
      <c r="G20" s="1312">
        <v>322</v>
      </c>
      <c r="H20" s="1471">
        <f t="shared" si="1"/>
        <v>708</v>
      </c>
      <c r="I20" s="1764">
        <v>0</v>
      </c>
      <c r="J20" s="1764">
        <f t="shared" si="2"/>
        <v>0</v>
      </c>
      <c r="K20" s="1764">
        <f t="shared" si="3"/>
        <v>322</v>
      </c>
      <c r="L20" s="1764">
        <f t="shared" si="3"/>
        <v>708</v>
      </c>
      <c r="M20" s="1478" t="s">
        <v>1328</v>
      </c>
      <c r="N20" s="1479" t="s">
        <v>750</v>
      </c>
      <c r="O20" s="1474" t="s">
        <v>756</v>
      </c>
      <c r="P20" s="1475">
        <v>2</v>
      </c>
      <c r="R20" s="1433"/>
      <c r="S20" s="1433">
        <v>110</v>
      </c>
      <c r="T20" s="1476">
        <f>S20/$S$23</f>
        <v>0.37800687285223367</v>
      </c>
      <c r="U20" s="1476">
        <v>0.45</v>
      </c>
      <c r="V20" s="1476">
        <f>AVERAGE(T20:U20)</f>
        <v>0.41400343642611681</v>
      </c>
      <c r="W20" s="1434"/>
    </row>
    <row r="21" spans="1:24" ht="32.1" customHeight="1">
      <c r="A21" s="2492" t="s">
        <v>727</v>
      </c>
      <c r="B21" s="2493"/>
      <c r="C21" s="1449" t="s">
        <v>1542</v>
      </c>
      <c r="D21" s="1467">
        <v>0</v>
      </c>
      <c r="E21" s="1480"/>
      <c r="F21" s="1445">
        <v>2018</v>
      </c>
      <c r="G21" s="1764">
        <v>409</v>
      </c>
      <c r="H21" s="1471">
        <f t="shared" si="1"/>
        <v>941</v>
      </c>
      <c r="I21" s="1764">
        <v>0</v>
      </c>
      <c r="J21" s="1764">
        <f t="shared" si="2"/>
        <v>0</v>
      </c>
      <c r="K21" s="1764">
        <f t="shared" si="3"/>
        <v>409</v>
      </c>
      <c r="L21" s="1764">
        <f t="shared" si="3"/>
        <v>941</v>
      </c>
      <c r="M21" s="1478" t="s">
        <v>745</v>
      </c>
      <c r="N21" s="1479" t="s">
        <v>749</v>
      </c>
      <c r="O21" s="1474" t="s">
        <v>757</v>
      </c>
      <c r="P21" s="1475">
        <v>2</v>
      </c>
      <c r="R21" s="1433" t="s">
        <v>1608</v>
      </c>
      <c r="S21" s="1433">
        <v>99</v>
      </c>
      <c r="T21" s="1476">
        <f>S21/$S$23</f>
        <v>0.34020618556701032</v>
      </c>
      <c r="U21" s="1476">
        <v>0.1</v>
      </c>
      <c r="V21" s="1476">
        <f>AVERAGE(T21:U21)</f>
        <v>0.22010309278350515</v>
      </c>
      <c r="W21" s="1434"/>
    </row>
    <row r="22" spans="1:24" ht="32.1" customHeight="1">
      <c r="A22" s="2492" t="s">
        <v>728</v>
      </c>
      <c r="B22" s="2493"/>
      <c r="C22" s="1449" t="s">
        <v>1543</v>
      </c>
      <c r="D22" s="1467">
        <v>0</v>
      </c>
      <c r="E22" s="1480"/>
      <c r="F22" s="1445">
        <v>2017</v>
      </c>
      <c r="G22" s="1764">
        <v>136</v>
      </c>
      <c r="H22" s="1471">
        <f t="shared" si="1"/>
        <v>313</v>
      </c>
      <c r="I22" s="1764">
        <v>0</v>
      </c>
      <c r="J22" s="1764">
        <f t="shared" si="2"/>
        <v>0</v>
      </c>
      <c r="K22" s="1764">
        <f t="shared" si="3"/>
        <v>136</v>
      </c>
      <c r="L22" s="1764">
        <f t="shared" si="3"/>
        <v>313</v>
      </c>
      <c r="M22" s="1478" t="s">
        <v>745</v>
      </c>
      <c r="N22" s="1479" t="s">
        <v>751</v>
      </c>
      <c r="O22" s="1474" t="s">
        <v>752</v>
      </c>
      <c r="P22" s="1475">
        <v>2.5</v>
      </c>
      <c r="R22" s="1433" t="s">
        <v>1607</v>
      </c>
      <c r="S22" s="1433">
        <v>82</v>
      </c>
      <c r="T22" s="1476">
        <f>S22/$S$23</f>
        <v>0.28178694158075601</v>
      </c>
      <c r="U22" s="1476">
        <v>0.45</v>
      </c>
      <c r="V22" s="1476">
        <f>AVERAGE(T22:U22)</f>
        <v>0.36589347079037804</v>
      </c>
      <c r="W22" s="1434"/>
    </row>
    <row r="23" spans="1:24" ht="32.1" customHeight="1">
      <c r="A23" s="2492" t="s">
        <v>729</v>
      </c>
      <c r="B23" s="2493"/>
      <c r="C23" s="1449" t="s">
        <v>1544</v>
      </c>
      <c r="D23" s="1467">
        <v>0</v>
      </c>
      <c r="E23" s="1480"/>
      <c r="F23" s="1445">
        <v>2017</v>
      </c>
      <c r="G23" s="1764">
        <v>694</v>
      </c>
      <c r="H23" s="1471">
        <f t="shared" si="1"/>
        <v>1735</v>
      </c>
      <c r="I23" s="1764">
        <v>0</v>
      </c>
      <c r="J23" s="1764">
        <f t="shared" si="2"/>
        <v>0</v>
      </c>
      <c r="K23" s="1764">
        <f t="shared" si="3"/>
        <v>694</v>
      </c>
      <c r="L23" s="1764">
        <f t="shared" si="3"/>
        <v>1735</v>
      </c>
      <c r="M23" s="1478" t="s">
        <v>745</v>
      </c>
      <c r="N23" s="1479" t="s">
        <v>752</v>
      </c>
      <c r="O23" s="1474" t="s">
        <v>749</v>
      </c>
      <c r="P23" s="1475">
        <v>2.2999999999999998</v>
      </c>
      <c r="R23" s="1433"/>
      <c r="S23" s="1433">
        <f>SUM(S20:S22)</f>
        <v>291</v>
      </c>
      <c r="T23" s="1433"/>
      <c r="U23" s="1433"/>
      <c r="V23" s="1433"/>
      <c r="W23" s="1434"/>
    </row>
    <row r="24" spans="1:24" ht="32.1" customHeight="1">
      <c r="A24" s="2492" t="s">
        <v>1134</v>
      </c>
      <c r="B24" s="2493"/>
      <c r="C24" s="1449" t="s">
        <v>1545</v>
      </c>
      <c r="D24" s="1467">
        <v>0</v>
      </c>
      <c r="E24" s="1480"/>
      <c r="F24" s="1445">
        <v>2017</v>
      </c>
      <c r="G24" s="1764">
        <v>50</v>
      </c>
      <c r="H24" s="1471">
        <f t="shared" si="1"/>
        <v>115</v>
      </c>
      <c r="I24" s="1764">
        <v>0</v>
      </c>
      <c r="J24" s="1764">
        <v>0</v>
      </c>
      <c r="K24" s="1764">
        <f t="shared" si="3"/>
        <v>50</v>
      </c>
      <c r="L24" s="1764">
        <f t="shared" si="3"/>
        <v>115</v>
      </c>
      <c r="M24" s="1478" t="s">
        <v>745</v>
      </c>
      <c r="N24" s="1481" t="s">
        <v>751</v>
      </c>
      <c r="O24" s="1474" t="s">
        <v>755</v>
      </c>
      <c r="P24" s="1475">
        <v>2</v>
      </c>
      <c r="R24" s="1433" t="s">
        <v>1609</v>
      </c>
      <c r="S24" s="1433">
        <v>44</v>
      </c>
      <c r="T24" s="1433"/>
      <c r="U24" s="1433"/>
      <c r="V24" s="1433"/>
      <c r="W24" s="1434"/>
    </row>
    <row r="25" spans="1:24" ht="32.1" customHeight="1">
      <c r="A25" s="2492" t="s">
        <v>730</v>
      </c>
      <c r="B25" s="2493"/>
      <c r="C25" s="1449" t="s">
        <v>1546</v>
      </c>
      <c r="D25" s="1467">
        <v>0</v>
      </c>
      <c r="E25" s="1480"/>
      <c r="F25" s="1482">
        <v>2018</v>
      </c>
      <c r="G25" s="1764">
        <v>156</v>
      </c>
      <c r="H25" s="1471">
        <f t="shared" si="1"/>
        <v>359</v>
      </c>
      <c r="I25" s="1764">
        <v>0</v>
      </c>
      <c r="J25" s="1764">
        <f t="shared" ref="J25:J39" si="4">+ROUND(I25*2.7,0)</f>
        <v>0</v>
      </c>
      <c r="K25" s="1764">
        <f t="shared" si="3"/>
        <v>156</v>
      </c>
      <c r="L25" s="1764">
        <f t="shared" si="3"/>
        <v>359</v>
      </c>
      <c r="M25" s="1478" t="s">
        <v>745</v>
      </c>
      <c r="N25" s="1479" t="s">
        <v>751</v>
      </c>
      <c r="O25" s="1474" t="s">
        <v>754</v>
      </c>
      <c r="P25" s="1475">
        <v>2</v>
      </c>
      <c r="R25" s="1433" t="s">
        <v>1610</v>
      </c>
      <c r="S25" s="1433">
        <v>28</v>
      </c>
      <c r="T25" s="1433"/>
      <c r="U25" s="1433"/>
      <c r="V25" s="1433"/>
      <c r="W25" s="1434"/>
    </row>
    <row r="26" spans="1:24" ht="32.1" customHeight="1">
      <c r="A26" s="2492" t="s">
        <v>731</v>
      </c>
      <c r="B26" s="2494"/>
      <c r="C26" s="1449" t="s">
        <v>1547</v>
      </c>
      <c r="D26" s="1467">
        <v>0</v>
      </c>
      <c r="E26" s="1480"/>
      <c r="F26" s="1482">
        <v>2017</v>
      </c>
      <c r="G26" s="1764">
        <v>29</v>
      </c>
      <c r="H26" s="1471">
        <f t="shared" si="1"/>
        <v>67</v>
      </c>
      <c r="I26" s="1764">
        <v>0</v>
      </c>
      <c r="J26" s="1764">
        <f t="shared" si="4"/>
        <v>0</v>
      </c>
      <c r="K26" s="1764">
        <f t="shared" si="3"/>
        <v>29</v>
      </c>
      <c r="L26" s="1764">
        <f t="shared" si="3"/>
        <v>67</v>
      </c>
      <c r="M26" s="1478" t="s">
        <v>745</v>
      </c>
      <c r="N26" s="1481" t="s">
        <v>751</v>
      </c>
      <c r="O26" s="1474" t="s">
        <v>753</v>
      </c>
      <c r="P26" s="1475">
        <v>2.1</v>
      </c>
      <c r="R26" s="1433" t="s">
        <v>1611</v>
      </c>
      <c r="S26" s="1433">
        <v>27</v>
      </c>
      <c r="T26" s="1433"/>
      <c r="U26" s="1433"/>
      <c r="V26" s="1433"/>
      <c r="W26" s="1434"/>
    </row>
    <row r="27" spans="1:24" ht="32.1" customHeight="1">
      <c r="A27" s="2492" t="s">
        <v>732</v>
      </c>
      <c r="B27" s="2494"/>
      <c r="C27" s="1449" t="s">
        <v>1582</v>
      </c>
      <c r="D27" s="1467">
        <v>0</v>
      </c>
      <c r="E27" s="1480"/>
      <c r="F27" s="1482">
        <v>2020</v>
      </c>
      <c r="G27" s="1764">
        <v>250</v>
      </c>
      <c r="H27" s="1471">
        <f t="shared" si="1"/>
        <v>575</v>
      </c>
      <c r="I27" s="1764">
        <v>0</v>
      </c>
      <c r="J27" s="1764">
        <f t="shared" si="4"/>
        <v>0</v>
      </c>
      <c r="K27" s="1764">
        <f t="shared" si="3"/>
        <v>250</v>
      </c>
      <c r="L27" s="1764">
        <f t="shared" si="3"/>
        <v>575</v>
      </c>
      <c r="M27" s="1478" t="s">
        <v>746</v>
      </c>
      <c r="N27" s="1479" t="s">
        <v>749</v>
      </c>
      <c r="O27" s="1483"/>
      <c r="P27" s="1484"/>
      <c r="R27" s="1433"/>
      <c r="S27" s="1433">
        <f>SUM(S24:S26)</f>
        <v>99</v>
      </c>
      <c r="T27" s="1433"/>
      <c r="U27" s="1433"/>
      <c r="V27" s="1433"/>
      <c r="W27" s="1434"/>
    </row>
    <row r="28" spans="1:24" ht="32.1" customHeight="1">
      <c r="A28" s="2492" t="s">
        <v>733</v>
      </c>
      <c r="B28" s="2494"/>
      <c r="C28" s="1449" t="s">
        <v>1548</v>
      </c>
      <c r="D28" s="1467">
        <v>0</v>
      </c>
      <c r="E28" s="1480"/>
      <c r="F28" s="1445">
        <v>2019</v>
      </c>
      <c r="G28" s="1764">
        <v>651</v>
      </c>
      <c r="H28" s="1471">
        <f t="shared" si="1"/>
        <v>1497</v>
      </c>
      <c r="I28" s="1764">
        <v>0</v>
      </c>
      <c r="J28" s="1764">
        <f t="shared" si="4"/>
        <v>0</v>
      </c>
      <c r="K28" s="1764">
        <f t="shared" si="3"/>
        <v>651</v>
      </c>
      <c r="L28" s="1764">
        <f t="shared" si="3"/>
        <v>1497</v>
      </c>
      <c r="M28" s="1478" t="s">
        <v>745</v>
      </c>
      <c r="N28" s="1479" t="s">
        <v>749</v>
      </c>
      <c r="O28" s="1485" t="s">
        <v>1331</v>
      </c>
      <c r="P28" s="1486"/>
      <c r="R28" s="1433"/>
      <c r="S28" s="1433"/>
      <c r="T28" s="1433"/>
      <c r="U28" s="1433"/>
      <c r="V28" s="1433"/>
      <c r="W28" s="1434"/>
    </row>
    <row r="29" spans="1:24" ht="32.1" customHeight="1">
      <c r="A29" s="2492" t="s">
        <v>734</v>
      </c>
      <c r="B29" s="2494"/>
      <c r="C29" s="1449" t="s">
        <v>1549</v>
      </c>
      <c r="D29" s="1467">
        <v>0</v>
      </c>
      <c r="E29" s="1477"/>
      <c r="F29" s="1445">
        <v>2020</v>
      </c>
      <c r="G29" s="1312">
        <v>409</v>
      </c>
      <c r="H29" s="1471">
        <f t="shared" si="1"/>
        <v>941</v>
      </c>
      <c r="I29" s="1312">
        <v>0</v>
      </c>
      <c r="J29" s="1312">
        <f>+ROUND(I29*2.7,0)</f>
        <v>0</v>
      </c>
      <c r="K29" s="1312">
        <f t="shared" si="3"/>
        <v>409</v>
      </c>
      <c r="L29" s="1312">
        <f>+H29-J29</f>
        <v>941</v>
      </c>
      <c r="M29" s="1478" t="s">
        <v>745</v>
      </c>
      <c r="N29" s="1481" t="s">
        <v>751</v>
      </c>
      <c r="O29" s="1485"/>
      <c r="P29" s="1486"/>
      <c r="R29" s="1433"/>
      <c r="S29" s="1433"/>
      <c r="T29" s="1433"/>
      <c r="U29" s="1433"/>
      <c r="V29" s="1433"/>
      <c r="W29" s="1434"/>
    </row>
    <row r="30" spans="1:24" ht="32.1" customHeight="1">
      <c r="A30" s="2492" t="s">
        <v>735</v>
      </c>
      <c r="B30" s="2494"/>
      <c r="C30" s="1449" t="s">
        <v>1550</v>
      </c>
      <c r="D30" s="1467">
        <v>0</v>
      </c>
      <c r="E30" s="1477"/>
      <c r="F30" s="1445">
        <v>2018</v>
      </c>
      <c r="G30" s="1312">
        <v>16</v>
      </c>
      <c r="H30" s="1471">
        <f t="shared" si="1"/>
        <v>37</v>
      </c>
      <c r="I30" s="1312">
        <v>0</v>
      </c>
      <c r="J30" s="1312">
        <v>0</v>
      </c>
      <c r="K30" s="1312">
        <f t="shared" si="3"/>
        <v>16</v>
      </c>
      <c r="L30" s="1312">
        <f t="shared" si="3"/>
        <v>37</v>
      </c>
      <c r="M30" s="1478" t="s">
        <v>745</v>
      </c>
      <c r="N30" s="1481" t="s">
        <v>751</v>
      </c>
      <c r="O30" s="1485"/>
      <c r="P30" s="1460"/>
      <c r="R30" s="1433"/>
      <c r="S30" s="1433"/>
      <c r="T30" s="1433"/>
      <c r="U30" s="1433"/>
      <c r="V30" s="1433"/>
      <c r="W30" s="1434"/>
    </row>
    <row r="31" spans="1:24" ht="32.1" customHeight="1">
      <c r="A31" s="2492" t="s">
        <v>736</v>
      </c>
      <c r="B31" s="2494"/>
      <c r="C31" s="1449" t="s">
        <v>1551</v>
      </c>
      <c r="D31" s="1467">
        <v>0</v>
      </c>
      <c r="E31" s="1477"/>
      <c r="F31" s="1445">
        <v>2018</v>
      </c>
      <c r="G31" s="1312">
        <v>200</v>
      </c>
      <c r="H31" s="1471">
        <f t="shared" si="1"/>
        <v>420</v>
      </c>
      <c r="I31" s="1312">
        <v>0</v>
      </c>
      <c r="J31" s="1312">
        <v>0</v>
      </c>
      <c r="K31" s="1312">
        <f t="shared" si="3"/>
        <v>200</v>
      </c>
      <c r="L31" s="1312">
        <f t="shared" si="3"/>
        <v>420</v>
      </c>
      <c r="M31" s="1478" t="s">
        <v>747</v>
      </c>
      <c r="N31" s="1481" t="s">
        <v>753</v>
      </c>
      <c r="O31" s="1485"/>
      <c r="P31" s="1460"/>
      <c r="R31" s="1433"/>
      <c r="S31" s="1433"/>
      <c r="T31" s="1433"/>
      <c r="U31" s="1433"/>
      <c r="V31" s="1433"/>
      <c r="W31" s="1434"/>
    </row>
    <row r="32" spans="1:24" ht="32.1" customHeight="1">
      <c r="A32" s="2492" t="s">
        <v>737</v>
      </c>
      <c r="B32" s="2494"/>
      <c r="C32" s="1449" t="s">
        <v>1552</v>
      </c>
      <c r="D32" s="1467">
        <v>0</v>
      </c>
      <c r="E32" s="1477"/>
      <c r="F32" s="1445">
        <v>2019</v>
      </c>
      <c r="G32" s="1312">
        <v>647</v>
      </c>
      <c r="H32" s="1471">
        <f t="shared" si="1"/>
        <v>1488</v>
      </c>
      <c r="I32" s="1312">
        <v>0</v>
      </c>
      <c r="J32" s="1312">
        <v>0</v>
      </c>
      <c r="K32" s="1312">
        <f t="shared" si="3"/>
        <v>647</v>
      </c>
      <c r="L32" s="1312">
        <f t="shared" si="3"/>
        <v>1488</v>
      </c>
      <c r="M32" s="1478" t="s">
        <v>747</v>
      </c>
      <c r="N32" s="1481" t="s">
        <v>749</v>
      </c>
      <c r="O32" s="1485" t="s">
        <v>1332</v>
      </c>
      <c r="P32" s="1460"/>
      <c r="R32" s="1433"/>
      <c r="S32" s="1433"/>
      <c r="T32" s="1433"/>
      <c r="U32" s="1433"/>
      <c r="V32" s="1433"/>
      <c r="W32" s="1434"/>
    </row>
    <row r="33" spans="1:23" ht="32.1" customHeight="1">
      <c r="A33" s="2492" t="s">
        <v>738</v>
      </c>
      <c r="B33" s="2494"/>
      <c r="C33" s="1449" t="s">
        <v>1553</v>
      </c>
      <c r="D33" s="1467">
        <v>0</v>
      </c>
      <c r="E33" s="1477"/>
      <c r="F33" s="1445">
        <v>2018</v>
      </c>
      <c r="G33" s="1312">
        <v>98</v>
      </c>
      <c r="H33" s="1471">
        <f t="shared" si="1"/>
        <v>206</v>
      </c>
      <c r="I33" s="1312">
        <v>0</v>
      </c>
      <c r="J33" s="1312">
        <v>0</v>
      </c>
      <c r="K33" s="1312">
        <f t="shared" si="3"/>
        <v>98</v>
      </c>
      <c r="L33" s="1312">
        <f t="shared" si="3"/>
        <v>206</v>
      </c>
      <c r="M33" s="1478" t="s">
        <v>745</v>
      </c>
      <c r="N33" s="1481" t="s">
        <v>753</v>
      </c>
      <c r="O33" s="1485"/>
      <c r="P33" s="1460"/>
      <c r="R33" s="1433"/>
      <c r="S33" s="1433"/>
      <c r="T33" s="1433"/>
      <c r="U33" s="1433"/>
      <c r="V33" s="1433"/>
      <c r="W33" s="1434"/>
    </row>
    <row r="34" spans="1:23" ht="32.1" customHeight="1">
      <c r="A34" s="2492" t="s">
        <v>739</v>
      </c>
      <c r="B34" s="2494"/>
      <c r="C34" s="1449" t="s">
        <v>1554</v>
      </c>
      <c r="D34" s="1467">
        <v>0</v>
      </c>
      <c r="E34" s="1477"/>
      <c r="F34" s="1445">
        <v>2019</v>
      </c>
      <c r="G34" s="1312">
        <v>104</v>
      </c>
      <c r="H34" s="1471">
        <f t="shared" si="1"/>
        <v>208</v>
      </c>
      <c r="I34" s="1312">
        <v>0</v>
      </c>
      <c r="J34" s="1312">
        <v>0</v>
      </c>
      <c r="K34" s="1312">
        <f t="shared" ref="K34:L39" si="5">+G34-I34</f>
        <v>104</v>
      </c>
      <c r="L34" s="1312">
        <f t="shared" si="5"/>
        <v>208</v>
      </c>
      <c r="M34" s="1478" t="s">
        <v>745</v>
      </c>
      <c r="N34" s="1481" t="s">
        <v>754</v>
      </c>
      <c r="O34" s="1485"/>
      <c r="P34" s="1460"/>
      <c r="R34" s="1433"/>
      <c r="S34" s="1433"/>
      <c r="T34" s="1433"/>
      <c r="U34" s="1433"/>
      <c r="V34" s="1433"/>
      <c r="W34" s="1434"/>
    </row>
    <row r="35" spans="1:23" ht="32.1" customHeight="1">
      <c r="A35" s="2492" t="s">
        <v>740</v>
      </c>
      <c r="B35" s="2494"/>
      <c r="C35" s="1449" t="s">
        <v>1555</v>
      </c>
      <c r="D35" s="1467">
        <v>0</v>
      </c>
      <c r="E35" s="1477"/>
      <c r="F35" s="1445">
        <v>2020</v>
      </c>
      <c r="G35" s="1312">
        <v>1664</v>
      </c>
      <c r="H35" s="1471">
        <f t="shared" si="1"/>
        <v>3661</v>
      </c>
      <c r="I35" s="1312">
        <v>0</v>
      </c>
      <c r="J35" s="1312">
        <v>0</v>
      </c>
      <c r="K35" s="1312">
        <f t="shared" si="5"/>
        <v>1664</v>
      </c>
      <c r="L35" s="1312">
        <f t="shared" si="5"/>
        <v>3661</v>
      </c>
      <c r="M35" s="1478" t="s">
        <v>748</v>
      </c>
      <c r="N35" s="1481" t="s">
        <v>750</v>
      </c>
      <c r="O35" s="1485"/>
      <c r="P35" s="1460"/>
      <c r="R35" s="1433"/>
      <c r="S35" s="1433"/>
      <c r="T35" s="1433"/>
      <c r="U35" s="1433"/>
      <c r="V35" s="1433"/>
      <c r="W35" s="1434"/>
    </row>
    <row r="36" spans="1:23" ht="32.1" customHeight="1">
      <c r="A36" s="2492" t="s">
        <v>741</v>
      </c>
      <c r="B36" s="2494"/>
      <c r="C36" s="1449" t="s">
        <v>1556</v>
      </c>
      <c r="D36" s="1467">
        <v>0</v>
      </c>
      <c r="E36" s="1477"/>
      <c r="F36" s="1445">
        <v>2030</v>
      </c>
      <c r="G36" s="1312">
        <v>338</v>
      </c>
      <c r="H36" s="1471">
        <f t="shared" si="1"/>
        <v>710</v>
      </c>
      <c r="I36" s="1312">
        <v>0</v>
      </c>
      <c r="J36" s="1312">
        <v>0</v>
      </c>
      <c r="K36" s="1312">
        <f t="shared" si="5"/>
        <v>338</v>
      </c>
      <c r="L36" s="1312">
        <f t="shared" si="5"/>
        <v>710</v>
      </c>
      <c r="M36" s="1478" t="s">
        <v>748</v>
      </c>
      <c r="N36" s="1481" t="s">
        <v>753</v>
      </c>
      <c r="O36" s="1485"/>
      <c r="P36" s="1460"/>
      <c r="R36" s="1433"/>
      <c r="S36" s="1433"/>
      <c r="T36" s="1433"/>
      <c r="U36" s="1433"/>
      <c r="V36" s="1433"/>
      <c r="W36" s="1434"/>
    </row>
    <row r="37" spans="1:23" ht="32.1" customHeight="1">
      <c r="A37" s="2492" t="s">
        <v>742</v>
      </c>
      <c r="B37" s="2494"/>
      <c r="C37" s="1449" t="s">
        <v>1557</v>
      </c>
      <c r="D37" s="1467">
        <v>0</v>
      </c>
      <c r="E37" s="1480"/>
      <c r="F37" s="1445">
        <v>2025</v>
      </c>
      <c r="G37" s="1764">
        <v>475</v>
      </c>
      <c r="H37" s="1471">
        <f t="shared" si="1"/>
        <v>998</v>
      </c>
      <c r="I37" s="1312">
        <v>0</v>
      </c>
      <c r="J37" s="1312">
        <f t="shared" si="4"/>
        <v>0</v>
      </c>
      <c r="K37" s="1312">
        <f t="shared" si="5"/>
        <v>475</v>
      </c>
      <c r="L37" s="1312">
        <f>+H37-J37</f>
        <v>998</v>
      </c>
      <c r="M37" s="1478" t="s">
        <v>748</v>
      </c>
      <c r="N37" s="1481" t="s">
        <v>753</v>
      </c>
      <c r="O37" s="1485"/>
      <c r="P37" s="1460"/>
      <c r="R37" s="1433"/>
      <c r="S37" s="1433"/>
      <c r="T37" s="1433"/>
      <c r="U37" s="1433"/>
      <c r="V37" s="1433"/>
      <c r="W37" s="1434"/>
    </row>
    <row r="38" spans="1:23" ht="32.1" customHeight="1">
      <c r="A38" s="2492" t="s">
        <v>743</v>
      </c>
      <c r="B38" s="2494"/>
      <c r="C38" s="1449" t="s">
        <v>1558</v>
      </c>
      <c r="D38" s="1467">
        <v>0</v>
      </c>
      <c r="E38" s="1480"/>
      <c r="F38" s="1445">
        <v>2025</v>
      </c>
      <c r="G38" s="1764">
        <v>650</v>
      </c>
      <c r="H38" s="1471">
        <f t="shared" si="1"/>
        <v>1495</v>
      </c>
      <c r="I38" s="1312">
        <v>0</v>
      </c>
      <c r="J38" s="1312">
        <f t="shared" si="4"/>
        <v>0</v>
      </c>
      <c r="K38" s="1312">
        <f t="shared" si="5"/>
        <v>650</v>
      </c>
      <c r="L38" s="1312">
        <f>+H38-J38</f>
        <v>1495</v>
      </c>
      <c r="M38" s="1478" t="s">
        <v>748</v>
      </c>
      <c r="N38" s="1481" t="s">
        <v>749</v>
      </c>
      <c r="O38" s="1485" t="s">
        <v>1333</v>
      </c>
      <c r="P38" s="1460"/>
      <c r="R38" s="1433"/>
      <c r="S38" s="1433"/>
      <c r="T38" s="1433"/>
      <c r="U38" s="1433"/>
      <c r="V38" s="1433"/>
      <c r="W38" s="1434"/>
    </row>
    <row r="39" spans="1:23" ht="39" customHeight="1">
      <c r="A39" s="2495" t="s">
        <v>744</v>
      </c>
      <c r="B39" s="2496"/>
      <c r="C39" s="1449" t="s">
        <v>1559</v>
      </c>
      <c r="D39" s="1487">
        <v>0</v>
      </c>
      <c r="E39" s="1488"/>
      <c r="F39" s="1489">
        <v>2025</v>
      </c>
      <c r="G39" s="1490">
        <v>488</v>
      </c>
      <c r="H39" s="1471">
        <f t="shared" si="1"/>
        <v>976</v>
      </c>
      <c r="I39" s="1491">
        <v>0</v>
      </c>
      <c r="J39" s="1491">
        <f t="shared" si="4"/>
        <v>0</v>
      </c>
      <c r="K39" s="1491">
        <f t="shared" si="5"/>
        <v>488</v>
      </c>
      <c r="L39" s="1491">
        <f>+H39-J39</f>
        <v>976</v>
      </c>
      <c r="M39" s="1492" t="s">
        <v>579</v>
      </c>
      <c r="N39" s="1481" t="s">
        <v>755</v>
      </c>
      <c r="O39" s="1485"/>
      <c r="P39" s="1460"/>
      <c r="R39" s="1433"/>
      <c r="S39" s="1433"/>
      <c r="T39" s="1433"/>
      <c r="U39" s="1433"/>
      <c r="V39" s="1433"/>
      <c r="W39" s="1434"/>
    </row>
    <row r="40" spans="1:23" ht="38.25" customHeight="1">
      <c r="A40" s="2425" t="s">
        <v>64</v>
      </c>
      <c r="B40" s="2426"/>
      <c r="C40" s="1454">
        <f>COUNTA(A18:B39)</f>
        <v>22</v>
      </c>
      <c r="D40" s="1493"/>
      <c r="E40" s="1494"/>
      <c r="F40" s="1494"/>
      <c r="G40" s="1455">
        <f t="shared" ref="G40:L40" si="6">SUM(G18:G39)</f>
        <v>8401</v>
      </c>
      <c r="H40" s="1455">
        <f t="shared" si="6"/>
        <v>18822</v>
      </c>
      <c r="I40" s="1455">
        <f t="shared" si="6"/>
        <v>0</v>
      </c>
      <c r="J40" s="1455">
        <f t="shared" si="6"/>
        <v>0</v>
      </c>
      <c r="K40" s="1455">
        <f t="shared" si="6"/>
        <v>8401</v>
      </c>
      <c r="L40" s="1455">
        <f t="shared" si="6"/>
        <v>18822</v>
      </c>
      <c r="M40" s="1495"/>
      <c r="N40" s="1496"/>
      <c r="O40" s="1460"/>
      <c r="P40" s="1460"/>
      <c r="R40" s="1433"/>
      <c r="S40" s="1433"/>
      <c r="T40" s="1433"/>
      <c r="U40" s="1433"/>
      <c r="V40" s="1433"/>
      <c r="W40" s="1434"/>
    </row>
    <row r="41" spans="1:23" ht="32.1" customHeight="1">
      <c r="A41" s="1261"/>
      <c r="B41" s="1261"/>
      <c r="C41" s="1497"/>
      <c r="D41" s="1498"/>
      <c r="E41" s="1499"/>
      <c r="F41" s="1499"/>
      <c r="G41" s="1262"/>
      <c r="H41" s="1262"/>
      <c r="I41" s="1262"/>
      <c r="J41" s="1262"/>
      <c r="K41" s="1262"/>
      <c r="L41" s="1262"/>
      <c r="M41" s="1496"/>
      <c r="N41" s="1496"/>
      <c r="O41" s="1460"/>
      <c r="P41" s="1460"/>
      <c r="R41" s="1433"/>
      <c r="S41" s="1433"/>
      <c r="T41" s="1433"/>
      <c r="U41" s="1433"/>
      <c r="V41" s="1433"/>
      <c r="W41" s="1434"/>
    </row>
    <row r="42" spans="1:23" ht="24.95" customHeight="1">
      <c r="A42" s="1435" t="s">
        <v>601</v>
      </c>
      <c r="B42" s="1435"/>
      <c r="C42" s="1267"/>
      <c r="D42" s="1267"/>
      <c r="E42" s="1430"/>
      <c r="F42" s="1430"/>
      <c r="G42" s="1430"/>
      <c r="H42" s="1430"/>
      <c r="I42" s="1430"/>
      <c r="J42" s="1430"/>
      <c r="K42" s="1430"/>
      <c r="L42" s="1430"/>
      <c r="M42" s="1430"/>
      <c r="N42" s="1430"/>
      <c r="P42" s="2404" t="s">
        <v>85</v>
      </c>
      <c r="Q42" s="2405"/>
      <c r="R42" s="2408" t="s">
        <v>86</v>
      </c>
      <c r="S42" s="2408"/>
      <c r="T42" s="2408"/>
      <c r="U42" s="2409" t="s">
        <v>87</v>
      </c>
      <c r="V42" s="2398" t="s">
        <v>1159</v>
      </c>
      <c r="W42" s="2398" t="s">
        <v>544</v>
      </c>
    </row>
    <row r="43" spans="1:23" ht="30" customHeight="1">
      <c r="A43" s="2416" t="s">
        <v>67</v>
      </c>
      <c r="B43" s="2417"/>
      <c r="C43" s="2420" t="s">
        <v>65</v>
      </c>
      <c r="D43" s="2415" t="s">
        <v>1500</v>
      </c>
      <c r="E43" s="2420" t="s">
        <v>66</v>
      </c>
      <c r="F43" s="2415" t="s">
        <v>46</v>
      </c>
      <c r="G43" s="2415" t="s">
        <v>47</v>
      </c>
      <c r="H43" s="2415" t="s">
        <v>48</v>
      </c>
      <c r="I43" s="2415" t="s">
        <v>916</v>
      </c>
      <c r="J43" s="2415"/>
      <c r="K43" s="2415" t="s">
        <v>917</v>
      </c>
      <c r="L43" s="2415"/>
      <c r="M43" s="2482" t="s">
        <v>49</v>
      </c>
      <c r="N43" s="1461"/>
      <c r="O43" s="1500"/>
      <c r="P43" s="2406"/>
      <c r="Q43" s="2407"/>
      <c r="R43" s="1761" t="s">
        <v>88</v>
      </c>
      <c r="S43" s="1761" t="s">
        <v>89</v>
      </c>
      <c r="T43" s="1761" t="s">
        <v>90</v>
      </c>
      <c r="U43" s="2410"/>
      <c r="V43" s="2399"/>
      <c r="W43" s="2399"/>
    </row>
    <row r="44" spans="1:23" ht="30" customHeight="1">
      <c r="A44" s="2418"/>
      <c r="B44" s="2419"/>
      <c r="C44" s="2421"/>
      <c r="D44" s="2497"/>
      <c r="E44" s="2421"/>
      <c r="F44" s="2498"/>
      <c r="G44" s="2497"/>
      <c r="H44" s="2497"/>
      <c r="I44" s="1762" t="s">
        <v>62</v>
      </c>
      <c r="J44" s="1762" t="s">
        <v>63</v>
      </c>
      <c r="K44" s="1762" t="s">
        <v>62</v>
      </c>
      <c r="L44" s="1762" t="s">
        <v>63</v>
      </c>
      <c r="M44" s="2483"/>
      <c r="N44" s="1461"/>
      <c r="O44" s="1500"/>
      <c r="P44" s="2402" t="s">
        <v>91</v>
      </c>
      <c r="Q44" s="1252" t="str">
        <f t="shared" ref="Q44:Q54" si="7">A45</f>
        <v>리노삼봉산업단지</v>
      </c>
      <c r="R44" s="1502">
        <v>441</v>
      </c>
      <c r="S44" s="1503">
        <f t="shared" ref="S44:S49" si="8">ROUND(R44*0.64,0)</f>
        <v>282</v>
      </c>
      <c r="T44" s="1503">
        <f t="shared" ref="T44:T49" si="9">ROUND(R44*0.36,0)</f>
        <v>159</v>
      </c>
      <c r="U44" s="44">
        <f t="shared" ref="U44:U54" si="10">ROUND(S44*2.6,0)+4</f>
        <v>737</v>
      </c>
      <c r="V44" s="44">
        <f t="shared" ref="V44:V54" si="11">T44+U44</f>
        <v>896</v>
      </c>
      <c r="W44" s="45">
        <f t="shared" ref="W44:W54" si="12">ROUND(V44*0.35,0)</f>
        <v>314</v>
      </c>
    </row>
    <row r="45" spans="1:23" ht="30" customHeight="1">
      <c r="A45" s="2422" t="s">
        <v>911</v>
      </c>
      <c r="B45" s="2423"/>
      <c r="C45" s="1504" t="s">
        <v>912</v>
      </c>
      <c r="D45" s="1505">
        <v>164556.4</v>
      </c>
      <c r="E45" s="1506" t="s">
        <v>913</v>
      </c>
      <c r="F45" s="1507">
        <v>2018</v>
      </c>
      <c r="G45" s="1508">
        <v>0</v>
      </c>
      <c r="H45" s="1508">
        <v>314</v>
      </c>
      <c r="I45" s="1508">
        <v>0</v>
      </c>
      <c r="J45" s="1508">
        <v>0</v>
      </c>
      <c r="K45" s="1508">
        <f t="shared" ref="K45:L60" si="13">+G45-I45</f>
        <v>0</v>
      </c>
      <c r="L45" s="1508">
        <f t="shared" si="13"/>
        <v>314</v>
      </c>
      <c r="M45" s="1509"/>
      <c r="N45" s="1510" t="s">
        <v>1099</v>
      </c>
      <c r="O45" s="1500"/>
      <c r="P45" s="2403"/>
      <c r="Q45" s="62" t="str">
        <f t="shared" si="7"/>
        <v>상우산업단지</v>
      </c>
      <c r="R45" s="1502">
        <v>1701</v>
      </c>
      <c r="S45" s="1503">
        <f t="shared" si="8"/>
        <v>1089</v>
      </c>
      <c r="T45" s="1503">
        <f t="shared" si="9"/>
        <v>612</v>
      </c>
      <c r="U45" s="44">
        <f t="shared" si="10"/>
        <v>2835</v>
      </c>
      <c r="V45" s="44">
        <f t="shared" si="11"/>
        <v>3447</v>
      </c>
      <c r="W45" s="45">
        <f t="shared" si="12"/>
        <v>1206</v>
      </c>
    </row>
    <row r="46" spans="1:23" ht="30" customHeight="1">
      <c r="A46" s="2400" t="s">
        <v>914</v>
      </c>
      <c r="B46" s="2401"/>
      <c r="C46" s="1511" t="s">
        <v>915</v>
      </c>
      <c r="D46" s="1512">
        <v>678567</v>
      </c>
      <c r="E46" s="1513" t="s">
        <v>1319</v>
      </c>
      <c r="F46" s="1514">
        <v>2020</v>
      </c>
      <c r="G46" s="1515">
        <v>0</v>
      </c>
      <c r="H46" s="1515">
        <v>2249</v>
      </c>
      <c r="I46" s="1515">
        <v>0</v>
      </c>
      <c r="J46" s="1515">
        <v>0</v>
      </c>
      <c r="K46" s="1515">
        <f t="shared" si="13"/>
        <v>0</v>
      </c>
      <c r="L46" s="1515">
        <f t="shared" si="13"/>
        <v>2249</v>
      </c>
      <c r="M46" s="1516"/>
      <c r="N46" s="1510" t="s">
        <v>1100</v>
      </c>
      <c r="O46" s="1500"/>
      <c r="P46" s="2403"/>
      <c r="Q46" s="62" t="str">
        <f t="shared" si="7"/>
        <v>신천보부산업단지</v>
      </c>
      <c r="R46" s="1502">
        <v>2254</v>
      </c>
      <c r="S46" s="1503">
        <f t="shared" si="8"/>
        <v>1443</v>
      </c>
      <c r="T46" s="1503">
        <f t="shared" si="9"/>
        <v>811</v>
      </c>
      <c r="U46" s="44">
        <f t="shared" si="10"/>
        <v>3756</v>
      </c>
      <c r="V46" s="44">
        <f t="shared" si="11"/>
        <v>4567</v>
      </c>
      <c r="W46" s="45">
        <f t="shared" si="12"/>
        <v>1598</v>
      </c>
    </row>
    <row r="47" spans="1:23" ht="30" customHeight="1">
      <c r="A47" s="2400" t="s">
        <v>918</v>
      </c>
      <c r="B47" s="2401"/>
      <c r="C47" s="1511" t="s">
        <v>919</v>
      </c>
      <c r="D47" s="1512">
        <v>144926</v>
      </c>
      <c r="E47" s="1513" t="s">
        <v>920</v>
      </c>
      <c r="F47" s="1514">
        <v>2018</v>
      </c>
      <c r="G47" s="1515">
        <v>0</v>
      </c>
      <c r="H47" s="1515">
        <v>372</v>
      </c>
      <c r="I47" s="1515">
        <v>0</v>
      </c>
      <c r="J47" s="1515">
        <v>0</v>
      </c>
      <c r="K47" s="1515">
        <f t="shared" si="13"/>
        <v>0</v>
      </c>
      <c r="L47" s="1515">
        <f t="shared" si="13"/>
        <v>372</v>
      </c>
      <c r="M47" s="1516"/>
      <c r="N47" s="1510" t="s">
        <v>1098</v>
      </c>
      <c r="O47" s="1500"/>
      <c r="P47" s="2403"/>
      <c r="Q47" s="62" t="str">
        <f t="shared" si="7"/>
        <v>오선산업단지</v>
      </c>
      <c r="R47" s="1502">
        <v>1011</v>
      </c>
      <c r="S47" s="1503">
        <f t="shared" si="8"/>
        <v>647</v>
      </c>
      <c r="T47" s="1503">
        <f t="shared" si="9"/>
        <v>364</v>
      </c>
      <c r="U47" s="44">
        <f t="shared" si="10"/>
        <v>1686</v>
      </c>
      <c r="V47" s="44">
        <f t="shared" si="11"/>
        <v>2050</v>
      </c>
      <c r="W47" s="45">
        <f t="shared" si="12"/>
        <v>718</v>
      </c>
    </row>
    <row r="48" spans="1:23" ht="30" customHeight="1">
      <c r="A48" s="2400" t="s">
        <v>921</v>
      </c>
      <c r="B48" s="2401"/>
      <c r="C48" s="1511" t="s">
        <v>922</v>
      </c>
      <c r="D48" s="1512">
        <v>459091</v>
      </c>
      <c r="E48" s="1513" t="s">
        <v>923</v>
      </c>
      <c r="F48" s="1514">
        <v>2018</v>
      </c>
      <c r="G48" s="1515"/>
      <c r="H48" s="1515">
        <v>1051</v>
      </c>
      <c r="I48" s="1515">
        <v>0</v>
      </c>
      <c r="J48" s="1515">
        <v>0</v>
      </c>
      <c r="K48" s="1515">
        <f t="shared" si="13"/>
        <v>0</v>
      </c>
      <c r="L48" s="1515">
        <f t="shared" si="13"/>
        <v>1051</v>
      </c>
      <c r="M48" s="1516"/>
      <c r="N48" s="1510" t="s">
        <v>1101</v>
      </c>
      <c r="O48" s="1500"/>
      <c r="P48" s="2403"/>
      <c r="Q48" s="1252" t="str">
        <f t="shared" si="7"/>
        <v>유촌산업단지</v>
      </c>
      <c r="R48" s="1502">
        <v>1753</v>
      </c>
      <c r="S48" s="1503">
        <f t="shared" si="8"/>
        <v>1122</v>
      </c>
      <c r="T48" s="1503">
        <f t="shared" si="9"/>
        <v>631</v>
      </c>
      <c r="U48" s="44">
        <f t="shared" si="10"/>
        <v>2921</v>
      </c>
      <c r="V48" s="44">
        <f t="shared" si="11"/>
        <v>3552</v>
      </c>
      <c r="W48" s="45">
        <f t="shared" si="12"/>
        <v>1243</v>
      </c>
    </row>
    <row r="49" spans="1:23" ht="30" customHeight="1">
      <c r="A49" s="2400" t="s">
        <v>924</v>
      </c>
      <c r="B49" s="2401"/>
      <c r="C49" s="1511" t="s">
        <v>925</v>
      </c>
      <c r="D49" s="1512">
        <v>409725</v>
      </c>
      <c r="E49" s="1513" t="s">
        <v>1320</v>
      </c>
      <c r="F49" s="1514">
        <v>2019</v>
      </c>
      <c r="G49" s="1515">
        <v>0</v>
      </c>
      <c r="H49" s="1515">
        <v>1753</v>
      </c>
      <c r="I49" s="1515">
        <v>0</v>
      </c>
      <c r="J49" s="1515">
        <v>0</v>
      </c>
      <c r="K49" s="1515">
        <f t="shared" si="13"/>
        <v>0</v>
      </c>
      <c r="L49" s="1515">
        <f t="shared" si="13"/>
        <v>1753</v>
      </c>
      <c r="M49" s="1516"/>
      <c r="N49" s="1510" t="s">
        <v>1101</v>
      </c>
      <c r="O49" s="1500"/>
      <c r="P49" s="2403"/>
      <c r="Q49" s="62" t="str">
        <f t="shared" si="7"/>
        <v>생극산업단지</v>
      </c>
      <c r="R49" s="1502">
        <v>2208</v>
      </c>
      <c r="S49" s="1503">
        <f t="shared" si="8"/>
        <v>1413</v>
      </c>
      <c r="T49" s="1503">
        <f t="shared" si="9"/>
        <v>795</v>
      </c>
      <c r="U49" s="44">
        <f t="shared" si="10"/>
        <v>3678</v>
      </c>
      <c r="V49" s="44">
        <f t="shared" si="11"/>
        <v>4473</v>
      </c>
      <c r="W49" s="45">
        <f t="shared" si="12"/>
        <v>1566</v>
      </c>
    </row>
    <row r="50" spans="1:23" ht="30" customHeight="1">
      <c r="A50" s="2400" t="s">
        <v>926</v>
      </c>
      <c r="B50" s="2401"/>
      <c r="C50" s="1511" t="s">
        <v>927</v>
      </c>
      <c r="D50" s="1512">
        <v>456756.2</v>
      </c>
      <c r="E50" s="1513" t="s">
        <v>1321</v>
      </c>
      <c r="F50" s="1514">
        <v>2018</v>
      </c>
      <c r="G50" s="1515">
        <v>0</v>
      </c>
      <c r="H50" s="1515">
        <v>1649</v>
      </c>
      <c r="I50" s="1515">
        <v>0</v>
      </c>
      <c r="J50" s="1515">
        <v>0</v>
      </c>
      <c r="K50" s="1515">
        <f t="shared" si="13"/>
        <v>0</v>
      </c>
      <c r="L50" s="1515">
        <f t="shared" si="13"/>
        <v>1649</v>
      </c>
      <c r="M50" s="1516"/>
      <c r="N50" s="1510" t="s">
        <v>1102</v>
      </c>
      <c r="O50" s="1500"/>
      <c r="P50" s="2403"/>
      <c r="Q50" s="62" t="str">
        <f t="shared" si="7"/>
        <v>성본산업단지</v>
      </c>
      <c r="R50" s="1502">
        <v>7790</v>
      </c>
      <c r="S50" s="1503">
        <f>ROUND(R50*0.64,0)-1</f>
        <v>4985</v>
      </c>
      <c r="T50" s="1503">
        <f>ROUND(R50*0.36,0)+1</f>
        <v>2805</v>
      </c>
      <c r="U50" s="44">
        <f t="shared" si="10"/>
        <v>12965</v>
      </c>
      <c r="V50" s="44">
        <f t="shared" si="11"/>
        <v>15770</v>
      </c>
      <c r="W50" s="45">
        <f t="shared" si="12"/>
        <v>5520</v>
      </c>
    </row>
    <row r="51" spans="1:23" ht="30" customHeight="1">
      <c r="A51" s="2400" t="s">
        <v>928</v>
      </c>
      <c r="B51" s="2401"/>
      <c r="C51" s="1511" t="s">
        <v>929</v>
      </c>
      <c r="D51" s="1512">
        <v>1975543</v>
      </c>
      <c r="E51" s="1513" t="s">
        <v>1322</v>
      </c>
      <c r="F51" s="1514">
        <v>2019</v>
      </c>
      <c r="G51" s="1515">
        <v>5447</v>
      </c>
      <c r="H51" s="1515">
        <v>14162</v>
      </c>
      <c r="I51" s="1515">
        <v>0</v>
      </c>
      <c r="J51" s="1515">
        <v>0</v>
      </c>
      <c r="K51" s="1515">
        <f>+G51-I51</f>
        <v>5447</v>
      </c>
      <c r="L51" s="1515">
        <f>+H51-J51</f>
        <v>14162</v>
      </c>
      <c r="M51" s="1516"/>
      <c r="N51" s="1510" t="s">
        <v>1103</v>
      </c>
      <c r="O51" s="1500"/>
      <c r="P51" s="2403"/>
      <c r="Q51" s="62" t="str">
        <f t="shared" si="7"/>
        <v>금왕테크노밸리</v>
      </c>
      <c r="R51" s="1502">
        <v>4709</v>
      </c>
      <c r="S51" s="1503">
        <f>ROUND(R51*0.64,0)</f>
        <v>3014</v>
      </c>
      <c r="T51" s="1503">
        <f>ROUND(R51*0.36,0)</f>
        <v>1695</v>
      </c>
      <c r="U51" s="44">
        <f t="shared" si="10"/>
        <v>7840</v>
      </c>
      <c r="V51" s="44">
        <f t="shared" si="11"/>
        <v>9535</v>
      </c>
      <c r="W51" s="45">
        <f t="shared" si="12"/>
        <v>3337</v>
      </c>
    </row>
    <row r="52" spans="1:23" ht="30" customHeight="1">
      <c r="A52" s="2400" t="s">
        <v>930</v>
      </c>
      <c r="B52" s="2401"/>
      <c r="C52" s="1511" t="s">
        <v>933</v>
      </c>
      <c r="D52" s="1512">
        <v>1043727</v>
      </c>
      <c r="E52" s="1513" t="s">
        <v>1323</v>
      </c>
      <c r="F52" s="1514">
        <v>2019</v>
      </c>
      <c r="G52" s="1515">
        <v>0</v>
      </c>
      <c r="H52" s="1515">
        <v>4547</v>
      </c>
      <c r="I52" s="1515">
        <v>0</v>
      </c>
      <c r="J52" s="1515">
        <v>0</v>
      </c>
      <c r="K52" s="1515">
        <f t="shared" si="13"/>
        <v>0</v>
      </c>
      <c r="L52" s="1515">
        <f t="shared" si="13"/>
        <v>4547</v>
      </c>
      <c r="M52" s="1516"/>
      <c r="N52" s="1510" t="s">
        <v>1101</v>
      </c>
      <c r="O52" s="1500"/>
      <c r="P52" s="2403"/>
      <c r="Q52" s="62" t="str">
        <f t="shared" si="7"/>
        <v>성안산업단지</v>
      </c>
      <c r="R52" s="1502">
        <v>119</v>
      </c>
      <c r="S52" s="1503">
        <f>ROUND(R52*0.64,0)</f>
        <v>76</v>
      </c>
      <c r="T52" s="1503">
        <f>ROUND(R52*0.36,0)</f>
        <v>43</v>
      </c>
      <c r="U52" s="44">
        <f t="shared" si="10"/>
        <v>202</v>
      </c>
      <c r="V52" s="44">
        <f t="shared" si="11"/>
        <v>245</v>
      </c>
      <c r="W52" s="45">
        <f t="shared" si="12"/>
        <v>86</v>
      </c>
    </row>
    <row r="53" spans="1:23" ht="30" customHeight="1">
      <c r="A53" s="2400" t="s">
        <v>931</v>
      </c>
      <c r="B53" s="2401"/>
      <c r="C53" s="1511" t="s">
        <v>932</v>
      </c>
      <c r="D53" s="1512">
        <v>136900</v>
      </c>
      <c r="E53" s="1513" t="s">
        <v>1324</v>
      </c>
      <c r="F53" s="1514">
        <v>2019</v>
      </c>
      <c r="G53" s="1515">
        <v>0</v>
      </c>
      <c r="H53" s="1515">
        <v>119</v>
      </c>
      <c r="I53" s="1515">
        <v>0</v>
      </c>
      <c r="J53" s="1515">
        <v>0</v>
      </c>
      <c r="K53" s="1515">
        <f t="shared" si="13"/>
        <v>0</v>
      </c>
      <c r="L53" s="1515">
        <f t="shared" si="13"/>
        <v>119</v>
      </c>
      <c r="M53" s="1516"/>
      <c r="N53" s="1510" t="s">
        <v>1101</v>
      </c>
      <c r="O53" s="1500"/>
      <c r="P53" s="1517"/>
      <c r="Q53" s="62" t="str">
        <f t="shared" si="7"/>
        <v>중부산업단지</v>
      </c>
      <c r="R53" s="1502">
        <v>398</v>
      </c>
      <c r="S53" s="1503">
        <f>ROUND(R53*0.64,0)</f>
        <v>255</v>
      </c>
      <c r="T53" s="1503">
        <f>ROUND(R53*0.36,0)</f>
        <v>143</v>
      </c>
      <c r="U53" s="44">
        <f t="shared" si="10"/>
        <v>667</v>
      </c>
      <c r="V53" s="44">
        <f t="shared" si="11"/>
        <v>810</v>
      </c>
      <c r="W53" s="45">
        <f t="shared" si="12"/>
        <v>284</v>
      </c>
    </row>
    <row r="54" spans="1:23" ht="30" customHeight="1">
      <c r="A54" s="2400" t="s">
        <v>1228</v>
      </c>
      <c r="B54" s="2401"/>
      <c r="C54" s="1511" t="s">
        <v>1229</v>
      </c>
      <c r="D54" s="1512">
        <v>148426.20000000001</v>
      </c>
      <c r="E54" s="1513" t="s">
        <v>1325</v>
      </c>
      <c r="F54" s="1514">
        <v>2018</v>
      </c>
      <c r="G54" s="1515">
        <v>0</v>
      </c>
      <c r="H54" s="1515">
        <v>284</v>
      </c>
      <c r="I54" s="1515">
        <v>0</v>
      </c>
      <c r="J54" s="1515">
        <v>0</v>
      </c>
      <c r="K54" s="1515">
        <f t="shared" si="13"/>
        <v>0</v>
      </c>
      <c r="L54" s="1515">
        <f t="shared" si="13"/>
        <v>284</v>
      </c>
      <c r="M54" s="1516"/>
      <c r="N54" s="1510"/>
      <c r="O54" s="1500"/>
      <c r="P54" s="1517"/>
      <c r="Q54" s="62" t="str">
        <f t="shared" si="7"/>
        <v>육령일반산업단지</v>
      </c>
      <c r="R54" s="1502">
        <v>73</v>
      </c>
      <c r="S54" s="1503">
        <f>ROUND(R54*0.64,0)</f>
        <v>47</v>
      </c>
      <c r="T54" s="1503">
        <f>ROUND(R54*0.36,0)</f>
        <v>26</v>
      </c>
      <c r="U54" s="44">
        <f t="shared" si="10"/>
        <v>126</v>
      </c>
      <c r="V54" s="44">
        <f t="shared" si="11"/>
        <v>152</v>
      </c>
      <c r="W54" s="45">
        <f t="shared" si="12"/>
        <v>53</v>
      </c>
    </row>
    <row r="55" spans="1:23" ht="32.1" customHeight="1">
      <c r="A55" s="2400" t="s">
        <v>1263</v>
      </c>
      <c r="B55" s="2401"/>
      <c r="C55" s="1511" t="s">
        <v>1230</v>
      </c>
      <c r="D55" s="1512">
        <v>63798</v>
      </c>
      <c r="E55" s="1513" t="s">
        <v>1326</v>
      </c>
      <c r="F55" s="1514">
        <v>2020</v>
      </c>
      <c r="G55" s="1515">
        <v>0</v>
      </c>
      <c r="H55" s="1515">
        <f t="shared" ref="H55" si="14">+W54</f>
        <v>53</v>
      </c>
      <c r="I55" s="1515">
        <v>0</v>
      </c>
      <c r="J55" s="1515">
        <v>0</v>
      </c>
      <c r="K55" s="1515">
        <f t="shared" si="13"/>
        <v>0</v>
      </c>
      <c r="L55" s="1515">
        <f t="shared" si="13"/>
        <v>53</v>
      </c>
      <c r="M55" s="1516"/>
      <c r="N55" s="1510"/>
      <c r="O55" s="1518"/>
      <c r="P55" s="1519" t="s">
        <v>138</v>
      </c>
      <c r="R55" s="1502"/>
      <c r="S55" s="1503">
        <f>ROUND(R55*0.694,0)</f>
        <v>0</v>
      </c>
      <c r="T55" s="1503">
        <f>ROUND(R55*0.306,0)</f>
        <v>0</v>
      </c>
      <c r="U55" s="44">
        <f>ROUND(S55*1.58,0)</f>
        <v>0</v>
      </c>
      <c r="V55" s="44"/>
      <c r="W55" s="45">
        <f t="shared" ref="W55" si="15">+U55+R55</f>
        <v>0</v>
      </c>
    </row>
    <row r="56" spans="1:23" ht="32.1" customHeight="1">
      <c r="A56" s="2400" t="s">
        <v>1402</v>
      </c>
      <c r="B56" s="2401"/>
      <c r="C56" s="1511" t="s">
        <v>1403</v>
      </c>
      <c r="D56" s="1512">
        <v>1987000</v>
      </c>
      <c r="E56" s="1513"/>
      <c r="F56" s="1514">
        <v>2030</v>
      </c>
      <c r="G56" s="1515">
        <v>0</v>
      </c>
      <c r="H56" s="1515">
        <v>4952</v>
      </c>
      <c r="I56" s="1515">
        <v>0</v>
      </c>
      <c r="J56" s="1515">
        <v>0</v>
      </c>
      <c r="K56" s="1515">
        <f t="shared" si="13"/>
        <v>0</v>
      </c>
      <c r="L56" s="1515">
        <f t="shared" si="13"/>
        <v>4952</v>
      </c>
      <c r="M56" s="1520" t="s">
        <v>1387</v>
      </c>
      <c r="N56" s="1510"/>
      <c r="O56" s="1498"/>
      <c r="P56" s="1251" t="s">
        <v>1160</v>
      </c>
    </row>
    <row r="57" spans="1:23" ht="32.1" customHeight="1">
      <c r="A57" s="2400" t="s">
        <v>1405</v>
      </c>
      <c r="B57" s="2401"/>
      <c r="C57" s="1511" t="s">
        <v>1406</v>
      </c>
      <c r="D57" s="1512">
        <v>400000</v>
      </c>
      <c r="E57" s="1513"/>
      <c r="F57" s="1514">
        <v>2030</v>
      </c>
      <c r="G57" s="1515">
        <v>0</v>
      </c>
      <c r="H57" s="1515">
        <v>1058</v>
      </c>
      <c r="I57" s="1515">
        <v>0</v>
      </c>
      <c r="J57" s="1515">
        <v>0</v>
      </c>
      <c r="K57" s="1515">
        <f t="shared" si="13"/>
        <v>0</v>
      </c>
      <c r="L57" s="1515">
        <f t="shared" si="13"/>
        <v>1058</v>
      </c>
      <c r="M57" s="1520" t="s">
        <v>1387</v>
      </c>
      <c r="N57" s="1510"/>
      <c r="O57" s="1460"/>
      <c r="P57" s="1519"/>
      <c r="Q57" s="1434"/>
      <c r="R57" s="1434"/>
      <c r="S57" s="1434"/>
      <c r="T57" s="1434"/>
      <c r="U57" s="1434"/>
      <c r="V57" s="1434"/>
      <c r="W57" s="1434"/>
    </row>
    <row r="58" spans="1:23" ht="24.6" customHeight="1">
      <c r="A58" s="2400" t="s">
        <v>1411</v>
      </c>
      <c r="B58" s="2401"/>
      <c r="C58" s="1511" t="s">
        <v>1412</v>
      </c>
      <c r="D58" s="1512">
        <v>1000000</v>
      </c>
      <c r="E58" s="1513"/>
      <c r="F58" s="1514">
        <v>2030</v>
      </c>
      <c r="G58" s="1515">
        <v>0</v>
      </c>
      <c r="H58" s="1515">
        <v>2646</v>
      </c>
      <c r="I58" s="1515">
        <v>0</v>
      </c>
      <c r="J58" s="1515">
        <v>0</v>
      </c>
      <c r="K58" s="1515">
        <f t="shared" si="13"/>
        <v>0</v>
      </c>
      <c r="L58" s="1515">
        <f t="shared" si="13"/>
        <v>2646</v>
      </c>
      <c r="M58" s="1520" t="s">
        <v>1387</v>
      </c>
      <c r="N58" s="1510"/>
      <c r="O58" s="1437"/>
      <c r="W58" s="1434"/>
    </row>
    <row r="59" spans="1:23" ht="30" customHeight="1">
      <c r="A59" s="2400" t="s">
        <v>1408</v>
      </c>
      <c r="B59" s="2401"/>
      <c r="C59" s="1511" t="s">
        <v>1409</v>
      </c>
      <c r="D59" s="1512">
        <v>1800000</v>
      </c>
      <c r="E59" s="1513"/>
      <c r="F59" s="1514">
        <v>2030</v>
      </c>
      <c r="G59" s="1515">
        <v>0</v>
      </c>
      <c r="H59" s="1515">
        <v>4763</v>
      </c>
      <c r="I59" s="1515">
        <v>0</v>
      </c>
      <c r="J59" s="1515">
        <v>0</v>
      </c>
      <c r="K59" s="1515">
        <f t="shared" si="13"/>
        <v>0</v>
      </c>
      <c r="L59" s="1515">
        <f t="shared" si="13"/>
        <v>4763</v>
      </c>
      <c r="M59" s="1520" t="s">
        <v>1387</v>
      </c>
      <c r="N59" s="1510"/>
      <c r="O59" s="1460"/>
      <c r="W59" s="1434"/>
    </row>
    <row r="60" spans="1:23" ht="30" customHeight="1">
      <c r="A60" s="2400" t="s">
        <v>1414</v>
      </c>
      <c r="B60" s="2401"/>
      <c r="C60" s="1511" t="s">
        <v>1415</v>
      </c>
      <c r="D60" s="1512">
        <v>435000</v>
      </c>
      <c r="E60" s="1513"/>
      <c r="F60" s="1514">
        <v>2030</v>
      </c>
      <c r="G60" s="1515">
        <v>0</v>
      </c>
      <c r="H60" s="1515">
        <v>307</v>
      </c>
      <c r="I60" s="1515">
        <v>0</v>
      </c>
      <c r="J60" s="1515">
        <v>0</v>
      </c>
      <c r="K60" s="1515">
        <f t="shared" si="13"/>
        <v>0</v>
      </c>
      <c r="L60" s="1515">
        <f t="shared" si="13"/>
        <v>307</v>
      </c>
      <c r="M60" s="1520" t="s">
        <v>1387</v>
      </c>
      <c r="N60" s="1510"/>
      <c r="O60" s="1460"/>
      <c r="W60" s="1434"/>
    </row>
    <row r="61" spans="1:23" ht="30" customHeight="1">
      <c r="A61" s="2400" t="s">
        <v>1417</v>
      </c>
      <c r="B61" s="2401"/>
      <c r="C61" s="1511" t="s">
        <v>1418</v>
      </c>
      <c r="D61" s="1512">
        <v>268000</v>
      </c>
      <c r="E61" s="1513"/>
      <c r="F61" s="1514">
        <v>2030</v>
      </c>
      <c r="G61" s="1515">
        <v>0</v>
      </c>
      <c r="H61" s="1515">
        <v>709</v>
      </c>
      <c r="I61" s="1515">
        <v>0</v>
      </c>
      <c r="J61" s="1515">
        <v>0</v>
      </c>
      <c r="K61" s="1515">
        <f t="shared" ref="K61:L69" si="16">+G61-I61</f>
        <v>0</v>
      </c>
      <c r="L61" s="1515">
        <f t="shared" si="16"/>
        <v>709</v>
      </c>
      <c r="M61" s="1520" t="s">
        <v>1387</v>
      </c>
      <c r="N61" s="1510"/>
      <c r="O61" s="1460"/>
      <c r="W61" s="1434"/>
    </row>
    <row r="62" spans="1:23" ht="30" customHeight="1">
      <c r="A62" s="2400" t="s">
        <v>1420</v>
      </c>
      <c r="B62" s="2401"/>
      <c r="C62" s="1511" t="s">
        <v>1418</v>
      </c>
      <c r="D62" s="1512">
        <v>150000</v>
      </c>
      <c r="E62" s="1513"/>
      <c r="F62" s="1514">
        <v>2030</v>
      </c>
      <c r="G62" s="1515">
        <v>0</v>
      </c>
      <c r="H62" s="1515">
        <v>622</v>
      </c>
      <c r="I62" s="1515">
        <v>0</v>
      </c>
      <c r="J62" s="1515">
        <v>0</v>
      </c>
      <c r="K62" s="1515">
        <f t="shared" si="16"/>
        <v>0</v>
      </c>
      <c r="L62" s="1515">
        <f t="shared" si="16"/>
        <v>622</v>
      </c>
      <c r="M62" s="1520" t="s">
        <v>1387</v>
      </c>
      <c r="N62" s="1510"/>
      <c r="O62" s="1460"/>
      <c r="W62" s="1434"/>
    </row>
    <row r="63" spans="1:23" ht="30" customHeight="1">
      <c r="A63" s="2400" t="s">
        <v>1422</v>
      </c>
      <c r="B63" s="2401"/>
      <c r="C63" s="1511" t="s">
        <v>1418</v>
      </c>
      <c r="D63" s="1512">
        <v>176000</v>
      </c>
      <c r="E63" s="1513"/>
      <c r="F63" s="1514">
        <v>2030</v>
      </c>
      <c r="G63" s="1515">
        <v>0</v>
      </c>
      <c r="H63" s="1515">
        <v>466</v>
      </c>
      <c r="I63" s="1515">
        <v>0</v>
      </c>
      <c r="J63" s="1515">
        <v>0</v>
      </c>
      <c r="K63" s="1515">
        <f t="shared" si="16"/>
        <v>0</v>
      </c>
      <c r="L63" s="1515">
        <f t="shared" si="16"/>
        <v>466</v>
      </c>
      <c r="M63" s="1520" t="s">
        <v>1387</v>
      </c>
      <c r="N63" s="1510"/>
      <c r="O63" s="1460"/>
      <c r="W63" s="1434"/>
    </row>
    <row r="64" spans="1:23" ht="30" customHeight="1">
      <c r="A64" s="2400" t="s">
        <v>1424</v>
      </c>
      <c r="B64" s="2401"/>
      <c r="C64" s="1511" t="s">
        <v>1425</v>
      </c>
      <c r="D64" s="1512">
        <v>1500000</v>
      </c>
      <c r="E64" s="1513"/>
      <c r="F64" s="1514">
        <v>2030</v>
      </c>
      <c r="G64" s="1515">
        <v>0</v>
      </c>
      <c r="H64" s="1515">
        <v>1635</v>
      </c>
      <c r="I64" s="1515">
        <v>0</v>
      </c>
      <c r="J64" s="1515">
        <v>0</v>
      </c>
      <c r="K64" s="1515">
        <f t="shared" si="16"/>
        <v>0</v>
      </c>
      <c r="L64" s="1515">
        <f t="shared" si="16"/>
        <v>1635</v>
      </c>
      <c r="M64" s="1520" t="s">
        <v>1387</v>
      </c>
      <c r="N64" s="1510"/>
      <c r="O64" s="1460"/>
      <c r="W64" s="1434"/>
    </row>
    <row r="65" spans="1:34" ht="30" customHeight="1">
      <c r="A65" s="2400" t="s">
        <v>1427</v>
      </c>
      <c r="B65" s="2401"/>
      <c r="C65" s="1511" t="s">
        <v>1428</v>
      </c>
      <c r="D65" s="1512">
        <v>1200000</v>
      </c>
      <c r="E65" s="1513"/>
      <c r="F65" s="1514">
        <v>2030</v>
      </c>
      <c r="G65" s="1515">
        <v>0</v>
      </c>
      <c r="H65" s="1515">
        <v>3175</v>
      </c>
      <c r="I65" s="1515">
        <v>0</v>
      </c>
      <c r="J65" s="1515">
        <v>0</v>
      </c>
      <c r="K65" s="1515">
        <f t="shared" si="16"/>
        <v>0</v>
      </c>
      <c r="L65" s="1515">
        <f t="shared" si="16"/>
        <v>3175</v>
      </c>
      <c r="M65" s="1520" t="s">
        <v>1387</v>
      </c>
      <c r="N65" s="1510"/>
      <c r="O65" s="1460"/>
      <c r="W65" s="1434"/>
    </row>
    <row r="66" spans="1:34" ht="30" customHeight="1">
      <c r="A66" s="2400" t="s">
        <v>1430</v>
      </c>
      <c r="B66" s="2401"/>
      <c r="C66" s="1511" t="s">
        <v>1437</v>
      </c>
      <c r="D66" s="1512">
        <v>1000000</v>
      </c>
      <c r="E66" s="1513"/>
      <c r="F66" s="1514">
        <v>2030</v>
      </c>
      <c r="G66" s="1515">
        <v>0</v>
      </c>
      <c r="H66" s="1515">
        <v>2646</v>
      </c>
      <c r="I66" s="1515">
        <v>0</v>
      </c>
      <c r="J66" s="1515">
        <v>0</v>
      </c>
      <c r="K66" s="1515">
        <f t="shared" si="16"/>
        <v>0</v>
      </c>
      <c r="L66" s="1515">
        <f t="shared" si="16"/>
        <v>2646</v>
      </c>
      <c r="M66" s="1520" t="s">
        <v>1387</v>
      </c>
      <c r="N66" s="1510"/>
      <c r="O66" s="1460"/>
      <c r="W66" s="1434"/>
    </row>
    <row r="67" spans="1:34" ht="30" customHeight="1">
      <c r="A67" s="2400" t="s">
        <v>1432</v>
      </c>
      <c r="B67" s="2401"/>
      <c r="C67" s="1511" t="s">
        <v>1438</v>
      </c>
      <c r="D67" s="1512">
        <v>1299000</v>
      </c>
      <c r="E67" s="1513"/>
      <c r="F67" s="1514">
        <v>2030</v>
      </c>
      <c r="G67" s="1515">
        <v>0</v>
      </c>
      <c r="H67" s="1515">
        <v>3436</v>
      </c>
      <c r="I67" s="1515">
        <v>0</v>
      </c>
      <c r="J67" s="1515">
        <v>0</v>
      </c>
      <c r="K67" s="1515">
        <f t="shared" si="16"/>
        <v>0</v>
      </c>
      <c r="L67" s="1515">
        <f t="shared" si="16"/>
        <v>3436</v>
      </c>
      <c r="M67" s="1520" t="s">
        <v>1387</v>
      </c>
      <c r="N67" s="1510"/>
      <c r="O67" s="1460"/>
      <c r="W67" s="1434"/>
    </row>
    <row r="68" spans="1:34" ht="30" customHeight="1">
      <c r="A68" s="2400" t="s">
        <v>1434</v>
      </c>
      <c r="B68" s="2401"/>
      <c r="C68" s="1511" t="s">
        <v>1438</v>
      </c>
      <c r="D68" s="1512">
        <v>84000</v>
      </c>
      <c r="E68" s="1513"/>
      <c r="F68" s="1514">
        <v>2030</v>
      </c>
      <c r="G68" s="1515">
        <v>0</v>
      </c>
      <c r="H68" s="1515">
        <v>219</v>
      </c>
      <c r="I68" s="1515">
        <v>0</v>
      </c>
      <c r="J68" s="1515">
        <v>0</v>
      </c>
      <c r="K68" s="1515">
        <f t="shared" si="16"/>
        <v>0</v>
      </c>
      <c r="L68" s="1515">
        <f t="shared" si="16"/>
        <v>219</v>
      </c>
      <c r="M68" s="1520" t="s">
        <v>1387</v>
      </c>
      <c r="N68" s="1510"/>
      <c r="O68" s="1460"/>
      <c r="W68" s="1434"/>
    </row>
    <row r="69" spans="1:34" ht="30" customHeight="1">
      <c r="A69" s="2400" t="s">
        <v>1436</v>
      </c>
      <c r="B69" s="2401"/>
      <c r="C69" s="1511" t="s">
        <v>1438</v>
      </c>
      <c r="D69" s="1512">
        <v>200000</v>
      </c>
      <c r="E69" s="1513"/>
      <c r="F69" s="1514">
        <v>2030</v>
      </c>
      <c r="G69" s="1515">
        <v>0</v>
      </c>
      <c r="H69" s="1515">
        <v>500</v>
      </c>
      <c r="I69" s="1515">
        <v>0</v>
      </c>
      <c r="J69" s="1515">
        <v>0</v>
      </c>
      <c r="K69" s="1515">
        <f t="shared" si="16"/>
        <v>0</v>
      </c>
      <c r="L69" s="1515">
        <f t="shared" si="16"/>
        <v>500</v>
      </c>
      <c r="M69" s="1520" t="s">
        <v>1387</v>
      </c>
      <c r="N69" s="1510"/>
      <c r="O69" s="1460"/>
      <c r="W69" s="1434"/>
    </row>
    <row r="70" spans="1:34" ht="32.1" customHeight="1">
      <c r="A70" s="2499" t="s">
        <v>52</v>
      </c>
      <c r="B70" s="2500"/>
      <c r="C70" s="1521">
        <f>COUNTA(C45:C69)</f>
        <v>25</v>
      </c>
      <c r="D70" s="1522"/>
      <c r="E70" s="1523"/>
      <c r="F70" s="1523"/>
      <c r="G70" s="1524">
        <f>SUM(G45:G55)</f>
        <v>5447</v>
      </c>
      <c r="H70" s="1524">
        <f>SUM(H45:H69)</f>
        <v>53687</v>
      </c>
      <c r="I70" s="1524">
        <f>SUM(I45:I55)</f>
        <v>0</v>
      </c>
      <c r="J70" s="1524">
        <f>SUM(J45:J55)</f>
        <v>0</v>
      </c>
      <c r="K70" s="1524">
        <f>SUM(K45:K69)</f>
        <v>5447</v>
      </c>
      <c r="L70" s="1524">
        <f>SUM(L45:L69)</f>
        <v>53687</v>
      </c>
      <c r="M70" s="1525"/>
      <c r="N70" s="1526"/>
      <c r="O70" s="1460"/>
      <c r="W70" s="1434"/>
    </row>
    <row r="71" spans="1:34" ht="32.1" customHeight="1">
      <c r="A71" s="1261"/>
      <c r="B71" s="1261"/>
      <c r="C71" s="1261"/>
      <c r="D71" s="1498"/>
      <c r="E71" s="1499"/>
      <c r="F71" s="1499"/>
      <c r="G71" s="1498"/>
      <c r="H71" s="1498"/>
      <c r="I71" s="1498"/>
      <c r="J71" s="1498"/>
      <c r="K71" s="1498"/>
      <c r="L71" s="1498"/>
      <c r="M71" s="1526"/>
      <c r="N71" s="1526"/>
      <c r="O71" s="1460"/>
      <c r="W71" s="1434"/>
    </row>
    <row r="72" spans="1:34" ht="32.1" customHeight="1">
      <c r="A72" s="1435" t="s">
        <v>602</v>
      </c>
      <c r="B72" s="1435"/>
      <c r="C72" s="1267"/>
      <c r="D72" s="1267"/>
      <c r="E72" s="1430"/>
      <c r="F72" s="1430"/>
      <c r="G72" s="1430"/>
      <c r="H72" s="1430"/>
      <c r="I72" s="1430"/>
      <c r="J72" s="1430"/>
      <c r="K72" s="1430"/>
      <c r="L72" s="1430"/>
      <c r="M72" s="1430"/>
      <c r="N72" s="1430"/>
      <c r="W72" s="1434"/>
    </row>
    <row r="73" spans="1:34" ht="32.1" customHeight="1">
      <c r="A73" s="2439" t="s">
        <v>68</v>
      </c>
      <c r="B73" s="2440"/>
      <c r="C73" s="2443" t="s">
        <v>53</v>
      </c>
      <c r="D73" s="2411" t="s">
        <v>54</v>
      </c>
      <c r="E73" s="2443" t="s">
        <v>55</v>
      </c>
      <c r="F73" s="2411" t="s">
        <v>56</v>
      </c>
      <c r="G73" s="2411" t="s">
        <v>57</v>
      </c>
      <c r="H73" s="2411" t="s">
        <v>58</v>
      </c>
      <c r="I73" s="2434" t="s">
        <v>84</v>
      </c>
      <c r="J73" s="2435"/>
      <c r="K73" s="2434" t="s">
        <v>59</v>
      </c>
      <c r="L73" s="2436"/>
      <c r="M73" s="2437" t="s">
        <v>60</v>
      </c>
      <c r="N73" s="1272"/>
      <c r="W73" s="1434"/>
    </row>
    <row r="74" spans="1:34" ht="30" customHeight="1">
      <c r="A74" s="2441"/>
      <c r="B74" s="2442"/>
      <c r="C74" s="2433"/>
      <c r="D74" s="2412"/>
      <c r="E74" s="2433"/>
      <c r="F74" s="2433"/>
      <c r="G74" s="2412"/>
      <c r="H74" s="2412"/>
      <c r="I74" s="1443" t="s">
        <v>50</v>
      </c>
      <c r="J74" s="1443" t="s">
        <v>51</v>
      </c>
      <c r="K74" s="1443" t="s">
        <v>50</v>
      </c>
      <c r="L74" s="1443" t="s">
        <v>51</v>
      </c>
      <c r="M74" s="2438"/>
      <c r="N74" s="1272"/>
      <c r="P74" s="2481" t="s">
        <v>93</v>
      </c>
      <c r="Q74" s="2408" t="s">
        <v>86</v>
      </c>
      <c r="R74" s="2408"/>
      <c r="S74" s="2408"/>
      <c r="T74" s="2478" t="s">
        <v>87</v>
      </c>
      <c r="U74" s="2479" t="s">
        <v>544</v>
      </c>
      <c r="V74" s="1527"/>
      <c r="W74" s="1434"/>
      <c r="X74" s="2476" t="s">
        <v>125</v>
      </c>
      <c r="Y74" s="2477"/>
      <c r="Z74" s="2477"/>
      <c r="AA74" s="2477"/>
      <c r="AB74" s="2477"/>
      <c r="AC74" s="2477"/>
      <c r="AD74" s="2477"/>
      <c r="AE74" s="2477"/>
      <c r="AF74" s="2477"/>
      <c r="AG74" s="2477"/>
      <c r="AH74" s="2477"/>
    </row>
    <row r="75" spans="1:34" ht="27.95" customHeight="1">
      <c r="A75" s="2429" t="s">
        <v>1231</v>
      </c>
      <c r="B75" s="2430"/>
      <c r="C75" s="1528" t="s">
        <v>622</v>
      </c>
      <c r="D75" s="1306">
        <v>145191</v>
      </c>
      <c r="E75" s="1306"/>
      <c r="F75" s="1529">
        <v>2020</v>
      </c>
      <c r="G75" s="1306"/>
      <c r="H75" s="1306">
        <v>0</v>
      </c>
      <c r="I75" s="1306"/>
      <c r="J75" s="1306"/>
      <c r="K75" s="1306">
        <v>0</v>
      </c>
      <c r="L75" s="1306">
        <f>+H75-J75</f>
        <v>0</v>
      </c>
      <c r="M75" s="1530"/>
      <c r="N75" s="1448"/>
      <c r="P75" s="2481"/>
      <c r="Q75" s="1761" t="s">
        <v>88</v>
      </c>
      <c r="R75" s="1761" t="s">
        <v>89</v>
      </c>
      <c r="S75" s="1761" t="s">
        <v>90</v>
      </c>
      <c r="T75" s="2478"/>
      <c r="U75" s="2480"/>
      <c r="V75" s="1531"/>
      <c r="W75" s="1434"/>
      <c r="X75" s="1532" t="s">
        <v>126</v>
      </c>
      <c r="Y75" s="1532"/>
      <c r="Z75" s="1532"/>
      <c r="AA75" s="1532"/>
      <c r="AB75" s="1532"/>
      <c r="AC75" s="1532" t="s">
        <v>127</v>
      </c>
      <c r="AH75" s="1434" t="s">
        <v>129</v>
      </c>
    </row>
    <row r="76" spans="1:34" ht="27.95" customHeight="1">
      <c r="A76" s="2431" t="s">
        <v>1498</v>
      </c>
      <c r="B76" s="2432"/>
      <c r="C76" s="1444" t="s">
        <v>1233</v>
      </c>
      <c r="D76" s="1764">
        <v>339290</v>
      </c>
      <c r="E76" s="1764" t="s">
        <v>92</v>
      </c>
      <c r="F76" s="1445">
        <v>2020</v>
      </c>
      <c r="G76" s="1764"/>
      <c r="H76" s="1764">
        <v>0</v>
      </c>
      <c r="I76" s="1764"/>
      <c r="J76" s="1764"/>
      <c r="K76" s="1764">
        <f>+G76-I76</f>
        <v>0</v>
      </c>
      <c r="L76" s="1764">
        <f>+H76-J76</f>
        <v>0</v>
      </c>
      <c r="M76" s="1447"/>
      <c r="N76" s="1448"/>
      <c r="P76" s="1533" t="str">
        <f>A75</f>
        <v>감곡 역세권</v>
      </c>
      <c r="Q76" s="1502">
        <f>45+173</f>
        <v>218</v>
      </c>
      <c r="R76" s="1503">
        <f>ROUND(Q76*0.694,0)</f>
        <v>151</v>
      </c>
      <c r="S76" s="1503">
        <f>ROUND(Q76*0.306,0)</f>
        <v>67</v>
      </c>
      <c r="T76" s="44">
        <f>ROUND(R76*1.58,0)</f>
        <v>239</v>
      </c>
      <c r="U76" s="45">
        <f>+T76+Q76</f>
        <v>457</v>
      </c>
      <c r="V76" s="63"/>
      <c r="W76" s="1434"/>
    </row>
    <row r="77" spans="1:34" ht="27.95" customHeight="1">
      <c r="A77" s="2431" t="s">
        <v>1499</v>
      </c>
      <c r="B77" s="2432"/>
      <c r="C77" s="1444" t="s">
        <v>1232</v>
      </c>
      <c r="D77" s="1764">
        <v>611283</v>
      </c>
      <c r="E77" s="1764"/>
      <c r="F77" s="1445">
        <v>2020</v>
      </c>
      <c r="G77" s="1764"/>
      <c r="H77" s="1764">
        <v>0</v>
      </c>
      <c r="I77" s="1764"/>
      <c r="J77" s="1764"/>
      <c r="K77" s="1764">
        <f>+G77-I77</f>
        <v>0</v>
      </c>
      <c r="L77" s="1764">
        <f>+H77-J77</f>
        <v>0</v>
      </c>
      <c r="M77" s="1447"/>
      <c r="N77" s="1448"/>
      <c r="P77" s="1533" t="str">
        <f>A76</f>
        <v>모래우물
자연체험학교</v>
      </c>
      <c r="Q77" s="1502">
        <v>1259</v>
      </c>
      <c r="R77" s="1503">
        <f>ROUND(Q77*0.694,0)</f>
        <v>874</v>
      </c>
      <c r="S77" s="1503">
        <f>ROUND(Q77*0.306,0)</f>
        <v>385</v>
      </c>
      <c r="T77" s="44">
        <f>ROUND(R77*1.58,0)</f>
        <v>1381</v>
      </c>
      <c r="U77" s="45">
        <f>+T77+Q77</f>
        <v>2640</v>
      </c>
      <c r="V77" s="63"/>
      <c r="W77" s="1434"/>
    </row>
    <row r="78" spans="1:34" ht="27.95" customHeight="1">
      <c r="A78" s="2425" t="s">
        <v>52</v>
      </c>
      <c r="B78" s="2426"/>
      <c r="C78" s="1454">
        <f>COUNTA(A75:B77)</f>
        <v>3</v>
      </c>
      <c r="D78" s="1455"/>
      <c r="E78" s="1455"/>
      <c r="F78" s="1455"/>
      <c r="G78" s="1455">
        <f t="shared" ref="G78:L78" si="17">SUM(G75:G77)</f>
        <v>0</v>
      </c>
      <c r="H78" s="1455">
        <f t="shared" si="17"/>
        <v>0</v>
      </c>
      <c r="I78" s="1455">
        <f t="shared" si="17"/>
        <v>0</v>
      </c>
      <c r="J78" s="1455">
        <f t="shared" si="17"/>
        <v>0</v>
      </c>
      <c r="K78" s="1455">
        <f t="shared" si="17"/>
        <v>0</v>
      </c>
      <c r="L78" s="1455">
        <f t="shared" si="17"/>
        <v>0</v>
      </c>
      <c r="M78" s="1534"/>
      <c r="N78" s="1262"/>
      <c r="P78" s="1535" t="str">
        <f>A77</f>
        <v>품바
재생예술체험촌</v>
      </c>
      <c r="Q78" s="1502">
        <v>1958</v>
      </c>
      <c r="R78" s="1503">
        <f>ROUND(Q78*0.694,0)</f>
        <v>1359</v>
      </c>
      <c r="S78" s="1503">
        <f>ROUND(Q78*0.306,0)</f>
        <v>599</v>
      </c>
      <c r="T78" s="44">
        <f>ROUND(R78*1.58,0)</f>
        <v>2147</v>
      </c>
      <c r="U78" s="45">
        <f>+T78+Q78</f>
        <v>4105</v>
      </c>
      <c r="V78" s="63"/>
      <c r="W78" s="1434"/>
      <c r="X78" s="1536">
        <v>405</v>
      </c>
      <c r="Y78" s="1536"/>
      <c r="Z78" s="1536"/>
      <c r="AA78" s="1536"/>
      <c r="AB78" s="1536"/>
      <c r="AC78" s="1536">
        <v>156</v>
      </c>
    </row>
    <row r="79" spans="1:34" ht="27.95" customHeight="1">
      <c r="P79" s="1519" t="s">
        <v>138</v>
      </c>
      <c r="Q79" s="1434"/>
      <c r="R79" s="1434"/>
      <c r="S79" s="1434"/>
      <c r="T79" s="1434"/>
      <c r="U79" s="1434"/>
      <c r="V79" s="1434"/>
      <c r="W79" s="1434"/>
      <c r="X79" s="1434" t="s">
        <v>128</v>
      </c>
    </row>
    <row r="80" spans="1:34" ht="27.95" customHeight="1">
      <c r="Q80" s="1434"/>
      <c r="R80" s="1434"/>
      <c r="S80" s="1434"/>
      <c r="T80" s="1434"/>
      <c r="U80" s="1434"/>
      <c r="V80" s="1434"/>
      <c r="W80" s="1434"/>
    </row>
    <row r="81" spans="16:23" ht="27.95" customHeight="1">
      <c r="Q81" s="1434"/>
      <c r="R81" s="1434"/>
      <c r="S81" s="1434"/>
      <c r="T81" s="1434"/>
      <c r="U81" s="1434"/>
      <c r="V81" s="1434"/>
      <c r="W81" s="1434"/>
    </row>
    <row r="86" spans="16:23" ht="27.95" customHeight="1">
      <c r="P86" s="1431">
        <v>45</v>
      </c>
      <c r="Q86" s="1463">
        <v>173</v>
      </c>
    </row>
    <row r="88" spans="16:23" ht="27.95" customHeight="1">
      <c r="Q88" s="1433"/>
      <c r="R88" s="1433"/>
      <c r="S88" s="1433"/>
      <c r="T88" s="1433"/>
      <c r="U88" s="1434"/>
      <c r="V88" s="1434"/>
      <c r="W88" s="1434"/>
    </row>
    <row r="89" spans="16:23" ht="27.95" customHeight="1">
      <c r="Q89" s="1433"/>
      <c r="R89" s="1433"/>
      <c r="S89" s="1433"/>
      <c r="T89" s="1433"/>
      <c r="U89" s="1434"/>
      <c r="V89" s="1434"/>
      <c r="W89" s="1434"/>
    </row>
    <row r="90" spans="16:23" ht="27.95" customHeight="1">
      <c r="Q90" s="1433"/>
      <c r="R90" s="1433"/>
      <c r="S90" s="1433"/>
      <c r="T90" s="1433"/>
      <c r="U90" s="1434"/>
      <c r="V90" s="1434"/>
      <c r="W90" s="1434"/>
    </row>
    <row r="91" spans="16:23" ht="27.95" customHeight="1">
      <c r="Q91" s="1433"/>
      <c r="R91" s="1433"/>
      <c r="S91" s="1433"/>
      <c r="T91" s="1433"/>
      <c r="U91" s="1434"/>
      <c r="V91" s="1434"/>
      <c r="W91" s="1434"/>
    </row>
  </sheetData>
  <mergeCells count="113">
    <mergeCell ref="A76:B76"/>
    <mergeCell ref="A77:B77"/>
    <mergeCell ref="A78:B78"/>
    <mergeCell ref="P74:P75"/>
    <mergeCell ref="Q74:S74"/>
    <mergeCell ref="T74:T75"/>
    <mergeCell ref="U74:U75"/>
    <mergeCell ref="X74:AH74"/>
    <mergeCell ref="A75:B75"/>
    <mergeCell ref="F73:F74"/>
    <mergeCell ref="G73:G74"/>
    <mergeCell ref="H73:H74"/>
    <mergeCell ref="I73:J73"/>
    <mergeCell ref="K73:L73"/>
    <mergeCell ref="M73:M74"/>
    <mergeCell ref="A69:B69"/>
    <mergeCell ref="A70:B70"/>
    <mergeCell ref="A73:B74"/>
    <mergeCell ref="C73:C74"/>
    <mergeCell ref="D73:D74"/>
    <mergeCell ref="E73:E74"/>
    <mergeCell ref="A63:B63"/>
    <mergeCell ref="A64:B64"/>
    <mergeCell ref="A65:B65"/>
    <mergeCell ref="A66:B66"/>
    <mergeCell ref="A67:B67"/>
    <mergeCell ref="A68:B68"/>
    <mergeCell ref="A57:B57"/>
    <mergeCell ref="A58:B58"/>
    <mergeCell ref="A59:B59"/>
    <mergeCell ref="A60:B60"/>
    <mergeCell ref="A61:B61"/>
    <mergeCell ref="A62:B62"/>
    <mergeCell ref="A51:B51"/>
    <mergeCell ref="A52:B52"/>
    <mergeCell ref="A53:B53"/>
    <mergeCell ref="A54:B54"/>
    <mergeCell ref="A55:B55"/>
    <mergeCell ref="A56:B56"/>
    <mergeCell ref="K43:L43"/>
    <mergeCell ref="M43:M44"/>
    <mergeCell ref="P44:P52"/>
    <mergeCell ref="P42:Q43"/>
    <mergeCell ref="R42:T42"/>
    <mergeCell ref="U42:U43"/>
    <mergeCell ref="V42:V43"/>
    <mergeCell ref="W42:W43"/>
    <mergeCell ref="A43:B44"/>
    <mergeCell ref="C43:C44"/>
    <mergeCell ref="D43:D44"/>
    <mergeCell ref="E43:E44"/>
    <mergeCell ref="F43:F44"/>
    <mergeCell ref="A45:B45"/>
    <mergeCell ref="A46:B46"/>
    <mergeCell ref="A47:B47"/>
    <mergeCell ref="A48:B48"/>
    <mergeCell ref="A49:B49"/>
    <mergeCell ref="A50:B50"/>
    <mergeCell ref="G43:G44"/>
    <mergeCell ref="H43:H44"/>
    <mergeCell ref="I43:J43"/>
    <mergeCell ref="A35:B35"/>
    <mergeCell ref="A36:B36"/>
    <mergeCell ref="A37:B37"/>
    <mergeCell ref="A38:B38"/>
    <mergeCell ref="A39:B39"/>
    <mergeCell ref="A40:B40"/>
    <mergeCell ref="A29:B29"/>
    <mergeCell ref="A30:B30"/>
    <mergeCell ref="A31:B31"/>
    <mergeCell ref="A32:B32"/>
    <mergeCell ref="A33:B33"/>
    <mergeCell ref="A34:B34"/>
    <mergeCell ref="A23:B23"/>
    <mergeCell ref="A24:B24"/>
    <mergeCell ref="A25:B25"/>
    <mergeCell ref="A26:B26"/>
    <mergeCell ref="A27:B27"/>
    <mergeCell ref="A28:B28"/>
    <mergeCell ref="M16:M17"/>
    <mergeCell ref="A18:B18"/>
    <mergeCell ref="A19:B19"/>
    <mergeCell ref="A20:B20"/>
    <mergeCell ref="A21:B21"/>
    <mergeCell ref="A22:B22"/>
    <mergeCell ref="E16:E17"/>
    <mergeCell ref="F16:F17"/>
    <mergeCell ref="G16:G17"/>
    <mergeCell ref="H16:H17"/>
    <mergeCell ref="I16:J16"/>
    <mergeCell ref="K16:L16"/>
    <mergeCell ref="A11:B11"/>
    <mergeCell ref="A12:B12"/>
    <mergeCell ref="A13:B13"/>
    <mergeCell ref="A16:B17"/>
    <mergeCell ref="C16:C17"/>
    <mergeCell ref="D16:D17"/>
    <mergeCell ref="M4:M5"/>
    <mergeCell ref="A6:B6"/>
    <mergeCell ref="A7:B7"/>
    <mergeCell ref="A8:B8"/>
    <mergeCell ref="A9:B9"/>
    <mergeCell ref="A10:B10"/>
    <mergeCell ref="K3:L3"/>
    <mergeCell ref="A4:B5"/>
    <mergeCell ref="C4:C5"/>
    <mergeCell ref="D4:D5"/>
    <mergeCell ref="E4:E5"/>
    <mergeCell ref="F4:F5"/>
    <mergeCell ref="G4:G5"/>
    <mergeCell ref="H4:H5"/>
    <mergeCell ref="I4:J4"/>
    <mergeCell ref="K4:L4"/>
  </mergeCells>
  <phoneticPr fontId="3" type="noConversion"/>
  <printOptions horizontalCentered="1"/>
  <pageMargins left="0.70866141732283472" right="0.47244094488188981" top="0.78740157480314965" bottom="0.78740157480314965" header="0.39370078740157483" footer="0.39370078740157483"/>
  <pageSetup paperSize="9" scale="50" orientation="portrait" r:id="rId1"/>
  <headerFooter alignWithMargins="0"/>
  <rowBreaks count="1" manualBreakCount="1">
    <brk id="41" max="12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R325"/>
  <sheetViews>
    <sheetView view="pageBreakPreview" topLeftCell="A76" zoomScaleNormal="100" zoomScaleSheetLayoutView="100" workbookViewId="0">
      <selection activeCell="AH95" sqref="AH95"/>
    </sheetView>
  </sheetViews>
  <sheetFormatPr defaultRowHeight="21" customHeight="1" outlineLevelRow="1" outlineLevelCol="1"/>
  <cols>
    <col min="1" max="1" width="10.125" style="1258" customWidth="1"/>
    <col min="2" max="2" width="19.375" style="1258" customWidth="1"/>
    <col min="3" max="4" width="10.625" style="1375" hidden="1" customWidth="1" outlineLevel="1"/>
    <col min="5" max="5" width="10.625" style="1375" customWidth="1" collapsed="1"/>
    <col min="6" max="8" width="10.625" style="1375" hidden="1" customWidth="1" outlineLevel="1"/>
    <col min="9" max="9" width="10.625" style="1375" customWidth="1" collapsed="1"/>
    <col min="10" max="13" width="10.625" style="1375" hidden="1" customWidth="1" outlineLevel="1"/>
    <col min="14" max="14" width="10.625" style="1375" customWidth="1" collapsed="1"/>
    <col min="15" max="18" width="10.625" style="1375" hidden="1" customWidth="1" outlineLevel="1"/>
    <col min="19" max="19" width="10.625" style="1375" customWidth="1" collapsed="1"/>
    <col min="20" max="23" width="10.625" style="1375" hidden="1" customWidth="1" outlineLevel="1"/>
    <col min="24" max="24" width="10.625" style="1375" customWidth="1" collapsed="1"/>
    <col min="25" max="25" width="10.625" style="1257" customWidth="1"/>
    <col min="26" max="26" width="10.125" style="1257" customWidth="1"/>
    <col min="27" max="27" width="22.5" style="43" customWidth="1"/>
    <col min="28" max="29" width="10.625" style="1257" hidden="1" customWidth="1" outlineLevel="1"/>
    <col min="30" max="30" width="10.625" style="1257" customWidth="1" collapsed="1"/>
    <col min="31" max="33" width="10.625" style="1257" hidden="1" customWidth="1" outlineLevel="1"/>
    <col min="34" max="34" width="10.625" style="1257" customWidth="1" collapsed="1"/>
    <col min="35" max="38" width="10.625" style="1257" hidden="1" customWidth="1" outlineLevel="1"/>
    <col min="39" max="39" width="10.625" style="1257" customWidth="1" collapsed="1"/>
    <col min="40" max="43" width="10.625" style="1257" hidden="1" customWidth="1" outlineLevel="1"/>
    <col min="44" max="44" width="10.625" style="1257" customWidth="1" collapsed="1"/>
    <col min="45" max="48" width="10.625" style="1257" hidden="1" customWidth="1" outlineLevel="1"/>
    <col min="49" max="49" width="10.625" style="1257" customWidth="1" collapsed="1"/>
    <col min="50" max="51" width="10.625" style="1258" customWidth="1"/>
    <col min="52" max="52" width="3" style="1258" customWidth="1"/>
    <col min="53" max="56" width="0" style="1258" hidden="1" customWidth="1"/>
    <col min="57" max="59" width="9" style="1258"/>
    <col min="60" max="60" width="9.625" style="1258" bestFit="1" customWidth="1"/>
    <col min="61" max="62" width="20.25" style="1258" customWidth="1"/>
    <col min="63" max="63" width="7.375" style="1258" bestFit="1" customWidth="1"/>
    <col min="64" max="64" width="9.875" style="1258" bestFit="1" customWidth="1"/>
    <col min="65" max="70" width="9" style="1258"/>
    <col min="71" max="71" width="9.25" style="1258" bestFit="1" customWidth="1"/>
    <col min="72" max="72" width="15" style="1258" bestFit="1" customWidth="1"/>
    <col min="73" max="16384" width="9" style="1258"/>
  </cols>
  <sheetData>
    <row r="1" spans="1:64" ht="19.5" customHeight="1">
      <c r="A1" s="1253" t="s">
        <v>1505</v>
      </c>
      <c r="B1" s="1254"/>
      <c r="C1" s="1255"/>
      <c r="D1" s="1255"/>
      <c r="E1" s="1255"/>
      <c r="F1" s="1255"/>
      <c r="G1" s="1255"/>
      <c r="H1" s="1255"/>
      <c r="I1" s="1255"/>
      <c r="J1" s="1255"/>
      <c r="K1" s="1255"/>
      <c r="L1" s="1255"/>
      <c r="M1" s="1255"/>
      <c r="N1" s="1255"/>
      <c r="O1" s="1255"/>
      <c r="P1" s="1256"/>
      <c r="Q1" s="1255"/>
      <c r="R1" s="1255"/>
      <c r="S1" s="1255"/>
      <c r="T1" s="1255"/>
      <c r="U1" s="1256"/>
      <c r="V1" s="1256"/>
      <c r="W1" s="1256"/>
      <c r="X1" s="1256"/>
      <c r="Y1" s="1254"/>
      <c r="AZ1" s="1259"/>
    </row>
    <row r="2" spans="1:64" ht="19.5" customHeight="1">
      <c r="A2" s="1260" t="s">
        <v>69</v>
      </c>
      <c r="B2" s="1254"/>
      <c r="C2" s="1255"/>
      <c r="D2" s="1255"/>
      <c r="E2" s="1255"/>
      <c r="F2" s="1255"/>
      <c r="G2" s="1255"/>
      <c r="H2" s="1255"/>
      <c r="I2" s="1255"/>
      <c r="J2" s="1255"/>
      <c r="K2" s="1255"/>
      <c r="L2" s="1255"/>
      <c r="M2" s="1255"/>
      <c r="N2" s="1255"/>
      <c r="O2" s="1255"/>
      <c r="P2" s="1256"/>
      <c r="Q2" s="1255"/>
      <c r="R2" s="1255"/>
      <c r="S2" s="1255"/>
      <c r="T2" s="1255"/>
      <c r="U2" s="1256"/>
      <c r="V2" s="1256"/>
      <c r="W2" s="1256"/>
      <c r="X2" s="1256"/>
      <c r="Y2" s="1254"/>
      <c r="Z2" s="1260" t="s">
        <v>78</v>
      </c>
      <c r="AA2" s="1261"/>
      <c r="AB2" s="1262"/>
      <c r="AC2" s="1262"/>
      <c r="AD2" s="1262"/>
      <c r="AE2" s="1262"/>
      <c r="AF2" s="1262"/>
      <c r="AG2" s="1262"/>
      <c r="AH2" s="1262"/>
      <c r="AI2" s="1262"/>
      <c r="AJ2" s="1262"/>
      <c r="AK2" s="1262"/>
      <c r="AL2" s="1262"/>
      <c r="AM2" s="1262"/>
      <c r="AN2" s="1262"/>
      <c r="AO2" s="1262"/>
      <c r="AP2" s="1262"/>
      <c r="AQ2" s="1262"/>
      <c r="AR2" s="1262"/>
      <c r="AS2" s="1262"/>
      <c r="AT2" s="1262"/>
      <c r="AU2" s="1262"/>
      <c r="AV2" s="1262"/>
      <c r="AW2" s="1262"/>
      <c r="AX2" s="1263"/>
      <c r="AY2" s="1263"/>
    </row>
    <row r="3" spans="1:64" ht="20.100000000000001" customHeight="1">
      <c r="A3" s="2229" t="s">
        <v>1097</v>
      </c>
      <c r="B3" s="2230"/>
      <c r="C3" s="2231" t="e">
        <f>SUM(C34,C66,C95,C119,#REF!,#REF!,C137,C149,C167)</f>
        <v>#REF!</v>
      </c>
      <c r="D3" s="2231" t="e">
        <f>SUM(D34,D66,D95,D119,#REF!,#REF!,D137,D149,D167)</f>
        <v>#REF!</v>
      </c>
      <c r="E3" s="2231" t="e">
        <f>SUM(E34,E66,E95,E119,#REF!,#REF!,E137,E149,E167)</f>
        <v>#REF!</v>
      </c>
      <c r="F3" s="2231" t="e">
        <f>SUM(F34,F66,F95,F119,#REF!,#REF!,F137,F149,F167)</f>
        <v>#REF!</v>
      </c>
      <c r="G3" s="2231" t="e">
        <f>SUM(G34,G66,G95,G119,#REF!,#REF!,G137,G149,G167)</f>
        <v>#REF!</v>
      </c>
      <c r="H3" s="2231" t="e">
        <f>SUM(H34,H66,H95,H119,#REF!,#REF!,H137,H149,H167)</f>
        <v>#REF!</v>
      </c>
      <c r="I3" s="2231" t="e">
        <f>SUM(I34,I66,I95,I119,#REF!,#REF!,I137,I149,I167)</f>
        <v>#REF!</v>
      </c>
      <c r="J3" s="2231" t="e">
        <f>SUM(J34,J66,J95,J119,#REF!,#REF!,J137,J149,J167)</f>
        <v>#REF!</v>
      </c>
      <c r="K3" s="2231" t="e">
        <f>SUM(K34,K66,K95,K119,#REF!,#REF!,K137,K149,K167)</f>
        <v>#REF!</v>
      </c>
      <c r="L3" s="2231" t="e">
        <f>SUM(L34,L66,L95,L119,#REF!,#REF!,L137,L149,L167)</f>
        <v>#REF!</v>
      </c>
      <c r="M3" s="2231" t="e">
        <f>SUM(M34,M66,M95,M119,#REF!,#REF!,M137,M149,M167)</f>
        <v>#REF!</v>
      </c>
      <c r="N3" s="2231" t="e">
        <f>SUM(N34,N66,N95,N119,#REF!,#REF!,N137,N149,N167)</f>
        <v>#REF!</v>
      </c>
      <c r="O3" s="2231" t="e">
        <f>SUM(O34,O66,O95,O119,#REF!,#REF!,O137,O149,O167)</f>
        <v>#REF!</v>
      </c>
      <c r="P3" s="2231" t="e">
        <f>SUM(P34,P66,P95,P119,#REF!,#REF!,P137,P149,P167)</f>
        <v>#REF!</v>
      </c>
      <c r="Q3" s="2231" t="e">
        <f>SUM(Q34,Q66,Q95,Q119,#REF!,#REF!,Q137,Q149,Q167)</f>
        <v>#REF!</v>
      </c>
      <c r="R3" s="2231" t="e">
        <f>SUM(R34,R66,R95,R119,#REF!,#REF!,R137,R149,R167)</f>
        <v>#REF!</v>
      </c>
      <c r="S3" s="2231" t="e">
        <f>SUM(S34,S66,S95,S119,#REF!,#REF!,S137,S149,S167)</f>
        <v>#REF!</v>
      </c>
      <c r="T3" s="2231" t="e">
        <f>SUM(T34,T66,T95,T119,#REF!,#REF!,T137,T149,T167)</f>
        <v>#REF!</v>
      </c>
      <c r="U3" s="2231" t="e">
        <f>SUM(U34,U66,U95,U119,#REF!,#REF!,U137,U149,U167)</f>
        <v>#REF!</v>
      </c>
      <c r="V3" s="2231" t="e">
        <f>SUM(V34,V66,V95,V119,#REF!,#REF!,V137,V149,V167)</f>
        <v>#REF!</v>
      </c>
      <c r="W3" s="2231" t="e">
        <f>SUM(W34,W66,W95,W119,#REF!,#REF!,W137,W149,W167)</f>
        <v>#REF!</v>
      </c>
      <c r="X3" s="2231" t="e">
        <f>SUM(X34,X66,X95,X119,#REF!,#REF!,X137,X149,X167)</f>
        <v>#REF!</v>
      </c>
      <c r="Y3" s="1334" t="s">
        <v>76</v>
      </c>
      <c r="Z3" s="1264" t="s">
        <v>1097</v>
      </c>
      <c r="AA3" s="1267"/>
      <c r="AB3" s="1265" t="e">
        <f>SUM(AB34,AB66,AB95,AB119,#REF!,#REF!,AB137,AB149,AB167)</f>
        <v>#REF!</v>
      </c>
      <c r="AC3" s="1265" t="e">
        <f>SUM(AC34,AC66,AC95,AC119,#REF!,#REF!,AC137,AC149,AC167)</f>
        <v>#REF!</v>
      </c>
      <c r="AD3" s="1265" t="e">
        <f>SUM(AD34,AD66,AD95,AD119,#REF!,#REF!,AD137,AD149,AD167)</f>
        <v>#REF!</v>
      </c>
      <c r="AE3" s="1265" t="e">
        <f>SUM(AE34,AE66,AE95,AE119,#REF!,#REF!,AE137,AE149,AE167)</f>
        <v>#REF!</v>
      </c>
      <c r="AF3" s="1265" t="e">
        <f>SUM(AF34,AF66,AF95,AF119,#REF!,#REF!,AF137,AF149,AF167)</f>
        <v>#REF!</v>
      </c>
      <c r="AG3" s="1265" t="e">
        <f>SUM(AG34,AG66,AG95,AG119,#REF!,#REF!,AG137,AG149,AG167)</f>
        <v>#REF!</v>
      </c>
      <c r="AH3" s="1265" t="e">
        <f>SUM(AH34,AH66,AH95,AH119,#REF!,#REF!,AH137,AH149,AH167)</f>
        <v>#REF!</v>
      </c>
      <c r="AI3" s="1265" t="e">
        <f>SUM(AI34,AI66,AI95,AI119,#REF!,#REF!,AI137,AI149,AI167)</f>
        <v>#REF!</v>
      </c>
      <c r="AJ3" s="1265" t="e">
        <f>SUM(AJ34,AJ66,AJ95,AJ119,#REF!,#REF!,AJ137,AJ149,AJ167)</f>
        <v>#REF!</v>
      </c>
      <c r="AK3" s="1265" t="e">
        <f>SUM(AK34,AK66,AK95,AK119,#REF!,#REF!,AK137,AK149,AK167)</f>
        <v>#REF!</v>
      </c>
      <c r="AL3" s="1265" t="e">
        <f>SUM(AL34,AL66,AL95,AL119,#REF!,#REF!,AL137,AL149,AL167)</f>
        <v>#REF!</v>
      </c>
      <c r="AM3" s="1265" t="e">
        <f>SUM(AM34,AM66,AM95,AM119,#REF!,#REF!,AM137,AM149,AM167)</f>
        <v>#REF!</v>
      </c>
      <c r="AN3" s="1265" t="e">
        <f>SUM(AN34,AN66,AN95,AN119,#REF!,#REF!,AN137,AN149,AN167)</f>
        <v>#REF!</v>
      </c>
      <c r="AO3" s="1265" t="e">
        <f>SUM(AO34,AO66,AO95,AO119,#REF!,#REF!,AO137,AO149,AO167)</f>
        <v>#REF!</v>
      </c>
      <c r="AP3" s="1265" t="e">
        <f>SUM(AP34,AP66,AP95,AP119,#REF!,#REF!,AP137,AP149,AP167)</f>
        <v>#REF!</v>
      </c>
      <c r="AQ3" s="1265" t="e">
        <f>SUM(AQ34,AQ66,AQ95,AQ119,#REF!,#REF!,AQ137,AQ149,AQ167)</f>
        <v>#REF!</v>
      </c>
      <c r="AR3" s="1265" t="e">
        <f>SUM(AR34,AR66,AR95,AR119,#REF!,#REF!,AR137,AR149,AR167)</f>
        <v>#REF!</v>
      </c>
      <c r="AS3" s="1265" t="e">
        <f>SUM(AS34,AS66,AS95,AS119,#REF!,#REF!,AS137,AS149,AS167)</f>
        <v>#REF!</v>
      </c>
      <c r="AT3" s="1265" t="e">
        <f>SUM(AT34,AT66,AT95,AT119,#REF!,#REF!,AT137,AT149,AT167)</f>
        <v>#REF!</v>
      </c>
      <c r="AU3" s="1265" t="e">
        <f>SUM(AU34,AU66,AU95,AU119,#REF!,#REF!,AU137,AU149,AU167)</f>
        <v>#REF!</v>
      </c>
      <c r="AV3" s="1265" t="e">
        <f>SUM(AV34,AV66,AV95,AV119,#REF!,#REF!,AV137,AV149,AV167)</f>
        <v>#REF!</v>
      </c>
      <c r="AW3" s="1265" t="e">
        <f>SUM(AW34,AW66,AW95,AW119,#REF!,#REF!,AW137,AW149,AW167)</f>
        <v>#REF!</v>
      </c>
      <c r="AX3" s="1266" t="s">
        <v>76</v>
      </c>
      <c r="AY3" s="1266"/>
      <c r="BJ3" s="1258" t="s">
        <v>1157</v>
      </c>
    </row>
    <row r="4" spans="1:64" ht="20.100000000000001" customHeight="1">
      <c r="A4" s="1268" t="s">
        <v>77</v>
      </c>
      <c r="B4" s="1269"/>
      <c r="C4" s="1270">
        <v>2014</v>
      </c>
      <c r="D4" s="1270">
        <v>2015</v>
      </c>
      <c r="E4" s="1270">
        <v>2016</v>
      </c>
      <c r="F4" s="1270">
        <v>2017</v>
      </c>
      <c r="G4" s="1270">
        <v>2018</v>
      </c>
      <c r="H4" s="1270">
        <v>2019</v>
      </c>
      <c r="I4" s="1270">
        <v>2020</v>
      </c>
      <c r="J4" s="1270">
        <v>2021</v>
      </c>
      <c r="K4" s="1270">
        <v>2022</v>
      </c>
      <c r="L4" s="1270">
        <v>2023</v>
      </c>
      <c r="M4" s="1270">
        <v>2024</v>
      </c>
      <c r="N4" s="1270">
        <v>2025</v>
      </c>
      <c r="O4" s="1270">
        <v>2026</v>
      </c>
      <c r="P4" s="1270">
        <v>2027</v>
      </c>
      <c r="Q4" s="1270">
        <v>2028</v>
      </c>
      <c r="R4" s="1270">
        <v>2029</v>
      </c>
      <c r="S4" s="1270">
        <v>2030</v>
      </c>
      <c r="T4" s="1270">
        <v>2031</v>
      </c>
      <c r="U4" s="1270">
        <v>2032</v>
      </c>
      <c r="V4" s="1270">
        <v>2033</v>
      </c>
      <c r="W4" s="1270">
        <v>2034</v>
      </c>
      <c r="X4" s="1270">
        <v>2035</v>
      </c>
      <c r="Y4" s="1271" t="s">
        <v>60</v>
      </c>
      <c r="Z4" s="1268" t="s">
        <v>77</v>
      </c>
      <c r="AA4" s="1269"/>
      <c r="AB4" s="1270">
        <v>2014</v>
      </c>
      <c r="AC4" s="1270">
        <v>2015</v>
      </c>
      <c r="AD4" s="1270">
        <v>2016</v>
      </c>
      <c r="AE4" s="1270">
        <v>2017</v>
      </c>
      <c r="AF4" s="1270">
        <v>2018</v>
      </c>
      <c r="AG4" s="1270">
        <v>2019</v>
      </c>
      <c r="AH4" s="1270">
        <v>2020</v>
      </c>
      <c r="AI4" s="1270">
        <v>2021</v>
      </c>
      <c r="AJ4" s="1270">
        <v>2022</v>
      </c>
      <c r="AK4" s="1270">
        <v>2023</v>
      </c>
      <c r="AL4" s="1270">
        <v>2024</v>
      </c>
      <c r="AM4" s="1270">
        <v>2025</v>
      </c>
      <c r="AN4" s="1270">
        <v>2026</v>
      </c>
      <c r="AO4" s="1270">
        <v>2027</v>
      </c>
      <c r="AP4" s="1270">
        <v>2028</v>
      </c>
      <c r="AQ4" s="1270">
        <v>2029</v>
      </c>
      <c r="AR4" s="1270">
        <v>2030</v>
      </c>
      <c r="AS4" s="1270">
        <v>2031</v>
      </c>
      <c r="AT4" s="1270">
        <v>2032</v>
      </c>
      <c r="AU4" s="1270">
        <v>2033</v>
      </c>
      <c r="AV4" s="1270">
        <v>2034</v>
      </c>
      <c r="AW4" s="1270">
        <v>2035</v>
      </c>
      <c r="AX4" s="1271" t="s">
        <v>97</v>
      </c>
      <c r="AY4" s="1272"/>
      <c r="BE4" s="1273" t="s">
        <v>1318</v>
      </c>
      <c r="BH4" s="1258" t="s">
        <v>1341</v>
      </c>
      <c r="BI4" s="1258" t="s">
        <v>1153</v>
      </c>
      <c r="BJ4" s="1258">
        <v>60</v>
      </c>
    </row>
    <row r="5" spans="1:64" ht="20.100000000000001" customHeight="1">
      <c r="A5" s="2431" t="s">
        <v>95</v>
      </c>
      <c r="B5" s="1957" t="str">
        <f>'1.4.3개발계획현황'!A22</f>
        <v>지평더웰2차</v>
      </c>
      <c r="C5" s="1958">
        <f>IF(C$4='1.4.3개발계획현황'!$K22,'1.4.3개발계획현황'!$AA22,0)</f>
        <v>0</v>
      </c>
      <c r="D5" s="1958">
        <f>IF(D$4='1.4.3개발계획현황'!$K22,'1.4.3개발계획현황'!$AA22,C5)</f>
        <v>0</v>
      </c>
      <c r="E5" s="1958">
        <f>IF(E$4='1.4.3개발계획현황'!$K22,'1.4.3개발계획현황'!$AA22,D5)</f>
        <v>0</v>
      </c>
      <c r="F5" s="1958">
        <f>IF(F$4='1.4.3개발계획현황'!$K22,'1.4.3개발계획현황'!$AA22,E5)</f>
        <v>313</v>
      </c>
      <c r="G5" s="1958">
        <f>IF(G$4='1.4.3개발계획현황'!$K22,'1.4.3개발계획현황'!$AA22,F5)</f>
        <v>313</v>
      </c>
      <c r="H5" s="1958">
        <f>IF(H$4='1.4.3개발계획현황'!$K22,'1.4.3개발계획현황'!$AA22,G5)</f>
        <v>313</v>
      </c>
      <c r="I5" s="1958">
        <f>IF(I$4='1.4.3개발계획현황'!$K22,'1.4.3개발계획현황'!$AA22,H5)</f>
        <v>313</v>
      </c>
      <c r="J5" s="1958">
        <f>IF(J$4='1.4.3개발계획현황'!$K22,'1.4.3개발계획현황'!$AA22,I5)</f>
        <v>313</v>
      </c>
      <c r="K5" s="1958">
        <f>IF(K$4='1.4.3개발계획현황'!$K22,'1.4.3개발계획현황'!$AA22,J5)</f>
        <v>313</v>
      </c>
      <c r="L5" s="1958">
        <f>IF(L$4='1.4.3개발계획현황'!$K22,'1.4.3개발계획현황'!$AA22,K5)</f>
        <v>313</v>
      </c>
      <c r="M5" s="1958">
        <f>IF(M$4='1.4.3개발계획현황'!$K22,'1.4.3개발계획현황'!$AA22,L5)</f>
        <v>313</v>
      </c>
      <c r="N5" s="1958">
        <f>IF(N$4='1.4.3개발계획현황'!$K22,'1.4.3개발계획현황'!$AA22,M5)</f>
        <v>313</v>
      </c>
      <c r="O5" s="1958">
        <f>IF(O$4='1.4.3개발계획현황'!$K22,'1.4.3개발계획현황'!$AA22,N5)</f>
        <v>313</v>
      </c>
      <c r="P5" s="1958">
        <f>IF(P$4='1.4.3개발계획현황'!$K22,'1.4.3개발계획현황'!$AA22,O5)</f>
        <v>313</v>
      </c>
      <c r="Q5" s="1958">
        <f>IF(Q$4='1.4.3개발계획현황'!$K22,'1.4.3개발계획현황'!$AA22,P5)</f>
        <v>313</v>
      </c>
      <c r="R5" s="1958">
        <f>IF(R$4='1.4.3개발계획현황'!$K22,'1.4.3개발계획현황'!$AA22,Q5)</f>
        <v>313</v>
      </c>
      <c r="S5" s="1958">
        <f>IF(S$4='1.4.3개발계획현황'!$K22,'1.4.3개발계획현황'!$AA22,R5)</f>
        <v>313</v>
      </c>
      <c r="T5" s="1958">
        <f>IF(T$4='1.4.3개발계획현황'!$K22,'1.4.3개발계획현황'!$AA22,S5)</f>
        <v>313</v>
      </c>
      <c r="U5" s="1958">
        <f>IF(U$4='1.4.3개발계획현황'!$K22,'1.4.3개발계획현황'!$AA22,T5)</f>
        <v>313</v>
      </c>
      <c r="V5" s="1958">
        <f>IF(V$4='1.4.3개발계획현황'!$K22,'1.4.3개발계획현황'!$AA22,U5)</f>
        <v>313</v>
      </c>
      <c r="W5" s="1958">
        <f>IF(W$4='1.4.3개발계획현황'!$K22,'1.4.3개발계획현황'!$AA22,V5)</f>
        <v>313</v>
      </c>
      <c r="X5" s="1958">
        <f>IF(X$4='1.4.3개발계획현황'!$K22,'1.4.3개발계획현황'!$AA22,W5)</f>
        <v>313</v>
      </c>
      <c r="Y5" s="1276"/>
      <c r="Z5" s="2431" t="str">
        <f>A5</f>
        <v>공동주택
건설사업</v>
      </c>
      <c r="AA5" s="1967" t="str">
        <f>B5</f>
        <v>지평더웰2차</v>
      </c>
      <c r="AB5" s="1974">
        <f t="shared" ref="AB5:AK10" si="0">ROUND(C5*$AX5,0)</f>
        <v>0</v>
      </c>
      <c r="AC5" s="1974">
        <f t="shared" si="0"/>
        <v>0</v>
      </c>
      <c r="AD5" s="1974">
        <f t="shared" si="0"/>
        <v>0</v>
      </c>
      <c r="AE5" s="1974">
        <f t="shared" si="0"/>
        <v>125</v>
      </c>
      <c r="AF5" s="1974">
        <f t="shared" si="0"/>
        <v>125</v>
      </c>
      <c r="AG5" s="1974">
        <f t="shared" si="0"/>
        <v>125</v>
      </c>
      <c r="AH5" s="1974">
        <f t="shared" si="0"/>
        <v>125</v>
      </c>
      <c r="AI5" s="1974">
        <f t="shared" si="0"/>
        <v>125</v>
      </c>
      <c r="AJ5" s="1974">
        <f t="shared" si="0"/>
        <v>125</v>
      </c>
      <c r="AK5" s="1974">
        <f t="shared" si="0"/>
        <v>125</v>
      </c>
      <c r="AL5" s="1974">
        <f t="shared" ref="AL5:AU10" si="1">ROUND(M5*$AX5,0)</f>
        <v>125</v>
      </c>
      <c r="AM5" s="1974">
        <f t="shared" si="1"/>
        <v>125</v>
      </c>
      <c r="AN5" s="1974">
        <f t="shared" si="1"/>
        <v>125</v>
      </c>
      <c r="AO5" s="1974">
        <f t="shared" si="1"/>
        <v>125</v>
      </c>
      <c r="AP5" s="1974">
        <f t="shared" si="1"/>
        <v>125</v>
      </c>
      <c r="AQ5" s="1974">
        <f t="shared" si="1"/>
        <v>125</v>
      </c>
      <c r="AR5" s="1974">
        <f t="shared" si="1"/>
        <v>125</v>
      </c>
      <c r="AS5" s="1974">
        <f t="shared" si="1"/>
        <v>125</v>
      </c>
      <c r="AT5" s="1974">
        <f t="shared" si="1"/>
        <v>125</v>
      </c>
      <c r="AU5" s="1974">
        <f t="shared" si="1"/>
        <v>125</v>
      </c>
      <c r="AV5" s="1974">
        <f t="shared" ref="AV5:AW10" si="2">ROUND(W5*$AX5,0)</f>
        <v>125</v>
      </c>
      <c r="AW5" s="1974">
        <f t="shared" si="2"/>
        <v>125</v>
      </c>
      <c r="AX5" s="1277">
        <v>0.4</v>
      </c>
      <c r="AY5" s="1278">
        <f t="shared" ref="AY5:AY10" si="3">ROUND(X5*0.22,0)</f>
        <v>69</v>
      </c>
      <c r="AZ5" s="1273"/>
      <c r="BE5" s="1273"/>
      <c r="BF5" s="1273"/>
      <c r="BG5" s="1273"/>
      <c r="BI5" s="1258" t="s">
        <v>1154</v>
      </c>
      <c r="BJ5" s="1258">
        <v>70</v>
      </c>
    </row>
    <row r="6" spans="1:64" ht="20.100000000000001" customHeight="1">
      <c r="A6" s="2431"/>
      <c r="B6" s="1957" t="str">
        <f>'1.4.3개발계획현황'!A24</f>
        <v>미소건설</v>
      </c>
      <c r="C6" s="1958">
        <f>IF(C$4='1.4.3개발계획현황'!$K24,'1.4.3개발계획현황'!$AA24,0)</f>
        <v>0</v>
      </c>
      <c r="D6" s="1958">
        <f>IF(D$4='1.4.3개발계획현황'!$K24,'1.4.3개발계획현황'!$AA24,C6)</f>
        <v>0</v>
      </c>
      <c r="E6" s="1958">
        <f>IF(E$4='1.4.3개발계획현황'!$K24,'1.4.3개발계획현황'!$AA24,D6)</f>
        <v>0</v>
      </c>
      <c r="F6" s="1958">
        <f>IF(F$4='1.4.3개발계획현황'!$K24,'1.4.3개발계획현황'!$AA24,E6)</f>
        <v>115</v>
      </c>
      <c r="G6" s="1958">
        <f>IF(G$4='1.4.3개발계획현황'!$K24,'1.4.3개발계획현황'!$AA24,F6)</f>
        <v>115</v>
      </c>
      <c r="H6" s="1958">
        <f>IF(H$4='1.4.3개발계획현황'!$K24,'1.4.3개발계획현황'!$AA24,G6)</f>
        <v>115</v>
      </c>
      <c r="I6" s="1958">
        <f>IF(I$4='1.4.3개발계획현황'!$K24,'1.4.3개발계획현황'!$AA24,H6)</f>
        <v>115</v>
      </c>
      <c r="J6" s="1958">
        <f>IF(J$4='1.4.3개발계획현황'!$K24,'1.4.3개발계획현황'!$AA24,I6)</f>
        <v>115</v>
      </c>
      <c r="K6" s="1958">
        <f>IF(K$4='1.4.3개발계획현황'!$K24,'1.4.3개발계획현황'!$AA24,J6)</f>
        <v>115</v>
      </c>
      <c r="L6" s="1958">
        <f>IF(L$4='1.4.3개발계획현황'!$K24,'1.4.3개발계획현황'!$AA24,K6)</f>
        <v>115</v>
      </c>
      <c r="M6" s="1958">
        <f>IF(M$4='1.4.3개발계획현황'!$K24,'1.4.3개발계획현황'!$AA24,L6)</f>
        <v>115</v>
      </c>
      <c r="N6" s="1958">
        <f>IF(N$4='1.4.3개발계획현황'!$K24,'1.4.3개발계획현황'!$AA24,M6)</f>
        <v>115</v>
      </c>
      <c r="O6" s="1958">
        <f>IF(O$4='1.4.3개발계획현황'!$K24,'1.4.3개발계획현황'!$AA24,N6)</f>
        <v>115</v>
      </c>
      <c r="P6" s="1958">
        <f>IF(P$4='1.4.3개발계획현황'!$K24,'1.4.3개발계획현황'!$AA24,O6)</f>
        <v>115</v>
      </c>
      <c r="Q6" s="1958">
        <f>IF(Q$4='1.4.3개발계획현황'!$K24,'1.4.3개발계획현황'!$AA24,P6)</f>
        <v>115</v>
      </c>
      <c r="R6" s="1958">
        <f>IF(R$4='1.4.3개발계획현황'!$K24,'1.4.3개발계획현황'!$AA24,Q6)</f>
        <v>115</v>
      </c>
      <c r="S6" s="1958">
        <f>IF(S$4='1.4.3개발계획현황'!$K24,'1.4.3개발계획현황'!$AA24,R6)</f>
        <v>115</v>
      </c>
      <c r="T6" s="1958">
        <f>IF(T$4='1.4.3개발계획현황'!$K24,'1.4.3개발계획현황'!$AA24,S6)</f>
        <v>115</v>
      </c>
      <c r="U6" s="1958">
        <f>IF(U$4='1.4.3개발계획현황'!$K24,'1.4.3개발계획현황'!$AA24,T6)</f>
        <v>115</v>
      </c>
      <c r="V6" s="1958">
        <f>IF(V$4='1.4.3개발계획현황'!$K24,'1.4.3개발계획현황'!$AA24,U6)</f>
        <v>115</v>
      </c>
      <c r="W6" s="1958">
        <f>IF(W$4='1.4.3개발계획현황'!$K24,'1.4.3개발계획현황'!$AA24,V6)</f>
        <v>115</v>
      </c>
      <c r="X6" s="1958">
        <f>IF(X$4='1.4.3개발계획현황'!$K24,'1.4.3개발계획현황'!$AA24,W6)</f>
        <v>115</v>
      </c>
      <c r="Y6" s="1276"/>
      <c r="Z6" s="2431"/>
      <c r="AA6" s="1967" t="str">
        <f>B6</f>
        <v>미소건설</v>
      </c>
      <c r="AB6" s="1974">
        <f t="shared" si="0"/>
        <v>0</v>
      </c>
      <c r="AC6" s="1974">
        <f t="shared" si="0"/>
        <v>0</v>
      </c>
      <c r="AD6" s="1974">
        <f t="shared" si="0"/>
        <v>0</v>
      </c>
      <c r="AE6" s="1974">
        <f t="shared" si="0"/>
        <v>46</v>
      </c>
      <c r="AF6" s="1974">
        <f t="shared" si="0"/>
        <v>46</v>
      </c>
      <c r="AG6" s="1974">
        <f t="shared" si="0"/>
        <v>46</v>
      </c>
      <c r="AH6" s="1974">
        <f t="shared" si="0"/>
        <v>46</v>
      </c>
      <c r="AI6" s="1974">
        <f t="shared" si="0"/>
        <v>46</v>
      </c>
      <c r="AJ6" s="1974">
        <f t="shared" si="0"/>
        <v>46</v>
      </c>
      <c r="AK6" s="1974">
        <f t="shared" si="0"/>
        <v>46</v>
      </c>
      <c r="AL6" s="1974">
        <f t="shared" si="1"/>
        <v>46</v>
      </c>
      <c r="AM6" s="1974">
        <f t="shared" si="1"/>
        <v>46</v>
      </c>
      <c r="AN6" s="1974">
        <f t="shared" si="1"/>
        <v>46</v>
      </c>
      <c r="AO6" s="1974">
        <f t="shared" si="1"/>
        <v>46</v>
      </c>
      <c r="AP6" s="1974">
        <f t="shared" si="1"/>
        <v>46</v>
      </c>
      <c r="AQ6" s="1974">
        <f t="shared" si="1"/>
        <v>46</v>
      </c>
      <c r="AR6" s="1974">
        <f t="shared" si="1"/>
        <v>46</v>
      </c>
      <c r="AS6" s="1974">
        <f t="shared" si="1"/>
        <v>46</v>
      </c>
      <c r="AT6" s="1974">
        <f t="shared" si="1"/>
        <v>46</v>
      </c>
      <c r="AU6" s="1974">
        <f t="shared" si="1"/>
        <v>46</v>
      </c>
      <c r="AV6" s="1974">
        <f t="shared" si="2"/>
        <v>46</v>
      </c>
      <c r="AW6" s="1974">
        <f t="shared" si="2"/>
        <v>46</v>
      </c>
      <c r="AX6" s="1277">
        <v>0.4</v>
      </c>
      <c r="AY6" s="1278">
        <f t="shared" si="3"/>
        <v>25</v>
      </c>
      <c r="BI6" s="1258" t="s">
        <v>1155</v>
      </c>
      <c r="BJ6" s="1258">
        <v>45</v>
      </c>
    </row>
    <row r="7" spans="1:64" ht="20.100000000000001" customHeight="1">
      <c r="A7" s="2431"/>
      <c r="B7" s="1957" t="str">
        <f>'1.4.3개발계획현황'!A25</f>
        <v>㈜송정건설</v>
      </c>
      <c r="C7" s="1958">
        <f>IF(C$4='1.4.3개발계획현황'!$K25,'1.4.3개발계획현황'!$AA25,0)</f>
        <v>0</v>
      </c>
      <c r="D7" s="1958">
        <f>IF(D$4='1.4.3개발계획현황'!$K25,'1.4.3개발계획현황'!$AA25,C7)</f>
        <v>0</v>
      </c>
      <c r="E7" s="1958">
        <f>IF(E$4='1.4.3개발계획현황'!$K25,'1.4.3개발계획현황'!$AA25,D7)</f>
        <v>0</v>
      </c>
      <c r="F7" s="1958">
        <f>IF(F$4='1.4.3개발계획현황'!$K25,'1.4.3개발계획현황'!$AA25,E7)</f>
        <v>0</v>
      </c>
      <c r="G7" s="1958">
        <f>IF(G$4='1.4.3개발계획현황'!$K25,'1.4.3개발계획현황'!$AA25,F7)</f>
        <v>359</v>
      </c>
      <c r="H7" s="1958">
        <f>IF(H$4='1.4.3개발계획현황'!$K25,'1.4.3개발계획현황'!$AA25,G7)</f>
        <v>359</v>
      </c>
      <c r="I7" s="1958">
        <f>IF(I$4='1.4.3개발계획현황'!$K25,'1.4.3개발계획현황'!$AA25,H7)</f>
        <v>359</v>
      </c>
      <c r="J7" s="1958">
        <f>IF(J$4='1.4.3개발계획현황'!$K25,'1.4.3개발계획현황'!$AA25,I7)</f>
        <v>359</v>
      </c>
      <c r="K7" s="1958">
        <f>IF(K$4='1.4.3개발계획현황'!$K25,'1.4.3개발계획현황'!$AA25,J7)</f>
        <v>359</v>
      </c>
      <c r="L7" s="1958">
        <f>IF(L$4='1.4.3개발계획현황'!$K25,'1.4.3개발계획현황'!$AA25,K7)</f>
        <v>359</v>
      </c>
      <c r="M7" s="1958">
        <f>IF(M$4='1.4.3개발계획현황'!$K25,'1.4.3개발계획현황'!$AA25,L7)</f>
        <v>359</v>
      </c>
      <c r="N7" s="1958">
        <f>IF(N$4='1.4.3개발계획현황'!$K25,'1.4.3개발계획현황'!$AA25,M7)</f>
        <v>359</v>
      </c>
      <c r="O7" s="1958">
        <f>IF(O$4='1.4.3개발계획현황'!$K25,'1.4.3개발계획현황'!$AA25,N7)</f>
        <v>359</v>
      </c>
      <c r="P7" s="1958">
        <f>IF(P$4='1.4.3개발계획현황'!$K25,'1.4.3개발계획현황'!$AA25,O7)</f>
        <v>359</v>
      </c>
      <c r="Q7" s="1958">
        <f>IF(Q$4='1.4.3개발계획현황'!$K25,'1.4.3개발계획현황'!$AA25,P7)</f>
        <v>359</v>
      </c>
      <c r="R7" s="1958">
        <f>IF(R$4='1.4.3개발계획현황'!$K25,'1.4.3개발계획현황'!$AA25,Q7)</f>
        <v>359</v>
      </c>
      <c r="S7" s="1958">
        <f>IF(S$4='1.4.3개발계획현황'!$K25,'1.4.3개발계획현황'!$AA25,R7)</f>
        <v>359</v>
      </c>
      <c r="T7" s="1958">
        <f>IF(T$4='1.4.3개발계획현황'!$K25,'1.4.3개발계획현황'!$AA25,S7)</f>
        <v>359</v>
      </c>
      <c r="U7" s="1958">
        <f>IF(U$4='1.4.3개발계획현황'!$K25,'1.4.3개발계획현황'!$AA25,T7)</f>
        <v>359</v>
      </c>
      <c r="V7" s="1958">
        <f>IF(V$4='1.4.3개발계획현황'!$K25,'1.4.3개발계획현황'!$AA25,U7)</f>
        <v>359</v>
      </c>
      <c r="W7" s="1958">
        <f>IF(W$4='1.4.3개발계획현황'!$K25,'1.4.3개발계획현황'!$AA25,V7)</f>
        <v>359</v>
      </c>
      <c r="X7" s="1958">
        <f>IF(X$4='1.4.3개발계획현황'!$K25,'1.4.3개발계획현황'!$AA25,W7)</f>
        <v>359</v>
      </c>
      <c r="Y7" s="1276"/>
      <c r="Z7" s="2431"/>
      <c r="AA7" s="1967" t="str">
        <f>B7</f>
        <v>㈜송정건설</v>
      </c>
      <c r="AB7" s="1974">
        <f t="shared" si="0"/>
        <v>0</v>
      </c>
      <c r="AC7" s="1974">
        <f t="shared" si="0"/>
        <v>0</v>
      </c>
      <c r="AD7" s="1974">
        <f t="shared" si="0"/>
        <v>0</v>
      </c>
      <c r="AE7" s="1974">
        <f t="shared" si="0"/>
        <v>0</v>
      </c>
      <c r="AF7" s="1974">
        <f t="shared" si="0"/>
        <v>144</v>
      </c>
      <c r="AG7" s="1974">
        <f t="shared" si="0"/>
        <v>144</v>
      </c>
      <c r="AH7" s="1974">
        <f t="shared" si="0"/>
        <v>144</v>
      </c>
      <c r="AI7" s="1974">
        <f t="shared" si="0"/>
        <v>144</v>
      </c>
      <c r="AJ7" s="1974">
        <f t="shared" si="0"/>
        <v>144</v>
      </c>
      <c r="AK7" s="1974">
        <f t="shared" si="0"/>
        <v>144</v>
      </c>
      <c r="AL7" s="1974">
        <f t="shared" si="1"/>
        <v>144</v>
      </c>
      <c r="AM7" s="1974">
        <f t="shared" si="1"/>
        <v>144</v>
      </c>
      <c r="AN7" s="1974">
        <f t="shared" si="1"/>
        <v>144</v>
      </c>
      <c r="AO7" s="1974">
        <f t="shared" si="1"/>
        <v>144</v>
      </c>
      <c r="AP7" s="1974">
        <f t="shared" si="1"/>
        <v>144</v>
      </c>
      <c r="AQ7" s="1974">
        <f t="shared" si="1"/>
        <v>144</v>
      </c>
      <c r="AR7" s="1974">
        <f t="shared" si="1"/>
        <v>144</v>
      </c>
      <c r="AS7" s="1974">
        <f t="shared" si="1"/>
        <v>144</v>
      </c>
      <c r="AT7" s="1974">
        <f t="shared" si="1"/>
        <v>144</v>
      </c>
      <c r="AU7" s="1974">
        <f t="shared" si="1"/>
        <v>144</v>
      </c>
      <c r="AV7" s="1974">
        <f t="shared" si="2"/>
        <v>144</v>
      </c>
      <c r="AW7" s="1974">
        <f t="shared" si="2"/>
        <v>144</v>
      </c>
      <c r="AX7" s="1277">
        <v>0.4</v>
      </c>
      <c r="AY7" s="1278">
        <f t="shared" si="3"/>
        <v>79</v>
      </c>
      <c r="BI7" s="1258" t="s">
        <v>1156</v>
      </c>
      <c r="BJ7" s="1258">
        <v>7.8</v>
      </c>
    </row>
    <row r="8" spans="1:64" ht="20.100000000000001" customHeight="1">
      <c r="A8" s="2431"/>
      <c r="B8" s="1957" t="str">
        <f>'1.4.3개발계획현황'!A26</f>
        <v>㈜씨제이산업개발</v>
      </c>
      <c r="C8" s="1958">
        <f>IF(C$4='1.4.3개발계획현황'!$K26,'1.4.3개발계획현황'!$AA26,0)</f>
        <v>0</v>
      </c>
      <c r="D8" s="1958">
        <f>IF(D$4='1.4.3개발계획현황'!$K26,'1.4.3개발계획현황'!$AA26,C8)</f>
        <v>0</v>
      </c>
      <c r="E8" s="1958">
        <f>IF(E$4='1.4.3개발계획현황'!$K26,'1.4.3개발계획현황'!$AA26,D8)</f>
        <v>0</v>
      </c>
      <c r="F8" s="1958">
        <f>IF(F$4='1.4.3개발계획현황'!$K26,'1.4.3개발계획현황'!$AA26,E8)</f>
        <v>67</v>
      </c>
      <c r="G8" s="1958">
        <f>IF(G$4='1.4.3개발계획현황'!$K26,'1.4.3개발계획현황'!$AA26,F8)</f>
        <v>67</v>
      </c>
      <c r="H8" s="1958">
        <f>IF(H$4='1.4.3개발계획현황'!$K26,'1.4.3개발계획현황'!$AA26,G8)</f>
        <v>67</v>
      </c>
      <c r="I8" s="1958">
        <f>IF(I$4='1.4.3개발계획현황'!$K26,'1.4.3개발계획현황'!$AA26,H8)</f>
        <v>67</v>
      </c>
      <c r="J8" s="1958">
        <f>IF(J$4='1.4.3개발계획현황'!$K26,'1.4.3개발계획현황'!$AA26,I8)</f>
        <v>67</v>
      </c>
      <c r="K8" s="1958">
        <f>IF(K$4='1.4.3개발계획현황'!$K26,'1.4.3개발계획현황'!$AA26,J8)</f>
        <v>67</v>
      </c>
      <c r="L8" s="1958">
        <f>IF(L$4='1.4.3개발계획현황'!$K26,'1.4.3개발계획현황'!$AA26,K8)</f>
        <v>67</v>
      </c>
      <c r="M8" s="1958">
        <f>IF(M$4='1.4.3개발계획현황'!$K26,'1.4.3개발계획현황'!$AA26,L8)</f>
        <v>67</v>
      </c>
      <c r="N8" s="1958">
        <f>IF(N$4='1.4.3개발계획현황'!$K26,'1.4.3개발계획현황'!$AA26,M8)</f>
        <v>67</v>
      </c>
      <c r="O8" s="1958">
        <f>IF(O$4='1.4.3개발계획현황'!$K26,'1.4.3개발계획현황'!$AA26,N8)</f>
        <v>67</v>
      </c>
      <c r="P8" s="1958">
        <f>IF(P$4='1.4.3개발계획현황'!$K26,'1.4.3개발계획현황'!$AA26,O8)</f>
        <v>67</v>
      </c>
      <c r="Q8" s="1958">
        <f>IF(Q$4='1.4.3개발계획현황'!$K26,'1.4.3개발계획현황'!$AA26,P8)</f>
        <v>67</v>
      </c>
      <c r="R8" s="1958">
        <f>IF(R$4='1.4.3개발계획현황'!$K26,'1.4.3개발계획현황'!$AA26,Q8)</f>
        <v>67</v>
      </c>
      <c r="S8" s="1958">
        <f>IF(S$4='1.4.3개발계획현황'!$K26,'1.4.3개발계획현황'!$AA26,R8)</f>
        <v>67</v>
      </c>
      <c r="T8" s="1958">
        <f>IF(T$4='1.4.3개발계획현황'!$K26,'1.4.3개발계획현황'!$AA26,S8)</f>
        <v>67</v>
      </c>
      <c r="U8" s="1958">
        <f>IF(U$4='1.4.3개발계획현황'!$K26,'1.4.3개발계획현황'!$AA26,T8)</f>
        <v>67</v>
      </c>
      <c r="V8" s="1958">
        <f>IF(V$4='1.4.3개발계획현황'!$K26,'1.4.3개발계획현황'!$AA26,U8)</f>
        <v>67</v>
      </c>
      <c r="W8" s="1958">
        <f>IF(W$4='1.4.3개발계획현황'!$K26,'1.4.3개발계획현황'!$AA26,V8)</f>
        <v>67</v>
      </c>
      <c r="X8" s="1958">
        <f>IF(X$4='1.4.3개발계획현황'!$K26,'1.4.3개발계획현황'!$AA26,W8)</f>
        <v>67</v>
      </c>
      <c r="Y8" s="1276"/>
      <c r="Z8" s="2431"/>
      <c r="AA8" s="1967" t="str">
        <f>B8</f>
        <v>㈜씨제이산업개발</v>
      </c>
      <c r="AB8" s="1974">
        <f t="shared" si="0"/>
        <v>0</v>
      </c>
      <c r="AC8" s="1974">
        <f t="shared" si="0"/>
        <v>0</v>
      </c>
      <c r="AD8" s="1974">
        <f t="shared" si="0"/>
        <v>0</v>
      </c>
      <c r="AE8" s="1974">
        <f t="shared" si="0"/>
        <v>27</v>
      </c>
      <c r="AF8" s="1974">
        <f t="shared" si="0"/>
        <v>27</v>
      </c>
      <c r="AG8" s="1974">
        <f t="shared" si="0"/>
        <v>27</v>
      </c>
      <c r="AH8" s="1974">
        <f t="shared" si="0"/>
        <v>27</v>
      </c>
      <c r="AI8" s="1974">
        <f t="shared" si="0"/>
        <v>27</v>
      </c>
      <c r="AJ8" s="1974">
        <f t="shared" si="0"/>
        <v>27</v>
      </c>
      <c r="AK8" s="1974">
        <f t="shared" si="0"/>
        <v>27</v>
      </c>
      <c r="AL8" s="1974">
        <f t="shared" si="1"/>
        <v>27</v>
      </c>
      <c r="AM8" s="1974">
        <f t="shared" si="1"/>
        <v>27</v>
      </c>
      <c r="AN8" s="1974">
        <f t="shared" si="1"/>
        <v>27</v>
      </c>
      <c r="AO8" s="1974">
        <f t="shared" si="1"/>
        <v>27</v>
      </c>
      <c r="AP8" s="1974">
        <f t="shared" si="1"/>
        <v>27</v>
      </c>
      <c r="AQ8" s="1974">
        <f t="shared" si="1"/>
        <v>27</v>
      </c>
      <c r="AR8" s="1974">
        <f t="shared" si="1"/>
        <v>27</v>
      </c>
      <c r="AS8" s="1974">
        <f t="shared" si="1"/>
        <v>27</v>
      </c>
      <c r="AT8" s="1974">
        <f t="shared" si="1"/>
        <v>27</v>
      </c>
      <c r="AU8" s="1974">
        <f t="shared" si="1"/>
        <v>27</v>
      </c>
      <c r="AV8" s="1974">
        <f t="shared" si="2"/>
        <v>27</v>
      </c>
      <c r="AW8" s="1974">
        <f t="shared" si="2"/>
        <v>27</v>
      </c>
      <c r="AX8" s="1277">
        <v>0.4</v>
      </c>
      <c r="AY8" s="1278">
        <f t="shared" si="3"/>
        <v>15</v>
      </c>
    </row>
    <row r="9" spans="1:64" ht="20.100000000000001" customHeight="1">
      <c r="A9" s="2431"/>
      <c r="B9" s="1957" t="str">
        <f>'1.4.3개발계획현황'!A29</f>
        <v>음성지역주택조합</v>
      </c>
      <c r="C9" s="1958">
        <f>IF(C$4='1.4.3개발계획현황'!$K29,'1.4.3개발계획현황'!$AA29,0)</f>
        <v>0</v>
      </c>
      <c r="D9" s="1958">
        <f>IF(D$4='1.4.3개발계획현황'!$K29,'1.4.3개발계획현황'!$AA29,C9)</f>
        <v>0</v>
      </c>
      <c r="E9" s="1958">
        <f>IF(E$4='1.4.3개발계획현황'!$K29,'1.4.3개발계획현황'!$AA29,D9)</f>
        <v>0</v>
      </c>
      <c r="F9" s="1958">
        <f>IF(F$4='1.4.3개발계획현황'!$K29,'1.4.3개발계획현황'!$AA29,E9)</f>
        <v>0</v>
      </c>
      <c r="G9" s="1958">
        <f>IF(G$4='1.4.3개발계획현황'!$K29,'1.4.3개발계획현황'!$AA29,F9)</f>
        <v>0</v>
      </c>
      <c r="H9" s="1958">
        <f>IF(H$4='1.4.3개발계획현황'!$K29,'1.4.3개발계획현황'!$AA29,G9)</f>
        <v>0</v>
      </c>
      <c r="I9" s="1958">
        <f>IF(I$4='1.4.3개발계획현황'!$K29,'1.4.3개발계획현황'!$AA29,H9)</f>
        <v>941</v>
      </c>
      <c r="J9" s="1958">
        <f>IF(J$4='1.4.3개발계획현황'!$K29,'1.4.3개발계획현황'!$AA29,I9)</f>
        <v>941</v>
      </c>
      <c r="K9" s="1958">
        <f>IF(K$4='1.4.3개발계획현황'!$K29,'1.4.3개발계획현황'!$AA29,J9)</f>
        <v>941</v>
      </c>
      <c r="L9" s="1958">
        <f>IF(L$4='1.4.3개발계획현황'!$K29,'1.4.3개발계획현황'!$AA29,K9)</f>
        <v>941</v>
      </c>
      <c r="M9" s="1958">
        <f>IF(M$4='1.4.3개발계획현황'!$K29,'1.4.3개발계획현황'!$AA29,L9)</f>
        <v>941</v>
      </c>
      <c r="N9" s="1958">
        <f>IF(N$4='1.4.3개발계획현황'!$K29,'1.4.3개발계획현황'!$AA29,M9)</f>
        <v>941</v>
      </c>
      <c r="O9" s="1958">
        <f>IF(O$4='1.4.3개발계획현황'!$K29,'1.4.3개발계획현황'!$AA29,N9)</f>
        <v>941</v>
      </c>
      <c r="P9" s="1958">
        <f>IF(P$4='1.4.3개발계획현황'!$K29,'1.4.3개발계획현황'!$AA29,O9)</f>
        <v>941</v>
      </c>
      <c r="Q9" s="1958">
        <f>IF(Q$4='1.4.3개발계획현황'!$K29,'1.4.3개발계획현황'!$AA29,P9)</f>
        <v>941</v>
      </c>
      <c r="R9" s="1958">
        <f>IF(R$4='1.4.3개발계획현황'!$K29,'1.4.3개발계획현황'!$AA29,Q9)</f>
        <v>941</v>
      </c>
      <c r="S9" s="1958">
        <f>IF(S$4='1.4.3개발계획현황'!$K29,'1.4.3개발계획현황'!$AA29,R9)</f>
        <v>941</v>
      </c>
      <c r="T9" s="1958">
        <f>IF(T$4='1.4.3개발계획현황'!$K29,'1.4.3개발계획현황'!$AA29,S9)</f>
        <v>941</v>
      </c>
      <c r="U9" s="1958">
        <f>IF(U$4='1.4.3개발계획현황'!$K29,'1.4.3개발계획현황'!$AA29,T9)</f>
        <v>941</v>
      </c>
      <c r="V9" s="1958">
        <f>IF(V$4='1.4.3개발계획현황'!$K29,'1.4.3개발계획현황'!$AA29,U9)</f>
        <v>941</v>
      </c>
      <c r="W9" s="1958">
        <f>IF(W$4='1.4.3개발계획현황'!$K29,'1.4.3개발계획현황'!$AA29,V9)</f>
        <v>941</v>
      </c>
      <c r="X9" s="1958">
        <f>IF(X$4='1.4.3개발계획현황'!$K29,'1.4.3개발계획현황'!$AA29,W9)</f>
        <v>941</v>
      </c>
      <c r="Y9" s="1276"/>
      <c r="Z9" s="2431"/>
      <c r="AA9" s="1967" t="str">
        <f>B9</f>
        <v>음성지역주택조합</v>
      </c>
      <c r="AB9" s="1974">
        <f t="shared" si="0"/>
        <v>0</v>
      </c>
      <c r="AC9" s="1974">
        <f t="shared" si="0"/>
        <v>0</v>
      </c>
      <c r="AD9" s="1974">
        <f t="shared" si="0"/>
        <v>0</v>
      </c>
      <c r="AE9" s="1974">
        <f t="shared" si="0"/>
        <v>0</v>
      </c>
      <c r="AF9" s="1974">
        <f t="shared" si="0"/>
        <v>0</v>
      </c>
      <c r="AG9" s="1974">
        <f t="shared" si="0"/>
        <v>0</v>
      </c>
      <c r="AH9" s="1974">
        <f t="shared" si="0"/>
        <v>376</v>
      </c>
      <c r="AI9" s="1974">
        <f t="shared" si="0"/>
        <v>376</v>
      </c>
      <c r="AJ9" s="1974">
        <f t="shared" si="0"/>
        <v>376</v>
      </c>
      <c r="AK9" s="1974">
        <f t="shared" si="0"/>
        <v>376</v>
      </c>
      <c r="AL9" s="1974">
        <f t="shared" si="1"/>
        <v>376</v>
      </c>
      <c r="AM9" s="1974">
        <f t="shared" si="1"/>
        <v>376</v>
      </c>
      <c r="AN9" s="1974">
        <f t="shared" si="1"/>
        <v>376</v>
      </c>
      <c r="AO9" s="1974">
        <f t="shared" si="1"/>
        <v>376</v>
      </c>
      <c r="AP9" s="1974">
        <f t="shared" si="1"/>
        <v>376</v>
      </c>
      <c r="AQ9" s="1974">
        <f t="shared" si="1"/>
        <v>376</v>
      </c>
      <c r="AR9" s="1974">
        <f t="shared" si="1"/>
        <v>376</v>
      </c>
      <c r="AS9" s="1974">
        <f t="shared" si="1"/>
        <v>376</v>
      </c>
      <c r="AT9" s="1974">
        <f t="shared" si="1"/>
        <v>376</v>
      </c>
      <c r="AU9" s="1974">
        <f t="shared" si="1"/>
        <v>376</v>
      </c>
      <c r="AV9" s="1974">
        <f t="shared" si="2"/>
        <v>376</v>
      </c>
      <c r="AW9" s="1974">
        <f t="shared" si="2"/>
        <v>376</v>
      </c>
      <c r="AX9" s="1277">
        <v>0.4</v>
      </c>
      <c r="AY9" s="1278">
        <f t="shared" si="3"/>
        <v>207</v>
      </c>
      <c r="BG9" s="1258" t="s">
        <v>2109</v>
      </c>
      <c r="BH9" s="1258" t="s">
        <v>2110</v>
      </c>
      <c r="BI9" s="1258" t="s">
        <v>2111</v>
      </c>
      <c r="BJ9" s="1258" t="s">
        <v>2112</v>
      </c>
      <c r="BK9" s="1258" t="s">
        <v>2122</v>
      </c>
      <c r="BL9" s="1258" t="s">
        <v>2123</v>
      </c>
    </row>
    <row r="10" spans="1:64" ht="20.100000000000001" customHeight="1">
      <c r="A10" s="2431"/>
      <c r="B10" s="1957" t="str">
        <f>'1.4.3개발계획현황'!A30</f>
        <v>신 부영아파트</v>
      </c>
      <c r="C10" s="1958">
        <f>IF(C$4='1.4.3개발계획현황'!$K30,'1.4.3개발계획현황'!$AA30,0)</f>
        <v>0</v>
      </c>
      <c r="D10" s="1958">
        <f>IF(D$4='1.4.3개발계획현황'!$K30,'1.4.3개발계획현황'!$AA30,C10)</f>
        <v>0</v>
      </c>
      <c r="E10" s="1958">
        <f>IF(E$4='1.4.3개발계획현황'!$K30,'1.4.3개발계획현황'!$AA30,D10)</f>
        <v>0</v>
      </c>
      <c r="F10" s="1958">
        <f>IF(F$4='1.4.3개발계획현황'!$K30,'1.4.3개발계획현황'!$AA30,E10)</f>
        <v>0</v>
      </c>
      <c r="G10" s="1958">
        <f>IF(G$4='1.4.3개발계획현황'!$K30,'1.4.3개발계획현황'!$AA30,F10)</f>
        <v>37</v>
      </c>
      <c r="H10" s="1958">
        <f>IF(H$4='1.4.3개발계획현황'!$K30,'1.4.3개발계획현황'!$AA30,G10)</f>
        <v>37</v>
      </c>
      <c r="I10" s="1958">
        <f>IF(I$4='1.4.3개발계획현황'!$K30,'1.4.3개발계획현황'!$AA30,H10)</f>
        <v>37</v>
      </c>
      <c r="J10" s="1958">
        <f>IF(J$4='1.4.3개발계획현황'!$K30,'1.4.3개발계획현황'!$AA30,I10)</f>
        <v>37</v>
      </c>
      <c r="K10" s="1958">
        <f>IF(K$4='1.4.3개발계획현황'!$K30,'1.4.3개발계획현황'!$AA30,J10)</f>
        <v>37</v>
      </c>
      <c r="L10" s="1958">
        <f>IF(L$4='1.4.3개발계획현황'!$K30,'1.4.3개발계획현황'!$AA30,K10)</f>
        <v>37</v>
      </c>
      <c r="M10" s="1958">
        <f>IF(M$4='1.4.3개발계획현황'!$K30,'1.4.3개발계획현황'!$AA30,L10)</f>
        <v>37</v>
      </c>
      <c r="N10" s="1958">
        <f>IF(N$4='1.4.3개발계획현황'!$K30,'1.4.3개발계획현황'!$AA30,M10)</f>
        <v>37</v>
      </c>
      <c r="O10" s="1958">
        <f>IF(O$4='1.4.3개발계획현황'!$K30,'1.4.3개발계획현황'!$AA30,N10)</f>
        <v>37</v>
      </c>
      <c r="P10" s="1958">
        <f>IF(P$4='1.4.3개발계획현황'!$K30,'1.4.3개발계획현황'!$AA30,O10)</f>
        <v>37</v>
      </c>
      <c r="Q10" s="1958">
        <f>IF(Q$4='1.4.3개발계획현황'!$K30,'1.4.3개발계획현황'!$AA30,P10)</f>
        <v>37</v>
      </c>
      <c r="R10" s="1958">
        <f>IF(R$4='1.4.3개발계획현황'!$K30,'1.4.3개발계획현황'!$AA30,Q10)</f>
        <v>37</v>
      </c>
      <c r="S10" s="1958">
        <f>IF(S$4='1.4.3개발계획현황'!$K30,'1.4.3개발계획현황'!$AA30,R10)</f>
        <v>37</v>
      </c>
      <c r="T10" s="1958">
        <f>IF(T$4='1.4.3개발계획현황'!$K30,'1.4.3개발계획현황'!$AA30,S10)</f>
        <v>37</v>
      </c>
      <c r="U10" s="1958">
        <f>IF(U$4='1.4.3개발계획현황'!$K30,'1.4.3개발계획현황'!$AA30,T10)</f>
        <v>37</v>
      </c>
      <c r="V10" s="1958">
        <f>IF(V$4='1.4.3개발계획현황'!$K30,'1.4.3개발계획현황'!$AA30,U10)</f>
        <v>37</v>
      </c>
      <c r="W10" s="1958">
        <f>IF(W$4='1.4.3개발계획현황'!$K30,'1.4.3개발계획현황'!$AA30,V10)</f>
        <v>37</v>
      </c>
      <c r="X10" s="1958">
        <f>IF(X$4='1.4.3개발계획현황'!$K30,'1.4.3개발계획현황'!$AA30,W10)</f>
        <v>37</v>
      </c>
      <c r="Y10" s="1276"/>
      <c r="Z10" s="2431"/>
      <c r="AA10" s="1967" t="str">
        <f>B10</f>
        <v>신 부영아파트</v>
      </c>
      <c r="AB10" s="1974">
        <f t="shared" si="0"/>
        <v>0</v>
      </c>
      <c r="AC10" s="1974">
        <f t="shared" si="0"/>
        <v>0</v>
      </c>
      <c r="AD10" s="1974">
        <f t="shared" si="0"/>
        <v>0</v>
      </c>
      <c r="AE10" s="1974">
        <f t="shared" si="0"/>
        <v>0</v>
      </c>
      <c r="AF10" s="1974">
        <f t="shared" si="0"/>
        <v>15</v>
      </c>
      <c r="AG10" s="1974">
        <f t="shared" si="0"/>
        <v>15</v>
      </c>
      <c r="AH10" s="1974">
        <f t="shared" si="0"/>
        <v>15</v>
      </c>
      <c r="AI10" s="1974">
        <f t="shared" si="0"/>
        <v>15</v>
      </c>
      <c r="AJ10" s="1974">
        <f t="shared" si="0"/>
        <v>15</v>
      </c>
      <c r="AK10" s="1974">
        <f t="shared" si="0"/>
        <v>15</v>
      </c>
      <c r="AL10" s="1974">
        <f t="shared" si="1"/>
        <v>15</v>
      </c>
      <c r="AM10" s="1974">
        <f t="shared" si="1"/>
        <v>15</v>
      </c>
      <c r="AN10" s="1974">
        <f t="shared" si="1"/>
        <v>15</v>
      </c>
      <c r="AO10" s="1974">
        <f t="shared" si="1"/>
        <v>15</v>
      </c>
      <c r="AP10" s="1974">
        <f t="shared" si="1"/>
        <v>15</v>
      </c>
      <c r="AQ10" s="1974">
        <f t="shared" si="1"/>
        <v>15</v>
      </c>
      <c r="AR10" s="1974">
        <f t="shared" si="1"/>
        <v>15</v>
      </c>
      <c r="AS10" s="1974">
        <f t="shared" si="1"/>
        <v>15</v>
      </c>
      <c r="AT10" s="1974">
        <f t="shared" si="1"/>
        <v>15</v>
      </c>
      <c r="AU10" s="1974">
        <f t="shared" si="1"/>
        <v>15</v>
      </c>
      <c r="AV10" s="1974">
        <f t="shared" si="2"/>
        <v>15</v>
      </c>
      <c r="AW10" s="1974">
        <f t="shared" si="2"/>
        <v>15</v>
      </c>
      <c r="AX10" s="1277">
        <v>0.4</v>
      </c>
      <c r="AY10" s="1278">
        <f t="shared" si="3"/>
        <v>8</v>
      </c>
      <c r="BF10" s="1258" t="s">
        <v>2113</v>
      </c>
      <c r="BG10" s="1258">
        <v>13</v>
      </c>
      <c r="BH10" s="1258">
        <v>27</v>
      </c>
      <c r="BI10" s="1258">
        <v>55</v>
      </c>
      <c r="BJ10" s="1258">
        <v>5</v>
      </c>
      <c r="BK10" s="1258">
        <v>83.6</v>
      </c>
      <c r="BL10" s="1258">
        <v>3114</v>
      </c>
    </row>
    <row r="11" spans="1:64" ht="20.100000000000001" customHeight="1">
      <c r="A11" s="2431"/>
      <c r="B11" s="1279" t="s">
        <v>73</v>
      </c>
      <c r="C11" s="1280">
        <f>SUM(C5:C10)</f>
        <v>0</v>
      </c>
      <c r="D11" s="1280">
        <f t="shared" ref="D11:X11" si="4">SUM(D5:D10)</f>
        <v>0</v>
      </c>
      <c r="E11" s="1280">
        <f t="shared" si="4"/>
        <v>0</v>
      </c>
      <c r="F11" s="1280">
        <f t="shared" si="4"/>
        <v>495</v>
      </c>
      <c r="G11" s="1280">
        <f t="shared" si="4"/>
        <v>891</v>
      </c>
      <c r="H11" s="1280">
        <f t="shared" si="4"/>
        <v>891</v>
      </c>
      <c r="I11" s="1280">
        <f t="shared" si="4"/>
        <v>1832</v>
      </c>
      <c r="J11" s="1280">
        <f t="shared" si="4"/>
        <v>1832</v>
      </c>
      <c r="K11" s="1280">
        <f t="shared" si="4"/>
        <v>1832</v>
      </c>
      <c r="L11" s="1280">
        <f t="shared" si="4"/>
        <v>1832</v>
      </c>
      <c r="M11" s="1280">
        <f t="shared" si="4"/>
        <v>1832</v>
      </c>
      <c r="N11" s="1280">
        <f t="shared" si="4"/>
        <v>1832</v>
      </c>
      <c r="O11" s="1280">
        <f t="shared" si="4"/>
        <v>1832</v>
      </c>
      <c r="P11" s="1280">
        <f t="shared" si="4"/>
        <v>1832</v>
      </c>
      <c r="Q11" s="1280">
        <f t="shared" si="4"/>
        <v>1832</v>
      </c>
      <c r="R11" s="1280">
        <f t="shared" si="4"/>
        <v>1832</v>
      </c>
      <c r="S11" s="1280">
        <f t="shared" si="4"/>
        <v>1832</v>
      </c>
      <c r="T11" s="1280">
        <f t="shared" si="4"/>
        <v>1832</v>
      </c>
      <c r="U11" s="1280">
        <f t="shared" si="4"/>
        <v>1832</v>
      </c>
      <c r="V11" s="1280">
        <f t="shared" si="4"/>
        <v>1832</v>
      </c>
      <c r="W11" s="1280">
        <f t="shared" si="4"/>
        <v>1832</v>
      </c>
      <c r="X11" s="1280">
        <f t="shared" si="4"/>
        <v>1832</v>
      </c>
      <c r="Y11" s="1281"/>
      <c r="Z11" s="2431"/>
      <c r="AA11" s="1279" t="s">
        <v>73</v>
      </c>
      <c r="AB11" s="1280">
        <f>SUM(AB5:AB10)</f>
        <v>0</v>
      </c>
      <c r="AC11" s="1280">
        <f t="shared" ref="AC11:AW11" si="5">SUM(AC5:AC10)</f>
        <v>0</v>
      </c>
      <c r="AD11" s="1280">
        <f t="shared" si="5"/>
        <v>0</v>
      </c>
      <c r="AE11" s="1280">
        <f t="shared" si="5"/>
        <v>198</v>
      </c>
      <c r="AF11" s="1280">
        <f t="shared" si="5"/>
        <v>357</v>
      </c>
      <c r="AG11" s="1280">
        <f t="shared" si="5"/>
        <v>357</v>
      </c>
      <c r="AH11" s="1280">
        <f t="shared" si="5"/>
        <v>733</v>
      </c>
      <c r="AI11" s="1280">
        <f t="shared" si="5"/>
        <v>733</v>
      </c>
      <c r="AJ11" s="1280">
        <f t="shared" si="5"/>
        <v>733</v>
      </c>
      <c r="AK11" s="1280">
        <f t="shared" si="5"/>
        <v>733</v>
      </c>
      <c r="AL11" s="1280">
        <f t="shared" si="5"/>
        <v>733</v>
      </c>
      <c r="AM11" s="1280">
        <f t="shared" si="5"/>
        <v>733</v>
      </c>
      <c r="AN11" s="1280">
        <f t="shared" si="5"/>
        <v>733</v>
      </c>
      <c r="AO11" s="1280">
        <f t="shared" si="5"/>
        <v>733</v>
      </c>
      <c r="AP11" s="1280">
        <f t="shared" si="5"/>
        <v>733</v>
      </c>
      <c r="AQ11" s="1280">
        <f t="shared" si="5"/>
        <v>733</v>
      </c>
      <c r="AR11" s="1280">
        <f t="shared" si="5"/>
        <v>733</v>
      </c>
      <c r="AS11" s="1280">
        <f t="shared" si="5"/>
        <v>733</v>
      </c>
      <c r="AT11" s="1280">
        <f t="shared" si="5"/>
        <v>733</v>
      </c>
      <c r="AU11" s="1280">
        <f t="shared" si="5"/>
        <v>733</v>
      </c>
      <c r="AV11" s="1280">
        <f t="shared" si="5"/>
        <v>733</v>
      </c>
      <c r="AW11" s="1280">
        <f t="shared" si="5"/>
        <v>733</v>
      </c>
      <c r="AX11" s="1281"/>
      <c r="AY11" s="1278"/>
      <c r="BF11" s="1258" t="s">
        <v>2114</v>
      </c>
      <c r="BG11" s="1258">
        <v>34</v>
      </c>
      <c r="BH11" s="1258">
        <v>29</v>
      </c>
      <c r="BI11" s="1258">
        <v>32</v>
      </c>
      <c r="BJ11" s="1258">
        <v>5</v>
      </c>
      <c r="BK11" s="1258">
        <v>72.599999999999994</v>
      </c>
      <c r="BL11" s="1258">
        <v>6394</v>
      </c>
    </row>
    <row r="12" spans="1:64" ht="20.100000000000001" customHeight="1">
      <c r="A12" s="2490" t="s">
        <v>1129</v>
      </c>
      <c r="B12" s="2432" t="str">
        <f>'1.4.3개발계획현황'!A46</f>
        <v>신천보부산업단지</v>
      </c>
      <c r="C12" s="2103"/>
      <c r="D12" s="2103"/>
      <c r="E12" s="2103"/>
      <c r="F12" s="2103"/>
      <c r="G12" s="2103"/>
      <c r="H12" s="2103"/>
      <c r="I12" s="2503">
        <f>IF(I$4='1.4.3개발계획현황'!K46,'1.4.3개발계획현황'!AA46,H14)</f>
        <v>372</v>
      </c>
      <c r="J12" s="1969"/>
      <c r="K12" s="1280"/>
      <c r="L12" s="1280"/>
      <c r="M12" s="1280"/>
      <c r="N12" s="2503">
        <f>IF(N$4='1.4.3개발계획현황'!Z46,'1.4.3개발계획현황'!AF45,M14)</f>
        <v>372</v>
      </c>
      <c r="O12" s="1280"/>
      <c r="P12" s="1280"/>
      <c r="Q12" s="1280"/>
      <c r="R12" s="1280"/>
      <c r="S12" s="2503">
        <f>IF(S$4='1.4.3개발계획현황'!AE45,'1.4.3개발계획현황'!AL45,R14)</f>
        <v>372</v>
      </c>
      <c r="T12" s="1280"/>
      <c r="U12" s="1280"/>
      <c r="V12" s="1280"/>
      <c r="W12" s="1280"/>
      <c r="X12" s="2503">
        <f>IF(X$4='1.4.3개발계획현황'!AJ45,'1.4.3개발계획현황'!AQ45,W14)</f>
        <v>372</v>
      </c>
      <c r="Y12" s="2235"/>
      <c r="Z12" s="2490" t="s">
        <v>1129</v>
      </c>
      <c r="AA12" s="1285" t="str">
        <f>CONCATENATE(AA14," 중복제외 전")</f>
        <v>신천보부산업단지 중복제외 전</v>
      </c>
      <c r="AB12" s="1282"/>
      <c r="AC12" s="1974">
        <f>ROUND(D14*$AX12,0)</f>
        <v>0</v>
      </c>
      <c r="AD12" s="1974">
        <f>ROUND(E14*$AX12,0)</f>
        <v>0</v>
      </c>
      <c r="AE12" s="1974">
        <f>ROUND(F14*$AX12,0)</f>
        <v>0</v>
      </c>
      <c r="AF12" s="1974">
        <f>ROUND(G14*$AX12,0)*0.2</f>
        <v>33.4</v>
      </c>
      <c r="AG12" s="1974">
        <f>ROUND(H14*$AX12,0)*0.6</f>
        <v>100.2</v>
      </c>
      <c r="AH12" s="1974">
        <f>ROUND(I12*$AX12,0)</f>
        <v>167</v>
      </c>
      <c r="AI12" s="1974">
        <f>ROUND(J14*$AX12,0)</f>
        <v>167</v>
      </c>
      <c r="AJ12" s="1974">
        <f>ROUND(K14*$AX12,0)</f>
        <v>167</v>
      </c>
      <c r="AK12" s="1974">
        <f>ROUND(L14*$AX12,0)</f>
        <v>167</v>
      </c>
      <c r="AL12" s="1974">
        <f>ROUND(M14*$AX12,0)</f>
        <v>167</v>
      </c>
      <c r="AM12" s="1974">
        <f>ROUND(N12*$AX12,0)</f>
        <v>167</v>
      </c>
      <c r="AN12" s="1974">
        <f>ROUND(O14*$AX12,0)</f>
        <v>167</v>
      </c>
      <c r="AO12" s="1974">
        <f>ROUND(P14*$AX12,0)</f>
        <v>167</v>
      </c>
      <c r="AP12" s="1974">
        <f>ROUND(Q14*$AX12,0)</f>
        <v>167</v>
      </c>
      <c r="AQ12" s="1974">
        <f>ROUND(R14*$AX12,0)</f>
        <v>167</v>
      </c>
      <c r="AR12" s="1974">
        <f>ROUND(S12*$AX12,0)</f>
        <v>167</v>
      </c>
      <c r="AS12" s="1974">
        <f>ROUND(T14*$AX12,0)</f>
        <v>167</v>
      </c>
      <c r="AT12" s="1974">
        <f>ROUND(U14*$AX12,0)</f>
        <v>167</v>
      </c>
      <c r="AU12" s="1974">
        <f>ROUND(V14*$AX12,0)</f>
        <v>167</v>
      </c>
      <c r="AV12" s="1974">
        <f>ROUND(W14*$AX12,0)</f>
        <v>167</v>
      </c>
      <c r="AW12" s="1974">
        <f>ROUND(X12*$AX12,0)</f>
        <v>167</v>
      </c>
      <c r="AX12" s="1277">
        <v>0.45</v>
      </c>
      <c r="AY12" s="1278"/>
      <c r="BF12" s="1258" t="s">
        <v>2116</v>
      </c>
      <c r="BG12" s="1258">
        <v>13</v>
      </c>
      <c r="BH12" s="1258">
        <v>27</v>
      </c>
      <c r="BI12" s="1258">
        <v>55</v>
      </c>
      <c r="BJ12" s="1258">
        <v>5</v>
      </c>
      <c r="BK12" s="1258">
        <v>0</v>
      </c>
      <c r="BL12" s="1258">
        <v>3221</v>
      </c>
    </row>
    <row r="13" spans="1:64" ht="20.100000000000001" customHeight="1">
      <c r="A13" s="2525"/>
      <c r="B13" s="2432"/>
      <c r="C13" s="1282"/>
      <c r="D13" s="1282"/>
      <c r="E13" s="1282"/>
      <c r="F13" s="1282"/>
      <c r="G13" s="1282"/>
      <c r="H13" s="1282"/>
      <c r="I13" s="2506"/>
      <c r="J13" s="1280"/>
      <c r="K13" s="1280"/>
      <c r="L13" s="1280"/>
      <c r="M13" s="1280"/>
      <c r="N13" s="2506"/>
      <c r="O13" s="1280"/>
      <c r="P13" s="1280"/>
      <c r="Q13" s="1280"/>
      <c r="R13" s="1280"/>
      <c r="S13" s="2506"/>
      <c r="T13" s="1280"/>
      <c r="U13" s="1280"/>
      <c r="V13" s="1280"/>
      <c r="W13" s="1280"/>
      <c r="X13" s="2506"/>
      <c r="Y13" s="2235"/>
      <c r="Z13" s="2525"/>
      <c r="AA13" s="1285" t="str">
        <f>CONCATENATE(AA14," 중복제외인구")</f>
        <v>신천보부산업단지 중복제외인구</v>
      </c>
      <c r="AB13" s="1282"/>
      <c r="AC13" s="1974">
        <f>-ROUND(IF(D14&gt;0,VLOOKUP($AA14,'사회적 유입 중복인구 제외근거'!$E$6:$F$12,2,FALSE),0),0)</f>
        <v>0</v>
      </c>
      <c r="AD13" s="1974">
        <f>-ROUND(IF(E14&gt;0,SUMIF('사회적 유입 중복인구 제외근거'!$E$6:$E$53,$AA14,'사회적 유입 중복인구 제외근거'!$F$6:$F$53),0),0)</f>
        <v>0</v>
      </c>
      <c r="AE13" s="1974">
        <f>-ROUND(IF(F14&gt;0,SUMIF('사회적 유입 중복인구 제외근거'!$E$6:$E$53,$AA14,'사회적 유입 중복인구 제외근거'!$F$6:$F$53),0),0)</f>
        <v>0</v>
      </c>
      <c r="AF13" s="1974">
        <f>-ROUND(IF(G14&gt;0,SUMIF('사회적 유입 중복인구 제외근거'!$E$6:$E$53,$AA14,'사회적 유입 중복인구 제외근거'!$F$6:$F$53),0),0)*0.2</f>
        <v>-33.4</v>
      </c>
      <c r="AG13" s="1974">
        <f>-ROUND(IF(H14&gt;0,SUMIF('사회적 유입 중복인구 제외근거'!$E$6:$E$53,$AA14,'사회적 유입 중복인구 제외근거'!$F$6:$F$53),0),0)*0.6</f>
        <v>-100.2</v>
      </c>
      <c r="AH13" s="1974">
        <f>-ROUND(IF(I12&gt;0,SUMIF('사회적 유입 중복인구 제외근거'!$E$6:$E$53,$AA14,'사회적 유입 중복인구 제외근거'!$F$6:$F$53),0),0)</f>
        <v>-167</v>
      </c>
      <c r="AI13" s="1974">
        <f>-ROUND(IF(J14&gt;0,SUMIF('사회적 유입 중복인구 제외근거'!$E$6:$E$53,$AA14,'사회적 유입 중복인구 제외근거'!$F$6:$F$53),0),0)</f>
        <v>-167</v>
      </c>
      <c r="AJ13" s="1974">
        <f>-ROUND(IF(K14&gt;0,SUMIF('사회적 유입 중복인구 제외근거'!$E$6:$E$53,$AA14,'사회적 유입 중복인구 제외근거'!$F$6:$F$53),0),0)</f>
        <v>-167</v>
      </c>
      <c r="AK13" s="1974">
        <f>-ROUND(IF(L14&gt;0,SUMIF('사회적 유입 중복인구 제외근거'!$E$6:$E$53,$AA14,'사회적 유입 중복인구 제외근거'!$F$6:$F$53),0),0)</f>
        <v>-167</v>
      </c>
      <c r="AL13" s="1974">
        <f>-ROUND(IF(M14&gt;0,SUMIF('사회적 유입 중복인구 제외근거'!$E$6:$E$53,$AA14,'사회적 유입 중복인구 제외근거'!$F$6:$F$53),0),0)</f>
        <v>-167</v>
      </c>
      <c r="AM13" s="1974">
        <f>-ROUND(IF(N12&gt;0,SUMIF('사회적 유입 중복인구 제외근거'!$E$6:$E$53,$AA14,'사회적 유입 중복인구 제외근거'!$F$6:$F$53),0),0)</f>
        <v>-167</v>
      </c>
      <c r="AN13" s="1974">
        <f>-ROUND(IF(O14&gt;0,SUMIF('사회적 유입 중복인구 제외근거'!$E$6:$E$53,$AA14,'사회적 유입 중복인구 제외근거'!$F$6:$F$53),0),0)</f>
        <v>-167</v>
      </c>
      <c r="AO13" s="1974">
        <f>-ROUND(IF(P14&gt;0,SUMIF('사회적 유입 중복인구 제외근거'!$E$6:$E$53,$AA14,'사회적 유입 중복인구 제외근거'!$F$6:$F$53),0),0)</f>
        <v>-167</v>
      </c>
      <c r="AP13" s="1974">
        <f>-ROUND(IF(Q14&gt;0,SUMIF('사회적 유입 중복인구 제외근거'!$E$6:$E$53,$AA14,'사회적 유입 중복인구 제외근거'!$F$6:$F$53),0),0)</f>
        <v>-167</v>
      </c>
      <c r="AQ13" s="1974">
        <f>-ROUND(IF(R14&gt;0,SUMIF('사회적 유입 중복인구 제외근거'!$E$6:$E$53,$AA14,'사회적 유입 중복인구 제외근거'!$F$6:$F$53),0),0)</f>
        <v>-167</v>
      </c>
      <c r="AR13" s="1974">
        <f>-ROUND(IF(S12&gt;0,SUMIF('사회적 유입 중복인구 제외근거'!$E$6:$E$53,$AA14,'사회적 유입 중복인구 제외근거'!$F$6:$F$53),0),0)</f>
        <v>-167</v>
      </c>
      <c r="AS13" s="1974">
        <f>-ROUND(IF(T14&gt;0,SUMIF('사회적 유입 중복인구 제외근거'!$E$6:$E$53,$AA14,'사회적 유입 중복인구 제외근거'!$F$6:$F$53),0),0)</f>
        <v>-167</v>
      </c>
      <c r="AT13" s="1974">
        <f>-ROUND(IF(U14&gt;0,SUMIF('사회적 유입 중복인구 제외근거'!$E$6:$E$53,$AA14,'사회적 유입 중복인구 제외근거'!$F$6:$F$53),0),0)</f>
        <v>-167</v>
      </c>
      <c r="AU13" s="1974">
        <f>-ROUND(IF(V14&gt;0,SUMIF('사회적 유입 중복인구 제외근거'!$E$6:$E$53,$AA14,'사회적 유입 중복인구 제외근거'!$F$6:$F$53),0),0)</f>
        <v>-167</v>
      </c>
      <c r="AV13" s="1974">
        <f>-ROUND(IF(W14&gt;0,SUMIF('사회적 유입 중복인구 제외근거'!$E$6:$E$53,$AA14,'사회적 유입 중복인구 제외근거'!$F$6:$F$53),0),0)</f>
        <v>-167</v>
      </c>
      <c r="AW13" s="1974">
        <f>-ROUND(IF(X12&gt;0,SUMIF('사회적 유입 중복인구 제외근거'!$E$6:$E$53,$AA14,'사회적 유입 중복인구 제외근거'!$F$6:$F$53),0),0)</f>
        <v>-167</v>
      </c>
      <c r="AX13" s="1277"/>
      <c r="AY13" s="1278"/>
      <c r="BF13" s="1258" t="s">
        <v>2117</v>
      </c>
      <c r="BG13" s="1258">
        <v>13</v>
      </c>
      <c r="BH13" s="1258">
        <v>27</v>
      </c>
      <c r="BI13" s="1258">
        <v>55</v>
      </c>
      <c r="BJ13" s="1258">
        <v>5</v>
      </c>
      <c r="BK13" s="1258">
        <v>0</v>
      </c>
      <c r="BL13" s="1258">
        <v>3243</v>
      </c>
    </row>
    <row r="14" spans="1:64" ht="20.100000000000001" customHeight="1">
      <c r="A14" s="2526"/>
      <c r="B14" s="2432"/>
      <c r="C14" s="1997"/>
      <c r="D14" s="1974">
        <f>IF(D$4='1.4.3개발계획현황'!K46,'1.4.3개발계획현황'!AA46,C12)</f>
        <v>0</v>
      </c>
      <c r="E14" s="1971">
        <f>IF(E$4='1.4.3개발계획현황'!$K$46,'1.4.3개발계획현황'!$AA$46,D14)</f>
        <v>0</v>
      </c>
      <c r="F14" s="1974">
        <f>IF(F$4='1.4.3개발계획현황'!$K$46,'1.4.3개발계획현황'!$AA$46,E14)</f>
        <v>0</v>
      </c>
      <c r="G14" s="1974">
        <f>IF(G$4='1.4.3개발계획현황'!$K$46,'1.4.3개발계획현황'!$AA$46,F14)</f>
        <v>372</v>
      </c>
      <c r="H14" s="1974">
        <f>IF(H$4='1.4.3개발계획현황'!$K$46,'1.4.3개발계획현황'!$AA$46,G14)</f>
        <v>372</v>
      </c>
      <c r="I14" s="2505"/>
      <c r="J14" s="1974">
        <f>IF(J$4='1.4.3개발계획현황'!$K$46,'1.4.3개발계획현황'!$AA$46,I12)</f>
        <v>372</v>
      </c>
      <c r="K14" s="1974">
        <f>IF(K$4='1.4.3개발계획현황'!$K$46,'1.4.3개발계획현황'!$AA$46,J14)</f>
        <v>372</v>
      </c>
      <c r="L14" s="1974">
        <f>IF(L$4='1.4.3개발계획현황'!$K$46,'1.4.3개발계획현황'!$AA$46,K14)</f>
        <v>372</v>
      </c>
      <c r="M14" s="1974">
        <f>IF(M$4='1.4.3개발계획현황'!$K$46,'1.4.3개발계획현황'!$AA$46,L14)</f>
        <v>372</v>
      </c>
      <c r="N14" s="2505"/>
      <c r="O14" s="1974">
        <f>IF(O$4='1.4.3개발계획현황'!$K$46,'1.4.3개발계획현황'!$AA$46,N12)</f>
        <v>372</v>
      </c>
      <c r="P14" s="1974">
        <f>IF(P$4='1.4.3개발계획현황'!$K$46,'1.4.3개발계획현황'!$AA$46,O14)</f>
        <v>372</v>
      </c>
      <c r="Q14" s="1974">
        <f>IF(Q$4='1.4.3개발계획현황'!$K$46,'1.4.3개발계획현황'!$AA$46,P14)</f>
        <v>372</v>
      </c>
      <c r="R14" s="1974">
        <f>IF(R$4='1.4.3개발계획현황'!$K$46,'1.4.3개발계획현황'!$AA$46,Q14)</f>
        <v>372</v>
      </c>
      <c r="S14" s="2505"/>
      <c r="T14" s="1974">
        <f>IF(T$4='1.4.3개발계획현황'!$K$46,'1.4.3개발계획현황'!$AA$46,S12)</f>
        <v>372</v>
      </c>
      <c r="U14" s="1974">
        <f>IF(U$4='1.4.3개발계획현황'!$K$46,'1.4.3개발계획현황'!$AA$46,T14)</f>
        <v>372</v>
      </c>
      <c r="V14" s="1974">
        <f>IF(V$4='1.4.3개발계획현황'!$K$46,'1.4.3개발계획현황'!$AA$46,U14)</f>
        <v>372</v>
      </c>
      <c r="W14" s="1974">
        <f>IF(W$4='1.4.3개발계획현황'!$K$46,'1.4.3개발계획현황'!$AA$46,V14)</f>
        <v>372</v>
      </c>
      <c r="X14" s="2505"/>
      <c r="Y14" s="2235"/>
      <c r="Z14" s="2525"/>
      <c r="AA14" s="1286" t="str">
        <f>B12</f>
        <v>신천보부산업단지</v>
      </c>
      <c r="AB14" s="1282"/>
      <c r="AC14" s="1287">
        <f>ROUND(AC12+AC13,0)</f>
        <v>0</v>
      </c>
      <c r="AD14" s="1287">
        <f t="shared" ref="AD14:AW14" si="6">ROUND(AD12+AD13,0)</f>
        <v>0</v>
      </c>
      <c r="AE14" s="1287">
        <f t="shared" si="6"/>
        <v>0</v>
      </c>
      <c r="AF14" s="1287">
        <f t="shared" si="6"/>
        <v>0</v>
      </c>
      <c r="AG14" s="1287">
        <f t="shared" si="6"/>
        <v>0</v>
      </c>
      <c r="AH14" s="1287">
        <f t="shared" si="6"/>
        <v>0</v>
      </c>
      <c r="AI14" s="1287">
        <f t="shared" si="6"/>
        <v>0</v>
      </c>
      <c r="AJ14" s="1287">
        <f t="shared" si="6"/>
        <v>0</v>
      </c>
      <c r="AK14" s="1287">
        <f t="shared" si="6"/>
        <v>0</v>
      </c>
      <c r="AL14" s="1287">
        <f t="shared" si="6"/>
        <v>0</v>
      </c>
      <c r="AM14" s="1287">
        <f t="shared" si="6"/>
        <v>0</v>
      </c>
      <c r="AN14" s="1287">
        <f t="shared" si="6"/>
        <v>0</v>
      </c>
      <c r="AO14" s="1287">
        <f t="shared" si="6"/>
        <v>0</v>
      </c>
      <c r="AP14" s="1287">
        <f t="shared" si="6"/>
        <v>0</v>
      </c>
      <c r="AQ14" s="1287">
        <f t="shared" si="6"/>
        <v>0</v>
      </c>
      <c r="AR14" s="1287">
        <f t="shared" si="6"/>
        <v>0</v>
      </c>
      <c r="AS14" s="1287">
        <f t="shared" si="6"/>
        <v>0</v>
      </c>
      <c r="AT14" s="1287">
        <f t="shared" si="6"/>
        <v>0</v>
      </c>
      <c r="AU14" s="1287">
        <f t="shared" si="6"/>
        <v>0</v>
      </c>
      <c r="AV14" s="1287">
        <f t="shared" si="6"/>
        <v>0</v>
      </c>
      <c r="AW14" s="1287">
        <f t="shared" si="6"/>
        <v>0</v>
      </c>
      <c r="AX14" s="1288"/>
      <c r="AY14" s="1278"/>
      <c r="BF14" s="1258" t="s">
        <v>2118</v>
      </c>
      <c r="BG14" s="1258">
        <v>10</v>
      </c>
      <c r="BH14" s="1258">
        <v>45</v>
      </c>
      <c r="BI14" s="1258">
        <v>30</v>
      </c>
      <c r="BJ14" s="1258">
        <v>15</v>
      </c>
      <c r="BK14" s="1258">
        <v>46</v>
      </c>
      <c r="BL14" s="1258">
        <v>5626</v>
      </c>
    </row>
    <row r="15" spans="1:64" ht="20.100000000000001" customHeight="1">
      <c r="A15" s="2525"/>
      <c r="B15" s="2502" t="str">
        <f>'1.4.3개발계획현황'!A65</f>
        <v>용산산업단지</v>
      </c>
      <c r="C15" s="1282"/>
      <c r="D15" s="1282"/>
      <c r="E15" s="1282"/>
      <c r="F15" s="1282"/>
      <c r="G15" s="1282"/>
      <c r="H15" s="1282"/>
      <c r="I15" s="2506">
        <f>IF(I$4='1.4.3개발계획현황'!$K$65,'1.4.3개발계획현황'!$AA$65,H17)</f>
        <v>0</v>
      </c>
      <c r="J15" s="1960"/>
      <c r="K15" s="1997"/>
      <c r="L15" s="1997"/>
      <c r="M15" s="1997"/>
      <c r="N15" s="2506">
        <f>IF(N$4='1.4.3개발계획현황'!$K$65,'1.4.3개발계획현황'!$AA$65,M17)</f>
        <v>0</v>
      </c>
      <c r="O15" s="1997"/>
      <c r="P15" s="1997"/>
      <c r="Q15" s="1997"/>
      <c r="R15" s="1997"/>
      <c r="S15" s="2506">
        <f>IF(S$4='1.4.3개발계획현황'!$K$65,'1.4.3개발계획현황'!$AA$65,R17)</f>
        <v>0</v>
      </c>
      <c r="T15" s="1997"/>
      <c r="U15" s="1997"/>
      <c r="V15" s="1997"/>
      <c r="W15" s="1997"/>
      <c r="X15" s="2506">
        <f>IF(X$4='1.4.3개발계획현황'!$K$65,'1.4.3개발계획현황'!$AA$65,W17)</f>
        <v>2646</v>
      </c>
      <c r="Y15" s="2235"/>
      <c r="Z15" s="2525"/>
      <c r="AA15" s="1285" t="str">
        <f>CONCATENATE(AA17," 중복제외 전")</f>
        <v>용산산업단지 중복제외 전</v>
      </c>
      <c r="AB15" s="1282"/>
      <c r="AC15" s="1974">
        <f>ROUND(D17*$AX15,0)</f>
        <v>0</v>
      </c>
      <c r="AD15" s="1974">
        <f>ROUND(E17*$AX15,0)</f>
        <v>0</v>
      </c>
      <c r="AE15" s="1974">
        <f>ROUND(F17*$AX15,0)</f>
        <v>0</v>
      </c>
      <c r="AF15" s="1974">
        <f>ROUND(G17*$AX15,0)</f>
        <v>0</v>
      </c>
      <c r="AG15" s="1974">
        <f>ROUND(H17*$AX15,0)</f>
        <v>0</v>
      </c>
      <c r="AH15" s="1974">
        <f>ROUND(I15*$AX15,0)</f>
        <v>0</v>
      </c>
      <c r="AI15" s="1974">
        <f>ROUND(J17*$AX15,0)</f>
        <v>0</v>
      </c>
      <c r="AJ15" s="1974">
        <f>ROUND(K17*$AX15,0)</f>
        <v>0</v>
      </c>
      <c r="AK15" s="1974">
        <f>ROUND(L17*$AX15,0)</f>
        <v>0</v>
      </c>
      <c r="AL15" s="1974">
        <f>ROUND(M17*$AX15,0)</f>
        <v>0</v>
      </c>
      <c r="AM15" s="1974">
        <f>ROUND(N15*$AX15,0)</f>
        <v>0</v>
      </c>
      <c r="AN15" s="1974">
        <f>ROUND(O17*$AX15,0)</f>
        <v>0</v>
      </c>
      <c r="AO15" s="1974">
        <f>ROUND(P17*$AX15,0)</f>
        <v>0</v>
      </c>
      <c r="AP15" s="1974">
        <f>ROUND(Q17*$AX15,0)</f>
        <v>0</v>
      </c>
      <c r="AQ15" s="1974">
        <f>ROUND(R17*$AX15,0)</f>
        <v>0</v>
      </c>
      <c r="AR15" s="1974">
        <f>ROUND(S15*$AX15,0)</f>
        <v>0</v>
      </c>
      <c r="AS15" s="1974">
        <f>ROUND(T17*$AX15,0)</f>
        <v>0</v>
      </c>
      <c r="AT15" s="1974">
        <f>ROUND(U17*$AX15,0)</f>
        <v>0</v>
      </c>
      <c r="AU15" s="1974">
        <f>ROUND(V17*$AX15,0)</f>
        <v>0</v>
      </c>
      <c r="AV15" s="1974">
        <f>ROUND(W17*$AX15,0)</f>
        <v>0</v>
      </c>
      <c r="AW15" s="1974">
        <f>ROUND(X15*$AX15,0)</f>
        <v>1191</v>
      </c>
      <c r="AX15" s="1277">
        <v>0.45</v>
      </c>
      <c r="AY15" s="1278"/>
      <c r="BF15" s="1258" t="s">
        <v>2115</v>
      </c>
      <c r="BG15" s="1258">
        <v>10</v>
      </c>
      <c r="BH15" s="1258">
        <v>45</v>
      </c>
      <c r="BI15" s="1258">
        <v>40</v>
      </c>
      <c r="BJ15" s="1258">
        <v>5</v>
      </c>
      <c r="BK15" s="1258">
        <v>83.6</v>
      </c>
      <c r="BL15" s="1258">
        <v>6844</v>
      </c>
    </row>
    <row r="16" spans="1:64" ht="20.100000000000001" customHeight="1">
      <c r="A16" s="2525"/>
      <c r="B16" s="2528"/>
      <c r="C16" s="1282"/>
      <c r="D16" s="1282"/>
      <c r="E16" s="1282"/>
      <c r="F16" s="1282"/>
      <c r="G16" s="1282"/>
      <c r="H16" s="1282"/>
      <c r="I16" s="2506"/>
      <c r="J16" s="2103"/>
      <c r="K16" s="2103"/>
      <c r="L16" s="2103"/>
      <c r="M16" s="2103"/>
      <c r="N16" s="2506"/>
      <c r="O16" s="2103"/>
      <c r="P16" s="2103"/>
      <c r="Q16" s="2103"/>
      <c r="R16" s="2103"/>
      <c r="S16" s="2506"/>
      <c r="T16" s="2103"/>
      <c r="U16" s="2103"/>
      <c r="V16" s="2103"/>
      <c r="W16" s="2103"/>
      <c r="X16" s="2506"/>
      <c r="Y16" s="2235"/>
      <c r="Z16" s="2525"/>
      <c r="AA16" s="1285" t="str">
        <f>CONCATENATE(AA17," 중복제외인구")</f>
        <v>용산산업단지 중복제외인구</v>
      </c>
      <c r="AB16" s="1282"/>
      <c r="AC16" s="1974">
        <f>-ROUND(IF(D17&gt;0,VLOOKUP($AA17,'사회적 유입 중복인구 제외근거'!$E$6:$F$12,2,FALSE),0),0)</f>
        <v>0</v>
      </c>
      <c r="AD16" s="1974">
        <f>-ROUND(IF(E17&gt;0,SUMIF('사회적 유입 중복인구 제외근거'!$E$6:$E$53,$AA17,'사회적 유입 중복인구 제외근거'!$F$6:$F$53),0),0)</f>
        <v>0</v>
      </c>
      <c r="AE16" s="1974">
        <f>-ROUND(IF(F17&gt;0,SUMIF('사회적 유입 중복인구 제외근거'!$E$6:$E$53,$AA17,'사회적 유입 중복인구 제외근거'!$F$6:$F$53),0),0)</f>
        <v>0</v>
      </c>
      <c r="AF16" s="1974">
        <f>-ROUND(IF(G17&gt;0,SUMIF('사회적 유입 중복인구 제외근거'!$E$6:$E$53,$AA17,'사회적 유입 중복인구 제외근거'!$F$6:$F$53),0),0)</f>
        <v>0</v>
      </c>
      <c r="AG16" s="1974">
        <f>-ROUND(IF(H17&gt;0,SUMIF('사회적 유입 중복인구 제외근거'!$E$6:$E$53,$AA17,'사회적 유입 중복인구 제외근거'!$F$6:$F$53),0),0)</f>
        <v>0</v>
      </c>
      <c r="AH16" s="1974">
        <f>-ROUND(IF(I15&gt;0,SUMIF('사회적 유입 중복인구 제외근거'!$E$6:$E$53,$AA17,'사회적 유입 중복인구 제외근거'!$F$6:$F$53),0),0)</f>
        <v>0</v>
      </c>
      <c r="AI16" s="1974">
        <f>-ROUND(IF(J17&gt;0,SUMIF('사회적 유입 중복인구 제외근거'!$E$6:$E$53,$AA17,'사회적 유입 중복인구 제외근거'!$F$6:$F$53),0),0)</f>
        <v>0</v>
      </c>
      <c r="AJ16" s="1974">
        <f>-ROUND(IF(K17&gt;0,SUMIF('사회적 유입 중복인구 제외근거'!$E$6:$E$53,$AA17,'사회적 유입 중복인구 제외근거'!$F$6:$F$53),0),0)</f>
        <v>0</v>
      </c>
      <c r="AK16" s="1974">
        <f>-ROUND(IF(L17&gt;0,SUMIF('사회적 유입 중복인구 제외근거'!$E$6:$E$53,$AA17,'사회적 유입 중복인구 제외근거'!$F$6:$F$53),0),0)</f>
        <v>0</v>
      </c>
      <c r="AL16" s="1974">
        <f>-ROUND(IF(M17&gt;0,SUMIF('사회적 유입 중복인구 제외근거'!$E$6:$E$53,$AA17,'사회적 유입 중복인구 제외근거'!$F$6:$F$53),0),0)</f>
        <v>0</v>
      </c>
      <c r="AM16" s="1974">
        <f>-ROUND(IF(N15&gt;0,SUMIF('사회적 유입 중복인구 제외근거'!$E$6:$E$53,$AA17,'사회적 유입 중복인구 제외근거'!$F$6:$F$53),0),0)</f>
        <v>0</v>
      </c>
      <c r="AN16" s="1974">
        <f>-ROUND(IF(O17&gt;0,SUMIF('사회적 유입 중복인구 제외근거'!$E$6:$E$53,$AA17,'사회적 유입 중복인구 제외근거'!$F$6:$F$53),0),0)</f>
        <v>0</v>
      </c>
      <c r="AO16" s="1974">
        <f>-ROUND(IF(P17&gt;0,SUMIF('사회적 유입 중복인구 제외근거'!$E$6:$E$53,$AA17,'사회적 유입 중복인구 제외근거'!$F$6:$F$53),0),0)</f>
        <v>0</v>
      </c>
      <c r="AP16" s="1974">
        <f>-ROUND(IF(Q17&gt;0,SUMIF('사회적 유입 중복인구 제외근거'!$E$6:$E$53,$AA17,'사회적 유입 중복인구 제외근거'!$F$6:$F$53),0),0)</f>
        <v>0</v>
      </c>
      <c r="AQ16" s="1974">
        <f>-ROUND(IF(R17&gt;0,SUMIF('사회적 유입 중복인구 제외근거'!$E$6:$E$53,$AA17,'사회적 유입 중복인구 제외근거'!$F$6:$F$53),0),0)</f>
        <v>0</v>
      </c>
      <c r="AR16" s="1974">
        <f>-ROUND(IF(S15&gt;0,SUMIF('사회적 유입 중복인구 제외근거'!$E$6:$E$53,$AA17,'사회적 유입 중복인구 제외근거'!$F$6:$F$53),0),0)</f>
        <v>0</v>
      </c>
      <c r="AS16" s="1974">
        <f>-ROUND(IF(T17&gt;0,SUMIF('사회적 유입 중복인구 제외근거'!$E$6:$E$53,$AA17,'사회적 유입 중복인구 제외근거'!$F$6:$F$53),0),0)</f>
        <v>0</v>
      </c>
      <c r="AT16" s="1974">
        <f>-ROUND(IF(U17&gt;0,SUMIF('사회적 유입 중복인구 제외근거'!$E$6:$E$53,$AA17,'사회적 유입 중복인구 제외근거'!$F$6:$F$53),0),0)</f>
        <v>0</v>
      </c>
      <c r="AU16" s="1974">
        <f>-ROUND(IF(V17&gt;0,SUMIF('사회적 유입 중복인구 제외근거'!$E$6:$E$53,$AA17,'사회적 유입 중복인구 제외근거'!$F$6:$F$53),0),0)</f>
        <v>0</v>
      </c>
      <c r="AV16" s="1974">
        <f>-ROUND(IF(W17&gt;0,SUMIF('사회적 유입 중복인구 제외근거'!$E$6:$E$53,$AA17,'사회적 유입 중복인구 제외근거'!$F$6:$F$53),0),0)</f>
        <v>0</v>
      </c>
      <c r="AW16" s="1974">
        <f>-ROUND(IF(X15&gt;0,SUMIF('사회적 유입 중복인구 제외근거'!$E$6:$E$53,$AA17,'사회적 유입 중복인구 제외근거'!$F$6:$F$53),0),0)</f>
        <v>0</v>
      </c>
      <c r="AX16" s="1277"/>
      <c r="AY16" s="1278"/>
      <c r="BF16" s="1258" t="s">
        <v>2119</v>
      </c>
      <c r="BG16" s="1258">
        <v>10</v>
      </c>
      <c r="BH16" s="1258">
        <v>45</v>
      </c>
      <c r="BI16" s="1258">
        <v>40</v>
      </c>
      <c r="BJ16" s="1258">
        <v>5</v>
      </c>
      <c r="BK16" s="1258">
        <v>54.9</v>
      </c>
      <c r="BL16" s="1258">
        <v>4317</v>
      </c>
    </row>
    <row r="17" spans="1:64" ht="20.100000000000001" customHeight="1">
      <c r="A17" s="2527"/>
      <c r="B17" s="2430"/>
      <c r="C17" s="2144"/>
      <c r="D17" s="1306">
        <f>IF(D$4='1.4.3개발계획현황'!K65,'1.4.3개발계획현황'!AA65,C15)</f>
        <v>0</v>
      </c>
      <c r="E17" s="1971">
        <f>IF(E$4='1.4.3개발계획현황'!$K$46,'1.4.3개발계획현황'!$AA$46,D17)</f>
        <v>0</v>
      </c>
      <c r="F17" s="1306">
        <f>IF(F$4='1.4.3개발계획현황'!$K$65,'1.4.3개발계획현황'!$AA$65,E17)</f>
        <v>0</v>
      </c>
      <c r="G17" s="1306">
        <f>IF(G$4='1.4.3개발계획현황'!$K$65,'1.4.3개발계획현황'!$AA$65,F17)</f>
        <v>0</v>
      </c>
      <c r="H17" s="1306">
        <f>IF(H$4='1.4.3개발계획현황'!$K$65,'1.4.3개발계획현황'!$AA$65,G17)</f>
        <v>0</v>
      </c>
      <c r="I17" s="2529"/>
      <c r="J17" s="1306">
        <f>IF(J$4='1.4.3개발계획현황'!$K$65,'1.4.3개발계획현황'!$AA$65,I15)</f>
        <v>0</v>
      </c>
      <c r="K17" s="1306">
        <f>IF(K$4='1.4.3개발계획현황'!$K$65,'1.4.3개발계획현황'!$AA$65,J17)</f>
        <v>0</v>
      </c>
      <c r="L17" s="1306">
        <f>IF(L$4='1.4.3개발계획현황'!$K$65,'1.4.3개발계획현황'!$AA$65,K17)</f>
        <v>0</v>
      </c>
      <c r="M17" s="1306">
        <f>IF(M$4='1.4.3개발계획현황'!$K$65,'1.4.3개발계획현황'!$AA$65,L17)</f>
        <v>0</v>
      </c>
      <c r="N17" s="2529"/>
      <c r="O17" s="1306">
        <f>IF(O$4='1.4.3개발계획현황'!$K$65,'1.4.3개발계획현황'!$AA$65,N15)</f>
        <v>0</v>
      </c>
      <c r="P17" s="1306">
        <f>IF(P$4='1.4.3개발계획현황'!$K$65,'1.4.3개발계획현황'!$AA$65,O17)</f>
        <v>0</v>
      </c>
      <c r="Q17" s="1306">
        <f>IF(Q$4='1.4.3개발계획현황'!$K$65,'1.4.3개발계획현황'!$AA$65,P17)</f>
        <v>0</v>
      </c>
      <c r="R17" s="1306">
        <f>IF(R$4='1.4.3개발계획현황'!$K$65,'1.4.3개발계획현황'!$AA$65,Q17)</f>
        <v>0</v>
      </c>
      <c r="S17" s="2529"/>
      <c r="T17" s="1306">
        <f>IF(T$4='1.4.3개발계획현황'!$K$65,'1.4.3개발계획현황'!$AA$65,S15)</f>
        <v>0</v>
      </c>
      <c r="U17" s="1306">
        <f>IF(U$4='1.4.3개발계획현황'!$K$65,'1.4.3개발계획현황'!$AA$65,T17)</f>
        <v>0</v>
      </c>
      <c r="V17" s="1306">
        <f>IF(V$4='1.4.3개발계획현황'!$K$65,'1.4.3개발계획현황'!$AA$65,U17)</f>
        <v>0</v>
      </c>
      <c r="W17" s="1306">
        <f>IF(W$4='1.4.3개발계획현황'!$K$65,'1.4.3개발계획현황'!$AA$65,V17)</f>
        <v>0</v>
      </c>
      <c r="X17" s="2529"/>
      <c r="Y17" s="2235"/>
      <c r="Z17" s="2525"/>
      <c r="AA17" s="1286" t="str">
        <f>B15</f>
        <v>용산산업단지</v>
      </c>
      <c r="AB17" s="1282"/>
      <c r="AC17" s="1287">
        <f>ROUND(AC15+AC16,0)</f>
        <v>0</v>
      </c>
      <c r="AD17" s="1287">
        <f t="shared" ref="AD17:AW17" si="7">ROUND(AD15+AD16,0)</f>
        <v>0</v>
      </c>
      <c r="AE17" s="1287">
        <f t="shared" si="7"/>
        <v>0</v>
      </c>
      <c r="AF17" s="1287">
        <f t="shared" si="7"/>
        <v>0</v>
      </c>
      <c r="AG17" s="1287">
        <f t="shared" si="7"/>
        <v>0</v>
      </c>
      <c r="AH17" s="1287">
        <f t="shared" si="7"/>
        <v>0</v>
      </c>
      <c r="AI17" s="1287">
        <f t="shared" si="7"/>
        <v>0</v>
      </c>
      <c r="AJ17" s="1287">
        <f t="shared" si="7"/>
        <v>0</v>
      </c>
      <c r="AK17" s="1287">
        <f t="shared" si="7"/>
        <v>0</v>
      </c>
      <c r="AL17" s="1287">
        <f t="shared" si="7"/>
        <v>0</v>
      </c>
      <c r="AM17" s="1287">
        <f t="shared" si="7"/>
        <v>0</v>
      </c>
      <c r="AN17" s="1287">
        <f t="shared" si="7"/>
        <v>0</v>
      </c>
      <c r="AO17" s="1287">
        <f t="shared" si="7"/>
        <v>0</v>
      </c>
      <c r="AP17" s="1287">
        <f t="shared" si="7"/>
        <v>0</v>
      </c>
      <c r="AQ17" s="1287">
        <f t="shared" si="7"/>
        <v>0</v>
      </c>
      <c r="AR17" s="1287">
        <f t="shared" si="7"/>
        <v>0</v>
      </c>
      <c r="AS17" s="1287">
        <f t="shared" si="7"/>
        <v>0</v>
      </c>
      <c r="AT17" s="1287">
        <f t="shared" si="7"/>
        <v>0</v>
      </c>
      <c r="AU17" s="1287">
        <f t="shared" si="7"/>
        <v>0</v>
      </c>
      <c r="AV17" s="1287">
        <f t="shared" si="7"/>
        <v>0</v>
      </c>
      <c r="AW17" s="1287">
        <f t="shared" si="7"/>
        <v>1191</v>
      </c>
      <c r="AX17" s="1288"/>
      <c r="AY17" s="1278"/>
      <c r="BF17" s="1258" t="s">
        <v>2120</v>
      </c>
      <c r="BG17" s="1258">
        <v>13</v>
      </c>
      <c r="BH17" s="1258">
        <v>27</v>
      </c>
      <c r="BI17" s="1258">
        <v>55</v>
      </c>
      <c r="BJ17" s="1258">
        <v>5</v>
      </c>
      <c r="BK17" s="1258">
        <v>40</v>
      </c>
      <c r="BL17" s="1258">
        <v>3211</v>
      </c>
    </row>
    <row r="18" spans="1:64" ht="20.100000000000001" customHeight="1">
      <c r="A18" s="2525"/>
      <c r="B18" s="2432" t="str">
        <f>'1.4.3개발계획현황'!A66</f>
        <v>음성산업단지</v>
      </c>
      <c r="C18" s="1282"/>
      <c r="D18" s="1282"/>
      <c r="E18" s="2103"/>
      <c r="F18" s="1282"/>
      <c r="G18" s="1282"/>
      <c r="H18" s="1282"/>
      <c r="I18" s="2503">
        <f>IF(I$4='1.4.3개발계획현황'!$K$66,'1.4.3개발계획현황'!$AA$66,H20)</f>
        <v>0</v>
      </c>
      <c r="J18" s="1959"/>
      <c r="K18" s="1280"/>
      <c r="L18" s="1280"/>
      <c r="M18" s="1280"/>
      <c r="N18" s="2503">
        <f>IF(N$4='1.4.3개발계획현황'!$K$66,'1.4.3개발계획현황'!$AA$66,M20)</f>
        <v>0</v>
      </c>
      <c r="O18" s="1280"/>
      <c r="P18" s="1280"/>
      <c r="Q18" s="1280"/>
      <c r="R18" s="1280"/>
      <c r="S18" s="2503">
        <f>IF(S$4='1.4.3개발계획현황'!$K$66,'1.4.3개발계획현황'!$AA$66,R20)</f>
        <v>0</v>
      </c>
      <c r="T18" s="1280"/>
      <c r="U18" s="1280"/>
      <c r="V18" s="1280"/>
      <c r="W18" s="1280"/>
      <c r="X18" s="2503">
        <f>IF(X$4='1.4.3개발계획현황'!$K$66,'1.4.3개발계획현황'!$AA$66,W20)</f>
        <v>3436</v>
      </c>
      <c r="Y18" s="2235"/>
      <c r="Z18" s="2525"/>
      <c r="AA18" s="1285" t="str">
        <f>CONCATENATE(AA20," 중복제외 전")</f>
        <v>음성산업단지 중복제외 전</v>
      </c>
      <c r="AB18" s="1282"/>
      <c r="AC18" s="1974">
        <f>ROUND(D20*$AX18,0)</f>
        <v>0</v>
      </c>
      <c r="AD18" s="1974">
        <f>ROUND(E20*$AX18,0)</f>
        <v>0</v>
      </c>
      <c r="AE18" s="1974">
        <f>ROUND(F20*$AX18,0)</f>
        <v>0</v>
      </c>
      <c r="AF18" s="1974">
        <f>ROUND(G20*$AX18,0)</f>
        <v>0</v>
      </c>
      <c r="AG18" s="1974">
        <f>ROUND(H20*$AX18,0)</f>
        <v>0</v>
      </c>
      <c r="AH18" s="1974">
        <f>ROUND(I18*$AX18,0)</f>
        <v>0</v>
      </c>
      <c r="AI18" s="1974">
        <f>ROUND(J20*$AX18,0)</f>
        <v>0</v>
      </c>
      <c r="AJ18" s="1974">
        <f>ROUND(K20*$AX18,0)</f>
        <v>0</v>
      </c>
      <c r="AK18" s="1974">
        <f>ROUND(L20*$AX18,0)</f>
        <v>0</v>
      </c>
      <c r="AL18" s="1974">
        <f>ROUND(M20*$AX18,0)</f>
        <v>0</v>
      </c>
      <c r="AM18" s="1974">
        <f>ROUND(N18*$AX18,0)</f>
        <v>0</v>
      </c>
      <c r="AN18" s="1974">
        <f>ROUND(O20*$AX18,0)</f>
        <v>0</v>
      </c>
      <c r="AO18" s="1974">
        <f>ROUND(P20*$AX18,0)</f>
        <v>0</v>
      </c>
      <c r="AP18" s="1974">
        <f>ROUND(Q20*$AX18,0)</f>
        <v>0</v>
      </c>
      <c r="AQ18" s="1974">
        <f>ROUND(R20*$AX18,0)</f>
        <v>0</v>
      </c>
      <c r="AR18" s="1974">
        <f>ROUND(S18*$AX18,0)</f>
        <v>0</v>
      </c>
      <c r="AS18" s="1974">
        <f>ROUND(T20*$AX18,0)</f>
        <v>0</v>
      </c>
      <c r="AT18" s="1974">
        <f>ROUND(U20*$AX18,0)</f>
        <v>0</v>
      </c>
      <c r="AU18" s="1974">
        <f>ROUND(V20*$AX18,0)</f>
        <v>0</v>
      </c>
      <c r="AV18" s="1974">
        <f>ROUND(W20*$AX18,0)</f>
        <v>0</v>
      </c>
      <c r="AW18" s="1974">
        <f>ROUND(X18*$AX18,0)</f>
        <v>1546</v>
      </c>
      <c r="AX18" s="1277">
        <v>0.45</v>
      </c>
      <c r="AY18" s="1278"/>
      <c r="BF18" s="1258" t="s">
        <v>2121</v>
      </c>
      <c r="BG18" s="1258">
        <v>10</v>
      </c>
      <c r="BH18" s="1258">
        <v>45</v>
      </c>
      <c r="BI18" s="1258">
        <v>40</v>
      </c>
      <c r="BJ18" s="1258">
        <v>5</v>
      </c>
      <c r="BK18" s="1258">
        <v>68.7</v>
      </c>
      <c r="BL18" s="1258">
        <v>3565</v>
      </c>
    </row>
    <row r="19" spans="1:64" ht="20.100000000000001" customHeight="1">
      <c r="A19" s="2525"/>
      <c r="B19" s="2432"/>
      <c r="C19" s="1282"/>
      <c r="D19" s="1282"/>
      <c r="E19" s="1282"/>
      <c r="F19" s="1282"/>
      <c r="G19" s="1282"/>
      <c r="H19" s="1282"/>
      <c r="I19" s="2506"/>
      <c r="J19" s="1280"/>
      <c r="K19" s="1280"/>
      <c r="L19" s="1280"/>
      <c r="M19" s="1280"/>
      <c r="N19" s="2506"/>
      <c r="O19" s="1280"/>
      <c r="P19" s="1280"/>
      <c r="Q19" s="1280"/>
      <c r="R19" s="1280"/>
      <c r="S19" s="2506"/>
      <c r="T19" s="1280"/>
      <c r="U19" s="1280"/>
      <c r="V19" s="1280"/>
      <c r="W19" s="1280"/>
      <c r="X19" s="2506"/>
      <c r="Y19" s="2235"/>
      <c r="Z19" s="2525"/>
      <c r="AA19" s="1285" t="str">
        <f>CONCATENATE(AA20," 중복제외인구")</f>
        <v>음성산업단지 중복제외인구</v>
      </c>
      <c r="AB19" s="1282"/>
      <c r="AC19" s="1974">
        <f>-ROUND(IF(D20&gt;0,VLOOKUP($AA20,'사회적 유입 중복인구 제외근거'!$E$6:$F$11,2,FALSE),0),0)</f>
        <v>0</v>
      </c>
      <c r="AD19" s="1974">
        <f>-ROUND(IF(E20&gt;0,SUMIF('사회적 유입 중복인구 제외근거'!$E$6:$E$53,$AA20,'사회적 유입 중복인구 제외근거'!$F$6:$F$53),0),0)</f>
        <v>0</v>
      </c>
      <c r="AE19" s="1974">
        <f>-ROUND(IF(F20&gt;0,SUMIF('사회적 유입 중복인구 제외근거'!$E$6:$E$53,$AA20,'사회적 유입 중복인구 제외근거'!$F$6:$F$53),0),0)</f>
        <v>0</v>
      </c>
      <c r="AF19" s="1974">
        <f>-ROUND(IF(G20&gt;0,SUMIF('사회적 유입 중복인구 제외근거'!$E$6:$E$53,$AA20,'사회적 유입 중복인구 제외근거'!$F$6:$F$53),0),0)</f>
        <v>0</v>
      </c>
      <c r="AG19" s="1974">
        <f>-ROUND(IF(H20&gt;0,SUMIF('사회적 유입 중복인구 제외근거'!$E$6:$E$53,$AA20,'사회적 유입 중복인구 제외근거'!$F$6:$F$53),0),0)</f>
        <v>0</v>
      </c>
      <c r="AH19" s="1974">
        <f>-ROUND(IF(I18&gt;0,SUMIF('사회적 유입 중복인구 제외근거'!$E$6:$E$53,$AA20,'사회적 유입 중복인구 제외근거'!$F$6:$F$53),0),0)</f>
        <v>0</v>
      </c>
      <c r="AI19" s="1974">
        <f>-ROUND(IF(J20&gt;0,SUMIF('사회적 유입 중복인구 제외근거'!$E$6:$E$53,$AA20,'사회적 유입 중복인구 제외근거'!$F$6:$F$53),0),0)</f>
        <v>0</v>
      </c>
      <c r="AJ19" s="1974">
        <f>-ROUND(IF(K20&gt;0,SUMIF('사회적 유입 중복인구 제외근거'!$E$6:$E$53,$AA20,'사회적 유입 중복인구 제외근거'!$F$6:$F$53),0),0)</f>
        <v>0</v>
      </c>
      <c r="AK19" s="1974">
        <f>-ROUND(IF(L20&gt;0,SUMIF('사회적 유입 중복인구 제외근거'!$E$6:$E$53,$AA20,'사회적 유입 중복인구 제외근거'!$F$6:$F$53),0),0)</f>
        <v>0</v>
      </c>
      <c r="AL19" s="1974">
        <f>-ROUND(IF(M20&gt;0,SUMIF('사회적 유입 중복인구 제외근거'!$E$6:$E$53,$AA20,'사회적 유입 중복인구 제외근거'!$F$6:$F$53),0),0)</f>
        <v>0</v>
      </c>
      <c r="AM19" s="1974">
        <f>-ROUND(IF(N18&gt;0,SUMIF('사회적 유입 중복인구 제외근거'!$E$6:$E$53,$AA20,'사회적 유입 중복인구 제외근거'!$F$6:$F$53),0),0)</f>
        <v>0</v>
      </c>
      <c r="AN19" s="1974">
        <f>-ROUND(IF(O20&gt;0,SUMIF('사회적 유입 중복인구 제외근거'!$E$6:$E$53,$AA20,'사회적 유입 중복인구 제외근거'!$F$6:$F$53),0),0)</f>
        <v>0</v>
      </c>
      <c r="AO19" s="1974">
        <f>-ROUND(IF(P20&gt;0,SUMIF('사회적 유입 중복인구 제외근거'!$E$6:$E$53,$AA20,'사회적 유입 중복인구 제외근거'!$F$6:$F$53),0),0)</f>
        <v>0</v>
      </c>
      <c r="AP19" s="1974">
        <f>-ROUND(IF(Q20&gt;0,SUMIF('사회적 유입 중복인구 제외근거'!$E$6:$E$53,$AA20,'사회적 유입 중복인구 제외근거'!$F$6:$F$53),0),0)</f>
        <v>0</v>
      </c>
      <c r="AQ19" s="1974">
        <f>-ROUND(IF(R20&gt;0,SUMIF('사회적 유입 중복인구 제외근거'!$E$6:$E$53,$AA20,'사회적 유입 중복인구 제외근거'!$F$6:$F$53),0),0)</f>
        <v>0</v>
      </c>
      <c r="AR19" s="1974">
        <f>-ROUND(IF(S18&gt;0,SUMIF('사회적 유입 중복인구 제외근거'!$E$6:$E$53,$AA20,'사회적 유입 중복인구 제외근거'!$F$6:$F$53),0),0)</f>
        <v>0</v>
      </c>
      <c r="AS19" s="1974">
        <f>-ROUND(IF(T20&gt;0,SUMIF('사회적 유입 중복인구 제외근거'!$E$6:$E$53,$AA20,'사회적 유입 중복인구 제외근거'!$F$6:$F$53),0),0)</f>
        <v>0</v>
      </c>
      <c r="AT19" s="1974">
        <f>-ROUND(IF(U20&gt;0,SUMIF('사회적 유입 중복인구 제외근거'!$E$6:$E$53,$AA20,'사회적 유입 중복인구 제외근거'!$F$6:$F$53),0),0)</f>
        <v>0</v>
      </c>
      <c r="AU19" s="1974">
        <f>-ROUND(IF(V20&gt;0,SUMIF('사회적 유입 중복인구 제외근거'!$E$6:$E$53,$AA20,'사회적 유입 중복인구 제외근거'!$F$6:$F$53),0),0)</f>
        <v>0</v>
      </c>
      <c r="AV19" s="1974">
        <f>-ROUND(IF(W20&gt;0,SUMIF('사회적 유입 중복인구 제외근거'!$E$6:$E$53,$AA20,'사회적 유입 중복인구 제외근거'!$F$6:$F$53),0),0)</f>
        <v>0</v>
      </c>
      <c r="AW19" s="1974">
        <f>-ROUND(IF(X18&gt;0,SUMIF('사회적 유입 중복인구 제외근거'!$E$6:$E$53,$AA20,'사회적 유입 중복인구 제외근거'!$F$6:$F$53),0),0)</f>
        <v>0</v>
      </c>
      <c r="AX19" s="1277"/>
      <c r="AY19" s="1278"/>
    </row>
    <row r="20" spans="1:64" ht="20.100000000000001" customHeight="1">
      <c r="A20" s="2525"/>
      <c r="B20" s="2432"/>
      <c r="C20" s="1282"/>
      <c r="D20" s="1958">
        <f>IF(D$4='1.4.3개발계획현황'!K66,'1.4.3개발계획현황'!AA66,C18)</f>
        <v>0</v>
      </c>
      <c r="E20" s="1970">
        <f>IF(E$4='1.4.3개발계획현황'!$K$46,'1.4.3개발계획현황'!$AA$46,D20)</f>
        <v>0</v>
      </c>
      <c r="F20" s="1958">
        <f>IF(F$4='1.4.3개발계획현황'!$K$66,'1.4.3개발계획현황'!$AA$66,E20)</f>
        <v>0</v>
      </c>
      <c r="G20" s="1958">
        <f>IF(G$4='1.4.3개발계획현황'!$K$66,'1.4.3개발계획현황'!$AA$66,F20)</f>
        <v>0</v>
      </c>
      <c r="H20" s="1958">
        <f>IF(H$4='1.4.3개발계획현황'!$K$66,'1.4.3개발계획현황'!$AA$66,G20)</f>
        <v>0</v>
      </c>
      <c r="I20" s="2505"/>
      <c r="J20" s="1958">
        <f>IF(J$4='1.4.3개발계획현황'!$K$66,'1.4.3개발계획현황'!$AA$66,I18)</f>
        <v>0</v>
      </c>
      <c r="K20" s="1958">
        <f>IF(K$4='1.4.3개발계획현황'!$K$66,'1.4.3개발계획현황'!$AA$66,J20)</f>
        <v>0</v>
      </c>
      <c r="L20" s="1958">
        <f>IF(L$4='1.4.3개발계획현황'!$K$66,'1.4.3개발계획현황'!$AA$66,K20)</f>
        <v>0</v>
      </c>
      <c r="M20" s="1958">
        <f>IF(M$4='1.4.3개발계획현황'!$K$66,'1.4.3개발계획현황'!$AA$66,L20)</f>
        <v>0</v>
      </c>
      <c r="N20" s="2505"/>
      <c r="O20" s="1958">
        <f>IF(O$4='1.4.3개발계획현황'!$K$66,'1.4.3개발계획현황'!$AA$66,N18)</f>
        <v>0</v>
      </c>
      <c r="P20" s="1958">
        <f>IF(P$4='1.4.3개발계획현황'!$K$66,'1.4.3개발계획현황'!$AA$66,O20)</f>
        <v>0</v>
      </c>
      <c r="Q20" s="1958">
        <f>IF(Q$4='1.4.3개발계획현황'!$K$66,'1.4.3개발계획현황'!$AA$66,P20)</f>
        <v>0</v>
      </c>
      <c r="R20" s="1958">
        <f>IF(R$4='1.4.3개발계획현황'!$K$66,'1.4.3개발계획현황'!$AA$66,Q20)</f>
        <v>0</v>
      </c>
      <c r="S20" s="2505"/>
      <c r="T20" s="1958">
        <f>IF(T$4='1.4.3개발계획현황'!$K$66,'1.4.3개발계획현황'!$AA$66,S18)</f>
        <v>0</v>
      </c>
      <c r="U20" s="1958">
        <f>IF(U$4='1.4.3개발계획현황'!$K$66,'1.4.3개발계획현황'!$AA$66,T20)</f>
        <v>0</v>
      </c>
      <c r="V20" s="1958">
        <f>IF(V$4='1.4.3개발계획현황'!$K$66,'1.4.3개발계획현황'!$AA$66,U20)</f>
        <v>0</v>
      </c>
      <c r="W20" s="1958">
        <f>IF(W$4='1.4.3개발계획현황'!$K$66,'1.4.3개발계획현황'!$AA$66,V20)</f>
        <v>0</v>
      </c>
      <c r="X20" s="2505"/>
      <c r="Y20" s="2235"/>
      <c r="Z20" s="2525"/>
      <c r="AA20" s="1286" t="str">
        <f>B18</f>
        <v>음성산업단지</v>
      </c>
      <c r="AB20" s="1282"/>
      <c r="AC20" s="1287">
        <f>ROUND(AC18+AC19,0)</f>
        <v>0</v>
      </c>
      <c r="AD20" s="1287">
        <f t="shared" ref="AD20:AW20" si="8">ROUND(AD18+AD19,0)</f>
        <v>0</v>
      </c>
      <c r="AE20" s="1287">
        <f t="shared" si="8"/>
        <v>0</v>
      </c>
      <c r="AF20" s="1287">
        <f t="shared" si="8"/>
        <v>0</v>
      </c>
      <c r="AG20" s="1287">
        <f t="shared" si="8"/>
        <v>0</v>
      </c>
      <c r="AH20" s="1287">
        <f t="shared" si="8"/>
        <v>0</v>
      </c>
      <c r="AI20" s="1287">
        <f t="shared" si="8"/>
        <v>0</v>
      </c>
      <c r="AJ20" s="1287">
        <f t="shared" si="8"/>
        <v>0</v>
      </c>
      <c r="AK20" s="1287">
        <f t="shared" si="8"/>
        <v>0</v>
      </c>
      <c r="AL20" s="1287">
        <f t="shared" si="8"/>
        <v>0</v>
      </c>
      <c r="AM20" s="1287">
        <f t="shared" si="8"/>
        <v>0</v>
      </c>
      <c r="AN20" s="1287">
        <f t="shared" si="8"/>
        <v>0</v>
      </c>
      <c r="AO20" s="1287">
        <f t="shared" si="8"/>
        <v>0</v>
      </c>
      <c r="AP20" s="1287">
        <f t="shared" si="8"/>
        <v>0</v>
      </c>
      <c r="AQ20" s="1287">
        <f t="shared" si="8"/>
        <v>0</v>
      </c>
      <c r="AR20" s="1287">
        <f t="shared" si="8"/>
        <v>0</v>
      </c>
      <c r="AS20" s="1287">
        <f t="shared" si="8"/>
        <v>0</v>
      </c>
      <c r="AT20" s="1287">
        <f t="shared" si="8"/>
        <v>0</v>
      </c>
      <c r="AU20" s="1287">
        <f t="shared" si="8"/>
        <v>0</v>
      </c>
      <c r="AV20" s="1287">
        <f t="shared" si="8"/>
        <v>0</v>
      </c>
      <c r="AW20" s="1287">
        <f t="shared" si="8"/>
        <v>1546</v>
      </c>
      <c r="AX20" s="1288"/>
      <c r="AY20" s="1278"/>
    </row>
    <row r="21" spans="1:64" ht="20.100000000000001" customHeight="1">
      <c r="A21" s="2525"/>
      <c r="B21" s="2432" t="str">
        <f>'1.4.3개발계획현황'!A67</f>
        <v>㈜에스지월드테크</v>
      </c>
      <c r="C21" s="1282"/>
      <c r="D21" s="1282"/>
      <c r="E21" s="2103"/>
      <c r="F21" s="1282"/>
      <c r="G21" s="1282"/>
      <c r="H21" s="1282"/>
      <c r="I21" s="2503">
        <f>IF(I$4='1.4.3개발계획현황'!$K$67,'1.4.3개발계획현황'!$AA$67,H23)</f>
        <v>0</v>
      </c>
      <c r="J21" s="1959"/>
      <c r="K21" s="1280"/>
      <c r="L21" s="1280"/>
      <c r="M21" s="1280"/>
      <c r="N21" s="2503">
        <f>IF(N$4='1.4.3개발계획현황'!$K$67,'1.4.3개발계획현황'!$AA$67,M23)</f>
        <v>0</v>
      </c>
      <c r="O21" s="1280"/>
      <c r="P21" s="1280"/>
      <c r="Q21" s="1280"/>
      <c r="R21" s="1280"/>
      <c r="S21" s="2503">
        <f>IF(S$4='1.4.3개발계획현황'!$K$67,'1.4.3개발계획현황'!$AA$67,R23)</f>
        <v>0</v>
      </c>
      <c r="T21" s="1280"/>
      <c r="U21" s="1280"/>
      <c r="V21" s="1280"/>
      <c r="W21" s="1280"/>
      <c r="X21" s="2503">
        <f>IF(X$4='1.4.3개발계획현황'!$K$67,'1.4.3개발계획현황'!$AA$67,W23)</f>
        <v>219</v>
      </c>
      <c r="Y21" s="2235"/>
      <c r="Z21" s="2525"/>
      <c r="AA21" s="1285" t="str">
        <f>CONCATENATE(AA23," 중복제외 전")</f>
        <v>㈜에스지월드테크 중복제외 전</v>
      </c>
      <c r="AB21" s="1282"/>
      <c r="AC21" s="1974">
        <f>ROUND(D23*$AX21,0)</f>
        <v>0</v>
      </c>
      <c r="AD21" s="1974">
        <f>ROUND(E23*$AX21,0)</f>
        <v>0</v>
      </c>
      <c r="AE21" s="1974">
        <f>ROUND(F23*$AX21,0)</f>
        <v>0</v>
      </c>
      <c r="AF21" s="1974">
        <f>ROUND(G23*$AX21,0)</f>
        <v>0</v>
      </c>
      <c r="AG21" s="1974">
        <f>ROUND(H23*$AX21,0)</f>
        <v>0</v>
      </c>
      <c r="AH21" s="1974">
        <f>ROUND(I21*$AX21,0)</f>
        <v>0</v>
      </c>
      <c r="AI21" s="1974">
        <f>ROUND(J23*$AX21,0)</f>
        <v>0</v>
      </c>
      <c r="AJ21" s="1974">
        <f>ROUND(K23*$AX21,0)</f>
        <v>0</v>
      </c>
      <c r="AK21" s="1974">
        <f>ROUND(L23*$AX21,0)</f>
        <v>0</v>
      </c>
      <c r="AL21" s="1974">
        <f>ROUND(M23*$AX21,0)</f>
        <v>0</v>
      </c>
      <c r="AM21" s="1974">
        <f>ROUND(N21*$AX21,0)</f>
        <v>0</v>
      </c>
      <c r="AN21" s="1974">
        <f>ROUND(O23*$AX21,0)</f>
        <v>0</v>
      </c>
      <c r="AO21" s="1974">
        <f>ROUND(P23*$AX21,0)</f>
        <v>0</v>
      </c>
      <c r="AP21" s="1974">
        <f>ROUND(Q23*$AX21,0)</f>
        <v>0</v>
      </c>
      <c r="AQ21" s="1974">
        <f>ROUND(R23*$AX21,0)</f>
        <v>0</v>
      </c>
      <c r="AR21" s="1974">
        <f>ROUND(S21*$AX21,0)</f>
        <v>0</v>
      </c>
      <c r="AS21" s="1974">
        <f>ROUND(T23*$AX21,0)</f>
        <v>0</v>
      </c>
      <c r="AT21" s="1974">
        <f>ROUND(U23*$AX21,0)</f>
        <v>0</v>
      </c>
      <c r="AU21" s="1974">
        <f>ROUND(V23*$AX21,0)</f>
        <v>0</v>
      </c>
      <c r="AV21" s="1974">
        <f>ROUND(W23*$AX21,0)</f>
        <v>0</v>
      </c>
      <c r="AW21" s="1974">
        <f>ROUND(X21*$AX21,0)</f>
        <v>99</v>
      </c>
      <c r="AX21" s="1277">
        <v>0.45</v>
      </c>
      <c r="AY21" s="1278"/>
    </row>
    <row r="22" spans="1:64" ht="20.100000000000001" customHeight="1">
      <c r="A22" s="2525"/>
      <c r="B22" s="2432"/>
      <c r="C22" s="1282"/>
      <c r="D22" s="1282"/>
      <c r="E22" s="1282"/>
      <c r="F22" s="1282"/>
      <c r="G22" s="1282"/>
      <c r="H22" s="1282"/>
      <c r="I22" s="2506"/>
      <c r="J22" s="1280"/>
      <c r="K22" s="1280"/>
      <c r="L22" s="1280"/>
      <c r="M22" s="1280"/>
      <c r="N22" s="2506"/>
      <c r="O22" s="1280"/>
      <c r="P22" s="1280"/>
      <c r="Q22" s="1280"/>
      <c r="R22" s="1280"/>
      <c r="S22" s="2506"/>
      <c r="T22" s="1280"/>
      <c r="U22" s="1280"/>
      <c r="V22" s="1280"/>
      <c r="W22" s="1280"/>
      <c r="X22" s="2506"/>
      <c r="Y22" s="2235"/>
      <c r="Z22" s="2525"/>
      <c r="AA22" s="1285" t="str">
        <f>CONCATENATE(AA23," 중복제외인구")</f>
        <v>㈜에스지월드테크 중복제외인구</v>
      </c>
      <c r="AB22" s="1282"/>
      <c r="AC22" s="1974">
        <f>-ROUND(IF(D23&gt;0,VLOOKUP($AA23,'사회적 유입 중복인구 제외근거'!$E$6:$F$11,2,FALSE),0),0)</f>
        <v>0</v>
      </c>
      <c r="AD22" s="1974">
        <f>-ROUND(IF(E23&gt;0,SUMIF('사회적 유입 중복인구 제외근거'!$E$6:$E$53,$AA23,'사회적 유입 중복인구 제외근거'!$F$6:$F$53),0),0)</f>
        <v>0</v>
      </c>
      <c r="AE22" s="1974">
        <f>-ROUND(IF(F23&gt;0,SUMIF('사회적 유입 중복인구 제외근거'!$E$6:$E$53,$AA23,'사회적 유입 중복인구 제외근거'!$F$6:$F$53),0),0)</f>
        <v>0</v>
      </c>
      <c r="AF22" s="1974">
        <f>-ROUND(IF(G23&gt;0,SUMIF('사회적 유입 중복인구 제외근거'!$E$6:$E$53,$AA23,'사회적 유입 중복인구 제외근거'!$F$6:$F$53),0),0)</f>
        <v>0</v>
      </c>
      <c r="AG22" s="1974">
        <f>-ROUND(IF(H23&gt;0,SUMIF('사회적 유입 중복인구 제외근거'!$E$6:$E$53,$AA23,'사회적 유입 중복인구 제외근거'!$F$6:$F$53),0),0)</f>
        <v>0</v>
      </c>
      <c r="AH22" s="1974">
        <f>-ROUND(IF(I21&gt;0,SUMIF('사회적 유입 중복인구 제외근거'!$E$6:$E$53,$AA23,'사회적 유입 중복인구 제외근거'!$F$6:$F$53),0),0)</f>
        <v>0</v>
      </c>
      <c r="AI22" s="1974">
        <f>-ROUND(IF(J23&gt;0,SUMIF('사회적 유입 중복인구 제외근거'!$E$6:$E$53,$AA23,'사회적 유입 중복인구 제외근거'!$F$6:$F$53),0),0)</f>
        <v>0</v>
      </c>
      <c r="AJ22" s="1974">
        <f>-ROUND(IF(K23&gt;0,SUMIF('사회적 유입 중복인구 제외근거'!$E$6:$E$53,$AA23,'사회적 유입 중복인구 제외근거'!$F$6:$F$53),0),0)</f>
        <v>0</v>
      </c>
      <c r="AK22" s="1974">
        <f>-ROUND(IF(L23&gt;0,SUMIF('사회적 유입 중복인구 제외근거'!$E$6:$E$53,$AA23,'사회적 유입 중복인구 제외근거'!$F$6:$F$53),0),0)</f>
        <v>0</v>
      </c>
      <c r="AL22" s="1974">
        <f>-ROUND(IF(M23&gt;0,SUMIF('사회적 유입 중복인구 제외근거'!$E$6:$E$53,$AA23,'사회적 유입 중복인구 제외근거'!$F$6:$F$53),0),0)</f>
        <v>0</v>
      </c>
      <c r="AM22" s="1974">
        <f>-ROUND(IF(N21&gt;0,SUMIF('사회적 유입 중복인구 제외근거'!$E$6:$E$53,$AA23,'사회적 유입 중복인구 제외근거'!$F$6:$F$53),0),0)</f>
        <v>0</v>
      </c>
      <c r="AN22" s="1974">
        <f>-ROUND(IF(O23&gt;0,SUMIF('사회적 유입 중복인구 제외근거'!$E$6:$E$53,$AA23,'사회적 유입 중복인구 제외근거'!$F$6:$F$53),0),0)</f>
        <v>0</v>
      </c>
      <c r="AO22" s="1974">
        <f>-ROUND(IF(P23&gt;0,SUMIF('사회적 유입 중복인구 제외근거'!$E$6:$E$53,$AA23,'사회적 유입 중복인구 제외근거'!$F$6:$F$53),0),0)</f>
        <v>0</v>
      </c>
      <c r="AP22" s="1974">
        <f>-ROUND(IF(Q23&gt;0,SUMIF('사회적 유입 중복인구 제외근거'!$E$6:$E$53,$AA23,'사회적 유입 중복인구 제외근거'!$F$6:$F$53),0),0)</f>
        <v>0</v>
      </c>
      <c r="AQ22" s="1974">
        <f>-ROUND(IF(R23&gt;0,SUMIF('사회적 유입 중복인구 제외근거'!$E$6:$E$53,$AA23,'사회적 유입 중복인구 제외근거'!$F$6:$F$53),0),0)</f>
        <v>0</v>
      </c>
      <c r="AR22" s="1974">
        <f>-ROUND(IF(S21&gt;0,SUMIF('사회적 유입 중복인구 제외근거'!$E$6:$E$53,$AA23,'사회적 유입 중복인구 제외근거'!$F$6:$F$53),0),0)</f>
        <v>0</v>
      </c>
      <c r="AS22" s="1974">
        <f>-ROUND(IF(T23&gt;0,SUMIF('사회적 유입 중복인구 제외근거'!$E$6:$E$53,$AA23,'사회적 유입 중복인구 제외근거'!$F$6:$F$53),0),0)</f>
        <v>0</v>
      </c>
      <c r="AT22" s="1974">
        <f>-ROUND(IF(U23&gt;0,SUMIF('사회적 유입 중복인구 제외근거'!$E$6:$E$53,$AA23,'사회적 유입 중복인구 제외근거'!$F$6:$F$53),0),0)</f>
        <v>0</v>
      </c>
      <c r="AU22" s="1974">
        <f>-ROUND(IF(V23&gt;0,SUMIF('사회적 유입 중복인구 제외근거'!$E$6:$E$53,$AA23,'사회적 유입 중복인구 제외근거'!$F$6:$F$53),0),0)</f>
        <v>0</v>
      </c>
      <c r="AV22" s="1974">
        <f>-ROUND(IF(W23&gt;0,SUMIF('사회적 유입 중복인구 제외근거'!$E$6:$E$53,$AA23,'사회적 유입 중복인구 제외근거'!$F$6:$F$53),0),0)</f>
        <v>0</v>
      </c>
      <c r="AW22" s="1974">
        <f>-ROUND(IF(X21&gt;0,SUMIF('사회적 유입 중복인구 제외근거'!$E$6:$E$53,$AA23,'사회적 유입 중복인구 제외근거'!$F$6:$F$53),0),0)</f>
        <v>0</v>
      </c>
      <c r="AX22" s="1277"/>
      <c r="AY22" s="1278"/>
    </row>
    <row r="23" spans="1:64" ht="20.100000000000001" customHeight="1">
      <c r="A23" s="2525"/>
      <c r="B23" s="2432"/>
      <c r="C23" s="1282"/>
      <c r="D23" s="1958">
        <f>IF(D$4='1.4.3개발계획현황'!K67,'1.4.3개발계획현황'!AA67,C21)</f>
        <v>0</v>
      </c>
      <c r="E23" s="1971">
        <f>IF(E$4='1.4.3개발계획현황'!$K$46,'1.4.3개발계획현황'!$AA$46,D23)</f>
        <v>0</v>
      </c>
      <c r="F23" s="1958">
        <f>IF(F$4='1.4.3개발계획현황'!$K$67,'1.4.3개발계획현황'!$AA$67,E23)</f>
        <v>0</v>
      </c>
      <c r="G23" s="1958">
        <f>IF(G$4='1.4.3개발계획현황'!$K$67,'1.4.3개발계획현황'!$AA$67,F23)</f>
        <v>0</v>
      </c>
      <c r="H23" s="1958">
        <f>IF(H$4='1.4.3개발계획현황'!$K$67,'1.4.3개발계획현황'!$AA$67,G23)</f>
        <v>0</v>
      </c>
      <c r="I23" s="2505"/>
      <c r="J23" s="1958">
        <f>IF(J$4='1.4.3개발계획현황'!$K$67,'1.4.3개발계획현황'!$AA$67,I21)</f>
        <v>0</v>
      </c>
      <c r="K23" s="1958">
        <f>IF(K$4='1.4.3개발계획현황'!$K$67,'1.4.3개발계획현황'!$AA$67,J23)</f>
        <v>0</v>
      </c>
      <c r="L23" s="1958">
        <f>IF(L$4='1.4.3개발계획현황'!$K$67,'1.4.3개발계획현황'!$AA$67,K23)</f>
        <v>0</v>
      </c>
      <c r="M23" s="1958">
        <f>IF(M$4='1.4.3개발계획현황'!$K$67,'1.4.3개발계획현황'!$AA$67,L23)</f>
        <v>0</v>
      </c>
      <c r="N23" s="2505"/>
      <c r="O23" s="1958">
        <f>IF(O$4='1.4.3개발계획현황'!$K$67,'1.4.3개발계획현황'!$AA$67,N21)</f>
        <v>0</v>
      </c>
      <c r="P23" s="1958">
        <f>IF(P$4='1.4.3개발계획현황'!$K$67,'1.4.3개발계획현황'!$AA$67,O23)</f>
        <v>0</v>
      </c>
      <c r="Q23" s="1958">
        <f>IF(Q$4='1.4.3개발계획현황'!$K$67,'1.4.3개발계획현황'!$AA$67,P23)</f>
        <v>0</v>
      </c>
      <c r="R23" s="1958">
        <f>IF(R$4='1.4.3개발계획현황'!$K$67,'1.4.3개발계획현황'!$AA$67,Q23)</f>
        <v>0</v>
      </c>
      <c r="S23" s="2505"/>
      <c r="T23" s="1958">
        <f>IF(T$4='1.4.3개발계획현황'!$K$67,'1.4.3개발계획현황'!$AA$67,S21)</f>
        <v>0</v>
      </c>
      <c r="U23" s="1958">
        <f>IF(U$4='1.4.3개발계획현황'!$K$67,'1.4.3개발계획현황'!$AA$67,T23)</f>
        <v>0</v>
      </c>
      <c r="V23" s="1958">
        <f>IF(V$4='1.4.3개발계획현황'!$K$67,'1.4.3개발계획현황'!$AA$67,U23)</f>
        <v>0</v>
      </c>
      <c r="W23" s="1958">
        <f>IF(W$4='1.4.3개발계획현황'!$K$67,'1.4.3개발계획현황'!$AA$67,V23)</f>
        <v>0</v>
      </c>
      <c r="X23" s="2505"/>
      <c r="Y23" s="2235"/>
      <c r="Z23" s="2525"/>
      <c r="AA23" s="1286" t="str">
        <f>B21</f>
        <v>㈜에스지월드테크</v>
      </c>
      <c r="AB23" s="1282"/>
      <c r="AC23" s="1287">
        <f>ROUND(AC21+AC22,0)</f>
        <v>0</v>
      </c>
      <c r="AD23" s="1287">
        <f t="shared" ref="AD23:AW23" si="9">ROUND(AD21+AD22,0)</f>
        <v>0</v>
      </c>
      <c r="AE23" s="1287">
        <f t="shared" si="9"/>
        <v>0</v>
      </c>
      <c r="AF23" s="1287">
        <f t="shared" si="9"/>
        <v>0</v>
      </c>
      <c r="AG23" s="1287">
        <f t="shared" si="9"/>
        <v>0</v>
      </c>
      <c r="AH23" s="1287">
        <f t="shared" si="9"/>
        <v>0</v>
      </c>
      <c r="AI23" s="1287">
        <f t="shared" si="9"/>
        <v>0</v>
      </c>
      <c r="AJ23" s="1287">
        <f t="shared" si="9"/>
        <v>0</v>
      </c>
      <c r="AK23" s="1287">
        <f t="shared" si="9"/>
        <v>0</v>
      </c>
      <c r="AL23" s="1287">
        <f t="shared" si="9"/>
        <v>0</v>
      </c>
      <c r="AM23" s="1287">
        <f t="shared" si="9"/>
        <v>0</v>
      </c>
      <c r="AN23" s="1287">
        <f t="shared" si="9"/>
        <v>0</v>
      </c>
      <c r="AO23" s="1287">
        <f t="shared" si="9"/>
        <v>0</v>
      </c>
      <c r="AP23" s="1287">
        <f t="shared" si="9"/>
        <v>0</v>
      </c>
      <c r="AQ23" s="1287">
        <f t="shared" si="9"/>
        <v>0</v>
      </c>
      <c r="AR23" s="1287">
        <f t="shared" si="9"/>
        <v>0</v>
      </c>
      <c r="AS23" s="1287">
        <f t="shared" si="9"/>
        <v>0</v>
      </c>
      <c r="AT23" s="1287">
        <f t="shared" si="9"/>
        <v>0</v>
      </c>
      <c r="AU23" s="1287">
        <f t="shared" si="9"/>
        <v>0</v>
      </c>
      <c r="AV23" s="1287">
        <f t="shared" si="9"/>
        <v>0</v>
      </c>
      <c r="AW23" s="1287">
        <f t="shared" si="9"/>
        <v>99</v>
      </c>
      <c r="AX23" s="1288"/>
      <c r="AY23" s="1278"/>
    </row>
    <row r="24" spans="1:64" ht="20.100000000000001" customHeight="1">
      <c r="A24" s="2525"/>
      <c r="B24" s="2432" t="str">
        <f>'1.4.3개발계획현황'!A68</f>
        <v>lng 발전소</v>
      </c>
      <c r="C24" s="1282"/>
      <c r="D24" s="1282"/>
      <c r="E24" s="2103"/>
      <c r="F24" s="1282"/>
      <c r="G24" s="1282"/>
      <c r="H24" s="1282"/>
      <c r="I24" s="2503">
        <f>IF(I$4='1.4.3개발계획현황'!$K$68,'1.4.3개발계획현황'!$AA$68,H26)</f>
        <v>0</v>
      </c>
      <c r="J24" s="1959"/>
      <c r="K24" s="1280"/>
      <c r="L24" s="1280"/>
      <c r="M24" s="1280"/>
      <c r="N24" s="2503">
        <f>IF(N$4='1.4.3개발계획현황'!$K$68,'1.4.3개발계획현황'!$AA$68,M26)</f>
        <v>0</v>
      </c>
      <c r="O24" s="1280"/>
      <c r="P24" s="1280"/>
      <c r="Q24" s="1280"/>
      <c r="R24" s="1280"/>
      <c r="S24" s="2503">
        <f>IF(S$4='1.4.3개발계획현황'!$K$68,'1.4.3개발계획현황'!$AA$68,R26)</f>
        <v>0</v>
      </c>
      <c r="T24" s="1280"/>
      <c r="U24" s="1280"/>
      <c r="V24" s="1280"/>
      <c r="W24" s="1280"/>
      <c r="X24" s="2503">
        <f>IF(X$4='1.4.3개발계획현황'!$K$68,'1.4.3개발계획현황'!$AA$68,W26)</f>
        <v>500</v>
      </c>
      <c r="Y24" s="2235"/>
      <c r="Z24" s="2525"/>
      <c r="AA24" s="1285" t="str">
        <f>CONCATENATE(AA26," 중복제외 전")</f>
        <v>lng 발전소 중복제외 전</v>
      </c>
      <c r="AB24" s="1282"/>
      <c r="AC24" s="1974">
        <f>ROUND(D26*$AX24,0)</f>
        <v>0</v>
      </c>
      <c r="AD24" s="1974">
        <f>ROUND(E26*$AX24,0)</f>
        <v>0</v>
      </c>
      <c r="AE24" s="1974">
        <f>ROUND(F26*$AX24,0)</f>
        <v>0</v>
      </c>
      <c r="AF24" s="1974">
        <f>ROUND(G26*$AX24,0)</f>
        <v>0</v>
      </c>
      <c r="AG24" s="1974">
        <f>ROUND(H26*$AX24,0)</f>
        <v>0</v>
      </c>
      <c r="AH24" s="1974">
        <f>ROUND(I24*$AX24,0)</f>
        <v>0</v>
      </c>
      <c r="AI24" s="1974">
        <f>ROUND(J26*$AX24,0)</f>
        <v>0</v>
      </c>
      <c r="AJ24" s="1974">
        <f>ROUND(K26*$AX24,0)</f>
        <v>0</v>
      </c>
      <c r="AK24" s="1974">
        <f>ROUND(L26*$AX24,0)</f>
        <v>0</v>
      </c>
      <c r="AL24" s="1974">
        <f>ROUND(M26*$AX24,0)</f>
        <v>0</v>
      </c>
      <c r="AM24" s="1974">
        <f>ROUND(N24*$AX24,0)</f>
        <v>0</v>
      </c>
      <c r="AN24" s="1974">
        <f>ROUND(O26*$AX24,0)</f>
        <v>0</v>
      </c>
      <c r="AO24" s="1974">
        <f>ROUND(P26*$AX24,0)</f>
        <v>0</v>
      </c>
      <c r="AP24" s="1974">
        <f>ROUND(Q26*$AX24,0)</f>
        <v>0</v>
      </c>
      <c r="AQ24" s="1974">
        <f>ROUND(R26*$AX24,0)</f>
        <v>0</v>
      </c>
      <c r="AR24" s="1974">
        <f>ROUND(S24*$AX24,0)</f>
        <v>0</v>
      </c>
      <c r="AS24" s="1974">
        <f>ROUND(T26*$AX24,0)</f>
        <v>0</v>
      </c>
      <c r="AT24" s="1974">
        <f>ROUND(U26*$AX24,0)</f>
        <v>0</v>
      </c>
      <c r="AU24" s="1974">
        <f>ROUND(V26*$AX24,0)</f>
        <v>0</v>
      </c>
      <c r="AV24" s="1974">
        <f>ROUND(W26*$AX24,0)</f>
        <v>0</v>
      </c>
      <c r="AW24" s="1974">
        <f>ROUND(X24*$AX24,0)</f>
        <v>225</v>
      </c>
      <c r="AX24" s="1277">
        <v>0.45</v>
      </c>
      <c r="AY24" s="1278"/>
    </row>
    <row r="25" spans="1:64" ht="20.100000000000001" customHeight="1">
      <c r="A25" s="2525"/>
      <c r="B25" s="2432"/>
      <c r="C25" s="1282"/>
      <c r="D25" s="1282"/>
      <c r="E25" s="1282"/>
      <c r="F25" s="1282"/>
      <c r="G25" s="1282"/>
      <c r="H25" s="1282"/>
      <c r="I25" s="2506"/>
      <c r="J25" s="1280"/>
      <c r="K25" s="1280"/>
      <c r="L25" s="1280"/>
      <c r="M25" s="1280"/>
      <c r="N25" s="2506"/>
      <c r="O25" s="1280"/>
      <c r="P25" s="1280"/>
      <c r="Q25" s="1280"/>
      <c r="R25" s="1280"/>
      <c r="S25" s="2506"/>
      <c r="T25" s="1280"/>
      <c r="U25" s="1280"/>
      <c r="V25" s="1280"/>
      <c r="W25" s="1280"/>
      <c r="X25" s="2506"/>
      <c r="Y25" s="2235"/>
      <c r="Z25" s="2525"/>
      <c r="AA25" s="1285" t="str">
        <f>CONCATENATE(AA26," 중복제외인구")</f>
        <v>lng 발전소 중복제외인구</v>
      </c>
      <c r="AB25" s="1282"/>
      <c r="AC25" s="1974">
        <f>-ROUND(IF(D26&gt;0,VLOOKUP($AA26,'사회적 유입 중복인구 제외근거'!$E$6:$F$11,2,FALSE),0),0)</f>
        <v>0</v>
      </c>
      <c r="AD25" s="1974">
        <f>-ROUND(IF(E26&gt;0,SUMIF('사회적 유입 중복인구 제외근거'!$E$6:$E$53,$AA26,'사회적 유입 중복인구 제외근거'!$F$6:$F$53),0),0)</f>
        <v>0</v>
      </c>
      <c r="AE25" s="1974">
        <f>-ROUND(IF(F26&gt;0,SUMIF('사회적 유입 중복인구 제외근거'!$E$6:$E$53,$AA26,'사회적 유입 중복인구 제외근거'!$F$6:$F$53),0),0)</f>
        <v>0</v>
      </c>
      <c r="AF25" s="1974">
        <f>-ROUND(IF(G26&gt;0,SUMIF('사회적 유입 중복인구 제외근거'!$E$6:$E$53,$AA26,'사회적 유입 중복인구 제외근거'!$F$6:$F$53),0),0)</f>
        <v>0</v>
      </c>
      <c r="AG25" s="1974">
        <f>-ROUND(IF(H26&gt;0,SUMIF('사회적 유입 중복인구 제외근거'!$E$6:$E$53,$AA26,'사회적 유입 중복인구 제외근거'!$F$6:$F$53),0),0)</f>
        <v>0</v>
      </c>
      <c r="AH25" s="1974">
        <f>-ROUND(IF(I24&gt;0,SUMIF('사회적 유입 중복인구 제외근거'!$E$6:$E$53,$AA26,'사회적 유입 중복인구 제외근거'!$F$6:$F$53),0),0)</f>
        <v>0</v>
      </c>
      <c r="AI25" s="1974">
        <f>-ROUND(IF(J26&gt;0,SUMIF('사회적 유입 중복인구 제외근거'!$E$6:$E$53,$AA26,'사회적 유입 중복인구 제외근거'!$F$6:$F$53),0),0)</f>
        <v>0</v>
      </c>
      <c r="AJ25" s="1974">
        <f>-ROUND(IF(K26&gt;0,SUMIF('사회적 유입 중복인구 제외근거'!$E$6:$E$53,$AA26,'사회적 유입 중복인구 제외근거'!$F$6:$F$53),0),0)</f>
        <v>0</v>
      </c>
      <c r="AK25" s="1974">
        <f>-ROUND(IF(L26&gt;0,SUMIF('사회적 유입 중복인구 제외근거'!$E$6:$E$53,$AA26,'사회적 유입 중복인구 제외근거'!$F$6:$F$53),0),0)</f>
        <v>0</v>
      </c>
      <c r="AL25" s="1974">
        <f>-ROUND(IF(M26&gt;0,SUMIF('사회적 유입 중복인구 제외근거'!$E$6:$E$53,$AA26,'사회적 유입 중복인구 제외근거'!$F$6:$F$53),0),0)</f>
        <v>0</v>
      </c>
      <c r="AM25" s="1974">
        <f>-ROUND(IF(N24&gt;0,SUMIF('사회적 유입 중복인구 제외근거'!$E$6:$E$53,$AA26,'사회적 유입 중복인구 제외근거'!$F$6:$F$53),0),0)</f>
        <v>0</v>
      </c>
      <c r="AN25" s="1974">
        <f>-ROUND(IF(O26&gt;0,SUMIF('사회적 유입 중복인구 제외근거'!$E$6:$E$53,$AA26,'사회적 유입 중복인구 제외근거'!$F$6:$F$53),0),0)</f>
        <v>0</v>
      </c>
      <c r="AO25" s="1974">
        <f>-ROUND(IF(P26&gt;0,SUMIF('사회적 유입 중복인구 제외근거'!$E$6:$E$53,$AA26,'사회적 유입 중복인구 제외근거'!$F$6:$F$53),0),0)</f>
        <v>0</v>
      </c>
      <c r="AP25" s="1974">
        <f>-ROUND(IF(Q26&gt;0,SUMIF('사회적 유입 중복인구 제외근거'!$E$6:$E$53,$AA26,'사회적 유입 중복인구 제외근거'!$F$6:$F$53),0),0)</f>
        <v>0</v>
      </c>
      <c r="AQ25" s="1974">
        <f>-ROUND(IF(R26&gt;0,SUMIF('사회적 유입 중복인구 제외근거'!$E$6:$E$53,$AA26,'사회적 유입 중복인구 제외근거'!$F$6:$F$53),0),0)</f>
        <v>0</v>
      </c>
      <c r="AR25" s="1974">
        <f>-ROUND(IF(S24&gt;0,SUMIF('사회적 유입 중복인구 제외근거'!$E$6:$E$53,$AA26,'사회적 유입 중복인구 제외근거'!$F$6:$F$53),0),0)</f>
        <v>0</v>
      </c>
      <c r="AS25" s="1974">
        <f>-ROUND(IF(T26&gt;0,SUMIF('사회적 유입 중복인구 제외근거'!$E$6:$E$53,$AA26,'사회적 유입 중복인구 제외근거'!$F$6:$F$53),0),0)</f>
        <v>0</v>
      </c>
      <c r="AT25" s="1974">
        <f>-ROUND(IF(U26&gt;0,SUMIF('사회적 유입 중복인구 제외근거'!$E$6:$E$53,$AA26,'사회적 유입 중복인구 제외근거'!$F$6:$F$53),0),0)</f>
        <v>0</v>
      </c>
      <c r="AU25" s="1974">
        <f>-ROUND(IF(V26&gt;0,SUMIF('사회적 유입 중복인구 제외근거'!$E$6:$E$53,$AA26,'사회적 유입 중복인구 제외근거'!$F$6:$F$53),0),0)</f>
        <v>0</v>
      </c>
      <c r="AV25" s="1974">
        <f>-ROUND(IF(W26&gt;0,SUMIF('사회적 유입 중복인구 제외근거'!$E$6:$E$53,$AA26,'사회적 유입 중복인구 제외근거'!$F$6:$F$53),0),0)</f>
        <v>0</v>
      </c>
      <c r="AW25" s="1974">
        <f>-ROUND(IF(X24&gt;0,SUMIF('사회적 유입 중복인구 제외근거'!$E$6:$E$53,$AA26,'사회적 유입 중복인구 제외근거'!$F$6:$F$53),0),0)</f>
        <v>0</v>
      </c>
      <c r="AX25" s="1277"/>
      <c r="AY25" s="1278"/>
    </row>
    <row r="26" spans="1:64" ht="20.100000000000001" customHeight="1">
      <c r="A26" s="2525"/>
      <c r="B26" s="2432"/>
      <c r="C26" s="1282"/>
      <c r="D26" s="1958">
        <f>IF(D$4='1.4.3개발계획현황'!K68,'1.4.3개발계획현황'!AA68,C24)</f>
        <v>0</v>
      </c>
      <c r="E26" s="1970">
        <f>IF(E$4='1.4.3개발계획현황'!$K$46,'1.4.3개발계획현황'!$AA$46,D26)</f>
        <v>0</v>
      </c>
      <c r="F26" s="1958">
        <f>IF(F$4='1.4.3개발계획현황'!$K$68,'1.4.3개발계획현황'!$AA$68,E26)</f>
        <v>0</v>
      </c>
      <c r="G26" s="1958">
        <f>IF(G$4='1.4.3개발계획현황'!$K$68,'1.4.3개발계획현황'!$AA$68,F26)</f>
        <v>0</v>
      </c>
      <c r="H26" s="1958">
        <f>IF(H$4='1.4.3개발계획현황'!$K$68,'1.4.3개발계획현황'!$AA$68,G26)</f>
        <v>0</v>
      </c>
      <c r="I26" s="2505"/>
      <c r="J26" s="1958">
        <f>IF(J$4='1.4.3개발계획현황'!$K$68,'1.4.3개발계획현황'!$AA$68,I24)</f>
        <v>0</v>
      </c>
      <c r="K26" s="1958">
        <f>IF(K$4='1.4.3개발계획현황'!$K$68,'1.4.3개발계획현황'!$AA$68,J26)</f>
        <v>0</v>
      </c>
      <c r="L26" s="1958">
        <f>IF(L$4='1.4.3개발계획현황'!$K$68,'1.4.3개발계획현황'!$AA$68,K26)</f>
        <v>0</v>
      </c>
      <c r="M26" s="1958">
        <f>IF(M$4='1.4.3개발계획현황'!$K$68,'1.4.3개발계획현황'!$AA$68,L26)</f>
        <v>0</v>
      </c>
      <c r="N26" s="2505"/>
      <c r="O26" s="1958">
        <f>IF(O$4='1.4.3개발계획현황'!$K$68,'1.4.3개발계획현황'!$AA$68,N24)</f>
        <v>0</v>
      </c>
      <c r="P26" s="1958">
        <f>IF(P$4='1.4.3개발계획현황'!$K$68,'1.4.3개발계획현황'!$AA$68,O26)</f>
        <v>0</v>
      </c>
      <c r="Q26" s="1958">
        <f>IF(Q$4='1.4.3개발계획현황'!$K$68,'1.4.3개발계획현황'!$AA$68,P26)</f>
        <v>0</v>
      </c>
      <c r="R26" s="1958">
        <f>IF(R$4='1.4.3개발계획현황'!$K$68,'1.4.3개발계획현황'!$AA$68,Q26)</f>
        <v>0</v>
      </c>
      <c r="S26" s="2505"/>
      <c r="T26" s="1958">
        <f>IF(T$4='1.4.3개발계획현황'!$K$68,'1.4.3개발계획현황'!$AA$68,S24)</f>
        <v>0</v>
      </c>
      <c r="U26" s="1958">
        <f>IF(U$4='1.4.3개발계획현황'!$K$68,'1.4.3개발계획현황'!$AA$68,T26)</f>
        <v>0</v>
      </c>
      <c r="V26" s="1958">
        <f>IF(V$4='1.4.3개발계획현황'!$K$68,'1.4.3개발계획현황'!$AA$68,U26)</f>
        <v>0</v>
      </c>
      <c r="W26" s="1958">
        <f>IF(W$4='1.4.3개발계획현황'!$K$68,'1.4.3개발계획현황'!$AA$68,V26)</f>
        <v>0</v>
      </c>
      <c r="X26" s="2505"/>
      <c r="Y26" s="2235"/>
      <c r="Z26" s="2525"/>
      <c r="AA26" s="1286" t="str">
        <f>B24</f>
        <v>lng 발전소</v>
      </c>
      <c r="AB26" s="1282"/>
      <c r="AC26" s="1287">
        <f>ROUND(AC24+AC25,0)</f>
        <v>0</v>
      </c>
      <c r="AD26" s="1287">
        <f t="shared" ref="AD26:AW26" si="10">ROUND(AD24+AD25,0)</f>
        <v>0</v>
      </c>
      <c r="AE26" s="1287">
        <f t="shared" si="10"/>
        <v>0</v>
      </c>
      <c r="AF26" s="1287">
        <f t="shared" si="10"/>
        <v>0</v>
      </c>
      <c r="AG26" s="1287">
        <f t="shared" si="10"/>
        <v>0</v>
      </c>
      <c r="AH26" s="1287">
        <f t="shared" si="10"/>
        <v>0</v>
      </c>
      <c r="AI26" s="1287">
        <f t="shared" si="10"/>
        <v>0</v>
      </c>
      <c r="AJ26" s="1287">
        <f t="shared" si="10"/>
        <v>0</v>
      </c>
      <c r="AK26" s="1287">
        <f t="shared" si="10"/>
        <v>0</v>
      </c>
      <c r="AL26" s="1287">
        <f t="shared" si="10"/>
        <v>0</v>
      </c>
      <c r="AM26" s="1287">
        <f t="shared" si="10"/>
        <v>0</v>
      </c>
      <c r="AN26" s="1287">
        <f t="shared" si="10"/>
        <v>0</v>
      </c>
      <c r="AO26" s="1287">
        <f t="shared" si="10"/>
        <v>0</v>
      </c>
      <c r="AP26" s="1287">
        <f t="shared" si="10"/>
        <v>0</v>
      </c>
      <c r="AQ26" s="1287">
        <f t="shared" si="10"/>
        <v>0</v>
      </c>
      <c r="AR26" s="1287">
        <f t="shared" si="10"/>
        <v>0</v>
      </c>
      <c r="AS26" s="1287">
        <f t="shared" si="10"/>
        <v>0</v>
      </c>
      <c r="AT26" s="1287">
        <f t="shared" si="10"/>
        <v>0</v>
      </c>
      <c r="AU26" s="1287">
        <f t="shared" si="10"/>
        <v>0</v>
      </c>
      <c r="AV26" s="1287">
        <f t="shared" si="10"/>
        <v>0</v>
      </c>
      <c r="AW26" s="1287">
        <f t="shared" si="10"/>
        <v>225</v>
      </c>
      <c r="AX26" s="1288"/>
      <c r="AY26" s="1278"/>
    </row>
    <row r="27" spans="1:64" ht="20.100000000000001" customHeight="1">
      <c r="A27" s="2525"/>
      <c r="B27" s="2432" t="str">
        <f>'1.4.3개발계획현황'!A63</f>
        <v>소이산업단지 확장</v>
      </c>
      <c r="C27" s="1282"/>
      <c r="D27" s="1282"/>
      <c r="E27" s="2103"/>
      <c r="F27" s="1282"/>
      <c r="G27" s="1282"/>
      <c r="H27" s="1282"/>
      <c r="I27" s="2503">
        <f>IF(I$4='1.4.3개발계획현황'!$K$63,'1.4.3개발계획현황'!$AA$63,H29)</f>
        <v>0</v>
      </c>
      <c r="J27" s="1959"/>
      <c r="K27" s="1280"/>
      <c r="L27" s="1280"/>
      <c r="M27" s="1280"/>
      <c r="N27" s="2503">
        <f>IF(N$4='1.4.3개발계획현황'!$K$63,'1.4.3개발계획현황'!$AA$63,M29)</f>
        <v>0</v>
      </c>
      <c r="O27" s="1280"/>
      <c r="P27" s="1280"/>
      <c r="Q27" s="1280"/>
      <c r="R27" s="1280"/>
      <c r="S27" s="2503">
        <f>IF(S$4='1.4.3개발계획현황'!$K$63,'1.4.3개발계획현황'!$AA$63,R29)</f>
        <v>0</v>
      </c>
      <c r="T27" s="1280"/>
      <c r="U27" s="1280"/>
      <c r="V27" s="1280"/>
      <c r="W27" s="1280"/>
      <c r="X27" s="2503">
        <f>IF(X$4='1.4.3개발계획현황'!$K$63,'1.4.3개발계획현황'!$AA$63,W29)</f>
        <v>1635</v>
      </c>
      <c r="Y27" s="2235"/>
      <c r="Z27" s="2525"/>
      <c r="AA27" s="1285" t="str">
        <f>CONCATENATE(AA29," 중복제외 전")</f>
        <v>소이산업단지 확장 중복제외 전</v>
      </c>
      <c r="AB27" s="1282"/>
      <c r="AC27" s="1974">
        <f>ROUND(D29*$AX27,0)</f>
        <v>0</v>
      </c>
      <c r="AD27" s="1974">
        <f>ROUND(E29*$AX27,0)</f>
        <v>0</v>
      </c>
      <c r="AE27" s="1974">
        <f>ROUND(F29*$AX27,0)</f>
        <v>0</v>
      </c>
      <c r="AF27" s="1974">
        <f>ROUND(G29*$AX27,0)</f>
        <v>0</v>
      </c>
      <c r="AG27" s="1974">
        <f>ROUND(H29*$AX27,0)</f>
        <v>0</v>
      </c>
      <c r="AH27" s="1974">
        <f>ROUND(I27*$AX27,0)</f>
        <v>0</v>
      </c>
      <c r="AI27" s="1974">
        <f>ROUND(J29*$AX27,0)</f>
        <v>0</v>
      </c>
      <c r="AJ27" s="1974">
        <f>ROUND(K29*$AX27,0)</f>
        <v>0</v>
      </c>
      <c r="AK27" s="1974">
        <f>ROUND(L29*$AX27,0)</f>
        <v>0</v>
      </c>
      <c r="AL27" s="1974">
        <f>ROUND(M29*$AX27,0)</f>
        <v>0</v>
      </c>
      <c r="AM27" s="1974">
        <f>ROUND(N27*$AX27,0)</f>
        <v>0</v>
      </c>
      <c r="AN27" s="1974">
        <f>ROUND(O29*$AX27,0)</f>
        <v>0</v>
      </c>
      <c r="AO27" s="1974">
        <f>ROUND(P29*$AX27,0)</f>
        <v>0</v>
      </c>
      <c r="AP27" s="1974">
        <f>ROUND(Q29*$AX27,0)</f>
        <v>0</v>
      </c>
      <c r="AQ27" s="1974">
        <f>ROUND(R29*$AX27,0)</f>
        <v>0</v>
      </c>
      <c r="AR27" s="1974">
        <f>ROUND(S27*$AX27,0)</f>
        <v>0</v>
      </c>
      <c r="AS27" s="1974">
        <f>ROUND(T29*$AX27,0)</f>
        <v>0</v>
      </c>
      <c r="AT27" s="1974">
        <f>ROUND(U29*$AX27,0)</f>
        <v>0</v>
      </c>
      <c r="AU27" s="1974">
        <f>ROUND(V29*$AX27,0)</f>
        <v>0</v>
      </c>
      <c r="AV27" s="1974">
        <f>ROUND(W29*$AX27,0)</f>
        <v>0</v>
      </c>
      <c r="AW27" s="1974">
        <f>ROUND(X27*$AX27,0)</f>
        <v>736</v>
      </c>
      <c r="AX27" s="1277">
        <v>0.45</v>
      </c>
      <c r="AY27" s="1278"/>
    </row>
    <row r="28" spans="1:64" ht="20.100000000000001" customHeight="1">
      <c r="A28" s="2526"/>
      <c r="B28" s="2501"/>
      <c r="C28" s="2042"/>
      <c r="D28" s="2042"/>
      <c r="E28" s="1282"/>
      <c r="F28" s="2042"/>
      <c r="G28" s="2042"/>
      <c r="H28" s="2042"/>
      <c r="I28" s="2504"/>
      <c r="J28" s="1290"/>
      <c r="K28" s="1290"/>
      <c r="L28" s="1290"/>
      <c r="M28" s="1290"/>
      <c r="N28" s="2504"/>
      <c r="O28" s="1290"/>
      <c r="P28" s="1290"/>
      <c r="Q28" s="1290"/>
      <c r="R28" s="1290"/>
      <c r="S28" s="2504"/>
      <c r="T28" s="1290"/>
      <c r="U28" s="1290"/>
      <c r="V28" s="1290"/>
      <c r="W28" s="1290"/>
      <c r="X28" s="2504"/>
      <c r="Y28" s="2235"/>
      <c r="Z28" s="2525"/>
      <c r="AA28" s="1285" t="str">
        <f>CONCATENATE(AA29," 중복제외인구")</f>
        <v>소이산업단지 확장 중복제외인구</v>
      </c>
      <c r="AB28" s="1282"/>
      <c r="AC28" s="1974">
        <f>-ROUND(IF(D29&gt;0,VLOOKUP($AA29,'사회적 유입 중복인구 제외근거'!$E$6:$F$11,2,FALSE),0),0)</f>
        <v>0</v>
      </c>
      <c r="AD28" s="1974">
        <f>-ROUND(IF(E29&gt;0,SUMIF('사회적 유입 중복인구 제외근거'!$E$6:$E$53,$AA29,'사회적 유입 중복인구 제외근거'!$F$6:$F$53),0),0)</f>
        <v>0</v>
      </c>
      <c r="AE28" s="1974">
        <f>-ROUND(IF(F29&gt;0,SUMIF('사회적 유입 중복인구 제외근거'!$E$6:$E$53,$AA29,'사회적 유입 중복인구 제외근거'!$F$6:$F$53),0),0)</f>
        <v>0</v>
      </c>
      <c r="AF28" s="1974">
        <f>-ROUND(IF(G29&gt;0,SUMIF('사회적 유입 중복인구 제외근거'!$E$6:$E$53,$AA29,'사회적 유입 중복인구 제외근거'!$F$6:$F$53),0),0)</f>
        <v>0</v>
      </c>
      <c r="AG28" s="1974">
        <f>-ROUND(IF(H29&gt;0,SUMIF('사회적 유입 중복인구 제외근거'!$E$6:$E$53,$AA29,'사회적 유입 중복인구 제외근거'!$F$6:$F$53),0),0)</f>
        <v>0</v>
      </c>
      <c r="AH28" s="1974">
        <f>-ROUND(IF(I27&gt;0,SUMIF('사회적 유입 중복인구 제외근거'!$E$6:$E$53,$AA29,'사회적 유입 중복인구 제외근거'!$F$6:$F$53),0),0)</f>
        <v>0</v>
      </c>
      <c r="AI28" s="1974">
        <f>-ROUND(IF(J29&gt;0,SUMIF('사회적 유입 중복인구 제외근거'!$E$6:$E$53,$AA29,'사회적 유입 중복인구 제외근거'!$F$6:$F$53),0),0)</f>
        <v>0</v>
      </c>
      <c r="AJ28" s="1974">
        <f>-ROUND(IF(K29&gt;0,SUMIF('사회적 유입 중복인구 제외근거'!$E$6:$E$53,$AA29,'사회적 유입 중복인구 제외근거'!$F$6:$F$53),0),0)</f>
        <v>0</v>
      </c>
      <c r="AK28" s="1974">
        <f>-ROUND(IF(L29&gt;0,SUMIF('사회적 유입 중복인구 제외근거'!$E$6:$E$53,$AA29,'사회적 유입 중복인구 제외근거'!$F$6:$F$53),0),0)</f>
        <v>0</v>
      </c>
      <c r="AL28" s="1974">
        <f>-ROUND(IF(M29&gt;0,SUMIF('사회적 유입 중복인구 제외근거'!$E$6:$E$53,$AA29,'사회적 유입 중복인구 제외근거'!$F$6:$F$53),0),0)</f>
        <v>0</v>
      </c>
      <c r="AM28" s="1974">
        <f>-ROUND(IF(N27&gt;0,SUMIF('사회적 유입 중복인구 제외근거'!$E$6:$E$53,$AA29,'사회적 유입 중복인구 제외근거'!$F$6:$F$53),0),0)</f>
        <v>0</v>
      </c>
      <c r="AN28" s="1974">
        <f>-ROUND(IF(O29&gt;0,SUMIF('사회적 유입 중복인구 제외근거'!$E$6:$E$53,$AA29,'사회적 유입 중복인구 제외근거'!$F$6:$F$53),0),0)</f>
        <v>0</v>
      </c>
      <c r="AO28" s="1974">
        <f>-ROUND(IF(P29&gt;0,SUMIF('사회적 유입 중복인구 제외근거'!$E$6:$E$53,$AA29,'사회적 유입 중복인구 제외근거'!$F$6:$F$53),0),0)</f>
        <v>0</v>
      </c>
      <c r="AP28" s="1974">
        <f>-ROUND(IF(Q29&gt;0,SUMIF('사회적 유입 중복인구 제외근거'!$E$6:$E$53,$AA29,'사회적 유입 중복인구 제외근거'!$F$6:$F$53),0),0)</f>
        <v>0</v>
      </c>
      <c r="AQ28" s="1974">
        <f>-ROUND(IF(R29&gt;0,SUMIF('사회적 유입 중복인구 제외근거'!$E$6:$E$53,$AA29,'사회적 유입 중복인구 제외근거'!$F$6:$F$53),0),0)</f>
        <v>0</v>
      </c>
      <c r="AR28" s="1974">
        <f>-ROUND(IF(S27&gt;0,SUMIF('사회적 유입 중복인구 제외근거'!$E$6:$E$53,$AA29,'사회적 유입 중복인구 제외근거'!$F$6:$F$53),0),0)</f>
        <v>0</v>
      </c>
      <c r="AS28" s="1974">
        <f>-ROUND(IF(T29&gt;0,SUMIF('사회적 유입 중복인구 제외근거'!$E$6:$E$53,$AA29,'사회적 유입 중복인구 제외근거'!$F$6:$F$53),0),0)</f>
        <v>0</v>
      </c>
      <c r="AT28" s="1974">
        <f>-ROUND(IF(U29&gt;0,SUMIF('사회적 유입 중복인구 제외근거'!$E$6:$E$53,$AA29,'사회적 유입 중복인구 제외근거'!$F$6:$F$53),0),0)</f>
        <v>0</v>
      </c>
      <c r="AU28" s="1974">
        <f>-ROUND(IF(V29&gt;0,SUMIF('사회적 유입 중복인구 제외근거'!$E$6:$E$53,$AA29,'사회적 유입 중복인구 제외근거'!$F$6:$F$53),0),0)</f>
        <v>0</v>
      </c>
      <c r="AV28" s="1974">
        <f>-ROUND(IF(W29&gt;0,SUMIF('사회적 유입 중복인구 제외근거'!$E$6:$E$53,$AA29,'사회적 유입 중복인구 제외근거'!$F$6:$F$53),0),0)</f>
        <v>0</v>
      </c>
      <c r="AW28" s="1974">
        <f>-ROUND(IF(X27&gt;0,SUMIF('사회적 유입 중복인구 제외근거'!$E$6:$E$53,$AA29,'사회적 유입 중복인구 제외근거'!$F$6:$F$53),0),0)</f>
        <v>0</v>
      </c>
      <c r="AX28" s="1277"/>
      <c r="AY28" s="1278"/>
    </row>
    <row r="29" spans="1:64" ht="20.100000000000001" customHeight="1">
      <c r="A29" s="2525"/>
      <c r="B29" s="2502"/>
      <c r="C29" s="1282"/>
      <c r="D29" s="1961">
        <f>IF(D$4='1.4.3개발계획현황'!K63,'1.4.3개발계획현황'!AA63,C27)</f>
        <v>0</v>
      </c>
      <c r="E29" s="1971">
        <f>IF(E$4='1.4.3개발계획현황'!$K$46,'1.4.3개발계획현황'!$AA$46,D29)</f>
        <v>0</v>
      </c>
      <c r="F29" s="1961">
        <f>IF(F$4='1.4.3개발계획현황'!$K$63,'1.4.3개발계획현황'!$AA$63,E29)</f>
        <v>0</v>
      </c>
      <c r="G29" s="1961">
        <f>IF(G$4='1.4.3개발계획현황'!$K$63,'1.4.3개발계획현황'!$AA$63,F29)</f>
        <v>0</v>
      </c>
      <c r="H29" s="1961">
        <f>IF(H$4='1.4.3개발계획현황'!$K$63,'1.4.3개발계획현황'!$AA$63,G29)</f>
        <v>0</v>
      </c>
      <c r="I29" s="2505"/>
      <c r="J29" s="1961">
        <f>IF(J$4='1.4.3개발계획현황'!$K$63,'1.4.3개발계획현황'!$AA$63,I27)</f>
        <v>0</v>
      </c>
      <c r="K29" s="1961">
        <f>IF(K$4='1.4.3개발계획현황'!$K$63,'1.4.3개발계획현황'!$AA$63,J29)</f>
        <v>0</v>
      </c>
      <c r="L29" s="1961">
        <f>IF(L$4='1.4.3개발계획현황'!$K$63,'1.4.3개발계획현황'!$AA$63,K29)</f>
        <v>0</v>
      </c>
      <c r="M29" s="1961">
        <f>IF(M$4='1.4.3개발계획현황'!$K$63,'1.4.3개발계획현황'!$AA$63,L29)</f>
        <v>0</v>
      </c>
      <c r="N29" s="2505"/>
      <c r="O29" s="1961">
        <f>IF(O$4='1.4.3개발계획현황'!$K$63,'1.4.3개발계획현황'!$AA$63,N27)</f>
        <v>0</v>
      </c>
      <c r="P29" s="1961">
        <f>IF(P$4='1.4.3개발계획현황'!$K$63,'1.4.3개발계획현황'!$AA$63,O29)</f>
        <v>0</v>
      </c>
      <c r="Q29" s="1961">
        <f>IF(Q$4='1.4.3개발계획현황'!$K$63,'1.4.3개발계획현황'!$AA$63,P29)</f>
        <v>0</v>
      </c>
      <c r="R29" s="1961">
        <f>IF(R$4='1.4.3개발계획현황'!$K$63,'1.4.3개발계획현황'!$AA$63,Q29)</f>
        <v>0</v>
      </c>
      <c r="S29" s="2505"/>
      <c r="T29" s="1961">
        <f>IF(T$4='1.4.3개발계획현황'!$K$63,'1.4.3개발계획현황'!$AA$63,S27)</f>
        <v>0</v>
      </c>
      <c r="U29" s="1961">
        <f>IF(U$4='1.4.3개발계획현황'!$K$63,'1.4.3개발계획현황'!$AA$63,T29)</f>
        <v>0</v>
      </c>
      <c r="V29" s="1961">
        <f>IF(V$4='1.4.3개발계획현황'!$K$63,'1.4.3개발계획현황'!$AA$63,U29)</f>
        <v>0</v>
      </c>
      <c r="W29" s="1961">
        <f>IF(W$4='1.4.3개발계획현황'!$K$63,'1.4.3개발계획현황'!$AA$63,V29)</f>
        <v>0</v>
      </c>
      <c r="X29" s="2505"/>
      <c r="Y29" s="2235"/>
      <c r="Z29" s="2525"/>
      <c r="AA29" s="1286" t="str">
        <f>B27</f>
        <v>소이산업단지 확장</v>
      </c>
      <c r="AB29" s="1282"/>
      <c r="AC29" s="1287">
        <f>ROUND(AC27+AC28,0)</f>
        <v>0</v>
      </c>
      <c r="AD29" s="1287">
        <f t="shared" ref="AD29:AW29" si="11">ROUND(AD27+AD28,0)</f>
        <v>0</v>
      </c>
      <c r="AE29" s="1287">
        <f t="shared" si="11"/>
        <v>0</v>
      </c>
      <c r="AF29" s="1287">
        <f t="shared" si="11"/>
        <v>0</v>
      </c>
      <c r="AG29" s="1287">
        <f t="shared" si="11"/>
        <v>0</v>
      </c>
      <c r="AH29" s="1287">
        <f t="shared" si="11"/>
        <v>0</v>
      </c>
      <c r="AI29" s="1287">
        <f t="shared" si="11"/>
        <v>0</v>
      </c>
      <c r="AJ29" s="1287">
        <f t="shared" si="11"/>
        <v>0</v>
      </c>
      <c r="AK29" s="1287">
        <f t="shared" si="11"/>
        <v>0</v>
      </c>
      <c r="AL29" s="1287">
        <f t="shared" si="11"/>
        <v>0</v>
      </c>
      <c r="AM29" s="1287">
        <f t="shared" si="11"/>
        <v>0</v>
      </c>
      <c r="AN29" s="1287">
        <f t="shared" si="11"/>
        <v>0</v>
      </c>
      <c r="AO29" s="1287">
        <f t="shared" si="11"/>
        <v>0</v>
      </c>
      <c r="AP29" s="1287">
        <f t="shared" si="11"/>
        <v>0</v>
      </c>
      <c r="AQ29" s="1287">
        <f t="shared" si="11"/>
        <v>0</v>
      </c>
      <c r="AR29" s="1287">
        <f t="shared" si="11"/>
        <v>0</v>
      </c>
      <c r="AS29" s="1287">
        <f t="shared" si="11"/>
        <v>0</v>
      </c>
      <c r="AT29" s="1287">
        <f t="shared" si="11"/>
        <v>0</v>
      </c>
      <c r="AU29" s="1287">
        <f t="shared" si="11"/>
        <v>0</v>
      </c>
      <c r="AV29" s="1287">
        <f t="shared" si="11"/>
        <v>0</v>
      </c>
      <c r="AW29" s="1287">
        <f t="shared" si="11"/>
        <v>736</v>
      </c>
      <c r="AX29" s="1288"/>
      <c r="AY29" s="1278"/>
    </row>
    <row r="30" spans="1:64" ht="20.100000000000001" customHeight="1">
      <c r="A30" s="2525"/>
      <c r="B30" s="2432" t="str">
        <f>'1.4.3개발계획현황'!A64</f>
        <v>보천산업단지</v>
      </c>
      <c r="C30" s="1282"/>
      <c r="D30" s="1282"/>
      <c r="E30" s="1282"/>
      <c r="F30" s="1282"/>
      <c r="G30" s="1282"/>
      <c r="H30" s="1282"/>
      <c r="I30" s="2503">
        <f>IF(I$4='1.4.3개발계획현황'!$K$64,'1.4.3개발계획현황'!$AA$64,H32)</f>
        <v>0</v>
      </c>
      <c r="J30" s="1283"/>
      <c r="K30" s="1280"/>
      <c r="L30" s="1280"/>
      <c r="M30" s="1280"/>
      <c r="N30" s="2503">
        <f>IF(N$4='1.4.3개발계획현황'!$K$64,'1.4.3개발계획현황'!$AA$64,M32)</f>
        <v>0</v>
      </c>
      <c r="O30" s="1280"/>
      <c r="P30" s="1280"/>
      <c r="Q30" s="1280"/>
      <c r="R30" s="1280"/>
      <c r="S30" s="2503">
        <f>IF(S$4='1.4.3개발계획현황'!$K$64,'1.4.3개발계획현황'!$AA$64,R32)</f>
        <v>0</v>
      </c>
      <c r="T30" s="1280"/>
      <c r="U30" s="1280"/>
      <c r="V30" s="1280"/>
      <c r="W30" s="1280"/>
      <c r="X30" s="2503">
        <f>IF(X$4='1.4.3개발계획현황'!$K$64,'1.4.3개발계획현황'!$AA$64,W32)</f>
        <v>3175</v>
      </c>
      <c r="Y30" s="2235"/>
      <c r="Z30" s="2525"/>
      <c r="AA30" s="1285" t="str">
        <f>CONCATENATE(AA32," 중복제외 전")</f>
        <v>보천산업단지 중복제외 전</v>
      </c>
      <c r="AB30" s="1282"/>
      <c r="AC30" s="1974">
        <f>ROUND(D32*$AX30,0)</f>
        <v>0</v>
      </c>
      <c r="AD30" s="1974">
        <f>ROUND(E32*$AX30,0)</f>
        <v>0</v>
      </c>
      <c r="AE30" s="1974">
        <f>ROUND(F32*$AX30,0)</f>
        <v>0</v>
      </c>
      <c r="AF30" s="1974">
        <f>ROUND(G32*$AX30,0)</f>
        <v>0</v>
      </c>
      <c r="AG30" s="1974">
        <f>ROUND(H32*$AX30,0)</f>
        <v>0</v>
      </c>
      <c r="AH30" s="1974">
        <f>ROUND(I30*$AX30,0)</f>
        <v>0</v>
      </c>
      <c r="AI30" s="1974">
        <f>ROUND(J32*$AX30,0)</f>
        <v>0</v>
      </c>
      <c r="AJ30" s="1974">
        <f>ROUND(K32*$AX30,0)</f>
        <v>0</v>
      </c>
      <c r="AK30" s="1974">
        <f>ROUND(L32*$AX30,0)</f>
        <v>0</v>
      </c>
      <c r="AL30" s="1974">
        <f>ROUND(M32*$AX30,0)</f>
        <v>0</v>
      </c>
      <c r="AM30" s="1974">
        <f>ROUND(N30*$AX30,0)</f>
        <v>0</v>
      </c>
      <c r="AN30" s="1974">
        <f>ROUND(O32*$AX30,0)</f>
        <v>0</v>
      </c>
      <c r="AO30" s="1974">
        <f>ROUND(P32*$AX30,0)</f>
        <v>0</v>
      </c>
      <c r="AP30" s="1974">
        <f>ROUND(Q32*$AX30,0)</f>
        <v>0</v>
      </c>
      <c r="AQ30" s="1974">
        <f>ROUND(R32*$AX30,0)</f>
        <v>0</v>
      </c>
      <c r="AR30" s="1974">
        <f>ROUND(S30*$AX30,0)</f>
        <v>0</v>
      </c>
      <c r="AS30" s="1974">
        <f>ROUND(T32*$AX30,0)</f>
        <v>0</v>
      </c>
      <c r="AT30" s="1974">
        <f>ROUND(U32*$AX30,0)</f>
        <v>0</v>
      </c>
      <c r="AU30" s="1974">
        <f>ROUND(V32*$AX30,0)</f>
        <v>0</v>
      </c>
      <c r="AV30" s="1974">
        <f>ROUND(W32*$AX30,0)</f>
        <v>0</v>
      </c>
      <c r="AW30" s="1974">
        <f>ROUND(X30*$AX30,0)</f>
        <v>1429</v>
      </c>
      <c r="AX30" s="1277">
        <v>0.45</v>
      </c>
      <c r="AY30" s="1278"/>
    </row>
    <row r="31" spans="1:64" ht="20.100000000000001" customHeight="1">
      <c r="A31" s="2525"/>
      <c r="B31" s="2432"/>
      <c r="C31" s="1282"/>
      <c r="D31" s="1282"/>
      <c r="E31" s="1282"/>
      <c r="F31" s="1282"/>
      <c r="G31" s="1282"/>
      <c r="H31" s="1282"/>
      <c r="I31" s="2506"/>
      <c r="J31" s="1280"/>
      <c r="K31" s="1280"/>
      <c r="L31" s="1280"/>
      <c r="M31" s="1280"/>
      <c r="N31" s="2506"/>
      <c r="O31" s="1280"/>
      <c r="P31" s="1280"/>
      <c r="Q31" s="1280"/>
      <c r="R31" s="1280"/>
      <c r="S31" s="2506"/>
      <c r="T31" s="1280"/>
      <c r="U31" s="1280"/>
      <c r="V31" s="1280"/>
      <c r="W31" s="1280"/>
      <c r="X31" s="2506"/>
      <c r="Y31" s="2235"/>
      <c r="Z31" s="2525"/>
      <c r="AA31" s="1285" t="str">
        <f>CONCATENATE(AA32," 중복제외인구")</f>
        <v>보천산업단지 중복제외인구</v>
      </c>
      <c r="AB31" s="1282"/>
      <c r="AC31" s="1974">
        <f>-ROUND(IF(D32&gt;0,VLOOKUP($AA32,'사회적 유입 중복인구 제외근거'!$E$6:$F$11,2,FALSE),0),0)</f>
        <v>0</v>
      </c>
      <c r="AD31" s="1974">
        <f>-ROUND(IF(E32&gt;0,SUMIF('사회적 유입 중복인구 제외근거'!$E$6:$E$53,$AA32,'사회적 유입 중복인구 제외근거'!$F$6:$F$53),0),0)</f>
        <v>0</v>
      </c>
      <c r="AE31" s="1974">
        <f>-ROUND(IF(F32&gt;0,SUMIF('사회적 유입 중복인구 제외근거'!$E$6:$E$53,$AA32,'사회적 유입 중복인구 제외근거'!$F$6:$F$53),0),0)</f>
        <v>0</v>
      </c>
      <c r="AF31" s="1974">
        <f>-ROUND(IF(G32&gt;0,SUMIF('사회적 유입 중복인구 제외근거'!$E$6:$E$53,$AA32,'사회적 유입 중복인구 제외근거'!$F$6:$F$53),0),0)</f>
        <v>0</v>
      </c>
      <c r="AG31" s="1974">
        <f>-ROUND(IF(H32&gt;0,SUMIF('사회적 유입 중복인구 제외근거'!$E$6:$E$53,$AA32,'사회적 유입 중복인구 제외근거'!$F$6:$F$53),0),0)</f>
        <v>0</v>
      </c>
      <c r="AH31" s="1974">
        <f>-ROUND(IF(I30&gt;0,SUMIF('사회적 유입 중복인구 제외근거'!$E$6:$E$53,$AA32,'사회적 유입 중복인구 제외근거'!$F$6:$F$53),0),0)</f>
        <v>0</v>
      </c>
      <c r="AI31" s="1974">
        <f>-ROUND(IF(J32&gt;0,SUMIF('사회적 유입 중복인구 제외근거'!$E$6:$E$53,$AA32,'사회적 유입 중복인구 제외근거'!$F$6:$F$53),0),0)</f>
        <v>0</v>
      </c>
      <c r="AJ31" s="1974">
        <f>-ROUND(IF(K32&gt;0,SUMIF('사회적 유입 중복인구 제외근거'!$E$6:$E$53,$AA32,'사회적 유입 중복인구 제외근거'!$F$6:$F$53),0),0)</f>
        <v>0</v>
      </c>
      <c r="AK31" s="1974">
        <f>-ROUND(IF(L32&gt;0,SUMIF('사회적 유입 중복인구 제외근거'!$E$6:$E$53,$AA32,'사회적 유입 중복인구 제외근거'!$F$6:$F$53),0),0)</f>
        <v>0</v>
      </c>
      <c r="AL31" s="1974">
        <f>-ROUND(IF(M32&gt;0,SUMIF('사회적 유입 중복인구 제외근거'!$E$6:$E$53,$AA32,'사회적 유입 중복인구 제외근거'!$F$6:$F$53),0),0)</f>
        <v>0</v>
      </c>
      <c r="AM31" s="1974">
        <f>-ROUND(IF(N30&gt;0,SUMIF('사회적 유입 중복인구 제외근거'!$E$6:$E$53,$AA32,'사회적 유입 중복인구 제외근거'!$F$6:$F$53),0),0)</f>
        <v>0</v>
      </c>
      <c r="AN31" s="1974">
        <f>-ROUND(IF(O32&gt;0,SUMIF('사회적 유입 중복인구 제외근거'!$E$6:$E$53,$AA32,'사회적 유입 중복인구 제외근거'!$F$6:$F$53),0),0)</f>
        <v>0</v>
      </c>
      <c r="AO31" s="1974">
        <f>-ROUND(IF(P32&gt;0,SUMIF('사회적 유입 중복인구 제외근거'!$E$6:$E$53,$AA32,'사회적 유입 중복인구 제외근거'!$F$6:$F$53),0),0)</f>
        <v>0</v>
      </c>
      <c r="AP31" s="1974">
        <f>-ROUND(IF(Q32&gt;0,SUMIF('사회적 유입 중복인구 제외근거'!$E$6:$E$53,$AA32,'사회적 유입 중복인구 제외근거'!$F$6:$F$53),0),0)</f>
        <v>0</v>
      </c>
      <c r="AQ31" s="1974">
        <f>-ROUND(IF(R32&gt;0,SUMIF('사회적 유입 중복인구 제외근거'!$E$6:$E$53,$AA32,'사회적 유입 중복인구 제외근거'!$F$6:$F$53),0),0)</f>
        <v>0</v>
      </c>
      <c r="AR31" s="1974">
        <f>-ROUND(IF(S30&gt;0,SUMIF('사회적 유입 중복인구 제외근거'!$E$6:$E$53,$AA32,'사회적 유입 중복인구 제외근거'!$F$6:$F$53),0),0)</f>
        <v>0</v>
      </c>
      <c r="AS31" s="1974">
        <f>-ROUND(IF(T32&gt;0,SUMIF('사회적 유입 중복인구 제외근거'!$E$6:$E$53,$AA32,'사회적 유입 중복인구 제외근거'!$F$6:$F$53),0),0)</f>
        <v>0</v>
      </c>
      <c r="AT31" s="1974">
        <f>-ROUND(IF(U32&gt;0,SUMIF('사회적 유입 중복인구 제외근거'!$E$6:$E$53,$AA32,'사회적 유입 중복인구 제외근거'!$F$6:$F$53),0),0)</f>
        <v>0</v>
      </c>
      <c r="AU31" s="1974">
        <f>-ROUND(IF(V32&gt;0,SUMIF('사회적 유입 중복인구 제외근거'!$E$6:$E$53,$AA32,'사회적 유입 중복인구 제외근거'!$F$6:$F$53),0),0)</f>
        <v>0</v>
      </c>
      <c r="AV31" s="1974">
        <f>-ROUND(IF(W32&gt;0,SUMIF('사회적 유입 중복인구 제외근거'!$E$6:$E$53,$AA32,'사회적 유입 중복인구 제외근거'!$F$6:$F$53),0),0)</f>
        <v>0</v>
      </c>
      <c r="AW31" s="1974">
        <f>-ROUND(IF(X30&gt;0,SUMIF('사회적 유입 중복인구 제외근거'!$E$6:$E$53,$AA32,'사회적 유입 중복인구 제외근거'!$F$6:$F$53),0),0)</f>
        <v>0</v>
      </c>
      <c r="AX31" s="1277"/>
      <c r="AY31" s="1278"/>
    </row>
    <row r="32" spans="1:64" ht="20.100000000000001" customHeight="1">
      <c r="A32" s="2525"/>
      <c r="B32" s="2432"/>
      <c r="C32" s="1282"/>
      <c r="D32" s="1275">
        <f>IF(D$4='1.4.3개발계획현황'!K64,'1.4.3개발계획현황'!AA64,C30)</f>
        <v>0</v>
      </c>
      <c r="E32" s="1971">
        <f>IF(E$4='1.4.3개발계획현황'!$K$46,'1.4.3개발계획현황'!$AA$46,D32)</f>
        <v>0</v>
      </c>
      <c r="F32" s="1275">
        <f>IF(F$4='1.4.3개발계획현황'!$K$64,'1.4.3개발계획현황'!$AA$64,E32)</f>
        <v>0</v>
      </c>
      <c r="G32" s="1275">
        <f>IF(G$4='1.4.3개발계획현황'!$K$64,'1.4.3개발계획현황'!$AA$64,F32)</f>
        <v>0</v>
      </c>
      <c r="H32" s="1275">
        <f>IF(H$4='1.4.3개발계획현황'!$K$64,'1.4.3개발계획현황'!$AA$64,G32)</f>
        <v>0</v>
      </c>
      <c r="I32" s="2505"/>
      <c r="J32" s="1275">
        <f>IF(J$4='1.4.3개발계획현황'!$K$64,'1.4.3개발계획현황'!$AA$64,I30)</f>
        <v>0</v>
      </c>
      <c r="K32" s="1275">
        <f>IF(K$4='1.4.3개발계획현황'!$K$64,'1.4.3개발계획현황'!$AA$64,J32)</f>
        <v>0</v>
      </c>
      <c r="L32" s="1275">
        <f>IF(L$4='1.4.3개발계획현황'!$K$64,'1.4.3개발계획현황'!$AA$64,K32)</f>
        <v>0</v>
      </c>
      <c r="M32" s="1275">
        <f>IF(M$4='1.4.3개발계획현황'!$K$64,'1.4.3개발계획현황'!$AA$64,L32)</f>
        <v>0</v>
      </c>
      <c r="N32" s="2505"/>
      <c r="O32" s="1275">
        <f>IF(O$4='1.4.3개발계획현황'!$K$64,'1.4.3개발계획현황'!$AA$64,N30)</f>
        <v>0</v>
      </c>
      <c r="P32" s="1275">
        <f>IF(P$4='1.4.3개발계획현황'!$K$64,'1.4.3개발계획현황'!$AA$64,O32)</f>
        <v>0</v>
      </c>
      <c r="Q32" s="1275">
        <f>IF(Q$4='1.4.3개발계획현황'!$K$64,'1.4.3개발계획현황'!$AA$64,P32)</f>
        <v>0</v>
      </c>
      <c r="R32" s="1275">
        <f>IF(R$4='1.4.3개발계획현황'!$K$64,'1.4.3개발계획현황'!$AA$64,Q32)</f>
        <v>0</v>
      </c>
      <c r="S32" s="2505"/>
      <c r="T32" s="1275">
        <f>IF(T$4='1.4.3개발계획현황'!$K$64,'1.4.3개발계획현황'!$AA$64,S30)</f>
        <v>0</v>
      </c>
      <c r="U32" s="1275">
        <f>IF(U$4='1.4.3개발계획현황'!$K$64,'1.4.3개발계획현황'!$AA$64,T32)</f>
        <v>0</v>
      </c>
      <c r="V32" s="1275">
        <f>IF(V$4='1.4.3개발계획현황'!$K$64,'1.4.3개발계획현황'!$AA$64,U32)</f>
        <v>0</v>
      </c>
      <c r="W32" s="1275">
        <f>IF(W$4='1.4.3개발계획현황'!$K$64,'1.4.3개발계획현황'!$AA$64,V32)</f>
        <v>0</v>
      </c>
      <c r="X32" s="2505"/>
      <c r="Y32" s="2235"/>
      <c r="Z32" s="2525"/>
      <c r="AA32" s="1286" t="str">
        <f>B30</f>
        <v>보천산업단지</v>
      </c>
      <c r="AB32" s="1282"/>
      <c r="AC32" s="1287">
        <f>ROUND(AC30+AC31,0)</f>
        <v>0</v>
      </c>
      <c r="AD32" s="1287">
        <f t="shared" ref="AD32:AW32" si="12">ROUND(AD30+AD31,0)</f>
        <v>0</v>
      </c>
      <c r="AE32" s="1287">
        <f t="shared" si="12"/>
        <v>0</v>
      </c>
      <c r="AF32" s="1287">
        <f t="shared" si="12"/>
        <v>0</v>
      </c>
      <c r="AG32" s="1287">
        <f t="shared" si="12"/>
        <v>0</v>
      </c>
      <c r="AH32" s="1287">
        <f t="shared" si="12"/>
        <v>0</v>
      </c>
      <c r="AI32" s="1287">
        <f t="shared" si="12"/>
        <v>0</v>
      </c>
      <c r="AJ32" s="1287">
        <f t="shared" si="12"/>
        <v>0</v>
      </c>
      <c r="AK32" s="1287">
        <f t="shared" si="12"/>
        <v>0</v>
      </c>
      <c r="AL32" s="1287">
        <f t="shared" si="12"/>
        <v>0</v>
      </c>
      <c r="AM32" s="1287">
        <f t="shared" si="12"/>
        <v>0</v>
      </c>
      <c r="AN32" s="1287">
        <f t="shared" si="12"/>
        <v>0</v>
      </c>
      <c r="AO32" s="1287">
        <f t="shared" si="12"/>
        <v>0</v>
      </c>
      <c r="AP32" s="1287">
        <f t="shared" si="12"/>
        <v>0</v>
      </c>
      <c r="AQ32" s="1287">
        <f t="shared" si="12"/>
        <v>0</v>
      </c>
      <c r="AR32" s="1287">
        <f t="shared" si="12"/>
        <v>0</v>
      </c>
      <c r="AS32" s="1287">
        <f t="shared" si="12"/>
        <v>0</v>
      </c>
      <c r="AT32" s="1287">
        <f t="shared" si="12"/>
        <v>0</v>
      </c>
      <c r="AU32" s="1287">
        <f t="shared" si="12"/>
        <v>0</v>
      </c>
      <c r="AV32" s="1287">
        <f t="shared" si="12"/>
        <v>0</v>
      </c>
      <c r="AW32" s="1287">
        <f t="shared" si="12"/>
        <v>1429</v>
      </c>
      <c r="AX32" s="1288"/>
      <c r="AY32" s="1278"/>
    </row>
    <row r="33" spans="1:70" ht="20.100000000000001" customHeight="1">
      <c r="A33" s="2526"/>
      <c r="B33" s="1289" t="s">
        <v>73</v>
      </c>
      <c r="C33" s="1290">
        <f t="shared" ref="C33:I33" si="13">SUM(C12:C32)</f>
        <v>0</v>
      </c>
      <c r="D33" s="1290">
        <f t="shared" si="13"/>
        <v>0</v>
      </c>
      <c r="E33" s="2042">
        <f t="shared" si="13"/>
        <v>0</v>
      </c>
      <c r="F33" s="1290">
        <f t="shared" si="13"/>
        <v>0</v>
      </c>
      <c r="G33" s="1290">
        <f t="shared" si="13"/>
        <v>372</v>
      </c>
      <c r="H33" s="1290">
        <f t="shared" si="13"/>
        <v>372</v>
      </c>
      <c r="I33" s="1290">
        <f t="shared" si="13"/>
        <v>372</v>
      </c>
      <c r="J33" s="1290">
        <f t="shared" ref="J33:X33" si="14">SUM(J12:J32)</f>
        <v>372</v>
      </c>
      <c r="K33" s="1290">
        <f t="shared" si="14"/>
        <v>372</v>
      </c>
      <c r="L33" s="1290">
        <f t="shared" si="14"/>
        <v>372</v>
      </c>
      <c r="M33" s="1290">
        <f t="shared" si="14"/>
        <v>372</v>
      </c>
      <c r="N33" s="1290">
        <f t="shared" si="14"/>
        <v>372</v>
      </c>
      <c r="O33" s="1290">
        <f t="shared" si="14"/>
        <v>372</v>
      </c>
      <c r="P33" s="1290">
        <f t="shared" si="14"/>
        <v>372</v>
      </c>
      <c r="Q33" s="1290">
        <f t="shared" si="14"/>
        <v>372</v>
      </c>
      <c r="R33" s="1290">
        <f t="shared" si="14"/>
        <v>372</v>
      </c>
      <c r="S33" s="1290">
        <f t="shared" si="14"/>
        <v>372</v>
      </c>
      <c r="T33" s="1290">
        <f t="shared" si="14"/>
        <v>372</v>
      </c>
      <c r="U33" s="1290">
        <f t="shared" si="14"/>
        <v>372</v>
      </c>
      <c r="V33" s="1290">
        <f t="shared" si="14"/>
        <v>372</v>
      </c>
      <c r="W33" s="1290">
        <f t="shared" si="14"/>
        <v>372</v>
      </c>
      <c r="X33" s="1290">
        <f t="shared" si="14"/>
        <v>11983</v>
      </c>
      <c r="Y33" s="1284"/>
      <c r="Z33" s="2526"/>
      <c r="AA33" s="1289" t="s">
        <v>73</v>
      </c>
      <c r="AB33" s="1282"/>
      <c r="AC33" s="1290">
        <f>+AC14+AC17+AC20+AC23+AC26+AC29+AC32</f>
        <v>0</v>
      </c>
      <c r="AD33" s="1290">
        <f t="shared" ref="AD33:AW33" si="15">+AD14+AD17+AD20+AD23+AD26+AD29+AD32</f>
        <v>0</v>
      </c>
      <c r="AE33" s="1290">
        <f t="shared" si="15"/>
        <v>0</v>
      </c>
      <c r="AF33" s="1290">
        <f t="shared" si="15"/>
        <v>0</v>
      </c>
      <c r="AG33" s="1290">
        <f t="shared" si="15"/>
        <v>0</v>
      </c>
      <c r="AH33" s="1290">
        <f t="shared" si="15"/>
        <v>0</v>
      </c>
      <c r="AI33" s="1290">
        <f t="shared" si="15"/>
        <v>0</v>
      </c>
      <c r="AJ33" s="1290">
        <f t="shared" si="15"/>
        <v>0</v>
      </c>
      <c r="AK33" s="1290">
        <f t="shared" si="15"/>
        <v>0</v>
      </c>
      <c r="AL33" s="1290">
        <f t="shared" si="15"/>
        <v>0</v>
      </c>
      <c r="AM33" s="1290">
        <f t="shared" si="15"/>
        <v>0</v>
      </c>
      <c r="AN33" s="1290">
        <f t="shared" si="15"/>
        <v>0</v>
      </c>
      <c r="AO33" s="1290">
        <f t="shared" si="15"/>
        <v>0</v>
      </c>
      <c r="AP33" s="1290">
        <f t="shared" si="15"/>
        <v>0</v>
      </c>
      <c r="AQ33" s="1290">
        <f t="shared" si="15"/>
        <v>0</v>
      </c>
      <c r="AR33" s="1290">
        <f t="shared" si="15"/>
        <v>0</v>
      </c>
      <c r="AS33" s="1290">
        <f t="shared" si="15"/>
        <v>0</v>
      </c>
      <c r="AT33" s="1290">
        <f t="shared" si="15"/>
        <v>0</v>
      </c>
      <c r="AU33" s="1290">
        <f t="shared" si="15"/>
        <v>0</v>
      </c>
      <c r="AV33" s="1290">
        <f t="shared" si="15"/>
        <v>0</v>
      </c>
      <c r="AW33" s="1290">
        <f t="shared" si="15"/>
        <v>5226</v>
      </c>
      <c r="AX33" s="1291"/>
      <c r="AY33" s="1278"/>
    </row>
    <row r="34" spans="1:70" ht="20.100000000000001" customHeight="1">
      <c r="A34" s="1292" t="s">
        <v>79</v>
      </c>
      <c r="B34" s="1293"/>
      <c r="C34" s="1294">
        <f t="shared" ref="C34:X34" si="16">SUM(C33,C11)</f>
        <v>0</v>
      </c>
      <c r="D34" s="1294">
        <f>SUM(D33,D11)</f>
        <v>0</v>
      </c>
      <c r="E34" s="1294">
        <f t="shared" si="16"/>
        <v>0</v>
      </c>
      <c r="F34" s="1294">
        <f t="shared" si="16"/>
        <v>495</v>
      </c>
      <c r="G34" s="1294">
        <f t="shared" si="16"/>
        <v>1263</v>
      </c>
      <c r="H34" s="1294">
        <f t="shared" si="16"/>
        <v>1263</v>
      </c>
      <c r="I34" s="1294">
        <f t="shared" si="16"/>
        <v>2204</v>
      </c>
      <c r="J34" s="1294">
        <f t="shared" si="16"/>
        <v>2204</v>
      </c>
      <c r="K34" s="1294">
        <f t="shared" si="16"/>
        <v>2204</v>
      </c>
      <c r="L34" s="1294">
        <f t="shared" si="16"/>
        <v>2204</v>
      </c>
      <c r="M34" s="1294">
        <f t="shared" si="16"/>
        <v>2204</v>
      </c>
      <c r="N34" s="1294">
        <f t="shared" si="16"/>
        <v>2204</v>
      </c>
      <c r="O34" s="1294">
        <f t="shared" si="16"/>
        <v>2204</v>
      </c>
      <c r="P34" s="1294">
        <f t="shared" si="16"/>
        <v>2204</v>
      </c>
      <c r="Q34" s="1294">
        <f t="shared" si="16"/>
        <v>2204</v>
      </c>
      <c r="R34" s="1294">
        <f t="shared" si="16"/>
        <v>2204</v>
      </c>
      <c r="S34" s="1294">
        <f t="shared" si="16"/>
        <v>2204</v>
      </c>
      <c r="T34" s="1294">
        <f t="shared" si="16"/>
        <v>2204</v>
      </c>
      <c r="U34" s="1294">
        <f t="shared" si="16"/>
        <v>2204</v>
      </c>
      <c r="V34" s="1294">
        <f t="shared" si="16"/>
        <v>2204</v>
      </c>
      <c r="W34" s="1294">
        <f t="shared" si="16"/>
        <v>2204</v>
      </c>
      <c r="X34" s="1294">
        <f t="shared" si="16"/>
        <v>13815</v>
      </c>
      <c r="Y34" s="1295"/>
      <c r="Z34" s="1292" t="s">
        <v>79</v>
      </c>
      <c r="AA34" s="1293"/>
      <c r="AB34" s="1294">
        <f t="shared" ref="AB34:AW34" si="17">SUM(AB33,AB11)</f>
        <v>0</v>
      </c>
      <c r="AC34" s="1294">
        <f t="shared" si="17"/>
        <v>0</v>
      </c>
      <c r="AD34" s="1294">
        <f t="shared" si="17"/>
        <v>0</v>
      </c>
      <c r="AE34" s="1294">
        <f t="shared" si="17"/>
        <v>198</v>
      </c>
      <c r="AF34" s="1294">
        <f t="shared" si="17"/>
        <v>357</v>
      </c>
      <c r="AG34" s="1294">
        <f t="shared" si="17"/>
        <v>357</v>
      </c>
      <c r="AH34" s="1294">
        <f t="shared" si="17"/>
        <v>733</v>
      </c>
      <c r="AI34" s="1294">
        <f t="shared" si="17"/>
        <v>733</v>
      </c>
      <c r="AJ34" s="1294">
        <f t="shared" si="17"/>
        <v>733</v>
      </c>
      <c r="AK34" s="1294">
        <f t="shared" si="17"/>
        <v>733</v>
      </c>
      <c r="AL34" s="1294">
        <f t="shared" si="17"/>
        <v>733</v>
      </c>
      <c r="AM34" s="1294">
        <f t="shared" si="17"/>
        <v>733</v>
      </c>
      <c r="AN34" s="1294">
        <f t="shared" si="17"/>
        <v>733</v>
      </c>
      <c r="AO34" s="1294">
        <f t="shared" si="17"/>
        <v>733</v>
      </c>
      <c r="AP34" s="1294">
        <f t="shared" si="17"/>
        <v>733</v>
      </c>
      <c r="AQ34" s="1294">
        <f t="shared" si="17"/>
        <v>733</v>
      </c>
      <c r="AR34" s="1294">
        <f t="shared" si="17"/>
        <v>733</v>
      </c>
      <c r="AS34" s="1294">
        <f t="shared" si="17"/>
        <v>733</v>
      </c>
      <c r="AT34" s="1294">
        <f t="shared" si="17"/>
        <v>733</v>
      </c>
      <c r="AU34" s="1294">
        <f t="shared" si="17"/>
        <v>733</v>
      </c>
      <c r="AV34" s="1294">
        <f t="shared" si="17"/>
        <v>733</v>
      </c>
      <c r="AW34" s="1294">
        <f t="shared" si="17"/>
        <v>5959</v>
      </c>
      <c r="AX34" s="1295"/>
      <c r="AY34" s="1278"/>
    </row>
    <row r="35" spans="1:70" ht="9.9499999999999993" customHeight="1">
      <c r="A35" s="1264"/>
      <c r="B35" s="1254"/>
      <c r="C35" s="1255"/>
      <c r="D35" s="1255"/>
      <c r="E35" s="1255"/>
      <c r="F35" s="1255"/>
      <c r="G35" s="1255"/>
      <c r="H35" s="1255"/>
      <c r="I35" s="1255"/>
      <c r="J35" s="1255"/>
      <c r="K35" s="1255"/>
      <c r="L35" s="1255"/>
      <c r="M35" s="1255"/>
      <c r="N35" s="1255"/>
      <c r="O35" s="1255"/>
      <c r="P35" s="1256"/>
      <c r="Q35" s="1255"/>
      <c r="R35" s="1255"/>
      <c r="S35" s="1255"/>
      <c r="T35" s="1255"/>
      <c r="U35" s="1256"/>
      <c r="V35" s="1256"/>
      <c r="W35" s="1256"/>
      <c r="X35" s="1256"/>
      <c r="Y35" s="1254"/>
      <c r="Z35" s="1264"/>
      <c r="AA35" s="1267"/>
      <c r="AB35" s="1255"/>
      <c r="AC35" s="1255"/>
      <c r="AD35" s="1255"/>
      <c r="AE35" s="1255"/>
      <c r="AF35" s="1255"/>
      <c r="AG35" s="1255"/>
      <c r="AH35" s="1255"/>
      <c r="AI35" s="1255"/>
      <c r="AJ35" s="1255"/>
      <c r="AK35" s="1255"/>
      <c r="AL35" s="1255"/>
      <c r="AM35" s="1255"/>
      <c r="AN35" s="1255"/>
      <c r="AO35" s="1256"/>
      <c r="AP35" s="1255"/>
      <c r="AQ35" s="1255"/>
      <c r="AR35" s="1255"/>
      <c r="AS35" s="1255"/>
      <c r="AT35" s="1256"/>
      <c r="AU35" s="1256"/>
      <c r="AV35" s="1256"/>
      <c r="AW35" s="1256"/>
      <c r="AX35" s="1254"/>
      <c r="AY35" s="1278">
        <f>ROUND(X10*0.13,0)</f>
        <v>5</v>
      </c>
      <c r="BH35" s="1296"/>
    </row>
    <row r="36" spans="1:70" ht="20.100000000000001" customHeight="1">
      <c r="A36" s="1264" t="s">
        <v>1128</v>
      </c>
      <c r="B36" s="1254"/>
      <c r="C36" s="1255"/>
      <c r="D36" s="1255"/>
      <c r="E36" s="1255"/>
      <c r="F36" s="1255"/>
      <c r="G36" s="1255"/>
      <c r="H36" s="1255"/>
      <c r="I36" s="1255"/>
      <c r="J36" s="1255"/>
      <c r="K36" s="1255"/>
      <c r="L36" s="1255"/>
      <c r="M36" s="1255"/>
      <c r="N36" s="1255"/>
      <c r="O36" s="1255"/>
      <c r="P36" s="1256"/>
      <c r="Q36" s="1255"/>
      <c r="R36" s="1255"/>
      <c r="S36" s="1255"/>
      <c r="T36" s="1255"/>
      <c r="U36" s="1256"/>
      <c r="V36" s="1256"/>
      <c r="W36" s="1256"/>
      <c r="X36" s="1256"/>
      <c r="Y36" s="1266" t="s">
        <v>76</v>
      </c>
      <c r="Z36" s="1264" t="s">
        <v>1128</v>
      </c>
      <c r="AA36" s="1267"/>
      <c r="AB36" s="1255"/>
      <c r="AC36" s="1255"/>
      <c r="AD36" s="1255"/>
      <c r="AE36" s="1255"/>
      <c r="AF36" s="1255"/>
      <c r="AG36" s="1255"/>
      <c r="AH36" s="1255"/>
      <c r="AI36" s="1255"/>
      <c r="AJ36" s="1255"/>
      <c r="AK36" s="1255"/>
      <c r="AL36" s="1255"/>
      <c r="AM36" s="1255"/>
      <c r="AN36" s="1255"/>
      <c r="AO36" s="1256"/>
      <c r="AP36" s="1255"/>
      <c r="AQ36" s="1255"/>
      <c r="AR36" s="1255"/>
      <c r="AS36" s="1255"/>
      <c r="AT36" s="1256"/>
      <c r="AU36" s="1256"/>
      <c r="AV36" s="1256"/>
      <c r="AW36" s="1256"/>
      <c r="AX36" s="1266" t="s">
        <v>76</v>
      </c>
      <c r="AY36" s="1297"/>
    </row>
    <row r="37" spans="1:70" ht="20.100000000000001" customHeight="1">
      <c r="A37" s="1298" t="s">
        <v>77</v>
      </c>
      <c r="B37" s="1299"/>
      <c r="C37" s="1300">
        <v>2014</v>
      </c>
      <c r="D37" s="1300">
        <v>2015</v>
      </c>
      <c r="E37" s="1300">
        <v>2016</v>
      </c>
      <c r="F37" s="1300">
        <v>2017</v>
      </c>
      <c r="G37" s="1300">
        <v>2018</v>
      </c>
      <c r="H37" s="1300">
        <v>2019</v>
      </c>
      <c r="I37" s="1300">
        <v>2020</v>
      </c>
      <c r="J37" s="1300">
        <v>2021</v>
      </c>
      <c r="K37" s="1300">
        <v>2022</v>
      </c>
      <c r="L37" s="1300">
        <v>2023</v>
      </c>
      <c r="M37" s="1300">
        <v>2024</v>
      </c>
      <c r="N37" s="1300">
        <v>2025</v>
      </c>
      <c r="O37" s="1300">
        <v>2026</v>
      </c>
      <c r="P37" s="1300">
        <v>2027</v>
      </c>
      <c r="Q37" s="1300">
        <v>2028</v>
      </c>
      <c r="R37" s="1300">
        <v>2029</v>
      </c>
      <c r="S37" s="1300">
        <v>2030</v>
      </c>
      <c r="T37" s="1300">
        <v>2031</v>
      </c>
      <c r="U37" s="1300">
        <v>2032</v>
      </c>
      <c r="V37" s="1300">
        <v>2033</v>
      </c>
      <c r="W37" s="1300">
        <v>2034</v>
      </c>
      <c r="X37" s="1300">
        <v>2035</v>
      </c>
      <c r="Y37" s="1968" t="s">
        <v>60</v>
      </c>
      <c r="Z37" s="1298" t="s">
        <v>77</v>
      </c>
      <c r="AA37" s="1299"/>
      <c r="AB37" s="1300">
        <v>2014</v>
      </c>
      <c r="AC37" s="1300">
        <v>2015</v>
      </c>
      <c r="AD37" s="1300">
        <v>2016</v>
      </c>
      <c r="AE37" s="1300">
        <v>2017</v>
      </c>
      <c r="AF37" s="1300">
        <v>2018</v>
      </c>
      <c r="AG37" s="1300">
        <v>2019</v>
      </c>
      <c r="AH37" s="1300">
        <v>2020</v>
      </c>
      <c r="AI37" s="1300">
        <v>2021</v>
      </c>
      <c r="AJ37" s="1300">
        <v>2022</v>
      </c>
      <c r="AK37" s="1300">
        <v>2023</v>
      </c>
      <c r="AL37" s="1300">
        <v>2024</v>
      </c>
      <c r="AM37" s="1300">
        <v>2025</v>
      </c>
      <c r="AN37" s="1300">
        <v>2026</v>
      </c>
      <c r="AO37" s="1300">
        <v>2027</v>
      </c>
      <c r="AP37" s="1300">
        <v>2028</v>
      </c>
      <c r="AQ37" s="1300">
        <v>2029</v>
      </c>
      <c r="AR37" s="1300">
        <v>2030</v>
      </c>
      <c r="AS37" s="1300">
        <v>2031</v>
      </c>
      <c r="AT37" s="1300">
        <v>2032</v>
      </c>
      <c r="AU37" s="1300">
        <v>2033</v>
      </c>
      <c r="AV37" s="1300">
        <v>2034</v>
      </c>
      <c r="AW37" s="1300">
        <v>2035</v>
      </c>
      <c r="AX37" s="1558" t="s">
        <v>97</v>
      </c>
      <c r="AY37" s="1302"/>
    </row>
    <row r="38" spans="1:70" ht="20.100000000000001" customHeight="1">
      <c r="A38" s="2518" t="s">
        <v>94</v>
      </c>
      <c r="B38" s="1303" t="str">
        <f>'1.4.3개발계획현황'!A8</f>
        <v>무극지구 도시계발사업</v>
      </c>
      <c r="C38" s="1304">
        <f>IF(C$37='1.4.3개발계획현황'!$K8,'1.4.3개발계획현황'!$AA8,0)</f>
        <v>0</v>
      </c>
      <c r="D38" s="1304">
        <f>IF(D$37='1.4.3개발계획현황'!$K8,'1.4.3개발계획현황'!$AA8,C38)</f>
        <v>0</v>
      </c>
      <c r="E38" s="1304">
        <f>IF(E$37='1.4.3개발계획현황'!$K8,'1.4.3개발계획현황'!$AA8,D38)</f>
        <v>0</v>
      </c>
      <c r="F38" s="1304">
        <f>IF(F$37='1.4.3개발계획현황'!$K8,'1.4.3개발계획현황'!$AA8,E38)</f>
        <v>0</v>
      </c>
      <c r="G38" s="1304">
        <f>IF(G$37='1.4.3개발계획현황'!$K8,'1.4.3개발계획현황'!$AA8,F38)</f>
        <v>0</v>
      </c>
      <c r="H38" s="1304">
        <f>IF(H$37='1.4.3개발계획현황'!$K8,'1.4.3개발계획현황'!$AA8,G38)</f>
        <v>0</v>
      </c>
      <c r="I38" s="1304">
        <f>IF(I$37='1.4.3개발계획현황'!$K8,'1.4.3개발계획현황'!$AA8,H38)</f>
        <v>0</v>
      </c>
      <c r="J38" s="1304">
        <f>IF(J$37='1.4.3개발계획현황'!$K8,'1.4.3개발계획현황'!$AA8,I38)</f>
        <v>0</v>
      </c>
      <c r="K38" s="1304">
        <f>IF(K$37='1.4.3개발계획현황'!$K8,'1.4.3개발계획현황'!$AA8,J38)</f>
        <v>0</v>
      </c>
      <c r="L38" s="1304">
        <f>IF(L$37='1.4.3개발계획현황'!$K8,'1.4.3개발계획현황'!$AA8,K38)</f>
        <v>0</v>
      </c>
      <c r="M38" s="1304">
        <f>IF(M$37='1.4.3개발계획현황'!$K8,'1.4.3개발계획현황'!$AA8,L38)</f>
        <v>0</v>
      </c>
      <c r="N38" s="1304">
        <f>IF(N$37='1.4.3개발계획현황'!$K8,'1.4.3개발계획현황'!$AA8,M38)</f>
        <v>0</v>
      </c>
      <c r="O38" s="1304">
        <f>IF(O$37='1.4.3개발계획현황'!$K8,'1.4.3개발계획현황'!$AA8,N38)</f>
        <v>0</v>
      </c>
      <c r="P38" s="1304">
        <f>IF(P$37='1.4.3개발계획현황'!$K8,'1.4.3개발계획현황'!$AA8,O38)</f>
        <v>0</v>
      </c>
      <c r="Q38" s="1304">
        <f>IF(Q$37='1.4.3개발계획현황'!$K8,'1.4.3개발계획현황'!$AA8,P38)</f>
        <v>0</v>
      </c>
      <c r="R38" s="1304">
        <f>IF(R$37='1.4.3개발계획현황'!$K8,'1.4.3개발계획현황'!$AA8,Q38)</f>
        <v>0</v>
      </c>
      <c r="S38" s="1304">
        <f>IF(S$37='1.4.3개발계획현황'!$K8,'1.4.3개발계획현황'!$AA8,R38)</f>
        <v>0</v>
      </c>
      <c r="T38" s="1304">
        <f>IF(T$37='1.4.3개발계획현황'!$K8,'1.4.3개발계획현황'!$AA8,S38)</f>
        <v>0</v>
      </c>
      <c r="U38" s="1304">
        <f>IF(U$37='1.4.3개발계획현황'!$K8,'1.4.3개발계획현황'!$AA8,T38)</f>
        <v>0</v>
      </c>
      <c r="V38" s="1304">
        <f>IF(V$37='1.4.3개발계획현황'!$K8,'1.4.3개발계획현황'!$AA8,U38)</f>
        <v>0</v>
      </c>
      <c r="W38" s="1304">
        <f>IF(W$37='1.4.3개발계획현황'!$K8,'1.4.3개발계획현황'!$AA8,V38)</f>
        <v>0</v>
      </c>
      <c r="X38" s="1304">
        <f>IF(X$37='1.4.3개발계획현황'!$K8,'1.4.3개발계획현황'!$AA8,W38)</f>
        <v>2220</v>
      </c>
      <c r="Y38" s="2232"/>
      <c r="Z38" s="2519" t="str">
        <f>A38</f>
        <v>도시개발사업</v>
      </c>
      <c r="AA38" s="1563" t="str">
        <f>B38</f>
        <v>무극지구 도시계발사업</v>
      </c>
      <c r="AB38" s="1304">
        <f t="shared" ref="AB38" si="18">ROUND(C38*$AX38,0)</f>
        <v>0</v>
      </c>
      <c r="AC38" s="1304">
        <f>ROUND(D38*$AX38,0)</f>
        <v>0</v>
      </c>
      <c r="AD38" s="1304">
        <f t="shared" ref="AD38" si="19">ROUND(E38*$AX38,0)</f>
        <v>0</v>
      </c>
      <c r="AE38" s="1304">
        <f t="shared" ref="AE38" si="20">ROUND(F38*$AX38,0)</f>
        <v>0</v>
      </c>
      <c r="AF38" s="1304">
        <f t="shared" ref="AF38" si="21">ROUND(G38*$AX38,0)</f>
        <v>0</v>
      </c>
      <c r="AG38" s="1304">
        <f t="shared" ref="AG38" si="22">ROUND(H38*$AX38,0)</f>
        <v>0</v>
      </c>
      <c r="AH38" s="1304">
        <f t="shared" ref="AH38" si="23">ROUND(I38*$AX38,0)</f>
        <v>0</v>
      </c>
      <c r="AI38" s="1304">
        <f t="shared" ref="AI38" si="24">ROUND(J38*$AX38,0)</f>
        <v>0</v>
      </c>
      <c r="AJ38" s="1304">
        <f t="shared" ref="AJ38" si="25">ROUND(K38*$AX38,0)</f>
        <v>0</v>
      </c>
      <c r="AK38" s="1304">
        <f t="shared" ref="AK38" si="26">ROUND(L38*$AX38,0)</f>
        <v>0</v>
      </c>
      <c r="AL38" s="1304">
        <f t="shared" ref="AL38" si="27">ROUND(M38*$AX38,0)</f>
        <v>0</v>
      </c>
      <c r="AM38" s="1304">
        <f t="shared" ref="AM38" si="28">ROUND(N38*$AX38,0)</f>
        <v>0</v>
      </c>
      <c r="AN38" s="1304">
        <f t="shared" ref="AN38" si="29">ROUND(O38*$AX38,0)</f>
        <v>0</v>
      </c>
      <c r="AO38" s="1304">
        <f t="shared" ref="AO38" si="30">ROUND(P38*$AX38,0)</f>
        <v>0</v>
      </c>
      <c r="AP38" s="1304">
        <f t="shared" ref="AP38" si="31">ROUND(Q38*$AX38,0)</f>
        <v>0</v>
      </c>
      <c r="AQ38" s="1304">
        <f t="shared" ref="AQ38" si="32">ROUND(R38*$AX38,0)</f>
        <v>0</v>
      </c>
      <c r="AR38" s="1304">
        <f t="shared" ref="AR38" si="33">ROUND(S38*$AX38,0)</f>
        <v>0</v>
      </c>
      <c r="AS38" s="1304">
        <f t="shared" ref="AS38" si="34">ROUND(T38*$AX38,0)</f>
        <v>0</v>
      </c>
      <c r="AT38" s="1304">
        <f t="shared" ref="AT38" si="35">ROUND(U38*$AX38,0)</f>
        <v>0</v>
      </c>
      <c r="AU38" s="1304">
        <f t="shared" ref="AU38" si="36">ROUND(V38*$AX38,0)</f>
        <v>0</v>
      </c>
      <c r="AV38" s="1304">
        <f t="shared" ref="AV38" si="37">ROUND(W38*$AX38,0)</f>
        <v>0</v>
      </c>
      <c r="AW38" s="1304">
        <f t="shared" ref="AW38" si="38">ROUND(X38*$AX38,0)</f>
        <v>1554</v>
      </c>
      <c r="AX38" s="1564">
        <v>0.7</v>
      </c>
      <c r="AY38" s="1302"/>
    </row>
    <row r="39" spans="1:70" ht="20.100000000000001" customHeight="1">
      <c r="A39" s="2507"/>
      <c r="B39" s="1308" t="s">
        <v>72</v>
      </c>
      <c r="C39" s="1309">
        <f>SUM(C38)</f>
        <v>0</v>
      </c>
      <c r="D39" s="1309">
        <f>SUM(D38)</f>
        <v>0</v>
      </c>
      <c r="E39" s="1309">
        <f t="shared" ref="E39:X39" si="39">SUM(E38)</f>
        <v>0</v>
      </c>
      <c r="F39" s="1309">
        <f t="shared" si="39"/>
        <v>0</v>
      </c>
      <c r="G39" s="1309">
        <f t="shared" si="39"/>
        <v>0</v>
      </c>
      <c r="H39" s="1309">
        <f t="shared" si="39"/>
        <v>0</v>
      </c>
      <c r="I39" s="1309">
        <f t="shared" si="39"/>
        <v>0</v>
      </c>
      <c r="J39" s="1309">
        <f t="shared" si="39"/>
        <v>0</v>
      </c>
      <c r="K39" s="1309">
        <f t="shared" si="39"/>
        <v>0</v>
      </c>
      <c r="L39" s="1309">
        <f t="shared" si="39"/>
        <v>0</v>
      </c>
      <c r="M39" s="1309">
        <f t="shared" si="39"/>
        <v>0</v>
      </c>
      <c r="N39" s="1309">
        <f t="shared" si="39"/>
        <v>0</v>
      </c>
      <c r="O39" s="1309">
        <f t="shared" si="39"/>
        <v>0</v>
      </c>
      <c r="P39" s="1309">
        <f t="shared" si="39"/>
        <v>0</v>
      </c>
      <c r="Q39" s="1309">
        <f t="shared" si="39"/>
        <v>0</v>
      </c>
      <c r="R39" s="1309">
        <f t="shared" si="39"/>
        <v>0</v>
      </c>
      <c r="S39" s="1309">
        <f t="shared" si="39"/>
        <v>0</v>
      </c>
      <c r="T39" s="1309">
        <f t="shared" si="39"/>
        <v>0</v>
      </c>
      <c r="U39" s="1309">
        <f t="shared" si="39"/>
        <v>0</v>
      </c>
      <c r="V39" s="1309">
        <f t="shared" si="39"/>
        <v>0</v>
      </c>
      <c r="W39" s="1309">
        <f t="shared" si="39"/>
        <v>0</v>
      </c>
      <c r="X39" s="1309">
        <f t="shared" si="39"/>
        <v>2220</v>
      </c>
      <c r="Y39" s="2233"/>
      <c r="Z39" s="2520"/>
      <c r="AA39" s="1308" t="s">
        <v>72</v>
      </c>
      <c r="AB39" s="1309">
        <f t="shared" ref="AB39:AT39" si="40">SUM(AB38)</f>
        <v>0</v>
      </c>
      <c r="AC39" s="1309">
        <f t="shared" si="40"/>
        <v>0</v>
      </c>
      <c r="AD39" s="1309">
        <f t="shared" si="40"/>
        <v>0</v>
      </c>
      <c r="AE39" s="1309">
        <f t="shared" si="40"/>
        <v>0</v>
      </c>
      <c r="AF39" s="1309">
        <f t="shared" si="40"/>
        <v>0</v>
      </c>
      <c r="AG39" s="1309">
        <f t="shared" si="40"/>
        <v>0</v>
      </c>
      <c r="AH39" s="1309">
        <f t="shared" si="40"/>
        <v>0</v>
      </c>
      <c r="AI39" s="1309">
        <f t="shared" si="40"/>
        <v>0</v>
      </c>
      <c r="AJ39" s="1309">
        <f t="shared" si="40"/>
        <v>0</v>
      </c>
      <c r="AK39" s="1309">
        <f t="shared" si="40"/>
        <v>0</v>
      </c>
      <c r="AL39" s="1309">
        <f t="shared" si="40"/>
        <v>0</v>
      </c>
      <c r="AM39" s="1309">
        <f t="shared" si="40"/>
        <v>0</v>
      </c>
      <c r="AN39" s="1309">
        <f t="shared" si="40"/>
        <v>0</v>
      </c>
      <c r="AO39" s="1309">
        <f t="shared" si="40"/>
        <v>0</v>
      </c>
      <c r="AP39" s="1309">
        <f t="shared" si="40"/>
        <v>0</v>
      </c>
      <c r="AQ39" s="1309">
        <f t="shared" si="40"/>
        <v>0</v>
      </c>
      <c r="AR39" s="1309">
        <f t="shared" si="40"/>
        <v>0</v>
      </c>
      <c r="AS39" s="1309">
        <f t="shared" si="40"/>
        <v>0</v>
      </c>
      <c r="AT39" s="1309">
        <f t="shared" si="40"/>
        <v>0</v>
      </c>
      <c r="AU39" s="1309">
        <f>SUM(AU38)</f>
        <v>0</v>
      </c>
      <c r="AV39" s="1309">
        <f>SUM(AV38)</f>
        <v>0</v>
      </c>
      <c r="AW39" s="1309">
        <f>SUM(AW38)</f>
        <v>1554</v>
      </c>
      <c r="AX39" s="1565"/>
      <c r="AY39" s="1302"/>
    </row>
    <row r="40" spans="1:70" s="1257" customFormat="1" ht="20.100000000000001" customHeight="1">
      <c r="A40" s="2507" t="s">
        <v>95</v>
      </c>
      <c r="B40" s="1973" t="str">
        <f>'1.4.3개발계획현황'!A19</f>
        <v>시티프라디움</v>
      </c>
      <c r="C40" s="1972">
        <f>IF(C$37='1.4.3개발계획현황'!$K19,'1.4.3개발계획현황'!$AA19,0)</f>
        <v>0</v>
      </c>
      <c r="D40" s="1972">
        <f>IF(D$37='1.4.3개발계획현황'!$K19,'1.4.3개발계획현황'!$AA19,C40)</f>
        <v>0</v>
      </c>
      <c r="E40" s="1972">
        <f>IF(E$37='1.4.3개발계획현황'!$K19,'1.4.3개발계획현황'!$AA19,D40)</f>
        <v>0</v>
      </c>
      <c r="F40" s="1972">
        <f>IF(F$37='1.4.3개발계획현황'!$K19,'1.4.3개발계획현황'!$AA19,E40)</f>
        <v>942</v>
      </c>
      <c r="G40" s="1972">
        <f>IF(G$37='1.4.3개발계획현황'!$K19,'1.4.3개발계획현황'!$AA19,F40)</f>
        <v>942</v>
      </c>
      <c r="H40" s="1972">
        <f>IF(H$37='1.4.3개발계획현황'!$K19,'1.4.3개발계획현황'!$AA19,G40)</f>
        <v>942</v>
      </c>
      <c r="I40" s="1972">
        <f>IF(I$37='1.4.3개발계획현황'!$K19,'1.4.3개발계획현황'!$AA19,H40)</f>
        <v>942</v>
      </c>
      <c r="J40" s="1972">
        <f>IF(J$37='1.4.3개발계획현황'!$K19,'1.4.3개발계획현황'!$AA19,I40)</f>
        <v>942</v>
      </c>
      <c r="K40" s="1972">
        <f>IF(K$37='1.4.3개발계획현황'!$K19,'1.4.3개발계획현황'!$AA19,J40)</f>
        <v>942</v>
      </c>
      <c r="L40" s="1972">
        <f>IF(L$37='1.4.3개발계획현황'!$K19,'1.4.3개발계획현황'!$AA19,K40)</f>
        <v>942</v>
      </c>
      <c r="M40" s="1972">
        <f>IF(M$37='1.4.3개발계획현황'!$K19,'1.4.3개발계획현황'!$AA19,L40)</f>
        <v>942</v>
      </c>
      <c r="N40" s="1972">
        <f>IF(N$37='1.4.3개발계획현황'!$K19,'1.4.3개발계획현황'!$AA19,M40)</f>
        <v>942</v>
      </c>
      <c r="O40" s="1972">
        <f>IF(O$37='1.4.3개발계획현황'!$K19,'1.4.3개발계획현황'!$AA19,N40)</f>
        <v>942</v>
      </c>
      <c r="P40" s="1972">
        <f>IF(P$37='1.4.3개발계획현황'!$K19,'1.4.3개발계획현황'!$AA19,O40)</f>
        <v>942</v>
      </c>
      <c r="Q40" s="1972">
        <f>IF(Q$37='1.4.3개발계획현황'!$K19,'1.4.3개발계획현황'!$AA19,P40)</f>
        <v>942</v>
      </c>
      <c r="R40" s="1972">
        <f>IF(R$37='1.4.3개발계획현황'!$K19,'1.4.3개발계획현황'!$AA19,Q40)</f>
        <v>942</v>
      </c>
      <c r="S40" s="1972">
        <f>IF(S$37='1.4.3개발계획현황'!$K19,'1.4.3개발계획현황'!$AA19,R40)</f>
        <v>942</v>
      </c>
      <c r="T40" s="1972">
        <f>IF(T$37='1.4.3개발계획현황'!$K19,'1.4.3개발계획현황'!$AA19,S40)</f>
        <v>942</v>
      </c>
      <c r="U40" s="1972">
        <f>IF(U$37='1.4.3개발계획현황'!$K19,'1.4.3개발계획현황'!$AA19,T40)</f>
        <v>942</v>
      </c>
      <c r="V40" s="1972">
        <f>IF(V$37='1.4.3개발계획현황'!$K19,'1.4.3개발계획현황'!$AA19,U40)</f>
        <v>942</v>
      </c>
      <c r="W40" s="1972">
        <f>IF(W$37='1.4.3개발계획현황'!$K19,'1.4.3개발계획현황'!$AA19,V40)</f>
        <v>942</v>
      </c>
      <c r="X40" s="1972">
        <f>IF(X$37='1.4.3개발계획현황'!$K19,'1.4.3개발계획현황'!$AA19,W40)</f>
        <v>942</v>
      </c>
      <c r="Y40" s="2234"/>
      <c r="Z40" s="2507" t="str">
        <f>A40</f>
        <v>공동주택
건설사업</v>
      </c>
      <c r="AA40" s="1336" t="str">
        <f>B40</f>
        <v>시티프라디움</v>
      </c>
      <c r="AB40" s="1350">
        <f t="shared" ref="AB40:AK42" si="41">ROUND(C40*$AX40,0)</f>
        <v>0</v>
      </c>
      <c r="AC40" s="1350">
        <f t="shared" si="41"/>
        <v>0</v>
      </c>
      <c r="AD40" s="1350">
        <f t="shared" si="41"/>
        <v>0</v>
      </c>
      <c r="AE40" s="1350">
        <f t="shared" si="41"/>
        <v>593</v>
      </c>
      <c r="AF40" s="1350">
        <f t="shared" si="41"/>
        <v>593</v>
      </c>
      <c r="AG40" s="1350">
        <f t="shared" si="41"/>
        <v>593</v>
      </c>
      <c r="AH40" s="1350">
        <f t="shared" si="41"/>
        <v>593</v>
      </c>
      <c r="AI40" s="1350">
        <f t="shared" si="41"/>
        <v>593</v>
      </c>
      <c r="AJ40" s="1350">
        <f t="shared" si="41"/>
        <v>593</v>
      </c>
      <c r="AK40" s="1350">
        <f t="shared" si="41"/>
        <v>593</v>
      </c>
      <c r="AL40" s="1350">
        <f t="shared" ref="AL40:AU42" si="42">ROUND(M40*$AX40,0)</f>
        <v>593</v>
      </c>
      <c r="AM40" s="1350">
        <f t="shared" si="42"/>
        <v>593</v>
      </c>
      <c r="AN40" s="1350">
        <f t="shared" si="42"/>
        <v>593</v>
      </c>
      <c r="AO40" s="1350">
        <f t="shared" si="42"/>
        <v>593</v>
      </c>
      <c r="AP40" s="1350">
        <f t="shared" si="42"/>
        <v>593</v>
      </c>
      <c r="AQ40" s="1350">
        <f t="shared" si="42"/>
        <v>593</v>
      </c>
      <c r="AR40" s="1350">
        <f t="shared" si="42"/>
        <v>593</v>
      </c>
      <c r="AS40" s="1350">
        <f t="shared" si="42"/>
        <v>593</v>
      </c>
      <c r="AT40" s="1350">
        <f t="shared" si="42"/>
        <v>593</v>
      </c>
      <c r="AU40" s="1350">
        <f t="shared" si="42"/>
        <v>593</v>
      </c>
      <c r="AV40" s="1350">
        <f t="shared" ref="AV40:AW42" si="43">ROUND(W40*$AX40,0)</f>
        <v>593</v>
      </c>
      <c r="AW40" s="1350">
        <f t="shared" si="43"/>
        <v>593</v>
      </c>
      <c r="AX40" s="1566">
        <v>0.63</v>
      </c>
      <c r="AY40" s="1254"/>
      <c r="BH40" s="1257">
        <v>2017</v>
      </c>
      <c r="BI40" s="1313" t="str">
        <f>'1.4.3개발계획현황'!A45</f>
        <v>상우산업단지</v>
      </c>
      <c r="BJ40" s="1314">
        <f>ROUND(BK40*BL40,2)</f>
        <v>0.16</v>
      </c>
      <c r="BK40" s="1315">
        <v>0.45</v>
      </c>
      <c r="BL40" s="1315">
        <f t="shared" ref="BL40:BL45" si="44">+BP40/100</f>
        <v>0.35</v>
      </c>
      <c r="BM40" s="2530">
        <v>65</v>
      </c>
      <c r="BN40" s="2530"/>
      <c r="BO40" s="2530"/>
      <c r="BP40" s="2531">
        <f t="shared" ref="BP40:BP43" si="45">100-BM40</f>
        <v>35</v>
      </c>
      <c r="BQ40" s="2531"/>
      <c r="BR40" s="2531"/>
    </row>
    <row r="41" spans="1:70" s="1257" customFormat="1" ht="20.100000000000001" customHeight="1">
      <c r="A41" s="2507"/>
      <c r="B41" s="1973" t="str">
        <f>'1.4.3개발계획현황'!A20</f>
        <v>금석 A2블록</v>
      </c>
      <c r="C41" s="1972">
        <f>IF(C$37='1.4.3개발계획현황'!$K20,'1.4.3개발계획현황'!$AA20,0)</f>
        <v>0</v>
      </c>
      <c r="D41" s="1972">
        <f>IF(D$37='1.4.3개발계획현황'!$K20,'1.4.3개발계획현황'!$AA20,C41)</f>
        <v>0</v>
      </c>
      <c r="E41" s="1972">
        <f>IF(E$37='1.4.3개발계획현황'!$K20,'1.4.3개발계획현황'!$AA20,D41)</f>
        <v>0</v>
      </c>
      <c r="F41" s="1972">
        <f>IF(F$37='1.4.3개발계획현황'!$K20,'1.4.3개발계획현황'!$AA20,E41)</f>
        <v>0</v>
      </c>
      <c r="G41" s="1972">
        <f>IF(G$37='1.4.3개발계획현황'!$K20,'1.4.3개발계획현황'!$AA20,F41)</f>
        <v>0</v>
      </c>
      <c r="H41" s="1972">
        <f>IF(H$37='1.4.3개발계획현황'!$K20,'1.4.3개발계획현황'!$AA20,G41)</f>
        <v>0</v>
      </c>
      <c r="I41" s="1972">
        <f>IF(I$37='1.4.3개발계획현황'!$K20,'1.4.3개발계획현황'!$AA20,H41)</f>
        <v>0</v>
      </c>
      <c r="J41" s="1972">
        <f>IF(J$37='1.4.3개발계획현황'!$K20,'1.4.3개발계획현황'!$AA20,I41)</f>
        <v>0</v>
      </c>
      <c r="K41" s="1972">
        <f>IF(K$37='1.4.3개발계획현황'!$K20,'1.4.3개발계획현황'!$AA20,J41)</f>
        <v>0</v>
      </c>
      <c r="L41" s="1972">
        <f>IF(L$37='1.4.3개발계획현황'!$K20,'1.4.3개발계획현황'!$AA20,K41)</f>
        <v>0</v>
      </c>
      <c r="M41" s="1972">
        <f>IF(M$37='1.4.3개발계획현황'!$K20,'1.4.3개발계획현황'!$AA20,L41)</f>
        <v>0</v>
      </c>
      <c r="N41" s="1972">
        <f>IF(N$37='1.4.3개발계획현황'!$K20,'1.4.3개발계획현황'!$AA20,M41)</f>
        <v>708</v>
      </c>
      <c r="O41" s="1972">
        <f>IF(O$37='1.4.3개발계획현황'!$K20,'1.4.3개발계획현황'!$AA20,N41)</f>
        <v>708</v>
      </c>
      <c r="P41" s="1972">
        <f>IF(P$37='1.4.3개발계획현황'!$K20,'1.4.3개발계획현황'!$AA20,O41)</f>
        <v>708</v>
      </c>
      <c r="Q41" s="1972">
        <f>IF(Q$37='1.4.3개발계획현황'!$K20,'1.4.3개발계획현황'!$AA20,P41)</f>
        <v>708</v>
      </c>
      <c r="R41" s="1972">
        <f>IF(R$37='1.4.3개발계획현황'!$K20,'1.4.3개발계획현황'!$AA20,Q41)</f>
        <v>708</v>
      </c>
      <c r="S41" s="1972">
        <f>IF(S$37='1.4.3개발계획현황'!$K20,'1.4.3개발계획현황'!$AA20,R41)</f>
        <v>708</v>
      </c>
      <c r="T41" s="1972">
        <f>IF(T$37='1.4.3개발계획현황'!$K20,'1.4.3개발계획현황'!$AA20,S41)</f>
        <v>708</v>
      </c>
      <c r="U41" s="1972">
        <f>IF(U$37='1.4.3개발계획현황'!$K20,'1.4.3개발계획현황'!$AA20,T41)</f>
        <v>708</v>
      </c>
      <c r="V41" s="1972">
        <f>IF(V$37='1.4.3개발계획현황'!$K20,'1.4.3개발계획현황'!$AA20,U41)</f>
        <v>708</v>
      </c>
      <c r="W41" s="1972">
        <f>IF(W$37='1.4.3개발계획현황'!$K20,'1.4.3개발계획현황'!$AA20,V41)</f>
        <v>708</v>
      </c>
      <c r="X41" s="1972">
        <f>IF(X$37='1.4.3개발계획현황'!$K20,'1.4.3개발계획현황'!$AA20,W41)</f>
        <v>708</v>
      </c>
      <c r="Y41" s="2234"/>
      <c r="Z41" s="2507"/>
      <c r="AA41" s="1336" t="str">
        <f>B41</f>
        <v>금석 A2블록</v>
      </c>
      <c r="AB41" s="1350">
        <f t="shared" si="41"/>
        <v>0</v>
      </c>
      <c r="AC41" s="1350">
        <f t="shared" si="41"/>
        <v>0</v>
      </c>
      <c r="AD41" s="1350">
        <f t="shared" si="41"/>
        <v>0</v>
      </c>
      <c r="AE41" s="1350">
        <f t="shared" si="41"/>
        <v>0</v>
      </c>
      <c r="AF41" s="1350">
        <f t="shared" si="41"/>
        <v>0</v>
      </c>
      <c r="AG41" s="1350">
        <f t="shared" si="41"/>
        <v>0</v>
      </c>
      <c r="AH41" s="1350">
        <f t="shared" si="41"/>
        <v>0</v>
      </c>
      <c r="AI41" s="1350">
        <f t="shared" si="41"/>
        <v>0</v>
      </c>
      <c r="AJ41" s="1350">
        <f t="shared" si="41"/>
        <v>0</v>
      </c>
      <c r="AK41" s="1350">
        <f t="shared" si="41"/>
        <v>0</v>
      </c>
      <c r="AL41" s="1350">
        <f t="shared" si="42"/>
        <v>0</v>
      </c>
      <c r="AM41" s="1350">
        <f t="shared" si="42"/>
        <v>446</v>
      </c>
      <c r="AN41" s="1350">
        <f t="shared" si="42"/>
        <v>446</v>
      </c>
      <c r="AO41" s="1350">
        <f t="shared" si="42"/>
        <v>446</v>
      </c>
      <c r="AP41" s="1350">
        <f t="shared" si="42"/>
        <v>446</v>
      </c>
      <c r="AQ41" s="1350">
        <f t="shared" si="42"/>
        <v>446</v>
      </c>
      <c r="AR41" s="1350">
        <f t="shared" si="42"/>
        <v>446</v>
      </c>
      <c r="AS41" s="1350">
        <f t="shared" si="42"/>
        <v>446</v>
      </c>
      <c r="AT41" s="1350">
        <f t="shared" si="42"/>
        <v>446</v>
      </c>
      <c r="AU41" s="1350">
        <f t="shared" si="42"/>
        <v>446</v>
      </c>
      <c r="AV41" s="1350">
        <f t="shared" si="43"/>
        <v>446</v>
      </c>
      <c r="AW41" s="1350">
        <f t="shared" si="43"/>
        <v>446</v>
      </c>
      <c r="AX41" s="1566">
        <v>0.63</v>
      </c>
      <c r="AY41" s="1254"/>
      <c r="BH41" s="1257">
        <v>2018</v>
      </c>
      <c r="BI41" s="1313" t="str">
        <f>'1.4.3개발계획현황'!A46</f>
        <v>신천보부산업단지</v>
      </c>
      <c r="BJ41" s="1314">
        <f>ROUND(BK41*BL41,2)</f>
        <v>0.16</v>
      </c>
      <c r="BK41" s="1315">
        <v>0.45</v>
      </c>
      <c r="BL41" s="1315">
        <f t="shared" si="44"/>
        <v>0.35</v>
      </c>
      <c r="BM41" s="2530">
        <v>65</v>
      </c>
      <c r="BN41" s="2530"/>
      <c r="BO41" s="2530"/>
      <c r="BP41" s="2531">
        <f t="shared" si="45"/>
        <v>35</v>
      </c>
      <c r="BQ41" s="2531"/>
      <c r="BR41" s="2531"/>
    </row>
    <row r="42" spans="1:70" ht="20.100000000000001" customHeight="1">
      <c r="A42" s="2507"/>
      <c r="B42" s="1973" t="str">
        <f>'1.4.3개발계획현황'!A35</f>
        <v>우신아파트</v>
      </c>
      <c r="C42" s="1972">
        <f>IF(C$37='1.4.3개발계획현황'!$K35,'1.4.3개발계획현황'!$AA35,0)</f>
        <v>0</v>
      </c>
      <c r="D42" s="1972">
        <f>IF(D$37='1.4.3개발계획현황'!$K35,'1.4.3개발계획현황'!$AA35,C42)</f>
        <v>0</v>
      </c>
      <c r="E42" s="1972">
        <f>IF(E$37='1.4.3개발계획현황'!$K35,'1.4.3개발계획현황'!$AA35,D42)</f>
        <v>0</v>
      </c>
      <c r="F42" s="1972">
        <f>IF(F$37='1.4.3개발계획현황'!$K35,'1.4.3개발계획현황'!$AA35,E42)</f>
        <v>0</v>
      </c>
      <c r="G42" s="1972">
        <f>IF(G$37='1.4.3개발계획현황'!$K35,'1.4.3개발계획현황'!$AA35,F42)</f>
        <v>0</v>
      </c>
      <c r="H42" s="1972">
        <f>IF(H$37='1.4.3개발계획현황'!$K35,'1.4.3개발계획현황'!$AA35,G42)</f>
        <v>0</v>
      </c>
      <c r="I42" s="1972">
        <f>IF(I$37='1.4.3개발계획현황'!$K35,'1.4.3개발계획현황'!$AA35,H42)</f>
        <v>3661</v>
      </c>
      <c r="J42" s="1972">
        <f>IF(J$37='1.4.3개발계획현황'!$K35,'1.4.3개발계획현황'!$AA35,I42)</f>
        <v>3661</v>
      </c>
      <c r="K42" s="1972">
        <f>IF(K$37='1.4.3개발계획현황'!$K35,'1.4.3개발계획현황'!$AA35,J42)</f>
        <v>3661</v>
      </c>
      <c r="L42" s="1972">
        <f>IF(L$37='1.4.3개발계획현황'!$K35,'1.4.3개발계획현황'!$AA35,K42)</f>
        <v>3661</v>
      </c>
      <c r="M42" s="1972">
        <f>IF(M$37='1.4.3개발계획현황'!$K35,'1.4.3개발계획현황'!$AA35,L42)</f>
        <v>3661</v>
      </c>
      <c r="N42" s="1972">
        <f>IF(N$37='1.4.3개발계획현황'!$K35,'1.4.3개발계획현황'!$AA35,M42)</f>
        <v>3661</v>
      </c>
      <c r="O42" s="1972">
        <f>IF(O$37='1.4.3개발계획현황'!$K35,'1.4.3개발계획현황'!$AA35,N42)</f>
        <v>3661</v>
      </c>
      <c r="P42" s="1972">
        <f>IF(P$37='1.4.3개발계획현황'!$K35,'1.4.3개발계획현황'!$AA35,O42)</f>
        <v>3661</v>
      </c>
      <c r="Q42" s="1972">
        <f>IF(Q$37='1.4.3개발계획현황'!$K35,'1.4.3개발계획현황'!$AA35,P42)</f>
        <v>3661</v>
      </c>
      <c r="R42" s="1972">
        <f>IF(R$37='1.4.3개발계획현황'!$K35,'1.4.3개발계획현황'!$AA35,Q42)</f>
        <v>3661</v>
      </c>
      <c r="S42" s="1972">
        <f>IF(S$37='1.4.3개발계획현황'!$K35,'1.4.3개발계획현황'!$AA35,R42)</f>
        <v>3661</v>
      </c>
      <c r="T42" s="1972">
        <f>IF(T$37='1.4.3개발계획현황'!$K35,'1.4.3개발계획현황'!$AA35,S42)</f>
        <v>3661</v>
      </c>
      <c r="U42" s="1972">
        <f>IF(U$37='1.4.3개발계획현황'!$K35,'1.4.3개발계획현황'!$AA35,T42)</f>
        <v>3661</v>
      </c>
      <c r="V42" s="1972">
        <f>IF(V$37='1.4.3개발계획현황'!$K35,'1.4.3개발계획현황'!$AA35,U42)</f>
        <v>3661</v>
      </c>
      <c r="W42" s="1972">
        <f>IF(W$37='1.4.3개발계획현황'!$K35,'1.4.3개발계획현황'!$AA35,V42)</f>
        <v>3661</v>
      </c>
      <c r="X42" s="1972">
        <f>IF(X$37='1.4.3개발계획현황'!$K35,'1.4.3개발계획현황'!$AA35,W42)</f>
        <v>3661</v>
      </c>
      <c r="Y42" s="2234"/>
      <c r="Z42" s="2507"/>
      <c r="AA42" s="1336" t="str">
        <f>B42</f>
        <v>우신아파트</v>
      </c>
      <c r="AB42" s="1350">
        <f t="shared" si="41"/>
        <v>0</v>
      </c>
      <c r="AC42" s="1350">
        <f t="shared" si="41"/>
        <v>0</v>
      </c>
      <c r="AD42" s="1350">
        <f t="shared" si="41"/>
        <v>0</v>
      </c>
      <c r="AE42" s="1350">
        <f t="shared" si="41"/>
        <v>0</v>
      </c>
      <c r="AF42" s="1350">
        <f t="shared" si="41"/>
        <v>0</v>
      </c>
      <c r="AG42" s="1350">
        <f t="shared" si="41"/>
        <v>0</v>
      </c>
      <c r="AH42" s="1350">
        <f t="shared" si="41"/>
        <v>2306</v>
      </c>
      <c r="AI42" s="1350">
        <f t="shared" si="41"/>
        <v>2306</v>
      </c>
      <c r="AJ42" s="1350">
        <f t="shared" si="41"/>
        <v>2306</v>
      </c>
      <c r="AK42" s="1350">
        <f t="shared" si="41"/>
        <v>2306</v>
      </c>
      <c r="AL42" s="1350">
        <f t="shared" si="42"/>
        <v>2306</v>
      </c>
      <c r="AM42" s="1350">
        <f t="shared" si="42"/>
        <v>2306</v>
      </c>
      <c r="AN42" s="1350">
        <f t="shared" si="42"/>
        <v>2306</v>
      </c>
      <c r="AO42" s="1350">
        <f t="shared" si="42"/>
        <v>2306</v>
      </c>
      <c r="AP42" s="1350">
        <f t="shared" si="42"/>
        <v>2306</v>
      </c>
      <c r="AQ42" s="1350">
        <f t="shared" si="42"/>
        <v>2306</v>
      </c>
      <c r="AR42" s="1350">
        <f t="shared" si="42"/>
        <v>2306</v>
      </c>
      <c r="AS42" s="1350">
        <f t="shared" si="42"/>
        <v>2306</v>
      </c>
      <c r="AT42" s="1350">
        <f t="shared" si="42"/>
        <v>2306</v>
      </c>
      <c r="AU42" s="1350">
        <f t="shared" si="42"/>
        <v>2306</v>
      </c>
      <c r="AV42" s="1350">
        <f t="shared" si="43"/>
        <v>2306</v>
      </c>
      <c r="AW42" s="1350">
        <f t="shared" si="43"/>
        <v>2306</v>
      </c>
      <c r="AX42" s="1566">
        <v>0.63</v>
      </c>
      <c r="AY42" s="1266"/>
      <c r="BH42" s="1258">
        <v>2017</v>
      </c>
      <c r="BI42" s="1313" t="str">
        <f>'1.4.3개발계획현황'!A47</f>
        <v>오선산업단지</v>
      </c>
      <c r="BJ42" s="1314">
        <f>ROUND(BK42*BL42,2)</f>
        <v>0.16</v>
      </c>
      <c r="BK42" s="1315">
        <v>0.45</v>
      </c>
      <c r="BL42" s="1315">
        <f t="shared" si="44"/>
        <v>0.35</v>
      </c>
      <c r="BM42" s="2530">
        <v>65</v>
      </c>
      <c r="BN42" s="2530"/>
      <c r="BO42" s="2530"/>
      <c r="BP42" s="2531">
        <f t="shared" si="45"/>
        <v>35</v>
      </c>
      <c r="BQ42" s="2531"/>
      <c r="BR42" s="2531"/>
    </row>
    <row r="43" spans="1:70" s="1257" customFormat="1" ht="20.100000000000001" customHeight="1">
      <c r="A43" s="2507"/>
      <c r="B43" s="1308" t="s">
        <v>73</v>
      </c>
      <c r="C43" s="1309">
        <f t="shared" ref="C43:X43" si="46">SUM(C40:C42)</f>
        <v>0</v>
      </c>
      <c r="D43" s="1309">
        <f t="shared" si="46"/>
        <v>0</v>
      </c>
      <c r="E43" s="1309">
        <f t="shared" si="46"/>
        <v>0</v>
      </c>
      <c r="F43" s="1309">
        <f t="shared" si="46"/>
        <v>942</v>
      </c>
      <c r="G43" s="1309">
        <f t="shared" si="46"/>
        <v>942</v>
      </c>
      <c r="H43" s="1309">
        <f t="shared" si="46"/>
        <v>942</v>
      </c>
      <c r="I43" s="1309">
        <f t="shared" si="46"/>
        <v>4603</v>
      </c>
      <c r="J43" s="1309">
        <f t="shared" si="46"/>
        <v>4603</v>
      </c>
      <c r="K43" s="1309">
        <f t="shared" si="46"/>
        <v>4603</v>
      </c>
      <c r="L43" s="1309">
        <f t="shared" si="46"/>
        <v>4603</v>
      </c>
      <c r="M43" s="1309">
        <f t="shared" si="46"/>
        <v>4603</v>
      </c>
      <c r="N43" s="1309">
        <f t="shared" si="46"/>
        <v>5311</v>
      </c>
      <c r="O43" s="1309">
        <f t="shared" si="46"/>
        <v>5311</v>
      </c>
      <c r="P43" s="1309">
        <f t="shared" si="46"/>
        <v>5311</v>
      </c>
      <c r="Q43" s="1309">
        <f t="shared" si="46"/>
        <v>5311</v>
      </c>
      <c r="R43" s="1309">
        <f t="shared" si="46"/>
        <v>5311</v>
      </c>
      <c r="S43" s="1309">
        <f t="shared" si="46"/>
        <v>5311</v>
      </c>
      <c r="T43" s="1309">
        <f t="shared" si="46"/>
        <v>5311</v>
      </c>
      <c r="U43" s="1309">
        <f t="shared" si="46"/>
        <v>5311</v>
      </c>
      <c r="V43" s="1309">
        <f t="shared" si="46"/>
        <v>5311</v>
      </c>
      <c r="W43" s="1309">
        <f t="shared" si="46"/>
        <v>5311</v>
      </c>
      <c r="X43" s="1309">
        <f t="shared" si="46"/>
        <v>5311</v>
      </c>
      <c r="Y43" s="2233"/>
      <c r="Z43" s="2507"/>
      <c r="AA43" s="1308" t="s">
        <v>73</v>
      </c>
      <c r="AB43" s="1309">
        <f t="shared" ref="AB43:AW43" si="47">SUM(AB40:AB42)</f>
        <v>0</v>
      </c>
      <c r="AC43" s="1309">
        <f t="shared" si="47"/>
        <v>0</v>
      </c>
      <c r="AD43" s="1309">
        <f t="shared" si="47"/>
        <v>0</v>
      </c>
      <c r="AE43" s="1309">
        <f t="shared" si="47"/>
        <v>593</v>
      </c>
      <c r="AF43" s="1309">
        <f t="shared" si="47"/>
        <v>593</v>
      </c>
      <c r="AG43" s="1309">
        <f t="shared" si="47"/>
        <v>593</v>
      </c>
      <c r="AH43" s="1309">
        <f t="shared" si="47"/>
        <v>2899</v>
      </c>
      <c r="AI43" s="1309">
        <f t="shared" si="47"/>
        <v>2899</v>
      </c>
      <c r="AJ43" s="1309">
        <f t="shared" si="47"/>
        <v>2899</v>
      </c>
      <c r="AK43" s="1309">
        <f t="shared" si="47"/>
        <v>2899</v>
      </c>
      <c r="AL43" s="1309">
        <f t="shared" si="47"/>
        <v>2899</v>
      </c>
      <c r="AM43" s="1309">
        <f t="shared" si="47"/>
        <v>3345</v>
      </c>
      <c r="AN43" s="1309">
        <f t="shared" si="47"/>
        <v>3345</v>
      </c>
      <c r="AO43" s="1309">
        <f t="shared" si="47"/>
        <v>3345</v>
      </c>
      <c r="AP43" s="1309">
        <f t="shared" si="47"/>
        <v>3345</v>
      </c>
      <c r="AQ43" s="1309">
        <f t="shared" si="47"/>
        <v>3345</v>
      </c>
      <c r="AR43" s="1309">
        <f t="shared" si="47"/>
        <v>3345</v>
      </c>
      <c r="AS43" s="1309">
        <f t="shared" si="47"/>
        <v>3345</v>
      </c>
      <c r="AT43" s="1309">
        <f t="shared" si="47"/>
        <v>3345</v>
      </c>
      <c r="AU43" s="1309">
        <f t="shared" si="47"/>
        <v>3345</v>
      </c>
      <c r="AV43" s="1309">
        <f t="shared" si="47"/>
        <v>3345</v>
      </c>
      <c r="AW43" s="1309">
        <f t="shared" si="47"/>
        <v>3345</v>
      </c>
      <c r="AX43" s="1565"/>
      <c r="AY43" s="1272"/>
      <c r="BH43" s="1257">
        <v>2016</v>
      </c>
      <c r="BI43" s="1313" t="str">
        <f>'1.4.3개발계획현황'!A48</f>
        <v>유촌산업단지</v>
      </c>
      <c r="BJ43" s="1314">
        <f>ROUND(BK43*BL43,2)</f>
        <v>0.16</v>
      </c>
      <c r="BK43" s="1315">
        <v>0.45</v>
      </c>
      <c r="BL43" s="1315">
        <f t="shared" si="44"/>
        <v>0.35</v>
      </c>
      <c r="BM43" s="2530">
        <v>65</v>
      </c>
      <c r="BN43" s="2530"/>
      <c r="BO43" s="2530"/>
      <c r="BP43" s="2532">
        <f t="shared" si="45"/>
        <v>35</v>
      </c>
      <c r="BQ43" s="2533"/>
      <c r="BR43" s="2534"/>
    </row>
    <row r="44" spans="1:70" s="1257" customFormat="1" ht="20.100000000000001" customHeight="1">
      <c r="A44" s="2507" t="s">
        <v>1129</v>
      </c>
      <c r="B44" s="2514" t="str">
        <f>'1.4.3개발계획현황'!A47</f>
        <v>오선산업단지</v>
      </c>
      <c r="C44" s="2513">
        <f>IF(C$37='1.4.3개발계획현황'!K47,'1.4.3개발계획현황'!AA47,0)</f>
        <v>0</v>
      </c>
      <c r="D44" s="1309"/>
      <c r="E44" s="1309"/>
      <c r="F44" s="1309"/>
      <c r="G44" s="1309"/>
      <c r="H44" s="1309"/>
      <c r="I44" s="2513">
        <f>IF(I$37='1.4.3개발계획현황'!K47,'1.4.3개발계획현황'!AA47,H46)</f>
        <v>1051</v>
      </c>
      <c r="J44" s="1309"/>
      <c r="K44" s="1309"/>
      <c r="L44" s="1309"/>
      <c r="M44" s="1309"/>
      <c r="N44" s="2513">
        <f>IF(N$37='1.4.3개발계획현황'!Z47,'1.4.3개발계획현황'!AF46,M46)</f>
        <v>1051</v>
      </c>
      <c r="O44" s="1309"/>
      <c r="P44" s="1309"/>
      <c r="Q44" s="1309"/>
      <c r="R44" s="1309"/>
      <c r="S44" s="2513">
        <f>IF(S$37='1.4.3개발계획현황'!AE46,'1.4.3개발계획현황'!AL46,R46)</f>
        <v>1051</v>
      </c>
      <c r="T44" s="1309"/>
      <c r="U44" s="1309"/>
      <c r="V44" s="1309"/>
      <c r="W44" s="1309"/>
      <c r="X44" s="2513">
        <f>IF(X$37='1.4.3개발계획현황'!AJ46,'1.4.3개발계획현황'!AQ46,W46)</f>
        <v>1051</v>
      </c>
      <c r="Y44" s="2235"/>
      <c r="Z44" s="2507" t="s">
        <v>1337</v>
      </c>
      <c r="AA44" s="1336" t="str">
        <f>CONCATENATE(AA46," 중복제외 전")</f>
        <v>오선산업단지 중복제외 전</v>
      </c>
      <c r="AB44" s="1560">
        <f>ROUND(C44*$AX44,0)</f>
        <v>0</v>
      </c>
      <c r="AC44" s="1560">
        <f>ROUND(D46*$AX44,0)</f>
        <v>0</v>
      </c>
      <c r="AD44" s="1560">
        <f>ROUND(E46*$AX44,0)</f>
        <v>0</v>
      </c>
      <c r="AE44" s="1560">
        <f>ROUND(F46*$AX44,0)</f>
        <v>0</v>
      </c>
      <c r="AF44" s="1560">
        <f>ROUND(G46*$AX44,0)*0.2</f>
        <v>94.600000000000009</v>
      </c>
      <c r="AG44" s="1560">
        <f>ROUND(H46*$AX44,0)*0.6</f>
        <v>283.8</v>
      </c>
      <c r="AH44" s="1560">
        <f>ROUND(I44*$AX44,0)</f>
        <v>473</v>
      </c>
      <c r="AI44" s="1560">
        <f>ROUND(J46*$AX44,0)</f>
        <v>473</v>
      </c>
      <c r="AJ44" s="1560">
        <f>ROUND(K46*$AX44,0)</f>
        <v>473</v>
      </c>
      <c r="AK44" s="1560">
        <f>ROUND(L46*$AX44,0)</f>
        <v>473</v>
      </c>
      <c r="AL44" s="1560">
        <f>ROUND(M46*$AX44,0)</f>
        <v>473</v>
      </c>
      <c r="AM44" s="1560">
        <f>ROUND(N44*$AX44,0)</f>
        <v>473</v>
      </c>
      <c r="AN44" s="1560">
        <f>ROUND(O46*$AX44,0)</f>
        <v>473</v>
      </c>
      <c r="AO44" s="1560">
        <f>ROUND(P46*$AX44,0)</f>
        <v>473</v>
      </c>
      <c r="AP44" s="1560">
        <f>ROUND(Q46*$AX44,0)</f>
        <v>473</v>
      </c>
      <c r="AQ44" s="1560">
        <f>ROUND(R46*$AX44,0)</f>
        <v>473</v>
      </c>
      <c r="AR44" s="1560">
        <f>ROUND(S44*$AX44,0)</f>
        <v>473</v>
      </c>
      <c r="AS44" s="1560">
        <f>ROUND(T46*$AX44,0)</f>
        <v>473</v>
      </c>
      <c r="AT44" s="1560">
        <f>ROUND(U46*$AX44,0)</f>
        <v>473</v>
      </c>
      <c r="AU44" s="1560">
        <f>ROUND(V46*$AX44,0)</f>
        <v>473</v>
      </c>
      <c r="AV44" s="1560">
        <f>ROUND(W46*$AX44,0)</f>
        <v>473</v>
      </c>
      <c r="AW44" s="1560">
        <f>ROUND(X44*$AX44,0)</f>
        <v>473</v>
      </c>
      <c r="AX44" s="1567">
        <v>0.45</v>
      </c>
      <c r="AY44" s="1316">
        <f>ROUND(X42*0.13,0)</f>
        <v>476</v>
      </c>
      <c r="BI44" s="1317" t="str">
        <f>'1.4.3개발계획현황'!A49</f>
        <v>생극산업단지</v>
      </c>
      <c r="BJ44" s="1318">
        <f t="shared" ref="BJ44:BJ45" si="48">ROUND(BK44*BL44,2)</f>
        <v>0.16</v>
      </c>
      <c r="BK44" s="1319">
        <v>0.45</v>
      </c>
      <c r="BL44" s="1319">
        <f t="shared" si="44"/>
        <v>0.35</v>
      </c>
      <c r="BM44" s="2530">
        <v>58</v>
      </c>
      <c r="BN44" s="2530"/>
      <c r="BO44" s="2530"/>
      <c r="BP44" s="2532">
        <v>35</v>
      </c>
      <c r="BQ44" s="2533"/>
      <c r="BR44" s="2534"/>
    </row>
    <row r="45" spans="1:70" ht="20.100000000000001" customHeight="1">
      <c r="A45" s="2507"/>
      <c r="B45" s="2514"/>
      <c r="C45" s="2513"/>
      <c r="D45" s="1309"/>
      <c r="E45" s="1309"/>
      <c r="F45" s="1309"/>
      <c r="G45" s="1309"/>
      <c r="H45" s="1309"/>
      <c r="I45" s="2513"/>
      <c r="J45" s="1309"/>
      <c r="K45" s="1309"/>
      <c r="L45" s="1309"/>
      <c r="M45" s="1309"/>
      <c r="N45" s="2513"/>
      <c r="O45" s="1309"/>
      <c r="P45" s="1309"/>
      <c r="Q45" s="1309"/>
      <c r="R45" s="1309"/>
      <c r="S45" s="2513"/>
      <c r="T45" s="1309"/>
      <c r="U45" s="1309"/>
      <c r="V45" s="1309"/>
      <c r="W45" s="1309"/>
      <c r="X45" s="2513"/>
      <c r="Y45" s="2235"/>
      <c r="Z45" s="2507"/>
      <c r="AA45" s="1336" t="str">
        <f>CONCATENATE(AA46," 중복제외인구")</f>
        <v>오선산업단지 중복제외인구</v>
      </c>
      <c r="AB45" s="1560">
        <f>ROUND(C44*$AX45,0)</f>
        <v>0</v>
      </c>
      <c r="AC45" s="1560">
        <f>-ROUND(IF(D46&gt;0,VLOOKUP($AA46,'사회적 유입 중복인구 제외근거'!$E$13:$F$20,2,FALSE),0),0)</f>
        <v>0</v>
      </c>
      <c r="AD45" s="1560">
        <f>-ROUND(IF(E46&gt;0,SUMIF('사회적 유입 중복인구 제외근거'!$E$6:$E$53,$AA46,'사회적 유입 중복인구 제외근거'!$F$6:$F$53),0),0)</f>
        <v>0</v>
      </c>
      <c r="AE45" s="1560">
        <f>-ROUND(IF(F46&gt;0,SUMIF('사회적 유입 중복인구 제외근거'!$E$6:$E$53,$AA46,'사회적 유입 중복인구 제외근거'!$F$6:$F$53),0),0)</f>
        <v>0</v>
      </c>
      <c r="AF45" s="1560">
        <f>-ROUND(IF(G46&gt;0,SUMIF('사회적 유입 중복인구 제외근거'!$E$6:$E$53,$AA46,'사회적 유입 중복인구 제외근거'!$F$6:$F$53),0),0)*0.2</f>
        <v>-85.2</v>
      </c>
      <c r="AG45" s="1560">
        <f>-ROUND(IF(H46&gt;0,SUMIF('사회적 유입 중복인구 제외근거'!$E$6:$E$53,$AA46,'사회적 유입 중복인구 제외근거'!$F$6:$F$53),0),0)*0.6</f>
        <v>-255.6</v>
      </c>
      <c r="AH45" s="1560">
        <f>-ROUND(IF(I44&gt;0,SUMIF('사회적 유입 중복인구 제외근거'!$E$6:$E$53,$AA46,'사회적 유입 중복인구 제외근거'!$F$6:$F$53),0),0)</f>
        <v>-426</v>
      </c>
      <c r="AI45" s="1560">
        <f>-ROUND(IF(J46&gt;0,SUMIF('사회적 유입 중복인구 제외근거'!$E$6:$E$53,$AA46,'사회적 유입 중복인구 제외근거'!$F$6:$F$53),0),0)</f>
        <v>-426</v>
      </c>
      <c r="AJ45" s="1560">
        <f>-ROUND(IF(K46&gt;0,SUMIF('사회적 유입 중복인구 제외근거'!$E$6:$E$53,$AA46,'사회적 유입 중복인구 제외근거'!$F$6:$F$53),0),0)</f>
        <v>-426</v>
      </c>
      <c r="AK45" s="1560">
        <f>-ROUND(IF(L46&gt;0,SUMIF('사회적 유입 중복인구 제외근거'!$E$6:$E$53,$AA46,'사회적 유입 중복인구 제외근거'!$F$6:$F$53),0),0)</f>
        <v>-426</v>
      </c>
      <c r="AL45" s="1560">
        <f>-ROUND(IF(M46&gt;0,SUMIF('사회적 유입 중복인구 제외근거'!$E$6:$E$53,$AA46,'사회적 유입 중복인구 제외근거'!$F$6:$F$53),0),0)</f>
        <v>-426</v>
      </c>
      <c r="AM45" s="1560">
        <f>-ROUND(IF(N44&gt;0,SUMIF('사회적 유입 중복인구 제외근거'!$E$6:$E$53,$AA46,'사회적 유입 중복인구 제외근거'!$F$6:$F$53),0),0)</f>
        <v>-426</v>
      </c>
      <c r="AN45" s="1560">
        <f>-ROUND(IF(O46&gt;0,SUMIF('사회적 유입 중복인구 제외근거'!$E$6:$E$53,$AA46,'사회적 유입 중복인구 제외근거'!$F$6:$F$53),0),0)</f>
        <v>-426</v>
      </c>
      <c r="AO45" s="1560">
        <f>-ROUND(IF(P46&gt;0,SUMIF('사회적 유입 중복인구 제외근거'!$E$6:$E$53,$AA46,'사회적 유입 중복인구 제외근거'!$F$6:$F$53),0),0)</f>
        <v>-426</v>
      </c>
      <c r="AP45" s="1560">
        <f>-ROUND(IF(Q46&gt;0,SUMIF('사회적 유입 중복인구 제외근거'!$E$6:$E$53,$AA46,'사회적 유입 중복인구 제외근거'!$F$6:$F$53),0),0)</f>
        <v>-426</v>
      </c>
      <c r="AQ45" s="1560">
        <f>-ROUND(IF(R46&gt;0,SUMIF('사회적 유입 중복인구 제외근거'!$E$6:$E$53,$AA46,'사회적 유입 중복인구 제외근거'!$F$6:$F$53),0),0)</f>
        <v>-426</v>
      </c>
      <c r="AR45" s="1560">
        <f>-ROUND(IF(S44&gt;0,SUMIF('사회적 유입 중복인구 제외근거'!$E$6:$E$53,$AA46,'사회적 유입 중복인구 제외근거'!$F$6:$F$53),0),0)</f>
        <v>-426</v>
      </c>
      <c r="AS45" s="1560">
        <f>-ROUND(IF(T46&gt;0,SUMIF('사회적 유입 중복인구 제외근거'!$E$6:$E$53,$AA46,'사회적 유입 중복인구 제외근거'!$F$6:$F$53),0),0)</f>
        <v>-426</v>
      </c>
      <c r="AT45" s="1560">
        <f>-ROUND(IF(U46&gt;0,SUMIF('사회적 유입 중복인구 제외근거'!$E$6:$E$53,$AA46,'사회적 유입 중복인구 제외근거'!$F$6:$F$53),0),0)</f>
        <v>-426</v>
      </c>
      <c r="AU45" s="1560">
        <f>-ROUND(IF(V46&gt;0,SUMIF('사회적 유입 중복인구 제외근거'!$E$6:$E$53,$AA46,'사회적 유입 중복인구 제외근거'!$F$6:$F$53),0),0)</f>
        <v>-426</v>
      </c>
      <c r="AV45" s="1560">
        <f>-ROUND(IF(W46&gt;0,SUMIF('사회적 유입 중복인구 제외근거'!$E$6:$E$53,$AA46,'사회적 유입 중복인구 제외근거'!$F$6:$F$53),0),0)</f>
        <v>-426</v>
      </c>
      <c r="AW45" s="1560">
        <f>-ROUND(IF(X44&gt;0,SUMIF('사회적 유입 중복인구 제외근거'!$E$6:$E$53,$AA46,'사회적 유입 중복인구 제외근거'!$F$6:$F$53),0),0)</f>
        <v>-426</v>
      </c>
      <c r="AX45" s="1567"/>
      <c r="AY45" s="1316" t="e">
        <f>ROUND(#REF!*0.13,0)</f>
        <v>#REF!</v>
      </c>
      <c r="BE45" s="1296"/>
      <c r="BI45" s="1320" t="str">
        <f>'1.4.3개발계획현황'!A50</f>
        <v>성본산업단지</v>
      </c>
      <c r="BJ45" s="1318">
        <f t="shared" si="48"/>
        <v>0.16</v>
      </c>
      <c r="BK45" s="1319">
        <v>0.45</v>
      </c>
      <c r="BL45" s="1319">
        <f t="shared" si="44"/>
        <v>0.35</v>
      </c>
      <c r="BM45" s="2535">
        <v>60</v>
      </c>
      <c r="BN45" s="2536"/>
      <c r="BO45" s="2537"/>
      <c r="BP45" s="2532">
        <v>35</v>
      </c>
      <c r="BQ45" s="2533"/>
      <c r="BR45" s="2534"/>
    </row>
    <row r="46" spans="1:70" s="1257" customFormat="1" ht="20.100000000000001" customHeight="1">
      <c r="A46" s="2507"/>
      <c r="B46" s="2514"/>
      <c r="C46" s="2513"/>
      <c r="D46" s="1972">
        <f>IF(D$37='1.4.3개발계획현황'!$K$47,'1.4.3개발계획현황'!$AA$47,C44)</f>
        <v>0</v>
      </c>
      <c r="E46" s="1972">
        <f>IF(E$37='1.4.3개발계획현황'!$K$47,'1.4.3개발계획현황'!$AA$47,D46)</f>
        <v>0</v>
      </c>
      <c r="F46" s="1972">
        <f>IF(F$37='1.4.3개발계획현황'!$K$47,'1.4.3개발계획현황'!$AA$47,E46)</f>
        <v>0</v>
      </c>
      <c r="G46" s="1972">
        <f>IF(G$37='1.4.3개발계획현황'!$K$47,'1.4.3개발계획현황'!$AA$47,F46)</f>
        <v>1051</v>
      </c>
      <c r="H46" s="1972">
        <f>IF(H$37='1.4.3개발계획현황'!$K$47,'1.4.3개발계획현황'!$AA$47,G46)</f>
        <v>1051</v>
      </c>
      <c r="I46" s="2513"/>
      <c r="J46" s="1972">
        <f>IF(J$37='1.4.3개발계획현황'!$K$47,'1.4.3개발계획현황'!$AA$47,I44)</f>
        <v>1051</v>
      </c>
      <c r="K46" s="1972">
        <f>IF(K$37='1.4.3개발계획현황'!$K$47,'1.4.3개발계획현황'!$AA$47,J46)</f>
        <v>1051</v>
      </c>
      <c r="L46" s="1972">
        <f>IF(L$37='1.4.3개발계획현황'!$K$47,'1.4.3개발계획현황'!$AA$47,K46)</f>
        <v>1051</v>
      </c>
      <c r="M46" s="1972">
        <f>IF(M$37='1.4.3개발계획현황'!$K$47,'1.4.3개발계획현황'!$AA$47,L46)</f>
        <v>1051</v>
      </c>
      <c r="N46" s="2513"/>
      <c r="O46" s="1972">
        <f>IF(O$37='1.4.3개발계획현황'!$K$47,'1.4.3개발계획현황'!$AA$47,N44)</f>
        <v>1051</v>
      </c>
      <c r="P46" s="1972">
        <f>IF(P$37='1.4.3개발계획현황'!$K$47,'1.4.3개발계획현황'!$AA$47,O46)</f>
        <v>1051</v>
      </c>
      <c r="Q46" s="1972">
        <f>IF(Q$37='1.4.3개발계획현황'!$K$47,'1.4.3개발계획현황'!$AA$47,P46)</f>
        <v>1051</v>
      </c>
      <c r="R46" s="1972">
        <f>IF(R$37='1.4.3개발계획현황'!$K$47,'1.4.3개발계획현황'!$AA$47,Q46)</f>
        <v>1051</v>
      </c>
      <c r="S46" s="2513"/>
      <c r="T46" s="1972">
        <f>IF(T$37='1.4.3개발계획현황'!$K$47,'1.4.3개발계획현황'!$AA$47,S44)</f>
        <v>1051</v>
      </c>
      <c r="U46" s="1972">
        <f>IF(U$37='1.4.3개발계획현황'!$K$47,'1.4.3개발계획현황'!$AA$47,T46)</f>
        <v>1051</v>
      </c>
      <c r="V46" s="1972">
        <f>IF(V$37='1.4.3개발계획현황'!$K$47,'1.4.3개발계획현황'!$AA$47,U46)</f>
        <v>1051</v>
      </c>
      <c r="W46" s="1972">
        <f>IF(W$37='1.4.3개발계획현황'!$K$47,'1.4.3개발계획현황'!$AA$47,V46)</f>
        <v>1051</v>
      </c>
      <c r="X46" s="2513"/>
      <c r="Y46" s="2235"/>
      <c r="Z46" s="2507"/>
      <c r="AA46" s="1353" t="str">
        <f>B44</f>
        <v>오선산업단지</v>
      </c>
      <c r="AB46" s="1337">
        <f>ROUND(AB44+AB45,0)</f>
        <v>0</v>
      </c>
      <c r="AC46" s="1337">
        <f t="shared" ref="AC46" si="49">ROUND(AC44+AC45,0)</f>
        <v>0</v>
      </c>
      <c r="AD46" s="1337">
        <f t="shared" ref="AD46" si="50">ROUND(AD44+AD45,0)</f>
        <v>0</v>
      </c>
      <c r="AE46" s="1337">
        <f t="shared" ref="AE46" si="51">ROUND(AE44+AE45,0)</f>
        <v>0</v>
      </c>
      <c r="AF46" s="1337">
        <f t="shared" ref="AF46" si="52">ROUND(AF44+AF45,0)</f>
        <v>9</v>
      </c>
      <c r="AG46" s="1337">
        <f t="shared" ref="AG46" si="53">ROUND(AG44+AG45,0)</f>
        <v>28</v>
      </c>
      <c r="AH46" s="1337">
        <f t="shared" ref="AH46" si="54">ROUND(AH44+AH45,0)</f>
        <v>47</v>
      </c>
      <c r="AI46" s="1337">
        <f t="shared" ref="AI46" si="55">ROUND(AI44+AI45,0)</f>
        <v>47</v>
      </c>
      <c r="AJ46" s="1337">
        <f t="shared" ref="AJ46" si="56">ROUND(AJ44+AJ45,0)</f>
        <v>47</v>
      </c>
      <c r="AK46" s="1337">
        <f t="shared" ref="AK46" si="57">ROUND(AK44+AK45,0)</f>
        <v>47</v>
      </c>
      <c r="AL46" s="1337">
        <f t="shared" ref="AL46" si="58">ROUND(AL44+AL45,0)</f>
        <v>47</v>
      </c>
      <c r="AM46" s="1337">
        <f t="shared" ref="AM46" si="59">ROUND(AM44+AM45,0)</f>
        <v>47</v>
      </c>
      <c r="AN46" s="1337">
        <f t="shared" ref="AN46" si="60">ROUND(AN44+AN45,0)</f>
        <v>47</v>
      </c>
      <c r="AO46" s="1337">
        <f t="shared" ref="AO46" si="61">ROUND(AO44+AO45,0)</f>
        <v>47</v>
      </c>
      <c r="AP46" s="1337">
        <f t="shared" ref="AP46" si="62">ROUND(AP44+AP45,0)</f>
        <v>47</v>
      </c>
      <c r="AQ46" s="1337">
        <f t="shared" ref="AQ46" si="63">ROUND(AQ44+AQ45,0)</f>
        <v>47</v>
      </c>
      <c r="AR46" s="1337">
        <f t="shared" ref="AR46" si="64">ROUND(AR44+AR45,0)</f>
        <v>47</v>
      </c>
      <c r="AS46" s="1337">
        <f t="shared" ref="AS46" si="65">ROUND(AS44+AS45,0)</f>
        <v>47</v>
      </c>
      <c r="AT46" s="1337">
        <f t="shared" ref="AT46" si="66">ROUND(AT44+AT45,0)</f>
        <v>47</v>
      </c>
      <c r="AU46" s="1337">
        <f t="shared" ref="AU46" si="67">ROUND(AU44+AU45,0)</f>
        <v>47</v>
      </c>
      <c r="AV46" s="1337">
        <f t="shared" ref="AV46" si="68">ROUND(AV44+AV45,0)</f>
        <v>47</v>
      </c>
      <c r="AW46" s="1337">
        <f t="shared" ref="AW46" si="69">ROUND(AW44+AW45,0)</f>
        <v>47</v>
      </c>
      <c r="AX46" s="1568"/>
      <c r="AY46" s="1297"/>
      <c r="BI46" s="1258" t="e">
        <f>+#REF!*0.35</f>
        <v>#REF!</v>
      </c>
      <c r="BJ46" s="1258"/>
      <c r="BK46" s="1258"/>
      <c r="BL46" s="1258"/>
      <c r="BM46" s="1258"/>
      <c r="BN46" s="1258"/>
      <c r="BO46" s="1258"/>
      <c r="BP46" s="1258"/>
      <c r="BQ46" s="1258"/>
      <c r="BR46" s="1258"/>
    </row>
    <row r="47" spans="1:70" s="1257" customFormat="1" ht="20.100000000000001" customHeight="1">
      <c r="A47" s="2507"/>
      <c r="B47" s="2514" t="str">
        <f>'1.4.3개발계획현황'!A48</f>
        <v>유촌산업단지</v>
      </c>
      <c r="C47" s="2513">
        <f>IF(C$37='1.4.3개발계획현황'!K48,'1.4.3개발계획현황'!AA48,0)</f>
        <v>0</v>
      </c>
      <c r="D47" s="1309"/>
      <c r="E47" s="1309"/>
      <c r="F47" s="1309"/>
      <c r="G47" s="1309"/>
      <c r="H47" s="1309"/>
      <c r="I47" s="2513">
        <f>IF(I$37='1.4.3개발계획현황'!K48,'1.4.3개발계획현황'!AA48,H49)</f>
        <v>1753</v>
      </c>
      <c r="J47" s="1309"/>
      <c r="K47" s="1309"/>
      <c r="L47" s="1309"/>
      <c r="M47" s="1309"/>
      <c r="N47" s="2513">
        <f>IF(N$37='1.4.3개발계획현황'!Z48,'1.4.3개발계획현황'!AF47,M49)</f>
        <v>1753</v>
      </c>
      <c r="O47" s="1309"/>
      <c r="P47" s="1309"/>
      <c r="Q47" s="1309"/>
      <c r="R47" s="1309"/>
      <c r="S47" s="2513">
        <f>IF(S$37='1.4.3개발계획현황'!AE47,'1.4.3개발계획현황'!AL47,R49)</f>
        <v>1753</v>
      </c>
      <c r="T47" s="1309"/>
      <c r="U47" s="1309"/>
      <c r="V47" s="1309"/>
      <c r="W47" s="1309"/>
      <c r="X47" s="2513">
        <f>IF(X$37='1.4.3개발계획현황'!AJ47,'1.4.3개발계획현황'!AQ47,W49)</f>
        <v>1753</v>
      </c>
      <c r="Y47" s="2235"/>
      <c r="Z47" s="2507"/>
      <c r="AA47" s="1336" t="str">
        <f>CONCATENATE(AA49," 중복제외 전")</f>
        <v>유촌산업단지 중복제외 전</v>
      </c>
      <c r="AB47" s="1560">
        <f>ROUND(C47*$AX47,0)</f>
        <v>0</v>
      </c>
      <c r="AC47" s="1560">
        <f>ROUND(D49*$AX47,0)</f>
        <v>0</v>
      </c>
      <c r="AD47" s="1560">
        <f>ROUND(E49*$AX47,0)</f>
        <v>0</v>
      </c>
      <c r="AE47" s="1560">
        <f>ROUND(F49*$AX47,0)</f>
        <v>0</v>
      </c>
      <c r="AF47" s="1560">
        <f>ROUND(G49*$AX47,0)</f>
        <v>0</v>
      </c>
      <c r="AG47" s="1560">
        <f>ROUND(H49*$AX47,0)*0.2</f>
        <v>157.80000000000001</v>
      </c>
      <c r="AH47" s="1560">
        <f>ROUND(I47*$AX47,0)*0.6</f>
        <v>473.4</v>
      </c>
      <c r="AI47" s="1560">
        <f>ROUND(J49*$AX47,0)</f>
        <v>789</v>
      </c>
      <c r="AJ47" s="1560">
        <f>ROUND(K49*$AX47,0)</f>
        <v>789</v>
      </c>
      <c r="AK47" s="1560">
        <f>ROUND(L49*$AX47,0)</f>
        <v>789</v>
      </c>
      <c r="AL47" s="1560">
        <f>ROUND(M49*$AX47,0)</f>
        <v>789</v>
      </c>
      <c r="AM47" s="1560">
        <f>ROUND(N47*$AX47,0)</f>
        <v>789</v>
      </c>
      <c r="AN47" s="1560">
        <f>ROUND(O49*$AX47,0)</f>
        <v>789</v>
      </c>
      <c r="AO47" s="1560">
        <f>ROUND(P49*$AX47,0)</f>
        <v>789</v>
      </c>
      <c r="AP47" s="1560">
        <f>ROUND(Q49*$AX47,0)</f>
        <v>789</v>
      </c>
      <c r="AQ47" s="1560">
        <f>ROUND(R49*$AX47,0)</f>
        <v>789</v>
      </c>
      <c r="AR47" s="1560">
        <f>ROUND(S47*$AX47,0)</f>
        <v>789</v>
      </c>
      <c r="AS47" s="1560">
        <f>ROUND(T49*$AX47,0)</f>
        <v>789</v>
      </c>
      <c r="AT47" s="1560">
        <f>ROUND(U49*$AX47,0)</f>
        <v>789</v>
      </c>
      <c r="AU47" s="1560">
        <f>ROUND(V49*$AX47,0)</f>
        <v>789</v>
      </c>
      <c r="AV47" s="1560">
        <f>ROUND(W49*$AX47,0)</f>
        <v>789</v>
      </c>
      <c r="AW47" s="1560">
        <f>ROUND(X47*$AX47,0)</f>
        <v>789</v>
      </c>
      <c r="AX47" s="1567">
        <v>0.45</v>
      </c>
      <c r="AY47" s="1321"/>
    </row>
    <row r="48" spans="1:70" ht="20.100000000000001" customHeight="1">
      <c r="A48" s="2507"/>
      <c r="B48" s="2514"/>
      <c r="C48" s="2513"/>
      <c r="D48" s="1309"/>
      <c r="E48" s="1309"/>
      <c r="F48" s="1309"/>
      <c r="G48" s="1309"/>
      <c r="H48" s="1309"/>
      <c r="I48" s="2513"/>
      <c r="J48" s="1309"/>
      <c r="K48" s="1309"/>
      <c r="L48" s="1309"/>
      <c r="M48" s="1309"/>
      <c r="N48" s="2513"/>
      <c r="O48" s="1309"/>
      <c r="P48" s="1309"/>
      <c r="Q48" s="1309"/>
      <c r="R48" s="1309"/>
      <c r="S48" s="2513"/>
      <c r="T48" s="1309"/>
      <c r="U48" s="1309"/>
      <c r="V48" s="1309"/>
      <c r="W48" s="1309"/>
      <c r="X48" s="2513"/>
      <c r="Y48" s="2235"/>
      <c r="Z48" s="2507"/>
      <c r="AA48" s="1336" t="str">
        <f>CONCATENATE(AA49," 중복제외인구")</f>
        <v>유촌산업단지 중복제외인구</v>
      </c>
      <c r="AB48" s="1560">
        <f>ROUND(C47*$AX48,0)</f>
        <v>0</v>
      </c>
      <c r="AC48" s="1560">
        <f>-ROUND(IF(D49&gt;0,VLOOKUP($AA49,'사회적 유입 중복인구 제외근거'!$E$13:$F$20,2,FALSE),0),0)</f>
        <v>0</v>
      </c>
      <c r="AD48" s="1560">
        <f>-ROUND(IF(E49&gt;0,SUMIF('사회적 유입 중복인구 제외근거'!$E$6:$E$53,$AA49,'사회적 유입 중복인구 제외근거'!$F$6:$F$53),0),0)</f>
        <v>0</v>
      </c>
      <c r="AE48" s="1560">
        <f>-ROUND(IF(F49&gt;0,SUMIF('사회적 유입 중복인구 제외근거'!$E$6:$E$53,$AA49,'사회적 유입 중복인구 제외근거'!$F$6:$F$53),0),0)</f>
        <v>0</v>
      </c>
      <c r="AF48" s="1560">
        <f>-ROUND(IF(G49&gt;0,SUMIF('사회적 유입 중복인구 제외근거'!$E$6:$E$53,$AA49,'사회적 유입 중복인구 제외근거'!$F$6:$F$53),0),0)</f>
        <v>0</v>
      </c>
      <c r="AG48" s="1560">
        <f>-ROUND(IF(H49&gt;0,SUMIF('사회적 유입 중복인구 제외근거'!$E$6:$E$53,$AA49,'사회적 유입 중복인구 제외근거'!$F$6:$F$53),0),0)*0.2</f>
        <v>-126.4</v>
      </c>
      <c r="AH48" s="1560">
        <f>-ROUND(IF(I47&gt;0,SUMIF('사회적 유입 중복인구 제외근거'!$E$6:$E$53,$AA49,'사회적 유입 중복인구 제외근거'!$F$6:$F$53),0),0)*0.6</f>
        <v>-379.2</v>
      </c>
      <c r="AI48" s="1560">
        <f>-ROUND(IF(J49&gt;0,SUMIF('사회적 유입 중복인구 제외근거'!$E$6:$E$53,$AA49,'사회적 유입 중복인구 제외근거'!$F$6:$F$53),0),0)</f>
        <v>-632</v>
      </c>
      <c r="AJ48" s="1560">
        <f>-ROUND(IF(K49&gt;0,SUMIF('사회적 유입 중복인구 제외근거'!$E$6:$E$53,$AA49,'사회적 유입 중복인구 제외근거'!$F$6:$F$53),0),0)</f>
        <v>-632</v>
      </c>
      <c r="AK48" s="1560">
        <f>-ROUND(IF(L49&gt;0,SUMIF('사회적 유입 중복인구 제외근거'!$E$6:$E$53,$AA49,'사회적 유입 중복인구 제외근거'!$F$6:$F$53),0),0)</f>
        <v>-632</v>
      </c>
      <c r="AL48" s="1560">
        <f>-ROUND(IF(M49&gt;0,SUMIF('사회적 유입 중복인구 제외근거'!$E$6:$E$53,$AA49,'사회적 유입 중복인구 제외근거'!$F$6:$F$53),0),0)</f>
        <v>-632</v>
      </c>
      <c r="AM48" s="1560">
        <f>-ROUND(IF(N47&gt;0,SUMIF('사회적 유입 중복인구 제외근거'!$E$6:$E$53,$AA49,'사회적 유입 중복인구 제외근거'!$F$6:$F$53),0),0)</f>
        <v>-632</v>
      </c>
      <c r="AN48" s="1560">
        <f>-ROUND(IF(O49&gt;0,SUMIF('사회적 유입 중복인구 제외근거'!$E$6:$E$53,$AA49,'사회적 유입 중복인구 제외근거'!$F$6:$F$53),0),0)</f>
        <v>-632</v>
      </c>
      <c r="AO48" s="1560">
        <f>-ROUND(IF(P49&gt;0,SUMIF('사회적 유입 중복인구 제외근거'!$E$6:$E$53,$AA49,'사회적 유입 중복인구 제외근거'!$F$6:$F$53),0),0)</f>
        <v>-632</v>
      </c>
      <c r="AP48" s="1560">
        <f>-ROUND(IF(Q49&gt;0,SUMIF('사회적 유입 중복인구 제외근거'!$E$6:$E$53,$AA49,'사회적 유입 중복인구 제외근거'!$F$6:$F$53),0),0)</f>
        <v>-632</v>
      </c>
      <c r="AQ48" s="1560">
        <f>-ROUND(IF(R49&gt;0,SUMIF('사회적 유입 중복인구 제외근거'!$E$6:$E$53,$AA49,'사회적 유입 중복인구 제외근거'!$F$6:$F$53),0),0)</f>
        <v>-632</v>
      </c>
      <c r="AR48" s="1560">
        <f>-ROUND(IF(S47&gt;0,SUMIF('사회적 유입 중복인구 제외근거'!$E$6:$E$53,$AA49,'사회적 유입 중복인구 제외근거'!$F$6:$F$53),0),0)</f>
        <v>-632</v>
      </c>
      <c r="AS48" s="1560">
        <f>-ROUND(IF(T49&gt;0,SUMIF('사회적 유입 중복인구 제외근거'!$E$6:$E$53,$AA49,'사회적 유입 중복인구 제외근거'!$F$6:$F$53),0),0)</f>
        <v>-632</v>
      </c>
      <c r="AT48" s="1560">
        <f>-ROUND(IF(U49&gt;0,SUMIF('사회적 유입 중복인구 제외근거'!$E$6:$E$53,$AA49,'사회적 유입 중복인구 제외근거'!$F$6:$F$53),0),0)</f>
        <v>-632</v>
      </c>
      <c r="AU48" s="1560">
        <f>-ROUND(IF(V49&gt;0,SUMIF('사회적 유입 중복인구 제외근거'!$E$6:$E$53,$AA49,'사회적 유입 중복인구 제외근거'!$F$6:$F$53),0),0)</f>
        <v>-632</v>
      </c>
      <c r="AV48" s="1560">
        <f>-ROUND(IF(W49&gt;0,SUMIF('사회적 유입 중복인구 제외근거'!$E$6:$E$53,$AA49,'사회적 유입 중복인구 제외근거'!$F$6:$F$53),0),0)</f>
        <v>-632</v>
      </c>
      <c r="AW48" s="1560">
        <f>-ROUND(IF(X47&gt;0,SUMIF('사회적 유입 중복인구 제외근거'!$E$6:$E$53,$AA49,'사회적 유입 중복인구 제외근거'!$F$6:$F$53),0),0)</f>
        <v>-632</v>
      </c>
      <c r="AX48" s="1567"/>
      <c r="AY48" s="1321"/>
      <c r="BH48" s="1258" t="e">
        <f>+#REF!*0.35</f>
        <v>#REF!</v>
      </c>
      <c r="BI48" s="1257"/>
      <c r="BJ48" s="1257"/>
      <c r="BK48" s="1257"/>
      <c r="BL48" s="1257"/>
      <c r="BM48" s="1257"/>
      <c r="BN48" s="1257"/>
      <c r="BO48" s="1257"/>
      <c r="BP48" s="1257"/>
      <c r="BQ48" s="1257"/>
      <c r="BR48" s="1257"/>
    </row>
    <row r="49" spans="1:70" ht="20.100000000000001" customHeight="1">
      <c r="A49" s="2507"/>
      <c r="B49" s="2514"/>
      <c r="C49" s="2513"/>
      <c r="D49" s="1972">
        <f>IF(D$37='1.4.3개발계획현황'!$K$48,'1.4.3개발계획현황'!$AA$48,C47)</f>
        <v>0</v>
      </c>
      <c r="E49" s="1972">
        <f>IF(E$37='1.4.3개발계획현황'!$K$48,'1.4.3개발계획현황'!$AA$48,D49)</f>
        <v>0</v>
      </c>
      <c r="F49" s="1972">
        <f>IF(F$37='1.4.3개발계획현황'!$K$48,'1.4.3개발계획현황'!$AA$48,E49)</f>
        <v>0</v>
      </c>
      <c r="G49" s="1972">
        <f>IF(G$37='1.4.3개발계획현황'!$K$48,'1.4.3개발계획현황'!$AA$48,F49)</f>
        <v>0</v>
      </c>
      <c r="H49" s="1972">
        <f>IF(H$37='1.4.3개발계획현황'!$K$48,'1.4.3개발계획현황'!$AA$48,G49)</f>
        <v>1753</v>
      </c>
      <c r="I49" s="2513"/>
      <c r="J49" s="1972">
        <f>IF(J$37='1.4.3개발계획현황'!$K$48,'1.4.3개발계획현황'!$AA$48,I47)</f>
        <v>1753</v>
      </c>
      <c r="K49" s="1972">
        <f>IF(K$37='1.4.3개발계획현황'!$K$48,'1.4.3개발계획현황'!$AA$48,J49)</f>
        <v>1753</v>
      </c>
      <c r="L49" s="1972">
        <f>IF(L$37='1.4.3개발계획현황'!$K$48,'1.4.3개발계획현황'!$AA$48,K49)</f>
        <v>1753</v>
      </c>
      <c r="M49" s="1972">
        <f>IF(M$37='1.4.3개발계획현황'!$K$48,'1.4.3개발계획현황'!$AA$48,L49)</f>
        <v>1753</v>
      </c>
      <c r="N49" s="2513"/>
      <c r="O49" s="1972">
        <f>IF(O$37='1.4.3개발계획현황'!$K$48,'1.4.3개발계획현황'!$AA$48,N47)</f>
        <v>1753</v>
      </c>
      <c r="P49" s="1972">
        <f>IF(P$37='1.4.3개발계획현황'!$K$48,'1.4.3개발계획현황'!$AA$48,O49)</f>
        <v>1753</v>
      </c>
      <c r="Q49" s="1972">
        <f>IF(Q$37='1.4.3개발계획현황'!$K$48,'1.4.3개발계획현황'!$AA$48,P49)</f>
        <v>1753</v>
      </c>
      <c r="R49" s="1972">
        <f>IF(R$37='1.4.3개발계획현황'!$K$48,'1.4.3개발계획현황'!$AA$48,Q49)</f>
        <v>1753</v>
      </c>
      <c r="S49" s="2513"/>
      <c r="T49" s="1972">
        <f>IF(T$37='1.4.3개발계획현황'!$K$48,'1.4.3개발계획현황'!$AA$48,S47)</f>
        <v>1753</v>
      </c>
      <c r="U49" s="1972">
        <f>IF(U$37='1.4.3개발계획현황'!$K$48,'1.4.3개발계획현황'!$AA$48,T49)</f>
        <v>1753</v>
      </c>
      <c r="V49" s="1972">
        <f>IF(V$37='1.4.3개발계획현황'!$K$48,'1.4.3개발계획현황'!$AA$48,U49)</f>
        <v>1753</v>
      </c>
      <c r="W49" s="1972">
        <f>IF(W$37='1.4.3개발계획현황'!$K$48,'1.4.3개발계획현황'!$AA$48,V49)</f>
        <v>1753</v>
      </c>
      <c r="X49" s="2513"/>
      <c r="Y49" s="2235"/>
      <c r="Z49" s="2507"/>
      <c r="AA49" s="1353" t="str">
        <f>B47</f>
        <v>유촌산업단지</v>
      </c>
      <c r="AB49" s="1337">
        <f>ROUND(AB47+AB48,0)</f>
        <v>0</v>
      </c>
      <c r="AC49" s="1337">
        <f t="shared" ref="AC49" si="70">ROUND(AC47+AC48,0)</f>
        <v>0</v>
      </c>
      <c r="AD49" s="1337">
        <f t="shared" ref="AD49" si="71">ROUND(AD47+AD48,0)</f>
        <v>0</v>
      </c>
      <c r="AE49" s="1337">
        <f t="shared" ref="AE49" si="72">ROUND(AE47+AE48,0)</f>
        <v>0</v>
      </c>
      <c r="AF49" s="1337">
        <f t="shared" ref="AF49" si="73">ROUND(AF47+AF48,0)</f>
        <v>0</v>
      </c>
      <c r="AG49" s="1337">
        <f t="shared" ref="AG49" si="74">ROUND(AG47+AG48,0)</f>
        <v>31</v>
      </c>
      <c r="AH49" s="1337">
        <f t="shared" ref="AH49" si="75">ROUND(AH47+AH48,0)</f>
        <v>94</v>
      </c>
      <c r="AI49" s="1337">
        <f t="shared" ref="AI49" si="76">ROUND(AI47+AI48,0)</f>
        <v>157</v>
      </c>
      <c r="AJ49" s="1337">
        <f t="shared" ref="AJ49" si="77">ROUND(AJ47+AJ48,0)</f>
        <v>157</v>
      </c>
      <c r="AK49" s="1337">
        <f t="shared" ref="AK49" si="78">ROUND(AK47+AK48,0)</f>
        <v>157</v>
      </c>
      <c r="AL49" s="1337">
        <f t="shared" ref="AL49" si="79">ROUND(AL47+AL48,0)</f>
        <v>157</v>
      </c>
      <c r="AM49" s="1337">
        <f t="shared" ref="AM49" si="80">ROUND(AM47+AM48,0)</f>
        <v>157</v>
      </c>
      <c r="AN49" s="1337">
        <f t="shared" ref="AN49" si="81">ROUND(AN47+AN48,0)</f>
        <v>157</v>
      </c>
      <c r="AO49" s="1337">
        <f t="shared" ref="AO49" si="82">ROUND(AO47+AO48,0)</f>
        <v>157</v>
      </c>
      <c r="AP49" s="1337">
        <f t="shared" ref="AP49" si="83">ROUND(AP47+AP48,0)</f>
        <v>157</v>
      </c>
      <c r="AQ49" s="1337">
        <f t="shared" ref="AQ49" si="84">ROUND(AQ47+AQ48,0)</f>
        <v>157</v>
      </c>
      <c r="AR49" s="1337">
        <f t="shared" ref="AR49" si="85">ROUND(AR47+AR48,0)</f>
        <v>157</v>
      </c>
      <c r="AS49" s="1337">
        <f t="shared" ref="AS49" si="86">ROUND(AS47+AS48,0)</f>
        <v>157</v>
      </c>
      <c r="AT49" s="1337">
        <f t="shared" ref="AT49" si="87">ROUND(AT47+AT48,0)</f>
        <v>157</v>
      </c>
      <c r="AU49" s="1337">
        <f t="shared" ref="AU49" si="88">ROUND(AU47+AU48,0)</f>
        <v>157</v>
      </c>
      <c r="AV49" s="1337">
        <f t="shared" ref="AV49" si="89">ROUND(AV47+AV48,0)</f>
        <v>157</v>
      </c>
      <c r="AW49" s="1337">
        <f t="shared" ref="AW49" si="90">ROUND(AW47+AW48,0)</f>
        <v>157</v>
      </c>
      <c r="AX49" s="1568"/>
      <c r="AY49" s="1322"/>
    </row>
    <row r="50" spans="1:70" ht="20.100000000000001" customHeight="1">
      <c r="A50" s="2507"/>
      <c r="B50" s="2514" t="str">
        <f>'1.4.3개발계획현황'!A51</f>
        <v>금왕테크노밸리</v>
      </c>
      <c r="C50" s="2513">
        <f>IF(C$37='1.4.3개발계획현황'!K51,'1.4.3개발계획현황'!AA51,0)</f>
        <v>0</v>
      </c>
      <c r="D50" s="1309"/>
      <c r="E50" s="1309"/>
      <c r="F50" s="1309"/>
      <c r="G50" s="1309"/>
      <c r="H50" s="1309"/>
      <c r="I50" s="2513">
        <f>IF(I$37='1.4.3개발계획현황'!K51,'1.4.3개발계획현황'!AA51,H52)</f>
        <v>4547</v>
      </c>
      <c r="J50" s="1309"/>
      <c r="K50" s="1309"/>
      <c r="L50" s="1309"/>
      <c r="M50" s="1309"/>
      <c r="N50" s="2513">
        <f>IF(N$37='1.4.3개발계획현황'!Z51,'1.4.3개발계획현황'!AF50,M52)</f>
        <v>4547</v>
      </c>
      <c r="O50" s="1309"/>
      <c r="P50" s="1309"/>
      <c r="Q50" s="1309"/>
      <c r="R50" s="1309"/>
      <c r="S50" s="2513">
        <f>IF(S$37='1.4.3개발계획현황'!AE50,'1.4.3개발계획현황'!AL50,R52)</f>
        <v>4547</v>
      </c>
      <c r="T50" s="1309"/>
      <c r="U50" s="1309"/>
      <c r="V50" s="1309"/>
      <c r="W50" s="1309"/>
      <c r="X50" s="2513">
        <f>IF(X$37='1.4.3개발계획현황'!AJ50,'1.4.3개발계획현황'!AQ50,W52)</f>
        <v>4547</v>
      </c>
      <c r="Y50" s="2235"/>
      <c r="Z50" s="2507"/>
      <c r="AA50" s="1336" t="str">
        <f>CONCATENATE(AA52," 중복제외 전")</f>
        <v>금왕테크노밸리 중복제외 전</v>
      </c>
      <c r="AB50" s="1560">
        <f>ROUND(C50*$AX50,0)</f>
        <v>0</v>
      </c>
      <c r="AC50" s="1560">
        <f>ROUND(D52*$AX50,0)</f>
        <v>0</v>
      </c>
      <c r="AD50" s="1560">
        <f>ROUND(E52*$AX50,0)</f>
        <v>0</v>
      </c>
      <c r="AE50" s="1560">
        <f>ROUND(F52*$AX50,0)</f>
        <v>0</v>
      </c>
      <c r="AF50" s="1560">
        <f>ROUND(G52*$AX50,0)</f>
        <v>0</v>
      </c>
      <c r="AG50" s="1560">
        <f>ROUND(H52*$AX50,0)*0.2</f>
        <v>409.20000000000005</v>
      </c>
      <c r="AH50" s="1560">
        <f>ROUND(I50*$AX50,0)*0.6</f>
        <v>1227.5999999999999</v>
      </c>
      <c r="AI50" s="1560">
        <f>ROUND(J52*$AX50,0)</f>
        <v>2046</v>
      </c>
      <c r="AJ50" s="1560">
        <f>ROUND(K52*$AX50,0)</f>
        <v>2046</v>
      </c>
      <c r="AK50" s="1560">
        <f>ROUND(L52*$AX50,0)</f>
        <v>2046</v>
      </c>
      <c r="AL50" s="1560">
        <f>ROUND(M52*$AX50,0)</f>
        <v>2046</v>
      </c>
      <c r="AM50" s="1560">
        <f>ROUND(N50*$AX50,0)</f>
        <v>2046</v>
      </c>
      <c r="AN50" s="1560">
        <f>ROUND(O52*$AX50,0)</f>
        <v>2046</v>
      </c>
      <c r="AO50" s="1560">
        <f>ROUND(P52*$AX50,0)</f>
        <v>2046</v>
      </c>
      <c r="AP50" s="1560">
        <f>ROUND(Q52*$AX50,0)</f>
        <v>2046</v>
      </c>
      <c r="AQ50" s="1560">
        <f>ROUND(R52*$AX50,0)</f>
        <v>2046</v>
      </c>
      <c r="AR50" s="1560">
        <f>ROUND(S50*$AX50,0)</f>
        <v>2046</v>
      </c>
      <c r="AS50" s="1560">
        <f>ROUND(T52*$AX50,0)</f>
        <v>2046</v>
      </c>
      <c r="AT50" s="1560">
        <f>ROUND(U52*$AX50,0)</f>
        <v>2046</v>
      </c>
      <c r="AU50" s="1560">
        <f>ROUND(V52*$AX50,0)</f>
        <v>2046</v>
      </c>
      <c r="AV50" s="1560">
        <f>ROUND(W52*$AX50,0)</f>
        <v>2046</v>
      </c>
      <c r="AW50" s="1560">
        <f>ROUND(X50*$AX50,0)</f>
        <v>2046</v>
      </c>
      <c r="AX50" s="1567">
        <v>0.45</v>
      </c>
      <c r="AY50" s="1323"/>
      <c r="BI50" s="1257"/>
      <c r="BJ50" s="1257"/>
      <c r="BK50" s="1257"/>
      <c r="BL50" s="1257"/>
      <c r="BM50" s="1257"/>
      <c r="BN50" s="1257"/>
      <c r="BO50" s="1257"/>
      <c r="BP50" s="1257"/>
      <c r="BQ50" s="1257"/>
      <c r="BR50" s="1257"/>
    </row>
    <row r="51" spans="1:70" ht="20.100000000000001" customHeight="1">
      <c r="A51" s="2507"/>
      <c r="B51" s="2514"/>
      <c r="C51" s="2513"/>
      <c r="D51" s="1309"/>
      <c r="E51" s="1309"/>
      <c r="F51" s="1309"/>
      <c r="G51" s="1309"/>
      <c r="H51" s="1309"/>
      <c r="I51" s="2513"/>
      <c r="J51" s="1309"/>
      <c r="K51" s="1309"/>
      <c r="L51" s="1309"/>
      <c r="M51" s="1309"/>
      <c r="N51" s="2513"/>
      <c r="O51" s="1309"/>
      <c r="P51" s="1309"/>
      <c r="Q51" s="1309"/>
      <c r="R51" s="1309"/>
      <c r="S51" s="2513"/>
      <c r="T51" s="1309"/>
      <c r="U51" s="1309"/>
      <c r="V51" s="1309"/>
      <c r="W51" s="1309"/>
      <c r="X51" s="2513"/>
      <c r="Y51" s="2235"/>
      <c r="Z51" s="2507"/>
      <c r="AA51" s="1336" t="str">
        <f>CONCATENATE(AA52," 중복제외인구")</f>
        <v>금왕테크노밸리 중복제외인구</v>
      </c>
      <c r="AB51" s="1560">
        <f>ROUND(C50*$AX51,0)</f>
        <v>0</v>
      </c>
      <c r="AC51" s="1560">
        <f>-ROUND(IF(D52&gt;0,VLOOKUP($AA52,'사회적 유입 중복인구 제외근거'!$E$13:$F$20,2,FALSE),0),0)</f>
        <v>0</v>
      </c>
      <c r="AD51" s="1560">
        <f>-ROUND(IF(E52&gt;0,SUMIF('사회적 유입 중복인구 제외근거'!$E$6:$E$53,$AA52,'사회적 유입 중복인구 제외근거'!$F$6:$F$53),0),0)</f>
        <v>0</v>
      </c>
      <c r="AE51" s="1560">
        <f>-ROUND(IF(F52&gt;0,SUMIF('사회적 유입 중복인구 제외근거'!$E$6:$E$53,$AA52,'사회적 유입 중복인구 제외근거'!$F$6:$F$53),0),0)</f>
        <v>0</v>
      </c>
      <c r="AF51" s="1560">
        <f>-ROUND(IF(G52&gt;0,SUMIF('사회적 유입 중복인구 제외근거'!$E$6:$E$53,$AA52,'사회적 유입 중복인구 제외근거'!$F$6:$F$53),0),0)</f>
        <v>0</v>
      </c>
      <c r="AG51" s="1560">
        <f>-ROUND(IF(H52&gt;0,SUMIF('사회적 유입 중복인구 제외근거'!$E$6:$E$53,$AA52,'사회적 유입 중복인구 제외근거'!$F$6:$F$53),0),0)*0.2</f>
        <v>-327.40000000000003</v>
      </c>
      <c r="AH51" s="1560">
        <f>-ROUND(IF(I50&gt;0,SUMIF('사회적 유입 중복인구 제외근거'!$E$6:$E$53,$AA52,'사회적 유입 중복인구 제외근거'!$F$6:$F$53),0),0)*0.6</f>
        <v>-982.19999999999993</v>
      </c>
      <c r="AI51" s="1560">
        <f>-ROUND(IF(J52&gt;0,SUMIF('사회적 유입 중복인구 제외근거'!$E$6:$E$53,$AA52,'사회적 유입 중복인구 제외근거'!$F$6:$F$53),0),0)</f>
        <v>-1637</v>
      </c>
      <c r="AJ51" s="1560">
        <f>-ROUND(IF(K52&gt;0,SUMIF('사회적 유입 중복인구 제외근거'!$E$6:$E$53,$AA52,'사회적 유입 중복인구 제외근거'!$F$6:$F$53),0),0)</f>
        <v>-1637</v>
      </c>
      <c r="AK51" s="1560">
        <f>-ROUND(IF(L52&gt;0,SUMIF('사회적 유입 중복인구 제외근거'!$E$6:$E$53,$AA52,'사회적 유입 중복인구 제외근거'!$F$6:$F$53),0),0)</f>
        <v>-1637</v>
      </c>
      <c r="AL51" s="1560">
        <f>-ROUND(IF(M52&gt;0,SUMIF('사회적 유입 중복인구 제외근거'!$E$6:$E$53,$AA52,'사회적 유입 중복인구 제외근거'!$F$6:$F$53),0),0)</f>
        <v>-1637</v>
      </c>
      <c r="AM51" s="1560">
        <f>-ROUND(IF(N50&gt;0,SUMIF('사회적 유입 중복인구 제외근거'!$E$6:$E$53,$AA52,'사회적 유입 중복인구 제외근거'!$F$6:$F$53),0),0)</f>
        <v>-1637</v>
      </c>
      <c r="AN51" s="1560">
        <f>-ROUND(IF(O52&gt;0,SUMIF('사회적 유입 중복인구 제외근거'!$E$6:$E$53,$AA52,'사회적 유입 중복인구 제외근거'!$F$6:$F$53),0),0)</f>
        <v>-1637</v>
      </c>
      <c r="AO51" s="1560">
        <f>-ROUND(IF(P52&gt;0,SUMIF('사회적 유입 중복인구 제외근거'!$E$6:$E$53,$AA52,'사회적 유입 중복인구 제외근거'!$F$6:$F$53),0),0)</f>
        <v>-1637</v>
      </c>
      <c r="AP51" s="1560">
        <f>-ROUND(IF(Q52&gt;0,SUMIF('사회적 유입 중복인구 제외근거'!$E$6:$E$53,$AA52,'사회적 유입 중복인구 제외근거'!$F$6:$F$53),0),0)</f>
        <v>-1637</v>
      </c>
      <c r="AQ51" s="1560">
        <f>-ROUND(IF(R52&gt;0,SUMIF('사회적 유입 중복인구 제외근거'!$E$6:$E$53,$AA52,'사회적 유입 중복인구 제외근거'!$F$6:$F$53),0),0)</f>
        <v>-1637</v>
      </c>
      <c r="AR51" s="1560">
        <f>-ROUND(IF(S50&gt;0,SUMIF('사회적 유입 중복인구 제외근거'!$E$6:$E$53,$AA52,'사회적 유입 중복인구 제외근거'!$F$6:$F$53),0),0)</f>
        <v>-1637</v>
      </c>
      <c r="AS51" s="1560">
        <f>-ROUND(IF(T52&gt;0,SUMIF('사회적 유입 중복인구 제외근거'!$E$6:$E$53,$AA52,'사회적 유입 중복인구 제외근거'!$F$6:$F$53),0),0)</f>
        <v>-1637</v>
      </c>
      <c r="AT51" s="1560">
        <f>-ROUND(IF(U52&gt;0,SUMIF('사회적 유입 중복인구 제외근거'!$E$6:$E$53,$AA52,'사회적 유입 중복인구 제외근거'!$F$6:$F$53),0),0)</f>
        <v>-1637</v>
      </c>
      <c r="AU51" s="1560">
        <f>-ROUND(IF(V52&gt;0,SUMIF('사회적 유입 중복인구 제외근거'!$E$6:$E$53,$AA52,'사회적 유입 중복인구 제외근거'!$F$6:$F$53),0),0)</f>
        <v>-1637</v>
      </c>
      <c r="AV51" s="1560">
        <f>-ROUND(IF(W52&gt;0,SUMIF('사회적 유입 중복인구 제외근거'!$E$6:$E$53,$AA52,'사회적 유입 중복인구 제외근거'!$F$6:$F$53),0),0)</f>
        <v>-1637</v>
      </c>
      <c r="AW51" s="1560">
        <f>-ROUND(IF(X50&gt;0,SUMIF('사회적 유입 중복인구 제외근거'!$E$6:$E$53,$AA52,'사회적 유입 중복인구 제외근거'!$F$6:$F$53),0),0)</f>
        <v>-1637</v>
      </c>
      <c r="AX51" s="1567"/>
      <c r="AY51" s="1324"/>
      <c r="BE51" s="1325"/>
      <c r="BI51" s="1257"/>
      <c r="BJ51" s="1257"/>
      <c r="BK51" s="1257"/>
      <c r="BL51" s="1257"/>
      <c r="BM51" s="1257"/>
      <c r="BN51" s="1257"/>
      <c r="BO51" s="1257"/>
      <c r="BP51" s="1257"/>
      <c r="BQ51" s="1257"/>
      <c r="BR51" s="1257"/>
    </row>
    <row r="52" spans="1:70" ht="20.100000000000001" customHeight="1">
      <c r="A52" s="2507"/>
      <c r="B52" s="2514"/>
      <c r="C52" s="2513"/>
      <c r="D52" s="1972">
        <f>IF(D$37='1.4.3개발계획현황'!$K$51,'1.4.3개발계획현황'!$AA$51,C50)</f>
        <v>0</v>
      </c>
      <c r="E52" s="1972">
        <f>IF(E$37='1.4.3개발계획현황'!$K$51,'1.4.3개발계획현황'!$AA$51,D52)</f>
        <v>0</v>
      </c>
      <c r="F52" s="1972">
        <f>IF(F$37='1.4.3개발계획현황'!$K$51,'1.4.3개발계획현황'!$AA$51,E52)</f>
        <v>0</v>
      </c>
      <c r="G52" s="1972">
        <f>IF(G$37='1.4.3개발계획현황'!$K$51,'1.4.3개발계획현황'!$AA$51,F52)</f>
        <v>0</v>
      </c>
      <c r="H52" s="1972">
        <f>IF(H$37='1.4.3개발계획현황'!$K$51,'1.4.3개발계획현황'!$AA$51,G52)</f>
        <v>4547</v>
      </c>
      <c r="I52" s="2513"/>
      <c r="J52" s="1972">
        <f>IF(J$37='1.4.3개발계획현황'!$K$51,'1.4.3개발계획현황'!$AA$51,I50)</f>
        <v>4547</v>
      </c>
      <c r="K52" s="1972">
        <f>IF(K$37='1.4.3개발계획현황'!$K$51,'1.4.3개발계획현황'!$AA$51,J52)</f>
        <v>4547</v>
      </c>
      <c r="L52" s="1972">
        <f>IF(L$37='1.4.3개발계획현황'!$K$51,'1.4.3개발계획현황'!$AA$51,K52)</f>
        <v>4547</v>
      </c>
      <c r="M52" s="1972">
        <f>IF(M$37='1.4.3개발계획현황'!$K$51,'1.4.3개발계획현황'!$AA$51,L52)</f>
        <v>4547</v>
      </c>
      <c r="N52" s="2513"/>
      <c r="O52" s="1972">
        <f>IF(O$37='1.4.3개발계획현황'!$K$51,'1.4.3개발계획현황'!$AA$51,N50)</f>
        <v>4547</v>
      </c>
      <c r="P52" s="1972">
        <f>IF(P$37='1.4.3개발계획현황'!$K$51,'1.4.3개발계획현황'!$AA$51,O52)</f>
        <v>4547</v>
      </c>
      <c r="Q52" s="1972">
        <f>IF(Q$37='1.4.3개발계획현황'!$K$51,'1.4.3개발계획현황'!$AA$51,P52)</f>
        <v>4547</v>
      </c>
      <c r="R52" s="1972">
        <f>IF(R$37='1.4.3개발계획현황'!$K$51,'1.4.3개발계획현황'!$AA$51,Q52)</f>
        <v>4547</v>
      </c>
      <c r="S52" s="2513"/>
      <c r="T52" s="1972">
        <f>IF(T$37='1.4.3개발계획현황'!$K$51,'1.4.3개발계획현황'!$AA$51,S50)</f>
        <v>4547</v>
      </c>
      <c r="U52" s="1972">
        <f>IF(U$37='1.4.3개발계획현황'!$K$51,'1.4.3개발계획현황'!$AA$51,T52)</f>
        <v>4547</v>
      </c>
      <c r="V52" s="1972">
        <f>IF(V$37='1.4.3개발계획현황'!$K$51,'1.4.3개발계획현황'!$AA$51,U52)</f>
        <v>4547</v>
      </c>
      <c r="W52" s="1972">
        <f>IF(W$37='1.4.3개발계획현황'!$K$51,'1.4.3개발계획현황'!$AA$51,V52)</f>
        <v>4547</v>
      </c>
      <c r="X52" s="2513"/>
      <c r="Y52" s="2235"/>
      <c r="Z52" s="2507"/>
      <c r="AA52" s="1353" t="str">
        <f>B50</f>
        <v>금왕테크노밸리</v>
      </c>
      <c r="AB52" s="1337">
        <f>ROUND(AB50+AB51,0)</f>
        <v>0</v>
      </c>
      <c r="AC52" s="1337">
        <f t="shared" ref="AC52" si="91">ROUND(AC50+AC51,0)</f>
        <v>0</v>
      </c>
      <c r="AD52" s="1337">
        <f t="shared" ref="AD52" si="92">ROUND(AD50+AD51,0)</f>
        <v>0</v>
      </c>
      <c r="AE52" s="1337">
        <f t="shared" ref="AE52" si="93">ROUND(AE50+AE51,0)</f>
        <v>0</v>
      </c>
      <c r="AF52" s="1337">
        <f t="shared" ref="AF52" si="94">ROUND(AF50+AF51,0)</f>
        <v>0</v>
      </c>
      <c r="AG52" s="1337">
        <f t="shared" ref="AG52" si="95">ROUND(AG50+AG51,0)</f>
        <v>82</v>
      </c>
      <c r="AH52" s="1337">
        <f t="shared" ref="AH52" si="96">ROUND(AH50+AH51,0)</f>
        <v>245</v>
      </c>
      <c r="AI52" s="1337">
        <f t="shared" ref="AI52" si="97">ROUND(AI50+AI51,0)</f>
        <v>409</v>
      </c>
      <c r="AJ52" s="1337">
        <f t="shared" ref="AJ52" si="98">ROUND(AJ50+AJ51,0)</f>
        <v>409</v>
      </c>
      <c r="AK52" s="1337">
        <f t="shared" ref="AK52" si="99">ROUND(AK50+AK51,0)</f>
        <v>409</v>
      </c>
      <c r="AL52" s="1337">
        <f t="shared" ref="AL52" si="100">ROUND(AL50+AL51,0)</f>
        <v>409</v>
      </c>
      <c r="AM52" s="1337">
        <f t="shared" ref="AM52" si="101">ROUND(AM50+AM51,0)</f>
        <v>409</v>
      </c>
      <c r="AN52" s="1337">
        <f t="shared" ref="AN52" si="102">ROUND(AN50+AN51,0)</f>
        <v>409</v>
      </c>
      <c r="AO52" s="1337">
        <f t="shared" ref="AO52" si="103">ROUND(AO50+AO51,0)</f>
        <v>409</v>
      </c>
      <c r="AP52" s="1337">
        <f t="shared" ref="AP52" si="104">ROUND(AP50+AP51,0)</f>
        <v>409</v>
      </c>
      <c r="AQ52" s="1337">
        <f t="shared" ref="AQ52" si="105">ROUND(AQ50+AQ51,0)</f>
        <v>409</v>
      </c>
      <c r="AR52" s="1337">
        <f t="shared" ref="AR52" si="106">ROUND(AR50+AR51,0)</f>
        <v>409</v>
      </c>
      <c r="AS52" s="1337">
        <f t="shared" ref="AS52" si="107">ROUND(AS50+AS51,0)</f>
        <v>409</v>
      </c>
      <c r="AT52" s="1337">
        <f t="shared" ref="AT52" si="108">ROUND(AT50+AT51,0)</f>
        <v>409</v>
      </c>
      <c r="AU52" s="1337">
        <f t="shared" ref="AU52" si="109">ROUND(AU50+AU51,0)</f>
        <v>409</v>
      </c>
      <c r="AV52" s="1337">
        <f t="shared" ref="AV52" si="110">ROUND(AV50+AV51,0)</f>
        <v>409</v>
      </c>
      <c r="AW52" s="1337">
        <f t="shared" ref="AW52" si="111">ROUND(AW50+AW51,0)</f>
        <v>409</v>
      </c>
      <c r="AX52" s="1568"/>
      <c r="AY52" s="1326"/>
    </row>
    <row r="53" spans="1:70" ht="20.100000000000001" customHeight="1">
      <c r="A53" s="2507"/>
      <c r="B53" s="2514" t="str">
        <f>'1.4.3개발계획현황'!A52</f>
        <v>성안산업단지</v>
      </c>
      <c r="C53" s="2513">
        <f>IF(C$37='1.4.3개발계획현황'!K52,'1.4.3개발계획현황'!AA52,0)</f>
        <v>0</v>
      </c>
      <c r="D53" s="1309"/>
      <c r="E53" s="1309"/>
      <c r="F53" s="1309"/>
      <c r="G53" s="1309"/>
      <c r="H53" s="1309"/>
      <c r="I53" s="2513">
        <f>IF(I$37='1.4.3개발계획현황'!K52,'1.4.3개발계획현황'!AA52,H55)</f>
        <v>119</v>
      </c>
      <c r="J53" s="1309"/>
      <c r="K53" s="1309"/>
      <c r="L53" s="1309"/>
      <c r="M53" s="1309"/>
      <c r="N53" s="2513">
        <f>IF(N$37='1.4.3개발계획현황'!Z52,'1.4.3개발계획현황'!AF51,M55)</f>
        <v>119</v>
      </c>
      <c r="O53" s="1309"/>
      <c r="P53" s="1309"/>
      <c r="Q53" s="1309"/>
      <c r="R53" s="1309"/>
      <c r="S53" s="2513">
        <f>IF(S$37='1.4.3개발계획현황'!AE51,'1.4.3개발계획현황'!AL51,R55)</f>
        <v>119</v>
      </c>
      <c r="T53" s="1309"/>
      <c r="U53" s="1309"/>
      <c r="V53" s="1309"/>
      <c r="W53" s="1309"/>
      <c r="X53" s="2513">
        <f>IF(X$37='1.4.3개발계획현황'!AJ51,'1.4.3개발계획현황'!AQ51,W55)</f>
        <v>119</v>
      </c>
      <c r="Y53" s="2236"/>
      <c r="Z53" s="2507"/>
      <c r="AA53" s="1336" t="str">
        <f>CONCATENATE(AA55," 중복제외 전")</f>
        <v>성안산업단지 중복제외 전</v>
      </c>
      <c r="AB53" s="1560">
        <f>ROUND(C53*$AX53,0)</f>
        <v>0</v>
      </c>
      <c r="AC53" s="1560">
        <f>ROUND(D55*$AX53,0)</f>
        <v>0</v>
      </c>
      <c r="AD53" s="1560">
        <f>ROUND(E55*$AX53,0)</f>
        <v>0</v>
      </c>
      <c r="AE53" s="1560">
        <f>ROUND(F55*$AX53,0)</f>
        <v>0</v>
      </c>
      <c r="AF53" s="1560">
        <f>ROUND(G55*$AX53,0)</f>
        <v>0</v>
      </c>
      <c r="AG53" s="1560">
        <f>ROUND(H55*$AX53,0)*0.2</f>
        <v>10.8</v>
      </c>
      <c r="AH53" s="1560">
        <f>ROUND(I53*$AX53,0)*0.6</f>
        <v>32.4</v>
      </c>
      <c r="AI53" s="1560">
        <f>ROUND(J55*$AX53,0)</f>
        <v>54</v>
      </c>
      <c r="AJ53" s="1560">
        <f>ROUND(K55*$AX53,0)</f>
        <v>54</v>
      </c>
      <c r="AK53" s="1560">
        <f>ROUND(L55*$AX53,0)</f>
        <v>54</v>
      </c>
      <c r="AL53" s="1560">
        <f>ROUND(M55*$AX53,0)</f>
        <v>54</v>
      </c>
      <c r="AM53" s="1560">
        <f>ROUND(N53*$AX53,0)</f>
        <v>54</v>
      </c>
      <c r="AN53" s="1560">
        <f>ROUND(O55*$AX53,0)</f>
        <v>54</v>
      </c>
      <c r="AO53" s="1560">
        <f>ROUND(P55*$AX53,0)</f>
        <v>54</v>
      </c>
      <c r="AP53" s="1560">
        <f>ROUND(Q55*$AX53,0)</f>
        <v>54</v>
      </c>
      <c r="AQ53" s="1560">
        <f>ROUND(R55*$AX53,0)</f>
        <v>54</v>
      </c>
      <c r="AR53" s="1560">
        <f>ROUND(S53*$AX53,0)</f>
        <v>54</v>
      </c>
      <c r="AS53" s="1560">
        <f>ROUND(T55*$AX53,0)</f>
        <v>54</v>
      </c>
      <c r="AT53" s="1560">
        <f>ROUND(U55*$AX53,0)</f>
        <v>54</v>
      </c>
      <c r="AU53" s="1560">
        <f>ROUND(V55*$AX53,0)</f>
        <v>54</v>
      </c>
      <c r="AV53" s="1560">
        <f>ROUND(W55*$AX53,0)</f>
        <v>54</v>
      </c>
      <c r="AW53" s="1560">
        <f>ROUND(X53*$AX53,0)</f>
        <v>54</v>
      </c>
      <c r="AX53" s="1566">
        <v>0.45</v>
      </c>
      <c r="AY53" s="1326"/>
      <c r="BI53" s="1257"/>
      <c r="BJ53" s="1257"/>
      <c r="BK53" s="1257"/>
      <c r="BL53" s="1257"/>
      <c r="BM53" s="1257"/>
      <c r="BN53" s="1257"/>
      <c r="BO53" s="1257"/>
      <c r="BP53" s="1257"/>
      <c r="BQ53" s="1257"/>
      <c r="BR53" s="1257"/>
    </row>
    <row r="54" spans="1:70" ht="20.100000000000001" customHeight="1">
      <c r="A54" s="2507"/>
      <c r="B54" s="2514"/>
      <c r="C54" s="2513"/>
      <c r="D54" s="1309"/>
      <c r="E54" s="1309"/>
      <c r="F54" s="1309"/>
      <c r="G54" s="1309"/>
      <c r="H54" s="1309"/>
      <c r="I54" s="2513"/>
      <c r="J54" s="1309"/>
      <c r="K54" s="1309"/>
      <c r="L54" s="1309"/>
      <c r="M54" s="1309"/>
      <c r="N54" s="2513"/>
      <c r="O54" s="1309"/>
      <c r="P54" s="1309"/>
      <c r="Q54" s="1309"/>
      <c r="R54" s="1309"/>
      <c r="S54" s="2513"/>
      <c r="T54" s="1309"/>
      <c r="U54" s="1309"/>
      <c r="V54" s="1309"/>
      <c r="W54" s="1309"/>
      <c r="X54" s="2513"/>
      <c r="Y54" s="2236"/>
      <c r="Z54" s="2507"/>
      <c r="AA54" s="1336" t="str">
        <f>CONCATENATE(AA55," 중복제외인구")</f>
        <v>성안산업단지 중복제외인구</v>
      </c>
      <c r="AB54" s="1560">
        <f>ROUND(C53*$AX54,0)</f>
        <v>0</v>
      </c>
      <c r="AC54" s="1560">
        <f>-ROUND(IF(D55&gt;0,VLOOKUP($AA55,'사회적 유입 중복인구 제외근거'!$E$13:$F$20,2,FALSE),0),0)</f>
        <v>0</v>
      </c>
      <c r="AD54" s="1560">
        <f>-ROUND(IF(E55&gt;0,SUMIF('사회적 유입 중복인구 제외근거'!$E$6:$E$53,$AA55,'사회적 유입 중복인구 제외근거'!$F$6:$F$53),0),0)</f>
        <v>0</v>
      </c>
      <c r="AE54" s="1560">
        <f>-ROUND(IF(F55&gt;0,SUMIF('사회적 유입 중복인구 제외근거'!$E$6:$E$53,$AA55,'사회적 유입 중복인구 제외근거'!$F$6:$F$53),0),0)</f>
        <v>0</v>
      </c>
      <c r="AF54" s="1560">
        <f>-ROUND(IF(G55&gt;0,SUMIF('사회적 유입 중복인구 제외근거'!$E$6:$E$53,$AA55,'사회적 유입 중복인구 제외근거'!$F$6:$F$53),0),0)</f>
        <v>0</v>
      </c>
      <c r="AG54" s="1560">
        <f>-ROUND(IF(H55&gt;0,SUMIF('사회적 유입 중복인구 제외근거'!$E$6:$E$53,$AA55,'사회적 유입 중복인구 제외근거'!$F$6:$F$53),0),0)*0.2</f>
        <v>-9.6000000000000014</v>
      </c>
      <c r="AH54" s="1560">
        <f>-ROUND(IF(I53&gt;0,SUMIF('사회적 유입 중복인구 제외근거'!$E$6:$E$53,$AA55,'사회적 유입 중복인구 제외근거'!$F$6:$F$53),0),0)*0.6</f>
        <v>-28.799999999999997</v>
      </c>
      <c r="AI54" s="1560">
        <f>-ROUND(IF(J55&gt;0,SUMIF('사회적 유입 중복인구 제외근거'!$E$6:$E$53,$AA55,'사회적 유입 중복인구 제외근거'!$F$6:$F$53),0),0)</f>
        <v>-48</v>
      </c>
      <c r="AJ54" s="1560">
        <f>-ROUND(IF(K55&gt;0,SUMIF('사회적 유입 중복인구 제외근거'!$E$6:$E$53,$AA55,'사회적 유입 중복인구 제외근거'!$F$6:$F$53),0),0)</f>
        <v>-48</v>
      </c>
      <c r="AK54" s="1560">
        <f>-ROUND(IF(L55&gt;0,SUMIF('사회적 유입 중복인구 제외근거'!$E$6:$E$53,$AA55,'사회적 유입 중복인구 제외근거'!$F$6:$F$53),0),0)</f>
        <v>-48</v>
      </c>
      <c r="AL54" s="1560">
        <f>-ROUND(IF(M55&gt;0,SUMIF('사회적 유입 중복인구 제외근거'!$E$6:$E$53,$AA55,'사회적 유입 중복인구 제외근거'!$F$6:$F$53),0),0)</f>
        <v>-48</v>
      </c>
      <c r="AM54" s="1560">
        <f>-ROUND(IF(N53&gt;0,SUMIF('사회적 유입 중복인구 제외근거'!$E$6:$E$53,$AA55,'사회적 유입 중복인구 제외근거'!$F$6:$F$53),0),0)</f>
        <v>-48</v>
      </c>
      <c r="AN54" s="1560">
        <f>-ROUND(IF(O55&gt;0,SUMIF('사회적 유입 중복인구 제외근거'!$E$6:$E$53,$AA55,'사회적 유입 중복인구 제외근거'!$F$6:$F$53),0),0)</f>
        <v>-48</v>
      </c>
      <c r="AO54" s="1560">
        <f>-ROUND(IF(P55&gt;0,SUMIF('사회적 유입 중복인구 제외근거'!$E$6:$E$53,$AA55,'사회적 유입 중복인구 제외근거'!$F$6:$F$53),0),0)</f>
        <v>-48</v>
      </c>
      <c r="AP54" s="1560">
        <f>-ROUND(IF(Q55&gt;0,SUMIF('사회적 유입 중복인구 제외근거'!$E$6:$E$53,$AA55,'사회적 유입 중복인구 제외근거'!$F$6:$F$53),0),0)</f>
        <v>-48</v>
      </c>
      <c r="AQ54" s="1560">
        <f>-ROUND(IF(R55&gt;0,SUMIF('사회적 유입 중복인구 제외근거'!$E$6:$E$53,$AA55,'사회적 유입 중복인구 제외근거'!$F$6:$F$53),0),0)</f>
        <v>-48</v>
      </c>
      <c r="AR54" s="1560">
        <f>-ROUND(IF(S53&gt;0,SUMIF('사회적 유입 중복인구 제외근거'!$E$6:$E$53,$AA55,'사회적 유입 중복인구 제외근거'!$F$6:$F$53),0),0)</f>
        <v>-48</v>
      </c>
      <c r="AS54" s="1560">
        <f>-ROUND(IF(T55&gt;0,SUMIF('사회적 유입 중복인구 제외근거'!$E$6:$E$53,$AA55,'사회적 유입 중복인구 제외근거'!$F$6:$F$53),0),0)</f>
        <v>-48</v>
      </c>
      <c r="AT54" s="1560">
        <f>-ROUND(IF(U55&gt;0,SUMIF('사회적 유입 중복인구 제외근거'!$E$6:$E$53,$AA55,'사회적 유입 중복인구 제외근거'!$F$6:$F$53),0),0)</f>
        <v>-48</v>
      </c>
      <c r="AU54" s="1560">
        <f>-ROUND(IF(V55&gt;0,SUMIF('사회적 유입 중복인구 제외근거'!$E$6:$E$53,$AA55,'사회적 유입 중복인구 제외근거'!$F$6:$F$53),0),0)</f>
        <v>-48</v>
      </c>
      <c r="AV54" s="1560">
        <f>-ROUND(IF(W55&gt;0,SUMIF('사회적 유입 중복인구 제외근거'!$E$6:$E$53,$AA55,'사회적 유입 중복인구 제외근거'!$F$6:$F$53),0),0)</f>
        <v>-48</v>
      </c>
      <c r="AW54" s="1560">
        <f>-ROUND(IF(X53&gt;0,SUMIF('사회적 유입 중복인구 제외근거'!$E$6:$E$53,$AA55,'사회적 유입 중복인구 제외근거'!$F$6:$F$53),0),0)</f>
        <v>-48</v>
      </c>
      <c r="AX54" s="1566"/>
      <c r="AY54" s="1322"/>
      <c r="BE54" s="1325"/>
      <c r="BI54" s="1257"/>
      <c r="BJ54" s="1257"/>
      <c r="BK54" s="1257"/>
      <c r="BL54" s="1257"/>
      <c r="BM54" s="1257"/>
      <c r="BN54" s="1257"/>
      <c r="BO54" s="1257"/>
      <c r="BP54" s="1257"/>
      <c r="BQ54" s="1257"/>
      <c r="BR54" s="1257"/>
    </row>
    <row r="55" spans="1:70" ht="20.100000000000001" customHeight="1">
      <c r="A55" s="2507"/>
      <c r="B55" s="2514"/>
      <c r="C55" s="2513"/>
      <c r="D55" s="1972">
        <f>IF(D$37='1.4.3개발계획현황'!$K$52,'1.4.3개발계획현황'!$AA$52,C53)</f>
        <v>0</v>
      </c>
      <c r="E55" s="1972">
        <f>IF(E$37='1.4.3개발계획현황'!$K$52,'1.4.3개발계획현황'!$AA$52,D55)</f>
        <v>0</v>
      </c>
      <c r="F55" s="1972">
        <f>IF(F$37='1.4.3개발계획현황'!$K$52,'1.4.3개발계획현황'!$AA$52,E55)</f>
        <v>0</v>
      </c>
      <c r="G55" s="1972">
        <f>IF(G$37='1.4.3개발계획현황'!$K$52,'1.4.3개발계획현황'!$AA$52,F55)</f>
        <v>0</v>
      </c>
      <c r="H55" s="1972">
        <f>IF(H$37='1.4.3개발계획현황'!$K$52,'1.4.3개발계획현황'!$AA$52,G55)</f>
        <v>119</v>
      </c>
      <c r="I55" s="2513"/>
      <c r="J55" s="1972">
        <f>IF(J$37='1.4.3개발계획현황'!$K$52,'1.4.3개발계획현황'!$AA$52,I53)</f>
        <v>119</v>
      </c>
      <c r="K55" s="1972">
        <f>IF(K$37='1.4.3개발계획현황'!$K$52,'1.4.3개발계획현황'!$AA$52,J55)</f>
        <v>119</v>
      </c>
      <c r="L55" s="1972">
        <f>IF(L$37='1.4.3개발계획현황'!$K$52,'1.4.3개발계획현황'!$AA$52,K55)</f>
        <v>119</v>
      </c>
      <c r="M55" s="1972">
        <f>IF(M$37='1.4.3개발계획현황'!$K$52,'1.4.3개발계획현황'!$AA$52,L55)</f>
        <v>119</v>
      </c>
      <c r="N55" s="2513"/>
      <c r="O55" s="1972">
        <f>IF(O$37='1.4.3개발계획현황'!$K$52,'1.4.3개발계획현황'!$AA$52,N53)</f>
        <v>119</v>
      </c>
      <c r="P55" s="1972">
        <f>IF(P$37='1.4.3개발계획현황'!$K$52,'1.4.3개발계획현황'!$AA$52,O55)</f>
        <v>119</v>
      </c>
      <c r="Q55" s="1972">
        <f>IF(Q$37='1.4.3개발계획현황'!$K$52,'1.4.3개발계획현황'!$AA$52,P55)</f>
        <v>119</v>
      </c>
      <c r="R55" s="1972">
        <f>IF(R$37='1.4.3개발계획현황'!$K$52,'1.4.3개발계획현황'!$AA$52,Q55)</f>
        <v>119</v>
      </c>
      <c r="S55" s="2513"/>
      <c r="T55" s="1972">
        <f>IF(T$37='1.4.3개발계획현황'!$K$52,'1.4.3개발계획현황'!$AA$52,S53)</f>
        <v>119</v>
      </c>
      <c r="U55" s="1972">
        <f>IF(U$37='1.4.3개발계획현황'!$K$52,'1.4.3개발계획현황'!$AA$52,T55)</f>
        <v>119</v>
      </c>
      <c r="V55" s="1972">
        <f>IF(V$37='1.4.3개발계획현황'!$K$52,'1.4.3개발계획현황'!$AA$52,U55)</f>
        <v>119</v>
      </c>
      <c r="W55" s="1972">
        <f>IF(W$37='1.4.3개발계획현황'!$K$52,'1.4.3개발계획현황'!$AA$52,V55)</f>
        <v>119</v>
      </c>
      <c r="X55" s="2513"/>
      <c r="Y55" s="2236"/>
      <c r="Z55" s="2507"/>
      <c r="AA55" s="1353" t="str">
        <f>B53</f>
        <v>성안산업단지</v>
      </c>
      <c r="AB55" s="1337">
        <f>ROUND(AB53+AB54,0)</f>
        <v>0</v>
      </c>
      <c r="AC55" s="1337">
        <f t="shared" ref="AC55" si="112">ROUND(AC53+AC54,0)</f>
        <v>0</v>
      </c>
      <c r="AD55" s="1337">
        <f t="shared" ref="AD55" si="113">ROUND(AD53+AD54,0)</f>
        <v>0</v>
      </c>
      <c r="AE55" s="1337">
        <f t="shared" ref="AE55" si="114">ROUND(AE53+AE54,0)</f>
        <v>0</v>
      </c>
      <c r="AF55" s="1337">
        <f t="shared" ref="AF55" si="115">ROUND(AF53+AF54,0)</f>
        <v>0</v>
      </c>
      <c r="AG55" s="1337">
        <f t="shared" ref="AG55" si="116">ROUND(AG53+AG54,0)</f>
        <v>1</v>
      </c>
      <c r="AH55" s="1337">
        <f t="shared" ref="AH55" si="117">ROUND(AH53+AH54,0)</f>
        <v>4</v>
      </c>
      <c r="AI55" s="1337">
        <f t="shared" ref="AI55" si="118">ROUND(AI53+AI54,0)</f>
        <v>6</v>
      </c>
      <c r="AJ55" s="1337">
        <f t="shared" ref="AJ55" si="119">ROUND(AJ53+AJ54,0)</f>
        <v>6</v>
      </c>
      <c r="AK55" s="1337">
        <f t="shared" ref="AK55" si="120">ROUND(AK53+AK54,0)</f>
        <v>6</v>
      </c>
      <c r="AL55" s="1337">
        <f t="shared" ref="AL55" si="121">ROUND(AL53+AL54,0)</f>
        <v>6</v>
      </c>
      <c r="AM55" s="1337">
        <f t="shared" ref="AM55" si="122">ROUND(AM53+AM54,0)</f>
        <v>6</v>
      </c>
      <c r="AN55" s="1337">
        <f t="shared" ref="AN55" si="123">ROUND(AN53+AN54,0)</f>
        <v>6</v>
      </c>
      <c r="AO55" s="1337">
        <f t="shared" ref="AO55" si="124">ROUND(AO53+AO54,0)</f>
        <v>6</v>
      </c>
      <c r="AP55" s="1337">
        <f t="shared" ref="AP55" si="125">ROUND(AP53+AP54,0)</f>
        <v>6</v>
      </c>
      <c r="AQ55" s="1337">
        <f t="shared" ref="AQ55" si="126">ROUND(AQ53+AQ54,0)</f>
        <v>6</v>
      </c>
      <c r="AR55" s="1337">
        <f t="shared" ref="AR55" si="127">ROUND(AR53+AR54,0)</f>
        <v>6</v>
      </c>
      <c r="AS55" s="1337">
        <f t="shared" ref="AS55" si="128">ROUND(AS53+AS54,0)</f>
        <v>6</v>
      </c>
      <c r="AT55" s="1337">
        <f t="shared" ref="AT55" si="129">ROUND(AT53+AT54,0)</f>
        <v>6</v>
      </c>
      <c r="AU55" s="1337">
        <f t="shared" ref="AU55" si="130">ROUND(AU53+AU54,0)</f>
        <v>6</v>
      </c>
      <c r="AV55" s="1337">
        <f t="shared" ref="AV55" si="131">ROUND(AV53+AV54,0)</f>
        <v>6</v>
      </c>
      <c r="AW55" s="1337">
        <f t="shared" ref="AW55" si="132">ROUND(AW53+AW54,0)</f>
        <v>6</v>
      </c>
      <c r="AX55" s="1568"/>
      <c r="AY55" s="1297"/>
    </row>
    <row r="56" spans="1:70" ht="20.100000000000001" customHeight="1">
      <c r="A56" s="2507"/>
      <c r="B56" s="2514" t="str">
        <f>'1.4.3개발계획현황'!A54</f>
        <v>육령일반산업단지</v>
      </c>
      <c r="C56" s="2513">
        <f>IF(C$37='1.4.3개발계획현황'!K54,'1.4.3개발계획현황'!AA54,0)</f>
        <v>0</v>
      </c>
      <c r="D56" s="1309"/>
      <c r="E56" s="1309"/>
      <c r="F56" s="1309"/>
      <c r="G56" s="1309"/>
      <c r="H56" s="1309"/>
      <c r="I56" s="2513">
        <f>IF(I$37='1.4.3개발계획현황'!$K$54,'1.4.3개발계획현황'!$AA$54,H58)</f>
        <v>53</v>
      </c>
      <c r="J56" s="1309"/>
      <c r="K56" s="1309"/>
      <c r="L56" s="1309"/>
      <c r="M56" s="1309"/>
      <c r="N56" s="2513">
        <f>IF(N$37='1.4.3개발계획현황'!$K$54,'1.4.3개발계획현황'!$AA$54,M58)</f>
        <v>53</v>
      </c>
      <c r="O56" s="1309"/>
      <c r="P56" s="1309"/>
      <c r="Q56" s="1309"/>
      <c r="R56" s="1309"/>
      <c r="S56" s="2513">
        <f>IF(S$37='1.4.3개발계획현황'!$K$54,'1.4.3개발계획현황'!$AA$54,R58)</f>
        <v>53</v>
      </c>
      <c r="T56" s="1309"/>
      <c r="U56" s="1309"/>
      <c r="V56" s="1309"/>
      <c r="W56" s="1309"/>
      <c r="X56" s="2513">
        <f>IF(X$37='1.4.3개발계획현황'!$K$54,'1.4.3개발계획현황'!$AA$54,W58)</f>
        <v>53</v>
      </c>
      <c r="Y56" s="2236"/>
      <c r="Z56" s="2507"/>
      <c r="AA56" s="1336" t="str">
        <f>CONCATENATE(AA58," 중복제외 전")</f>
        <v>육령일반산업단지 중복제외 전</v>
      </c>
      <c r="AB56" s="1560">
        <f>ROUND(C56*$AX56,0)</f>
        <v>0</v>
      </c>
      <c r="AC56" s="1560">
        <f>ROUND(D58*$AX56,0)</f>
        <v>0</v>
      </c>
      <c r="AD56" s="1560">
        <f>ROUND(E58*$AX56,0)</f>
        <v>0</v>
      </c>
      <c r="AE56" s="1560">
        <f>ROUND(F58*$AX56,0)</f>
        <v>0</v>
      </c>
      <c r="AF56" s="1560">
        <f>ROUND(G58*$AX56,0)</f>
        <v>0</v>
      </c>
      <c r="AG56" s="1560">
        <f>ROUND(H58*$AX56,0)</f>
        <v>0</v>
      </c>
      <c r="AH56" s="1560">
        <f>ROUND(I56*$AX56,0)*0.2</f>
        <v>4.8000000000000007</v>
      </c>
      <c r="AI56" s="1560">
        <f>ROUND(J58*$AX56,0)*0.6</f>
        <v>14.399999999999999</v>
      </c>
      <c r="AJ56" s="1560">
        <f>ROUND(K58*$AX56,0)</f>
        <v>24</v>
      </c>
      <c r="AK56" s="1560">
        <f>ROUND(L58*$AX56,0)</f>
        <v>24</v>
      </c>
      <c r="AL56" s="1560">
        <f>ROUND(M58*$AX56,0)</f>
        <v>24</v>
      </c>
      <c r="AM56" s="1560">
        <f>ROUND(N56*$AX56,0)</f>
        <v>24</v>
      </c>
      <c r="AN56" s="1560">
        <f>ROUND(O58*$AX56,0)</f>
        <v>24</v>
      </c>
      <c r="AO56" s="1560">
        <f>ROUND(P58*$AX56,0)</f>
        <v>24</v>
      </c>
      <c r="AP56" s="1560">
        <f>ROUND(Q58*$AX56,0)</f>
        <v>24</v>
      </c>
      <c r="AQ56" s="1560">
        <f>ROUND(R58*$AX56,0)</f>
        <v>24</v>
      </c>
      <c r="AR56" s="1560">
        <f>ROUND(S56*$AX56,0)</f>
        <v>24</v>
      </c>
      <c r="AS56" s="1560">
        <f>ROUND(T58*$AX56,0)</f>
        <v>24</v>
      </c>
      <c r="AT56" s="1560">
        <f>ROUND(U58*$AX56,0)</f>
        <v>24</v>
      </c>
      <c r="AU56" s="1560">
        <f>ROUND(V58*$AX56,0)</f>
        <v>24</v>
      </c>
      <c r="AV56" s="1560">
        <f>ROUND(W58*$AX56,0)</f>
        <v>24</v>
      </c>
      <c r="AW56" s="1560">
        <f>ROUND(X56*$AX56,0)</f>
        <v>24</v>
      </c>
      <c r="AX56" s="1566">
        <v>0.45</v>
      </c>
      <c r="AY56" s="1326"/>
    </row>
    <row r="57" spans="1:70" ht="20.45" customHeight="1">
      <c r="A57" s="2507"/>
      <c r="B57" s="2514"/>
      <c r="C57" s="2513"/>
      <c r="D57" s="1309"/>
      <c r="E57" s="1309"/>
      <c r="F57" s="1309"/>
      <c r="G57" s="1309"/>
      <c r="H57" s="1309"/>
      <c r="I57" s="2513"/>
      <c r="J57" s="1309"/>
      <c r="K57" s="1309"/>
      <c r="L57" s="1309"/>
      <c r="M57" s="1309"/>
      <c r="N57" s="2513"/>
      <c r="O57" s="1309"/>
      <c r="P57" s="1309"/>
      <c r="Q57" s="1309"/>
      <c r="R57" s="1309"/>
      <c r="S57" s="2513"/>
      <c r="T57" s="1309"/>
      <c r="U57" s="1309"/>
      <c r="V57" s="1309"/>
      <c r="W57" s="1309"/>
      <c r="X57" s="2513"/>
      <c r="Y57" s="2236"/>
      <c r="Z57" s="2507"/>
      <c r="AA57" s="1336" t="str">
        <f>CONCATENATE(AA58," 중복제외인구")</f>
        <v>육령일반산업단지 중복제외인구</v>
      </c>
      <c r="AB57" s="1560">
        <f>ROUND(C56*$AX57,0)</f>
        <v>0</v>
      </c>
      <c r="AC57" s="1560">
        <f>-ROUND(IF(D58&gt;0,VLOOKUP($AA58,'사회적 유입 중복인구 제외근거'!$E$13:$F$20,2,FALSE),0),0)</f>
        <v>0</v>
      </c>
      <c r="AD57" s="1560">
        <f>-ROUND(IF(E58&gt;0,SUMIF('사회적 유입 중복인구 제외근거'!$E$6:$E$53,$AA58,'사회적 유입 중복인구 제외근거'!$F$6:$F$53),0),0)</f>
        <v>0</v>
      </c>
      <c r="AE57" s="1560">
        <f>-ROUND(IF(F58&gt;0,SUMIF('사회적 유입 중복인구 제외근거'!$E$6:$E$53,$AA58,'사회적 유입 중복인구 제외근거'!$F$6:$F$53),0),0)</f>
        <v>0</v>
      </c>
      <c r="AF57" s="1560">
        <f>-ROUND(IF(G58&gt;0,SUMIF('사회적 유입 중복인구 제외근거'!$E$6:$E$53,$AA58,'사회적 유입 중복인구 제외근거'!$F$6:$F$53),0),0)</f>
        <v>0</v>
      </c>
      <c r="AG57" s="1560">
        <f>-ROUND(IF(H58&gt;0,SUMIF('사회적 유입 중복인구 제외근거'!$E$6:$E$53,$AA58,'사회적 유입 중복인구 제외근거'!$F$6:$F$53),0),0)</f>
        <v>0</v>
      </c>
      <c r="AH57" s="1560">
        <f>-ROUND(IF(I56&gt;0,SUMIF('사회적 유입 중복인구 제외근거'!$E$6:$E$53,$AA58,'사회적 유입 중복인구 제외근거'!$F$6:$F$53),0),0)*0.2</f>
        <v>-3.8000000000000003</v>
      </c>
      <c r="AI57" s="1560">
        <f>-ROUND(IF(J58&gt;0,SUMIF('사회적 유입 중복인구 제외근거'!$E$6:$E$53,$AA58,'사회적 유입 중복인구 제외근거'!$F$6:$F$53),0),0)*0.6</f>
        <v>-11.4</v>
      </c>
      <c r="AJ57" s="1560">
        <f>-ROUND(IF(K58&gt;0,SUMIF('사회적 유입 중복인구 제외근거'!$E$6:$E$53,$AA58,'사회적 유입 중복인구 제외근거'!$F$6:$F$53),0),0)</f>
        <v>-19</v>
      </c>
      <c r="AK57" s="1560">
        <f>-ROUND(IF(L58&gt;0,SUMIF('사회적 유입 중복인구 제외근거'!$E$6:$E$53,$AA58,'사회적 유입 중복인구 제외근거'!$F$6:$F$53),0),0)</f>
        <v>-19</v>
      </c>
      <c r="AL57" s="1560">
        <f>-ROUND(IF(M58&gt;0,SUMIF('사회적 유입 중복인구 제외근거'!$E$6:$E$53,$AA58,'사회적 유입 중복인구 제외근거'!$F$6:$F$53),0),0)</f>
        <v>-19</v>
      </c>
      <c r="AM57" s="1560">
        <f>-ROUND(IF(N56&gt;0,SUMIF('사회적 유입 중복인구 제외근거'!$E$6:$E$53,$AA58,'사회적 유입 중복인구 제외근거'!$F$6:$F$53),0),0)</f>
        <v>-19</v>
      </c>
      <c r="AN57" s="1560">
        <f>-ROUND(IF(O58&gt;0,SUMIF('사회적 유입 중복인구 제외근거'!$E$6:$E$53,$AA58,'사회적 유입 중복인구 제외근거'!$F$6:$F$53),0),0)</f>
        <v>-19</v>
      </c>
      <c r="AO57" s="1560">
        <f>-ROUND(IF(P58&gt;0,SUMIF('사회적 유입 중복인구 제외근거'!$E$6:$E$53,$AA58,'사회적 유입 중복인구 제외근거'!$F$6:$F$53),0),0)</f>
        <v>-19</v>
      </c>
      <c r="AP57" s="1560">
        <f>-ROUND(IF(Q58&gt;0,SUMIF('사회적 유입 중복인구 제외근거'!$E$6:$E$53,$AA58,'사회적 유입 중복인구 제외근거'!$F$6:$F$53),0),0)</f>
        <v>-19</v>
      </c>
      <c r="AQ57" s="1560">
        <f>-ROUND(IF(R58&gt;0,SUMIF('사회적 유입 중복인구 제외근거'!$E$6:$E$53,$AA58,'사회적 유입 중복인구 제외근거'!$F$6:$F$53),0),0)</f>
        <v>-19</v>
      </c>
      <c r="AR57" s="1560">
        <f>-ROUND(IF(S56&gt;0,SUMIF('사회적 유입 중복인구 제외근거'!$E$6:$E$53,$AA58,'사회적 유입 중복인구 제외근거'!$F$6:$F$53),0),0)</f>
        <v>-19</v>
      </c>
      <c r="AS57" s="1560">
        <f>-ROUND(IF(T58&gt;0,SUMIF('사회적 유입 중복인구 제외근거'!$E$6:$E$53,$AA58,'사회적 유입 중복인구 제외근거'!$F$6:$F$53),0),0)</f>
        <v>-19</v>
      </c>
      <c r="AT57" s="1560">
        <f>-ROUND(IF(U58&gt;0,SUMIF('사회적 유입 중복인구 제외근거'!$E$6:$E$53,$AA58,'사회적 유입 중복인구 제외근거'!$F$6:$F$53),0),0)</f>
        <v>-19</v>
      </c>
      <c r="AU57" s="1560">
        <f>-ROUND(IF(V58&gt;0,SUMIF('사회적 유입 중복인구 제외근거'!$E$6:$E$53,$AA58,'사회적 유입 중복인구 제외근거'!$F$6:$F$53),0),0)</f>
        <v>-19</v>
      </c>
      <c r="AV57" s="1560">
        <f>-ROUND(IF(W58&gt;0,SUMIF('사회적 유입 중복인구 제외근거'!$E$6:$E$53,$AA58,'사회적 유입 중복인구 제외근거'!$F$6:$F$53),0),0)</f>
        <v>-19</v>
      </c>
      <c r="AW57" s="1560">
        <f>-ROUND(IF(X56&gt;0,SUMIF('사회적 유입 중복인구 제외근거'!$E$6:$E$53,$AA58,'사회적 유입 중복인구 제외근거'!$F$6:$F$53),0),0)</f>
        <v>-19</v>
      </c>
      <c r="AX57" s="1566"/>
      <c r="AY57" s="1322"/>
    </row>
    <row r="58" spans="1:70" ht="20.45" customHeight="1">
      <c r="A58" s="2507"/>
      <c r="B58" s="2514"/>
      <c r="C58" s="2513"/>
      <c r="D58" s="1972">
        <f>IF(D$37='1.4.3개발계획현황'!$K$54,'1.4.3개발계획현황'!$AA$54,C56)</f>
        <v>0</v>
      </c>
      <c r="E58" s="1972">
        <f>IF(E$37='1.4.3개발계획현황'!$K$54,'1.4.3개발계획현황'!$AA$54,D58)</f>
        <v>0</v>
      </c>
      <c r="F58" s="1972">
        <f>IF(F$37='1.4.3개발계획현황'!$K$54,'1.4.3개발계획현황'!$AA$54,E58)</f>
        <v>0</v>
      </c>
      <c r="G58" s="1972">
        <f>IF(G$37='1.4.3개발계획현황'!$K$54,'1.4.3개발계획현황'!$AA$54,F58)</f>
        <v>0</v>
      </c>
      <c r="H58" s="1972">
        <f>IF(H$37='1.4.3개발계획현황'!$K$54,'1.4.3개발계획현황'!$AA$54,G58)</f>
        <v>0</v>
      </c>
      <c r="I58" s="2513"/>
      <c r="J58" s="1972">
        <f>IF(J$37='1.4.3개발계획현황'!$K$54,'1.4.3개발계획현황'!$AA$54,I56)</f>
        <v>53</v>
      </c>
      <c r="K58" s="1972">
        <f>IF(K$37='1.4.3개발계획현황'!$K$54,'1.4.3개발계획현황'!$AA$54,J58)</f>
        <v>53</v>
      </c>
      <c r="L58" s="1972">
        <f>IF(L$37='1.4.3개발계획현황'!$K$54,'1.4.3개발계획현황'!$AA$54,K58)</f>
        <v>53</v>
      </c>
      <c r="M58" s="1972">
        <f>IF(M$37='1.4.3개발계획현황'!$K$54,'1.4.3개발계획현황'!$AA$54,L58)</f>
        <v>53</v>
      </c>
      <c r="N58" s="2513"/>
      <c r="O58" s="1972">
        <f>IF(O$37='1.4.3개발계획현황'!$K$54,'1.4.3개발계획현황'!$AA$54,N56)</f>
        <v>53</v>
      </c>
      <c r="P58" s="1972">
        <f>IF(P$37='1.4.3개발계획현황'!$K$54,'1.4.3개발계획현황'!$AA$54,O58)</f>
        <v>53</v>
      </c>
      <c r="Q58" s="1972">
        <f>IF(Q$37='1.4.3개발계획현황'!$K$54,'1.4.3개발계획현황'!$AA$54,P58)</f>
        <v>53</v>
      </c>
      <c r="R58" s="1972">
        <f>IF(R$37='1.4.3개발계획현황'!$K$54,'1.4.3개발계획현황'!$AA$54,Q58)</f>
        <v>53</v>
      </c>
      <c r="S58" s="2513"/>
      <c r="T58" s="1972">
        <f>IF(T$37='1.4.3개발계획현황'!$K$54,'1.4.3개발계획현황'!$AA$54,S56)</f>
        <v>53</v>
      </c>
      <c r="U58" s="1972">
        <f>IF(U$37='1.4.3개발계획현황'!$K$54,'1.4.3개발계획현황'!$AA$54,T58)</f>
        <v>53</v>
      </c>
      <c r="V58" s="1972">
        <f>IF(V$37='1.4.3개발계획현황'!$K$54,'1.4.3개발계획현황'!$AA$54,U58)</f>
        <v>53</v>
      </c>
      <c r="W58" s="1972">
        <f>IF(W$37='1.4.3개발계획현황'!$K$54,'1.4.3개발계획현황'!$AA$54,V58)</f>
        <v>53</v>
      </c>
      <c r="X58" s="2513"/>
      <c r="Y58" s="2236"/>
      <c r="Z58" s="2507"/>
      <c r="AA58" s="1353" t="str">
        <f>B56</f>
        <v>육령일반산업단지</v>
      </c>
      <c r="AB58" s="1337">
        <f>ROUND(AB56+AB57,0)</f>
        <v>0</v>
      </c>
      <c r="AC58" s="1337">
        <f t="shared" ref="AC58:AW58" si="133">ROUND(AC56+AC57,0)</f>
        <v>0</v>
      </c>
      <c r="AD58" s="1337">
        <f t="shared" si="133"/>
        <v>0</v>
      </c>
      <c r="AE58" s="1337">
        <f t="shared" si="133"/>
        <v>0</v>
      </c>
      <c r="AF58" s="1337">
        <f t="shared" si="133"/>
        <v>0</v>
      </c>
      <c r="AG58" s="1337">
        <f t="shared" si="133"/>
        <v>0</v>
      </c>
      <c r="AH58" s="1337">
        <f t="shared" si="133"/>
        <v>1</v>
      </c>
      <c r="AI58" s="1337">
        <f t="shared" si="133"/>
        <v>3</v>
      </c>
      <c r="AJ58" s="1337">
        <f t="shared" si="133"/>
        <v>5</v>
      </c>
      <c r="AK58" s="1337">
        <f t="shared" si="133"/>
        <v>5</v>
      </c>
      <c r="AL58" s="1337">
        <f t="shared" si="133"/>
        <v>5</v>
      </c>
      <c r="AM58" s="1337">
        <f t="shared" si="133"/>
        <v>5</v>
      </c>
      <c r="AN58" s="1337">
        <f t="shared" si="133"/>
        <v>5</v>
      </c>
      <c r="AO58" s="1337">
        <f t="shared" si="133"/>
        <v>5</v>
      </c>
      <c r="AP58" s="1337">
        <f t="shared" si="133"/>
        <v>5</v>
      </c>
      <c r="AQ58" s="1337">
        <f t="shared" si="133"/>
        <v>5</v>
      </c>
      <c r="AR58" s="1337">
        <f t="shared" si="133"/>
        <v>5</v>
      </c>
      <c r="AS58" s="1337">
        <f t="shared" si="133"/>
        <v>5</v>
      </c>
      <c r="AT58" s="1337">
        <f t="shared" si="133"/>
        <v>5</v>
      </c>
      <c r="AU58" s="1337">
        <f t="shared" si="133"/>
        <v>5</v>
      </c>
      <c r="AV58" s="1337">
        <f t="shared" si="133"/>
        <v>5</v>
      </c>
      <c r="AW58" s="1337">
        <f t="shared" si="133"/>
        <v>5</v>
      </c>
      <c r="AX58" s="1568"/>
      <c r="AY58" s="1297"/>
    </row>
    <row r="59" spans="1:70" ht="20.45" customHeight="1">
      <c r="A59" s="2507"/>
      <c r="B59" s="2514" t="str">
        <f>'1.4.3개발계획현황'!A57</f>
        <v>봉공산업단지</v>
      </c>
      <c r="C59" s="2513">
        <f>IF(C$37='1.4.3개발계획현황'!K57,'1.4.3개발계획현황'!AA57,0)</f>
        <v>0</v>
      </c>
      <c r="D59" s="1309"/>
      <c r="E59" s="1309"/>
      <c r="F59" s="1309"/>
      <c r="G59" s="1309"/>
      <c r="H59" s="1309"/>
      <c r="I59" s="2513">
        <f>IF(I$37='1.4.3개발계획현황'!$K$57,'1.4.3개발계획현황'!$AA$57,H61)</f>
        <v>0</v>
      </c>
      <c r="J59" s="1309"/>
      <c r="K59" s="1309"/>
      <c r="L59" s="1309"/>
      <c r="M59" s="1309"/>
      <c r="N59" s="2513">
        <f>IF(N$37='1.4.3개발계획현황'!$K$57,'1.4.3개발계획현황'!$AA$57,M61)</f>
        <v>0</v>
      </c>
      <c r="O59" s="1309"/>
      <c r="P59" s="1309"/>
      <c r="Q59" s="1309"/>
      <c r="R59" s="1309"/>
      <c r="S59" s="2513">
        <f>IF(S$37='1.4.3개발계획현황'!$K$57,'1.4.3개발계획현황'!$AA$57,R61)</f>
        <v>0</v>
      </c>
      <c r="T59" s="1309"/>
      <c r="U59" s="1309"/>
      <c r="V59" s="1309"/>
      <c r="W59" s="1309"/>
      <c r="X59" s="2513">
        <f>IF(X$37='1.4.3개발계획현황'!$K$57,'1.4.3개발계획현황'!$AA$57,W61)</f>
        <v>2646</v>
      </c>
      <c r="Y59" s="2236"/>
      <c r="Z59" s="2507"/>
      <c r="AA59" s="1336" t="str">
        <f>CONCATENATE(AA61," 중복제외 전")</f>
        <v>봉공산업단지 중복제외 전</v>
      </c>
      <c r="AB59" s="1560">
        <f>ROUND(C59*$AX59,0)</f>
        <v>0</v>
      </c>
      <c r="AC59" s="1560">
        <f>ROUND(D61*$AX59,0)</f>
        <v>0</v>
      </c>
      <c r="AD59" s="1560">
        <f>ROUND(E61*$AX59,0)</f>
        <v>0</v>
      </c>
      <c r="AE59" s="1560">
        <f>ROUND(F61*$AX59,0)</f>
        <v>0</v>
      </c>
      <c r="AF59" s="1560">
        <f>ROUND(G61*$AX59,0)</f>
        <v>0</v>
      </c>
      <c r="AG59" s="1560">
        <f>ROUND(H61*$AX59,0)</f>
        <v>0</v>
      </c>
      <c r="AH59" s="1560">
        <f>ROUND(I59*$AX59,0)</f>
        <v>0</v>
      </c>
      <c r="AI59" s="1560">
        <f>ROUND(J61*$AX59,0)</f>
        <v>0</v>
      </c>
      <c r="AJ59" s="1560">
        <f>ROUND(K61*$AX59,0)</f>
        <v>0</v>
      </c>
      <c r="AK59" s="1560">
        <f>ROUND(L61*$AX59,0)</f>
        <v>0</v>
      </c>
      <c r="AL59" s="1560">
        <f>ROUND(M61*$AX59,0)</f>
        <v>0</v>
      </c>
      <c r="AM59" s="1560">
        <f>ROUND(N59*$AX59,0)</f>
        <v>0</v>
      </c>
      <c r="AN59" s="1560">
        <f>ROUND(O61*$AX59,0)</f>
        <v>0</v>
      </c>
      <c r="AO59" s="1560">
        <f>ROUND(P61*$AX59,0)</f>
        <v>0</v>
      </c>
      <c r="AP59" s="1560">
        <f>ROUND(Q61*$AX59,0)</f>
        <v>0</v>
      </c>
      <c r="AQ59" s="1560">
        <f>ROUND(R61*$AX59,0)</f>
        <v>0</v>
      </c>
      <c r="AR59" s="1560">
        <f>ROUND(S59*$AX59,0)</f>
        <v>0</v>
      </c>
      <c r="AS59" s="1560">
        <f>ROUND(T61*$AX59,0)</f>
        <v>0</v>
      </c>
      <c r="AT59" s="1560">
        <f>ROUND(U61*$AX59,0)</f>
        <v>0</v>
      </c>
      <c r="AU59" s="1560">
        <f>ROUND(V61*$AX59,0)</f>
        <v>0</v>
      </c>
      <c r="AV59" s="1560">
        <f>ROUND(W61*$AX59,0)</f>
        <v>0</v>
      </c>
      <c r="AW59" s="1560">
        <f>ROUND(X59*$AX59,0)</f>
        <v>1191</v>
      </c>
      <c r="AX59" s="1566">
        <v>0.45</v>
      </c>
      <c r="AY59" s="1297"/>
    </row>
    <row r="60" spans="1:70" ht="20.45" customHeight="1">
      <c r="A60" s="2507"/>
      <c r="B60" s="2514"/>
      <c r="C60" s="2513"/>
      <c r="D60" s="1309"/>
      <c r="E60" s="1309"/>
      <c r="F60" s="1309" t="s">
        <v>1446</v>
      </c>
      <c r="G60" s="1309"/>
      <c r="H60" s="1309"/>
      <c r="I60" s="2513"/>
      <c r="J60" s="1309"/>
      <c r="K60" s="1309"/>
      <c r="L60" s="1309"/>
      <c r="M60" s="1309"/>
      <c r="N60" s="2513"/>
      <c r="O60" s="1309"/>
      <c r="P60" s="1309"/>
      <c r="Q60" s="1309"/>
      <c r="R60" s="1309"/>
      <c r="S60" s="2513"/>
      <c r="T60" s="1309"/>
      <c r="U60" s="1309"/>
      <c r="V60" s="1309"/>
      <c r="W60" s="1309"/>
      <c r="X60" s="2513"/>
      <c r="Y60" s="2236"/>
      <c r="Z60" s="2507"/>
      <c r="AA60" s="1336" t="str">
        <f>CONCATENATE(AA61," 중복제외인구")</f>
        <v>봉공산업단지 중복제외인구</v>
      </c>
      <c r="AB60" s="1560">
        <f>ROUND(C59*$AX60,0)</f>
        <v>0</v>
      </c>
      <c r="AC60" s="1560">
        <f>-ROUND(IF(D61&gt;0,VLOOKUP($AA61,'사회적 유입 중복인구 제외근거'!$E$13:$F$20,2,FALSE),0),0)</f>
        <v>0</v>
      </c>
      <c r="AD60" s="1560">
        <f>-ROUND(IF(E61&gt;0,SUMIF('사회적 유입 중복인구 제외근거'!$E$6:$E$53,$AA61,'사회적 유입 중복인구 제외근거'!$F$6:$F$53),0),0)</f>
        <v>0</v>
      </c>
      <c r="AE60" s="1560">
        <f>-ROUND(IF(F61&gt;0,SUMIF('사회적 유입 중복인구 제외근거'!$E$6:$E$53,$AA61,'사회적 유입 중복인구 제외근거'!$F$6:$F$53),0),0)</f>
        <v>0</v>
      </c>
      <c r="AF60" s="1560">
        <f>-ROUND(IF(G61&gt;0,SUMIF('사회적 유입 중복인구 제외근거'!$E$6:$E$53,$AA61,'사회적 유입 중복인구 제외근거'!$F$6:$F$53),0),0)</f>
        <v>0</v>
      </c>
      <c r="AG60" s="1560">
        <f>-ROUND(IF(H61&gt;0,SUMIF('사회적 유입 중복인구 제외근거'!$E$6:$E$53,$AA61,'사회적 유입 중복인구 제외근거'!$F$6:$F$53),0),0)</f>
        <v>0</v>
      </c>
      <c r="AH60" s="1560">
        <f>-ROUND(IF(I59&gt;0,SUMIF('사회적 유입 중복인구 제외근거'!$E$6:$E$53,$AA61,'사회적 유입 중복인구 제외근거'!$F$6:$F$53),0),0)</f>
        <v>0</v>
      </c>
      <c r="AI60" s="1560">
        <f>-ROUND(IF(J61&gt;0,SUMIF('사회적 유입 중복인구 제외근거'!$E$6:$E$53,$AA61,'사회적 유입 중복인구 제외근거'!$F$6:$F$53),0),0)</f>
        <v>0</v>
      </c>
      <c r="AJ60" s="1560">
        <f>-ROUND(IF(K61&gt;0,SUMIF('사회적 유입 중복인구 제외근거'!$E$6:$E$53,$AA61,'사회적 유입 중복인구 제외근거'!$F$6:$F$53),0),0)</f>
        <v>0</v>
      </c>
      <c r="AK60" s="1560">
        <f>-ROUND(IF(L61&gt;0,SUMIF('사회적 유입 중복인구 제외근거'!$E$6:$E$53,$AA61,'사회적 유입 중복인구 제외근거'!$F$6:$F$53),0),0)</f>
        <v>0</v>
      </c>
      <c r="AL60" s="1560">
        <f>-ROUND(IF(M61&gt;0,SUMIF('사회적 유입 중복인구 제외근거'!$E$6:$E$53,$AA61,'사회적 유입 중복인구 제외근거'!$F$6:$F$53),0),0)</f>
        <v>0</v>
      </c>
      <c r="AM60" s="1560">
        <f>-ROUND(IF(N59&gt;0,SUMIF('사회적 유입 중복인구 제외근거'!$E$6:$E$53,$AA61,'사회적 유입 중복인구 제외근거'!$F$6:$F$53),0),0)</f>
        <v>0</v>
      </c>
      <c r="AN60" s="1560">
        <f>-ROUND(IF(O61&gt;0,SUMIF('사회적 유입 중복인구 제외근거'!$E$6:$E$53,$AA61,'사회적 유입 중복인구 제외근거'!$F$6:$F$53),0),0)</f>
        <v>0</v>
      </c>
      <c r="AO60" s="1560">
        <f>-ROUND(IF(P61&gt;0,SUMIF('사회적 유입 중복인구 제외근거'!$E$6:$E$53,$AA61,'사회적 유입 중복인구 제외근거'!$F$6:$F$53),0),0)</f>
        <v>0</v>
      </c>
      <c r="AP60" s="1560">
        <f>-ROUND(IF(Q61&gt;0,SUMIF('사회적 유입 중복인구 제외근거'!$E$6:$E$53,$AA61,'사회적 유입 중복인구 제외근거'!$F$6:$F$53),0),0)</f>
        <v>0</v>
      </c>
      <c r="AQ60" s="1560">
        <f>-ROUND(IF(R61&gt;0,SUMIF('사회적 유입 중복인구 제외근거'!$E$6:$E$53,$AA61,'사회적 유입 중복인구 제외근거'!$F$6:$F$53),0),0)</f>
        <v>0</v>
      </c>
      <c r="AR60" s="1560">
        <f>-ROUND(IF(S59&gt;0,SUMIF('사회적 유입 중복인구 제외근거'!$E$6:$E$53,$AA61,'사회적 유입 중복인구 제외근거'!$F$6:$F$53),0),0)*0.2</f>
        <v>0</v>
      </c>
      <c r="AS60" s="1560">
        <f>-ROUND(IF(T61&gt;0,SUMIF('사회적 유입 중복인구 제외근거'!$E$6:$E$53,$AA61,'사회적 유입 중복인구 제외근거'!$F$6:$F$53),0),0)*0.6</f>
        <v>0</v>
      </c>
      <c r="AT60" s="1560">
        <f>-ROUND(IF(U61&gt;0,SUMIF('사회적 유입 중복인구 제외근거'!$E$6:$E$53,$AA61,'사회적 유입 중복인구 제외근거'!$F$6:$F$53),0),0)</f>
        <v>0</v>
      </c>
      <c r="AU60" s="1560">
        <f>-ROUND(IF(V61&gt;0,SUMIF('사회적 유입 중복인구 제외근거'!$E$6:$E$53,$AA61,'사회적 유입 중복인구 제외근거'!$F$6:$F$53),0),0)</f>
        <v>0</v>
      </c>
      <c r="AV60" s="1560">
        <f>-ROUND(IF(W61&gt;0,SUMIF('사회적 유입 중복인구 제외근거'!$E$6:$E$53,$AA61,'사회적 유입 중복인구 제외근거'!$F$6:$F$53),0),0)</f>
        <v>0</v>
      </c>
      <c r="AW60" s="1560">
        <f>-ROUND(IF(X59&gt;0,SUMIF('사회적 유입 중복인구 제외근거'!$E$6:$E$53,$AA61,'사회적 유입 중복인구 제외근거'!$F$6:$F$53),0),0)</f>
        <v>-555</v>
      </c>
      <c r="AX60" s="1566"/>
      <c r="AY60" s="1297"/>
    </row>
    <row r="61" spans="1:70" ht="20.45" customHeight="1">
      <c r="A61" s="2507"/>
      <c r="B61" s="2514"/>
      <c r="C61" s="2513"/>
      <c r="D61" s="1972">
        <f>IF(D$37='1.4.3개발계획현황'!$K$57,'1.4.3개발계획현황'!$AA$57,C59)</f>
        <v>0</v>
      </c>
      <c r="E61" s="1972">
        <f>IF(E$37='1.4.3개발계획현황'!$K$57,'1.4.3개발계획현황'!$AA$57,D61)</f>
        <v>0</v>
      </c>
      <c r="F61" s="1972">
        <f>IF(F$37='1.4.3개발계획현황'!$K$57,'1.4.3개발계획현황'!$AA$57,E61)</f>
        <v>0</v>
      </c>
      <c r="G61" s="1972">
        <f>IF(G$37='1.4.3개발계획현황'!$K$57,'1.4.3개발계획현황'!$AA$57,F61)</f>
        <v>0</v>
      </c>
      <c r="H61" s="1972">
        <f>IF(H$37='1.4.3개발계획현황'!$K$57,'1.4.3개발계획현황'!$AA$57,G61)</f>
        <v>0</v>
      </c>
      <c r="I61" s="2513"/>
      <c r="J61" s="1972">
        <f>IF(J$37='1.4.3개발계획현황'!$K$57,'1.4.3개발계획현황'!$AA$57,I59)</f>
        <v>0</v>
      </c>
      <c r="K61" s="1972">
        <f>IF(K$37='1.4.3개발계획현황'!$K$57,'1.4.3개발계획현황'!$AA$57,J61)</f>
        <v>0</v>
      </c>
      <c r="L61" s="1972">
        <f>IF(L$37='1.4.3개발계획현황'!$K$57,'1.4.3개발계획현황'!$AA$57,K61)</f>
        <v>0</v>
      </c>
      <c r="M61" s="1972">
        <f>IF(M$37='1.4.3개발계획현황'!$K$57,'1.4.3개발계획현황'!$AA$57,L61)</f>
        <v>0</v>
      </c>
      <c r="N61" s="2513"/>
      <c r="O61" s="1972">
        <f>IF(O$37='1.4.3개발계획현황'!$K$57,'1.4.3개발계획현황'!$AA$57,N59)</f>
        <v>0</v>
      </c>
      <c r="P61" s="1972">
        <f>IF(P$37='1.4.3개발계획현황'!$K$57,'1.4.3개발계획현황'!$AA$57,O61)</f>
        <v>0</v>
      </c>
      <c r="Q61" s="1972">
        <f>IF(Q$37='1.4.3개발계획현황'!$K$57,'1.4.3개발계획현황'!$AA$57,P61)</f>
        <v>0</v>
      </c>
      <c r="R61" s="1972">
        <f>IF(R$37='1.4.3개발계획현황'!$K$57,'1.4.3개발계획현황'!$AA$57,Q61)</f>
        <v>0</v>
      </c>
      <c r="S61" s="2513"/>
      <c r="T61" s="1972">
        <f>IF(T$37='1.4.3개발계획현황'!$K$57,'1.4.3개발계획현황'!$AA$57,S59)</f>
        <v>0</v>
      </c>
      <c r="U61" s="1972">
        <f>IF(U$37='1.4.3개발계획현황'!$K$57,'1.4.3개발계획현황'!$AA$57,T61)</f>
        <v>0</v>
      </c>
      <c r="V61" s="1972">
        <f>IF(V$37='1.4.3개발계획현황'!$K$57,'1.4.3개발계획현황'!$AA$57,U61)</f>
        <v>0</v>
      </c>
      <c r="W61" s="1972">
        <f>IF(W$37='1.4.3개발계획현황'!$K$57,'1.4.3개발계획현황'!$AA$57,V61)</f>
        <v>0</v>
      </c>
      <c r="X61" s="2513"/>
      <c r="Y61" s="2236"/>
      <c r="Z61" s="2507"/>
      <c r="AA61" s="1353" t="str">
        <f>B59</f>
        <v>봉공산업단지</v>
      </c>
      <c r="AB61" s="1337">
        <f>ROUND(AB59+AB60,0)</f>
        <v>0</v>
      </c>
      <c r="AC61" s="1337">
        <f t="shared" ref="AC61:AW61" si="134">ROUND(AC59+AC60,0)</f>
        <v>0</v>
      </c>
      <c r="AD61" s="1337">
        <f t="shared" si="134"/>
        <v>0</v>
      </c>
      <c r="AE61" s="1337">
        <f t="shared" si="134"/>
        <v>0</v>
      </c>
      <c r="AF61" s="1337">
        <f t="shared" si="134"/>
        <v>0</v>
      </c>
      <c r="AG61" s="1337">
        <f t="shared" si="134"/>
        <v>0</v>
      </c>
      <c r="AH61" s="1337">
        <f t="shared" si="134"/>
        <v>0</v>
      </c>
      <c r="AI61" s="1337">
        <f t="shared" si="134"/>
        <v>0</v>
      </c>
      <c r="AJ61" s="1337">
        <f t="shared" si="134"/>
        <v>0</v>
      </c>
      <c r="AK61" s="1337">
        <f t="shared" si="134"/>
        <v>0</v>
      </c>
      <c r="AL61" s="1337">
        <f t="shared" si="134"/>
        <v>0</v>
      </c>
      <c r="AM61" s="1337">
        <f t="shared" si="134"/>
        <v>0</v>
      </c>
      <c r="AN61" s="1337">
        <f t="shared" si="134"/>
        <v>0</v>
      </c>
      <c r="AO61" s="1337">
        <f t="shared" si="134"/>
        <v>0</v>
      </c>
      <c r="AP61" s="1337">
        <f t="shared" si="134"/>
        <v>0</v>
      </c>
      <c r="AQ61" s="1337">
        <f t="shared" si="134"/>
        <v>0</v>
      </c>
      <c r="AR61" s="1337">
        <f t="shared" si="134"/>
        <v>0</v>
      </c>
      <c r="AS61" s="1337">
        <f t="shared" si="134"/>
        <v>0</v>
      </c>
      <c r="AT61" s="1337">
        <f t="shared" si="134"/>
        <v>0</v>
      </c>
      <c r="AU61" s="1337">
        <f t="shared" si="134"/>
        <v>0</v>
      </c>
      <c r="AV61" s="1337">
        <f t="shared" si="134"/>
        <v>0</v>
      </c>
      <c r="AW61" s="1337">
        <f t="shared" si="134"/>
        <v>636</v>
      </c>
      <c r="AX61" s="1568"/>
      <c r="AY61" s="1297"/>
    </row>
    <row r="62" spans="1:70" ht="20.45" customHeight="1">
      <c r="A62" s="2507"/>
      <c r="B62" s="2514" t="str">
        <f>'1.4.3개발계획현황'!A58</f>
        <v>신평산업단지</v>
      </c>
      <c r="C62" s="2513">
        <f>IF(C$37='1.4.3개발계획현황'!K60,'1.4.3개발계획현황'!AA60,0)</f>
        <v>0</v>
      </c>
      <c r="D62" s="1309"/>
      <c r="E62" s="1309"/>
      <c r="F62" s="1309"/>
      <c r="G62" s="1309"/>
      <c r="H62" s="1309"/>
      <c r="I62" s="2513">
        <f>IF(I$37='1.4.3개발계획현황'!$K$58,'1.4.3개발계획현황'!$AA$58,H64)</f>
        <v>0</v>
      </c>
      <c r="J62" s="1309"/>
      <c r="K62" s="1309"/>
      <c r="L62" s="1309"/>
      <c r="M62" s="1309"/>
      <c r="N62" s="2513">
        <f>IF(N$37='1.4.3개발계획현황'!$K$58,'1.4.3개발계획현황'!$AA$58,M64)</f>
        <v>0</v>
      </c>
      <c r="O62" s="1309"/>
      <c r="P62" s="1309"/>
      <c r="Q62" s="1309"/>
      <c r="R62" s="1309"/>
      <c r="S62" s="2513">
        <f>IF(S$37='1.4.3개발계획현황'!$K$58,'1.4.3개발계획현황'!$AA$58,R64)</f>
        <v>0</v>
      </c>
      <c r="T62" s="1309"/>
      <c r="U62" s="1309"/>
      <c r="V62" s="1309"/>
      <c r="W62" s="1309"/>
      <c r="X62" s="2513">
        <f>IF(X$37='1.4.3개발계획현황'!$K$58,'1.4.3개발계획현황'!$AA$58,W64)</f>
        <v>4763</v>
      </c>
      <c r="Y62" s="2236"/>
      <c r="Z62" s="2507"/>
      <c r="AA62" s="1336" t="str">
        <f>CONCATENATE(AA64," 중복제외 전")</f>
        <v>신평산업단지 중복제외 전</v>
      </c>
      <c r="AB62" s="1560">
        <f>ROUND(C62*$AX62,0)</f>
        <v>0</v>
      </c>
      <c r="AC62" s="1560">
        <f>ROUND(D64*$AX62,0)</f>
        <v>0</v>
      </c>
      <c r="AD62" s="1560">
        <f>ROUND(E64*$AX62,0)</f>
        <v>0</v>
      </c>
      <c r="AE62" s="1560">
        <f>ROUND(F64*$AX62,0)</f>
        <v>0</v>
      </c>
      <c r="AF62" s="1560">
        <f>ROUND(G64*$AX62,0)</f>
        <v>0</v>
      </c>
      <c r="AG62" s="1560">
        <f>ROUND(H64*$AX62,0)</f>
        <v>0</v>
      </c>
      <c r="AH62" s="1560">
        <f>ROUND(I62*$AX62,0)</f>
        <v>0</v>
      </c>
      <c r="AI62" s="1560">
        <f>ROUND(J64*$AX62,0)</f>
        <v>0</v>
      </c>
      <c r="AJ62" s="1560">
        <f>ROUND(K64*$AX62,0)</f>
        <v>0</v>
      </c>
      <c r="AK62" s="1560">
        <f>ROUND(L64*$AX62,0)</f>
        <v>0</v>
      </c>
      <c r="AL62" s="1560">
        <f>ROUND(M64*$AX62,0)</f>
        <v>0</v>
      </c>
      <c r="AM62" s="1560">
        <f>ROUND(N62*$AX62,0)</f>
        <v>0</v>
      </c>
      <c r="AN62" s="1560">
        <f>ROUND(O64*$AX62,0)</f>
        <v>0</v>
      </c>
      <c r="AO62" s="1560">
        <f>ROUND(P64*$AX62,0)</f>
        <v>0</v>
      </c>
      <c r="AP62" s="1560">
        <f>ROUND(Q64*$AX62,0)</f>
        <v>0</v>
      </c>
      <c r="AQ62" s="1560">
        <f>ROUND(R64*$AX62,0)</f>
        <v>0</v>
      </c>
      <c r="AR62" s="1560">
        <f>ROUND(S62*$AX62,0)*0.2</f>
        <v>0</v>
      </c>
      <c r="AS62" s="1560">
        <f>ROUND(T64*$AX62,0)*0.6</f>
        <v>0</v>
      </c>
      <c r="AT62" s="1560">
        <f>ROUND(U64*$AX62,0)</f>
        <v>0</v>
      </c>
      <c r="AU62" s="1560">
        <f>ROUND(V64*$AX62,0)</f>
        <v>0</v>
      </c>
      <c r="AV62" s="1560">
        <f>ROUND(W64*$AX62,0)</f>
        <v>0</v>
      </c>
      <c r="AW62" s="1560">
        <f>ROUND(X62*$AX62,0)</f>
        <v>2143</v>
      </c>
      <c r="AX62" s="1566">
        <v>0.45</v>
      </c>
      <c r="AY62" s="1297"/>
    </row>
    <row r="63" spans="1:70" ht="20.45" customHeight="1">
      <c r="A63" s="2507"/>
      <c r="B63" s="2514"/>
      <c r="C63" s="2513"/>
      <c r="D63" s="1309"/>
      <c r="E63" s="1309"/>
      <c r="F63" s="1309"/>
      <c r="G63" s="1309"/>
      <c r="H63" s="1309"/>
      <c r="I63" s="2513"/>
      <c r="J63" s="1309"/>
      <c r="K63" s="1309"/>
      <c r="L63" s="1309"/>
      <c r="M63" s="1309"/>
      <c r="N63" s="2513"/>
      <c r="O63" s="1309"/>
      <c r="P63" s="1309"/>
      <c r="Q63" s="1309"/>
      <c r="R63" s="1309"/>
      <c r="S63" s="2513"/>
      <c r="T63" s="1309"/>
      <c r="U63" s="1309"/>
      <c r="V63" s="1309"/>
      <c r="W63" s="1309"/>
      <c r="X63" s="2513"/>
      <c r="Y63" s="2236"/>
      <c r="Z63" s="2507"/>
      <c r="AA63" s="1336" t="str">
        <f>CONCATENATE(AA64," 중복제외인구")</f>
        <v>신평산업단지 중복제외인구</v>
      </c>
      <c r="AB63" s="1560">
        <f>ROUND(C62*$AX63,0)</f>
        <v>0</v>
      </c>
      <c r="AC63" s="1560">
        <f>-ROUND(IF(D64&gt;0,VLOOKUP($AA64,'사회적 유입 중복인구 제외근거'!$E$13:$F$20,2,FALSE),0),0)</f>
        <v>0</v>
      </c>
      <c r="AD63" s="1560">
        <f>-ROUND(IF(E64&gt;0,SUMIF('사회적 유입 중복인구 제외근거'!$E$6:$E$53,$AA64,'사회적 유입 중복인구 제외근거'!$F$6:$F$53),0),0)</f>
        <v>0</v>
      </c>
      <c r="AE63" s="1560">
        <f>-ROUND(IF(F64&gt;0,SUMIF('사회적 유입 중복인구 제외근거'!$E$6:$E$53,$AA64,'사회적 유입 중복인구 제외근거'!$F$6:$F$53),0),0)</f>
        <v>0</v>
      </c>
      <c r="AF63" s="1560">
        <f>-ROUND(IF(G64&gt;0,SUMIF('사회적 유입 중복인구 제외근거'!$E$6:$E$53,$AA64,'사회적 유입 중복인구 제외근거'!$F$6:$F$53),0),0)</f>
        <v>0</v>
      </c>
      <c r="AG63" s="1560">
        <f>-ROUND(IF(H64&gt;0,SUMIF('사회적 유입 중복인구 제외근거'!$E$6:$E$53,$AA64,'사회적 유입 중복인구 제외근거'!$F$6:$F$53),0),0)</f>
        <v>0</v>
      </c>
      <c r="AH63" s="1560">
        <f>-ROUND(IF(I62&gt;0,SUMIF('사회적 유입 중복인구 제외근거'!$E$6:$E$53,$AA64,'사회적 유입 중복인구 제외근거'!$F$6:$F$53),0),0)</f>
        <v>0</v>
      </c>
      <c r="AI63" s="1560">
        <f>-ROUND(IF(J64&gt;0,SUMIF('사회적 유입 중복인구 제외근거'!$E$6:$E$53,$AA64,'사회적 유입 중복인구 제외근거'!$F$6:$F$53),0),0)</f>
        <v>0</v>
      </c>
      <c r="AJ63" s="1560">
        <f>-ROUND(IF(K64&gt;0,SUMIF('사회적 유입 중복인구 제외근거'!$E$6:$E$53,$AA64,'사회적 유입 중복인구 제외근거'!$F$6:$F$53),0),0)</f>
        <v>0</v>
      </c>
      <c r="AK63" s="1560">
        <f>-ROUND(IF(L64&gt;0,SUMIF('사회적 유입 중복인구 제외근거'!$E$6:$E$53,$AA64,'사회적 유입 중복인구 제외근거'!$F$6:$F$53),0),0)</f>
        <v>0</v>
      </c>
      <c r="AL63" s="1560">
        <f>-ROUND(IF(M64&gt;0,SUMIF('사회적 유입 중복인구 제외근거'!$E$6:$E$53,$AA64,'사회적 유입 중복인구 제외근거'!$F$6:$F$53),0),0)</f>
        <v>0</v>
      </c>
      <c r="AM63" s="1560">
        <f>-ROUND(IF(N62&gt;0,SUMIF('사회적 유입 중복인구 제외근거'!$E$6:$E$53,$AA64,'사회적 유입 중복인구 제외근거'!$F$6:$F$53),0),0)</f>
        <v>0</v>
      </c>
      <c r="AN63" s="1560">
        <f>-ROUND(IF(O64&gt;0,SUMIF('사회적 유입 중복인구 제외근거'!$E$6:$E$53,$AA64,'사회적 유입 중복인구 제외근거'!$F$6:$F$53),0),0)</f>
        <v>0</v>
      </c>
      <c r="AO63" s="1560">
        <f>-ROUND(IF(P64&gt;0,SUMIF('사회적 유입 중복인구 제외근거'!$E$6:$E$53,$AA64,'사회적 유입 중복인구 제외근거'!$F$6:$F$53),0),0)</f>
        <v>0</v>
      </c>
      <c r="AP63" s="1560">
        <f>-ROUND(IF(Q64&gt;0,SUMIF('사회적 유입 중복인구 제외근거'!$E$6:$E$53,$AA64,'사회적 유입 중복인구 제외근거'!$F$6:$F$53),0),0)</f>
        <v>0</v>
      </c>
      <c r="AQ63" s="1560">
        <f>-ROUND(IF(R64&gt;0,SUMIF('사회적 유입 중복인구 제외근거'!$E$6:$E$53,$AA64,'사회적 유입 중복인구 제외근거'!$F$6:$F$53),0),0)</f>
        <v>0</v>
      </c>
      <c r="AR63" s="1560">
        <f>-ROUND(IF(S62&gt;0,SUMIF('사회적 유입 중복인구 제외근거'!$E$6:$E$53,$AA64,'사회적 유입 중복인구 제외근거'!$F$6:$F$53),0),0)*0.2</f>
        <v>0</v>
      </c>
      <c r="AS63" s="1560">
        <f>-ROUND(IF(T64&gt;0,SUMIF('사회적 유입 중복인구 제외근거'!$E$6:$E$53,$AA64,'사회적 유입 중복인구 제외근거'!$F$6:$F$53),0),0)*0.6</f>
        <v>0</v>
      </c>
      <c r="AT63" s="1560">
        <f>-ROUND(IF(U64&gt;0,SUMIF('사회적 유입 중복인구 제외근거'!$E$6:$E$53,$AA64,'사회적 유입 중복인구 제외근거'!$F$6:$F$53),0),0)</f>
        <v>0</v>
      </c>
      <c r="AU63" s="1560">
        <f>-ROUND(IF(V64&gt;0,SUMIF('사회적 유입 중복인구 제외근거'!$E$6:$E$53,$AA64,'사회적 유입 중복인구 제외근거'!$F$6:$F$53),0),0)</f>
        <v>0</v>
      </c>
      <c r="AV63" s="1560">
        <f>-ROUND(IF(W64&gt;0,SUMIF('사회적 유입 중복인구 제외근거'!$E$6:$E$53,$AA64,'사회적 유입 중복인구 제외근거'!$F$6:$F$53),0),0)</f>
        <v>0</v>
      </c>
      <c r="AW63" s="1560">
        <f>-ROUND(IF(X62&gt;0,SUMIF('사회적 유입 중복인구 제외근거'!$E$6:$E$53,$AA64,'사회적 유입 중복인구 제외근거'!$F$6:$F$53),0),0)</f>
        <v>-999</v>
      </c>
      <c r="AX63" s="1566"/>
      <c r="AY63" s="1297"/>
    </row>
    <row r="64" spans="1:70" ht="20.45" customHeight="1">
      <c r="A64" s="2507"/>
      <c r="B64" s="2514"/>
      <c r="C64" s="2513"/>
      <c r="D64" s="1972">
        <f>IF(D$37='1.4.3개발계획현황'!$K$58,'1.4.3개발계획현황'!$AA$58,C62)</f>
        <v>0</v>
      </c>
      <c r="E64" s="1972">
        <f>IF(E$37='1.4.3개발계획현황'!$K$58,'1.4.3개발계획현황'!$AA$58,D64)</f>
        <v>0</v>
      </c>
      <c r="F64" s="1972">
        <f>IF(F$37='1.4.3개발계획현황'!$K$58,'1.4.3개발계획현황'!$AA$58,E64)</f>
        <v>0</v>
      </c>
      <c r="G64" s="1972">
        <f>IF(G$37='1.4.3개발계획현황'!$K$58,'1.4.3개발계획현황'!$AA$58,F64)</f>
        <v>0</v>
      </c>
      <c r="H64" s="1972">
        <f>IF(H$37='1.4.3개발계획현황'!$K$58,'1.4.3개발계획현황'!$AA$58,G64)</f>
        <v>0</v>
      </c>
      <c r="I64" s="2513"/>
      <c r="J64" s="1972">
        <f>IF(J$37='1.4.3개발계획현황'!$K$58,'1.4.3개발계획현황'!$AA$58,I62)</f>
        <v>0</v>
      </c>
      <c r="K64" s="1972">
        <f>IF(K$37='1.4.3개발계획현황'!$K$58,'1.4.3개발계획현황'!$AA$58,J64)</f>
        <v>0</v>
      </c>
      <c r="L64" s="1972">
        <f>IF(L$37='1.4.3개발계획현황'!$K$58,'1.4.3개발계획현황'!$AA$58,K64)</f>
        <v>0</v>
      </c>
      <c r="M64" s="1972">
        <f>IF(M$37='1.4.3개발계획현황'!$K$58,'1.4.3개발계획현황'!$AA$58,L64)</f>
        <v>0</v>
      </c>
      <c r="N64" s="2513"/>
      <c r="O64" s="1972">
        <f>IF(O$37='1.4.3개발계획현황'!$K$58,'1.4.3개발계획현황'!$AA$58,N62)</f>
        <v>0</v>
      </c>
      <c r="P64" s="1972">
        <f>IF(P$37='1.4.3개발계획현황'!$K$58,'1.4.3개발계획현황'!$AA$58,O64)</f>
        <v>0</v>
      </c>
      <c r="Q64" s="1972">
        <f>IF(Q$37='1.4.3개발계획현황'!$K$58,'1.4.3개발계획현황'!$AA$58,P64)</f>
        <v>0</v>
      </c>
      <c r="R64" s="1972">
        <f>IF(R$37='1.4.3개발계획현황'!$K$58,'1.4.3개발계획현황'!$AA$58,Q64)</f>
        <v>0</v>
      </c>
      <c r="S64" s="2513"/>
      <c r="T64" s="1972">
        <f>IF(T$37='1.4.3개발계획현황'!$K$58,'1.4.3개발계획현황'!$AA$58,S62)</f>
        <v>0</v>
      </c>
      <c r="U64" s="1972">
        <f>IF(U$37='1.4.3개발계획현황'!$K$58,'1.4.3개발계획현황'!$AA$58,T64)</f>
        <v>0</v>
      </c>
      <c r="V64" s="1972">
        <f>IF(V$37='1.4.3개발계획현황'!$K$58,'1.4.3개발계획현황'!$AA$58,U64)</f>
        <v>0</v>
      </c>
      <c r="W64" s="1972">
        <f>IF(W$37='1.4.3개발계획현황'!$K$58,'1.4.3개발계획현황'!$AA$58,V64)</f>
        <v>0</v>
      </c>
      <c r="X64" s="2513"/>
      <c r="Y64" s="2236"/>
      <c r="Z64" s="2507"/>
      <c r="AA64" s="1353" t="str">
        <f>B62</f>
        <v>신평산업단지</v>
      </c>
      <c r="AB64" s="1337">
        <f>ROUND(AB62+AB63,0)</f>
        <v>0</v>
      </c>
      <c r="AC64" s="1337">
        <f t="shared" ref="AC64:AW64" si="135">ROUND(AC62+AC63,0)</f>
        <v>0</v>
      </c>
      <c r="AD64" s="1337">
        <f t="shared" si="135"/>
        <v>0</v>
      </c>
      <c r="AE64" s="1337">
        <f t="shared" si="135"/>
        <v>0</v>
      </c>
      <c r="AF64" s="1337">
        <f t="shared" si="135"/>
        <v>0</v>
      </c>
      <c r="AG64" s="1337">
        <f t="shared" si="135"/>
        <v>0</v>
      </c>
      <c r="AH64" s="1337">
        <f t="shared" si="135"/>
        <v>0</v>
      </c>
      <c r="AI64" s="1337">
        <f t="shared" si="135"/>
        <v>0</v>
      </c>
      <c r="AJ64" s="1337">
        <f t="shared" si="135"/>
        <v>0</v>
      </c>
      <c r="AK64" s="1337">
        <f t="shared" si="135"/>
        <v>0</v>
      </c>
      <c r="AL64" s="1337">
        <f t="shared" si="135"/>
        <v>0</v>
      </c>
      <c r="AM64" s="1337">
        <f t="shared" si="135"/>
        <v>0</v>
      </c>
      <c r="AN64" s="1337">
        <f t="shared" si="135"/>
        <v>0</v>
      </c>
      <c r="AO64" s="1337">
        <f t="shared" si="135"/>
        <v>0</v>
      </c>
      <c r="AP64" s="1337">
        <f t="shared" si="135"/>
        <v>0</v>
      </c>
      <c r="AQ64" s="1337">
        <f t="shared" si="135"/>
        <v>0</v>
      </c>
      <c r="AR64" s="1337">
        <f t="shared" si="135"/>
        <v>0</v>
      </c>
      <c r="AS64" s="1337">
        <f t="shared" si="135"/>
        <v>0</v>
      </c>
      <c r="AT64" s="1337">
        <f t="shared" si="135"/>
        <v>0</v>
      </c>
      <c r="AU64" s="1337">
        <f t="shared" si="135"/>
        <v>0</v>
      </c>
      <c r="AV64" s="1337">
        <f t="shared" si="135"/>
        <v>0</v>
      </c>
      <c r="AW64" s="1337">
        <f t="shared" si="135"/>
        <v>1144</v>
      </c>
      <c r="AX64" s="1568"/>
      <c r="AY64" s="1297"/>
    </row>
    <row r="65" spans="1:60" ht="20.45" customHeight="1">
      <c r="A65" s="2509"/>
      <c r="B65" s="1327" t="s">
        <v>73</v>
      </c>
      <c r="C65" s="1328">
        <f>SUM(C44:C64)</f>
        <v>0</v>
      </c>
      <c r="D65" s="1328">
        <f t="shared" ref="D65:X65" si="136">SUM(D44:D64)</f>
        <v>0</v>
      </c>
      <c r="E65" s="1328">
        <f t="shared" si="136"/>
        <v>0</v>
      </c>
      <c r="F65" s="1328">
        <f t="shared" si="136"/>
        <v>0</v>
      </c>
      <c r="G65" s="1328">
        <f t="shared" si="136"/>
        <v>1051</v>
      </c>
      <c r="H65" s="1328">
        <f t="shared" si="136"/>
        <v>7470</v>
      </c>
      <c r="I65" s="1328">
        <f t="shared" si="136"/>
        <v>7523</v>
      </c>
      <c r="J65" s="1328">
        <f t="shared" si="136"/>
        <v>7523</v>
      </c>
      <c r="K65" s="1328">
        <f t="shared" si="136"/>
        <v>7523</v>
      </c>
      <c r="L65" s="1328">
        <f t="shared" si="136"/>
        <v>7523</v>
      </c>
      <c r="M65" s="1328">
        <f t="shared" si="136"/>
        <v>7523</v>
      </c>
      <c r="N65" s="1328">
        <f t="shared" si="136"/>
        <v>7523</v>
      </c>
      <c r="O65" s="1328">
        <f t="shared" si="136"/>
        <v>7523</v>
      </c>
      <c r="P65" s="1328">
        <f t="shared" si="136"/>
        <v>7523</v>
      </c>
      <c r="Q65" s="1328">
        <f t="shared" si="136"/>
        <v>7523</v>
      </c>
      <c r="R65" s="1328">
        <f t="shared" si="136"/>
        <v>7523</v>
      </c>
      <c r="S65" s="1328">
        <f t="shared" si="136"/>
        <v>7523</v>
      </c>
      <c r="T65" s="1328">
        <f t="shared" si="136"/>
        <v>7523</v>
      </c>
      <c r="U65" s="1328">
        <f t="shared" si="136"/>
        <v>7523</v>
      </c>
      <c r="V65" s="1328">
        <f t="shared" si="136"/>
        <v>7523</v>
      </c>
      <c r="W65" s="1328">
        <f t="shared" si="136"/>
        <v>7523</v>
      </c>
      <c r="X65" s="1328">
        <f t="shared" si="136"/>
        <v>14932</v>
      </c>
      <c r="Y65" s="2237"/>
      <c r="Z65" s="1559"/>
      <c r="AA65" s="1327" t="s">
        <v>73</v>
      </c>
      <c r="AB65" s="1328">
        <f t="shared" ref="AB65:AV65" si="137">+AB46+AB49+AB52+AB55+AB58+AB61+AB64</f>
        <v>0</v>
      </c>
      <c r="AC65" s="1328">
        <f t="shared" si="137"/>
        <v>0</v>
      </c>
      <c r="AD65" s="1328">
        <f t="shared" si="137"/>
        <v>0</v>
      </c>
      <c r="AE65" s="1328">
        <f t="shared" si="137"/>
        <v>0</v>
      </c>
      <c r="AF65" s="1328">
        <f t="shared" si="137"/>
        <v>9</v>
      </c>
      <c r="AG65" s="1328">
        <f t="shared" si="137"/>
        <v>142</v>
      </c>
      <c r="AH65" s="1328">
        <f t="shared" si="137"/>
        <v>391</v>
      </c>
      <c r="AI65" s="1328">
        <f t="shared" si="137"/>
        <v>622</v>
      </c>
      <c r="AJ65" s="1328">
        <f t="shared" si="137"/>
        <v>624</v>
      </c>
      <c r="AK65" s="1328">
        <f t="shared" si="137"/>
        <v>624</v>
      </c>
      <c r="AL65" s="1328">
        <f t="shared" si="137"/>
        <v>624</v>
      </c>
      <c r="AM65" s="1328">
        <f t="shared" si="137"/>
        <v>624</v>
      </c>
      <c r="AN65" s="1328">
        <f t="shared" si="137"/>
        <v>624</v>
      </c>
      <c r="AO65" s="1328">
        <f t="shared" si="137"/>
        <v>624</v>
      </c>
      <c r="AP65" s="1328">
        <f t="shared" si="137"/>
        <v>624</v>
      </c>
      <c r="AQ65" s="1328">
        <f t="shared" si="137"/>
        <v>624</v>
      </c>
      <c r="AR65" s="1328">
        <f t="shared" si="137"/>
        <v>624</v>
      </c>
      <c r="AS65" s="1328">
        <f t="shared" si="137"/>
        <v>624</v>
      </c>
      <c r="AT65" s="1328">
        <f t="shared" si="137"/>
        <v>624</v>
      </c>
      <c r="AU65" s="1328">
        <f t="shared" si="137"/>
        <v>624</v>
      </c>
      <c r="AV65" s="1328">
        <f t="shared" si="137"/>
        <v>624</v>
      </c>
      <c r="AW65" s="1328">
        <f>+AW46+AW49+AW52+AW55+AW58+AW61+AW64</f>
        <v>2404</v>
      </c>
      <c r="AX65" s="1569"/>
      <c r="AY65" s="1302"/>
    </row>
    <row r="66" spans="1:60" s="1257" customFormat="1" ht="20.45" customHeight="1">
      <c r="A66" s="1329" t="s">
        <v>79</v>
      </c>
      <c r="B66" s="1330"/>
      <c r="C66" s="1331">
        <f t="shared" ref="C66:W66" si="138">SUM(C43,C65,C39)</f>
        <v>0</v>
      </c>
      <c r="D66" s="1331">
        <f t="shared" si="138"/>
        <v>0</v>
      </c>
      <c r="E66" s="1331">
        <f t="shared" si="138"/>
        <v>0</v>
      </c>
      <c r="F66" s="1331">
        <f t="shared" si="138"/>
        <v>942</v>
      </c>
      <c r="G66" s="1331">
        <f t="shared" si="138"/>
        <v>1993</v>
      </c>
      <c r="H66" s="1331">
        <f t="shared" si="138"/>
        <v>8412</v>
      </c>
      <c r="I66" s="1331">
        <f t="shared" si="138"/>
        <v>12126</v>
      </c>
      <c r="J66" s="1331">
        <f t="shared" si="138"/>
        <v>12126</v>
      </c>
      <c r="K66" s="1331">
        <f t="shared" si="138"/>
        <v>12126</v>
      </c>
      <c r="L66" s="1331">
        <f t="shared" si="138"/>
        <v>12126</v>
      </c>
      <c r="M66" s="1331">
        <f t="shared" si="138"/>
        <v>12126</v>
      </c>
      <c r="N66" s="1331">
        <f t="shared" si="138"/>
        <v>12834</v>
      </c>
      <c r="O66" s="1331">
        <f t="shared" si="138"/>
        <v>12834</v>
      </c>
      <c r="P66" s="1331">
        <f t="shared" si="138"/>
        <v>12834</v>
      </c>
      <c r="Q66" s="1331">
        <f t="shared" si="138"/>
        <v>12834</v>
      </c>
      <c r="R66" s="1331">
        <f t="shared" si="138"/>
        <v>12834</v>
      </c>
      <c r="S66" s="1331">
        <f t="shared" si="138"/>
        <v>12834</v>
      </c>
      <c r="T66" s="1331">
        <f t="shared" si="138"/>
        <v>12834</v>
      </c>
      <c r="U66" s="1331">
        <f t="shared" si="138"/>
        <v>12834</v>
      </c>
      <c r="V66" s="1331">
        <f t="shared" si="138"/>
        <v>12834</v>
      </c>
      <c r="W66" s="1331">
        <f t="shared" si="138"/>
        <v>12834</v>
      </c>
      <c r="X66" s="1331">
        <f>SUM(X43,X65,X39)</f>
        <v>22463</v>
      </c>
      <c r="Y66" s="1332"/>
      <c r="Z66" s="1329" t="s">
        <v>79</v>
      </c>
      <c r="AA66" s="1330"/>
      <c r="AB66" s="1331">
        <f>SUM(AB43,AB65,AB39)</f>
        <v>0</v>
      </c>
      <c r="AC66" s="1331">
        <f t="shared" ref="AC66:AW66" si="139">SUM(AC43,AC65,AC39)</f>
        <v>0</v>
      </c>
      <c r="AD66" s="1331">
        <f t="shared" si="139"/>
        <v>0</v>
      </c>
      <c r="AE66" s="1331">
        <f t="shared" si="139"/>
        <v>593</v>
      </c>
      <c r="AF66" s="1331">
        <f t="shared" si="139"/>
        <v>602</v>
      </c>
      <c r="AG66" s="1331">
        <f t="shared" si="139"/>
        <v>735</v>
      </c>
      <c r="AH66" s="1331">
        <f t="shared" si="139"/>
        <v>3290</v>
      </c>
      <c r="AI66" s="1331">
        <f t="shared" si="139"/>
        <v>3521</v>
      </c>
      <c r="AJ66" s="1331">
        <f t="shared" si="139"/>
        <v>3523</v>
      </c>
      <c r="AK66" s="1331">
        <f t="shared" si="139"/>
        <v>3523</v>
      </c>
      <c r="AL66" s="1331">
        <f t="shared" si="139"/>
        <v>3523</v>
      </c>
      <c r="AM66" s="1331">
        <f t="shared" si="139"/>
        <v>3969</v>
      </c>
      <c r="AN66" s="1331">
        <f t="shared" si="139"/>
        <v>3969</v>
      </c>
      <c r="AO66" s="1331">
        <f t="shared" si="139"/>
        <v>3969</v>
      </c>
      <c r="AP66" s="1331">
        <f t="shared" si="139"/>
        <v>3969</v>
      </c>
      <c r="AQ66" s="1331">
        <f t="shared" si="139"/>
        <v>3969</v>
      </c>
      <c r="AR66" s="1331">
        <f t="shared" si="139"/>
        <v>3969</v>
      </c>
      <c r="AS66" s="1331">
        <f t="shared" si="139"/>
        <v>3969</v>
      </c>
      <c r="AT66" s="1331">
        <f t="shared" si="139"/>
        <v>3969</v>
      </c>
      <c r="AU66" s="1331">
        <f t="shared" si="139"/>
        <v>3969</v>
      </c>
      <c r="AV66" s="1331">
        <f t="shared" si="139"/>
        <v>3969</v>
      </c>
      <c r="AW66" s="1331">
        <f t="shared" si="139"/>
        <v>7303</v>
      </c>
      <c r="AX66" s="1332"/>
      <c r="AY66" s="1254"/>
      <c r="AZ66" s="1258"/>
    </row>
    <row r="67" spans="1:60" ht="9.9499999999999993" customHeight="1">
      <c r="A67" s="1264"/>
      <c r="B67" s="1254"/>
      <c r="C67" s="1255"/>
      <c r="D67" s="1255"/>
      <c r="E67" s="1255"/>
      <c r="F67" s="1255"/>
      <c r="G67" s="1255"/>
      <c r="H67" s="1255"/>
      <c r="I67" s="1255"/>
      <c r="J67" s="1255"/>
      <c r="K67" s="1255"/>
      <c r="L67" s="1255"/>
      <c r="M67" s="1255"/>
      <c r="N67" s="1255"/>
      <c r="O67" s="1255"/>
      <c r="P67" s="1256"/>
      <c r="Q67" s="1255"/>
      <c r="R67" s="1255"/>
      <c r="S67" s="1255"/>
      <c r="T67" s="1255"/>
      <c r="U67" s="1256"/>
      <c r="V67" s="1256"/>
      <c r="W67" s="1256"/>
      <c r="X67" s="1256"/>
      <c r="Y67" s="1254"/>
      <c r="Z67" s="1264"/>
      <c r="AA67" s="1267"/>
      <c r="AB67" s="1255"/>
      <c r="AC67" s="1255"/>
      <c r="AD67" s="1255"/>
      <c r="AE67" s="1255"/>
      <c r="AF67" s="1255"/>
      <c r="AG67" s="1255"/>
      <c r="AH67" s="1255"/>
      <c r="AI67" s="1255"/>
      <c r="AJ67" s="1255"/>
      <c r="AK67" s="1255"/>
      <c r="AL67" s="1255"/>
      <c r="AM67" s="1255"/>
      <c r="AN67" s="1255"/>
      <c r="AO67" s="1256"/>
      <c r="AP67" s="1255"/>
      <c r="AQ67" s="1255"/>
      <c r="AR67" s="1255"/>
      <c r="AS67" s="1255"/>
      <c r="AT67" s="1256"/>
      <c r="AU67" s="1256"/>
      <c r="AV67" s="1256"/>
      <c r="AW67" s="1256"/>
      <c r="AX67" s="1254"/>
      <c r="AY67" s="1278">
        <f>ROUND(X48*0.13,0)</f>
        <v>0</v>
      </c>
      <c r="BH67" s="1296"/>
    </row>
    <row r="68" spans="1:60" s="1257" customFormat="1" ht="21" customHeight="1">
      <c r="A68" s="1264" t="s">
        <v>1445</v>
      </c>
      <c r="B68" s="1254"/>
      <c r="C68" s="1255"/>
      <c r="D68" s="1255"/>
      <c r="E68" s="1255"/>
      <c r="F68" s="1255"/>
      <c r="G68" s="1255"/>
      <c r="H68" s="1255"/>
      <c r="I68" s="1255"/>
      <c r="J68" s="1255"/>
      <c r="K68" s="1255"/>
      <c r="L68" s="1255"/>
      <c r="M68" s="1255"/>
      <c r="N68" s="1255"/>
      <c r="O68" s="1255"/>
      <c r="P68" s="1256"/>
      <c r="Q68" s="1255"/>
      <c r="R68" s="1255"/>
      <c r="S68" s="1255"/>
      <c r="T68" s="1255"/>
      <c r="U68" s="1256"/>
      <c r="V68" s="1256"/>
      <c r="W68" s="1256"/>
      <c r="X68" s="1333"/>
      <c r="Y68" s="1334" t="s">
        <v>70</v>
      </c>
      <c r="Z68" s="1264" t="s">
        <v>1445</v>
      </c>
      <c r="AA68" s="1267"/>
      <c r="AB68" s="1255"/>
      <c r="AC68" s="1255"/>
      <c r="AD68" s="1255"/>
      <c r="AE68" s="1255"/>
      <c r="AF68" s="1255"/>
      <c r="AG68" s="1255"/>
      <c r="AH68" s="1255"/>
      <c r="AI68" s="1255"/>
      <c r="AJ68" s="1255"/>
      <c r="AK68" s="1255"/>
      <c r="AL68" s="1255"/>
      <c r="AM68" s="1255"/>
      <c r="AN68" s="1255"/>
      <c r="AO68" s="1256"/>
      <c r="AP68" s="1255"/>
      <c r="AQ68" s="1255"/>
      <c r="AR68" s="1255"/>
      <c r="AS68" s="1255"/>
      <c r="AT68" s="1256"/>
      <c r="AU68" s="1256"/>
      <c r="AV68" s="1256"/>
      <c r="AW68" s="1256"/>
      <c r="AX68" s="1266" t="s">
        <v>70</v>
      </c>
      <c r="AY68" s="1258"/>
      <c r="AZ68" s="1258"/>
    </row>
    <row r="69" spans="1:60" s="1257" customFormat="1" ht="21" customHeight="1">
      <c r="A69" s="1268" t="s">
        <v>71</v>
      </c>
      <c r="B69" s="1269"/>
      <c r="C69" s="1270">
        <v>2014</v>
      </c>
      <c r="D69" s="1270">
        <v>2015</v>
      </c>
      <c r="E69" s="1270">
        <v>2016</v>
      </c>
      <c r="F69" s="1270">
        <v>2017</v>
      </c>
      <c r="G69" s="1270">
        <v>2018</v>
      </c>
      <c r="H69" s="1270">
        <v>2019</v>
      </c>
      <c r="I69" s="1270">
        <v>2020</v>
      </c>
      <c r="J69" s="1270">
        <v>2021</v>
      </c>
      <c r="K69" s="1270">
        <v>2022</v>
      </c>
      <c r="L69" s="1270">
        <v>2023</v>
      </c>
      <c r="M69" s="1270">
        <v>2024</v>
      </c>
      <c r="N69" s="1270">
        <v>2025</v>
      </c>
      <c r="O69" s="1270">
        <v>2026</v>
      </c>
      <c r="P69" s="1270">
        <v>2027</v>
      </c>
      <c r="Q69" s="1270">
        <v>2028</v>
      </c>
      <c r="R69" s="1270">
        <v>2029</v>
      </c>
      <c r="S69" s="1270">
        <v>2030</v>
      </c>
      <c r="T69" s="1270">
        <v>2031</v>
      </c>
      <c r="U69" s="1270">
        <v>2032</v>
      </c>
      <c r="V69" s="1270">
        <v>2033</v>
      </c>
      <c r="W69" s="1270">
        <v>2034</v>
      </c>
      <c r="X69" s="1270">
        <v>2035</v>
      </c>
      <c r="Y69" s="1271" t="s">
        <v>49</v>
      </c>
      <c r="Z69" s="1268" t="s">
        <v>71</v>
      </c>
      <c r="AA69" s="1269"/>
      <c r="AB69" s="1270">
        <v>2014</v>
      </c>
      <c r="AC69" s="1270">
        <v>2015</v>
      </c>
      <c r="AD69" s="1270">
        <v>2016</v>
      </c>
      <c r="AE69" s="1270">
        <v>2017</v>
      </c>
      <c r="AF69" s="1270">
        <v>2018</v>
      </c>
      <c r="AG69" s="1270">
        <v>2019</v>
      </c>
      <c r="AH69" s="1270">
        <v>2020</v>
      </c>
      <c r="AI69" s="1270">
        <v>2021</v>
      </c>
      <c r="AJ69" s="1270">
        <v>2022</v>
      </c>
      <c r="AK69" s="1270">
        <v>2023</v>
      </c>
      <c r="AL69" s="1270">
        <v>2024</v>
      </c>
      <c r="AM69" s="1270">
        <v>2025</v>
      </c>
      <c r="AN69" s="1270">
        <v>2026</v>
      </c>
      <c r="AO69" s="1270">
        <v>2027</v>
      </c>
      <c r="AP69" s="1270">
        <v>2028</v>
      </c>
      <c r="AQ69" s="1270">
        <v>2029</v>
      </c>
      <c r="AR69" s="1270">
        <v>2030</v>
      </c>
      <c r="AS69" s="1270">
        <v>2031</v>
      </c>
      <c r="AT69" s="1270">
        <v>2032</v>
      </c>
      <c r="AU69" s="1270">
        <v>2033</v>
      </c>
      <c r="AV69" s="1270">
        <v>2034</v>
      </c>
      <c r="AW69" s="1270">
        <v>2035</v>
      </c>
      <c r="AX69" s="1271" t="s">
        <v>97</v>
      </c>
      <c r="AY69" s="1258"/>
      <c r="AZ69" s="1258"/>
    </row>
    <row r="70" spans="1:60" s="1257" customFormat="1" ht="21" customHeight="1">
      <c r="A70" s="2431" t="s">
        <v>96</v>
      </c>
      <c r="B70" s="2432" t="str">
        <f>'1.4.3개발계획현황'!A63</f>
        <v>소이산업단지 확장</v>
      </c>
      <c r="C70" s="2515">
        <f>IF(C$140='1.4.3개발계획현황'!$K$63,'1.4.3개발계획현황'!$AA$63,0)</f>
        <v>0</v>
      </c>
      <c r="D70" s="1280"/>
      <c r="E70" s="1280"/>
      <c r="F70" s="1280"/>
      <c r="G70" s="1280"/>
      <c r="H70" s="1280"/>
      <c r="I70" s="2515">
        <f>IF(I$140='1.4.3개발계획현황'!$K$63,'1.4.3개발계획현황'!$AA$63,H72)</f>
        <v>0</v>
      </c>
      <c r="J70" s="1280"/>
      <c r="K70" s="1280"/>
      <c r="L70" s="1280"/>
      <c r="M70" s="1280"/>
      <c r="N70" s="2515">
        <f>IF(N$140='1.4.3개발계획현황'!$K$63,'1.4.3개발계획현황'!$AA$63,M72)</f>
        <v>0</v>
      </c>
      <c r="O70" s="1280"/>
      <c r="P70" s="1280"/>
      <c r="Q70" s="1280"/>
      <c r="R70" s="1280"/>
      <c r="S70" s="2515">
        <f>IF(S$140='1.4.3개발계획현황'!$K$63,'1.4.3개발계획현황'!$AA$63,R72)</f>
        <v>0</v>
      </c>
      <c r="T70" s="1280"/>
      <c r="U70" s="1280"/>
      <c r="V70" s="1280"/>
      <c r="W70" s="1280"/>
      <c r="X70" s="2515">
        <f>IF(X$140='1.4.3개발계획현황'!$K$63,'1.4.3개발계획현황'!$AA$63,W72)</f>
        <v>1635</v>
      </c>
      <c r="Y70" s="2516"/>
      <c r="Z70" s="2431" t="str">
        <f>A70</f>
        <v>산업단지
조성사업</v>
      </c>
      <c r="AA70" s="1336" t="str">
        <f>CONCATENATE(AA72," 중복제외 전")</f>
        <v>소이산업단지 확장 중복제외 전</v>
      </c>
      <c r="AB70" s="1275">
        <f>ROUND(C70*$AX70,0)</f>
        <v>0</v>
      </c>
      <c r="AC70" s="1275">
        <f>ROUND(D72*$AX70,0)</f>
        <v>0</v>
      </c>
      <c r="AD70" s="1275">
        <f>ROUND(E72*$AX70,0)</f>
        <v>0</v>
      </c>
      <c r="AE70" s="1275">
        <f>ROUND(F72*$AX70,0)</f>
        <v>0</v>
      </c>
      <c r="AF70" s="1275">
        <f>ROUND(G72*$AX70,0)</f>
        <v>0</v>
      </c>
      <c r="AG70" s="1275">
        <f>ROUND(H72*$AX70,0)</f>
        <v>0</v>
      </c>
      <c r="AH70" s="1275">
        <f>ROUND(I70*$AX70,0)</f>
        <v>0</v>
      </c>
      <c r="AI70" s="1275">
        <f>ROUND(J72*$AX70,0)</f>
        <v>0</v>
      </c>
      <c r="AJ70" s="1275">
        <f>ROUND(K72*$AX70,0)</f>
        <v>0</v>
      </c>
      <c r="AK70" s="1275">
        <f>ROUND(L72*$AX70,0)</f>
        <v>0</v>
      </c>
      <c r="AL70" s="1275">
        <f>ROUND(M72*$AX70,0)</f>
        <v>0</v>
      </c>
      <c r="AM70" s="1275">
        <f>ROUND(N70*$AX70,0)</f>
        <v>0</v>
      </c>
      <c r="AN70" s="1275">
        <f>ROUND(O72*$AX70,0)</f>
        <v>0</v>
      </c>
      <c r="AO70" s="1275">
        <f>ROUND(P72*$AX70,0)</f>
        <v>0</v>
      </c>
      <c r="AP70" s="1275">
        <f>ROUND(Q72*$AX70,0)</f>
        <v>0</v>
      </c>
      <c r="AQ70" s="1275">
        <f>ROUND(R72*$AX70,0)</f>
        <v>0</v>
      </c>
      <c r="AR70" s="1275">
        <f>ROUND(S70*$AX70,0)</f>
        <v>0</v>
      </c>
      <c r="AS70" s="1275">
        <f>ROUND(T72*$AX70,0)</f>
        <v>0</v>
      </c>
      <c r="AT70" s="1275">
        <f>ROUND(U72*$AX70,0)</f>
        <v>0</v>
      </c>
      <c r="AU70" s="1275">
        <f>ROUND(V72*$AX70,0)</f>
        <v>0</v>
      </c>
      <c r="AV70" s="1275">
        <f>ROUND(W72*$AX70,0)</f>
        <v>0</v>
      </c>
      <c r="AW70" s="1275">
        <f>ROUND(X70*$AX70,0)</f>
        <v>736</v>
      </c>
      <c r="AX70" s="1277">
        <v>0.45</v>
      </c>
      <c r="AY70" s="1258"/>
      <c r="AZ70" s="1258"/>
    </row>
    <row r="71" spans="1:60" s="1257" customFormat="1" ht="21" customHeight="1">
      <c r="A71" s="2431"/>
      <c r="B71" s="2432"/>
      <c r="C71" s="2515"/>
      <c r="D71" s="1280"/>
      <c r="E71" s="1280"/>
      <c r="F71" s="1280"/>
      <c r="G71" s="1280"/>
      <c r="H71" s="1280"/>
      <c r="I71" s="2515"/>
      <c r="J71" s="1280"/>
      <c r="K71" s="1280"/>
      <c r="L71" s="1280"/>
      <c r="M71" s="1280"/>
      <c r="N71" s="2515"/>
      <c r="O71" s="1280"/>
      <c r="P71" s="1280"/>
      <c r="Q71" s="1280"/>
      <c r="R71" s="1280"/>
      <c r="S71" s="2515"/>
      <c r="T71" s="1280"/>
      <c r="U71" s="1280"/>
      <c r="V71" s="1280"/>
      <c r="W71" s="1280"/>
      <c r="X71" s="2515"/>
      <c r="Y71" s="2516"/>
      <c r="Z71" s="2431"/>
      <c r="AA71" s="1336" t="str">
        <f>CONCATENATE(AA72," 중복제외인구")</f>
        <v>소이산업단지 확장 중복제외인구</v>
      </c>
      <c r="AB71" s="1275">
        <f>ROUND(C70*$AX71,0)</f>
        <v>0</v>
      </c>
      <c r="AC71" s="1275">
        <f>ROUND(D72*$AX71,0)</f>
        <v>0</v>
      </c>
      <c r="AD71" s="1275">
        <f>-ROUND(IF(E72&gt;0,SUMIF('사회적 유입 중복인구 제외근거'!$E$6:$E$53,$AA72,'사회적 유입 중복인구 제외근거'!$F$6:$F$53),0),0)</f>
        <v>0</v>
      </c>
      <c r="AE71" s="1275">
        <f>-ROUND(IF(F72&gt;0,SUMIF('사회적 유입 중복인구 제외근거'!$E$6:$E$53,$AA72,'사회적 유입 중복인구 제외근거'!$F$6:$F$53),0),0)</f>
        <v>0</v>
      </c>
      <c r="AF71" s="1275">
        <f>-ROUND(IF(G72&gt;0,SUMIF('사회적 유입 중복인구 제외근거'!$E$6:$E$53,$AA72,'사회적 유입 중복인구 제외근거'!$F$6:$F$53),0),0)</f>
        <v>0</v>
      </c>
      <c r="AG71" s="1275">
        <f>-ROUND(IF(H72&gt;0,SUMIF('사회적 유입 중복인구 제외근거'!$E$6:$E$53,$AA72,'사회적 유입 중복인구 제외근거'!$F$6:$F$53),0),0)</f>
        <v>0</v>
      </c>
      <c r="AH71" s="1275">
        <f>-ROUND(IF(I70&gt;0,SUMIF('사회적 유입 중복인구 제외근거'!$E$6:$E$53,$AA72,'사회적 유입 중복인구 제외근거'!$F$6:$F$53),0),0)</f>
        <v>0</v>
      </c>
      <c r="AI71" s="1275">
        <f>-ROUND(IF(J72&gt;0,SUMIF('사회적 유입 중복인구 제외근거'!$E$6:$E$53,$AA72,'사회적 유입 중복인구 제외근거'!$F$6:$F$53),0),0)</f>
        <v>0</v>
      </c>
      <c r="AJ71" s="1275">
        <f>-ROUND(IF(K72&gt;0,SUMIF('사회적 유입 중복인구 제외근거'!$E$6:$E$53,$AA72,'사회적 유입 중복인구 제외근거'!$F$6:$F$53),0),0)</f>
        <v>0</v>
      </c>
      <c r="AK71" s="1275">
        <f>-ROUND(IF(L72&gt;0,SUMIF('사회적 유입 중복인구 제외근거'!$E$6:$E$53,$AA72,'사회적 유입 중복인구 제외근거'!$F$6:$F$53),0),0)</f>
        <v>0</v>
      </c>
      <c r="AL71" s="1275">
        <f>-ROUND(IF(M72&gt;0,SUMIF('사회적 유입 중복인구 제외근거'!$E$6:$E$53,$AA72,'사회적 유입 중복인구 제외근거'!$F$6:$F$53),0),0)</f>
        <v>0</v>
      </c>
      <c r="AM71" s="1275">
        <f>-ROUND(IF(N70&gt;0,SUMIF('사회적 유입 중복인구 제외근거'!$E$6:$E$53,$AA72,'사회적 유입 중복인구 제외근거'!$F$6:$F$53),0),0)</f>
        <v>0</v>
      </c>
      <c r="AN71" s="1275">
        <f>-ROUND(IF(O72&gt;0,SUMIF('사회적 유입 중복인구 제외근거'!$E$6:$E$53,$AA72,'사회적 유입 중복인구 제외근거'!$F$6:$F$53),0),0)</f>
        <v>0</v>
      </c>
      <c r="AO71" s="1275">
        <f>-ROUND(IF(P72&gt;0,SUMIF('사회적 유입 중복인구 제외근거'!$E$6:$E$53,$AA72,'사회적 유입 중복인구 제외근거'!$F$6:$F$53),0),0)</f>
        <v>0</v>
      </c>
      <c r="AP71" s="1275">
        <f>-ROUND(IF(Q72&gt;0,SUMIF('사회적 유입 중복인구 제외근거'!$E$6:$E$53,$AA72,'사회적 유입 중복인구 제외근거'!$F$6:$F$53),0),0)</f>
        <v>0</v>
      </c>
      <c r="AQ71" s="1275">
        <f>-ROUND(IF(R72&gt;0,SUMIF('사회적 유입 중복인구 제외근거'!$E$6:$E$53,$AA72,'사회적 유입 중복인구 제외근거'!$F$6:$F$53),0),0)</f>
        <v>0</v>
      </c>
      <c r="AR71" s="1275">
        <f>-ROUND(IF(S70&gt;0,SUMIF('사회적 유입 중복인구 제외근거'!$E$6:$E$53,$AA72,'사회적 유입 중복인구 제외근거'!$F$6:$F$53),0),0)</f>
        <v>0</v>
      </c>
      <c r="AS71" s="1275">
        <f>-ROUND(IF(T72&gt;0,SUMIF('사회적 유입 중복인구 제외근거'!$E$6:$E$53,$AA72,'사회적 유입 중복인구 제외근거'!$F$6:$F$53),0),0)</f>
        <v>0</v>
      </c>
      <c r="AT71" s="1275">
        <f>-ROUND(IF(U72&gt;0,SUMIF('사회적 유입 중복인구 제외근거'!$E$6:$E$53,$AA72,'사회적 유입 중복인구 제외근거'!$F$6:$F$53),0),0)</f>
        <v>0</v>
      </c>
      <c r="AU71" s="1275">
        <f>-ROUND(IF(V72&gt;0,SUMIF('사회적 유입 중복인구 제외근거'!$E$6:$E$53,$AA72,'사회적 유입 중복인구 제외근거'!$F$6:$F$53),0),0)</f>
        <v>0</v>
      </c>
      <c r="AV71" s="1275">
        <f>-ROUND(IF(W72&gt;0,SUMIF('사회적 유입 중복인구 제외근거'!$E$6:$E$53,$AA72,'사회적 유입 중복인구 제외근거'!$F$6:$F$53),0),0)</f>
        <v>0</v>
      </c>
      <c r="AW71" s="1275">
        <f>-ROUND(IF(X70&gt;0,SUMIF('사회적 유입 중복인구 제외근거'!$E$6:$E$53,$AA72,'사회적 유입 중복인구 제외근거'!$F$6:$F$53),0),0)</f>
        <v>0</v>
      </c>
      <c r="AX71" s="1277"/>
      <c r="AY71" s="1258"/>
      <c r="AZ71" s="1258"/>
    </row>
    <row r="72" spans="1:60" s="1257" customFormat="1" ht="21" customHeight="1">
      <c r="A72" s="2431"/>
      <c r="B72" s="2432"/>
      <c r="C72" s="2515"/>
      <c r="D72" s="1275">
        <f>IF(D$140='1.4.3개발계획현황'!$K$63,'1.4.3개발계획현황'!$AA$63,C70)</f>
        <v>0</v>
      </c>
      <c r="E72" s="1275">
        <f>IF(E$140='1.4.3개발계획현황'!$K$63,'1.4.3개발계획현황'!$AA$63,D72)</f>
        <v>0</v>
      </c>
      <c r="F72" s="1275">
        <f>IF(F$140='1.4.3개발계획현황'!$K$63,'1.4.3개발계획현황'!$AA$63,E72)</f>
        <v>0</v>
      </c>
      <c r="G72" s="1275">
        <f>IF(G$140='1.4.3개발계획현황'!$K$63,'1.4.3개발계획현황'!$AA$63,F72)</f>
        <v>0</v>
      </c>
      <c r="H72" s="1275">
        <f>IF(H$140='1.4.3개발계획현황'!$K$63,'1.4.3개발계획현황'!$AA$63,G72)</f>
        <v>0</v>
      </c>
      <c r="I72" s="2515"/>
      <c r="J72" s="1275">
        <f>IF(J$140='1.4.3개발계획현황'!$K$63,'1.4.3개발계획현황'!$AA$63,I70)</f>
        <v>0</v>
      </c>
      <c r="K72" s="1275">
        <f>IF(K$140='1.4.3개발계획현황'!$K$63,'1.4.3개발계획현황'!$AA$63,J72)</f>
        <v>0</v>
      </c>
      <c r="L72" s="1275">
        <f>IF(L$140='1.4.3개발계획현황'!$K$63,'1.4.3개발계획현황'!$AA$63,K72)</f>
        <v>0</v>
      </c>
      <c r="M72" s="1275">
        <f>IF(M$140='1.4.3개발계획현황'!$K$63,'1.4.3개발계획현황'!$AA$63,L72)</f>
        <v>0</v>
      </c>
      <c r="N72" s="2515"/>
      <c r="O72" s="1275">
        <f>IF(O$140='1.4.3개발계획현황'!$K$63,'1.4.3개발계획현황'!$AA$63,N70)</f>
        <v>0</v>
      </c>
      <c r="P72" s="1275">
        <f>IF(P$140='1.4.3개발계획현황'!$K$63,'1.4.3개발계획현황'!$AA$63,O72)</f>
        <v>0</v>
      </c>
      <c r="Q72" s="1275">
        <f>IF(Q$140='1.4.3개발계획현황'!$K$63,'1.4.3개발계획현황'!$AA$63,P72)</f>
        <v>0</v>
      </c>
      <c r="R72" s="1275">
        <f>IF(R$140='1.4.3개발계획현황'!$K$63,'1.4.3개발계획현황'!$AA$63,Q72)</f>
        <v>0</v>
      </c>
      <c r="S72" s="2515"/>
      <c r="T72" s="1275">
        <f>IF(T$140='1.4.3개발계획현황'!$K$63,'1.4.3개발계획현황'!$AA$63,S70)</f>
        <v>0</v>
      </c>
      <c r="U72" s="1275">
        <f>IF(U$140='1.4.3개발계획현황'!$K$63,'1.4.3개발계획현황'!$AA$63,T72)</f>
        <v>0</v>
      </c>
      <c r="V72" s="1275">
        <f>IF(V$140='1.4.3개발계획현황'!$K$63,'1.4.3개발계획현황'!$AA$63,U72)</f>
        <v>0</v>
      </c>
      <c r="W72" s="1275">
        <f>IF(W$140='1.4.3개발계획현황'!$K$63,'1.4.3개발계획현황'!$AA$63,V72)</f>
        <v>0</v>
      </c>
      <c r="X72" s="2515"/>
      <c r="Y72" s="2516"/>
      <c r="Z72" s="2431"/>
      <c r="AA72" s="1286" t="str">
        <f>B70</f>
        <v>소이산업단지 확장</v>
      </c>
      <c r="AB72" s="1287">
        <f>ROUND(AB70+AB71,0)</f>
        <v>0</v>
      </c>
      <c r="AC72" s="1337">
        <f t="shared" ref="AC72:AW72" si="140">ROUND(AC70+AC71,0)</f>
        <v>0</v>
      </c>
      <c r="AD72" s="1337">
        <f t="shared" si="140"/>
        <v>0</v>
      </c>
      <c r="AE72" s="1337">
        <f t="shared" si="140"/>
        <v>0</v>
      </c>
      <c r="AF72" s="1337">
        <f t="shared" si="140"/>
        <v>0</v>
      </c>
      <c r="AG72" s="1337">
        <f t="shared" si="140"/>
        <v>0</v>
      </c>
      <c r="AH72" s="1337">
        <f t="shared" si="140"/>
        <v>0</v>
      </c>
      <c r="AI72" s="1337">
        <f t="shared" si="140"/>
        <v>0</v>
      </c>
      <c r="AJ72" s="1337">
        <f t="shared" si="140"/>
        <v>0</v>
      </c>
      <c r="AK72" s="1337">
        <f t="shared" si="140"/>
        <v>0</v>
      </c>
      <c r="AL72" s="1337">
        <f t="shared" si="140"/>
        <v>0</v>
      </c>
      <c r="AM72" s="1337">
        <f t="shared" si="140"/>
        <v>0</v>
      </c>
      <c r="AN72" s="1337">
        <f t="shared" si="140"/>
        <v>0</v>
      </c>
      <c r="AO72" s="1337">
        <f t="shared" si="140"/>
        <v>0</v>
      </c>
      <c r="AP72" s="1337">
        <f t="shared" si="140"/>
        <v>0</v>
      </c>
      <c r="AQ72" s="1337">
        <f t="shared" si="140"/>
        <v>0</v>
      </c>
      <c r="AR72" s="1337">
        <f t="shared" si="140"/>
        <v>0</v>
      </c>
      <c r="AS72" s="1337">
        <f t="shared" si="140"/>
        <v>0</v>
      </c>
      <c r="AT72" s="1337">
        <f t="shared" si="140"/>
        <v>0</v>
      </c>
      <c r="AU72" s="1337">
        <f t="shared" si="140"/>
        <v>0</v>
      </c>
      <c r="AV72" s="1337">
        <f t="shared" si="140"/>
        <v>0</v>
      </c>
      <c r="AW72" s="1337">
        <f t="shared" si="140"/>
        <v>736</v>
      </c>
      <c r="AX72" s="1338"/>
      <c r="AY72" s="1258"/>
      <c r="AZ72" s="1258"/>
    </row>
    <row r="73" spans="1:60" s="1257" customFormat="1" ht="21" customHeight="1">
      <c r="A73" s="2517"/>
      <c r="B73" s="1289" t="s">
        <v>72</v>
      </c>
      <c r="C73" s="1290">
        <f>SUM(C70:C72)</f>
        <v>0</v>
      </c>
      <c r="D73" s="1290">
        <f>SUM(D72:D72)</f>
        <v>0</v>
      </c>
      <c r="E73" s="1290">
        <f>SUM(E72:E72)</f>
        <v>0</v>
      </c>
      <c r="F73" s="1290">
        <f>SUM(F72:F72)</f>
        <v>0</v>
      </c>
      <c r="G73" s="1290">
        <f>SUM(G72:G72)</f>
        <v>0</v>
      </c>
      <c r="H73" s="1290">
        <f>SUM(H72:H72)</f>
        <v>0</v>
      </c>
      <c r="I73" s="1290">
        <f>SUM(I70:I72)</f>
        <v>0</v>
      </c>
      <c r="J73" s="1290">
        <f>SUM(J72:J72)</f>
        <v>0</v>
      </c>
      <c r="K73" s="1290">
        <f>SUM(K72:K72)</f>
        <v>0</v>
      </c>
      <c r="L73" s="1290">
        <f>SUM(L72:L72)</f>
        <v>0</v>
      </c>
      <c r="M73" s="1290">
        <f>SUM(M72:M72)</f>
        <v>0</v>
      </c>
      <c r="N73" s="1290">
        <f>SUM(N70:N72)</f>
        <v>0</v>
      </c>
      <c r="O73" s="1290">
        <f>SUM(O72:O72)</f>
        <v>0</v>
      </c>
      <c r="P73" s="1290">
        <f>SUM(P72:P72)</f>
        <v>0</v>
      </c>
      <c r="Q73" s="1290">
        <f>SUM(Q72:Q72)</f>
        <v>0</v>
      </c>
      <c r="R73" s="1290">
        <f>SUM(R72:R72)</f>
        <v>0</v>
      </c>
      <c r="S73" s="1290">
        <f>SUM(S70:S72)</f>
        <v>0</v>
      </c>
      <c r="T73" s="1290">
        <f>SUM(T72:T72)</f>
        <v>0</v>
      </c>
      <c r="U73" s="1290">
        <f>SUM(U72:U72)</f>
        <v>0</v>
      </c>
      <c r="V73" s="1290">
        <f>SUM(V72:V72)</f>
        <v>0</v>
      </c>
      <c r="W73" s="1290">
        <f>SUM(W72:W72)</f>
        <v>0</v>
      </c>
      <c r="X73" s="1290">
        <f>SUM(X70:X72)</f>
        <v>1635</v>
      </c>
      <c r="Y73" s="1291"/>
      <c r="Z73" s="2517"/>
      <c r="AA73" s="1289" t="s">
        <v>72</v>
      </c>
      <c r="AB73" s="1290">
        <f>+AB72</f>
        <v>0</v>
      </c>
      <c r="AC73" s="1290">
        <f t="shared" ref="AC73:AW73" si="141">+AC72</f>
        <v>0</v>
      </c>
      <c r="AD73" s="1290">
        <f t="shared" si="141"/>
        <v>0</v>
      </c>
      <c r="AE73" s="1290">
        <f t="shared" si="141"/>
        <v>0</v>
      </c>
      <c r="AF73" s="1290">
        <f t="shared" si="141"/>
        <v>0</v>
      </c>
      <c r="AG73" s="1290">
        <f t="shared" si="141"/>
        <v>0</v>
      </c>
      <c r="AH73" s="1290">
        <f t="shared" si="141"/>
        <v>0</v>
      </c>
      <c r="AI73" s="1290">
        <f t="shared" si="141"/>
        <v>0</v>
      </c>
      <c r="AJ73" s="1290">
        <f t="shared" si="141"/>
        <v>0</v>
      </c>
      <c r="AK73" s="1290">
        <f t="shared" si="141"/>
        <v>0</v>
      </c>
      <c r="AL73" s="1290">
        <f t="shared" si="141"/>
        <v>0</v>
      </c>
      <c r="AM73" s="1290">
        <f t="shared" si="141"/>
        <v>0</v>
      </c>
      <c r="AN73" s="1290">
        <f t="shared" si="141"/>
        <v>0</v>
      </c>
      <c r="AO73" s="1290">
        <f t="shared" si="141"/>
        <v>0</v>
      </c>
      <c r="AP73" s="1290">
        <f t="shared" si="141"/>
        <v>0</v>
      </c>
      <c r="AQ73" s="1290">
        <f t="shared" si="141"/>
        <v>0</v>
      </c>
      <c r="AR73" s="1290">
        <f t="shared" si="141"/>
        <v>0</v>
      </c>
      <c r="AS73" s="1290">
        <f t="shared" si="141"/>
        <v>0</v>
      </c>
      <c r="AT73" s="1290">
        <f t="shared" si="141"/>
        <v>0</v>
      </c>
      <c r="AU73" s="1290">
        <f t="shared" si="141"/>
        <v>0</v>
      </c>
      <c r="AV73" s="1290">
        <f t="shared" si="141"/>
        <v>0</v>
      </c>
      <c r="AW73" s="1290">
        <f t="shared" si="141"/>
        <v>736</v>
      </c>
      <c r="AX73" s="1291"/>
      <c r="AY73" s="1258"/>
      <c r="AZ73" s="1258"/>
    </row>
    <row r="74" spans="1:60" s="1257" customFormat="1" ht="21" customHeight="1">
      <c r="A74" s="1292" t="s">
        <v>79</v>
      </c>
      <c r="B74" s="1293"/>
      <c r="C74" s="1294">
        <f>SUM(C73)</f>
        <v>0</v>
      </c>
      <c r="D74" s="1294">
        <f t="shared" ref="D74:X74" si="142">SUM(D73)</f>
        <v>0</v>
      </c>
      <c r="E74" s="1294">
        <f t="shared" si="142"/>
        <v>0</v>
      </c>
      <c r="F74" s="1294">
        <f t="shared" si="142"/>
        <v>0</v>
      </c>
      <c r="G74" s="1294">
        <f t="shared" si="142"/>
        <v>0</v>
      </c>
      <c r="H74" s="1294">
        <f t="shared" si="142"/>
        <v>0</v>
      </c>
      <c r="I74" s="1294">
        <f t="shared" si="142"/>
        <v>0</v>
      </c>
      <c r="J74" s="1294">
        <f t="shared" si="142"/>
        <v>0</v>
      </c>
      <c r="K74" s="1294">
        <f t="shared" si="142"/>
        <v>0</v>
      </c>
      <c r="L74" s="1294">
        <f t="shared" si="142"/>
        <v>0</v>
      </c>
      <c r="M74" s="1294">
        <f t="shared" si="142"/>
        <v>0</v>
      </c>
      <c r="N74" s="1294">
        <f t="shared" si="142"/>
        <v>0</v>
      </c>
      <c r="O74" s="1294">
        <f t="shared" si="142"/>
        <v>0</v>
      </c>
      <c r="P74" s="1294">
        <f t="shared" si="142"/>
        <v>0</v>
      </c>
      <c r="Q74" s="1294">
        <f t="shared" si="142"/>
        <v>0</v>
      </c>
      <c r="R74" s="1294">
        <f t="shared" si="142"/>
        <v>0</v>
      </c>
      <c r="S74" s="1294">
        <f t="shared" si="142"/>
        <v>0</v>
      </c>
      <c r="T74" s="1294">
        <f t="shared" si="142"/>
        <v>0</v>
      </c>
      <c r="U74" s="1294">
        <f t="shared" si="142"/>
        <v>0</v>
      </c>
      <c r="V74" s="1294">
        <f t="shared" si="142"/>
        <v>0</v>
      </c>
      <c r="W74" s="1294">
        <f t="shared" si="142"/>
        <v>0</v>
      </c>
      <c r="X74" s="1294">
        <f t="shared" si="142"/>
        <v>1635</v>
      </c>
      <c r="Y74" s="1295"/>
      <c r="Z74" s="1292" t="s">
        <v>79</v>
      </c>
      <c r="AA74" s="1293"/>
      <c r="AB74" s="1294">
        <f>SUM(AB73)</f>
        <v>0</v>
      </c>
      <c r="AC74" s="1294">
        <f t="shared" ref="AC74:AW74" si="143">SUM(AC73)</f>
        <v>0</v>
      </c>
      <c r="AD74" s="1294">
        <f t="shared" si="143"/>
        <v>0</v>
      </c>
      <c r="AE74" s="1294">
        <f t="shared" si="143"/>
        <v>0</v>
      </c>
      <c r="AF74" s="1294">
        <f t="shared" si="143"/>
        <v>0</v>
      </c>
      <c r="AG74" s="1294">
        <f t="shared" si="143"/>
        <v>0</v>
      </c>
      <c r="AH74" s="1294">
        <f t="shared" si="143"/>
        <v>0</v>
      </c>
      <c r="AI74" s="1294">
        <f t="shared" si="143"/>
        <v>0</v>
      </c>
      <c r="AJ74" s="1294">
        <f t="shared" si="143"/>
        <v>0</v>
      </c>
      <c r="AK74" s="1294">
        <f t="shared" si="143"/>
        <v>0</v>
      </c>
      <c r="AL74" s="1294">
        <f t="shared" si="143"/>
        <v>0</v>
      </c>
      <c r="AM74" s="1294">
        <f t="shared" si="143"/>
        <v>0</v>
      </c>
      <c r="AN74" s="1294">
        <f t="shared" si="143"/>
        <v>0</v>
      </c>
      <c r="AO74" s="1294">
        <f t="shared" si="143"/>
        <v>0</v>
      </c>
      <c r="AP74" s="1294">
        <f t="shared" si="143"/>
        <v>0</v>
      </c>
      <c r="AQ74" s="1294">
        <f t="shared" si="143"/>
        <v>0</v>
      </c>
      <c r="AR74" s="1294">
        <f t="shared" si="143"/>
        <v>0</v>
      </c>
      <c r="AS74" s="1294">
        <f t="shared" si="143"/>
        <v>0</v>
      </c>
      <c r="AT74" s="1294">
        <f t="shared" si="143"/>
        <v>0</v>
      </c>
      <c r="AU74" s="1294">
        <f t="shared" si="143"/>
        <v>0</v>
      </c>
      <c r="AV74" s="1294">
        <f t="shared" si="143"/>
        <v>0</v>
      </c>
      <c r="AW74" s="1294">
        <f t="shared" si="143"/>
        <v>736</v>
      </c>
      <c r="AX74" s="1295"/>
      <c r="AY74" s="1258"/>
      <c r="AZ74" s="1258"/>
    </row>
    <row r="75" spans="1:60" ht="9.9499999999999993" customHeight="1">
      <c r="A75" s="1264"/>
      <c r="B75" s="1254"/>
      <c r="C75" s="1255"/>
      <c r="D75" s="1255"/>
      <c r="E75" s="1255"/>
      <c r="F75" s="1255"/>
      <c r="G75" s="1255"/>
      <c r="H75" s="1255"/>
      <c r="I75" s="1255"/>
      <c r="J75" s="1255"/>
      <c r="K75" s="1255"/>
      <c r="L75" s="1255"/>
      <c r="M75" s="1255"/>
      <c r="N75" s="1255"/>
      <c r="O75" s="1255"/>
      <c r="P75" s="1256"/>
      <c r="Q75" s="1255"/>
      <c r="R75" s="1255"/>
      <c r="S75" s="1255"/>
      <c r="T75" s="1255"/>
      <c r="U75" s="1256"/>
      <c r="V75" s="1256"/>
      <c r="W75" s="1256"/>
      <c r="X75" s="1256"/>
      <c r="Y75" s="1254"/>
      <c r="Z75" s="1264"/>
      <c r="AA75" s="1267"/>
      <c r="AB75" s="1255"/>
      <c r="AC75" s="1255"/>
      <c r="AD75" s="1255"/>
      <c r="AE75" s="1255"/>
      <c r="AF75" s="1255"/>
      <c r="AG75" s="1255"/>
      <c r="AH75" s="1255"/>
      <c r="AI75" s="1255"/>
      <c r="AJ75" s="1255"/>
      <c r="AK75" s="1255"/>
      <c r="AL75" s="1255"/>
      <c r="AM75" s="1255"/>
      <c r="AN75" s="1255"/>
      <c r="AO75" s="1256"/>
      <c r="AP75" s="1255"/>
      <c r="AQ75" s="1255"/>
      <c r="AR75" s="1255"/>
      <c r="AS75" s="1255"/>
      <c r="AT75" s="1256"/>
      <c r="AU75" s="1256"/>
      <c r="AV75" s="1256"/>
      <c r="AW75" s="1256"/>
      <c r="AX75" s="1254"/>
      <c r="AY75" s="1278">
        <f>ROUND(X56*0.13,0)</f>
        <v>7</v>
      </c>
      <c r="BH75" s="1296"/>
    </row>
    <row r="76" spans="1:60" s="1257" customFormat="1" ht="21" customHeight="1">
      <c r="A76" s="1264" t="s">
        <v>1444</v>
      </c>
      <c r="B76" s="1254"/>
      <c r="C76" s="1255"/>
      <c r="D76" s="1255"/>
      <c r="E76" s="1255"/>
      <c r="F76" s="1255"/>
      <c r="G76" s="1255"/>
      <c r="H76" s="1255"/>
      <c r="I76" s="1255"/>
      <c r="J76" s="1255"/>
      <c r="K76" s="1255"/>
      <c r="L76" s="1255"/>
      <c r="M76" s="1255"/>
      <c r="N76" s="1255"/>
      <c r="O76" s="1255"/>
      <c r="P76" s="1256"/>
      <c r="Q76" s="1255"/>
      <c r="R76" s="1255"/>
      <c r="S76" s="1255"/>
      <c r="T76" s="1255"/>
      <c r="U76" s="1256"/>
      <c r="V76" s="1256"/>
      <c r="W76" s="1256"/>
      <c r="X76" s="1333"/>
      <c r="Y76" s="1334" t="s">
        <v>70</v>
      </c>
      <c r="Z76" s="1264" t="s">
        <v>1444</v>
      </c>
      <c r="AA76" s="1267"/>
      <c r="AB76" s="1255"/>
      <c r="AC76" s="1255"/>
      <c r="AD76" s="1255"/>
      <c r="AE76" s="1255"/>
      <c r="AF76" s="1255"/>
      <c r="AG76" s="1255"/>
      <c r="AH76" s="1255"/>
      <c r="AI76" s="1255"/>
      <c r="AJ76" s="1255"/>
      <c r="AK76" s="1255"/>
      <c r="AL76" s="1255"/>
      <c r="AM76" s="1255"/>
      <c r="AN76" s="1255"/>
      <c r="AO76" s="1256"/>
      <c r="AP76" s="1255"/>
      <c r="AQ76" s="1255"/>
      <c r="AR76" s="1255"/>
      <c r="AS76" s="1255"/>
      <c r="AT76" s="1256"/>
      <c r="AU76" s="1256"/>
      <c r="AV76" s="1256"/>
      <c r="AW76" s="1256"/>
      <c r="AX76" s="1266" t="s">
        <v>70</v>
      </c>
      <c r="AY76" s="1258"/>
      <c r="AZ76" s="1258"/>
    </row>
    <row r="77" spans="1:60" s="1257" customFormat="1" ht="21" customHeight="1">
      <c r="A77" s="1268" t="s">
        <v>71</v>
      </c>
      <c r="B77" s="1269"/>
      <c r="C77" s="1270">
        <v>2014</v>
      </c>
      <c r="D77" s="1270">
        <v>2015</v>
      </c>
      <c r="E77" s="1270">
        <v>2016</v>
      </c>
      <c r="F77" s="1270">
        <v>2017</v>
      </c>
      <c r="G77" s="1270">
        <v>2018</v>
      </c>
      <c r="H77" s="1270">
        <v>2019</v>
      </c>
      <c r="I77" s="1270">
        <v>2020</v>
      </c>
      <c r="J77" s="1270">
        <v>2021</v>
      </c>
      <c r="K77" s="1270">
        <v>2022</v>
      </c>
      <c r="L77" s="1270">
        <v>2023</v>
      </c>
      <c r="M77" s="1270">
        <v>2024</v>
      </c>
      <c r="N77" s="1270">
        <v>2025</v>
      </c>
      <c r="O77" s="1270">
        <v>2026</v>
      </c>
      <c r="P77" s="1270">
        <v>2027</v>
      </c>
      <c r="Q77" s="1270">
        <v>2028</v>
      </c>
      <c r="R77" s="1270">
        <v>2029</v>
      </c>
      <c r="S77" s="1270">
        <v>2030</v>
      </c>
      <c r="T77" s="1270">
        <v>2031</v>
      </c>
      <c r="U77" s="1270">
        <v>2032</v>
      </c>
      <c r="V77" s="1270">
        <v>2033</v>
      </c>
      <c r="W77" s="1270">
        <v>2034</v>
      </c>
      <c r="X77" s="1270">
        <v>2035</v>
      </c>
      <c r="Y77" s="1271" t="s">
        <v>49</v>
      </c>
      <c r="Z77" s="1268" t="s">
        <v>71</v>
      </c>
      <c r="AA77" s="1269"/>
      <c r="AB77" s="1270">
        <v>2014</v>
      </c>
      <c r="AC77" s="1270">
        <v>2015</v>
      </c>
      <c r="AD77" s="1270">
        <v>2016</v>
      </c>
      <c r="AE77" s="1270">
        <v>2017</v>
      </c>
      <c r="AF77" s="1270">
        <v>2018</v>
      </c>
      <c r="AG77" s="1270">
        <v>2019</v>
      </c>
      <c r="AH77" s="1270">
        <v>2020</v>
      </c>
      <c r="AI77" s="1270">
        <v>2021</v>
      </c>
      <c r="AJ77" s="1270">
        <v>2022</v>
      </c>
      <c r="AK77" s="1270">
        <v>2023</v>
      </c>
      <c r="AL77" s="1270">
        <v>2024</v>
      </c>
      <c r="AM77" s="1270">
        <v>2025</v>
      </c>
      <c r="AN77" s="1270">
        <v>2026</v>
      </c>
      <c r="AO77" s="1270">
        <v>2027</v>
      </c>
      <c r="AP77" s="1270">
        <v>2028</v>
      </c>
      <c r="AQ77" s="1270">
        <v>2029</v>
      </c>
      <c r="AR77" s="1270">
        <v>2030</v>
      </c>
      <c r="AS77" s="1270">
        <v>2031</v>
      </c>
      <c r="AT77" s="1270">
        <v>2032</v>
      </c>
      <c r="AU77" s="1270">
        <v>2033</v>
      </c>
      <c r="AV77" s="1270">
        <v>2034</v>
      </c>
      <c r="AW77" s="1270">
        <v>2035</v>
      </c>
      <c r="AX77" s="1271" t="s">
        <v>97</v>
      </c>
      <c r="AY77" s="1258"/>
      <c r="AZ77" s="1258"/>
    </row>
    <row r="78" spans="1:60" s="1257" customFormat="1" ht="21" customHeight="1">
      <c r="A78" s="2431" t="s">
        <v>96</v>
      </c>
      <c r="B78" s="2432" t="str">
        <f>'1.4.3개발계획현황'!A64</f>
        <v>보천산업단지</v>
      </c>
      <c r="C78" s="2515">
        <f>IF(C$140='1.4.3개발계획현황'!$K$64,'1.4.3개발계획현황'!$AA$64,0)</f>
        <v>0</v>
      </c>
      <c r="D78" s="1280"/>
      <c r="E78" s="1280"/>
      <c r="F78" s="1280"/>
      <c r="G78" s="1280"/>
      <c r="H78" s="1280"/>
      <c r="I78" s="2515">
        <f>IF(I$140='1.4.3개발계획현황'!$K$64,'1.4.3개발계획현황'!$AA$64,H80)</f>
        <v>0</v>
      </c>
      <c r="J78" s="1280"/>
      <c r="K78" s="1280"/>
      <c r="L78" s="1280"/>
      <c r="M78" s="1280"/>
      <c r="N78" s="2515">
        <f>IF(N$140='1.4.3개발계획현황'!$K$64,'1.4.3개발계획현황'!$AA$64,M80)</f>
        <v>0</v>
      </c>
      <c r="O78" s="1280"/>
      <c r="P78" s="1280"/>
      <c r="Q78" s="1280"/>
      <c r="R78" s="1280"/>
      <c r="S78" s="2515">
        <f>IF(S$140='1.4.3개발계획현황'!$K$64,'1.4.3개발계획현황'!$AA$64,R80)</f>
        <v>0</v>
      </c>
      <c r="T78" s="1280"/>
      <c r="U78" s="1280"/>
      <c r="V78" s="1280"/>
      <c r="W78" s="1280"/>
      <c r="X78" s="2515">
        <f>IF(X$140='1.4.3개발계획현황'!$K$64,'1.4.3개발계획현황'!$AA$64,W80)</f>
        <v>3175</v>
      </c>
      <c r="Y78" s="2516"/>
      <c r="Z78" s="2431" t="str">
        <f>A78</f>
        <v>산업단지
조성사업</v>
      </c>
      <c r="AA78" s="1336" t="str">
        <f>CONCATENATE(AA80," 중복제외 전")</f>
        <v>보천산업단지 중복제외 전</v>
      </c>
      <c r="AB78" s="1275">
        <f>ROUND(C78*$AX78,0)</f>
        <v>0</v>
      </c>
      <c r="AC78" s="1275">
        <f>ROUND(D80*$AX78,0)</f>
        <v>0</v>
      </c>
      <c r="AD78" s="1275">
        <f>ROUND(E80*$AX78,0)</f>
        <v>0</v>
      </c>
      <c r="AE78" s="1275">
        <f>ROUND(F80*$AX78,0)</f>
        <v>0</v>
      </c>
      <c r="AF78" s="1275">
        <f>ROUND(G80*$AX78,0)</f>
        <v>0</v>
      </c>
      <c r="AG78" s="1275">
        <f>ROUND(H80*$AX78,0)</f>
        <v>0</v>
      </c>
      <c r="AH78" s="1275">
        <f>ROUND(I78*$AX78,0)</f>
        <v>0</v>
      </c>
      <c r="AI78" s="1275">
        <f>ROUND(J80*$AX78,0)</f>
        <v>0</v>
      </c>
      <c r="AJ78" s="1275">
        <f>ROUND(K80*$AX78,0)</f>
        <v>0</v>
      </c>
      <c r="AK78" s="1275">
        <f>ROUND(L80*$AX78,0)</f>
        <v>0</v>
      </c>
      <c r="AL78" s="1275">
        <f>ROUND(M80*$AX78,0)</f>
        <v>0</v>
      </c>
      <c r="AM78" s="1275">
        <f>ROUND(N78*$AX78,0)</f>
        <v>0</v>
      </c>
      <c r="AN78" s="1275">
        <f>ROUND(O80*$AX78,0)</f>
        <v>0</v>
      </c>
      <c r="AO78" s="1275">
        <f>ROUND(P80*$AX78,0)</f>
        <v>0</v>
      </c>
      <c r="AP78" s="1275">
        <f>ROUND(Q80*$AX78,0)</f>
        <v>0</v>
      </c>
      <c r="AQ78" s="1275">
        <f>ROUND(R80*$AX78,0)</f>
        <v>0</v>
      </c>
      <c r="AR78" s="1275">
        <f>ROUND(S78*$AX78,0)</f>
        <v>0</v>
      </c>
      <c r="AS78" s="1275">
        <f>ROUND(T80*$AX78,0)</f>
        <v>0</v>
      </c>
      <c r="AT78" s="1275">
        <f>ROUND(U80*$AX78,0)</f>
        <v>0</v>
      </c>
      <c r="AU78" s="1275">
        <f>ROUND(V80*$AX78,0)</f>
        <v>0</v>
      </c>
      <c r="AV78" s="1275">
        <f>ROUND(W80*$AX78,0)</f>
        <v>0</v>
      </c>
      <c r="AW78" s="1275">
        <f>ROUND(X78*$AX78,0)</f>
        <v>1429</v>
      </c>
      <c r="AX78" s="1277">
        <v>0.45</v>
      </c>
      <c r="AY78" s="1258"/>
      <c r="AZ78" s="1258"/>
    </row>
    <row r="79" spans="1:60" s="1257" customFormat="1" ht="21" customHeight="1">
      <c r="A79" s="2431"/>
      <c r="B79" s="2432"/>
      <c r="C79" s="2515"/>
      <c r="D79" s="1280"/>
      <c r="E79" s="1280"/>
      <c r="F79" s="1280"/>
      <c r="G79" s="1280"/>
      <c r="H79" s="1280"/>
      <c r="I79" s="2515"/>
      <c r="J79" s="1280"/>
      <c r="K79" s="1280"/>
      <c r="L79" s="1280"/>
      <c r="M79" s="1280"/>
      <c r="N79" s="2515"/>
      <c r="O79" s="1280"/>
      <c r="P79" s="1280"/>
      <c r="Q79" s="1280"/>
      <c r="R79" s="1280"/>
      <c r="S79" s="2515"/>
      <c r="T79" s="1280"/>
      <c r="U79" s="1280"/>
      <c r="V79" s="1280"/>
      <c r="W79" s="1280"/>
      <c r="X79" s="2515"/>
      <c r="Y79" s="2516"/>
      <c r="Z79" s="2431"/>
      <c r="AA79" s="1336" t="str">
        <f>CONCATENATE(AA80," 중복제외인구")</f>
        <v>보천산업단지 중복제외인구</v>
      </c>
      <c r="AB79" s="1275">
        <f>ROUND(C78*$AX79,0)</f>
        <v>0</v>
      </c>
      <c r="AC79" s="1275">
        <f>ROUND(D80*$AX79,0)</f>
        <v>0</v>
      </c>
      <c r="AD79" s="1275">
        <f>-ROUND(IF(E80&gt;0,SUMIF('사회적 유입 중복인구 제외근거'!$E$6:$E$53,$AA80,'사회적 유입 중복인구 제외근거'!$F$6:$F$53),0),0)</f>
        <v>0</v>
      </c>
      <c r="AE79" s="1275">
        <f>-ROUND(IF(F80&gt;0,SUMIF('사회적 유입 중복인구 제외근거'!$E$6:$E$53,$AA80,'사회적 유입 중복인구 제외근거'!$F$6:$F$53),0),0)</f>
        <v>0</v>
      </c>
      <c r="AF79" s="1275">
        <f>-ROUND(IF(G80&gt;0,SUMIF('사회적 유입 중복인구 제외근거'!$E$6:$E$53,$AA80,'사회적 유입 중복인구 제외근거'!$F$6:$F$53),0),0)</f>
        <v>0</v>
      </c>
      <c r="AG79" s="1275">
        <f>-ROUND(IF(H80&gt;0,SUMIF('사회적 유입 중복인구 제외근거'!$E$6:$E$53,$AA80,'사회적 유입 중복인구 제외근거'!$F$6:$F$53),0),0)</f>
        <v>0</v>
      </c>
      <c r="AH79" s="1275">
        <f>-ROUND(IF(I78&gt;0,SUMIF('사회적 유입 중복인구 제외근거'!$E$6:$E$53,$AA80,'사회적 유입 중복인구 제외근거'!$F$6:$F$53),0),0)</f>
        <v>0</v>
      </c>
      <c r="AI79" s="1275">
        <f>-ROUND(IF(J80&gt;0,SUMIF('사회적 유입 중복인구 제외근거'!$E$6:$E$53,$AA80,'사회적 유입 중복인구 제외근거'!$F$6:$F$53),0),0)</f>
        <v>0</v>
      </c>
      <c r="AJ79" s="1275">
        <f>-ROUND(IF(K80&gt;0,SUMIF('사회적 유입 중복인구 제외근거'!$E$6:$E$53,$AA80,'사회적 유입 중복인구 제외근거'!$F$6:$F$53),0),0)</f>
        <v>0</v>
      </c>
      <c r="AK79" s="1275">
        <f>-ROUND(IF(L80&gt;0,SUMIF('사회적 유입 중복인구 제외근거'!$E$6:$E$53,$AA80,'사회적 유입 중복인구 제외근거'!$F$6:$F$53),0),0)</f>
        <v>0</v>
      </c>
      <c r="AL79" s="1275">
        <f>-ROUND(IF(M80&gt;0,SUMIF('사회적 유입 중복인구 제외근거'!$E$6:$E$53,$AA80,'사회적 유입 중복인구 제외근거'!$F$6:$F$53),0),0)</f>
        <v>0</v>
      </c>
      <c r="AM79" s="1275">
        <f>-ROUND(IF(N78&gt;0,SUMIF('사회적 유입 중복인구 제외근거'!$E$6:$E$53,$AA80,'사회적 유입 중복인구 제외근거'!$F$6:$F$53),0),0)</f>
        <v>0</v>
      </c>
      <c r="AN79" s="1275">
        <f>-ROUND(IF(O80&gt;0,SUMIF('사회적 유입 중복인구 제외근거'!$E$6:$E$53,$AA80,'사회적 유입 중복인구 제외근거'!$F$6:$F$53),0),0)</f>
        <v>0</v>
      </c>
      <c r="AO79" s="1275">
        <f>-ROUND(IF(P80&gt;0,SUMIF('사회적 유입 중복인구 제외근거'!$E$6:$E$53,$AA80,'사회적 유입 중복인구 제외근거'!$F$6:$F$53),0),0)</f>
        <v>0</v>
      </c>
      <c r="AP79" s="1275">
        <f>-ROUND(IF(Q80&gt;0,SUMIF('사회적 유입 중복인구 제외근거'!$E$6:$E$53,$AA80,'사회적 유입 중복인구 제외근거'!$F$6:$F$53),0),0)</f>
        <v>0</v>
      </c>
      <c r="AQ79" s="1275">
        <f>-ROUND(IF(R80&gt;0,SUMIF('사회적 유입 중복인구 제외근거'!$E$6:$E$53,$AA80,'사회적 유입 중복인구 제외근거'!$F$6:$F$53),0),0)</f>
        <v>0</v>
      </c>
      <c r="AR79" s="1275">
        <f>-ROUND(IF(S78&gt;0,SUMIF('사회적 유입 중복인구 제외근거'!$E$6:$E$53,$AA80,'사회적 유입 중복인구 제외근거'!$F$6:$F$53),0),0)</f>
        <v>0</v>
      </c>
      <c r="AS79" s="1275">
        <f>-ROUND(IF(T80&gt;0,SUMIF('사회적 유입 중복인구 제외근거'!$E$6:$E$53,$AA80,'사회적 유입 중복인구 제외근거'!$F$6:$F$53),0),0)</f>
        <v>0</v>
      </c>
      <c r="AT79" s="1275">
        <f>-ROUND(IF(U80&gt;0,SUMIF('사회적 유입 중복인구 제외근거'!$E$6:$E$53,$AA80,'사회적 유입 중복인구 제외근거'!$F$6:$F$53),0),0)</f>
        <v>0</v>
      </c>
      <c r="AU79" s="1275">
        <f>-ROUND(IF(V80&gt;0,SUMIF('사회적 유입 중복인구 제외근거'!$E$6:$E$53,$AA80,'사회적 유입 중복인구 제외근거'!$F$6:$F$53),0),0)</f>
        <v>0</v>
      </c>
      <c r="AV79" s="1275">
        <f>-ROUND(IF(W80&gt;0,SUMIF('사회적 유입 중복인구 제외근거'!$E$6:$E$53,$AA80,'사회적 유입 중복인구 제외근거'!$F$6:$F$53),0),0)</f>
        <v>0</v>
      </c>
      <c r="AW79" s="1275">
        <f>-ROUND(IF(X78&gt;0,SUMIF('사회적 유입 중복인구 제외근거'!$E$6:$E$53,$AA80,'사회적 유입 중복인구 제외근거'!$F$6:$F$53),0),0)</f>
        <v>0</v>
      </c>
      <c r="AX79" s="1277"/>
      <c r="AY79" s="1258"/>
      <c r="AZ79" s="1258"/>
    </row>
    <row r="80" spans="1:60" s="1257" customFormat="1" ht="21" customHeight="1">
      <c r="A80" s="2431"/>
      <c r="B80" s="2432"/>
      <c r="C80" s="2515"/>
      <c r="D80" s="1275">
        <f>IF(D$140='1.4.3개발계획현황'!$K$64,'1.4.3개발계획현황'!$AA$64,C78)</f>
        <v>0</v>
      </c>
      <c r="E80" s="1275">
        <f>IF(E$140='1.4.3개발계획현황'!$K$64,'1.4.3개발계획현황'!$AA$64,D80)</f>
        <v>0</v>
      </c>
      <c r="F80" s="1275">
        <f>IF(F$140='1.4.3개발계획현황'!$K$64,'1.4.3개발계획현황'!$AA$64,E80)</f>
        <v>0</v>
      </c>
      <c r="G80" s="1275">
        <f>IF(G$140='1.4.3개발계획현황'!$K$64,'1.4.3개발계획현황'!$AA$64,F80)</f>
        <v>0</v>
      </c>
      <c r="H80" s="1275">
        <f>IF(H$140='1.4.3개발계획현황'!$K$64,'1.4.3개발계획현황'!$AA$64,G80)</f>
        <v>0</v>
      </c>
      <c r="I80" s="2515"/>
      <c r="J80" s="1275">
        <f>IF(J$140='1.4.3개발계획현황'!$K$64,'1.4.3개발계획현황'!$AA$64,I78)</f>
        <v>0</v>
      </c>
      <c r="K80" s="1275">
        <f>IF(K$140='1.4.3개발계획현황'!$K$64,'1.4.3개발계획현황'!$AA$64,J80)</f>
        <v>0</v>
      </c>
      <c r="L80" s="1275">
        <f>IF(L$140='1.4.3개발계획현황'!$K$64,'1.4.3개발계획현황'!$AA$64,K80)</f>
        <v>0</v>
      </c>
      <c r="M80" s="1275">
        <f>IF(M$140='1.4.3개발계획현황'!$K$64,'1.4.3개발계획현황'!$AA$64,L80)</f>
        <v>0</v>
      </c>
      <c r="N80" s="2515"/>
      <c r="O80" s="1275">
        <f>IF(O$140='1.4.3개발계획현황'!$K$64,'1.4.3개발계획현황'!$AA$64,N78)</f>
        <v>0</v>
      </c>
      <c r="P80" s="1275">
        <f>IF(P$140='1.4.3개발계획현황'!$K$64,'1.4.3개발계획현황'!$AA$64,O80)</f>
        <v>0</v>
      </c>
      <c r="Q80" s="1275">
        <f>IF(Q$140='1.4.3개발계획현황'!$K$64,'1.4.3개발계획현황'!$AA$64,P80)</f>
        <v>0</v>
      </c>
      <c r="R80" s="1275">
        <f>IF(R$140='1.4.3개발계획현황'!$K$64,'1.4.3개발계획현황'!$AA$64,Q80)</f>
        <v>0</v>
      </c>
      <c r="S80" s="2515"/>
      <c r="T80" s="1275">
        <f>IF(T$140='1.4.3개발계획현황'!$K$64,'1.4.3개발계획현황'!$AA$64,S78)</f>
        <v>0</v>
      </c>
      <c r="U80" s="1275">
        <f>IF(U$140='1.4.3개발계획현황'!$K$64,'1.4.3개발계획현황'!$AA$64,T80)</f>
        <v>0</v>
      </c>
      <c r="V80" s="1275">
        <f>IF(V$140='1.4.3개발계획현황'!$K$64,'1.4.3개발계획현황'!$AA$64,U80)</f>
        <v>0</v>
      </c>
      <c r="W80" s="1275">
        <f>IF(W$140='1.4.3개발계획현황'!$K$64,'1.4.3개발계획현황'!$AA$64,V80)</f>
        <v>0</v>
      </c>
      <c r="X80" s="2515"/>
      <c r="Y80" s="2516"/>
      <c r="Z80" s="2431"/>
      <c r="AA80" s="1286" t="str">
        <f>B78</f>
        <v>보천산업단지</v>
      </c>
      <c r="AB80" s="1287">
        <f>ROUND(AB78+AB79,0)</f>
        <v>0</v>
      </c>
      <c r="AC80" s="1337">
        <f t="shared" ref="AC80:AW80" si="144">ROUND(AC78+AC79,0)</f>
        <v>0</v>
      </c>
      <c r="AD80" s="1337">
        <f t="shared" si="144"/>
        <v>0</v>
      </c>
      <c r="AE80" s="1337">
        <f t="shared" si="144"/>
        <v>0</v>
      </c>
      <c r="AF80" s="1337">
        <f t="shared" si="144"/>
        <v>0</v>
      </c>
      <c r="AG80" s="1337">
        <f t="shared" si="144"/>
        <v>0</v>
      </c>
      <c r="AH80" s="1337">
        <f t="shared" si="144"/>
        <v>0</v>
      </c>
      <c r="AI80" s="1337">
        <f t="shared" si="144"/>
        <v>0</v>
      </c>
      <c r="AJ80" s="1337">
        <f t="shared" si="144"/>
        <v>0</v>
      </c>
      <c r="AK80" s="1337">
        <f t="shared" si="144"/>
        <v>0</v>
      </c>
      <c r="AL80" s="1337">
        <f t="shared" si="144"/>
        <v>0</v>
      </c>
      <c r="AM80" s="1337">
        <f t="shared" si="144"/>
        <v>0</v>
      </c>
      <c r="AN80" s="1337">
        <f t="shared" si="144"/>
        <v>0</v>
      </c>
      <c r="AO80" s="1337">
        <f t="shared" si="144"/>
        <v>0</v>
      </c>
      <c r="AP80" s="1337">
        <f t="shared" si="144"/>
        <v>0</v>
      </c>
      <c r="AQ80" s="1337">
        <f t="shared" si="144"/>
        <v>0</v>
      </c>
      <c r="AR80" s="1337">
        <f t="shared" si="144"/>
        <v>0</v>
      </c>
      <c r="AS80" s="1337">
        <f t="shared" si="144"/>
        <v>0</v>
      </c>
      <c r="AT80" s="1337">
        <f t="shared" si="144"/>
        <v>0</v>
      </c>
      <c r="AU80" s="1337">
        <f t="shared" si="144"/>
        <v>0</v>
      </c>
      <c r="AV80" s="1337">
        <f t="shared" si="144"/>
        <v>0</v>
      </c>
      <c r="AW80" s="1337">
        <f t="shared" si="144"/>
        <v>1429</v>
      </c>
      <c r="AX80" s="1338"/>
      <c r="AY80" s="1258"/>
      <c r="AZ80" s="1258"/>
    </row>
    <row r="81" spans="1:60" s="1257" customFormat="1" ht="21" customHeight="1">
      <c r="A81" s="2517"/>
      <c r="B81" s="1289" t="s">
        <v>72</v>
      </c>
      <c r="C81" s="1290">
        <f>SUM(C78:C80)</f>
        <v>0</v>
      </c>
      <c r="D81" s="1290">
        <f>SUM(D80:D80)</f>
        <v>0</v>
      </c>
      <c r="E81" s="1290">
        <f>SUM(E80:E80)</f>
        <v>0</v>
      </c>
      <c r="F81" s="1290">
        <f>SUM(F80:F80)</f>
        <v>0</v>
      </c>
      <c r="G81" s="1290">
        <f>SUM(G80:G80)</f>
        <v>0</v>
      </c>
      <c r="H81" s="1290">
        <f>SUM(H80:H80)</f>
        <v>0</v>
      </c>
      <c r="I81" s="1290">
        <f>SUM(I78:I80)</f>
        <v>0</v>
      </c>
      <c r="J81" s="1290">
        <f>SUM(J80:J80)</f>
        <v>0</v>
      </c>
      <c r="K81" s="1290">
        <f>SUM(K80:K80)</f>
        <v>0</v>
      </c>
      <c r="L81" s="1290">
        <f>SUM(L80:L80)</f>
        <v>0</v>
      </c>
      <c r="M81" s="1290">
        <f>SUM(M80:M80)</f>
        <v>0</v>
      </c>
      <c r="N81" s="1290">
        <f>SUM(N78:N80)</f>
        <v>0</v>
      </c>
      <c r="O81" s="1290">
        <f>SUM(O80:O80)</f>
        <v>0</v>
      </c>
      <c r="P81" s="1290">
        <f>SUM(P80:P80)</f>
        <v>0</v>
      </c>
      <c r="Q81" s="1290">
        <f>SUM(Q80:Q80)</f>
        <v>0</v>
      </c>
      <c r="R81" s="1290">
        <f>SUM(R80:R80)</f>
        <v>0</v>
      </c>
      <c r="S81" s="1290">
        <f>SUM(S78:S80)</f>
        <v>0</v>
      </c>
      <c r="T81" s="1290">
        <f>SUM(T80:T80)</f>
        <v>0</v>
      </c>
      <c r="U81" s="1290">
        <f>SUM(U80:U80)</f>
        <v>0</v>
      </c>
      <c r="V81" s="1290">
        <f>SUM(V80:V80)</f>
        <v>0</v>
      </c>
      <c r="W81" s="1290">
        <f>SUM(W80:W80)</f>
        <v>0</v>
      </c>
      <c r="X81" s="1290">
        <f>SUM(X78:X80)</f>
        <v>3175</v>
      </c>
      <c r="Y81" s="1291"/>
      <c r="Z81" s="2517"/>
      <c r="AA81" s="1289" t="s">
        <v>72</v>
      </c>
      <c r="AB81" s="1290">
        <f>+AB80</f>
        <v>0</v>
      </c>
      <c r="AC81" s="1290">
        <f t="shared" ref="AC81:AW81" si="145">+AC80</f>
        <v>0</v>
      </c>
      <c r="AD81" s="1290">
        <f t="shared" si="145"/>
        <v>0</v>
      </c>
      <c r="AE81" s="1290">
        <f t="shared" si="145"/>
        <v>0</v>
      </c>
      <c r="AF81" s="1290">
        <f t="shared" si="145"/>
        <v>0</v>
      </c>
      <c r="AG81" s="1290">
        <f t="shared" si="145"/>
        <v>0</v>
      </c>
      <c r="AH81" s="1290">
        <f t="shared" si="145"/>
        <v>0</v>
      </c>
      <c r="AI81" s="1290">
        <f t="shared" si="145"/>
        <v>0</v>
      </c>
      <c r="AJ81" s="1290">
        <f t="shared" si="145"/>
        <v>0</v>
      </c>
      <c r="AK81" s="1290">
        <f t="shared" si="145"/>
        <v>0</v>
      </c>
      <c r="AL81" s="1290">
        <f t="shared" si="145"/>
        <v>0</v>
      </c>
      <c r="AM81" s="1290">
        <f t="shared" si="145"/>
        <v>0</v>
      </c>
      <c r="AN81" s="1290">
        <f t="shared" si="145"/>
        <v>0</v>
      </c>
      <c r="AO81" s="1290">
        <f t="shared" si="145"/>
        <v>0</v>
      </c>
      <c r="AP81" s="1290">
        <f t="shared" si="145"/>
        <v>0</v>
      </c>
      <c r="AQ81" s="1290">
        <f t="shared" si="145"/>
        <v>0</v>
      </c>
      <c r="AR81" s="1290">
        <f t="shared" si="145"/>
        <v>0</v>
      </c>
      <c r="AS81" s="1290">
        <f t="shared" si="145"/>
        <v>0</v>
      </c>
      <c r="AT81" s="1290">
        <f t="shared" si="145"/>
        <v>0</v>
      </c>
      <c r="AU81" s="1290">
        <f t="shared" si="145"/>
        <v>0</v>
      </c>
      <c r="AV81" s="1290">
        <f t="shared" si="145"/>
        <v>0</v>
      </c>
      <c r="AW81" s="1290">
        <f t="shared" si="145"/>
        <v>1429</v>
      </c>
      <c r="AX81" s="1291"/>
      <c r="AY81" s="1258"/>
      <c r="AZ81" s="1258"/>
    </row>
    <row r="82" spans="1:60" s="1257" customFormat="1" ht="21" customHeight="1">
      <c r="A82" s="1292" t="s">
        <v>79</v>
      </c>
      <c r="B82" s="1293"/>
      <c r="C82" s="1294">
        <f>SUM(C81)</f>
        <v>0</v>
      </c>
      <c r="D82" s="1294">
        <f t="shared" ref="D82" si="146">SUM(D81)</f>
        <v>0</v>
      </c>
      <c r="E82" s="1294">
        <f t="shared" ref="E82" si="147">SUM(E81)</f>
        <v>0</v>
      </c>
      <c r="F82" s="1294">
        <f t="shared" ref="F82" si="148">SUM(F81)</f>
        <v>0</v>
      </c>
      <c r="G82" s="1294">
        <f t="shared" ref="G82" si="149">SUM(G81)</f>
        <v>0</v>
      </c>
      <c r="H82" s="1294">
        <f t="shared" ref="H82" si="150">SUM(H81)</f>
        <v>0</v>
      </c>
      <c r="I82" s="1294">
        <f t="shared" ref="I82" si="151">SUM(I81)</f>
        <v>0</v>
      </c>
      <c r="J82" s="1294">
        <f t="shared" ref="J82" si="152">SUM(J81)</f>
        <v>0</v>
      </c>
      <c r="K82" s="1294">
        <f t="shared" ref="K82" si="153">SUM(K81)</f>
        <v>0</v>
      </c>
      <c r="L82" s="1294">
        <f t="shared" ref="L82" si="154">SUM(L81)</f>
        <v>0</v>
      </c>
      <c r="M82" s="1294">
        <f t="shared" ref="M82" si="155">SUM(M81)</f>
        <v>0</v>
      </c>
      <c r="N82" s="1294">
        <f t="shared" ref="N82" si="156">SUM(N81)</f>
        <v>0</v>
      </c>
      <c r="O82" s="1294">
        <f t="shared" ref="O82" si="157">SUM(O81)</f>
        <v>0</v>
      </c>
      <c r="P82" s="1294">
        <f t="shared" ref="P82" si="158">SUM(P81)</f>
        <v>0</v>
      </c>
      <c r="Q82" s="1294">
        <f t="shared" ref="Q82" si="159">SUM(Q81)</f>
        <v>0</v>
      </c>
      <c r="R82" s="1294">
        <f t="shared" ref="R82" si="160">SUM(R81)</f>
        <v>0</v>
      </c>
      <c r="S82" s="1294">
        <f t="shared" ref="S82" si="161">SUM(S81)</f>
        <v>0</v>
      </c>
      <c r="T82" s="1294">
        <f t="shared" ref="T82" si="162">SUM(T81)</f>
        <v>0</v>
      </c>
      <c r="U82" s="1294">
        <f t="shared" ref="U82" si="163">SUM(U81)</f>
        <v>0</v>
      </c>
      <c r="V82" s="1294">
        <f t="shared" ref="V82" si="164">SUM(V81)</f>
        <v>0</v>
      </c>
      <c r="W82" s="1294">
        <f t="shared" ref="W82" si="165">SUM(W81)</f>
        <v>0</v>
      </c>
      <c r="X82" s="1294">
        <f t="shared" ref="X82" si="166">SUM(X81)</f>
        <v>3175</v>
      </c>
      <c r="Y82" s="1295"/>
      <c r="Z82" s="1292" t="s">
        <v>79</v>
      </c>
      <c r="AA82" s="1293"/>
      <c r="AB82" s="1294">
        <f>SUM(AB81)</f>
        <v>0</v>
      </c>
      <c r="AC82" s="1294">
        <f t="shared" ref="AC82" si="167">SUM(AC81)</f>
        <v>0</v>
      </c>
      <c r="AD82" s="1294">
        <f t="shared" ref="AD82" si="168">SUM(AD81)</f>
        <v>0</v>
      </c>
      <c r="AE82" s="1294">
        <f t="shared" ref="AE82" si="169">SUM(AE81)</f>
        <v>0</v>
      </c>
      <c r="AF82" s="1294">
        <f t="shared" ref="AF82" si="170">SUM(AF81)</f>
        <v>0</v>
      </c>
      <c r="AG82" s="1294">
        <f t="shared" ref="AG82" si="171">SUM(AG81)</f>
        <v>0</v>
      </c>
      <c r="AH82" s="1294">
        <f t="shared" ref="AH82" si="172">SUM(AH81)</f>
        <v>0</v>
      </c>
      <c r="AI82" s="1294">
        <f t="shared" ref="AI82" si="173">SUM(AI81)</f>
        <v>0</v>
      </c>
      <c r="AJ82" s="1294">
        <f t="shared" ref="AJ82" si="174">SUM(AJ81)</f>
        <v>0</v>
      </c>
      <c r="AK82" s="1294">
        <f t="shared" ref="AK82" si="175">SUM(AK81)</f>
        <v>0</v>
      </c>
      <c r="AL82" s="1294">
        <f t="shared" ref="AL82" si="176">SUM(AL81)</f>
        <v>0</v>
      </c>
      <c r="AM82" s="1294">
        <f t="shared" ref="AM82" si="177">SUM(AM81)</f>
        <v>0</v>
      </c>
      <c r="AN82" s="1294">
        <f t="shared" ref="AN82" si="178">SUM(AN81)</f>
        <v>0</v>
      </c>
      <c r="AO82" s="1294">
        <f t="shared" ref="AO82" si="179">SUM(AO81)</f>
        <v>0</v>
      </c>
      <c r="AP82" s="1294">
        <f t="shared" ref="AP82" si="180">SUM(AP81)</f>
        <v>0</v>
      </c>
      <c r="AQ82" s="1294">
        <f t="shared" ref="AQ82" si="181">SUM(AQ81)</f>
        <v>0</v>
      </c>
      <c r="AR82" s="1294">
        <f t="shared" ref="AR82" si="182">SUM(AR81)</f>
        <v>0</v>
      </c>
      <c r="AS82" s="1294">
        <f t="shared" ref="AS82" si="183">SUM(AS81)</f>
        <v>0</v>
      </c>
      <c r="AT82" s="1294">
        <f t="shared" ref="AT82" si="184">SUM(AT81)</f>
        <v>0</v>
      </c>
      <c r="AU82" s="1294">
        <f t="shared" ref="AU82" si="185">SUM(AU81)</f>
        <v>0</v>
      </c>
      <c r="AV82" s="1294">
        <f t="shared" ref="AV82" si="186">SUM(AV81)</f>
        <v>0</v>
      </c>
      <c r="AW82" s="1294">
        <f t="shared" ref="AW82" si="187">SUM(AW81)</f>
        <v>1429</v>
      </c>
      <c r="AX82" s="1295"/>
      <c r="AY82" s="1258"/>
      <c r="AZ82" s="1258"/>
    </row>
    <row r="83" spans="1:60" ht="9.9499999999999993" customHeight="1">
      <c r="A83" s="1264"/>
      <c r="B83" s="1254"/>
      <c r="C83" s="1255"/>
      <c r="D83" s="1255"/>
      <c r="E83" s="1255"/>
      <c r="F83" s="1255"/>
      <c r="G83" s="1255"/>
      <c r="H83" s="1255"/>
      <c r="I83" s="1255"/>
      <c r="J83" s="1255"/>
      <c r="K83" s="1255"/>
      <c r="L83" s="1255"/>
      <c r="M83" s="1255"/>
      <c r="N83" s="1255"/>
      <c r="O83" s="1255"/>
      <c r="P83" s="1256"/>
      <c r="Q83" s="1255"/>
      <c r="R83" s="1255"/>
      <c r="S83" s="1255"/>
      <c r="T83" s="1255"/>
      <c r="U83" s="1256"/>
      <c r="V83" s="1256"/>
      <c r="W83" s="1256"/>
      <c r="X83" s="1256"/>
      <c r="Y83" s="1254"/>
      <c r="Z83" s="1264"/>
      <c r="AA83" s="1267"/>
      <c r="AB83" s="1255"/>
      <c r="AC83" s="1255"/>
      <c r="AD83" s="1255"/>
      <c r="AE83" s="1255"/>
      <c r="AF83" s="1255"/>
      <c r="AG83" s="1255"/>
      <c r="AH83" s="1255"/>
      <c r="AI83" s="1255"/>
      <c r="AJ83" s="1255"/>
      <c r="AK83" s="1255"/>
      <c r="AL83" s="1255"/>
      <c r="AM83" s="1255"/>
      <c r="AN83" s="1255"/>
      <c r="AO83" s="1256"/>
      <c r="AP83" s="1255"/>
      <c r="AQ83" s="1255"/>
      <c r="AR83" s="1255"/>
      <c r="AS83" s="1255"/>
      <c r="AT83" s="1256"/>
      <c r="AU83" s="1256"/>
      <c r="AV83" s="1256"/>
      <c r="AW83" s="1256"/>
      <c r="AX83" s="1254"/>
      <c r="AY83" s="1278">
        <f>ROUND(X64*0.13,0)</f>
        <v>0</v>
      </c>
      <c r="BH83" s="1296"/>
    </row>
    <row r="84" spans="1:60" s="1257" customFormat="1" ht="20.45" customHeight="1">
      <c r="A84" s="1264" t="s">
        <v>1443</v>
      </c>
      <c r="B84" s="1254"/>
      <c r="C84" s="1255"/>
      <c r="D84" s="1255"/>
      <c r="E84" s="1255"/>
      <c r="F84" s="1255">
        <f>E86+(I86-E86)/4*1</f>
        <v>8665.25</v>
      </c>
      <c r="G84" s="1255"/>
      <c r="H84" s="1255"/>
      <c r="I84" s="1255"/>
      <c r="J84" s="1255"/>
      <c r="K84" s="1255"/>
      <c r="L84" s="1255"/>
      <c r="M84" s="1255"/>
      <c r="N84" s="1255"/>
      <c r="O84" s="1255"/>
      <c r="P84" s="1256"/>
      <c r="Q84" s="1255"/>
      <c r="R84" s="1255"/>
      <c r="S84" s="1255"/>
      <c r="T84" s="1255"/>
      <c r="U84" s="1256"/>
      <c r="V84" s="1256"/>
      <c r="W84" s="1256"/>
      <c r="X84" s="1256"/>
      <c r="Y84" s="1266" t="s">
        <v>76</v>
      </c>
      <c r="Z84" s="1264" t="s">
        <v>1443</v>
      </c>
      <c r="AA84" s="1267"/>
      <c r="AB84" s="1255"/>
      <c r="AC84" s="1255"/>
      <c r="AD84" s="1255"/>
      <c r="AE84" s="1255"/>
      <c r="AF84" s="1255"/>
      <c r="AG84" s="1255"/>
      <c r="AH84" s="1255"/>
      <c r="AI84" s="1255"/>
      <c r="AJ84" s="1255"/>
      <c r="AK84" s="1255"/>
      <c r="AL84" s="1255"/>
      <c r="AM84" s="1255"/>
      <c r="AN84" s="1255"/>
      <c r="AO84" s="1256"/>
      <c r="AP84" s="1255"/>
      <c r="AQ84" s="1255"/>
      <c r="AR84" s="1255"/>
      <c r="AS84" s="1255"/>
      <c r="AT84" s="1339"/>
      <c r="AU84" s="1339"/>
      <c r="AV84" s="1339"/>
      <c r="AW84" s="1339"/>
      <c r="AX84" s="1266" t="s">
        <v>76</v>
      </c>
      <c r="AY84" s="1272"/>
      <c r="AZ84" s="1258"/>
    </row>
    <row r="85" spans="1:60" s="1257" customFormat="1" ht="20.45" customHeight="1">
      <c r="A85" s="1298" t="s">
        <v>77</v>
      </c>
      <c r="B85" s="1299"/>
      <c r="C85" s="1270">
        <v>2014</v>
      </c>
      <c r="D85" s="1300">
        <v>2015</v>
      </c>
      <c r="E85" s="1300">
        <v>2016</v>
      </c>
      <c r="F85" s="1300">
        <v>2017</v>
      </c>
      <c r="G85" s="1300">
        <v>2018</v>
      </c>
      <c r="H85" s="1300">
        <v>2019</v>
      </c>
      <c r="I85" s="1300">
        <v>2020</v>
      </c>
      <c r="J85" s="1300">
        <v>2021</v>
      </c>
      <c r="K85" s="1300">
        <v>2022</v>
      </c>
      <c r="L85" s="1300">
        <v>2023</v>
      </c>
      <c r="M85" s="1300">
        <v>2024</v>
      </c>
      <c r="N85" s="1300">
        <v>2025</v>
      </c>
      <c r="O85" s="1300">
        <v>2026</v>
      </c>
      <c r="P85" s="1300">
        <v>2027</v>
      </c>
      <c r="Q85" s="1300">
        <v>2028</v>
      </c>
      <c r="R85" s="1300">
        <v>2029</v>
      </c>
      <c r="S85" s="1300">
        <v>2030</v>
      </c>
      <c r="T85" s="1300">
        <v>2031</v>
      </c>
      <c r="U85" s="1300">
        <v>2032</v>
      </c>
      <c r="V85" s="1300">
        <v>2033</v>
      </c>
      <c r="W85" s="1300">
        <v>2034</v>
      </c>
      <c r="X85" s="1300">
        <v>2035</v>
      </c>
      <c r="Y85" s="1301" t="s">
        <v>60</v>
      </c>
      <c r="Z85" s="1298" t="s">
        <v>77</v>
      </c>
      <c r="AA85" s="1299"/>
      <c r="AB85" s="1270">
        <v>2014</v>
      </c>
      <c r="AC85" s="1300">
        <v>2015</v>
      </c>
      <c r="AD85" s="1300">
        <v>2016</v>
      </c>
      <c r="AE85" s="1300">
        <v>2017</v>
      </c>
      <c r="AF85" s="1300">
        <v>2018</v>
      </c>
      <c r="AG85" s="1300">
        <v>2019</v>
      </c>
      <c r="AH85" s="1300">
        <v>2020</v>
      </c>
      <c r="AI85" s="1300">
        <v>2021</v>
      </c>
      <c r="AJ85" s="1300">
        <v>2022</v>
      </c>
      <c r="AK85" s="1300">
        <v>2023</v>
      </c>
      <c r="AL85" s="1300">
        <v>2024</v>
      </c>
      <c r="AM85" s="1300">
        <v>2025</v>
      </c>
      <c r="AN85" s="1300">
        <v>2026</v>
      </c>
      <c r="AO85" s="1300">
        <v>2027</v>
      </c>
      <c r="AP85" s="1300">
        <v>2028</v>
      </c>
      <c r="AQ85" s="1300">
        <v>2029</v>
      </c>
      <c r="AR85" s="1300">
        <v>2030</v>
      </c>
      <c r="AS85" s="1300">
        <v>2031</v>
      </c>
      <c r="AT85" s="1300">
        <v>2032</v>
      </c>
      <c r="AU85" s="1300">
        <v>2033</v>
      </c>
      <c r="AV85" s="1300">
        <v>2034</v>
      </c>
      <c r="AW85" s="1300">
        <v>2035</v>
      </c>
      <c r="AX85" s="1301" t="s">
        <v>97</v>
      </c>
      <c r="AY85" s="1326"/>
      <c r="AZ85" s="1258"/>
    </row>
    <row r="86" spans="1:60" ht="21" customHeight="1">
      <c r="A86" s="2538" t="s">
        <v>94</v>
      </c>
      <c r="B86" s="1340" t="str">
        <f>'1.4.3개발계획현황'!A7</f>
        <v>충북혁신도시</v>
      </c>
      <c r="C86" s="1341">
        <f>IF(C$85='1.4.3개발계획현황'!$K7,'1.4.3개발계획현황'!$AA7,0)</f>
        <v>0</v>
      </c>
      <c r="D86" s="1341">
        <f>IF(D$85='1.4.3개발계획현황'!$K7,'1.4.3개발계획현황'!$AA7,C86)</f>
        <v>0</v>
      </c>
      <c r="E86" s="1341">
        <f>'계획처리구역 인구결정'!F200</f>
        <v>7477</v>
      </c>
      <c r="F86" s="1341">
        <f>ROUND(E86+($I86-$E86)/4,0)</f>
        <v>8665</v>
      </c>
      <c r="G86" s="1341">
        <f>ROUND(F86+($I86-$E86)/4,0)</f>
        <v>9853</v>
      </c>
      <c r="H86" s="1341">
        <f>ROUND(G86+($I86-$E86)/4,0)</f>
        <v>11041</v>
      </c>
      <c r="I86" s="1341">
        <v>12230</v>
      </c>
      <c r="J86" s="1341">
        <f>IF(J$85='1.4.3개발계획현황'!$K7,'1.4.3개발계획현황'!$AA7,I86)</f>
        <v>12230</v>
      </c>
      <c r="K86" s="1341">
        <f>IF(K$85='1.4.3개발계획현황'!$K7,'1.4.3개발계획현황'!$AA7,J86)</f>
        <v>12230</v>
      </c>
      <c r="L86" s="1341">
        <f>IF(L$85='1.4.3개발계획현황'!$K7,'1.4.3개발계획현황'!$AA7,K86)</f>
        <v>12230</v>
      </c>
      <c r="M86" s="1341">
        <f>IF(M$85='1.4.3개발계획현황'!$K7,'1.4.3개발계획현황'!$AA7,L86)</f>
        <v>12230</v>
      </c>
      <c r="N86" s="1341">
        <f>IF(N$85='1.4.3개발계획현황'!$K7,'1.4.3개발계획현황'!$AA7,M86)</f>
        <v>12230</v>
      </c>
      <c r="O86" s="1341">
        <f>IF(O$85='1.4.3개발계획현황'!$K7,'1.4.3개발계획현황'!$AA7,N86)</f>
        <v>12230</v>
      </c>
      <c r="P86" s="1341">
        <f>IF(P$85='1.4.3개발계획현황'!$K7,'1.4.3개발계획현황'!$AA7,O86)</f>
        <v>12230</v>
      </c>
      <c r="Q86" s="1341">
        <f>IF(Q$85='1.4.3개발계획현황'!$K7,'1.4.3개발계획현황'!$AA7,P86)</f>
        <v>12230</v>
      </c>
      <c r="R86" s="1341">
        <f>IF(R$85='1.4.3개발계획현황'!$K7,'1.4.3개발계획현황'!$AA7,Q86)</f>
        <v>12230</v>
      </c>
      <c r="S86" s="1341">
        <f>IF(S$85='1.4.3개발계획현황'!$K7,'1.4.3개발계획현황'!$AA7,R86)</f>
        <v>12230</v>
      </c>
      <c r="T86" s="1341">
        <f>IF(T$85='1.4.3개발계획현황'!$K7,'1.4.3개발계획현황'!$AA7,S86)</f>
        <v>12230</v>
      </c>
      <c r="U86" s="1341">
        <f>IF(U$85='1.4.3개발계획현황'!$K7,'1.4.3개발계획현황'!$AA7,T86)</f>
        <v>12230</v>
      </c>
      <c r="V86" s="1341">
        <f>IF(V$85='1.4.3개발계획현황'!$K7,'1.4.3개발계획현황'!$AA7,U86)</f>
        <v>12230</v>
      </c>
      <c r="W86" s="1341">
        <f>IF(W$85='1.4.3개발계획현황'!$K7,'1.4.3개발계획현황'!$AA7,V86)</f>
        <v>12230</v>
      </c>
      <c r="X86" s="1341">
        <f>IF(X$85='1.4.3개발계획현황'!$K7,'1.4.3개발계획현황'!$AA7,W86)</f>
        <v>12230</v>
      </c>
      <c r="Y86" s="1342"/>
      <c r="Z86" s="2538" t="str">
        <f>A86</f>
        <v>도시개발사업</v>
      </c>
      <c r="AA86" s="1343" t="str">
        <f>B86</f>
        <v>충북혁신도시</v>
      </c>
      <c r="AB86" s="1341">
        <f t="shared" ref="AB86:AW86" si="188">ROUND(C86*$AX86,0)</f>
        <v>0</v>
      </c>
      <c r="AC86" s="1341">
        <f t="shared" si="188"/>
        <v>0</v>
      </c>
      <c r="AD86" s="1341">
        <f t="shared" si="188"/>
        <v>7477</v>
      </c>
      <c r="AE86" s="1341">
        <f t="shared" si="188"/>
        <v>8665</v>
      </c>
      <c r="AF86" s="1341">
        <f t="shared" si="188"/>
        <v>9853</v>
      </c>
      <c r="AG86" s="1341">
        <f t="shared" si="188"/>
        <v>11041</v>
      </c>
      <c r="AH86" s="1341">
        <f t="shared" si="188"/>
        <v>12230</v>
      </c>
      <c r="AI86" s="1341">
        <f t="shared" si="188"/>
        <v>12230</v>
      </c>
      <c r="AJ86" s="1341">
        <f t="shared" si="188"/>
        <v>12230</v>
      </c>
      <c r="AK86" s="1341">
        <f t="shared" si="188"/>
        <v>12230</v>
      </c>
      <c r="AL86" s="1341">
        <f t="shared" si="188"/>
        <v>12230</v>
      </c>
      <c r="AM86" s="1341">
        <f t="shared" si="188"/>
        <v>12230</v>
      </c>
      <c r="AN86" s="1341">
        <f t="shared" si="188"/>
        <v>12230</v>
      </c>
      <c r="AO86" s="1341">
        <f t="shared" si="188"/>
        <v>12230</v>
      </c>
      <c r="AP86" s="1341">
        <f t="shared" si="188"/>
        <v>12230</v>
      </c>
      <c r="AQ86" s="1341">
        <f t="shared" si="188"/>
        <v>12230</v>
      </c>
      <c r="AR86" s="1341">
        <f t="shared" si="188"/>
        <v>12230</v>
      </c>
      <c r="AS86" s="1341">
        <f t="shared" si="188"/>
        <v>12230</v>
      </c>
      <c r="AT86" s="1341">
        <f t="shared" si="188"/>
        <v>12230</v>
      </c>
      <c r="AU86" s="1341">
        <f t="shared" si="188"/>
        <v>12230</v>
      </c>
      <c r="AV86" s="1341">
        <f t="shared" si="188"/>
        <v>12230</v>
      </c>
      <c r="AW86" s="1341">
        <f t="shared" si="188"/>
        <v>12230</v>
      </c>
      <c r="AX86" s="1344">
        <v>1</v>
      </c>
    </row>
    <row r="87" spans="1:60" ht="21" customHeight="1">
      <c r="A87" s="2520"/>
      <c r="B87" s="1345" t="str">
        <f>'1.4.3개발계획현황'!A10</f>
        <v>맹동 택지개발</v>
      </c>
      <c r="C87" s="1311">
        <f>IF(C$85='1.4.3개발계획현황'!$K10,'1.4.3개발계획현황'!$AA10,0)</f>
        <v>0</v>
      </c>
      <c r="D87" s="1311">
        <f>IF(D$85='1.4.3개발계획현황'!$K10,'1.4.3개발계획현황'!$AA10,C87)</f>
        <v>0</v>
      </c>
      <c r="E87" s="1311">
        <f>IF(E$85='1.4.3개발계획현황'!$K10,'1.4.3개발계획현황'!$AA10,D87)</f>
        <v>0</v>
      </c>
      <c r="F87" s="1311">
        <f>IF(F$85='1.4.3개발계획현황'!$K10,'1.4.3개발계획현황'!$AA10,E87)</f>
        <v>0</v>
      </c>
      <c r="G87" s="1311">
        <f>IF(G$85='1.4.3개발계획현황'!$K10,'1.4.3개발계획현황'!$AA10,F87)</f>
        <v>0</v>
      </c>
      <c r="H87" s="1311">
        <f>IF(H$85='1.4.3개발계획현황'!$K10,'1.4.3개발계획현황'!$AA10,G87)</f>
        <v>0</v>
      </c>
      <c r="I87" s="1311">
        <f>IF(I$85='1.4.3개발계획현황'!$K10,'1.4.3개발계획현황'!$AA10,H87)</f>
        <v>0</v>
      </c>
      <c r="J87" s="1311">
        <f>IF(J$85='1.4.3개발계획현황'!$K10,'1.4.3개발계획현황'!$AA10,I87)</f>
        <v>0</v>
      </c>
      <c r="K87" s="1311">
        <f>IF(K$85='1.4.3개발계획현황'!$K10,'1.4.3개발계획현황'!$AA10,J87)</f>
        <v>0</v>
      </c>
      <c r="L87" s="1311">
        <f>IF(L$85='1.4.3개발계획현황'!$K10,'1.4.3개발계획현황'!$AA10,K87)</f>
        <v>0</v>
      </c>
      <c r="M87" s="1311">
        <f>IF(M$85='1.4.3개발계획현황'!$K10,'1.4.3개발계획현황'!$AA10,L87)</f>
        <v>0</v>
      </c>
      <c r="N87" s="1311">
        <f>IF(N$85='1.4.3개발계획현황'!$K10,'1.4.3개발계획현황'!$AA10,M87)</f>
        <v>0</v>
      </c>
      <c r="O87" s="1311">
        <f>IF(O$85='1.4.3개발계획현황'!$K10,'1.4.3개발계획현황'!$AA10,N87)</f>
        <v>0</v>
      </c>
      <c r="P87" s="1311">
        <f>IF(P$85='1.4.3개발계획현황'!$K10,'1.4.3개발계획현황'!$AA10,O87)</f>
        <v>0</v>
      </c>
      <c r="Q87" s="1311">
        <f>IF(Q$85='1.4.3개발계획현황'!$K10,'1.4.3개발계획현황'!$AA10,P87)</f>
        <v>0</v>
      </c>
      <c r="R87" s="1311">
        <f>IF(R$85='1.4.3개발계획현황'!$K10,'1.4.3개발계획현황'!$AA10,Q87)</f>
        <v>0</v>
      </c>
      <c r="S87" s="1311">
        <f>IF(S$85='1.4.3개발계획현황'!$K10,'1.4.3개발계획현황'!$AA10,R87)</f>
        <v>0</v>
      </c>
      <c r="T87" s="1311">
        <f>IF(T$85='1.4.3개발계획현황'!$K10,'1.4.3개발계획현황'!$AA10,S87)</f>
        <v>0</v>
      </c>
      <c r="U87" s="1311">
        <f>IF(U$85='1.4.3개발계획현황'!$K10,'1.4.3개발계획현황'!$AA10,T87)</f>
        <v>0</v>
      </c>
      <c r="V87" s="1311">
        <f>IF(V$85='1.4.3개발계획현황'!$K10,'1.4.3개발계획현황'!$AA10,U87)</f>
        <v>0</v>
      </c>
      <c r="W87" s="1311">
        <f>IF(W$85='1.4.3개발계획현황'!$K10,'1.4.3개발계획현황'!$AA10,V87)</f>
        <v>0</v>
      </c>
      <c r="X87" s="1311">
        <f>IF(X$85='1.4.3개발계획현황'!$K10,'1.4.3개발계획현황'!$AA10,W87)</f>
        <v>3330</v>
      </c>
      <c r="Y87" s="1346"/>
      <c r="Z87" s="2520"/>
      <c r="AA87" s="1310" t="str">
        <f>B87</f>
        <v>맹동 택지개발</v>
      </c>
      <c r="AB87" s="1311">
        <f t="shared" ref="AB87" si="189">ROUND(C87*$AX87,0)</f>
        <v>0</v>
      </c>
      <c r="AC87" s="1311">
        <f t="shared" ref="AC87" si="190">ROUND(D87*$AX87,0)</f>
        <v>0</v>
      </c>
      <c r="AD87" s="1311">
        <f t="shared" ref="AD87" si="191">ROUND(E87*$AX87,0)</f>
        <v>0</v>
      </c>
      <c r="AE87" s="1311">
        <f t="shared" ref="AE87" si="192">ROUND(F87*$AX87,0)</f>
        <v>0</v>
      </c>
      <c r="AF87" s="1311">
        <f t="shared" ref="AF87" si="193">ROUND(G87*$AX87,0)</f>
        <v>0</v>
      </c>
      <c r="AG87" s="1311">
        <f t="shared" ref="AG87" si="194">ROUND(H87*$AX87,0)</f>
        <v>0</v>
      </c>
      <c r="AH87" s="1311">
        <f t="shared" ref="AH87" si="195">ROUND(I87*$AX87,0)</f>
        <v>0</v>
      </c>
      <c r="AI87" s="1311">
        <f t="shared" ref="AI87" si="196">ROUND(J87*$AX87,0)</f>
        <v>0</v>
      </c>
      <c r="AJ87" s="1311">
        <f t="shared" ref="AJ87" si="197">ROUND(K87*$AX87,0)</f>
        <v>0</v>
      </c>
      <c r="AK87" s="1311">
        <f t="shared" ref="AK87" si="198">ROUND(L87*$AX87,0)</f>
        <v>0</v>
      </c>
      <c r="AL87" s="1311">
        <f t="shared" ref="AL87" si="199">ROUND(M87*$AX87,0)</f>
        <v>0</v>
      </c>
      <c r="AM87" s="1311">
        <f t="shared" ref="AM87" si="200">ROUND(N87*$AX87,0)</f>
        <v>0</v>
      </c>
      <c r="AN87" s="1311">
        <f t="shared" ref="AN87" si="201">ROUND(O87*$AX87,0)</f>
        <v>0</v>
      </c>
      <c r="AO87" s="1311">
        <f t="shared" ref="AO87" si="202">ROUND(P87*$AX87,0)</f>
        <v>0</v>
      </c>
      <c r="AP87" s="1311">
        <f t="shared" ref="AP87" si="203">ROUND(Q87*$AX87,0)</f>
        <v>0</v>
      </c>
      <c r="AQ87" s="1311">
        <f t="shared" ref="AQ87" si="204">ROUND(R87*$AX87,0)</f>
        <v>0</v>
      </c>
      <c r="AR87" s="1311">
        <f t="shared" ref="AR87" si="205">ROUND(S87*$AX87,0)</f>
        <v>0</v>
      </c>
      <c r="AS87" s="1311">
        <f t="shared" ref="AS87" si="206">ROUND(T87*$AX87,0)</f>
        <v>0</v>
      </c>
      <c r="AT87" s="1311">
        <f t="shared" ref="AT87" si="207">ROUND(U87*$AX87,0)</f>
        <v>0</v>
      </c>
      <c r="AU87" s="1311">
        <f t="shared" ref="AU87" si="208">ROUND(V87*$AX87,0)</f>
        <v>0</v>
      </c>
      <c r="AV87" s="1311">
        <f t="shared" ref="AV87" si="209">ROUND(W87*$AX87,0)</f>
        <v>0</v>
      </c>
      <c r="AW87" s="1311">
        <f t="shared" ref="AW87" si="210">ROUND(X87*$AX87,0)</f>
        <v>2331</v>
      </c>
      <c r="AX87" s="1347">
        <v>0.7</v>
      </c>
    </row>
    <row r="88" spans="1:60" ht="21" customHeight="1">
      <c r="A88" s="2520"/>
      <c r="B88" s="1308" t="s">
        <v>72</v>
      </c>
      <c r="C88" s="1309">
        <f>SUM(C86:C87)</f>
        <v>0</v>
      </c>
      <c r="D88" s="1309">
        <f>SUM(D86:D87)</f>
        <v>0</v>
      </c>
      <c r="E88" s="1309">
        <f>SUM(E86:E87)</f>
        <v>7477</v>
      </c>
      <c r="F88" s="1309">
        <f t="shared" ref="F88:X88" si="211">SUM(F86:F87)</f>
        <v>8665</v>
      </c>
      <c r="G88" s="1309">
        <f t="shared" si="211"/>
        <v>9853</v>
      </c>
      <c r="H88" s="1309">
        <f t="shared" si="211"/>
        <v>11041</v>
      </c>
      <c r="I88" s="1309">
        <f t="shared" si="211"/>
        <v>12230</v>
      </c>
      <c r="J88" s="1309">
        <f t="shared" si="211"/>
        <v>12230</v>
      </c>
      <c r="K88" s="1309">
        <f t="shared" si="211"/>
        <v>12230</v>
      </c>
      <c r="L88" s="1309">
        <f t="shared" si="211"/>
        <v>12230</v>
      </c>
      <c r="M88" s="1309">
        <f t="shared" si="211"/>
        <v>12230</v>
      </c>
      <c r="N88" s="1309">
        <f t="shared" si="211"/>
        <v>12230</v>
      </c>
      <c r="O88" s="1309">
        <f t="shared" si="211"/>
        <v>12230</v>
      </c>
      <c r="P88" s="1309">
        <f t="shared" si="211"/>
        <v>12230</v>
      </c>
      <c r="Q88" s="1309">
        <f t="shared" si="211"/>
        <v>12230</v>
      </c>
      <c r="R88" s="1309">
        <f t="shared" si="211"/>
        <v>12230</v>
      </c>
      <c r="S88" s="1309">
        <f t="shared" si="211"/>
        <v>12230</v>
      </c>
      <c r="T88" s="1309">
        <f t="shared" si="211"/>
        <v>12230</v>
      </c>
      <c r="U88" s="1309">
        <f t="shared" si="211"/>
        <v>12230</v>
      </c>
      <c r="V88" s="1309">
        <f t="shared" si="211"/>
        <v>12230</v>
      </c>
      <c r="W88" s="1309">
        <f t="shared" si="211"/>
        <v>12230</v>
      </c>
      <c r="X88" s="1309">
        <f t="shared" si="211"/>
        <v>15560</v>
      </c>
      <c r="Y88" s="1348"/>
      <c r="Z88" s="2520"/>
      <c r="AA88" s="1308" t="s">
        <v>72</v>
      </c>
      <c r="AB88" s="1309">
        <f>SUM(AB86:AB87)</f>
        <v>0</v>
      </c>
      <c r="AC88" s="1309">
        <f>SUM(AC86:AC87)</f>
        <v>0</v>
      </c>
      <c r="AD88" s="1309">
        <f>SUM(AD86:AD87)</f>
        <v>7477</v>
      </c>
      <c r="AE88" s="1309">
        <f t="shared" ref="AE88:AW88" si="212">SUM(AE86:AE87)</f>
        <v>8665</v>
      </c>
      <c r="AF88" s="1309">
        <f t="shared" si="212"/>
        <v>9853</v>
      </c>
      <c r="AG88" s="1309">
        <f t="shared" si="212"/>
        <v>11041</v>
      </c>
      <c r="AH88" s="1309">
        <f t="shared" si="212"/>
        <v>12230</v>
      </c>
      <c r="AI88" s="1309">
        <f t="shared" si="212"/>
        <v>12230</v>
      </c>
      <c r="AJ88" s="1309">
        <f t="shared" si="212"/>
        <v>12230</v>
      </c>
      <c r="AK88" s="1309">
        <f t="shared" si="212"/>
        <v>12230</v>
      </c>
      <c r="AL88" s="1309">
        <f t="shared" si="212"/>
        <v>12230</v>
      </c>
      <c r="AM88" s="1309">
        <f t="shared" si="212"/>
        <v>12230</v>
      </c>
      <c r="AN88" s="1309">
        <f t="shared" si="212"/>
        <v>12230</v>
      </c>
      <c r="AO88" s="1309">
        <f t="shared" si="212"/>
        <v>12230</v>
      </c>
      <c r="AP88" s="1309">
        <f t="shared" si="212"/>
        <v>12230</v>
      </c>
      <c r="AQ88" s="1309">
        <f t="shared" si="212"/>
        <v>12230</v>
      </c>
      <c r="AR88" s="1309">
        <f t="shared" si="212"/>
        <v>12230</v>
      </c>
      <c r="AS88" s="1309">
        <f t="shared" si="212"/>
        <v>12230</v>
      </c>
      <c r="AT88" s="1309">
        <f t="shared" si="212"/>
        <v>12230</v>
      </c>
      <c r="AU88" s="1309">
        <f t="shared" si="212"/>
        <v>12230</v>
      </c>
      <c r="AV88" s="1309">
        <f t="shared" si="212"/>
        <v>12230</v>
      </c>
      <c r="AW88" s="1309">
        <f t="shared" si="212"/>
        <v>14561</v>
      </c>
      <c r="AX88" s="1348"/>
    </row>
    <row r="89" spans="1:60" ht="21" customHeight="1">
      <c r="A89" s="2507" t="s">
        <v>95</v>
      </c>
      <c r="B89" s="1310" t="str">
        <f>'1.4.3개발계획현황'!A23</f>
        <v>영무예다음3차</v>
      </c>
      <c r="C89" s="1311">
        <f>IF(C$85='1.4.3개발계획현황'!$K23,'1.4.3개발계획현황'!$AA23,0)</f>
        <v>0</v>
      </c>
      <c r="D89" s="1311">
        <f>IF(D$85='1.4.3개발계획현황'!$K23,'1.4.3개발계획현황'!$AA23,C89)</f>
        <v>0</v>
      </c>
      <c r="E89" s="1311">
        <f>IF(E$85='1.4.3개발계획현황'!$K23,'1.4.3개발계획현황'!$AA23,D89)</f>
        <v>0</v>
      </c>
      <c r="F89" s="1311">
        <f>IF(F$85='1.4.3개발계획현황'!$K23,'1.4.3개발계획현황'!$AA23,E89)</f>
        <v>1735</v>
      </c>
      <c r="G89" s="1311">
        <f>IF(G$85='1.4.3개발계획현황'!$K23,'1.4.3개발계획현황'!$AA23,F89)</f>
        <v>1735</v>
      </c>
      <c r="H89" s="1311">
        <f>IF(H$85='1.4.3개발계획현황'!$K23,'1.4.3개발계획현황'!$AA23,G89)</f>
        <v>1735</v>
      </c>
      <c r="I89" s="1311">
        <f>IF(I$85='1.4.3개발계획현황'!$K23,'1.4.3개발계획현황'!$AA23,H89)</f>
        <v>1735</v>
      </c>
      <c r="J89" s="1311">
        <f>IF(J$85='1.4.3개발계획현황'!$K23,'1.4.3개발계획현황'!$AA23,I89)</f>
        <v>1735</v>
      </c>
      <c r="K89" s="1311">
        <f>IF(K$85='1.4.3개발계획현황'!$K23,'1.4.3개발계획현황'!$AA23,J89)</f>
        <v>1735</v>
      </c>
      <c r="L89" s="1311">
        <f>IF(L$85='1.4.3개발계획현황'!$K23,'1.4.3개발계획현황'!$AA23,K89)</f>
        <v>1735</v>
      </c>
      <c r="M89" s="1311">
        <f>IF(M$85='1.4.3개발계획현황'!$K23,'1.4.3개발계획현황'!$AA23,L89)</f>
        <v>1735</v>
      </c>
      <c r="N89" s="1311">
        <f>IF(N$85='1.4.3개발계획현황'!$K23,'1.4.3개발계획현황'!$AA23,M89)</f>
        <v>1735</v>
      </c>
      <c r="O89" s="1311">
        <f>IF(O$85='1.4.3개발계획현황'!$K23,'1.4.3개발계획현황'!$AA23,N89)</f>
        <v>1735</v>
      </c>
      <c r="P89" s="1311">
        <f>IF(P$85='1.4.3개발계획현황'!$K23,'1.4.3개발계획현황'!$AA23,O89)</f>
        <v>1735</v>
      </c>
      <c r="Q89" s="1311">
        <f>IF(Q$85='1.4.3개발계획현황'!$K23,'1.4.3개발계획현황'!$AA23,P89)</f>
        <v>1735</v>
      </c>
      <c r="R89" s="1311">
        <f>IF(R$85='1.4.3개발계획현황'!$K23,'1.4.3개발계획현황'!$AA23,Q89)</f>
        <v>1735</v>
      </c>
      <c r="S89" s="1311">
        <f>IF(S$85='1.4.3개발계획현황'!$K23,'1.4.3개발계획현황'!$AA23,R89)</f>
        <v>1735</v>
      </c>
      <c r="T89" s="1311">
        <f>IF(T$85='1.4.3개발계획현황'!$K23,'1.4.3개발계획현황'!$AA23,S89)</f>
        <v>1735</v>
      </c>
      <c r="U89" s="1311">
        <f>IF(U$85='1.4.3개발계획현황'!$K23,'1.4.3개발계획현황'!$AA23,T89)</f>
        <v>1735</v>
      </c>
      <c r="V89" s="1311">
        <f>IF(V$85='1.4.3개발계획현황'!$K23,'1.4.3개발계획현황'!$AA23,U89)</f>
        <v>1735</v>
      </c>
      <c r="W89" s="1311">
        <f>IF(W$85='1.4.3개발계획현황'!$K23,'1.4.3개발계획현황'!$AA23,V89)</f>
        <v>1735</v>
      </c>
      <c r="X89" s="1311">
        <f>IF(X$85='1.4.3개발계획현황'!$K23,'1.4.3개발계획현황'!$AA23,W89)</f>
        <v>1735</v>
      </c>
      <c r="Y89" s="1349" t="s">
        <v>1336</v>
      </c>
      <c r="Z89" s="2507" t="str">
        <f>A89</f>
        <v>공동주택
건설사업</v>
      </c>
      <c r="AA89" s="1336" t="str">
        <f>B89</f>
        <v>영무예다음3차</v>
      </c>
      <c r="AB89" s="1350">
        <f t="shared" ref="AB89:AW89" si="213">ROUND(C89*$AX89,0)</f>
        <v>0</v>
      </c>
      <c r="AC89" s="1350">
        <f t="shared" si="213"/>
        <v>0</v>
      </c>
      <c r="AD89" s="1350">
        <f t="shared" si="213"/>
        <v>0</v>
      </c>
      <c r="AE89" s="1350">
        <f t="shared" si="213"/>
        <v>0</v>
      </c>
      <c r="AF89" s="1350">
        <f t="shared" si="213"/>
        <v>0</v>
      </c>
      <c r="AG89" s="1350">
        <f t="shared" si="213"/>
        <v>0</v>
      </c>
      <c r="AH89" s="1350">
        <f t="shared" si="213"/>
        <v>0</v>
      </c>
      <c r="AI89" s="1350">
        <f t="shared" si="213"/>
        <v>0</v>
      </c>
      <c r="AJ89" s="1350">
        <f t="shared" si="213"/>
        <v>0</v>
      </c>
      <c r="AK89" s="1350">
        <f t="shared" si="213"/>
        <v>0</v>
      </c>
      <c r="AL89" s="1350">
        <f t="shared" si="213"/>
        <v>0</v>
      </c>
      <c r="AM89" s="1350">
        <f t="shared" si="213"/>
        <v>0</v>
      </c>
      <c r="AN89" s="1350">
        <f t="shared" si="213"/>
        <v>0</v>
      </c>
      <c r="AO89" s="1350">
        <f t="shared" si="213"/>
        <v>0</v>
      </c>
      <c r="AP89" s="1350">
        <f t="shared" si="213"/>
        <v>0</v>
      </c>
      <c r="AQ89" s="1350">
        <f t="shared" si="213"/>
        <v>0</v>
      </c>
      <c r="AR89" s="1350">
        <f t="shared" si="213"/>
        <v>0</v>
      </c>
      <c r="AS89" s="1350">
        <f t="shared" si="213"/>
        <v>0</v>
      </c>
      <c r="AT89" s="1350">
        <f t="shared" si="213"/>
        <v>0</v>
      </c>
      <c r="AU89" s="1350">
        <f t="shared" si="213"/>
        <v>0</v>
      </c>
      <c r="AV89" s="1350">
        <f t="shared" si="213"/>
        <v>0</v>
      </c>
      <c r="AW89" s="1350">
        <f t="shared" si="213"/>
        <v>0</v>
      </c>
      <c r="AX89" s="1347"/>
    </row>
    <row r="90" spans="1:60" ht="21" customHeight="1">
      <c r="A90" s="2507"/>
      <c r="B90" s="1308" t="s">
        <v>72</v>
      </c>
      <c r="C90" s="1309">
        <f t="shared" ref="C90:X90" si="214">SUM(C89:C89)</f>
        <v>0</v>
      </c>
      <c r="D90" s="1309">
        <f t="shared" si="214"/>
        <v>0</v>
      </c>
      <c r="E90" s="1309">
        <f t="shared" si="214"/>
        <v>0</v>
      </c>
      <c r="F90" s="1309">
        <f t="shared" si="214"/>
        <v>1735</v>
      </c>
      <c r="G90" s="1309">
        <f t="shared" si="214"/>
        <v>1735</v>
      </c>
      <c r="H90" s="1309">
        <f t="shared" si="214"/>
        <v>1735</v>
      </c>
      <c r="I90" s="1309">
        <f t="shared" si="214"/>
        <v>1735</v>
      </c>
      <c r="J90" s="1309">
        <f t="shared" si="214"/>
        <v>1735</v>
      </c>
      <c r="K90" s="1309">
        <f t="shared" si="214"/>
        <v>1735</v>
      </c>
      <c r="L90" s="1309">
        <f t="shared" si="214"/>
        <v>1735</v>
      </c>
      <c r="M90" s="1309">
        <f t="shared" si="214"/>
        <v>1735</v>
      </c>
      <c r="N90" s="1309">
        <f t="shared" si="214"/>
        <v>1735</v>
      </c>
      <c r="O90" s="1309">
        <f t="shared" si="214"/>
        <v>1735</v>
      </c>
      <c r="P90" s="1309">
        <f t="shared" si="214"/>
        <v>1735</v>
      </c>
      <c r="Q90" s="1309">
        <f t="shared" si="214"/>
        <v>1735</v>
      </c>
      <c r="R90" s="1309">
        <f t="shared" si="214"/>
        <v>1735</v>
      </c>
      <c r="S90" s="1309">
        <f t="shared" si="214"/>
        <v>1735</v>
      </c>
      <c r="T90" s="1309">
        <f t="shared" si="214"/>
        <v>1735</v>
      </c>
      <c r="U90" s="1309">
        <f t="shared" si="214"/>
        <v>1735</v>
      </c>
      <c r="V90" s="1309">
        <f t="shared" si="214"/>
        <v>1735</v>
      </c>
      <c r="W90" s="1309">
        <f t="shared" si="214"/>
        <v>1735</v>
      </c>
      <c r="X90" s="1309">
        <f t="shared" si="214"/>
        <v>1735</v>
      </c>
      <c r="Y90" s="1348"/>
      <c r="Z90" s="2507"/>
      <c r="AA90" s="1308" t="s">
        <v>72</v>
      </c>
      <c r="AB90" s="1309">
        <f t="shared" ref="AB90:AW90" si="215">SUM(AB89:AB89)</f>
        <v>0</v>
      </c>
      <c r="AC90" s="1309">
        <f t="shared" si="215"/>
        <v>0</v>
      </c>
      <c r="AD90" s="1309">
        <f t="shared" si="215"/>
        <v>0</v>
      </c>
      <c r="AE90" s="1309">
        <f t="shared" si="215"/>
        <v>0</v>
      </c>
      <c r="AF90" s="1309">
        <f t="shared" si="215"/>
        <v>0</v>
      </c>
      <c r="AG90" s="1309">
        <f t="shared" si="215"/>
        <v>0</v>
      </c>
      <c r="AH90" s="1309">
        <f t="shared" si="215"/>
        <v>0</v>
      </c>
      <c r="AI90" s="1309">
        <f t="shared" si="215"/>
        <v>0</v>
      </c>
      <c r="AJ90" s="1309">
        <f t="shared" si="215"/>
        <v>0</v>
      </c>
      <c r="AK90" s="1309">
        <f t="shared" si="215"/>
        <v>0</v>
      </c>
      <c r="AL90" s="1309">
        <f t="shared" si="215"/>
        <v>0</v>
      </c>
      <c r="AM90" s="1309">
        <f t="shared" si="215"/>
        <v>0</v>
      </c>
      <c r="AN90" s="1309">
        <f t="shared" si="215"/>
        <v>0</v>
      </c>
      <c r="AO90" s="1309">
        <f t="shared" si="215"/>
        <v>0</v>
      </c>
      <c r="AP90" s="1309">
        <f t="shared" si="215"/>
        <v>0</v>
      </c>
      <c r="AQ90" s="1309">
        <f t="shared" si="215"/>
        <v>0</v>
      </c>
      <c r="AR90" s="1309">
        <f t="shared" si="215"/>
        <v>0</v>
      </c>
      <c r="AS90" s="1309">
        <f t="shared" si="215"/>
        <v>0</v>
      </c>
      <c r="AT90" s="1309">
        <f t="shared" si="215"/>
        <v>0</v>
      </c>
      <c r="AU90" s="1309">
        <f t="shared" si="215"/>
        <v>0</v>
      </c>
      <c r="AV90" s="1309">
        <f t="shared" si="215"/>
        <v>0</v>
      </c>
      <c r="AW90" s="1309">
        <f t="shared" si="215"/>
        <v>0</v>
      </c>
      <c r="AX90" s="1348"/>
    </row>
    <row r="91" spans="1:60" ht="21" customHeight="1">
      <c r="A91" s="2507" t="s">
        <v>1447</v>
      </c>
      <c r="B91" s="2514" t="str">
        <f>'1.4.3개발계획현황'!A44</f>
        <v>리노삼봉산업단지</v>
      </c>
      <c r="C91" s="2513">
        <f>IF(C$85='1.4.3개발계획현황'!$K44,'1.4.3개발계획현황'!$AA44,0)</f>
        <v>0</v>
      </c>
      <c r="D91" s="1351"/>
      <c r="E91" s="1351"/>
      <c r="F91" s="1351"/>
      <c r="G91" s="1351"/>
      <c r="H91" s="1351"/>
      <c r="I91" s="2513">
        <f>IF(I$85='1.4.3개발계획현황'!$K44,'1.4.3개발계획현황'!$AA44,H93)</f>
        <v>314</v>
      </c>
      <c r="J91" s="1351"/>
      <c r="K91" s="1351"/>
      <c r="L91" s="1351"/>
      <c r="M91" s="1351"/>
      <c r="N91" s="2513">
        <f>IF(N$85='1.4.3개발계획현황'!$K44,'1.4.3개발계획현황'!$AA44,M93)</f>
        <v>314</v>
      </c>
      <c r="O91" s="1351"/>
      <c r="P91" s="1351"/>
      <c r="Q91" s="1351"/>
      <c r="R91" s="1351"/>
      <c r="S91" s="2513">
        <f>IF(S$85='1.4.3개발계획현황'!$K44,'1.4.3개발계획현황'!$AA44,R93)</f>
        <v>314</v>
      </c>
      <c r="T91" s="1351"/>
      <c r="U91" s="1351"/>
      <c r="V91" s="1351"/>
      <c r="W91" s="1351"/>
      <c r="X91" s="2513">
        <f>IF(X$85='1.4.3개발계획현황'!$K44,'1.4.3개발계획현황'!$AA44,W93)</f>
        <v>314</v>
      </c>
      <c r="Y91" s="2524"/>
      <c r="Z91" s="2507" t="str">
        <f>A91</f>
        <v>산업단지
조성사업</v>
      </c>
      <c r="AA91" s="1336" t="str">
        <f>CONCATENATE(AA93," 중복제외 전")</f>
        <v>리노삼봉산업단지 중복제외 전</v>
      </c>
      <c r="AB91" s="1311">
        <f>ROUND(C91*$AX91,0)</f>
        <v>0</v>
      </c>
      <c r="AC91" s="1311">
        <f>ROUND(D93*$AX91,0)</f>
        <v>0</v>
      </c>
      <c r="AD91" s="1311">
        <f>ROUND(E93*$AX91,0)</f>
        <v>0</v>
      </c>
      <c r="AE91" s="1311">
        <f>ROUND(F93*$AX91,0)</f>
        <v>0</v>
      </c>
      <c r="AF91" s="1311">
        <f>ROUND(G93*$AX91,0)*0.2</f>
        <v>28.200000000000003</v>
      </c>
      <c r="AG91" s="1311">
        <f>ROUND(H93*$AX91,0)*0.6</f>
        <v>84.6</v>
      </c>
      <c r="AH91" s="1311">
        <f>ROUND(I91*$AX91,0)</f>
        <v>141</v>
      </c>
      <c r="AI91" s="1311">
        <f>ROUND(J93*$AX91,0)</f>
        <v>141</v>
      </c>
      <c r="AJ91" s="1311">
        <f>ROUND(K93*$AX91,0)</f>
        <v>141</v>
      </c>
      <c r="AK91" s="1311">
        <f>ROUND(L93*$AX91,0)</f>
        <v>141</v>
      </c>
      <c r="AL91" s="1311">
        <f>ROUND(M93*$AX91,0)</f>
        <v>141</v>
      </c>
      <c r="AM91" s="1311">
        <f>ROUND(N91*$AX91,0)</f>
        <v>141</v>
      </c>
      <c r="AN91" s="1311">
        <f>ROUND(O93*$AX91,0)</f>
        <v>141</v>
      </c>
      <c r="AO91" s="1311">
        <f>ROUND(P93*$AX91,0)</f>
        <v>141</v>
      </c>
      <c r="AP91" s="1311">
        <f>ROUND(Q93*$AX91,0)</f>
        <v>141</v>
      </c>
      <c r="AQ91" s="1311">
        <f>ROUND(R93*$AX91,0)</f>
        <v>141</v>
      </c>
      <c r="AR91" s="1311">
        <f>ROUND(S91*$AX91,0)</f>
        <v>141</v>
      </c>
      <c r="AS91" s="1311">
        <f>ROUND(T93*$AX91,0)</f>
        <v>141</v>
      </c>
      <c r="AT91" s="1311">
        <f>ROUND(U93*$AX91,0)</f>
        <v>141</v>
      </c>
      <c r="AU91" s="1311">
        <f>ROUND(V93*$AX91,0)</f>
        <v>141</v>
      </c>
      <c r="AV91" s="1311">
        <f>ROUND(W93*$AX91,0)</f>
        <v>141</v>
      </c>
      <c r="AW91" s="1311">
        <f>ROUND(X91*$AX91,0)</f>
        <v>141</v>
      </c>
      <c r="AX91" s="1347">
        <v>0.45</v>
      </c>
      <c r="AY91" s="1326"/>
    </row>
    <row r="92" spans="1:60" ht="21" customHeight="1">
      <c r="A92" s="2507"/>
      <c r="B92" s="2514"/>
      <c r="C92" s="2513"/>
      <c r="D92" s="1351"/>
      <c r="E92" s="1351"/>
      <c r="F92" s="1351"/>
      <c r="G92" s="1351"/>
      <c r="H92" s="1351"/>
      <c r="I92" s="2513"/>
      <c r="J92" s="1351"/>
      <c r="K92" s="1351"/>
      <c r="L92" s="1351"/>
      <c r="M92" s="1351"/>
      <c r="N92" s="2513"/>
      <c r="O92" s="1351"/>
      <c r="P92" s="1351"/>
      <c r="Q92" s="1351"/>
      <c r="R92" s="1351"/>
      <c r="S92" s="2513"/>
      <c r="T92" s="1351"/>
      <c r="U92" s="1351"/>
      <c r="V92" s="1351"/>
      <c r="W92" s="1351"/>
      <c r="X92" s="2513"/>
      <c r="Y92" s="2524"/>
      <c r="Z92" s="2507"/>
      <c r="AA92" s="1336" t="str">
        <f>CONCATENATE(AA93," 중복제외인구")</f>
        <v>리노삼봉산업단지 중복제외인구</v>
      </c>
      <c r="AB92" s="1311">
        <f>ROUND(C91*$AX92,0)</f>
        <v>0</v>
      </c>
      <c r="AC92" s="1311">
        <f>-ROUND(IF(D93&gt;0,VLOOKUP($AA93,'사회적 유입 중복인구 제외근거'!$E$25:$F$31,2,FALSE),0),0)</f>
        <v>0</v>
      </c>
      <c r="AD92" s="1311">
        <f>-ROUND(IF(E93&gt;0,SUMIF('사회적 유입 중복인구 제외근거'!$E$6:$E$53,$AA93,'사회적 유입 중복인구 제외근거'!$F$6:$F$53),0),0)</f>
        <v>0</v>
      </c>
      <c r="AE92" s="1311">
        <f>-ROUND(IF(F93&gt;0,SUMIF('사회적 유입 중복인구 제외근거'!$E$6:$E$53,$AA93,'사회적 유입 중복인구 제외근거'!$F$6:$F$53),0),0)</f>
        <v>0</v>
      </c>
      <c r="AF92" s="1311">
        <f>-ROUND(IF(G93&gt;0,SUMIF('사회적 유입 중복인구 제외근거'!$E$6:$E$53,$AA93,'사회적 유입 중복인구 제외근거'!$F$6:$F$53),0),0)*0.2</f>
        <v>-22.400000000000002</v>
      </c>
      <c r="AG92" s="1311">
        <f>-ROUND(IF(H93&gt;0,SUMIF('사회적 유입 중복인구 제외근거'!$E$6:$E$53,$AA93,'사회적 유입 중복인구 제외근거'!$F$6:$F$53),0),0)*0.6</f>
        <v>-67.2</v>
      </c>
      <c r="AH92" s="1311">
        <f>-ROUND(IF(I91&gt;0,SUMIF('사회적 유입 중복인구 제외근거'!$E$6:$E$53,$AA93,'사회적 유입 중복인구 제외근거'!$F$6:$F$53),0),0)</f>
        <v>-112</v>
      </c>
      <c r="AI92" s="1311">
        <f>-ROUND(IF(J93&gt;0,SUMIF('사회적 유입 중복인구 제외근거'!$E$6:$E$53,$AA93,'사회적 유입 중복인구 제외근거'!$F$6:$F$53),0),0)</f>
        <v>-112</v>
      </c>
      <c r="AJ92" s="1311">
        <f>-ROUND(IF(K93&gt;0,SUMIF('사회적 유입 중복인구 제외근거'!$E$6:$E$53,$AA93,'사회적 유입 중복인구 제외근거'!$F$6:$F$53),0),0)</f>
        <v>-112</v>
      </c>
      <c r="AK92" s="1311">
        <f>-ROUND(IF(L93&gt;0,SUMIF('사회적 유입 중복인구 제외근거'!$E$6:$E$53,$AA93,'사회적 유입 중복인구 제외근거'!$F$6:$F$53),0),0)</f>
        <v>-112</v>
      </c>
      <c r="AL92" s="1311">
        <f>-ROUND(IF(M93&gt;0,SUMIF('사회적 유입 중복인구 제외근거'!$E$6:$E$53,$AA93,'사회적 유입 중복인구 제외근거'!$F$6:$F$53),0),0)</f>
        <v>-112</v>
      </c>
      <c r="AM92" s="1311">
        <f>-ROUND(IF(N91&gt;0,SUMIF('사회적 유입 중복인구 제외근거'!$E$6:$E$53,$AA93,'사회적 유입 중복인구 제외근거'!$F$6:$F$53),0),0)</f>
        <v>-112</v>
      </c>
      <c r="AN92" s="1311">
        <f>-ROUND(IF(O93&gt;0,SUMIF('사회적 유입 중복인구 제외근거'!$E$6:$E$53,$AA93,'사회적 유입 중복인구 제외근거'!$F$6:$F$53),0),0)</f>
        <v>-112</v>
      </c>
      <c r="AO92" s="1311">
        <f>-ROUND(IF(P93&gt;0,SUMIF('사회적 유입 중복인구 제외근거'!$E$6:$E$53,$AA93,'사회적 유입 중복인구 제외근거'!$F$6:$F$53),0),0)</f>
        <v>-112</v>
      </c>
      <c r="AP92" s="1311">
        <f>-ROUND(IF(Q93&gt;0,SUMIF('사회적 유입 중복인구 제외근거'!$E$6:$E$53,$AA93,'사회적 유입 중복인구 제외근거'!$F$6:$F$53),0),0)</f>
        <v>-112</v>
      </c>
      <c r="AQ92" s="1311">
        <f>-ROUND(IF(R93&gt;0,SUMIF('사회적 유입 중복인구 제외근거'!$E$6:$E$53,$AA93,'사회적 유입 중복인구 제외근거'!$F$6:$F$53),0),0)</f>
        <v>-112</v>
      </c>
      <c r="AR92" s="1311">
        <f>-ROUND(IF(S91&gt;0,SUMIF('사회적 유입 중복인구 제외근거'!$E$6:$E$53,$AA93,'사회적 유입 중복인구 제외근거'!$F$6:$F$53),0),0)</f>
        <v>-112</v>
      </c>
      <c r="AS92" s="1311">
        <f>-ROUND(IF(T93&gt;0,SUMIF('사회적 유입 중복인구 제외근거'!$E$6:$E$53,$AA93,'사회적 유입 중복인구 제외근거'!$F$6:$F$53),0),0)</f>
        <v>-112</v>
      </c>
      <c r="AT92" s="1311">
        <f>-ROUND(IF(U93&gt;0,SUMIF('사회적 유입 중복인구 제외근거'!$E$6:$E$53,$AA93,'사회적 유입 중복인구 제외근거'!$F$6:$F$53),0),0)</f>
        <v>-112</v>
      </c>
      <c r="AU92" s="1311">
        <f>-ROUND(IF(V93&gt;0,SUMIF('사회적 유입 중복인구 제외근거'!$E$6:$E$53,$AA93,'사회적 유입 중복인구 제외근거'!$F$6:$F$53),0),0)</f>
        <v>-112</v>
      </c>
      <c r="AV92" s="1311">
        <f>-ROUND(IF(W93&gt;0,SUMIF('사회적 유입 중복인구 제외근거'!$E$6:$E$53,$AA93,'사회적 유입 중복인구 제외근거'!$F$6:$F$53),0),0)</f>
        <v>-112</v>
      </c>
      <c r="AW92" s="1311">
        <f>-ROUND(IF(X91&gt;0,SUMIF('사회적 유입 중복인구 제외근거'!$E$6:$E$53,$AA93,'사회적 유입 중복인구 제외근거'!$F$6:$F$53),0),0)</f>
        <v>-112</v>
      </c>
      <c r="AX92" s="1347"/>
      <c r="AY92" s="1352"/>
    </row>
    <row r="93" spans="1:60" ht="21" customHeight="1">
      <c r="A93" s="2507"/>
      <c r="B93" s="2514"/>
      <c r="C93" s="2513"/>
      <c r="D93" s="1311">
        <f>IF(D$85='1.4.3개발계획현황'!$K44,'1.4.3개발계획현황'!$AA44,C91)</f>
        <v>0</v>
      </c>
      <c r="E93" s="1311">
        <f>IF(E$85='1.4.3개발계획현황'!$K44,'1.4.3개발계획현황'!$AA44,D93)</f>
        <v>0</v>
      </c>
      <c r="F93" s="1311">
        <f>IF(F$85='1.4.3개발계획현황'!$K44,'1.4.3개발계획현황'!$AA44,E93)</f>
        <v>0</v>
      </c>
      <c r="G93" s="1311">
        <f>IF(G$85='1.4.3개발계획현황'!$K44,'1.4.3개발계획현황'!$AA44,F93)</f>
        <v>314</v>
      </c>
      <c r="H93" s="1311">
        <f>IF(H$85='1.4.3개발계획현황'!$K44,'1.4.3개발계획현황'!$AA44,G93)</f>
        <v>314</v>
      </c>
      <c r="I93" s="2513"/>
      <c r="J93" s="1311">
        <f>IF(J$85='1.4.3개발계획현황'!$K44,'1.4.3개발계획현황'!$AA44,I91)</f>
        <v>314</v>
      </c>
      <c r="K93" s="1311">
        <f>IF(K$85='1.4.3개발계획현황'!$K44,'1.4.3개발계획현황'!$AA44,J93)</f>
        <v>314</v>
      </c>
      <c r="L93" s="1311">
        <f>IF(L$85='1.4.3개발계획현황'!$K44,'1.4.3개발계획현황'!$AA44,K93)</f>
        <v>314</v>
      </c>
      <c r="M93" s="1311">
        <f>IF(M$85='1.4.3개발계획현황'!$K44,'1.4.3개발계획현황'!$AA44,L93)</f>
        <v>314</v>
      </c>
      <c r="N93" s="2513"/>
      <c r="O93" s="1311">
        <f>IF(O$85='1.4.3개발계획현황'!$K44,'1.4.3개발계획현황'!$AA44,N91)</f>
        <v>314</v>
      </c>
      <c r="P93" s="1311">
        <f>IF(P$85='1.4.3개발계획현황'!$K44,'1.4.3개발계획현황'!$AA44,O93)</f>
        <v>314</v>
      </c>
      <c r="Q93" s="1311">
        <f>IF(Q$85='1.4.3개발계획현황'!$K44,'1.4.3개발계획현황'!$AA44,P93)</f>
        <v>314</v>
      </c>
      <c r="R93" s="1311">
        <f>IF(R$85='1.4.3개발계획현황'!$K44,'1.4.3개발계획현황'!$AA44,Q93)</f>
        <v>314</v>
      </c>
      <c r="S93" s="2513"/>
      <c r="T93" s="1311">
        <f>IF(T$85='1.4.3개발계획현황'!$K44,'1.4.3개발계획현황'!$AA44,S91)</f>
        <v>314</v>
      </c>
      <c r="U93" s="1311">
        <f>IF(U$85='1.4.3개발계획현황'!$K44,'1.4.3개발계획현황'!$AA44,T93)</f>
        <v>314</v>
      </c>
      <c r="V93" s="1311">
        <f>IF(V$85='1.4.3개발계획현황'!$K44,'1.4.3개발계획현황'!$AA44,U93)</f>
        <v>314</v>
      </c>
      <c r="W93" s="1311">
        <f>IF(W$85='1.4.3개발계획현황'!$K44,'1.4.3개발계획현황'!$AA44,V93)</f>
        <v>314</v>
      </c>
      <c r="X93" s="2513"/>
      <c r="Y93" s="2524"/>
      <c r="Z93" s="2507"/>
      <c r="AA93" s="1353" t="str">
        <f>B91</f>
        <v>리노삼봉산업단지</v>
      </c>
      <c r="AB93" s="1337">
        <f>ROUND(AB91+AB92,0)</f>
        <v>0</v>
      </c>
      <c r="AC93" s="1337">
        <f t="shared" ref="AC93:AW93" si="216">ROUND(AC91+AC92,0)</f>
        <v>0</v>
      </c>
      <c r="AD93" s="1337">
        <f t="shared" si="216"/>
        <v>0</v>
      </c>
      <c r="AE93" s="1337">
        <f t="shared" si="216"/>
        <v>0</v>
      </c>
      <c r="AF93" s="1337">
        <f t="shared" si="216"/>
        <v>6</v>
      </c>
      <c r="AG93" s="1337">
        <f t="shared" si="216"/>
        <v>17</v>
      </c>
      <c r="AH93" s="1337">
        <f t="shared" si="216"/>
        <v>29</v>
      </c>
      <c r="AI93" s="1337">
        <f t="shared" si="216"/>
        <v>29</v>
      </c>
      <c r="AJ93" s="1337">
        <f t="shared" si="216"/>
        <v>29</v>
      </c>
      <c r="AK93" s="1337">
        <f t="shared" si="216"/>
        <v>29</v>
      </c>
      <c r="AL93" s="1337">
        <f t="shared" si="216"/>
        <v>29</v>
      </c>
      <c r="AM93" s="1337">
        <f t="shared" si="216"/>
        <v>29</v>
      </c>
      <c r="AN93" s="1337">
        <f t="shared" si="216"/>
        <v>29</v>
      </c>
      <c r="AO93" s="1337">
        <f t="shared" si="216"/>
        <v>29</v>
      </c>
      <c r="AP93" s="1337">
        <f t="shared" si="216"/>
        <v>29</v>
      </c>
      <c r="AQ93" s="1337">
        <f t="shared" si="216"/>
        <v>29</v>
      </c>
      <c r="AR93" s="1337">
        <f t="shared" si="216"/>
        <v>29</v>
      </c>
      <c r="AS93" s="1337">
        <f t="shared" si="216"/>
        <v>29</v>
      </c>
      <c r="AT93" s="1337">
        <f t="shared" si="216"/>
        <v>29</v>
      </c>
      <c r="AU93" s="1337">
        <f t="shared" si="216"/>
        <v>29</v>
      </c>
      <c r="AV93" s="1337">
        <f t="shared" si="216"/>
        <v>29</v>
      </c>
      <c r="AW93" s="1337">
        <f t="shared" si="216"/>
        <v>29</v>
      </c>
      <c r="AX93" s="1338"/>
      <c r="AY93" s="1297"/>
      <c r="BH93" s="1354"/>
    </row>
    <row r="94" spans="1:60" ht="21" customHeight="1">
      <c r="A94" s="2523"/>
      <c r="B94" s="1355" t="s">
        <v>73</v>
      </c>
      <c r="C94" s="1356">
        <f t="shared" ref="C94:X94" si="217">SUM(C91:C93)</f>
        <v>0</v>
      </c>
      <c r="D94" s="1356">
        <f t="shared" si="217"/>
        <v>0</v>
      </c>
      <c r="E94" s="1356">
        <f t="shared" si="217"/>
        <v>0</v>
      </c>
      <c r="F94" s="1356">
        <f t="shared" si="217"/>
        <v>0</v>
      </c>
      <c r="G94" s="1356">
        <f t="shared" si="217"/>
        <v>314</v>
      </c>
      <c r="H94" s="1356">
        <f t="shared" si="217"/>
        <v>314</v>
      </c>
      <c r="I94" s="1356">
        <f t="shared" si="217"/>
        <v>314</v>
      </c>
      <c r="J94" s="1356">
        <f t="shared" si="217"/>
        <v>314</v>
      </c>
      <c r="K94" s="1356">
        <f t="shared" si="217"/>
        <v>314</v>
      </c>
      <c r="L94" s="1356">
        <f t="shared" si="217"/>
        <v>314</v>
      </c>
      <c r="M94" s="1356">
        <f t="shared" si="217"/>
        <v>314</v>
      </c>
      <c r="N94" s="1356">
        <f t="shared" si="217"/>
        <v>314</v>
      </c>
      <c r="O94" s="1356">
        <f t="shared" si="217"/>
        <v>314</v>
      </c>
      <c r="P94" s="1356">
        <f t="shared" si="217"/>
        <v>314</v>
      </c>
      <c r="Q94" s="1356">
        <f t="shared" si="217"/>
        <v>314</v>
      </c>
      <c r="R94" s="1356">
        <f t="shared" si="217"/>
        <v>314</v>
      </c>
      <c r="S94" s="1356">
        <f t="shared" si="217"/>
        <v>314</v>
      </c>
      <c r="T94" s="1356">
        <f t="shared" si="217"/>
        <v>314</v>
      </c>
      <c r="U94" s="1356">
        <f t="shared" si="217"/>
        <v>314</v>
      </c>
      <c r="V94" s="1356">
        <f t="shared" si="217"/>
        <v>314</v>
      </c>
      <c r="W94" s="1356">
        <f t="shared" si="217"/>
        <v>314</v>
      </c>
      <c r="X94" s="1356">
        <f t="shared" si="217"/>
        <v>314</v>
      </c>
      <c r="Y94" s="1357"/>
      <c r="Z94" s="2523"/>
      <c r="AA94" s="1355" t="s">
        <v>73</v>
      </c>
      <c r="AB94" s="1356">
        <f>SUM(AB93)</f>
        <v>0</v>
      </c>
      <c r="AC94" s="1356">
        <f t="shared" ref="AC94:AW94" si="218">SUM(AC93)</f>
        <v>0</v>
      </c>
      <c r="AD94" s="1356">
        <f t="shared" si="218"/>
        <v>0</v>
      </c>
      <c r="AE94" s="1356">
        <f t="shared" si="218"/>
        <v>0</v>
      </c>
      <c r="AF94" s="1356">
        <f t="shared" si="218"/>
        <v>6</v>
      </c>
      <c r="AG94" s="1356">
        <f t="shared" si="218"/>
        <v>17</v>
      </c>
      <c r="AH94" s="1356">
        <f t="shared" si="218"/>
        <v>29</v>
      </c>
      <c r="AI94" s="1356">
        <f t="shared" si="218"/>
        <v>29</v>
      </c>
      <c r="AJ94" s="1356">
        <f t="shared" si="218"/>
        <v>29</v>
      </c>
      <c r="AK94" s="1356">
        <f t="shared" si="218"/>
        <v>29</v>
      </c>
      <c r="AL94" s="1356">
        <f t="shared" si="218"/>
        <v>29</v>
      </c>
      <c r="AM94" s="1356">
        <f t="shared" si="218"/>
        <v>29</v>
      </c>
      <c r="AN94" s="1356">
        <f t="shared" si="218"/>
        <v>29</v>
      </c>
      <c r="AO94" s="1356">
        <f t="shared" si="218"/>
        <v>29</v>
      </c>
      <c r="AP94" s="1356">
        <f t="shared" si="218"/>
        <v>29</v>
      </c>
      <c r="AQ94" s="1356">
        <f t="shared" si="218"/>
        <v>29</v>
      </c>
      <c r="AR94" s="1356">
        <f t="shared" si="218"/>
        <v>29</v>
      </c>
      <c r="AS94" s="1356">
        <f t="shared" si="218"/>
        <v>29</v>
      </c>
      <c r="AT94" s="1356">
        <f t="shared" si="218"/>
        <v>29</v>
      </c>
      <c r="AU94" s="1356">
        <f t="shared" si="218"/>
        <v>29</v>
      </c>
      <c r="AV94" s="1356">
        <f t="shared" si="218"/>
        <v>29</v>
      </c>
      <c r="AW94" s="1356">
        <f t="shared" si="218"/>
        <v>29</v>
      </c>
      <c r="AX94" s="1357"/>
      <c r="AY94" s="1302"/>
      <c r="BH94" s="1354"/>
    </row>
    <row r="95" spans="1:60" ht="21" customHeight="1">
      <c r="A95" s="1329" t="s">
        <v>80</v>
      </c>
      <c r="B95" s="1330"/>
      <c r="C95" s="1331">
        <f t="shared" ref="C95:X95" si="219">SUM(C88,C90,C94)</f>
        <v>0</v>
      </c>
      <c r="D95" s="1331">
        <f t="shared" si="219"/>
        <v>0</v>
      </c>
      <c r="E95" s="1331">
        <f t="shared" si="219"/>
        <v>7477</v>
      </c>
      <c r="F95" s="1331">
        <f t="shared" si="219"/>
        <v>10400</v>
      </c>
      <c r="G95" s="1331">
        <f t="shared" si="219"/>
        <v>11902</v>
      </c>
      <c r="H95" s="1331">
        <f t="shared" si="219"/>
        <v>13090</v>
      </c>
      <c r="I95" s="1331">
        <f t="shared" si="219"/>
        <v>14279</v>
      </c>
      <c r="J95" s="1331">
        <f t="shared" si="219"/>
        <v>14279</v>
      </c>
      <c r="K95" s="1331">
        <f t="shared" si="219"/>
        <v>14279</v>
      </c>
      <c r="L95" s="1331">
        <f t="shared" si="219"/>
        <v>14279</v>
      </c>
      <c r="M95" s="1331">
        <f t="shared" si="219"/>
        <v>14279</v>
      </c>
      <c r="N95" s="1331">
        <f t="shared" si="219"/>
        <v>14279</v>
      </c>
      <c r="O95" s="1331">
        <f t="shared" si="219"/>
        <v>14279</v>
      </c>
      <c r="P95" s="1331">
        <f t="shared" si="219"/>
        <v>14279</v>
      </c>
      <c r="Q95" s="1331">
        <f t="shared" si="219"/>
        <v>14279</v>
      </c>
      <c r="R95" s="1331">
        <f t="shared" si="219"/>
        <v>14279</v>
      </c>
      <c r="S95" s="1331">
        <f t="shared" si="219"/>
        <v>14279</v>
      </c>
      <c r="T95" s="1331">
        <f t="shared" si="219"/>
        <v>14279</v>
      </c>
      <c r="U95" s="1331">
        <f t="shared" si="219"/>
        <v>14279</v>
      </c>
      <c r="V95" s="1331">
        <f t="shared" si="219"/>
        <v>14279</v>
      </c>
      <c r="W95" s="1331">
        <f t="shared" si="219"/>
        <v>14279</v>
      </c>
      <c r="X95" s="1331">
        <f t="shared" si="219"/>
        <v>17609</v>
      </c>
      <c r="Y95" s="1332"/>
      <c r="Z95" s="1329" t="s">
        <v>80</v>
      </c>
      <c r="AA95" s="1330"/>
      <c r="AB95" s="1331">
        <f t="shared" ref="AB95:AW95" si="220">SUM(AB88,AB90,AB94)</f>
        <v>0</v>
      </c>
      <c r="AC95" s="1331">
        <f t="shared" si="220"/>
        <v>0</v>
      </c>
      <c r="AD95" s="1331">
        <f t="shared" si="220"/>
        <v>7477</v>
      </c>
      <c r="AE95" s="1331">
        <f t="shared" si="220"/>
        <v>8665</v>
      </c>
      <c r="AF95" s="1331">
        <f t="shared" si="220"/>
        <v>9859</v>
      </c>
      <c r="AG95" s="1331">
        <f t="shared" si="220"/>
        <v>11058</v>
      </c>
      <c r="AH95" s="1331">
        <f t="shared" si="220"/>
        <v>12259</v>
      </c>
      <c r="AI95" s="1331">
        <f t="shared" si="220"/>
        <v>12259</v>
      </c>
      <c r="AJ95" s="1331">
        <f t="shared" si="220"/>
        <v>12259</v>
      </c>
      <c r="AK95" s="1331">
        <f t="shared" si="220"/>
        <v>12259</v>
      </c>
      <c r="AL95" s="1331">
        <f t="shared" si="220"/>
        <v>12259</v>
      </c>
      <c r="AM95" s="1331">
        <f t="shared" si="220"/>
        <v>12259</v>
      </c>
      <c r="AN95" s="1331">
        <f t="shared" si="220"/>
        <v>12259</v>
      </c>
      <c r="AO95" s="1331">
        <f t="shared" si="220"/>
        <v>12259</v>
      </c>
      <c r="AP95" s="1331">
        <f t="shared" si="220"/>
        <v>12259</v>
      </c>
      <c r="AQ95" s="1331">
        <f t="shared" si="220"/>
        <v>12259</v>
      </c>
      <c r="AR95" s="1331">
        <f t="shared" si="220"/>
        <v>12259</v>
      </c>
      <c r="AS95" s="1331">
        <f t="shared" si="220"/>
        <v>12259</v>
      </c>
      <c r="AT95" s="1331">
        <f t="shared" si="220"/>
        <v>12259</v>
      </c>
      <c r="AU95" s="1331">
        <f t="shared" si="220"/>
        <v>12259</v>
      </c>
      <c r="AV95" s="1331">
        <f t="shared" si="220"/>
        <v>12259</v>
      </c>
      <c r="AW95" s="1331">
        <f t="shared" si="220"/>
        <v>14590</v>
      </c>
      <c r="AX95" s="1332"/>
      <c r="AY95" s="1254"/>
      <c r="BE95" s="1273" t="s">
        <v>1271</v>
      </c>
      <c r="BH95" s="1354"/>
    </row>
    <row r="96" spans="1:60" ht="9.9499999999999993" customHeight="1">
      <c r="A96" s="1264"/>
      <c r="B96" s="1254"/>
      <c r="C96" s="1255"/>
      <c r="D96" s="1255"/>
      <c r="E96" s="1255"/>
      <c r="F96" s="1255"/>
      <c r="G96" s="1255"/>
      <c r="H96" s="1255"/>
      <c r="I96" s="1255"/>
      <c r="J96" s="1255"/>
      <c r="K96" s="1255"/>
      <c r="L96" s="1255"/>
      <c r="M96" s="1255"/>
      <c r="N96" s="1255"/>
      <c r="O96" s="1255"/>
      <c r="P96" s="1256"/>
      <c r="Q96" s="1255"/>
      <c r="R96" s="1255"/>
      <c r="S96" s="1255"/>
      <c r="T96" s="1255"/>
      <c r="U96" s="1256"/>
      <c r="V96" s="1256"/>
      <c r="W96" s="1256"/>
      <c r="X96" s="1256"/>
      <c r="Y96" s="1254"/>
      <c r="Z96" s="1264"/>
      <c r="AA96" s="1267"/>
      <c r="AB96" s="1255"/>
      <c r="AC96" s="1255"/>
      <c r="AD96" s="1255"/>
      <c r="AE96" s="1255"/>
      <c r="AF96" s="1255"/>
      <c r="AG96" s="1255"/>
      <c r="AH96" s="1255"/>
      <c r="AI96" s="1255"/>
      <c r="AJ96" s="1255"/>
      <c r="AK96" s="1255"/>
      <c r="AL96" s="1255"/>
      <c r="AM96" s="1255"/>
      <c r="AN96" s="1255"/>
      <c r="AO96" s="1256"/>
      <c r="AP96" s="1255"/>
      <c r="AQ96" s="1255"/>
      <c r="AR96" s="1255"/>
      <c r="AS96" s="1255"/>
      <c r="AT96" s="1256"/>
      <c r="AU96" s="1256"/>
      <c r="AV96" s="1256"/>
      <c r="AW96" s="1256"/>
      <c r="AX96" s="1254"/>
      <c r="AY96" s="1278">
        <f>ROUND(X77*0.13,0)</f>
        <v>265</v>
      </c>
      <c r="BH96" s="1296"/>
    </row>
    <row r="97" spans="1:60" ht="23.1" customHeight="1">
      <c r="A97" s="1264" t="s">
        <v>1442</v>
      </c>
      <c r="B97" s="1254"/>
      <c r="C97" s="1255"/>
      <c r="D97" s="1358"/>
      <c r="E97" s="1255"/>
      <c r="F97" s="1255"/>
      <c r="G97" s="1255"/>
      <c r="H97" s="1255"/>
      <c r="I97" s="1255"/>
      <c r="J97" s="1255"/>
      <c r="K97" s="1255"/>
      <c r="L97" s="1255"/>
      <c r="M97" s="1255"/>
      <c r="N97" s="1255"/>
      <c r="O97" s="1255"/>
      <c r="P97" s="1256"/>
      <c r="Q97" s="1255"/>
      <c r="R97" s="1255"/>
      <c r="S97" s="1255"/>
      <c r="T97" s="1255"/>
      <c r="U97" s="1256"/>
      <c r="V97" s="1256"/>
      <c r="W97" s="1256"/>
      <c r="X97" s="1256"/>
      <c r="Y97" s="1266" t="s">
        <v>76</v>
      </c>
      <c r="Z97" s="1264" t="s">
        <v>1442</v>
      </c>
      <c r="AA97" s="1267"/>
      <c r="AB97" s="1255"/>
      <c r="AC97" s="1255"/>
      <c r="AD97" s="1255"/>
      <c r="AE97" s="1255"/>
      <c r="AF97" s="1255"/>
      <c r="AG97" s="1255"/>
      <c r="AH97" s="1255"/>
      <c r="AI97" s="1255"/>
      <c r="AJ97" s="1255"/>
      <c r="AK97" s="1255"/>
      <c r="AL97" s="1255"/>
      <c r="AM97" s="1255"/>
      <c r="AN97" s="1255"/>
      <c r="AO97" s="1256"/>
      <c r="AP97" s="1255"/>
      <c r="AQ97" s="1255"/>
      <c r="AR97" s="1255"/>
      <c r="AS97" s="1255"/>
      <c r="AT97" s="1256"/>
      <c r="AU97" s="1256"/>
      <c r="AV97" s="1256"/>
      <c r="AW97" s="1256"/>
      <c r="AX97" s="1266" t="s">
        <v>76</v>
      </c>
      <c r="AY97" s="1297"/>
      <c r="BH97" s="1354"/>
    </row>
    <row r="98" spans="1:60" ht="23.1" customHeight="1">
      <c r="A98" s="1298" t="s">
        <v>77</v>
      </c>
      <c r="B98" s="1299"/>
      <c r="C98" s="1300">
        <v>2014</v>
      </c>
      <c r="D98" s="1300">
        <v>2015</v>
      </c>
      <c r="E98" s="1300">
        <v>2016</v>
      </c>
      <c r="F98" s="1300">
        <v>2017</v>
      </c>
      <c r="G98" s="1300">
        <v>2018</v>
      </c>
      <c r="H98" s="1300">
        <v>2019</v>
      </c>
      <c r="I98" s="1300">
        <v>2020</v>
      </c>
      <c r="J98" s="1300">
        <v>2021</v>
      </c>
      <c r="K98" s="1300">
        <v>2022</v>
      </c>
      <c r="L98" s="1300">
        <v>2023</v>
      </c>
      <c r="M98" s="1300">
        <v>2024</v>
      </c>
      <c r="N98" s="1300">
        <v>2025</v>
      </c>
      <c r="O98" s="1300">
        <v>2026</v>
      </c>
      <c r="P98" s="1300">
        <v>2027</v>
      </c>
      <c r="Q98" s="1300">
        <v>2028</v>
      </c>
      <c r="R98" s="1300">
        <v>2029</v>
      </c>
      <c r="S98" s="1300">
        <v>2030</v>
      </c>
      <c r="T98" s="1300">
        <v>2031</v>
      </c>
      <c r="U98" s="1300">
        <v>2032</v>
      </c>
      <c r="V98" s="1300">
        <v>2033</v>
      </c>
      <c r="W98" s="1300">
        <v>2034</v>
      </c>
      <c r="X98" s="1300">
        <v>2035</v>
      </c>
      <c r="Y98" s="1301" t="s">
        <v>60</v>
      </c>
      <c r="Z98" s="1298" t="s">
        <v>77</v>
      </c>
      <c r="AA98" s="1299"/>
      <c r="AB98" s="1300">
        <v>2014</v>
      </c>
      <c r="AC98" s="1300">
        <v>2015</v>
      </c>
      <c r="AD98" s="1300">
        <v>2016</v>
      </c>
      <c r="AE98" s="1300">
        <v>2017</v>
      </c>
      <c r="AF98" s="1300">
        <v>2018</v>
      </c>
      <c r="AG98" s="1300">
        <v>2019</v>
      </c>
      <c r="AH98" s="1300">
        <v>2020</v>
      </c>
      <c r="AI98" s="1300">
        <v>2021</v>
      </c>
      <c r="AJ98" s="1300">
        <v>2022</v>
      </c>
      <c r="AK98" s="1300">
        <v>2023</v>
      </c>
      <c r="AL98" s="1300">
        <v>2024</v>
      </c>
      <c r="AM98" s="1300">
        <v>2025</v>
      </c>
      <c r="AN98" s="1300">
        <v>2026</v>
      </c>
      <c r="AO98" s="1300">
        <v>2027</v>
      </c>
      <c r="AP98" s="1300">
        <v>2028</v>
      </c>
      <c r="AQ98" s="1300">
        <v>2029</v>
      </c>
      <c r="AR98" s="1300">
        <v>2030</v>
      </c>
      <c r="AS98" s="1300">
        <v>2031</v>
      </c>
      <c r="AT98" s="1300">
        <v>2032</v>
      </c>
      <c r="AU98" s="1300">
        <v>2033</v>
      </c>
      <c r="AV98" s="1300">
        <v>2034</v>
      </c>
      <c r="AW98" s="1300">
        <v>2035</v>
      </c>
      <c r="AX98" s="1301" t="s">
        <v>97</v>
      </c>
      <c r="AY98" s="1326"/>
      <c r="BH98" s="1354"/>
    </row>
    <row r="99" spans="1:60" ht="20.45" customHeight="1">
      <c r="A99" s="2519" t="s">
        <v>599</v>
      </c>
      <c r="B99" s="1359" t="str">
        <f>'1.4.3개발계획현황'!A6</f>
        <v>대소 삼정지구</v>
      </c>
      <c r="C99" s="1304">
        <f>IF(C$98='1.4.3개발계획현황'!$K$6,'1.4.3개발계획현황'!$AA$6,0)</f>
        <v>0</v>
      </c>
      <c r="D99" s="1304">
        <f>IF(D$98='1.4.3개발계획현황'!$K$6,'1.4.3개발계획현황'!$AA$6,C99)</f>
        <v>0</v>
      </c>
      <c r="E99" s="1304">
        <f>IF(E$98='1.4.3개발계획현황'!$K$6,'1.4.3개발계획현황'!$AA$6,D99)</f>
        <v>0</v>
      </c>
      <c r="F99" s="1304">
        <f>IF(F$98='1.4.3개발계획현황'!$K$6,'1.4.3개발계획현황'!$AA$6,E99)</f>
        <v>0</v>
      </c>
      <c r="G99" s="1304">
        <f>IF(G$98='1.4.3개발계획현황'!$K$6,'1.4.3개발계획현황'!$AA$6,F99)</f>
        <v>0</v>
      </c>
      <c r="H99" s="1304">
        <f>IF(H$98='1.4.3개발계획현황'!$K$6,'1.4.3개발계획현황'!$AA$6,G99)</f>
        <v>0</v>
      </c>
      <c r="I99" s="1304">
        <f>IF(I$98='1.4.3개발계획현황'!$K$6,'1.4.3개발계획현황'!$AA$6,H99)</f>
        <v>4780</v>
      </c>
      <c r="J99" s="1304">
        <f>IF(J$98='1.4.3개발계획현황'!$K$6,'1.4.3개발계획현황'!$AA$6,I99)</f>
        <v>4780</v>
      </c>
      <c r="K99" s="1304">
        <f>IF(K$98='1.4.3개발계획현황'!$K$6,'1.4.3개발계획현황'!$AA$6,J99)</f>
        <v>4780</v>
      </c>
      <c r="L99" s="1304">
        <f>IF(L$98='1.4.3개발계획현황'!$K$6,'1.4.3개발계획현황'!$AA$6,K99)</f>
        <v>4780</v>
      </c>
      <c r="M99" s="1304">
        <f>IF(M$98='1.4.3개발계획현황'!$K$6,'1.4.3개발계획현황'!$AA$6,L99)</f>
        <v>4780</v>
      </c>
      <c r="N99" s="1304">
        <f>IF(N$98='1.4.3개발계획현황'!$K$6,'1.4.3개발계획현황'!$AA$6,M99)</f>
        <v>4780</v>
      </c>
      <c r="O99" s="1304">
        <f>IF(O$98='1.4.3개발계획현황'!$K$6,'1.4.3개발계획현황'!$AA$6,N99)</f>
        <v>4780</v>
      </c>
      <c r="P99" s="1304">
        <f>IF(P$98='1.4.3개발계획현황'!$K$6,'1.4.3개발계획현황'!$AA$6,O99)</f>
        <v>4780</v>
      </c>
      <c r="Q99" s="1304">
        <f>IF(Q$98='1.4.3개발계획현황'!$K$6,'1.4.3개발계획현황'!$AA$6,P99)</f>
        <v>4780</v>
      </c>
      <c r="R99" s="1304">
        <f>IF(R$98='1.4.3개발계획현황'!$K$6,'1.4.3개발계획현황'!$AA$6,Q99)</f>
        <v>4780</v>
      </c>
      <c r="S99" s="1304">
        <f>IF(S$98='1.4.3개발계획현황'!$K$6,'1.4.3개발계획현황'!$AA$6,R99)</f>
        <v>4780</v>
      </c>
      <c r="T99" s="1304">
        <f>IF(T$98='1.4.3개발계획현황'!$K$6,'1.4.3개발계획현황'!$AA$6,S99)</f>
        <v>4780</v>
      </c>
      <c r="U99" s="1304">
        <f>IF(U$98='1.4.3개발계획현황'!$K$6,'1.4.3개발계획현황'!$AA$6,T99)</f>
        <v>4780</v>
      </c>
      <c r="V99" s="1304">
        <f>IF(V$98='1.4.3개발계획현황'!$K$6,'1.4.3개발계획현황'!$AA$6,U99)</f>
        <v>4780</v>
      </c>
      <c r="W99" s="1304">
        <f>IF(W$98='1.4.3개발계획현황'!$K$6,'1.4.3개발계획현황'!$AA$6,V99)</f>
        <v>4780</v>
      </c>
      <c r="X99" s="1304">
        <f>IF(X$98='1.4.3개발계획현황'!$K$6,'1.4.3개발계획현황'!$AA$6,W99)</f>
        <v>4780</v>
      </c>
      <c r="Y99" s="1360"/>
      <c r="Z99" s="2519" t="str">
        <f>A99</f>
        <v>도시개발
사업</v>
      </c>
      <c r="AA99" s="1303" t="str">
        <f>B99</f>
        <v>대소 삼정지구</v>
      </c>
      <c r="AB99" s="1304">
        <f t="shared" ref="AB99:AW99" si="221">ROUND(C99*$AX99,0)</f>
        <v>0</v>
      </c>
      <c r="AC99" s="1304">
        <f t="shared" si="221"/>
        <v>0</v>
      </c>
      <c r="AD99" s="1304">
        <f t="shared" si="221"/>
        <v>0</v>
      </c>
      <c r="AE99" s="1304">
        <f t="shared" si="221"/>
        <v>0</v>
      </c>
      <c r="AF99" s="1304">
        <f t="shared" si="221"/>
        <v>0</v>
      </c>
      <c r="AG99" s="1304">
        <f t="shared" si="221"/>
        <v>0</v>
      </c>
      <c r="AH99" s="1304">
        <f t="shared" si="221"/>
        <v>3346</v>
      </c>
      <c r="AI99" s="1304">
        <f t="shared" si="221"/>
        <v>3346</v>
      </c>
      <c r="AJ99" s="1304">
        <f t="shared" si="221"/>
        <v>3346</v>
      </c>
      <c r="AK99" s="1304">
        <f t="shared" si="221"/>
        <v>3346</v>
      </c>
      <c r="AL99" s="1304">
        <f t="shared" si="221"/>
        <v>3346</v>
      </c>
      <c r="AM99" s="1304">
        <f t="shared" si="221"/>
        <v>3346</v>
      </c>
      <c r="AN99" s="1304">
        <f t="shared" si="221"/>
        <v>3346</v>
      </c>
      <c r="AO99" s="1304">
        <f t="shared" si="221"/>
        <v>3346</v>
      </c>
      <c r="AP99" s="1304">
        <f t="shared" si="221"/>
        <v>3346</v>
      </c>
      <c r="AQ99" s="1304">
        <f t="shared" si="221"/>
        <v>3346</v>
      </c>
      <c r="AR99" s="1304">
        <f t="shared" si="221"/>
        <v>3346</v>
      </c>
      <c r="AS99" s="1304">
        <f t="shared" si="221"/>
        <v>3346</v>
      </c>
      <c r="AT99" s="1304">
        <f t="shared" si="221"/>
        <v>3346</v>
      </c>
      <c r="AU99" s="1304">
        <f t="shared" si="221"/>
        <v>3346</v>
      </c>
      <c r="AV99" s="1304">
        <f t="shared" si="221"/>
        <v>3346</v>
      </c>
      <c r="AW99" s="1304">
        <f t="shared" si="221"/>
        <v>3346</v>
      </c>
      <c r="AX99" s="1361">
        <v>0.7</v>
      </c>
      <c r="AY99" s="1326"/>
      <c r="BH99" s="1354"/>
    </row>
    <row r="100" spans="1:60" ht="20.45" customHeight="1">
      <c r="A100" s="2520"/>
      <c r="B100" s="1345" t="str">
        <f>'1.4.3개발계획현황'!A9</f>
        <v>태성지구 도시개발사업</v>
      </c>
      <c r="C100" s="1311">
        <f>IF(C$98='1.4.3개발계획현황'!$K$9,'1.4.3개발계획현황'!$AA$9,0)</f>
        <v>0</v>
      </c>
      <c r="D100" s="1311">
        <f>IF(D$98='1.4.3개발계획현황'!$K$9,'1.4.3개발계획현황'!$AA$9,C100)</f>
        <v>0</v>
      </c>
      <c r="E100" s="1311">
        <f>IF(E$98='1.4.3개발계획현황'!$K$9,'1.4.3개발계획현황'!$AA$9,D100)</f>
        <v>0</v>
      </c>
      <c r="F100" s="1311">
        <f>IF(F$98='1.4.3개발계획현황'!$K$9,'1.4.3개발계획현황'!$AA$9,E100)</f>
        <v>0</v>
      </c>
      <c r="G100" s="1311">
        <f>IF(G$98='1.4.3개발계획현황'!$K$9,'1.4.3개발계획현황'!$AA$9,F100)</f>
        <v>0</v>
      </c>
      <c r="H100" s="1311">
        <f>IF(H$98='1.4.3개발계획현황'!$K$9,'1.4.3개발계획현황'!$AA$9,G100)</f>
        <v>0</v>
      </c>
      <c r="I100" s="1311">
        <f>IF(I$98='1.4.3개발계획현황'!$K$9,'1.4.3개발계획현황'!$AA$9,H100)</f>
        <v>0</v>
      </c>
      <c r="J100" s="1311">
        <f>IF(J$98='1.4.3개발계획현황'!$K$9,'1.4.3개발계획현황'!$AA$9,I100)</f>
        <v>0</v>
      </c>
      <c r="K100" s="1311">
        <f>IF(K$98='1.4.3개발계획현황'!$K$9,'1.4.3개발계획현황'!$AA$9,J100)</f>
        <v>0</v>
      </c>
      <c r="L100" s="1311">
        <f>IF(L$98='1.4.3개발계획현황'!$K$9,'1.4.3개발계획현황'!$AA$9,K100)</f>
        <v>0</v>
      </c>
      <c r="M100" s="1311">
        <f>IF(M$98='1.4.3개발계획현황'!$K$9,'1.4.3개발계획현황'!$AA$9,L100)</f>
        <v>0</v>
      </c>
      <c r="N100" s="1311">
        <f>IF(N$98='1.4.3개발계획현황'!$K$9,'1.4.3개발계획현황'!$AA$9,M100)</f>
        <v>0</v>
      </c>
      <c r="O100" s="1311">
        <f>IF(O$98='1.4.3개발계획현황'!$K$9,'1.4.3개발계획현황'!$AA$9,N100)</f>
        <v>0</v>
      </c>
      <c r="P100" s="1311">
        <f>IF(P$98='1.4.3개발계획현황'!$K$9,'1.4.3개발계획현황'!$AA$9,O100)</f>
        <v>0</v>
      </c>
      <c r="Q100" s="1311">
        <f>IF(Q$98='1.4.3개발계획현황'!$K$9,'1.4.3개발계획현황'!$AA$9,P100)</f>
        <v>0</v>
      </c>
      <c r="R100" s="1311">
        <f>IF(R$98='1.4.3개발계획현황'!$K$9,'1.4.3개발계획현황'!$AA$9,Q100)</f>
        <v>0</v>
      </c>
      <c r="S100" s="1311">
        <f>IF(S$98='1.4.3개발계획현황'!$K$9,'1.4.3개발계획현황'!$AA$9,R100)</f>
        <v>0</v>
      </c>
      <c r="T100" s="1311">
        <f>IF(T$98='1.4.3개발계획현황'!$K$9,'1.4.3개발계획현황'!$AA$9,S100)</f>
        <v>0</v>
      </c>
      <c r="U100" s="1311">
        <f>IF(U$98='1.4.3개발계획현황'!$K$9,'1.4.3개발계획현황'!$AA$9,T100)</f>
        <v>0</v>
      </c>
      <c r="V100" s="1311">
        <f>IF(V$98='1.4.3개발계획현황'!$K$9,'1.4.3개발계획현황'!$AA$9,U100)</f>
        <v>0</v>
      </c>
      <c r="W100" s="1311">
        <f>IF(W$98='1.4.3개발계획현황'!$K$9,'1.4.3개발계획현황'!$AA$9,V100)</f>
        <v>0</v>
      </c>
      <c r="X100" s="1311">
        <f>IF(X$98='1.4.3개발계획현황'!$K$9,'1.4.3개발계획현황'!$AA$9,W100)</f>
        <v>7670</v>
      </c>
      <c r="Y100" s="1346"/>
      <c r="Z100" s="2520"/>
      <c r="AA100" s="1336" t="str">
        <f>B100</f>
        <v>태성지구 도시개발사업</v>
      </c>
      <c r="AB100" s="1311">
        <f t="shared" ref="AB100" si="222">ROUND(C100*$AX100,0)</f>
        <v>0</v>
      </c>
      <c r="AC100" s="1311">
        <f t="shared" ref="AC100" si="223">ROUND(D100*$AX100,0)</f>
        <v>0</v>
      </c>
      <c r="AD100" s="1311">
        <f t="shared" ref="AD100" si="224">ROUND(E100*$AX100,0)</f>
        <v>0</v>
      </c>
      <c r="AE100" s="1311">
        <f t="shared" ref="AE100" si="225">ROUND(F100*$AX100,0)</f>
        <v>0</v>
      </c>
      <c r="AF100" s="1311">
        <f t="shared" ref="AF100" si="226">ROUND(G100*$AX100,0)</f>
        <v>0</v>
      </c>
      <c r="AG100" s="1311">
        <f t="shared" ref="AG100" si="227">ROUND(H100*$AX100,0)</f>
        <v>0</v>
      </c>
      <c r="AH100" s="1311">
        <f t="shared" ref="AH100" si="228">ROUND(I100*$AX100,0)</f>
        <v>0</v>
      </c>
      <c r="AI100" s="1311">
        <f t="shared" ref="AI100" si="229">ROUND(J100*$AX100,0)</f>
        <v>0</v>
      </c>
      <c r="AJ100" s="1311">
        <f t="shared" ref="AJ100" si="230">ROUND(K100*$AX100,0)</f>
        <v>0</v>
      </c>
      <c r="AK100" s="1311">
        <f t="shared" ref="AK100" si="231">ROUND(L100*$AX100,0)</f>
        <v>0</v>
      </c>
      <c r="AL100" s="1311">
        <f t="shared" ref="AL100" si="232">ROUND(M100*$AX100,0)</f>
        <v>0</v>
      </c>
      <c r="AM100" s="1311">
        <f t="shared" ref="AM100" si="233">ROUND(N100*$AX100,0)</f>
        <v>0</v>
      </c>
      <c r="AN100" s="1311">
        <f t="shared" ref="AN100" si="234">ROUND(O100*$AX100,0)</f>
        <v>0</v>
      </c>
      <c r="AO100" s="1311">
        <f t="shared" ref="AO100" si="235">ROUND(P100*$AX100,0)</f>
        <v>0</v>
      </c>
      <c r="AP100" s="1311">
        <f t="shared" ref="AP100" si="236">ROUND(Q100*$AX100,0)</f>
        <v>0</v>
      </c>
      <c r="AQ100" s="1311">
        <f t="shared" ref="AQ100" si="237">ROUND(R100*$AX100,0)</f>
        <v>0</v>
      </c>
      <c r="AR100" s="1311">
        <f t="shared" ref="AR100" si="238">ROUND(S100*$AX100,0)</f>
        <v>0</v>
      </c>
      <c r="AS100" s="1311">
        <f t="shared" ref="AS100" si="239">ROUND(T100*$AX100,0)</f>
        <v>0</v>
      </c>
      <c r="AT100" s="1311">
        <f t="shared" ref="AT100" si="240">ROUND(U100*$AX100,0)</f>
        <v>0</v>
      </c>
      <c r="AU100" s="1311">
        <f t="shared" ref="AU100" si="241">ROUND(V100*$AX100,0)</f>
        <v>0</v>
      </c>
      <c r="AV100" s="1311">
        <f t="shared" ref="AV100" si="242">ROUND(W100*$AX100,0)</f>
        <v>0</v>
      </c>
      <c r="AW100" s="1311">
        <f t="shared" ref="AW100" si="243">ROUND(X100*$AX100,0)</f>
        <v>5369</v>
      </c>
      <c r="AX100" s="1347">
        <v>0.7</v>
      </c>
      <c r="AY100" s="1326"/>
      <c r="BH100" s="1354"/>
    </row>
    <row r="101" spans="1:60" ht="20.45" customHeight="1">
      <c r="A101" s="2520"/>
      <c r="B101" s="1308" t="s">
        <v>73</v>
      </c>
      <c r="C101" s="1309">
        <f>SUM(C99:C100)</f>
        <v>0</v>
      </c>
      <c r="D101" s="1309">
        <f t="shared" ref="D101:X101" si="244">SUM(D99:D100)</f>
        <v>0</v>
      </c>
      <c r="E101" s="1309">
        <f t="shared" si="244"/>
        <v>0</v>
      </c>
      <c r="F101" s="1309">
        <f t="shared" si="244"/>
        <v>0</v>
      </c>
      <c r="G101" s="1309">
        <f t="shared" si="244"/>
        <v>0</v>
      </c>
      <c r="H101" s="1309">
        <f t="shared" si="244"/>
        <v>0</v>
      </c>
      <c r="I101" s="1309">
        <f t="shared" si="244"/>
        <v>4780</v>
      </c>
      <c r="J101" s="1309">
        <f t="shared" si="244"/>
        <v>4780</v>
      </c>
      <c r="K101" s="1309">
        <f t="shared" si="244"/>
        <v>4780</v>
      </c>
      <c r="L101" s="1309">
        <f t="shared" si="244"/>
        <v>4780</v>
      </c>
      <c r="M101" s="1309">
        <f t="shared" si="244"/>
        <v>4780</v>
      </c>
      <c r="N101" s="1309">
        <f t="shared" si="244"/>
        <v>4780</v>
      </c>
      <c r="O101" s="1309">
        <f t="shared" si="244"/>
        <v>4780</v>
      </c>
      <c r="P101" s="1309">
        <f t="shared" si="244"/>
        <v>4780</v>
      </c>
      <c r="Q101" s="1309">
        <f t="shared" si="244"/>
        <v>4780</v>
      </c>
      <c r="R101" s="1309">
        <f t="shared" si="244"/>
        <v>4780</v>
      </c>
      <c r="S101" s="1309">
        <f t="shared" si="244"/>
        <v>4780</v>
      </c>
      <c r="T101" s="1309">
        <f t="shared" si="244"/>
        <v>4780</v>
      </c>
      <c r="U101" s="1309">
        <f t="shared" si="244"/>
        <v>4780</v>
      </c>
      <c r="V101" s="1309">
        <f t="shared" si="244"/>
        <v>4780</v>
      </c>
      <c r="W101" s="1309">
        <f t="shared" si="244"/>
        <v>4780</v>
      </c>
      <c r="X101" s="1309">
        <f t="shared" si="244"/>
        <v>12450</v>
      </c>
      <c r="Y101" s="1348"/>
      <c r="Z101" s="2520"/>
      <c r="AA101" s="1308" t="s">
        <v>73</v>
      </c>
      <c r="AB101" s="1309">
        <f>SUM(AB99:AB100)</f>
        <v>0</v>
      </c>
      <c r="AC101" s="1309">
        <f t="shared" ref="AC101:AW101" si="245">SUM(AC99:AC100)</f>
        <v>0</v>
      </c>
      <c r="AD101" s="1309">
        <f t="shared" si="245"/>
        <v>0</v>
      </c>
      <c r="AE101" s="1309">
        <f t="shared" si="245"/>
        <v>0</v>
      </c>
      <c r="AF101" s="1309">
        <f t="shared" si="245"/>
        <v>0</v>
      </c>
      <c r="AG101" s="1309">
        <f t="shared" si="245"/>
        <v>0</v>
      </c>
      <c r="AH101" s="1309">
        <f t="shared" si="245"/>
        <v>3346</v>
      </c>
      <c r="AI101" s="1309">
        <f t="shared" si="245"/>
        <v>3346</v>
      </c>
      <c r="AJ101" s="1309">
        <f t="shared" si="245"/>
        <v>3346</v>
      </c>
      <c r="AK101" s="1309">
        <f t="shared" si="245"/>
        <v>3346</v>
      </c>
      <c r="AL101" s="1309">
        <f t="shared" si="245"/>
        <v>3346</v>
      </c>
      <c r="AM101" s="1309">
        <f t="shared" si="245"/>
        <v>3346</v>
      </c>
      <c r="AN101" s="1309">
        <f t="shared" si="245"/>
        <v>3346</v>
      </c>
      <c r="AO101" s="1309">
        <f t="shared" si="245"/>
        <v>3346</v>
      </c>
      <c r="AP101" s="1309">
        <f t="shared" si="245"/>
        <v>3346</v>
      </c>
      <c r="AQ101" s="1309">
        <f t="shared" si="245"/>
        <v>3346</v>
      </c>
      <c r="AR101" s="1309">
        <f t="shared" si="245"/>
        <v>3346</v>
      </c>
      <c r="AS101" s="1309">
        <f t="shared" si="245"/>
        <v>3346</v>
      </c>
      <c r="AT101" s="1309">
        <f t="shared" si="245"/>
        <v>3346</v>
      </c>
      <c r="AU101" s="1309">
        <f t="shared" si="245"/>
        <v>3346</v>
      </c>
      <c r="AV101" s="1309">
        <f t="shared" si="245"/>
        <v>3346</v>
      </c>
      <c r="AW101" s="1309">
        <f t="shared" si="245"/>
        <v>8715</v>
      </c>
      <c r="AX101" s="1348"/>
      <c r="AY101" s="1362"/>
      <c r="BH101" s="1354"/>
    </row>
    <row r="102" spans="1:60" ht="20.45" customHeight="1">
      <c r="A102" s="2507" t="s">
        <v>95</v>
      </c>
      <c r="B102" s="1336" t="str">
        <f>'1.4.3개발계획현황'!A18</f>
        <v>부러운아파트</v>
      </c>
      <c r="C102" s="1311">
        <f>IF(C$98='1.4.3개발계획현황'!$K18,'1.4.3개발계획현황'!$AA18,0)</f>
        <v>0</v>
      </c>
      <c r="D102" s="1311">
        <f>IF(D$98='1.4.3개발계획현황'!$K18,'1.4.3개발계획현황'!$AA18,C102)</f>
        <v>0</v>
      </c>
      <c r="E102" s="1311">
        <f>IF(E$98='1.4.3개발계획현황'!$K18,'1.4.3개발계획현황'!$AA18,D102)</f>
        <v>0</v>
      </c>
      <c r="F102" s="1311">
        <f>IF(F$98='1.4.3개발계획현황'!$K18,'1.4.3개발계획현황'!$AA18,E102)</f>
        <v>0</v>
      </c>
      <c r="G102" s="1311">
        <f>IF(G$98='1.4.3개발계획현황'!$K18,'1.4.3개발계획현황'!$AA18,F102)</f>
        <v>0</v>
      </c>
      <c r="H102" s="1311">
        <f>IF(H$98='1.4.3개발계획현황'!$K18,'1.4.3개발계획현황'!$AA18,G102)</f>
        <v>430</v>
      </c>
      <c r="I102" s="1311">
        <f>IF(I$98='1.4.3개발계획현황'!$K18,'1.4.3개발계획현황'!$AA18,H102)</f>
        <v>430</v>
      </c>
      <c r="J102" s="1311">
        <f>IF(J$98='1.4.3개발계획현황'!$K18,'1.4.3개발계획현황'!$AA18,I102)</f>
        <v>430</v>
      </c>
      <c r="K102" s="1311">
        <f>IF(K$98='1.4.3개발계획현황'!$K18,'1.4.3개발계획현황'!$AA18,J102)</f>
        <v>430</v>
      </c>
      <c r="L102" s="1311">
        <f>IF(L$98='1.4.3개발계획현황'!$K18,'1.4.3개발계획현황'!$AA18,K102)</f>
        <v>430</v>
      </c>
      <c r="M102" s="1311">
        <f>IF(M$98='1.4.3개발계획현황'!$K18,'1.4.3개발계획현황'!$AA18,L102)</f>
        <v>430</v>
      </c>
      <c r="N102" s="1311">
        <f>IF(N$98='1.4.3개발계획현황'!$K18,'1.4.3개발계획현황'!$AA18,M102)</f>
        <v>430</v>
      </c>
      <c r="O102" s="1311">
        <f>IF(O$98='1.4.3개발계획현황'!$K18,'1.4.3개발계획현황'!$AA18,N102)</f>
        <v>430</v>
      </c>
      <c r="P102" s="1311">
        <f>IF(P$98='1.4.3개발계획현황'!$K18,'1.4.3개발계획현황'!$AA18,O102)</f>
        <v>430</v>
      </c>
      <c r="Q102" s="1311">
        <f>IF(Q$98='1.4.3개발계획현황'!$K18,'1.4.3개발계획현황'!$AA18,P102)</f>
        <v>430</v>
      </c>
      <c r="R102" s="1311">
        <f>IF(R$98='1.4.3개발계획현황'!$K18,'1.4.3개발계획현황'!$AA18,Q102)</f>
        <v>430</v>
      </c>
      <c r="S102" s="1311">
        <f>IF(S$98='1.4.3개발계획현황'!$K18,'1.4.3개발계획현황'!$AA18,R102)</f>
        <v>430</v>
      </c>
      <c r="T102" s="1311">
        <f>IF(T$98='1.4.3개발계획현황'!$K18,'1.4.3개발계획현황'!$AA18,S102)</f>
        <v>430</v>
      </c>
      <c r="U102" s="1311">
        <f>IF(U$98='1.4.3개발계획현황'!$K18,'1.4.3개발계획현황'!$AA18,T102)</f>
        <v>430</v>
      </c>
      <c r="V102" s="1311">
        <f>IF(V$98='1.4.3개발계획현황'!$K18,'1.4.3개발계획현황'!$AA18,U102)</f>
        <v>430</v>
      </c>
      <c r="W102" s="1311">
        <f>IF(W$98='1.4.3개발계획현황'!$K18,'1.4.3개발계획현황'!$AA18,V102)</f>
        <v>430</v>
      </c>
      <c r="X102" s="1311">
        <f>IF(X$98='1.4.3개발계획현황'!$K18,'1.4.3개발계획현황'!$AA18,W102)</f>
        <v>430</v>
      </c>
      <c r="Y102" s="1363"/>
      <c r="Z102" s="2507" t="str">
        <f>A102</f>
        <v>공동주택
건설사업</v>
      </c>
      <c r="AA102" s="1336" t="str">
        <f>B102</f>
        <v>부러운아파트</v>
      </c>
      <c r="AB102" s="1311">
        <f t="shared" ref="AB102:AK106" si="246">ROUND(C102*$AX102,0)</f>
        <v>0</v>
      </c>
      <c r="AC102" s="1311">
        <f t="shared" si="246"/>
        <v>0</v>
      </c>
      <c r="AD102" s="1311">
        <f t="shared" si="246"/>
        <v>0</v>
      </c>
      <c r="AE102" s="1311">
        <f t="shared" si="246"/>
        <v>0</v>
      </c>
      <c r="AF102" s="1311">
        <f t="shared" si="246"/>
        <v>0</v>
      </c>
      <c r="AG102" s="1311">
        <f t="shared" si="246"/>
        <v>237</v>
      </c>
      <c r="AH102" s="1311">
        <f t="shared" si="246"/>
        <v>237</v>
      </c>
      <c r="AI102" s="1311">
        <f t="shared" si="246"/>
        <v>237</v>
      </c>
      <c r="AJ102" s="1311">
        <f t="shared" si="246"/>
        <v>237</v>
      </c>
      <c r="AK102" s="1311">
        <f t="shared" si="246"/>
        <v>237</v>
      </c>
      <c r="AL102" s="1311">
        <f t="shared" ref="AL102:AU106" si="247">ROUND(M102*$AX102,0)</f>
        <v>237</v>
      </c>
      <c r="AM102" s="1311">
        <f t="shared" si="247"/>
        <v>237</v>
      </c>
      <c r="AN102" s="1311">
        <f t="shared" si="247"/>
        <v>237</v>
      </c>
      <c r="AO102" s="1311">
        <f t="shared" si="247"/>
        <v>237</v>
      </c>
      <c r="AP102" s="1311">
        <f t="shared" si="247"/>
        <v>237</v>
      </c>
      <c r="AQ102" s="1311">
        <f t="shared" si="247"/>
        <v>237</v>
      </c>
      <c r="AR102" s="1311">
        <f t="shared" si="247"/>
        <v>237</v>
      </c>
      <c r="AS102" s="1311">
        <f t="shared" si="247"/>
        <v>237</v>
      </c>
      <c r="AT102" s="1311">
        <f t="shared" si="247"/>
        <v>237</v>
      </c>
      <c r="AU102" s="1311">
        <f t="shared" si="247"/>
        <v>237</v>
      </c>
      <c r="AV102" s="1311">
        <f t="shared" ref="AV102:AW106" si="248">ROUND(W102*$AX102,0)</f>
        <v>237</v>
      </c>
      <c r="AW102" s="1311">
        <f t="shared" si="248"/>
        <v>237</v>
      </c>
      <c r="AX102" s="1347">
        <v>0.55000000000000004</v>
      </c>
      <c r="AY102" s="1302"/>
      <c r="BH102" s="1354"/>
    </row>
    <row r="103" spans="1:60" ht="20.45" customHeight="1">
      <c r="A103" s="2507"/>
      <c r="B103" s="1336" t="str">
        <f>'1.4.3개발계획현황'!A21</f>
        <v>웰메이드타운</v>
      </c>
      <c r="C103" s="1311">
        <f>IF(C$98='1.4.3개발계획현황'!$K21,'1.4.3개발계획현황'!$AA21,0)</f>
        <v>0</v>
      </c>
      <c r="D103" s="1311">
        <f>IF(D$98='1.4.3개발계획현황'!$K21,'1.4.3개발계획현황'!$AA21,C103)</f>
        <v>0</v>
      </c>
      <c r="E103" s="1311">
        <f>IF(E$98='1.4.3개발계획현황'!$K21,'1.4.3개발계획현황'!$AA21,D103)</f>
        <v>0</v>
      </c>
      <c r="F103" s="1311">
        <f>IF(F$98='1.4.3개발계획현황'!$K21,'1.4.3개발계획현황'!$AA21,E103)</f>
        <v>0</v>
      </c>
      <c r="G103" s="1311">
        <f>IF(G$98='1.4.3개발계획현황'!$K21,'1.4.3개발계획현황'!$AA21,F103)</f>
        <v>941</v>
      </c>
      <c r="H103" s="1311">
        <f>IF(H$98='1.4.3개발계획현황'!$K21,'1.4.3개발계획현황'!$AA21,G103)</f>
        <v>941</v>
      </c>
      <c r="I103" s="1311">
        <f>IF(I$98='1.4.3개발계획현황'!$K21,'1.4.3개발계획현황'!$AA21,H103)</f>
        <v>941</v>
      </c>
      <c r="J103" s="1311">
        <f>IF(J$98='1.4.3개발계획현황'!$K21,'1.4.3개발계획현황'!$AA21,I103)</f>
        <v>941</v>
      </c>
      <c r="K103" s="1311">
        <f>IF(K$98='1.4.3개발계획현황'!$K21,'1.4.3개발계획현황'!$AA21,J103)</f>
        <v>941</v>
      </c>
      <c r="L103" s="1311">
        <f>IF(L$98='1.4.3개발계획현황'!$K21,'1.4.3개발계획현황'!$AA21,K103)</f>
        <v>941</v>
      </c>
      <c r="M103" s="1311">
        <f>IF(M$98='1.4.3개발계획현황'!$K21,'1.4.3개발계획현황'!$AA21,L103)</f>
        <v>941</v>
      </c>
      <c r="N103" s="1311">
        <f>IF(N$98='1.4.3개발계획현황'!$K21,'1.4.3개발계획현황'!$AA21,M103)</f>
        <v>941</v>
      </c>
      <c r="O103" s="1311">
        <f>IF(O$98='1.4.3개발계획현황'!$K21,'1.4.3개발계획현황'!$AA21,N103)</f>
        <v>941</v>
      </c>
      <c r="P103" s="1311">
        <f>IF(P$98='1.4.3개발계획현황'!$K21,'1.4.3개발계획현황'!$AA21,O103)</f>
        <v>941</v>
      </c>
      <c r="Q103" s="1311">
        <f>IF(Q$98='1.4.3개발계획현황'!$K21,'1.4.3개발계획현황'!$AA21,P103)</f>
        <v>941</v>
      </c>
      <c r="R103" s="1311">
        <f>IF(R$98='1.4.3개발계획현황'!$K21,'1.4.3개발계획현황'!$AA21,Q103)</f>
        <v>941</v>
      </c>
      <c r="S103" s="1311">
        <f>IF(S$98='1.4.3개발계획현황'!$K21,'1.4.3개발계획현황'!$AA21,R103)</f>
        <v>941</v>
      </c>
      <c r="T103" s="1311">
        <f>IF(T$98='1.4.3개발계획현황'!$K21,'1.4.3개발계획현황'!$AA21,S103)</f>
        <v>941</v>
      </c>
      <c r="U103" s="1311">
        <f>IF(U$98='1.4.3개발계획현황'!$K21,'1.4.3개발계획현황'!$AA21,T103)</f>
        <v>941</v>
      </c>
      <c r="V103" s="1311">
        <f>IF(V$98='1.4.3개발계획현황'!$K21,'1.4.3개발계획현황'!$AA21,U103)</f>
        <v>941</v>
      </c>
      <c r="W103" s="1311">
        <f>IF(W$98='1.4.3개발계획현황'!$K21,'1.4.3개발계획현황'!$AA21,V103)</f>
        <v>941</v>
      </c>
      <c r="X103" s="1311">
        <f>IF(X$98='1.4.3개발계획현황'!$K21,'1.4.3개발계획현황'!$AA21,W103)</f>
        <v>941</v>
      </c>
      <c r="Y103" s="1363"/>
      <c r="Z103" s="2507"/>
      <c r="AA103" s="1336" t="str">
        <f>B103</f>
        <v>웰메이드타운</v>
      </c>
      <c r="AB103" s="1311">
        <f t="shared" si="246"/>
        <v>0</v>
      </c>
      <c r="AC103" s="1311">
        <f t="shared" si="246"/>
        <v>0</v>
      </c>
      <c r="AD103" s="1311">
        <f t="shared" si="246"/>
        <v>0</v>
      </c>
      <c r="AE103" s="1311">
        <f t="shared" si="246"/>
        <v>0</v>
      </c>
      <c r="AF103" s="1311">
        <f t="shared" si="246"/>
        <v>518</v>
      </c>
      <c r="AG103" s="1311">
        <f t="shared" si="246"/>
        <v>518</v>
      </c>
      <c r="AH103" s="1311">
        <f t="shared" si="246"/>
        <v>518</v>
      </c>
      <c r="AI103" s="1311">
        <f t="shared" si="246"/>
        <v>518</v>
      </c>
      <c r="AJ103" s="1311">
        <f t="shared" si="246"/>
        <v>518</v>
      </c>
      <c r="AK103" s="1311">
        <f t="shared" si="246"/>
        <v>518</v>
      </c>
      <c r="AL103" s="1311">
        <f t="shared" si="247"/>
        <v>518</v>
      </c>
      <c r="AM103" s="1311">
        <f t="shared" si="247"/>
        <v>518</v>
      </c>
      <c r="AN103" s="1311">
        <f t="shared" si="247"/>
        <v>518</v>
      </c>
      <c r="AO103" s="1311">
        <f t="shared" si="247"/>
        <v>518</v>
      </c>
      <c r="AP103" s="1311">
        <f t="shared" si="247"/>
        <v>518</v>
      </c>
      <c r="AQ103" s="1311">
        <f t="shared" si="247"/>
        <v>518</v>
      </c>
      <c r="AR103" s="1311">
        <f t="shared" si="247"/>
        <v>518</v>
      </c>
      <c r="AS103" s="1311">
        <f t="shared" si="247"/>
        <v>518</v>
      </c>
      <c r="AT103" s="1311">
        <f t="shared" si="247"/>
        <v>518</v>
      </c>
      <c r="AU103" s="1311">
        <f t="shared" si="247"/>
        <v>518</v>
      </c>
      <c r="AV103" s="1311">
        <f t="shared" si="248"/>
        <v>518</v>
      </c>
      <c r="AW103" s="1311">
        <f t="shared" si="248"/>
        <v>518</v>
      </c>
      <c r="AX103" s="1347">
        <v>0.55000000000000004</v>
      </c>
      <c r="BH103" s="1364"/>
    </row>
    <row r="104" spans="1:60" ht="20.45" customHeight="1">
      <c r="A104" s="2507"/>
      <c r="B104" s="1365" t="str">
        <f>'1.4.3개발계획현황'!A27</f>
        <v>대소지역주택조합</v>
      </c>
      <c r="C104" s="1311">
        <f>IF(C$98='1.4.3개발계획현황'!$K27,'1.4.3개발계획현황'!$AA27,0)</f>
        <v>0</v>
      </c>
      <c r="D104" s="1311">
        <f>IF(D$98='1.4.3개발계획현황'!$K27,'1.4.3개발계획현황'!$AA27,C104)</f>
        <v>0</v>
      </c>
      <c r="E104" s="1311">
        <f>IF(E$98='1.4.3개발계획현황'!$K27,'1.4.3개발계획현황'!$AA27,D104)</f>
        <v>0</v>
      </c>
      <c r="F104" s="1311">
        <f>IF(F$98='1.4.3개발계획현황'!$K27,'1.4.3개발계획현황'!$AA27,E104)</f>
        <v>0</v>
      </c>
      <c r="G104" s="1311">
        <f>IF(G$98='1.4.3개발계획현황'!$K27,'1.4.3개발계획현황'!$AA27,F104)</f>
        <v>0</v>
      </c>
      <c r="H104" s="1311">
        <f>IF(H$98='1.4.3개발계획현황'!$K27,'1.4.3개발계획현황'!$AA27,G104)</f>
        <v>0</v>
      </c>
      <c r="I104" s="1311">
        <f>IF(I$98='1.4.3개발계획현황'!$K27,'1.4.3개발계획현황'!$AA27,H104)</f>
        <v>0</v>
      </c>
      <c r="J104" s="1311">
        <f>IF(J$98='1.4.3개발계획현황'!$K27,'1.4.3개발계획현황'!$AA27,I104)</f>
        <v>0</v>
      </c>
      <c r="K104" s="1311">
        <f>IF(K$98='1.4.3개발계획현황'!$K27,'1.4.3개발계획현황'!$AA27,J104)</f>
        <v>0</v>
      </c>
      <c r="L104" s="1311">
        <f>IF(L$98='1.4.3개발계획현황'!$K27,'1.4.3개발계획현황'!$AA27,K104)</f>
        <v>0</v>
      </c>
      <c r="M104" s="1311">
        <f>IF(M$98='1.4.3개발계획현황'!$K27,'1.4.3개발계획현황'!$AA27,L104)</f>
        <v>0</v>
      </c>
      <c r="N104" s="1311">
        <f>IF(N$98='1.4.3개발계획현황'!$K27,'1.4.3개발계획현황'!$AA27,M104)</f>
        <v>354</v>
      </c>
      <c r="O104" s="1311">
        <f>IF(O$98='1.4.3개발계획현황'!$K27,'1.4.3개발계획현황'!$AA27,N104)</f>
        <v>354</v>
      </c>
      <c r="P104" s="1311">
        <f>IF(P$98='1.4.3개발계획현황'!$K27,'1.4.3개발계획현황'!$AA27,O104)</f>
        <v>354</v>
      </c>
      <c r="Q104" s="1311">
        <f>IF(Q$98='1.4.3개발계획현황'!$K27,'1.4.3개발계획현황'!$AA27,P104)</f>
        <v>354</v>
      </c>
      <c r="R104" s="1311">
        <f>IF(R$98='1.4.3개발계획현황'!$K27,'1.4.3개발계획현황'!$AA27,Q104)</f>
        <v>354</v>
      </c>
      <c r="S104" s="1311">
        <f>IF(S$98='1.4.3개발계획현황'!$K27,'1.4.3개발계획현황'!$AA27,R104)</f>
        <v>354</v>
      </c>
      <c r="T104" s="1311">
        <f>IF(T$98='1.4.3개발계획현황'!$K27,'1.4.3개발계획현황'!$AA27,S104)</f>
        <v>354</v>
      </c>
      <c r="U104" s="1311">
        <f>IF(U$98='1.4.3개발계획현황'!$K27,'1.4.3개발계획현황'!$AA27,T104)</f>
        <v>354</v>
      </c>
      <c r="V104" s="1311">
        <f>IF(V$98='1.4.3개발계획현황'!$K27,'1.4.3개발계획현황'!$AA27,U104)</f>
        <v>354</v>
      </c>
      <c r="W104" s="1311">
        <f>IF(W$98='1.4.3개발계획현황'!$K27,'1.4.3개발계획현황'!$AA27,V104)</f>
        <v>354</v>
      </c>
      <c r="X104" s="1311">
        <f>IF(X$98='1.4.3개발계획현황'!$K27,'1.4.3개발계획현황'!$AA27,W104)</f>
        <v>354</v>
      </c>
      <c r="Y104" s="1363"/>
      <c r="Z104" s="2507"/>
      <c r="AA104" s="1365" t="str">
        <f>B104</f>
        <v>대소지역주택조합</v>
      </c>
      <c r="AB104" s="1311">
        <f t="shared" si="246"/>
        <v>0</v>
      </c>
      <c r="AC104" s="1311">
        <f t="shared" si="246"/>
        <v>0</v>
      </c>
      <c r="AD104" s="1311">
        <f t="shared" si="246"/>
        <v>0</v>
      </c>
      <c r="AE104" s="1311">
        <f t="shared" si="246"/>
        <v>0</v>
      </c>
      <c r="AF104" s="1311">
        <f t="shared" si="246"/>
        <v>0</v>
      </c>
      <c r="AG104" s="1311">
        <f t="shared" si="246"/>
        <v>0</v>
      </c>
      <c r="AH104" s="1311">
        <f t="shared" si="246"/>
        <v>0</v>
      </c>
      <c r="AI104" s="1311">
        <f t="shared" si="246"/>
        <v>0</v>
      </c>
      <c r="AJ104" s="1311">
        <f t="shared" si="246"/>
        <v>0</v>
      </c>
      <c r="AK104" s="1311">
        <f t="shared" si="246"/>
        <v>0</v>
      </c>
      <c r="AL104" s="1311">
        <f t="shared" si="247"/>
        <v>0</v>
      </c>
      <c r="AM104" s="1311">
        <f t="shared" si="247"/>
        <v>195</v>
      </c>
      <c r="AN104" s="1311">
        <f t="shared" si="247"/>
        <v>195</v>
      </c>
      <c r="AO104" s="1311">
        <f t="shared" si="247"/>
        <v>195</v>
      </c>
      <c r="AP104" s="1311">
        <f t="shared" si="247"/>
        <v>195</v>
      </c>
      <c r="AQ104" s="1311">
        <f t="shared" si="247"/>
        <v>195</v>
      </c>
      <c r="AR104" s="1311">
        <f t="shared" si="247"/>
        <v>195</v>
      </c>
      <c r="AS104" s="1311">
        <f t="shared" si="247"/>
        <v>195</v>
      </c>
      <c r="AT104" s="1311">
        <f t="shared" si="247"/>
        <v>195</v>
      </c>
      <c r="AU104" s="1311">
        <f t="shared" si="247"/>
        <v>195</v>
      </c>
      <c r="AV104" s="1311">
        <f t="shared" si="248"/>
        <v>195</v>
      </c>
      <c r="AW104" s="1311">
        <f t="shared" si="248"/>
        <v>195</v>
      </c>
      <c r="AX104" s="1347">
        <v>0.55000000000000004</v>
      </c>
      <c r="BH104" s="1364"/>
    </row>
    <row r="105" spans="1:60" ht="20.45" customHeight="1">
      <c r="A105" s="2507"/>
      <c r="B105" s="1365" t="str">
        <f>'1.4.3개발계획현황'!A28</f>
        <v>음성대소지역주택조합</v>
      </c>
      <c r="C105" s="1311">
        <f>IF(C$98='1.4.3개발계획현황'!$K28,'1.4.3개발계획현황'!$AA28,0)</f>
        <v>0</v>
      </c>
      <c r="D105" s="1311">
        <f>IF(D$98='1.4.3개발계획현황'!$K28,'1.4.3개발계획현황'!$AA28,C105)</f>
        <v>0</v>
      </c>
      <c r="E105" s="1311">
        <f>IF(E$98='1.4.3개발계획현황'!$K28,'1.4.3개발계획현황'!$AA28,D105)</f>
        <v>0</v>
      </c>
      <c r="F105" s="1311">
        <f>IF(F$98='1.4.3개발계획현황'!$K28,'1.4.3개발계획현황'!$AA28,E105)</f>
        <v>0</v>
      </c>
      <c r="G105" s="1311">
        <f>IF(G$98='1.4.3개발계획현황'!$K28,'1.4.3개발계획현황'!$AA28,F105)</f>
        <v>0</v>
      </c>
      <c r="H105" s="1311">
        <f>IF(H$98='1.4.3개발계획현황'!$K28,'1.4.3개발계획현황'!$AA28,G105)</f>
        <v>1497</v>
      </c>
      <c r="I105" s="1311">
        <f>IF(I$98='1.4.3개발계획현황'!$K28,'1.4.3개발계획현황'!$AA28,H105)</f>
        <v>1497</v>
      </c>
      <c r="J105" s="1311">
        <f>IF(J$98='1.4.3개발계획현황'!$K28,'1.4.3개발계획현황'!$AA28,I105)</f>
        <v>1497</v>
      </c>
      <c r="K105" s="1311">
        <f>IF(K$98='1.4.3개발계획현황'!$K28,'1.4.3개발계획현황'!$AA28,J105)</f>
        <v>1497</v>
      </c>
      <c r="L105" s="1311">
        <f>IF(L$98='1.4.3개발계획현황'!$K28,'1.4.3개발계획현황'!$AA28,K105)</f>
        <v>1497</v>
      </c>
      <c r="M105" s="1311">
        <f>IF(M$98='1.4.3개발계획현황'!$K28,'1.4.3개발계획현황'!$AA28,L105)</f>
        <v>1497</v>
      </c>
      <c r="N105" s="1311">
        <f>IF(N$98='1.4.3개발계획현황'!$K28,'1.4.3개발계획현황'!$AA28,M105)</f>
        <v>1497</v>
      </c>
      <c r="O105" s="1311">
        <f>IF(O$98='1.4.3개발계획현황'!$K28,'1.4.3개발계획현황'!$AA28,N105)</f>
        <v>1497</v>
      </c>
      <c r="P105" s="1311">
        <f>IF(P$98='1.4.3개발계획현황'!$K28,'1.4.3개발계획현황'!$AA28,O105)</f>
        <v>1497</v>
      </c>
      <c r="Q105" s="1311">
        <f>IF(Q$98='1.4.3개발계획현황'!$K28,'1.4.3개발계획현황'!$AA28,P105)</f>
        <v>1497</v>
      </c>
      <c r="R105" s="1311">
        <f>IF(R$98='1.4.3개발계획현황'!$K28,'1.4.3개발계획현황'!$AA28,Q105)</f>
        <v>1497</v>
      </c>
      <c r="S105" s="1311">
        <f>IF(S$98='1.4.3개발계획현황'!$K28,'1.4.3개발계획현황'!$AA28,R105)</f>
        <v>1497</v>
      </c>
      <c r="T105" s="1311">
        <f>IF(T$98='1.4.3개발계획현황'!$K28,'1.4.3개발계획현황'!$AA28,S105)</f>
        <v>1497</v>
      </c>
      <c r="U105" s="1311">
        <f>IF(U$98='1.4.3개발계획현황'!$K28,'1.4.3개발계획현황'!$AA28,T105)</f>
        <v>1497</v>
      </c>
      <c r="V105" s="1311">
        <f>IF(V$98='1.4.3개발계획현황'!$K28,'1.4.3개발계획현황'!$AA28,U105)</f>
        <v>1497</v>
      </c>
      <c r="W105" s="1311">
        <f>IF(W$98='1.4.3개발계획현황'!$K28,'1.4.3개발계획현황'!$AA28,V105)</f>
        <v>1497</v>
      </c>
      <c r="X105" s="1311">
        <f>IF(X$98='1.4.3개발계획현황'!$K28,'1.4.3개발계획현황'!$AA28,W105)</f>
        <v>1497</v>
      </c>
      <c r="Y105" s="1349" t="s">
        <v>1334</v>
      </c>
      <c r="Z105" s="2507"/>
      <c r="AA105" s="1365" t="str">
        <f>B105</f>
        <v>음성대소지역주택조합</v>
      </c>
      <c r="AB105" s="1311">
        <f t="shared" si="246"/>
        <v>0</v>
      </c>
      <c r="AC105" s="1311">
        <f t="shared" si="246"/>
        <v>0</v>
      </c>
      <c r="AD105" s="1311">
        <f t="shared" si="246"/>
        <v>0</v>
      </c>
      <c r="AE105" s="1311">
        <f t="shared" si="246"/>
        <v>0</v>
      </c>
      <c r="AF105" s="1311">
        <f t="shared" si="246"/>
        <v>0</v>
      </c>
      <c r="AG105" s="1311">
        <v>0</v>
      </c>
      <c r="AH105" s="1311">
        <v>0</v>
      </c>
      <c r="AI105" s="1311">
        <v>0</v>
      </c>
      <c r="AJ105" s="1311">
        <v>0</v>
      </c>
      <c r="AK105" s="1311">
        <v>0</v>
      </c>
      <c r="AL105" s="1311">
        <v>0</v>
      </c>
      <c r="AM105" s="1311">
        <v>0</v>
      </c>
      <c r="AN105" s="1311">
        <v>0</v>
      </c>
      <c r="AO105" s="1311">
        <v>0</v>
      </c>
      <c r="AP105" s="1311">
        <v>0</v>
      </c>
      <c r="AQ105" s="1311">
        <v>0</v>
      </c>
      <c r="AR105" s="1311">
        <f t="shared" si="247"/>
        <v>823</v>
      </c>
      <c r="AS105" s="1311">
        <f t="shared" si="247"/>
        <v>823</v>
      </c>
      <c r="AT105" s="1311">
        <f t="shared" si="247"/>
        <v>823</v>
      </c>
      <c r="AU105" s="1311">
        <f t="shared" si="247"/>
        <v>823</v>
      </c>
      <c r="AV105" s="1311">
        <f t="shared" si="248"/>
        <v>823</v>
      </c>
      <c r="AW105" s="1311">
        <f t="shared" si="248"/>
        <v>823</v>
      </c>
      <c r="AX105" s="1347">
        <v>0.55000000000000004</v>
      </c>
      <c r="BH105" s="1364"/>
    </row>
    <row r="106" spans="1:60" ht="20.45" customHeight="1">
      <c r="A106" s="2507"/>
      <c r="B106" s="1365" t="str">
        <f>'1.4.3개발계획현황'!A32</f>
        <v>프리즘환타</v>
      </c>
      <c r="C106" s="1311">
        <f>IF(C$98='1.4.3개발계획현황'!$K32,'1.4.3개발계획현황'!$AA32,0)</f>
        <v>0</v>
      </c>
      <c r="D106" s="1311">
        <f>IF(D$98='1.4.3개발계획현황'!$K32,'1.4.3개발계획현황'!$AA32,C106)</f>
        <v>0</v>
      </c>
      <c r="E106" s="1311">
        <f>IF(E$98='1.4.3개발계획현황'!$K32,'1.4.3개발계획현황'!$AA32,D106)</f>
        <v>0</v>
      </c>
      <c r="F106" s="1311">
        <f>IF(F$98='1.4.3개발계획현황'!$K32,'1.4.3개발계획현황'!$AA32,E106)</f>
        <v>0</v>
      </c>
      <c r="G106" s="1311">
        <f>IF(G$98='1.4.3개발계획현황'!$K32,'1.4.3개발계획현황'!$AA32,F106)</f>
        <v>0</v>
      </c>
      <c r="H106" s="1311">
        <f>IF(H$98='1.4.3개발계획현황'!$K32,'1.4.3개발계획현황'!$AA32,G106)</f>
        <v>1488</v>
      </c>
      <c r="I106" s="1311">
        <f>IF(I$98='1.4.3개발계획현황'!$K32,'1.4.3개발계획현황'!$AA32,H106)</f>
        <v>1488</v>
      </c>
      <c r="J106" s="1311">
        <f>IF(J$98='1.4.3개발계획현황'!$K32,'1.4.3개발계획현황'!$AA32,I106)</f>
        <v>1488</v>
      </c>
      <c r="K106" s="1311">
        <f>IF(K$98='1.4.3개발계획현황'!$K32,'1.4.3개발계획현황'!$AA32,J106)</f>
        <v>1488</v>
      </c>
      <c r="L106" s="1311">
        <f>IF(L$98='1.4.3개발계획현황'!$K32,'1.4.3개발계획현황'!$AA32,K106)</f>
        <v>1488</v>
      </c>
      <c r="M106" s="1311">
        <f>IF(M$98='1.4.3개발계획현황'!$K32,'1.4.3개발계획현황'!$AA32,L106)</f>
        <v>1488</v>
      </c>
      <c r="N106" s="1311">
        <f>IF(N$98='1.4.3개발계획현황'!$K32,'1.4.3개발계획현황'!$AA32,M106)</f>
        <v>1488</v>
      </c>
      <c r="O106" s="1311">
        <f>IF(O$98='1.4.3개발계획현황'!$K32,'1.4.3개발계획현황'!$AA32,N106)</f>
        <v>1488</v>
      </c>
      <c r="P106" s="1311">
        <f>IF(P$98='1.4.3개발계획현황'!$K32,'1.4.3개발계획현황'!$AA32,O106)</f>
        <v>1488</v>
      </c>
      <c r="Q106" s="1311">
        <f>IF(Q$98='1.4.3개발계획현황'!$K32,'1.4.3개발계획현황'!$AA32,P106)</f>
        <v>1488</v>
      </c>
      <c r="R106" s="1311">
        <f>IF(R$98='1.4.3개발계획현황'!$K32,'1.4.3개발계획현황'!$AA32,Q106)</f>
        <v>1488</v>
      </c>
      <c r="S106" s="1311">
        <f>IF(S$98='1.4.3개발계획현황'!$K32,'1.4.3개발계획현황'!$AA32,R106)</f>
        <v>1488</v>
      </c>
      <c r="T106" s="1311">
        <f>IF(T$98='1.4.3개발계획현황'!$K32,'1.4.3개발계획현황'!$AA32,S106)</f>
        <v>1488</v>
      </c>
      <c r="U106" s="1311">
        <f>IF(U$98='1.4.3개발계획현황'!$K32,'1.4.3개발계획현황'!$AA32,T106)</f>
        <v>1488</v>
      </c>
      <c r="V106" s="1311">
        <f>IF(V$98='1.4.3개발계획현황'!$K32,'1.4.3개발계획현황'!$AA32,U106)</f>
        <v>1488</v>
      </c>
      <c r="W106" s="1311">
        <f>IF(W$98='1.4.3개발계획현황'!$K32,'1.4.3개발계획현황'!$AA32,V106)</f>
        <v>1488</v>
      </c>
      <c r="X106" s="1311">
        <f>IF(X$98='1.4.3개발계획현황'!$K32,'1.4.3개발계획현황'!$AA32,W106)</f>
        <v>1488</v>
      </c>
      <c r="Y106" s="1349" t="s">
        <v>1334</v>
      </c>
      <c r="Z106" s="2507"/>
      <c r="AA106" s="1365" t="str">
        <f>B106</f>
        <v>프리즘환타</v>
      </c>
      <c r="AB106" s="1311"/>
      <c r="AC106" s="1311">
        <f>ROUND(D106*$AX106,0)</f>
        <v>0</v>
      </c>
      <c r="AD106" s="1311">
        <f t="shared" si="246"/>
        <v>0</v>
      </c>
      <c r="AE106" s="1311">
        <f t="shared" si="246"/>
        <v>0</v>
      </c>
      <c r="AF106" s="1311">
        <f t="shared" si="246"/>
        <v>0</v>
      </c>
      <c r="AG106" s="1311">
        <v>0</v>
      </c>
      <c r="AH106" s="1311">
        <v>0</v>
      </c>
      <c r="AI106" s="1311">
        <v>0</v>
      </c>
      <c r="AJ106" s="1311">
        <v>0</v>
      </c>
      <c r="AK106" s="1311">
        <v>0</v>
      </c>
      <c r="AL106" s="1311">
        <v>0</v>
      </c>
      <c r="AM106" s="1311">
        <v>0</v>
      </c>
      <c r="AN106" s="1311">
        <v>0</v>
      </c>
      <c r="AO106" s="1311">
        <v>0</v>
      </c>
      <c r="AP106" s="1311">
        <v>0</v>
      </c>
      <c r="AQ106" s="1311">
        <v>0</v>
      </c>
      <c r="AR106" s="1311">
        <f>ROUND(S106*$AX106,0)</f>
        <v>818</v>
      </c>
      <c r="AS106" s="1311">
        <f t="shared" si="247"/>
        <v>818</v>
      </c>
      <c r="AT106" s="1311">
        <f t="shared" si="247"/>
        <v>818</v>
      </c>
      <c r="AU106" s="1311">
        <f t="shared" si="247"/>
        <v>818</v>
      </c>
      <c r="AV106" s="1311">
        <f t="shared" si="248"/>
        <v>818</v>
      </c>
      <c r="AW106" s="1311">
        <f>ROUND(X106*$AX106,0)</f>
        <v>818</v>
      </c>
      <c r="AX106" s="1347">
        <v>0.55000000000000004</v>
      </c>
      <c r="BH106" s="1364"/>
    </row>
    <row r="107" spans="1:60" ht="20.45" customHeight="1">
      <c r="A107" s="2507"/>
      <c r="B107" s="1365" t="str">
        <f>'1.4.3개발계획현황'!A37</f>
        <v>소석리아파트(3단지)</v>
      </c>
      <c r="C107" s="1311">
        <f>IF(C$98='1.4.3개발계획현황'!$K37,'1.4.3개발계획현황'!$AA37,0)</f>
        <v>0</v>
      </c>
      <c r="D107" s="1311">
        <f>IF(D$98='1.4.3개발계획현황'!$K37,'1.4.3개발계획현황'!$AA37,C107)</f>
        <v>0</v>
      </c>
      <c r="E107" s="1311">
        <f>IF(E$98='1.4.3개발계획현황'!$K37,'1.4.3개발계획현황'!$AA37,D107)</f>
        <v>0</v>
      </c>
      <c r="F107" s="1311">
        <f>IF(F$98='1.4.3개발계획현황'!$K37,'1.4.3개발계획현황'!$AA37,E107)</f>
        <v>0</v>
      </c>
      <c r="G107" s="1311">
        <f>IF(G$98='1.4.3개발계획현황'!$K37,'1.4.3개발계획현황'!$AA37,F107)</f>
        <v>0</v>
      </c>
      <c r="H107" s="1311">
        <f>IF(H$98='1.4.3개발계획현황'!$K37,'1.4.3개발계획현황'!$AA37,G107)</f>
        <v>0</v>
      </c>
      <c r="I107" s="1311">
        <f>IF(I$98='1.4.3개발계획현황'!$K37,'1.4.3개발계획현황'!$AA37,H107)</f>
        <v>0</v>
      </c>
      <c r="J107" s="1311">
        <f>IF(J$98='1.4.3개발계획현황'!$K37,'1.4.3개발계획현황'!$AA37,I107)</f>
        <v>0</v>
      </c>
      <c r="K107" s="1311">
        <f>IF(K$98='1.4.3개발계획현황'!$K37,'1.4.3개발계획현황'!$AA37,J107)</f>
        <v>0</v>
      </c>
      <c r="L107" s="1311">
        <f>IF(L$98='1.4.3개발계획현황'!$K37,'1.4.3개발계획현황'!$AA37,K107)</f>
        <v>0</v>
      </c>
      <c r="M107" s="1311">
        <f>IF(M$98='1.4.3개발계획현황'!$K37,'1.4.3개발계획현황'!$AA37,L107)</f>
        <v>0</v>
      </c>
      <c r="N107" s="1311">
        <f>IF(N$98='1.4.3개발계획현황'!$K37,'1.4.3개발계획현황'!$AA37,M107)</f>
        <v>1495</v>
      </c>
      <c r="O107" s="1311">
        <f>IF(O$98='1.4.3개발계획현황'!$K37,'1.4.3개발계획현황'!$AA37,N107)</f>
        <v>1495</v>
      </c>
      <c r="P107" s="1311">
        <f>IF(P$98='1.4.3개발계획현황'!$K37,'1.4.3개발계획현황'!$AA37,O107)</f>
        <v>1495</v>
      </c>
      <c r="Q107" s="1311">
        <f>IF(Q$98='1.4.3개발계획현황'!$K37,'1.4.3개발계획현황'!$AA37,P107)</f>
        <v>1495</v>
      </c>
      <c r="R107" s="1311">
        <f>IF(R$98='1.4.3개발계획현황'!$K37,'1.4.3개발계획현황'!$AA37,Q107)</f>
        <v>1495</v>
      </c>
      <c r="S107" s="1311">
        <f>IF(S$98='1.4.3개발계획현황'!$K37,'1.4.3개발계획현황'!$AA37,R107)</f>
        <v>1495</v>
      </c>
      <c r="T107" s="1311">
        <f>IF(T$98='1.4.3개발계획현황'!$K37,'1.4.3개발계획현황'!$AA37,S107)</f>
        <v>1495</v>
      </c>
      <c r="U107" s="1311">
        <f>IF(U$98='1.4.3개발계획현황'!$K37,'1.4.3개발계획현황'!$AA37,T107)</f>
        <v>1495</v>
      </c>
      <c r="V107" s="1311">
        <f>IF(V$98='1.4.3개발계획현황'!$K37,'1.4.3개발계획현황'!$AA37,U107)</f>
        <v>1495</v>
      </c>
      <c r="W107" s="1311">
        <f>IF(W$98='1.4.3개발계획현황'!$K37,'1.4.3개발계획현황'!$AA37,V107)</f>
        <v>1495</v>
      </c>
      <c r="X107" s="1311">
        <f>IF(X$98='1.4.3개발계획현황'!$K37,'1.4.3개발계획현황'!$AA37,W107)</f>
        <v>1495</v>
      </c>
      <c r="Y107" s="1363"/>
      <c r="Z107" s="2507"/>
      <c r="AA107" s="1365" t="str">
        <f>B107</f>
        <v>소석리아파트(3단지)</v>
      </c>
      <c r="AB107" s="1311">
        <f>ROUND(C107*$AX107,0)</f>
        <v>0</v>
      </c>
      <c r="AC107" s="1311">
        <f>ROUND(D107*$AX107,0)</f>
        <v>0</v>
      </c>
      <c r="AD107" s="1311">
        <f t="shared" ref="AD107:AQ107" si="249">ROUND(E107*$AX107,0)</f>
        <v>0</v>
      </c>
      <c r="AE107" s="1311">
        <f t="shared" si="249"/>
        <v>0</v>
      </c>
      <c r="AF107" s="1311">
        <f t="shared" si="249"/>
        <v>0</v>
      </c>
      <c r="AG107" s="1311">
        <f t="shared" si="249"/>
        <v>0</v>
      </c>
      <c r="AH107" s="1311">
        <f t="shared" si="249"/>
        <v>0</v>
      </c>
      <c r="AI107" s="1311">
        <f t="shared" si="249"/>
        <v>0</v>
      </c>
      <c r="AJ107" s="1311">
        <f t="shared" si="249"/>
        <v>0</v>
      </c>
      <c r="AK107" s="1311">
        <f t="shared" si="249"/>
        <v>0</v>
      </c>
      <c r="AL107" s="1311">
        <f t="shared" si="249"/>
        <v>0</v>
      </c>
      <c r="AM107" s="1311">
        <f t="shared" si="249"/>
        <v>822</v>
      </c>
      <c r="AN107" s="1311">
        <f t="shared" si="249"/>
        <v>822</v>
      </c>
      <c r="AO107" s="1311">
        <f t="shared" si="249"/>
        <v>822</v>
      </c>
      <c r="AP107" s="1311">
        <f t="shared" si="249"/>
        <v>822</v>
      </c>
      <c r="AQ107" s="1311">
        <f t="shared" si="249"/>
        <v>822</v>
      </c>
      <c r="AR107" s="1311">
        <f>ROUND(S107*$AX107,0)</f>
        <v>822</v>
      </c>
      <c r="AS107" s="1311">
        <f>ROUND(T107*$AX107,0)</f>
        <v>822</v>
      </c>
      <c r="AT107" s="1311">
        <f>ROUND(U107*$AX107,0)</f>
        <v>822</v>
      </c>
      <c r="AU107" s="1311">
        <f>ROUND(V107*$AX107,0)</f>
        <v>822</v>
      </c>
      <c r="AV107" s="1311">
        <f>ROUND(W107*$AX107,0)</f>
        <v>822</v>
      </c>
      <c r="AW107" s="1311">
        <f>ROUND(X107*$AX107,0)</f>
        <v>822</v>
      </c>
      <c r="AX107" s="1347">
        <v>0.55000000000000004</v>
      </c>
      <c r="BH107" s="1364"/>
    </row>
    <row r="108" spans="1:60" s="1257" customFormat="1" ht="20.45" customHeight="1">
      <c r="A108" s="2507"/>
      <c r="B108" s="1308" t="s">
        <v>73</v>
      </c>
      <c r="C108" s="1309">
        <f>SUM(C102:C107)</f>
        <v>0</v>
      </c>
      <c r="D108" s="1309">
        <f t="shared" ref="D108:X108" si="250">SUM(D102:D107)</f>
        <v>0</v>
      </c>
      <c r="E108" s="1309">
        <f t="shared" si="250"/>
        <v>0</v>
      </c>
      <c r="F108" s="1309">
        <f t="shared" si="250"/>
        <v>0</v>
      </c>
      <c r="G108" s="1309">
        <f t="shared" si="250"/>
        <v>941</v>
      </c>
      <c r="H108" s="1309">
        <f t="shared" si="250"/>
        <v>4356</v>
      </c>
      <c r="I108" s="1309">
        <f t="shared" si="250"/>
        <v>4356</v>
      </c>
      <c r="J108" s="1309">
        <f t="shared" si="250"/>
        <v>4356</v>
      </c>
      <c r="K108" s="1309">
        <f t="shared" si="250"/>
        <v>4356</v>
      </c>
      <c r="L108" s="1309">
        <f t="shared" si="250"/>
        <v>4356</v>
      </c>
      <c r="M108" s="1309">
        <f t="shared" si="250"/>
        <v>4356</v>
      </c>
      <c r="N108" s="1309">
        <f t="shared" si="250"/>
        <v>6205</v>
      </c>
      <c r="O108" s="1309">
        <f t="shared" si="250"/>
        <v>6205</v>
      </c>
      <c r="P108" s="1309">
        <f t="shared" si="250"/>
        <v>6205</v>
      </c>
      <c r="Q108" s="1309">
        <f t="shared" si="250"/>
        <v>6205</v>
      </c>
      <c r="R108" s="1309">
        <f t="shared" si="250"/>
        <v>6205</v>
      </c>
      <c r="S108" s="1309">
        <f t="shared" si="250"/>
        <v>6205</v>
      </c>
      <c r="T108" s="1309">
        <f t="shared" si="250"/>
        <v>6205</v>
      </c>
      <c r="U108" s="1309">
        <f t="shared" si="250"/>
        <v>6205</v>
      </c>
      <c r="V108" s="1309">
        <f t="shared" si="250"/>
        <v>6205</v>
      </c>
      <c r="W108" s="1309">
        <f t="shared" si="250"/>
        <v>6205</v>
      </c>
      <c r="X108" s="1309">
        <f t="shared" si="250"/>
        <v>6205</v>
      </c>
      <c r="Y108" s="1348"/>
      <c r="Z108" s="2507"/>
      <c r="AA108" s="1308" t="s">
        <v>73</v>
      </c>
      <c r="AB108" s="1309">
        <f t="shared" ref="AB108" si="251">SUM(AB102:AB107)</f>
        <v>0</v>
      </c>
      <c r="AC108" s="1309">
        <f t="shared" ref="AC108" si="252">SUM(AC102:AC107)</f>
        <v>0</v>
      </c>
      <c r="AD108" s="1309">
        <f t="shared" ref="AD108" si="253">SUM(AD102:AD107)</f>
        <v>0</v>
      </c>
      <c r="AE108" s="1309">
        <f t="shared" ref="AE108" si="254">SUM(AE102:AE107)</f>
        <v>0</v>
      </c>
      <c r="AF108" s="1309">
        <f t="shared" ref="AF108" si="255">SUM(AF102:AF107)</f>
        <v>518</v>
      </c>
      <c r="AG108" s="1309">
        <f t="shared" ref="AG108" si="256">SUM(AG102:AG107)</f>
        <v>755</v>
      </c>
      <c r="AH108" s="1309">
        <f t="shared" ref="AH108" si="257">SUM(AH102:AH107)</f>
        <v>755</v>
      </c>
      <c r="AI108" s="1309">
        <f t="shared" ref="AI108" si="258">SUM(AI102:AI107)</f>
        <v>755</v>
      </c>
      <c r="AJ108" s="1309">
        <f t="shared" ref="AJ108" si="259">SUM(AJ102:AJ107)</f>
        <v>755</v>
      </c>
      <c r="AK108" s="1309">
        <f t="shared" ref="AK108" si="260">SUM(AK102:AK107)</f>
        <v>755</v>
      </c>
      <c r="AL108" s="1309">
        <f t="shared" ref="AL108" si="261">SUM(AL102:AL107)</f>
        <v>755</v>
      </c>
      <c r="AM108" s="1309">
        <f t="shared" ref="AM108" si="262">SUM(AM102:AM107)</f>
        <v>1772</v>
      </c>
      <c r="AN108" s="1309">
        <f t="shared" ref="AN108" si="263">SUM(AN102:AN107)</f>
        <v>1772</v>
      </c>
      <c r="AO108" s="1309">
        <f t="shared" ref="AO108" si="264">SUM(AO102:AO107)</f>
        <v>1772</v>
      </c>
      <c r="AP108" s="1309">
        <f t="shared" ref="AP108" si="265">SUM(AP102:AP107)</f>
        <v>1772</v>
      </c>
      <c r="AQ108" s="1309">
        <f t="shared" ref="AQ108" si="266">SUM(AQ102:AQ107)</f>
        <v>1772</v>
      </c>
      <c r="AR108" s="1309">
        <f t="shared" ref="AR108" si="267">SUM(AR102:AR107)</f>
        <v>3413</v>
      </c>
      <c r="AS108" s="1309">
        <f t="shared" ref="AS108" si="268">SUM(AS102:AS107)</f>
        <v>3413</v>
      </c>
      <c r="AT108" s="1309">
        <f t="shared" ref="AT108" si="269">SUM(AT102:AT107)</f>
        <v>3413</v>
      </c>
      <c r="AU108" s="1309">
        <f t="shared" ref="AU108" si="270">SUM(AU102:AU107)</f>
        <v>3413</v>
      </c>
      <c r="AV108" s="1309">
        <f t="shared" ref="AV108" si="271">SUM(AV102:AV107)</f>
        <v>3413</v>
      </c>
      <c r="AW108" s="1309">
        <f t="shared" ref="AW108" si="272">SUM(AW102:AW107)</f>
        <v>3413</v>
      </c>
      <c r="AX108" s="1348"/>
      <c r="AY108" s="1258"/>
      <c r="AZ108" s="1258"/>
      <c r="BH108" s="1354"/>
    </row>
    <row r="109" spans="1:60" s="1257" customFormat="1" ht="20.45" hidden="1" customHeight="1" outlineLevel="1">
      <c r="A109" s="2507" t="s">
        <v>1448</v>
      </c>
      <c r="B109" s="2514" t="str">
        <f>'1.4.3개발계획현황'!A50</f>
        <v>성본산업단지</v>
      </c>
      <c r="C109" s="2513">
        <f>IF(C$85='1.4.3개발계획현황'!$K50,'1.4.3개발계획현황'!$AA50,0)</f>
        <v>0</v>
      </c>
      <c r="D109" s="1351"/>
      <c r="E109" s="1351"/>
      <c r="F109" s="1351"/>
      <c r="G109" s="1351"/>
      <c r="H109" s="1351"/>
      <c r="I109" s="2513">
        <f>IF(I$85='1.4.3개발계획현황'!$K50,'1.4.3개발계획현황'!$AA50,H111)</f>
        <v>14162</v>
      </c>
      <c r="J109" s="1351"/>
      <c r="K109" s="1351"/>
      <c r="L109" s="1351"/>
      <c r="M109" s="1351"/>
      <c r="N109" s="2513">
        <f>IF(N$85='1.4.3개발계획현황'!$K50,'1.4.3개발계획현황'!$AA50,M111)</f>
        <v>14162</v>
      </c>
      <c r="O109" s="1351"/>
      <c r="P109" s="1351"/>
      <c r="Q109" s="1351"/>
      <c r="R109" s="1351"/>
      <c r="S109" s="2513">
        <f>IF(S$85='1.4.3개발계획현황'!$K50,'1.4.3개발계획현황'!$AA50,R111)</f>
        <v>14162</v>
      </c>
      <c r="T109" s="1351"/>
      <c r="U109" s="1351"/>
      <c r="V109" s="1351"/>
      <c r="W109" s="1351"/>
      <c r="X109" s="2513">
        <f>IF(X$85='1.4.3개발계획현황'!$K50,'1.4.3개발계획현황'!$AA50,W111)</f>
        <v>14162</v>
      </c>
      <c r="Y109" s="1348"/>
      <c r="Z109" s="2507"/>
      <c r="AA109" s="1336" t="str">
        <f>CONCATENATE(AA111," 중복제외 전")</f>
        <v>성본산업단지 중복제외 전</v>
      </c>
      <c r="AB109" s="1311">
        <f>ROUND(C109*$AX109,0)</f>
        <v>0</v>
      </c>
      <c r="AC109" s="1311">
        <f>ROUND(D111*$AX109,0)</f>
        <v>0</v>
      </c>
      <c r="AD109" s="1311">
        <f>ROUND(E111*$AX109,0)</f>
        <v>0</v>
      </c>
      <c r="AE109" s="1311">
        <f>ROUND(F111*$AX109,0)</f>
        <v>0</v>
      </c>
      <c r="AF109" s="1311">
        <f>ROUND(G111*$AX109,0)</f>
        <v>0</v>
      </c>
      <c r="AG109" s="1311">
        <f>ROUND(H111*$AX109,0)</f>
        <v>6373</v>
      </c>
      <c r="AH109" s="1311">
        <f>ROUND(I109*$AX109,0)</f>
        <v>6373</v>
      </c>
      <c r="AI109" s="1311">
        <f>ROUND(J111*$AX109,0)</f>
        <v>6373</v>
      </c>
      <c r="AJ109" s="1311">
        <f>ROUND(K111*$AX109,0)</f>
        <v>6373</v>
      </c>
      <c r="AK109" s="1311">
        <f>ROUND(L111*$AX109,0)</f>
        <v>6373</v>
      </c>
      <c r="AL109" s="1311">
        <f>ROUND(M111*$AX109,0)</f>
        <v>6373</v>
      </c>
      <c r="AM109" s="1311">
        <f>ROUND(N109*$AX109,0)</f>
        <v>6373</v>
      </c>
      <c r="AN109" s="1311">
        <f>ROUND(O111*$AX109,0)</f>
        <v>6373</v>
      </c>
      <c r="AO109" s="1311">
        <f>ROUND(P111*$AX109,0)</f>
        <v>6373</v>
      </c>
      <c r="AP109" s="1311">
        <f>ROUND(Q111*$AX109,0)</f>
        <v>6373</v>
      </c>
      <c r="AQ109" s="1311">
        <f>ROUND(R111*$AX109,0)</f>
        <v>6373</v>
      </c>
      <c r="AR109" s="1311">
        <f>ROUND(S109*$AX109,0)</f>
        <v>6373</v>
      </c>
      <c r="AS109" s="1311">
        <f>ROUND(T111*$AX109,0)</f>
        <v>6373</v>
      </c>
      <c r="AT109" s="1311">
        <f>ROUND(U111*$AX109,0)</f>
        <v>6373</v>
      </c>
      <c r="AU109" s="1311">
        <f>ROUND(V111*$AX109,0)</f>
        <v>6373</v>
      </c>
      <c r="AV109" s="1311">
        <f>ROUND(W111*$AX109,0)</f>
        <v>6373</v>
      </c>
      <c r="AW109" s="1311">
        <f>ROUND(X109*$AX109,0)</f>
        <v>6373</v>
      </c>
      <c r="AX109" s="1347">
        <v>0.45</v>
      </c>
      <c r="AY109" s="1258"/>
      <c r="AZ109" s="1258"/>
      <c r="BH109" s="1354"/>
    </row>
    <row r="110" spans="1:60" s="1257" customFormat="1" ht="20.45" hidden="1" customHeight="1" outlineLevel="1">
      <c r="A110" s="2507"/>
      <c r="B110" s="2514"/>
      <c r="C110" s="2513"/>
      <c r="D110" s="1351"/>
      <c r="E110" s="1351"/>
      <c r="F110" s="1351"/>
      <c r="G110" s="1351"/>
      <c r="H110" s="1351"/>
      <c r="I110" s="2513"/>
      <c r="J110" s="1351"/>
      <c r="K110" s="1351"/>
      <c r="L110" s="1351"/>
      <c r="M110" s="1351"/>
      <c r="N110" s="2513"/>
      <c r="O110" s="1351"/>
      <c r="P110" s="1351"/>
      <c r="Q110" s="1351"/>
      <c r="R110" s="1351"/>
      <c r="S110" s="2513"/>
      <c r="T110" s="1351"/>
      <c r="U110" s="1351"/>
      <c r="V110" s="1351"/>
      <c r="W110" s="1351"/>
      <c r="X110" s="2513"/>
      <c r="Y110" s="1348"/>
      <c r="Z110" s="2507"/>
      <c r="AA110" s="1336" t="str">
        <f>CONCATENATE(AA111," 중복제외인구")</f>
        <v>성본산업단지 중복제외인구</v>
      </c>
      <c r="AB110" s="1311">
        <f>ROUND(C109*$AX110,0)</f>
        <v>0</v>
      </c>
      <c r="AC110" s="1311">
        <f>-ROUND(IF(D111&gt;0,VLOOKUP($AA111,'사회적 유입 중복인구 제외근거'!$E$32:$F$41,2,FALSE),0),0)</f>
        <v>0</v>
      </c>
      <c r="AD110" s="1311">
        <f>-ROUND(IF(E111&gt;0,SUMIF('사회적 유입 중복인구 제외근거'!$E$6:$E$53,$AA111,'사회적 유입 중복인구 제외근거'!$F$6:$F$53),0),0)</f>
        <v>0</v>
      </c>
      <c r="AE110" s="1311">
        <f>-ROUND(IF(F111&gt;0,SUMIF('사회적 유입 중복인구 제외근거'!$E$6:$E$53,$AA111,'사회적 유입 중복인구 제외근거'!$F$6:$F$53),0),0)</f>
        <v>0</v>
      </c>
      <c r="AF110" s="1311">
        <f>-ROUND(IF(G111&gt;0,SUMIF('사회적 유입 중복인구 제외근거'!$E$6:$E$53,$AA111,'사회적 유입 중복인구 제외근거'!$F$6:$F$53),0),0)</f>
        <v>0</v>
      </c>
      <c r="AG110" s="1311">
        <f>-ROUND(IF(H111&gt;0,SUMIF('사회적 유입 중복인구 제외근거'!$E$6:$E$53,$AA111,'사회적 유입 중복인구 제외근거'!$F$6:$F$53),0),0)</f>
        <v>0</v>
      </c>
      <c r="AH110" s="1311">
        <f>-ROUND(IF(I109&gt;0,SUMIF('사회적 유입 중복인구 제외근거'!$E$6:$E$53,$AA111,'사회적 유입 중복인구 제외근거'!$F$6:$F$53),0),0)</f>
        <v>0</v>
      </c>
      <c r="AI110" s="1311">
        <f>-ROUND(IF(J111&gt;0,SUMIF('사회적 유입 중복인구 제외근거'!$E$6:$E$53,$AA111,'사회적 유입 중복인구 제외근거'!$F$6:$F$53),0),0)</f>
        <v>0</v>
      </c>
      <c r="AJ110" s="1311">
        <f>-ROUND(IF(K111&gt;0,SUMIF('사회적 유입 중복인구 제외근거'!$E$6:$E$53,$AA111,'사회적 유입 중복인구 제외근거'!$F$6:$F$53),0),0)</f>
        <v>0</v>
      </c>
      <c r="AK110" s="1311">
        <f>-ROUND(IF(L111&gt;0,SUMIF('사회적 유입 중복인구 제외근거'!$E$6:$E$53,$AA111,'사회적 유입 중복인구 제외근거'!$F$6:$F$53),0),0)</f>
        <v>0</v>
      </c>
      <c r="AL110" s="1311">
        <f>-ROUND(IF(M111&gt;0,SUMIF('사회적 유입 중복인구 제외근거'!$E$6:$E$53,$AA111,'사회적 유입 중복인구 제외근거'!$F$6:$F$53),0),0)</f>
        <v>0</v>
      </c>
      <c r="AM110" s="1311">
        <f>-ROUND(IF(N109&gt;0,SUMIF('사회적 유입 중복인구 제외근거'!$E$6:$E$53,$AA111,'사회적 유입 중복인구 제외근거'!$F$6:$F$53),0),0)</f>
        <v>0</v>
      </c>
      <c r="AN110" s="1311">
        <f>-ROUND(IF(O111&gt;0,SUMIF('사회적 유입 중복인구 제외근거'!$E$6:$E$53,$AA111,'사회적 유입 중복인구 제외근거'!$F$6:$F$53),0),0)</f>
        <v>0</v>
      </c>
      <c r="AO110" s="1311">
        <f>-ROUND(IF(P111&gt;0,SUMIF('사회적 유입 중복인구 제외근거'!$E$6:$E$53,$AA111,'사회적 유입 중복인구 제외근거'!$F$6:$F$53),0),0)</f>
        <v>0</v>
      </c>
      <c r="AP110" s="1311">
        <f>-ROUND(IF(Q111&gt;0,SUMIF('사회적 유입 중복인구 제외근거'!$E$6:$E$53,$AA111,'사회적 유입 중복인구 제외근거'!$F$6:$F$53),0),0)</f>
        <v>0</v>
      </c>
      <c r="AQ110" s="1311">
        <f>-ROUND(IF(R111&gt;0,SUMIF('사회적 유입 중복인구 제외근거'!$E$6:$E$53,$AA111,'사회적 유입 중복인구 제외근거'!$F$6:$F$53),0),0)</f>
        <v>0</v>
      </c>
      <c r="AR110" s="1311">
        <f>-ROUND(IF(S109&gt;0,SUMIF('사회적 유입 중복인구 제외근거'!$E$6:$E$53,$AA111,'사회적 유입 중복인구 제외근거'!$F$6:$F$53),0),0)</f>
        <v>0</v>
      </c>
      <c r="AS110" s="1311">
        <f>-ROUND(IF(T111&gt;0,SUMIF('사회적 유입 중복인구 제외근거'!$E$6:$E$53,$AA111,'사회적 유입 중복인구 제외근거'!$F$6:$F$53),0),0)</f>
        <v>0</v>
      </c>
      <c r="AT110" s="1311">
        <f>-ROUND(IF(U111&gt;0,SUMIF('사회적 유입 중복인구 제외근거'!$E$6:$E$53,$AA111,'사회적 유입 중복인구 제외근거'!$F$6:$F$53),0),0)</f>
        <v>0</v>
      </c>
      <c r="AU110" s="1311">
        <f>-ROUND(IF(V111&gt;0,SUMIF('사회적 유입 중복인구 제외근거'!$E$6:$E$53,$AA111,'사회적 유입 중복인구 제외근거'!$F$6:$F$53),0),0)</f>
        <v>0</v>
      </c>
      <c r="AV110" s="1311">
        <f>-ROUND(IF(W111&gt;0,SUMIF('사회적 유입 중복인구 제외근거'!$E$6:$E$53,$AA111,'사회적 유입 중복인구 제외근거'!$F$6:$F$53),0),0)</f>
        <v>0</v>
      </c>
      <c r="AW110" s="1311">
        <f>-ROUND(IF(X109&gt;0,SUMIF('사회적 유입 중복인구 제외근거'!$E$6:$E$53,$AA111,'사회적 유입 중복인구 제외근거'!$F$6:$F$53),0),0)</f>
        <v>0</v>
      </c>
      <c r="AX110" s="1347"/>
      <c r="AY110" s="1258"/>
      <c r="AZ110" s="1258"/>
      <c r="BH110" s="1354"/>
    </row>
    <row r="111" spans="1:60" s="1257" customFormat="1" ht="20.45" hidden="1" customHeight="1" outlineLevel="1">
      <c r="A111" s="2507"/>
      <c r="B111" s="2514"/>
      <c r="C111" s="2513"/>
      <c r="D111" s="1311">
        <f>IF(D$85='1.4.3개발계획현황'!$K50,'1.4.3개발계획현황'!$AA50,C109)</f>
        <v>0</v>
      </c>
      <c r="E111" s="1311">
        <f>IF(E$85='1.4.3개발계획현황'!$K50,'1.4.3개발계획현황'!$AA50,D111)</f>
        <v>0</v>
      </c>
      <c r="F111" s="1311">
        <f>IF(F$85='1.4.3개발계획현황'!$K50,'1.4.3개발계획현황'!$AA50,E111)</f>
        <v>0</v>
      </c>
      <c r="G111" s="1311">
        <f>IF(G$85='1.4.3개발계획현황'!$K50,'1.4.3개발계획현황'!$AA50,F111)</f>
        <v>0</v>
      </c>
      <c r="H111" s="1311">
        <f>IF(H$85='1.4.3개발계획현황'!$K50,'1.4.3개발계획현황'!$AA50,G111)</f>
        <v>14162</v>
      </c>
      <c r="I111" s="2513"/>
      <c r="J111" s="1311">
        <f>IF(J$85='1.4.3개발계획현황'!$K50,'1.4.3개발계획현황'!$AA50,I109)</f>
        <v>14162</v>
      </c>
      <c r="K111" s="1311">
        <f>IF(K$85='1.4.3개발계획현황'!$K50,'1.4.3개발계획현황'!$AA50,J111)</f>
        <v>14162</v>
      </c>
      <c r="L111" s="1311">
        <f>IF(L$85='1.4.3개발계획현황'!$K50,'1.4.3개발계획현황'!$AA50,K111)</f>
        <v>14162</v>
      </c>
      <c r="M111" s="1311">
        <f>IF(M$85='1.4.3개발계획현황'!$K50,'1.4.3개발계획현황'!$AA50,L111)</f>
        <v>14162</v>
      </c>
      <c r="N111" s="2513"/>
      <c r="O111" s="1311">
        <f>IF(O$85='1.4.3개발계획현황'!$K50,'1.4.3개발계획현황'!$AA50,N109)</f>
        <v>14162</v>
      </c>
      <c r="P111" s="1311">
        <f>IF(P$85='1.4.3개발계획현황'!$K50,'1.4.3개발계획현황'!$AA50,O111)</f>
        <v>14162</v>
      </c>
      <c r="Q111" s="1311">
        <f>IF(Q$85='1.4.3개발계획현황'!$K50,'1.4.3개발계획현황'!$AA50,P111)</f>
        <v>14162</v>
      </c>
      <c r="R111" s="1311">
        <f>IF(R$85='1.4.3개발계획현황'!$K50,'1.4.3개발계획현황'!$AA50,Q111)</f>
        <v>14162</v>
      </c>
      <c r="S111" s="2513"/>
      <c r="T111" s="1311">
        <f>IF(T$85='1.4.3개발계획현황'!$K50,'1.4.3개발계획현황'!$AA50,S109)</f>
        <v>14162</v>
      </c>
      <c r="U111" s="1311">
        <f>IF(U$85='1.4.3개발계획현황'!$K50,'1.4.3개발계획현황'!$AA50,T111)</f>
        <v>14162</v>
      </c>
      <c r="V111" s="1311">
        <f>IF(V$85='1.4.3개발계획현황'!$K50,'1.4.3개발계획현황'!$AA50,U111)</f>
        <v>14162</v>
      </c>
      <c r="W111" s="1311">
        <f>IF(W$85='1.4.3개발계획현황'!$K50,'1.4.3개발계획현황'!$AA50,V111)</f>
        <v>14162</v>
      </c>
      <c r="X111" s="2513"/>
      <c r="Y111" s="1348"/>
      <c r="Z111" s="2507"/>
      <c r="AA111" s="1353" t="str">
        <f>B109</f>
        <v>성본산업단지</v>
      </c>
      <c r="AB111" s="1337">
        <f>ROUND(AB109+AB110,0)</f>
        <v>0</v>
      </c>
      <c r="AC111" s="1337">
        <f t="shared" ref="AC111" si="273">ROUND(AC109+AC110,0)</f>
        <v>0</v>
      </c>
      <c r="AD111" s="1337">
        <f t="shared" ref="AD111" si="274">ROUND(AD109+AD110,0)</f>
        <v>0</v>
      </c>
      <c r="AE111" s="1337">
        <f t="shared" ref="AE111" si="275">ROUND(AE109+AE110,0)</f>
        <v>0</v>
      </c>
      <c r="AF111" s="1337">
        <f t="shared" ref="AF111" si="276">ROUND(AF109+AF110,0)</f>
        <v>0</v>
      </c>
      <c r="AG111" s="1337">
        <f t="shared" ref="AG111" si="277">ROUND(AG109+AG110,0)</f>
        <v>6373</v>
      </c>
      <c r="AH111" s="1337">
        <f t="shared" ref="AH111" si="278">ROUND(AH109+AH110,0)</f>
        <v>6373</v>
      </c>
      <c r="AI111" s="1337">
        <f t="shared" ref="AI111" si="279">ROUND(AI109+AI110,0)</f>
        <v>6373</v>
      </c>
      <c r="AJ111" s="1337">
        <f t="shared" ref="AJ111" si="280">ROUND(AJ109+AJ110,0)</f>
        <v>6373</v>
      </c>
      <c r="AK111" s="1337">
        <f t="shared" ref="AK111" si="281">ROUND(AK109+AK110,0)</f>
        <v>6373</v>
      </c>
      <c r="AL111" s="1337">
        <f t="shared" ref="AL111" si="282">ROUND(AL109+AL110,0)</f>
        <v>6373</v>
      </c>
      <c r="AM111" s="1337">
        <f t="shared" ref="AM111" si="283">ROUND(AM109+AM110,0)</f>
        <v>6373</v>
      </c>
      <c r="AN111" s="1337">
        <f t="shared" ref="AN111" si="284">ROUND(AN109+AN110,0)</f>
        <v>6373</v>
      </c>
      <c r="AO111" s="1337">
        <f t="shared" ref="AO111" si="285">ROUND(AO109+AO110,0)</f>
        <v>6373</v>
      </c>
      <c r="AP111" s="1337">
        <f t="shared" ref="AP111" si="286">ROUND(AP109+AP110,0)</f>
        <v>6373</v>
      </c>
      <c r="AQ111" s="1337">
        <f t="shared" ref="AQ111" si="287">ROUND(AQ109+AQ110,0)</f>
        <v>6373</v>
      </c>
      <c r="AR111" s="1337">
        <f t="shared" ref="AR111" si="288">ROUND(AR109+AR110,0)</f>
        <v>6373</v>
      </c>
      <c r="AS111" s="1337">
        <f t="shared" ref="AS111" si="289">ROUND(AS109+AS110,0)</f>
        <v>6373</v>
      </c>
      <c r="AT111" s="1337">
        <f t="shared" ref="AT111" si="290">ROUND(AT109+AT110,0)</f>
        <v>6373</v>
      </c>
      <c r="AU111" s="1337">
        <f t="shared" ref="AU111" si="291">ROUND(AU109+AU110,0)</f>
        <v>6373</v>
      </c>
      <c r="AV111" s="1337">
        <f t="shared" ref="AV111" si="292">ROUND(AV109+AV110,0)</f>
        <v>6373</v>
      </c>
      <c r="AW111" s="1337">
        <f t="shared" ref="AW111" si="293">ROUND(AW109+AW110,0)</f>
        <v>6373</v>
      </c>
      <c r="AX111" s="1338"/>
      <c r="AY111" s="1258"/>
      <c r="AZ111" s="1258"/>
      <c r="BH111" s="1354"/>
    </row>
    <row r="112" spans="1:60" s="1257" customFormat="1" ht="20.45" customHeight="1" collapsed="1" thickBot="1">
      <c r="A112" s="2507"/>
      <c r="B112" s="2514" t="str">
        <f>'1.4.3개발계획현황'!A53</f>
        <v>중부산업단지</v>
      </c>
      <c r="C112" s="2513">
        <f>IF(C$85='1.4.3개발계획현황'!$K53,'1.4.3개발계획현황'!$AA53,0)</f>
        <v>0</v>
      </c>
      <c r="D112" s="1351"/>
      <c r="E112" s="1351"/>
      <c r="F112" s="1351"/>
      <c r="G112" s="1351"/>
      <c r="H112" s="1351"/>
      <c r="I112" s="2513">
        <f>IF(I$85='1.4.3개발계획현황'!$K53,'1.4.3개발계획현황'!$AA53,H114)</f>
        <v>284</v>
      </c>
      <c r="J112" s="1351"/>
      <c r="K112" s="1351"/>
      <c r="L112" s="1351"/>
      <c r="M112" s="1351"/>
      <c r="N112" s="2513">
        <f>IF(N$85='1.4.3개발계획현황'!$K53,'1.4.3개발계획현황'!$AA53,M114)</f>
        <v>284</v>
      </c>
      <c r="O112" s="1351"/>
      <c r="P112" s="1351"/>
      <c r="Q112" s="1351"/>
      <c r="R112" s="1351"/>
      <c r="S112" s="2513">
        <f>IF(S$85='1.4.3개발계획현황'!$K53,'1.4.3개발계획현황'!$AA53,R114)</f>
        <v>284</v>
      </c>
      <c r="T112" s="1351"/>
      <c r="U112" s="1351"/>
      <c r="V112" s="1351"/>
      <c r="W112" s="1351"/>
      <c r="X112" s="2513">
        <f>IF(X$85='1.4.3개발계획현황'!$K53,'1.4.3개발계획현황'!$AA53,W114)</f>
        <v>284</v>
      </c>
      <c r="Y112" s="1349"/>
      <c r="Z112" s="2507"/>
      <c r="AA112" s="1336" t="str">
        <f>CONCATENATE(AA114," 중복제외 전")</f>
        <v>중부산업단지 중복제외 전</v>
      </c>
      <c r="AB112" s="1311">
        <f>ROUND(C112*$AX112,0)</f>
        <v>0</v>
      </c>
      <c r="AC112" s="1311">
        <f>ROUND(D114*$AX112,0)</f>
        <v>0</v>
      </c>
      <c r="AD112" s="1311">
        <f>ROUND(E114*$AX112,0)</f>
        <v>0</v>
      </c>
      <c r="AE112" s="1311">
        <f>ROUND(F114*$AX112,0)</f>
        <v>0</v>
      </c>
      <c r="AF112" s="1311">
        <f>ROUND(G114*$AX112,0)*0.2</f>
        <v>25.6</v>
      </c>
      <c r="AG112" s="1311">
        <f>ROUND(H114*$AX112,0)*0.6</f>
        <v>76.8</v>
      </c>
      <c r="AH112" s="1311">
        <f>ROUND(I112*$AX112,0)</f>
        <v>128</v>
      </c>
      <c r="AI112" s="1311">
        <f>ROUND(J114*$AX112,0)</f>
        <v>128</v>
      </c>
      <c r="AJ112" s="1311">
        <f>ROUND(K114*$AX112,0)</f>
        <v>128</v>
      </c>
      <c r="AK112" s="1311">
        <f>ROUND(L114*$AX112,0)</f>
        <v>128</v>
      </c>
      <c r="AL112" s="1311">
        <f>ROUND(M114*$AX112,0)</f>
        <v>128</v>
      </c>
      <c r="AM112" s="1311">
        <f>ROUND(N112*$AX112,0)</f>
        <v>128</v>
      </c>
      <c r="AN112" s="1311">
        <f>ROUND(O114*$AX112,0)</f>
        <v>128</v>
      </c>
      <c r="AO112" s="1311">
        <f>ROUND(P114*$AX112,0)</f>
        <v>128</v>
      </c>
      <c r="AP112" s="1311">
        <f>ROUND(Q114*$AX112,0)</f>
        <v>128</v>
      </c>
      <c r="AQ112" s="1311">
        <f>ROUND(R114*$AX112,0)</f>
        <v>128</v>
      </c>
      <c r="AR112" s="1311">
        <f>ROUND(S112*$AX112,0)</f>
        <v>128</v>
      </c>
      <c r="AS112" s="1311">
        <f>ROUND(T114*$AX112,0)</f>
        <v>128</v>
      </c>
      <c r="AT112" s="1311">
        <f>ROUND(U114*$AX112,0)</f>
        <v>128</v>
      </c>
      <c r="AU112" s="1311">
        <f>ROUND(V114*$AX112,0)</f>
        <v>128</v>
      </c>
      <c r="AV112" s="1311">
        <f>ROUND(W114*$AX112,0)</f>
        <v>128</v>
      </c>
      <c r="AW112" s="1311">
        <f>ROUND(X112*$AX112,0)</f>
        <v>128</v>
      </c>
      <c r="AX112" s="1347">
        <v>0.45</v>
      </c>
      <c r="AY112" s="1258"/>
      <c r="AZ112" s="1258"/>
      <c r="BH112" s="1366"/>
    </row>
    <row r="113" spans="1:60" s="1257" customFormat="1" ht="20.45" customHeight="1" thickTop="1">
      <c r="A113" s="2507"/>
      <c r="B113" s="2514"/>
      <c r="C113" s="2513"/>
      <c r="D113" s="1351"/>
      <c r="E113" s="1351"/>
      <c r="F113" s="1351"/>
      <c r="G113" s="1351"/>
      <c r="H113" s="1351"/>
      <c r="I113" s="2513"/>
      <c r="J113" s="1351"/>
      <c r="K113" s="1351"/>
      <c r="L113" s="1351"/>
      <c r="M113" s="1351"/>
      <c r="N113" s="2513"/>
      <c r="O113" s="1351"/>
      <c r="P113" s="1351"/>
      <c r="Q113" s="1351"/>
      <c r="R113" s="1351"/>
      <c r="S113" s="2513"/>
      <c r="T113" s="1351"/>
      <c r="U113" s="1351"/>
      <c r="V113" s="1351"/>
      <c r="W113" s="1351"/>
      <c r="X113" s="2513"/>
      <c r="Y113" s="1349"/>
      <c r="Z113" s="2507"/>
      <c r="AA113" s="1336" t="str">
        <f>CONCATENATE(AA114," 중복제외인구")</f>
        <v>중부산업단지 중복제외인구</v>
      </c>
      <c r="AB113" s="1311">
        <f>ROUND(C112*$AX113,0)</f>
        <v>0</v>
      </c>
      <c r="AC113" s="1311">
        <f>-ROUND(IF(D114&gt;0,VLOOKUP($AA114,'사회적 유입 중복인구 제외근거'!$E$32:$F$41,2,FALSE),0),0)</f>
        <v>0</v>
      </c>
      <c r="AD113" s="1311">
        <f>-ROUND(IF(E114&gt;0,SUMIF('사회적 유입 중복인구 제외근거'!$E$6:$E$53,$AA114,'사회적 유입 중복인구 제외근거'!$F$6:$F$53),0),0)</f>
        <v>0</v>
      </c>
      <c r="AE113" s="1311">
        <f>-ROUND(IF(F114&gt;0,SUMIF('사회적 유입 중복인구 제외근거'!$E$6:$E$53,$AA114,'사회적 유입 중복인구 제외근거'!$F$6:$F$53),0),0)</f>
        <v>0</v>
      </c>
      <c r="AF113" s="1311">
        <f>-ROUND(IF(G114&gt;0,SUMIF('사회적 유입 중복인구 제외근거'!$E$6:$E$53,$AA114,'사회적 유입 중복인구 제외근거'!$F$6:$F$53),0),0)*0.2</f>
        <v>-25.6</v>
      </c>
      <c r="AG113" s="1311">
        <f>-ROUND(IF(H114&gt;0,SUMIF('사회적 유입 중복인구 제외근거'!$E$6:$E$53,$AA114,'사회적 유입 중복인구 제외근거'!$F$6:$F$53),0),0)*0.6</f>
        <v>-76.8</v>
      </c>
      <c r="AH113" s="1311">
        <f>-ROUND(IF(I112&gt;0,SUMIF('사회적 유입 중복인구 제외근거'!$E$6:$E$53,$AA114,'사회적 유입 중복인구 제외근거'!$F$6:$F$53),0),0)</f>
        <v>-128</v>
      </c>
      <c r="AI113" s="1311">
        <f>-ROUND(IF(J114&gt;0,SUMIF('사회적 유입 중복인구 제외근거'!$E$6:$E$53,$AA114,'사회적 유입 중복인구 제외근거'!$F$6:$F$53),0),0)</f>
        <v>-128</v>
      </c>
      <c r="AJ113" s="1311">
        <f>-ROUND(IF(K114&gt;0,SUMIF('사회적 유입 중복인구 제외근거'!$E$6:$E$53,$AA114,'사회적 유입 중복인구 제외근거'!$F$6:$F$53),0),0)</f>
        <v>-128</v>
      </c>
      <c r="AK113" s="1311">
        <f>-ROUND(IF(L114&gt;0,SUMIF('사회적 유입 중복인구 제외근거'!$E$6:$E$53,$AA114,'사회적 유입 중복인구 제외근거'!$F$6:$F$53),0),0)</f>
        <v>-128</v>
      </c>
      <c r="AL113" s="1311">
        <f>-ROUND(IF(M114&gt;0,SUMIF('사회적 유입 중복인구 제외근거'!$E$6:$E$53,$AA114,'사회적 유입 중복인구 제외근거'!$F$6:$F$53),0),0)</f>
        <v>-128</v>
      </c>
      <c r="AM113" s="1311">
        <f>-ROUND(IF(N112&gt;0,SUMIF('사회적 유입 중복인구 제외근거'!$E$6:$E$53,$AA114,'사회적 유입 중복인구 제외근거'!$F$6:$F$53),0),0)</f>
        <v>-128</v>
      </c>
      <c r="AN113" s="1311">
        <f>-ROUND(IF(O114&gt;0,SUMIF('사회적 유입 중복인구 제외근거'!$E$6:$E$53,$AA114,'사회적 유입 중복인구 제외근거'!$F$6:$F$53),0),0)</f>
        <v>-128</v>
      </c>
      <c r="AO113" s="1311">
        <f>-ROUND(IF(P114&gt;0,SUMIF('사회적 유입 중복인구 제외근거'!$E$6:$E$53,$AA114,'사회적 유입 중복인구 제외근거'!$F$6:$F$53),0),0)</f>
        <v>-128</v>
      </c>
      <c r="AP113" s="1311">
        <f>-ROUND(IF(Q114&gt;0,SUMIF('사회적 유입 중복인구 제외근거'!$E$6:$E$53,$AA114,'사회적 유입 중복인구 제외근거'!$F$6:$F$53),0),0)</f>
        <v>-128</v>
      </c>
      <c r="AQ113" s="1311">
        <f>-ROUND(IF(R114&gt;0,SUMIF('사회적 유입 중복인구 제외근거'!$E$6:$E$53,$AA114,'사회적 유입 중복인구 제외근거'!$F$6:$F$53),0),0)</f>
        <v>-128</v>
      </c>
      <c r="AR113" s="1311">
        <f>-ROUND(IF(S112&gt;0,SUMIF('사회적 유입 중복인구 제외근거'!$E$6:$E$53,$AA114,'사회적 유입 중복인구 제외근거'!$F$6:$F$53),0),0)</f>
        <v>-128</v>
      </c>
      <c r="AS113" s="1311">
        <f>-ROUND(IF(T114&gt;0,SUMIF('사회적 유입 중복인구 제외근거'!$E$6:$E$53,$AA114,'사회적 유입 중복인구 제외근거'!$F$6:$F$53),0),0)</f>
        <v>-128</v>
      </c>
      <c r="AT113" s="1311">
        <f>-ROUND(IF(U114&gt;0,SUMIF('사회적 유입 중복인구 제외근거'!$E$6:$E$53,$AA114,'사회적 유입 중복인구 제외근거'!$F$6:$F$53),0),0)</f>
        <v>-128</v>
      </c>
      <c r="AU113" s="1311">
        <f>-ROUND(IF(V114&gt;0,SUMIF('사회적 유입 중복인구 제외근거'!$E$6:$E$53,$AA114,'사회적 유입 중복인구 제외근거'!$F$6:$F$53),0),0)</f>
        <v>-128</v>
      </c>
      <c r="AV113" s="1311">
        <f>-ROUND(IF(W114&gt;0,SUMIF('사회적 유입 중복인구 제외근거'!$E$6:$E$53,$AA114,'사회적 유입 중복인구 제외근거'!$F$6:$F$53),0),0)</f>
        <v>-128</v>
      </c>
      <c r="AW113" s="1311">
        <f>-ROUND(IF(X112&gt;0,SUMIF('사회적 유입 중복인구 제외근거'!$E$6:$E$53,$AA114,'사회적 유입 중복인구 제외근거'!$F$6:$F$53),0),0)</f>
        <v>-128</v>
      </c>
      <c r="AX113" s="1347"/>
      <c r="AY113" s="1258"/>
      <c r="AZ113" s="1258"/>
    </row>
    <row r="114" spans="1:60" s="1257" customFormat="1" ht="20.45" customHeight="1">
      <c r="A114" s="2507"/>
      <c r="B114" s="2514"/>
      <c r="C114" s="2513"/>
      <c r="D114" s="1311">
        <f>IF(D$85='1.4.3개발계획현황'!$K53,'1.4.3개발계획현황'!$AA53,C112)</f>
        <v>0</v>
      </c>
      <c r="E114" s="1311">
        <f>IF(E$85='1.4.3개발계획현황'!$K53,'1.4.3개발계획현황'!$AA53,D114)</f>
        <v>0</v>
      </c>
      <c r="F114" s="1311">
        <f>IF(F$85='1.4.3개발계획현황'!$K53,'1.4.3개발계획현황'!$AA53,E114)</f>
        <v>0</v>
      </c>
      <c r="G114" s="1311">
        <f>IF(G$85='1.4.3개발계획현황'!$K53,'1.4.3개발계획현황'!$AA53,F114)</f>
        <v>284</v>
      </c>
      <c r="H114" s="1311">
        <f>IF(H$85='1.4.3개발계획현황'!$K53,'1.4.3개발계획현황'!$AA53,G114)</f>
        <v>284</v>
      </c>
      <c r="I114" s="2513"/>
      <c r="J114" s="1311">
        <f>IF(J$85='1.4.3개발계획현황'!$K53,'1.4.3개발계획현황'!$AA53,I112)</f>
        <v>284</v>
      </c>
      <c r="K114" s="1311">
        <f>IF(K$85='1.4.3개발계획현황'!$K53,'1.4.3개발계획현황'!$AA53,J114)</f>
        <v>284</v>
      </c>
      <c r="L114" s="1311">
        <f>IF(L$85='1.4.3개발계획현황'!$K53,'1.4.3개발계획현황'!$AA53,K114)</f>
        <v>284</v>
      </c>
      <c r="M114" s="1311">
        <f>IF(M$85='1.4.3개발계획현황'!$K53,'1.4.3개발계획현황'!$AA53,L114)</f>
        <v>284</v>
      </c>
      <c r="N114" s="2513"/>
      <c r="O114" s="1311">
        <f>IF(O$85='1.4.3개발계획현황'!$K53,'1.4.3개발계획현황'!$AA53,N112)</f>
        <v>284</v>
      </c>
      <c r="P114" s="1311">
        <f>IF(P$85='1.4.3개발계획현황'!$K53,'1.4.3개발계획현황'!$AA53,O114)</f>
        <v>284</v>
      </c>
      <c r="Q114" s="1311">
        <f>IF(Q$85='1.4.3개발계획현황'!$K53,'1.4.3개발계획현황'!$AA53,P114)</f>
        <v>284</v>
      </c>
      <c r="R114" s="1311">
        <f>IF(R$85='1.4.3개발계획현황'!$K53,'1.4.3개발계획현황'!$AA53,Q114)</f>
        <v>284</v>
      </c>
      <c r="S114" s="2513"/>
      <c r="T114" s="1311">
        <f>IF(T$85='1.4.3개발계획현황'!$K53,'1.4.3개발계획현황'!$AA53,S112)</f>
        <v>284</v>
      </c>
      <c r="U114" s="1311">
        <f>IF(U$85='1.4.3개발계획현황'!$K53,'1.4.3개발계획현황'!$AA53,T114)</f>
        <v>284</v>
      </c>
      <c r="V114" s="1311">
        <f>IF(V$85='1.4.3개발계획현황'!$K53,'1.4.3개발계획현황'!$AA53,U114)</f>
        <v>284</v>
      </c>
      <c r="W114" s="1311">
        <f>IF(W$85='1.4.3개발계획현황'!$K53,'1.4.3개발계획현황'!$AA53,V114)</f>
        <v>284</v>
      </c>
      <c r="X114" s="2513"/>
      <c r="Y114" s="1349"/>
      <c r="Z114" s="2507"/>
      <c r="AA114" s="1353" t="str">
        <f>B112</f>
        <v>중부산업단지</v>
      </c>
      <c r="AB114" s="1337">
        <f>ROUND(AB112+AB113,0)</f>
        <v>0</v>
      </c>
      <c r="AC114" s="1337">
        <f t="shared" ref="AC114" si="294">ROUND(AC112+AC113,0)</f>
        <v>0</v>
      </c>
      <c r="AD114" s="1337">
        <f t="shared" ref="AD114" si="295">ROUND(AD112+AD113,0)</f>
        <v>0</v>
      </c>
      <c r="AE114" s="1337">
        <f t="shared" ref="AE114" si="296">ROUND(AE112+AE113,0)</f>
        <v>0</v>
      </c>
      <c r="AF114" s="1337">
        <f t="shared" ref="AF114" si="297">ROUND(AF112+AF113,0)</f>
        <v>0</v>
      </c>
      <c r="AG114" s="1337">
        <f t="shared" ref="AG114" si="298">ROUND(AG112+AG113,0)</f>
        <v>0</v>
      </c>
      <c r="AH114" s="1337">
        <f t="shared" ref="AH114" si="299">ROUND(AH112+AH113,0)</f>
        <v>0</v>
      </c>
      <c r="AI114" s="1337">
        <f t="shared" ref="AI114" si="300">ROUND(AI112+AI113,0)</f>
        <v>0</v>
      </c>
      <c r="AJ114" s="1337">
        <f t="shared" ref="AJ114" si="301">ROUND(AJ112+AJ113,0)</f>
        <v>0</v>
      </c>
      <c r="AK114" s="1337">
        <f t="shared" ref="AK114" si="302">ROUND(AK112+AK113,0)</f>
        <v>0</v>
      </c>
      <c r="AL114" s="1337">
        <f t="shared" ref="AL114" si="303">ROUND(AL112+AL113,0)</f>
        <v>0</v>
      </c>
      <c r="AM114" s="1337">
        <f t="shared" ref="AM114" si="304">ROUND(AM112+AM113,0)</f>
        <v>0</v>
      </c>
      <c r="AN114" s="1337">
        <f t="shared" ref="AN114" si="305">ROUND(AN112+AN113,0)</f>
        <v>0</v>
      </c>
      <c r="AO114" s="1337">
        <f t="shared" ref="AO114" si="306">ROUND(AO112+AO113,0)</f>
        <v>0</v>
      </c>
      <c r="AP114" s="1337">
        <f t="shared" ref="AP114" si="307">ROUND(AP112+AP113,0)</f>
        <v>0</v>
      </c>
      <c r="AQ114" s="1337">
        <f t="shared" ref="AQ114" si="308">ROUND(AQ112+AQ113,0)</f>
        <v>0</v>
      </c>
      <c r="AR114" s="1337">
        <f t="shared" ref="AR114" si="309">ROUND(AR112+AR113,0)</f>
        <v>0</v>
      </c>
      <c r="AS114" s="1337">
        <f t="shared" ref="AS114" si="310">ROUND(AS112+AS113,0)</f>
        <v>0</v>
      </c>
      <c r="AT114" s="1337">
        <f t="shared" ref="AT114" si="311">ROUND(AT112+AT113,0)</f>
        <v>0</v>
      </c>
      <c r="AU114" s="1337">
        <f t="shared" ref="AU114" si="312">ROUND(AU112+AU113,0)</f>
        <v>0</v>
      </c>
      <c r="AV114" s="1337">
        <f t="shared" ref="AV114" si="313">ROUND(AV112+AV113,0)</f>
        <v>0</v>
      </c>
      <c r="AW114" s="1337">
        <f t="shared" ref="AW114" si="314">ROUND(AW112+AW113,0)</f>
        <v>0</v>
      </c>
      <c r="AX114" s="1338"/>
      <c r="AY114" s="1258"/>
      <c r="AZ114" s="1258"/>
    </row>
    <row r="115" spans="1:60" s="1257" customFormat="1" ht="20.45" customHeight="1">
      <c r="A115" s="2507"/>
      <c r="B115" s="2514" t="str">
        <f>'1.4.3개발계획현황'!A59</f>
        <v>대소산업단지 확장</v>
      </c>
      <c r="C115" s="2513">
        <f>IF(C$85='1.4.3개발계획현황'!$K59,'1.4.3개발계획현황'!$AA59,0)</f>
        <v>0</v>
      </c>
      <c r="D115" s="1351"/>
      <c r="E115" s="1351"/>
      <c r="F115" s="1351"/>
      <c r="G115" s="1351"/>
      <c r="H115" s="1351"/>
      <c r="I115" s="2513">
        <f>IF(I$85='1.4.3개발계획현황'!$K59,'1.4.3개발계획현황'!$AA59,H117)</f>
        <v>0</v>
      </c>
      <c r="J115" s="1351"/>
      <c r="K115" s="1351"/>
      <c r="L115" s="1351"/>
      <c r="M115" s="1351"/>
      <c r="N115" s="2513">
        <f>IF(N$85='1.4.3개발계획현황'!$K59,'1.4.3개발계획현황'!$AA59,M117)</f>
        <v>0</v>
      </c>
      <c r="O115" s="1351"/>
      <c r="P115" s="1351"/>
      <c r="Q115" s="1351"/>
      <c r="R115" s="1351"/>
      <c r="S115" s="2513">
        <f>IF(S$85='1.4.3개발계획현황'!$K59,'1.4.3개발계획현황'!$AA59,R117)</f>
        <v>0</v>
      </c>
      <c r="T115" s="1351"/>
      <c r="U115" s="1351"/>
      <c r="V115" s="1351"/>
      <c r="W115" s="1351"/>
      <c r="X115" s="2513">
        <f>IF(X$85='1.4.3개발계획현황'!$K59,'1.4.3개발계획현황'!$AA59,W117)</f>
        <v>307</v>
      </c>
      <c r="Y115" s="1349"/>
      <c r="Z115" s="2507"/>
      <c r="AA115" s="1336" t="str">
        <f>CONCATENATE(AA117," 중복제외 전")</f>
        <v>대소산업단지 확장 중복제외 전</v>
      </c>
      <c r="AB115" s="1311">
        <f>ROUND(C115*$AX115,0)</f>
        <v>0</v>
      </c>
      <c r="AC115" s="1311">
        <f>ROUND(D117*$AX115,0)</f>
        <v>0</v>
      </c>
      <c r="AD115" s="1311">
        <f>ROUND(E117*$AX115,0)</f>
        <v>0</v>
      </c>
      <c r="AE115" s="1311">
        <f>ROUND(F117*$AX115,0)</f>
        <v>0</v>
      </c>
      <c r="AF115" s="1311">
        <f>ROUND(G117*$AX115,0)</f>
        <v>0</v>
      </c>
      <c r="AG115" s="1311">
        <f>ROUND(H117*$AX115,0)</f>
        <v>0</v>
      </c>
      <c r="AH115" s="1311">
        <f>ROUND(I115*$AX115,0)</f>
        <v>0</v>
      </c>
      <c r="AI115" s="1311">
        <f>ROUND(J117*$AX115,0)</f>
        <v>0</v>
      </c>
      <c r="AJ115" s="1311">
        <f>ROUND(K117*$AX115,0)</f>
        <v>0</v>
      </c>
      <c r="AK115" s="1311">
        <f>ROUND(L117*$AX115,0)</f>
        <v>0</v>
      </c>
      <c r="AL115" s="1311">
        <f>ROUND(M117*$AX115,0)</f>
        <v>0</v>
      </c>
      <c r="AM115" s="1311">
        <f>ROUND(N115*$AX115,0)</f>
        <v>0</v>
      </c>
      <c r="AN115" s="1311">
        <f>ROUND(O117*$AX115,0)</f>
        <v>0</v>
      </c>
      <c r="AO115" s="1311">
        <f>ROUND(P117*$AX115,0)</f>
        <v>0</v>
      </c>
      <c r="AP115" s="1311">
        <f>ROUND(Q117*$AX115,0)</f>
        <v>0</v>
      </c>
      <c r="AQ115" s="1311">
        <f>ROUND(R117*$AX115,0)</f>
        <v>0</v>
      </c>
      <c r="AR115" s="1311">
        <f>ROUND(S115*$AX115,0)</f>
        <v>0</v>
      </c>
      <c r="AS115" s="1311">
        <f>ROUND(T117*$AX115,0)</f>
        <v>0</v>
      </c>
      <c r="AT115" s="1311">
        <f>ROUND(U117*$AX115,0)</f>
        <v>0</v>
      </c>
      <c r="AU115" s="1311">
        <f>ROUND(V117*$AX115,0)</f>
        <v>0</v>
      </c>
      <c r="AV115" s="1311">
        <f>ROUND(W117*$AX115,0)</f>
        <v>0</v>
      </c>
      <c r="AW115" s="1311">
        <f>ROUND(X115*$AX115,0)</f>
        <v>138</v>
      </c>
      <c r="AX115" s="1347">
        <v>0.45</v>
      </c>
      <c r="AY115" s="1258"/>
      <c r="AZ115" s="1258"/>
    </row>
    <row r="116" spans="1:60" s="1257" customFormat="1" ht="20.45" customHeight="1">
      <c r="A116" s="2507"/>
      <c r="B116" s="2514"/>
      <c r="C116" s="2513"/>
      <c r="D116" s="1351"/>
      <c r="E116" s="1351"/>
      <c r="F116" s="1351"/>
      <c r="G116" s="1351"/>
      <c r="H116" s="1351"/>
      <c r="I116" s="2513"/>
      <c r="J116" s="1351"/>
      <c r="K116" s="1351"/>
      <c r="L116" s="1351"/>
      <c r="M116" s="1351"/>
      <c r="N116" s="2513"/>
      <c r="O116" s="1351"/>
      <c r="P116" s="1351"/>
      <c r="Q116" s="1351"/>
      <c r="R116" s="1351"/>
      <c r="S116" s="2513"/>
      <c r="T116" s="1351"/>
      <c r="U116" s="1351"/>
      <c r="V116" s="1351"/>
      <c r="W116" s="1351"/>
      <c r="X116" s="2513"/>
      <c r="Y116" s="1349"/>
      <c r="Z116" s="2507"/>
      <c r="AA116" s="1336" t="str">
        <f>CONCATENATE(AA117," 중복제외인구")</f>
        <v>대소산업단지 확장 중복제외인구</v>
      </c>
      <c r="AB116" s="1311">
        <f>ROUND(C115*$AX116,0)</f>
        <v>0</v>
      </c>
      <c r="AC116" s="1311">
        <f>-ROUND(IF(D117&gt;0,VLOOKUP($AA117,'사회적 유입 중복인구 제외근거'!$E$32:$F$41,2,FALSE),0),0)</f>
        <v>0</v>
      </c>
      <c r="AD116" s="1311">
        <f>-ROUND(IF(E117&gt;0,SUMIF('사회적 유입 중복인구 제외근거'!$E$6:$E$53,$AA117,'사회적 유입 중복인구 제외근거'!$F$6:$F$53),0),0)</f>
        <v>0</v>
      </c>
      <c r="AE116" s="1311">
        <f>-ROUND(IF(F117&gt;0,SUMIF('사회적 유입 중복인구 제외근거'!$E$6:$E$53,$AA117,'사회적 유입 중복인구 제외근거'!$F$6:$F$53),0),0)</f>
        <v>0</v>
      </c>
      <c r="AF116" s="1311">
        <f>-ROUND(IF(G117&gt;0,SUMIF('사회적 유입 중복인구 제외근거'!$E$6:$E$53,$AA117,'사회적 유입 중복인구 제외근거'!$F$6:$F$53),0),0)</f>
        <v>0</v>
      </c>
      <c r="AG116" s="1311">
        <f>-ROUND(IF(H117&gt;0,SUMIF('사회적 유입 중복인구 제외근거'!$E$6:$E$53,$AA117,'사회적 유입 중복인구 제외근거'!$F$6:$F$53),0),0)</f>
        <v>0</v>
      </c>
      <c r="AH116" s="1311">
        <f>-ROUND(IF(I115&gt;0,SUMIF('사회적 유입 중복인구 제외근거'!$E$6:$E$53,$AA117,'사회적 유입 중복인구 제외근거'!$F$6:$F$53),0),0)</f>
        <v>0</v>
      </c>
      <c r="AI116" s="1311">
        <f>-ROUND(IF(J117&gt;0,SUMIF('사회적 유입 중복인구 제외근거'!$E$6:$E$53,$AA117,'사회적 유입 중복인구 제외근거'!$F$6:$F$53),0),0)</f>
        <v>0</v>
      </c>
      <c r="AJ116" s="1311">
        <f>-ROUND(IF(K117&gt;0,SUMIF('사회적 유입 중복인구 제외근거'!$E$6:$E$53,$AA117,'사회적 유입 중복인구 제외근거'!$F$6:$F$53),0),0)</f>
        <v>0</v>
      </c>
      <c r="AK116" s="1311">
        <f>-ROUND(IF(L117&gt;0,SUMIF('사회적 유입 중복인구 제외근거'!$E$6:$E$53,$AA117,'사회적 유입 중복인구 제외근거'!$F$6:$F$53),0),0)</f>
        <v>0</v>
      </c>
      <c r="AL116" s="1311">
        <f>-ROUND(IF(M117&gt;0,SUMIF('사회적 유입 중복인구 제외근거'!$E$6:$E$53,$AA117,'사회적 유입 중복인구 제외근거'!$F$6:$F$53),0),0)</f>
        <v>0</v>
      </c>
      <c r="AM116" s="1311">
        <f>-ROUND(IF(N115&gt;0,SUMIF('사회적 유입 중복인구 제외근거'!$E$6:$E$53,$AA117,'사회적 유입 중복인구 제외근거'!$F$6:$F$53),0),0)</f>
        <v>0</v>
      </c>
      <c r="AN116" s="1311">
        <f>-ROUND(IF(O117&gt;0,SUMIF('사회적 유입 중복인구 제외근거'!$E$6:$E$53,$AA117,'사회적 유입 중복인구 제외근거'!$F$6:$F$53),0),0)</f>
        <v>0</v>
      </c>
      <c r="AO116" s="1311">
        <f>-ROUND(IF(P117&gt;0,SUMIF('사회적 유입 중복인구 제외근거'!$E$6:$E$53,$AA117,'사회적 유입 중복인구 제외근거'!$F$6:$F$53),0),0)</f>
        <v>0</v>
      </c>
      <c r="AP116" s="1311">
        <f>-ROUND(IF(Q117&gt;0,SUMIF('사회적 유입 중복인구 제외근거'!$E$6:$E$53,$AA117,'사회적 유입 중복인구 제외근거'!$F$6:$F$53),0),0)</f>
        <v>0</v>
      </c>
      <c r="AQ116" s="1311">
        <f>-ROUND(IF(R117&gt;0,SUMIF('사회적 유입 중복인구 제외근거'!$E$6:$E$53,$AA117,'사회적 유입 중복인구 제외근거'!$F$6:$F$53),0),0)</f>
        <v>0</v>
      </c>
      <c r="AR116" s="1311">
        <f>-ROUND(IF(S115&gt;0,SUMIF('사회적 유입 중복인구 제외근거'!$E$6:$E$53,$AA117,'사회적 유입 중복인구 제외근거'!$F$6:$F$53),0),0)*0.2</f>
        <v>0</v>
      </c>
      <c r="AS116" s="1311">
        <f>-ROUND(IF(T117&gt;0,SUMIF('사회적 유입 중복인구 제외근거'!$E$6:$E$53,$AA117,'사회적 유입 중복인구 제외근거'!$F$6:$F$53),0),0)*0.6</f>
        <v>0</v>
      </c>
      <c r="AT116" s="1311">
        <f>-ROUND(IF(U117&gt;0,SUMIF('사회적 유입 중복인구 제외근거'!$E$6:$E$53,$AA117,'사회적 유입 중복인구 제외근거'!$F$6:$F$53),0),0)</f>
        <v>0</v>
      </c>
      <c r="AU116" s="1311">
        <f>-ROUND(IF(V117&gt;0,SUMIF('사회적 유입 중복인구 제외근거'!$E$6:$E$53,$AA117,'사회적 유입 중복인구 제외근거'!$F$6:$F$53),0),0)</f>
        <v>0</v>
      </c>
      <c r="AV116" s="1311">
        <f>-ROUND(IF(W117&gt;0,SUMIF('사회적 유입 중복인구 제외근거'!$E$6:$E$53,$AA117,'사회적 유입 중복인구 제외근거'!$F$6:$F$53),0),0)</f>
        <v>0</v>
      </c>
      <c r="AW116" s="1311">
        <f>-ROUND(IF(X115&gt;0,SUMIF('사회적 유입 중복인구 제외근거'!$E$6:$E$53,$AA117,'사회적 유입 중복인구 제외근거'!$F$6:$F$53),0),0)</f>
        <v>-138</v>
      </c>
      <c r="AX116" s="1347"/>
      <c r="AY116" s="1258"/>
      <c r="AZ116" s="1258"/>
    </row>
    <row r="117" spans="1:60" s="1257" customFormat="1" ht="20.45" customHeight="1">
      <c r="A117" s="2507"/>
      <c r="B117" s="2514"/>
      <c r="C117" s="2513"/>
      <c r="D117" s="1311">
        <f>IF(D$85='1.4.3개발계획현황'!$K59,'1.4.3개발계획현황'!$AA59,C115)</f>
        <v>0</v>
      </c>
      <c r="E117" s="1311">
        <f>IF(E$85='1.4.3개발계획현황'!$K59,'1.4.3개발계획현황'!$AA59,D117)</f>
        <v>0</v>
      </c>
      <c r="F117" s="1311">
        <f>IF(F$85='1.4.3개발계획현황'!$K59,'1.4.3개발계획현황'!$AA59,E117)</f>
        <v>0</v>
      </c>
      <c r="G117" s="1311">
        <f>IF(G$85='1.4.3개발계획현황'!$K59,'1.4.3개발계획현황'!$AA59,F117)</f>
        <v>0</v>
      </c>
      <c r="H117" s="1311">
        <f>IF(H$85='1.4.3개발계획현황'!$K59,'1.4.3개발계획현황'!$AA59,G117)</f>
        <v>0</v>
      </c>
      <c r="I117" s="2513"/>
      <c r="J117" s="1311">
        <f>IF(J$85='1.4.3개발계획현황'!$K59,'1.4.3개발계획현황'!$AA59,I115)</f>
        <v>0</v>
      </c>
      <c r="K117" s="1311">
        <f>IF(K$85='1.4.3개발계획현황'!$K59,'1.4.3개발계획현황'!$AA59,J117)</f>
        <v>0</v>
      </c>
      <c r="L117" s="1311">
        <f>IF(L$85='1.4.3개발계획현황'!$K59,'1.4.3개발계획현황'!$AA59,K117)</f>
        <v>0</v>
      </c>
      <c r="M117" s="1311">
        <f>IF(M$85='1.4.3개발계획현황'!$K59,'1.4.3개발계획현황'!$AA59,L117)</f>
        <v>0</v>
      </c>
      <c r="N117" s="2513"/>
      <c r="O117" s="1311">
        <f>IF(O$85='1.4.3개발계획현황'!$K59,'1.4.3개발계획현황'!$AA59,N115)</f>
        <v>0</v>
      </c>
      <c r="P117" s="1311">
        <f>IF(P$85='1.4.3개발계획현황'!$K59,'1.4.3개발계획현황'!$AA59,O117)</f>
        <v>0</v>
      </c>
      <c r="Q117" s="1311">
        <f>IF(Q$85='1.4.3개발계획현황'!$K59,'1.4.3개발계획현황'!$AA59,P117)</f>
        <v>0</v>
      </c>
      <c r="R117" s="1311">
        <f>IF(R$85='1.4.3개발계획현황'!$K59,'1.4.3개발계획현황'!$AA59,Q117)</f>
        <v>0</v>
      </c>
      <c r="S117" s="2513"/>
      <c r="T117" s="1311">
        <f>IF(T$85='1.4.3개발계획현황'!$K59,'1.4.3개발계획현황'!$AA59,S115)</f>
        <v>0</v>
      </c>
      <c r="U117" s="1311">
        <f>IF(U$85='1.4.3개발계획현황'!$K59,'1.4.3개발계획현황'!$AA59,T117)</f>
        <v>0</v>
      </c>
      <c r="V117" s="1311">
        <f>IF(V$85='1.4.3개발계획현황'!$K59,'1.4.3개발계획현황'!$AA59,U117)</f>
        <v>0</v>
      </c>
      <c r="W117" s="1311">
        <f>IF(W$85='1.4.3개발계획현황'!$K59,'1.4.3개발계획현황'!$AA59,V117)</f>
        <v>0</v>
      </c>
      <c r="X117" s="2513"/>
      <c r="Y117" s="1349"/>
      <c r="Z117" s="2507"/>
      <c r="AA117" s="1353" t="str">
        <f>B115</f>
        <v>대소산업단지 확장</v>
      </c>
      <c r="AB117" s="1337">
        <f>ROUND(AB115+AB116,0)</f>
        <v>0</v>
      </c>
      <c r="AC117" s="1337">
        <f t="shared" ref="AC117:AW117" si="315">ROUND(AC115+AC116,0)</f>
        <v>0</v>
      </c>
      <c r="AD117" s="1337">
        <f t="shared" si="315"/>
        <v>0</v>
      </c>
      <c r="AE117" s="1337">
        <f t="shared" si="315"/>
        <v>0</v>
      </c>
      <c r="AF117" s="1337">
        <f t="shared" si="315"/>
        <v>0</v>
      </c>
      <c r="AG117" s="1337">
        <f t="shared" si="315"/>
        <v>0</v>
      </c>
      <c r="AH117" s="1337">
        <f t="shared" si="315"/>
        <v>0</v>
      </c>
      <c r="AI117" s="1337">
        <f t="shared" si="315"/>
        <v>0</v>
      </c>
      <c r="AJ117" s="1337">
        <f t="shared" si="315"/>
        <v>0</v>
      </c>
      <c r="AK117" s="1337">
        <f t="shared" si="315"/>
        <v>0</v>
      </c>
      <c r="AL117" s="1337">
        <f t="shared" si="315"/>
        <v>0</v>
      </c>
      <c r="AM117" s="1337">
        <f t="shared" si="315"/>
        <v>0</v>
      </c>
      <c r="AN117" s="1337">
        <f t="shared" si="315"/>
        <v>0</v>
      </c>
      <c r="AO117" s="1337">
        <f t="shared" si="315"/>
        <v>0</v>
      </c>
      <c r="AP117" s="1337">
        <f t="shared" si="315"/>
        <v>0</v>
      </c>
      <c r="AQ117" s="1337">
        <f t="shared" si="315"/>
        <v>0</v>
      </c>
      <c r="AR117" s="1337">
        <f t="shared" si="315"/>
        <v>0</v>
      </c>
      <c r="AS117" s="1337">
        <f t="shared" si="315"/>
        <v>0</v>
      </c>
      <c r="AT117" s="1337">
        <f t="shared" si="315"/>
        <v>0</v>
      </c>
      <c r="AU117" s="1337">
        <f t="shared" si="315"/>
        <v>0</v>
      </c>
      <c r="AV117" s="1337">
        <f t="shared" si="315"/>
        <v>0</v>
      </c>
      <c r="AW117" s="1337">
        <f t="shared" si="315"/>
        <v>0</v>
      </c>
      <c r="AX117" s="1338"/>
      <c r="AY117" s="1258"/>
      <c r="AZ117" s="1258"/>
    </row>
    <row r="118" spans="1:60" s="1257" customFormat="1" ht="20.45" customHeight="1">
      <c r="A118" s="2509"/>
      <c r="B118" s="1327" t="s">
        <v>73</v>
      </c>
      <c r="C118" s="1328">
        <f>SUM(C109:C117)</f>
        <v>0</v>
      </c>
      <c r="D118" s="1328">
        <f t="shared" ref="D118:F118" si="316">SUM(D109:D117)</f>
        <v>0</v>
      </c>
      <c r="E118" s="1328">
        <f t="shared" si="316"/>
        <v>0</v>
      </c>
      <c r="F118" s="1328">
        <f t="shared" si="316"/>
        <v>0</v>
      </c>
      <c r="G118" s="1328">
        <f>SUM(G112:G117)</f>
        <v>284</v>
      </c>
      <c r="H118" s="1328">
        <f t="shared" ref="H118:X118" si="317">SUM(H112:H117)</f>
        <v>284</v>
      </c>
      <c r="I118" s="1328">
        <f t="shared" si="317"/>
        <v>284</v>
      </c>
      <c r="J118" s="1328">
        <f t="shared" si="317"/>
        <v>284</v>
      </c>
      <c r="K118" s="1328">
        <f t="shared" si="317"/>
        <v>284</v>
      </c>
      <c r="L118" s="1328">
        <f t="shared" si="317"/>
        <v>284</v>
      </c>
      <c r="M118" s="1328">
        <f t="shared" si="317"/>
        <v>284</v>
      </c>
      <c r="N118" s="1328">
        <f t="shared" si="317"/>
        <v>284</v>
      </c>
      <c r="O118" s="1328">
        <f t="shared" si="317"/>
        <v>284</v>
      </c>
      <c r="P118" s="1328">
        <f t="shared" si="317"/>
        <v>284</v>
      </c>
      <c r="Q118" s="1328">
        <f t="shared" si="317"/>
        <v>284</v>
      </c>
      <c r="R118" s="1328">
        <f t="shared" si="317"/>
        <v>284</v>
      </c>
      <c r="S118" s="1328">
        <f t="shared" si="317"/>
        <v>284</v>
      </c>
      <c r="T118" s="1328">
        <f t="shared" si="317"/>
        <v>284</v>
      </c>
      <c r="U118" s="1328">
        <f t="shared" si="317"/>
        <v>284</v>
      </c>
      <c r="V118" s="1328">
        <f t="shared" si="317"/>
        <v>284</v>
      </c>
      <c r="W118" s="1328">
        <f t="shared" si="317"/>
        <v>284</v>
      </c>
      <c r="X118" s="1328">
        <f t="shared" si="317"/>
        <v>591</v>
      </c>
      <c r="Y118" s="1367"/>
      <c r="Z118" s="2509"/>
      <c r="AA118" s="1327" t="s">
        <v>73</v>
      </c>
      <c r="AB118" s="1328">
        <f>SUM(AB114,AB117)</f>
        <v>0</v>
      </c>
      <c r="AC118" s="1328">
        <f t="shared" ref="AC118:AW118" si="318">SUM(AC114,AC117)</f>
        <v>0</v>
      </c>
      <c r="AD118" s="1328">
        <f t="shared" si="318"/>
        <v>0</v>
      </c>
      <c r="AE118" s="1328">
        <f t="shared" si="318"/>
        <v>0</v>
      </c>
      <c r="AF118" s="1328">
        <f t="shared" si="318"/>
        <v>0</v>
      </c>
      <c r="AG118" s="1328">
        <f t="shared" si="318"/>
        <v>0</v>
      </c>
      <c r="AH118" s="1328">
        <f t="shared" si="318"/>
        <v>0</v>
      </c>
      <c r="AI118" s="1328">
        <f t="shared" si="318"/>
        <v>0</v>
      </c>
      <c r="AJ118" s="1328">
        <f t="shared" si="318"/>
        <v>0</v>
      </c>
      <c r="AK118" s="1328">
        <f t="shared" si="318"/>
        <v>0</v>
      </c>
      <c r="AL118" s="1328">
        <f t="shared" si="318"/>
        <v>0</v>
      </c>
      <c r="AM118" s="1328">
        <f t="shared" si="318"/>
        <v>0</v>
      </c>
      <c r="AN118" s="1328">
        <f t="shared" si="318"/>
        <v>0</v>
      </c>
      <c r="AO118" s="1328">
        <f t="shared" si="318"/>
        <v>0</v>
      </c>
      <c r="AP118" s="1328">
        <f t="shared" si="318"/>
        <v>0</v>
      </c>
      <c r="AQ118" s="1328">
        <f t="shared" si="318"/>
        <v>0</v>
      </c>
      <c r="AR118" s="1328">
        <f t="shared" si="318"/>
        <v>0</v>
      </c>
      <c r="AS118" s="1328">
        <f t="shared" si="318"/>
        <v>0</v>
      </c>
      <c r="AT118" s="1328">
        <f t="shared" si="318"/>
        <v>0</v>
      </c>
      <c r="AU118" s="1328">
        <f t="shared" si="318"/>
        <v>0</v>
      </c>
      <c r="AV118" s="1328">
        <f t="shared" si="318"/>
        <v>0</v>
      </c>
      <c r="AW118" s="1328">
        <f t="shared" si="318"/>
        <v>0</v>
      </c>
      <c r="AX118" s="1368"/>
      <c r="AY118" s="1258"/>
      <c r="AZ118" s="1258"/>
    </row>
    <row r="119" spans="1:60" s="1257" customFormat="1" ht="20.45" customHeight="1">
      <c r="A119" s="1329" t="s">
        <v>79</v>
      </c>
      <c r="B119" s="1330"/>
      <c r="C119" s="1331">
        <f t="shared" ref="C119:X119" si="319">SUM(C101,C108,C118)</f>
        <v>0</v>
      </c>
      <c r="D119" s="1331">
        <f t="shared" si="319"/>
        <v>0</v>
      </c>
      <c r="E119" s="1331">
        <f t="shared" si="319"/>
        <v>0</v>
      </c>
      <c r="F119" s="1331">
        <f t="shared" si="319"/>
        <v>0</v>
      </c>
      <c r="G119" s="1331">
        <f t="shared" si="319"/>
        <v>1225</v>
      </c>
      <c r="H119" s="1331">
        <f t="shared" si="319"/>
        <v>4640</v>
      </c>
      <c r="I119" s="1331">
        <f t="shared" si="319"/>
        <v>9420</v>
      </c>
      <c r="J119" s="1331">
        <f t="shared" si="319"/>
        <v>9420</v>
      </c>
      <c r="K119" s="1331">
        <f t="shared" si="319"/>
        <v>9420</v>
      </c>
      <c r="L119" s="1331">
        <f t="shared" si="319"/>
        <v>9420</v>
      </c>
      <c r="M119" s="1331">
        <f t="shared" si="319"/>
        <v>9420</v>
      </c>
      <c r="N119" s="1331">
        <f t="shared" si="319"/>
        <v>11269</v>
      </c>
      <c r="O119" s="1331">
        <f t="shared" si="319"/>
        <v>11269</v>
      </c>
      <c r="P119" s="1331">
        <f t="shared" si="319"/>
        <v>11269</v>
      </c>
      <c r="Q119" s="1331">
        <f t="shared" si="319"/>
        <v>11269</v>
      </c>
      <c r="R119" s="1331">
        <f t="shared" si="319"/>
        <v>11269</v>
      </c>
      <c r="S119" s="1331">
        <f t="shared" si="319"/>
        <v>11269</v>
      </c>
      <c r="T119" s="1331">
        <f t="shared" si="319"/>
        <v>11269</v>
      </c>
      <c r="U119" s="1331">
        <f t="shared" si="319"/>
        <v>11269</v>
      </c>
      <c r="V119" s="1331">
        <f t="shared" si="319"/>
        <v>11269</v>
      </c>
      <c r="W119" s="1331">
        <f t="shared" si="319"/>
        <v>11269</v>
      </c>
      <c r="X119" s="1331">
        <f t="shared" si="319"/>
        <v>19246</v>
      </c>
      <c r="Y119" s="1332"/>
      <c r="Z119" s="1329" t="s">
        <v>79</v>
      </c>
      <c r="AA119" s="1330"/>
      <c r="AB119" s="1331">
        <f t="shared" ref="AB119:AW119" si="320">SUM(AB101,AB108,AB118)</f>
        <v>0</v>
      </c>
      <c r="AC119" s="1331">
        <f t="shared" si="320"/>
        <v>0</v>
      </c>
      <c r="AD119" s="1331">
        <f t="shared" si="320"/>
        <v>0</v>
      </c>
      <c r="AE119" s="1331">
        <f t="shared" si="320"/>
        <v>0</v>
      </c>
      <c r="AF119" s="1331">
        <f t="shared" si="320"/>
        <v>518</v>
      </c>
      <c r="AG119" s="1331">
        <f t="shared" si="320"/>
        <v>755</v>
      </c>
      <c r="AH119" s="1331">
        <f t="shared" si="320"/>
        <v>4101</v>
      </c>
      <c r="AI119" s="1331">
        <f t="shared" si="320"/>
        <v>4101</v>
      </c>
      <c r="AJ119" s="1331">
        <f t="shared" si="320"/>
        <v>4101</v>
      </c>
      <c r="AK119" s="1331">
        <f t="shared" si="320"/>
        <v>4101</v>
      </c>
      <c r="AL119" s="1331">
        <f t="shared" si="320"/>
        <v>4101</v>
      </c>
      <c r="AM119" s="1331">
        <f t="shared" si="320"/>
        <v>5118</v>
      </c>
      <c r="AN119" s="1331">
        <f t="shared" si="320"/>
        <v>5118</v>
      </c>
      <c r="AO119" s="1331">
        <f t="shared" si="320"/>
        <v>5118</v>
      </c>
      <c r="AP119" s="1331">
        <f t="shared" si="320"/>
        <v>5118</v>
      </c>
      <c r="AQ119" s="1331">
        <f t="shared" si="320"/>
        <v>5118</v>
      </c>
      <c r="AR119" s="1331">
        <f t="shared" si="320"/>
        <v>6759</v>
      </c>
      <c r="AS119" s="1331">
        <f t="shared" si="320"/>
        <v>6759</v>
      </c>
      <c r="AT119" s="1331">
        <f t="shared" si="320"/>
        <v>6759</v>
      </c>
      <c r="AU119" s="1331">
        <f t="shared" si="320"/>
        <v>6759</v>
      </c>
      <c r="AV119" s="1331">
        <f t="shared" si="320"/>
        <v>6759</v>
      </c>
      <c r="AW119" s="1331">
        <f t="shared" si="320"/>
        <v>12128</v>
      </c>
      <c r="AX119" s="1332"/>
      <c r="AY119" s="1258"/>
      <c r="AZ119" s="1258"/>
    </row>
    <row r="120" spans="1:60" ht="9.9499999999999993" customHeight="1">
      <c r="A120" s="1264"/>
      <c r="B120" s="1254"/>
      <c r="C120" s="1255"/>
      <c r="D120" s="1255"/>
      <c r="E120" s="1255"/>
      <c r="F120" s="1255"/>
      <c r="G120" s="1255"/>
      <c r="H120" s="1255"/>
      <c r="I120" s="1255"/>
      <c r="J120" s="1255"/>
      <c r="K120" s="1255"/>
      <c r="L120" s="1255"/>
      <c r="M120" s="1255"/>
      <c r="N120" s="1255"/>
      <c r="O120" s="1255"/>
      <c r="P120" s="1256"/>
      <c r="Q120" s="1255"/>
      <c r="R120" s="1255"/>
      <c r="S120" s="1255"/>
      <c r="T120" s="1255"/>
      <c r="U120" s="1256"/>
      <c r="V120" s="1256"/>
      <c r="W120" s="1256"/>
      <c r="X120" s="1256"/>
      <c r="Y120" s="1254"/>
      <c r="Z120" s="1264"/>
      <c r="AA120" s="1267"/>
      <c r="AB120" s="1255"/>
      <c r="AC120" s="1255"/>
      <c r="AD120" s="1255"/>
      <c r="AE120" s="1255"/>
      <c r="AF120" s="1255"/>
      <c r="AG120" s="1255"/>
      <c r="AH120" s="1255"/>
      <c r="AI120" s="1255"/>
      <c r="AJ120" s="1255"/>
      <c r="AK120" s="1255"/>
      <c r="AL120" s="1255"/>
      <c r="AM120" s="1255"/>
      <c r="AN120" s="1255"/>
      <c r="AO120" s="1256"/>
      <c r="AP120" s="1255"/>
      <c r="AQ120" s="1255"/>
      <c r="AR120" s="1255"/>
      <c r="AS120" s="1255"/>
      <c r="AT120" s="1256"/>
      <c r="AU120" s="1256"/>
      <c r="AV120" s="1256"/>
      <c r="AW120" s="1256"/>
      <c r="AX120" s="1254"/>
      <c r="AY120" s="1278">
        <f>ROUND(X101*0.13,0)</f>
        <v>1619</v>
      </c>
      <c r="BH120" s="1296"/>
    </row>
    <row r="121" spans="1:60" s="1257" customFormat="1" ht="21" customHeight="1">
      <c r="A121" s="1264" t="s">
        <v>1441</v>
      </c>
      <c r="B121" s="1254"/>
      <c r="C121" s="1255"/>
      <c r="D121" s="1255"/>
      <c r="E121" s="1255"/>
      <c r="F121" s="1255"/>
      <c r="G121" s="1255"/>
      <c r="H121" s="1255"/>
      <c r="I121" s="1255"/>
      <c r="J121" s="1255"/>
      <c r="K121" s="1255"/>
      <c r="L121" s="1255"/>
      <c r="M121" s="1255"/>
      <c r="N121" s="1255"/>
      <c r="O121" s="1255"/>
      <c r="P121" s="1256"/>
      <c r="Q121" s="1255"/>
      <c r="R121" s="1255"/>
      <c r="S121" s="1255"/>
      <c r="T121" s="1255"/>
      <c r="U121" s="1256"/>
      <c r="V121" s="1256"/>
      <c r="W121" s="1256"/>
      <c r="X121" s="1256"/>
      <c r="Y121" s="1266" t="s">
        <v>76</v>
      </c>
      <c r="Z121" s="1264" t="s">
        <v>1441</v>
      </c>
      <c r="AA121" s="1267"/>
      <c r="AB121" s="1255"/>
      <c r="AC121" s="1255"/>
      <c r="AD121" s="1255"/>
      <c r="AE121" s="1255"/>
      <c r="AF121" s="1255"/>
      <c r="AG121" s="1255"/>
      <c r="AH121" s="1255"/>
      <c r="AI121" s="1255"/>
      <c r="AJ121" s="1255"/>
      <c r="AK121" s="1255"/>
      <c r="AL121" s="1255"/>
      <c r="AM121" s="1255"/>
      <c r="AN121" s="1255"/>
      <c r="AO121" s="1256"/>
      <c r="AP121" s="1255"/>
      <c r="AQ121" s="1255"/>
      <c r="AR121" s="1255"/>
      <c r="AS121" s="1255"/>
      <c r="AT121" s="1256"/>
      <c r="AU121" s="1256"/>
      <c r="AV121" s="1256"/>
      <c r="AW121" s="1256"/>
      <c r="AX121" s="1266" t="s">
        <v>76</v>
      </c>
      <c r="AY121" s="1258"/>
      <c r="AZ121" s="1258"/>
    </row>
    <row r="122" spans="1:60" s="1257" customFormat="1" ht="21" customHeight="1">
      <c r="A122" s="1268" t="s">
        <v>77</v>
      </c>
      <c r="B122" s="1269"/>
      <c r="C122" s="1270">
        <v>2014</v>
      </c>
      <c r="D122" s="1270">
        <v>2015</v>
      </c>
      <c r="E122" s="1270">
        <v>2016</v>
      </c>
      <c r="F122" s="1270">
        <v>2017</v>
      </c>
      <c r="G122" s="1270">
        <v>2018</v>
      </c>
      <c r="H122" s="1270">
        <v>2019</v>
      </c>
      <c r="I122" s="1270">
        <v>2020</v>
      </c>
      <c r="J122" s="1270">
        <v>2021</v>
      </c>
      <c r="K122" s="1270">
        <v>2022</v>
      </c>
      <c r="L122" s="1270">
        <v>2023</v>
      </c>
      <c r="M122" s="1270">
        <v>2024</v>
      </c>
      <c r="N122" s="1270">
        <v>2025</v>
      </c>
      <c r="O122" s="1270">
        <v>2026</v>
      </c>
      <c r="P122" s="1270">
        <v>2027</v>
      </c>
      <c r="Q122" s="1270">
        <v>2028</v>
      </c>
      <c r="R122" s="1270">
        <v>2029</v>
      </c>
      <c r="S122" s="1270">
        <v>2030</v>
      </c>
      <c r="T122" s="1270">
        <v>2031</v>
      </c>
      <c r="U122" s="1270">
        <v>2032</v>
      </c>
      <c r="V122" s="1270">
        <v>2033</v>
      </c>
      <c r="W122" s="1270">
        <v>2034</v>
      </c>
      <c r="X122" s="1270">
        <v>2035</v>
      </c>
      <c r="Y122" s="1271" t="s">
        <v>60</v>
      </c>
      <c r="Z122" s="1268" t="s">
        <v>77</v>
      </c>
      <c r="AA122" s="1269"/>
      <c r="AB122" s="1270">
        <v>2014</v>
      </c>
      <c r="AC122" s="1270">
        <v>2015</v>
      </c>
      <c r="AD122" s="1270">
        <v>2016</v>
      </c>
      <c r="AE122" s="1270">
        <v>2017</v>
      </c>
      <c r="AF122" s="1270">
        <v>2018</v>
      </c>
      <c r="AG122" s="1270">
        <v>2019</v>
      </c>
      <c r="AH122" s="1270">
        <v>2020</v>
      </c>
      <c r="AI122" s="1270">
        <v>2021</v>
      </c>
      <c r="AJ122" s="1270">
        <v>2022</v>
      </c>
      <c r="AK122" s="1270">
        <v>2023</v>
      </c>
      <c r="AL122" s="1270">
        <v>2024</v>
      </c>
      <c r="AM122" s="1270">
        <v>2025</v>
      </c>
      <c r="AN122" s="1270">
        <v>2026</v>
      </c>
      <c r="AO122" s="1270">
        <v>2027</v>
      </c>
      <c r="AP122" s="1270">
        <v>2028</v>
      </c>
      <c r="AQ122" s="1270">
        <v>2029</v>
      </c>
      <c r="AR122" s="1270">
        <v>2030</v>
      </c>
      <c r="AS122" s="1270">
        <v>2031</v>
      </c>
      <c r="AT122" s="1270">
        <v>2032</v>
      </c>
      <c r="AU122" s="1270">
        <v>2033</v>
      </c>
      <c r="AV122" s="1270">
        <v>2034</v>
      </c>
      <c r="AW122" s="1270">
        <v>2035</v>
      </c>
      <c r="AX122" s="1271" t="s">
        <v>97</v>
      </c>
      <c r="AY122" s="1258"/>
      <c r="AZ122" s="1258"/>
    </row>
    <row r="123" spans="1:60" ht="20.100000000000001" customHeight="1">
      <c r="A123" s="2521" t="s">
        <v>94</v>
      </c>
      <c r="B123" s="1369" t="str">
        <f>'1.4.3개발계획현황'!A11</f>
        <v>삼성택지지구</v>
      </c>
      <c r="C123" s="1306">
        <f>IF(C$122='1.4.3개발계획현황'!$K11,'1.4.3개발계획현황'!$AA11,0)</f>
        <v>0</v>
      </c>
      <c r="D123" s="1306">
        <f>IF(D$122='1.4.3개발계획현황'!$K11,'1.4.3개발계획현황'!$AA11,C123)</f>
        <v>0</v>
      </c>
      <c r="E123" s="1306">
        <f>IF(E$122='1.4.3개발계획현황'!$K11,'1.4.3개발계획현황'!$AA11,D123)</f>
        <v>0</v>
      </c>
      <c r="F123" s="1306">
        <f>IF(F$122='1.4.3개발계획현황'!$K11,'1.4.3개발계획현황'!$AA11,E123)</f>
        <v>0</v>
      </c>
      <c r="G123" s="1306">
        <f>IF(G$122='1.4.3개발계획현황'!$K11,'1.4.3개발계획현황'!$AA11,F123)</f>
        <v>0</v>
      </c>
      <c r="H123" s="1306">
        <f>IF(H$122='1.4.3개발계획현황'!$K11,'1.4.3개발계획현황'!$AA11,G123)</f>
        <v>0</v>
      </c>
      <c r="I123" s="1306">
        <f>IF(I$122='1.4.3개발계획현황'!$K11,'1.4.3개발계획현황'!$AA11,H123)</f>
        <v>0</v>
      </c>
      <c r="J123" s="1306">
        <f>IF(J$122='1.4.3개발계획현황'!$K11,'1.4.3개발계획현황'!$AA11,I123)</f>
        <v>0</v>
      </c>
      <c r="K123" s="1306">
        <f>IF(K$122='1.4.3개발계획현황'!$K11,'1.4.3개발계획현황'!$AA11,J123)</f>
        <v>0</v>
      </c>
      <c r="L123" s="1306">
        <f>IF(L$122='1.4.3개발계획현황'!$K11,'1.4.3개발계획현황'!$AA11,K123)</f>
        <v>0</v>
      </c>
      <c r="M123" s="1306">
        <f>IF(M$122='1.4.3개발계획현황'!$K11,'1.4.3개발계획현황'!$AA11,L123)</f>
        <v>0</v>
      </c>
      <c r="N123" s="1306">
        <f>IF(N$122='1.4.3개발계획현황'!$K11,'1.4.3개발계획현황'!$AA11,M123)</f>
        <v>0</v>
      </c>
      <c r="O123" s="1306">
        <f>IF(O$122='1.4.3개발계획현황'!$K11,'1.4.3개발계획현황'!$AA11,N123)</f>
        <v>0</v>
      </c>
      <c r="P123" s="1306">
        <f>IF(P$122='1.4.3개발계획현황'!$K11,'1.4.3개발계획현황'!$AA11,O123)</f>
        <v>0</v>
      </c>
      <c r="Q123" s="1306">
        <f>IF(Q$122='1.4.3개발계획현황'!$K11,'1.4.3개발계획현황'!$AA11,P123)</f>
        <v>0</v>
      </c>
      <c r="R123" s="1306">
        <f>IF(R$122='1.4.3개발계획현황'!$K11,'1.4.3개발계획현황'!$AA11,Q123)</f>
        <v>0</v>
      </c>
      <c r="S123" s="1306">
        <f>IF(S$122='1.4.3개발계획현황'!$K11,'1.4.3개발계획현황'!$AA11,R123)</f>
        <v>0</v>
      </c>
      <c r="T123" s="1306">
        <f>IF(T$122='1.4.3개발계획현황'!$K11,'1.4.3개발계획현황'!$AA11,S123)</f>
        <v>0</v>
      </c>
      <c r="U123" s="1306">
        <f>IF(U$122='1.4.3개발계획현황'!$K11,'1.4.3개발계획현황'!$AA11,T123)</f>
        <v>0</v>
      </c>
      <c r="V123" s="1306">
        <f>IF(V$122='1.4.3개발계획현황'!$K11,'1.4.3개발계획현황'!$AA11,U123)</f>
        <v>0</v>
      </c>
      <c r="W123" s="1306">
        <f>IF(W$122='1.4.3개발계획현황'!$K11,'1.4.3개발계획현황'!$AA11,V123)</f>
        <v>0</v>
      </c>
      <c r="X123" s="1306">
        <f>IF(X$122='1.4.3개발계획현황'!$K11,'1.4.3개발계획현황'!$AA11,W123)</f>
        <v>4440</v>
      </c>
      <c r="Y123" s="1370"/>
      <c r="Z123" s="2521" t="str">
        <f>A123</f>
        <v>도시개발사업</v>
      </c>
      <c r="AA123" s="1305" t="str">
        <f>B123</f>
        <v>삼성택지지구</v>
      </c>
      <c r="AB123" s="1306">
        <f t="shared" ref="AB123" si="321">ROUND(C123*$AX123,0)</f>
        <v>0</v>
      </c>
      <c r="AC123" s="1306">
        <f>ROUND(D123*$AX123,0)</f>
        <v>0</v>
      </c>
      <c r="AD123" s="1306">
        <f t="shared" ref="AD123" si="322">ROUND(E123*$AX123,0)</f>
        <v>0</v>
      </c>
      <c r="AE123" s="1306">
        <f t="shared" ref="AE123" si="323">ROUND(F123*$AX123,0)</f>
        <v>0</v>
      </c>
      <c r="AF123" s="1306">
        <f t="shared" ref="AF123" si="324">ROUND(G123*$AX123,0)</f>
        <v>0</v>
      </c>
      <c r="AG123" s="1306">
        <f t="shared" ref="AG123" si="325">ROUND(H123*$AX123,0)</f>
        <v>0</v>
      </c>
      <c r="AH123" s="1306">
        <f t="shared" ref="AH123" si="326">ROUND(I123*$AX123,0)</f>
        <v>0</v>
      </c>
      <c r="AI123" s="1306">
        <f t="shared" ref="AI123" si="327">ROUND(J123*$AX123,0)</f>
        <v>0</v>
      </c>
      <c r="AJ123" s="1306">
        <f t="shared" ref="AJ123" si="328">ROUND(K123*$AX123,0)</f>
        <v>0</v>
      </c>
      <c r="AK123" s="1306">
        <f t="shared" ref="AK123" si="329">ROUND(L123*$AX123,0)</f>
        <v>0</v>
      </c>
      <c r="AL123" s="1306">
        <f t="shared" ref="AL123" si="330">ROUND(M123*$AX123,0)</f>
        <v>0</v>
      </c>
      <c r="AM123" s="1306">
        <f t="shared" ref="AM123" si="331">ROUND(N123*$AX123,0)</f>
        <v>0</v>
      </c>
      <c r="AN123" s="1306">
        <f t="shared" ref="AN123" si="332">ROUND(O123*$AX123,0)</f>
        <v>0</v>
      </c>
      <c r="AO123" s="1306">
        <f t="shared" ref="AO123" si="333">ROUND(P123*$AX123,0)</f>
        <v>0</v>
      </c>
      <c r="AP123" s="1306">
        <f t="shared" ref="AP123" si="334">ROUND(Q123*$AX123,0)</f>
        <v>0</v>
      </c>
      <c r="AQ123" s="1306">
        <f t="shared" ref="AQ123" si="335">ROUND(R123*$AX123,0)</f>
        <v>0</v>
      </c>
      <c r="AR123" s="1306">
        <f t="shared" ref="AR123" si="336">ROUND(S123*$AX123,0)</f>
        <v>0</v>
      </c>
      <c r="AS123" s="1306">
        <f t="shared" ref="AS123" si="337">ROUND(T123*$AX123,0)</f>
        <v>0</v>
      </c>
      <c r="AT123" s="1306">
        <f t="shared" ref="AT123" si="338">ROUND(U123*$AX123,0)</f>
        <v>0</v>
      </c>
      <c r="AU123" s="1306">
        <f t="shared" ref="AU123" si="339">ROUND(V123*$AX123,0)</f>
        <v>0</v>
      </c>
      <c r="AV123" s="1306">
        <f t="shared" ref="AV123" si="340">ROUND(W123*$AX123,0)</f>
        <v>0</v>
      </c>
      <c r="AW123" s="1306">
        <f t="shared" ref="AW123" si="341">ROUND(X123*$AX123,0)</f>
        <v>3108</v>
      </c>
      <c r="AX123" s="1307">
        <v>0.7</v>
      </c>
      <c r="AY123" s="1302"/>
    </row>
    <row r="124" spans="1:60" ht="20.100000000000001" customHeight="1">
      <c r="A124" s="2522"/>
      <c r="B124" s="1279" t="s">
        <v>72</v>
      </c>
      <c r="C124" s="1280">
        <f>SUM(C123)</f>
        <v>0</v>
      </c>
      <c r="D124" s="1280">
        <f>SUM(D123)</f>
        <v>0</v>
      </c>
      <c r="E124" s="1280">
        <f t="shared" ref="E124:X124" si="342">SUM(E123)</f>
        <v>0</v>
      </c>
      <c r="F124" s="1280">
        <f t="shared" si="342"/>
        <v>0</v>
      </c>
      <c r="G124" s="1280">
        <f t="shared" si="342"/>
        <v>0</v>
      </c>
      <c r="H124" s="1280">
        <f t="shared" si="342"/>
        <v>0</v>
      </c>
      <c r="I124" s="1280">
        <f t="shared" si="342"/>
        <v>0</v>
      </c>
      <c r="J124" s="1280">
        <f t="shared" si="342"/>
        <v>0</v>
      </c>
      <c r="K124" s="1280">
        <f t="shared" si="342"/>
        <v>0</v>
      </c>
      <c r="L124" s="1280">
        <f t="shared" si="342"/>
        <v>0</v>
      </c>
      <c r="M124" s="1280">
        <f t="shared" si="342"/>
        <v>0</v>
      </c>
      <c r="N124" s="1280">
        <f t="shared" si="342"/>
        <v>0</v>
      </c>
      <c r="O124" s="1280">
        <f t="shared" si="342"/>
        <v>0</v>
      </c>
      <c r="P124" s="1280">
        <f t="shared" si="342"/>
        <v>0</v>
      </c>
      <c r="Q124" s="1280">
        <f t="shared" si="342"/>
        <v>0</v>
      </c>
      <c r="R124" s="1280">
        <f t="shared" si="342"/>
        <v>0</v>
      </c>
      <c r="S124" s="1280">
        <f t="shared" si="342"/>
        <v>0</v>
      </c>
      <c r="T124" s="1280">
        <f t="shared" si="342"/>
        <v>0</v>
      </c>
      <c r="U124" s="1280">
        <f t="shared" si="342"/>
        <v>0</v>
      </c>
      <c r="V124" s="1280">
        <f t="shared" si="342"/>
        <v>0</v>
      </c>
      <c r="W124" s="1280">
        <f t="shared" si="342"/>
        <v>0</v>
      </c>
      <c r="X124" s="1280">
        <f t="shared" si="342"/>
        <v>4440</v>
      </c>
      <c r="Y124" s="1281"/>
      <c r="Z124" s="2522"/>
      <c r="AA124" s="1279" t="s">
        <v>72</v>
      </c>
      <c r="AB124" s="1280">
        <f t="shared" ref="AB124:AT124" si="343">SUM(AB123)</f>
        <v>0</v>
      </c>
      <c r="AC124" s="1280">
        <f t="shared" si="343"/>
        <v>0</v>
      </c>
      <c r="AD124" s="1280">
        <f t="shared" si="343"/>
        <v>0</v>
      </c>
      <c r="AE124" s="1280">
        <f t="shared" si="343"/>
        <v>0</v>
      </c>
      <c r="AF124" s="1280">
        <f t="shared" si="343"/>
        <v>0</v>
      </c>
      <c r="AG124" s="1280">
        <f t="shared" si="343"/>
        <v>0</v>
      </c>
      <c r="AH124" s="1280">
        <f t="shared" si="343"/>
        <v>0</v>
      </c>
      <c r="AI124" s="1280">
        <f t="shared" si="343"/>
        <v>0</v>
      </c>
      <c r="AJ124" s="1280">
        <f t="shared" si="343"/>
        <v>0</v>
      </c>
      <c r="AK124" s="1280">
        <f t="shared" si="343"/>
        <v>0</v>
      </c>
      <c r="AL124" s="1280">
        <f t="shared" si="343"/>
        <v>0</v>
      </c>
      <c r="AM124" s="1280">
        <f t="shared" si="343"/>
        <v>0</v>
      </c>
      <c r="AN124" s="1280">
        <f t="shared" si="343"/>
        <v>0</v>
      </c>
      <c r="AO124" s="1280">
        <f t="shared" si="343"/>
        <v>0</v>
      </c>
      <c r="AP124" s="1280">
        <f t="shared" si="343"/>
        <v>0</v>
      </c>
      <c r="AQ124" s="1280">
        <f t="shared" si="343"/>
        <v>0</v>
      </c>
      <c r="AR124" s="1280">
        <f t="shared" si="343"/>
        <v>0</v>
      </c>
      <c r="AS124" s="1280">
        <f t="shared" si="343"/>
        <v>0</v>
      </c>
      <c r="AT124" s="1280">
        <f t="shared" si="343"/>
        <v>0</v>
      </c>
      <c r="AU124" s="1280">
        <f>SUM(AU123)</f>
        <v>0</v>
      </c>
      <c r="AV124" s="1280">
        <f>SUM(AV123)</f>
        <v>0</v>
      </c>
      <c r="AW124" s="1280">
        <f>SUM(AW123)</f>
        <v>3108</v>
      </c>
      <c r="AX124" s="1281"/>
      <c r="AY124" s="1302"/>
    </row>
    <row r="125" spans="1:60" s="1257" customFormat="1" ht="21" customHeight="1">
      <c r="A125" s="2539" t="s">
        <v>95</v>
      </c>
      <c r="B125" s="1274" t="str">
        <f>'1.4.3개발계획현황'!A38</f>
        <v>덕정리 아파트</v>
      </c>
      <c r="C125" s="1275">
        <f>IF(C$122='1.4.3개발계획현황'!$K38,'1.4.3개발계획현황'!$AA38,0)</f>
        <v>0</v>
      </c>
      <c r="D125" s="1275">
        <f>IF(D$122='1.4.3개발계획현황'!$K38,'1.4.3개발계획현황'!$AA38,C125)</f>
        <v>0</v>
      </c>
      <c r="E125" s="1275">
        <f>IF(E$122='1.4.3개발계획현황'!$K38,'1.4.3개발계획현황'!$AA38,D125)</f>
        <v>0</v>
      </c>
      <c r="F125" s="1275">
        <f>IF(F$122='1.4.3개발계획현황'!$K38,'1.4.3개발계획현황'!$AA38,E125)</f>
        <v>0</v>
      </c>
      <c r="G125" s="1275">
        <f>IF(G$122='1.4.3개발계획현황'!$K38,'1.4.3개발계획현황'!$AA38,F125)</f>
        <v>0</v>
      </c>
      <c r="H125" s="1275">
        <f>IF(H$122='1.4.3개발계획현황'!$K38,'1.4.3개발계획현황'!$AA38,G125)</f>
        <v>0</v>
      </c>
      <c r="I125" s="1275">
        <f>IF(I$122='1.4.3개발계획현황'!$K38,'1.4.3개발계획현황'!$AA38,H125)</f>
        <v>0</v>
      </c>
      <c r="J125" s="1275">
        <f>IF(J$122='1.4.3개발계획현황'!$K38,'1.4.3개발계획현황'!$AA38,I125)</f>
        <v>0</v>
      </c>
      <c r="K125" s="1275">
        <f>IF(K$122='1.4.3개발계획현황'!$K38,'1.4.3개발계획현황'!$AA38,J125)</f>
        <v>0</v>
      </c>
      <c r="L125" s="1275">
        <f>IF(L$122='1.4.3개발계획현황'!$K38,'1.4.3개발계획현황'!$AA38,K125)</f>
        <v>0</v>
      </c>
      <c r="M125" s="1275">
        <f>IF(M$122='1.4.3개발계획현황'!$K38,'1.4.3개발계획현황'!$AA38,L125)</f>
        <v>0</v>
      </c>
      <c r="N125" s="1275">
        <f>IF(N$122='1.4.3개발계획현황'!$K38,'1.4.3개발계획현황'!$AA38,M125)</f>
        <v>976</v>
      </c>
      <c r="O125" s="1275">
        <f>IF(O$122='1.4.3개발계획현황'!$K38,'1.4.3개발계획현황'!$AA38,N125)</f>
        <v>976</v>
      </c>
      <c r="P125" s="1275">
        <f>IF(P$122='1.4.3개발계획현황'!$K38,'1.4.3개발계획현황'!$AA38,O125)</f>
        <v>976</v>
      </c>
      <c r="Q125" s="1275">
        <f>IF(Q$122='1.4.3개발계획현황'!$K38,'1.4.3개발계획현황'!$AA38,P125)</f>
        <v>976</v>
      </c>
      <c r="R125" s="1275">
        <f>IF(R$122='1.4.3개발계획현황'!$K38,'1.4.3개발계획현황'!$AA38,Q125)</f>
        <v>976</v>
      </c>
      <c r="S125" s="1275">
        <f>IF(S$122='1.4.3개발계획현황'!$K38,'1.4.3개발계획현황'!$AA38,R125)</f>
        <v>976</v>
      </c>
      <c r="T125" s="1275">
        <f>IF(T$122='1.4.3개발계획현황'!$K38,'1.4.3개발계획현황'!$AA38,S125)</f>
        <v>976</v>
      </c>
      <c r="U125" s="1275">
        <f>IF(U$122='1.4.3개발계획현황'!$K38,'1.4.3개발계획현황'!$AA38,T125)</f>
        <v>976</v>
      </c>
      <c r="V125" s="1275">
        <f>IF(V$122='1.4.3개발계획현황'!$K38,'1.4.3개발계획현황'!$AA38,U125)</f>
        <v>976</v>
      </c>
      <c r="W125" s="1275">
        <f>IF(W$122='1.4.3개발계획현황'!$K38,'1.4.3개발계획현황'!$AA38,V125)</f>
        <v>976</v>
      </c>
      <c r="X125" s="1275">
        <f>IF(X$122='1.4.3개발계획현황'!$K38,'1.4.3개발계획현황'!$AA38,W125)</f>
        <v>976</v>
      </c>
      <c r="Y125" s="1276"/>
      <c r="Z125" s="2539" t="str">
        <f>A125</f>
        <v>공동주택
건설사업</v>
      </c>
      <c r="AA125" s="1285" t="str">
        <f>B125</f>
        <v>덕정리 아파트</v>
      </c>
      <c r="AB125" s="1312">
        <f t="shared" ref="AB125:AW125" si="344">ROUND(C125*$AX125,0)</f>
        <v>0</v>
      </c>
      <c r="AC125" s="1312">
        <f t="shared" si="344"/>
        <v>0</v>
      </c>
      <c r="AD125" s="1312">
        <f t="shared" si="344"/>
        <v>0</v>
      </c>
      <c r="AE125" s="1312">
        <f t="shared" si="344"/>
        <v>0</v>
      </c>
      <c r="AF125" s="1312">
        <f t="shared" si="344"/>
        <v>0</v>
      </c>
      <c r="AG125" s="1312">
        <f t="shared" si="344"/>
        <v>0</v>
      </c>
      <c r="AH125" s="1312">
        <f t="shared" si="344"/>
        <v>0</v>
      </c>
      <c r="AI125" s="1312">
        <f t="shared" si="344"/>
        <v>0</v>
      </c>
      <c r="AJ125" s="1312">
        <f t="shared" si="344"/>
        <v>0</v>
      </c>
      <c r="AK125" s="1312">
        <f t="shared" si="344"/>
        <v>0</v>
      </c>
      <c r="AL125" s="1312">
        <f t="shared" si="344"/>
        <v>0</v>
      </c>
      <c r="AM125" s="1312">
        <f t="shared" si="344"/>
        <v>537</v>
      </c>
      <c r="AN125" s="1312">
        <f t="shared" si="344"/>
        <v>537</v>
      </c>
      <c r="AO125" s="1312">
        <f t="shared" si="344"/>
        <v>537</v>
      </c>
      <c r="AP125" s="1312">
        <f t="shared" si="344"/>
        <v>537</v>
      </c>
      <c r="AQ125" s="1312">
        <f t="shared" si="344"/>
        <v>537</v>
      </c>
      <c r="AR125" s="1312">
        <f t="shared" si="344"/>
        <v>537</v>
      </c>
      <c r="AS125" s="1312">
        <f t="shared" si="344"/>
        <v>537</v>
      </c>
      <c r="AT125" s="1312">
        <f t="shared" si="344"/>
        <v>537</v>
      </c>
      <c r="AU125" s="1312">
        <f t="shared" si="344"/>
        <v>537</v>
      </c>
      <c r="AV125" s="1312">
        <f t="shared" si="344"/>
        <v>537</v>
      </c>
      <c r="AW125" s="1312">
        <f t="shared" si="344"/>
        <v>537</v>
      </c>
      <c r="AX125" s="1277">
        <v>0.55000000000000004</v>
      </c>
      <c r="AY125" s="1258"/>
      <c r="AZ125" s="1258"/>
    </row>
    <row r="126" spans="1:60" s="1257" customFormat="1" ht="21" customHeight="1">
      <c r="A126" s="2540"/>
      <c r="B126" s="1279" t="s">
        <v>73</v>
      </c>
      <c r="C126" s="1280">
        <f t="shared" ref="C126:X126" si="345">SUM(C125:C125)</f>
        <v>0</v>
      </c>
      <c r="D126" s="1280">
        <f t="shared" si="345"/>
        <v>0</v>
      </c>
      <c r="E126" s="1280">
        <f t="shared" si="345"/>
        <v>0</v>
      </c>
      <c r="F126" s="1280">
        <f t="shared" si="345"/>
        <v>0</v>
      </c>
      <c r="G126" s="1280">
        <f t="shared" si="345"/>
        <v>0</v>
      </c>
      <c r="H126" s="1280">
        <f t="shared" si="345"/>
        <v>0</v>
      </c>
      <c r="I126" s="1280">
        <f t="shared" si="345"/>
        <v>0</v>
      </c>
      <c r="J126" s="1280">
        <f t="shared" si="345"/>
        <v>0</v>
      </c>
      <c r="K126" s="1280">
        <f t="shared" si="345"/>
        <v>0</v>
      </c>
      <c r="L126" s="1280">
        <f t="shared" si="345"/>
        <v>0</v>
      </c>
      <c r="M126" s="1280">
        <f t="shared" si="345"/>
        <v>0</v>
      </c>
      <c r="N126" s="1280">
        <f t="shared" si="345"/>
        <v>976</v>
      </c>
      <c r="O126" s="1280">
        <f t="shared" si="345"/>
        <v>976</v>
      </c>
      <c r="P126" s="1280">
        <f t="shared" si="345"/>
        <v>976</v>
      </c>
      <c r="Q126" s="1280">
        <f t="shared" si="345"/>
        <v>976</v>
      </c>
      <c r="R126" s="1280">
        <f t="shared" si="345"/>
        <v>976</v>
      </c>
      <c r="S126" s="1280">
        <f t="shared" si="345"/>
        <v>976</v>
      </c>
      <c r="T126" s="1280">
        <f t="shared" si="345"/>
        <v>976</v>
      </c>
      <c r="U126" s="1280">
        <f t="shared" si="345"/>
        <v>976</v>
      </c>
      <c r="V126" s="1280">
        <f t="shared" si="345"/>
        <v>976</v>
      </c>
      <c r="W126" s="1280">
        <f t="shared" si="345"/>
        <v>976</v>
      </c>
      <c r="X126" s="1280">
        <f t="shared" si="345"/>
        <v>976</v>
      </c>
      <c r="Y126" s="1281"/>
      <c r="Z126" s="2540"/>
      <c r="AA126" s="1279" t="s">
        <v>73</v>
      </c>
      <c r="AB126" s="1280">
        <f t="shared" ref="AB126:AW126" si="346">SUM(AB125:AB125)</f>
        <v>0</v>
      </c>
      <c r="AC126" s="1280">
        <f t="shared" si="346"/>
        <v>0</v>
      </c>
      <c r="AD126" s="1280">
        <f t="shared" si="346"/>
        <v>0</v>
      </c>
      <c r="AE126" s="1280">
        <f t="shared" si="346"/>
        <v>0</v>
      </c>
      <c r="AF126" s="1280">
        <f t="shared" si="346"/>
        <v>0</v>
      </c>
      <c r="AG126" s="1280">
        <f t="shared" si="346"/>
        <v>0</v>
      </c>
      <c r="AH126" s="1280">
        <f t="shared" si="346"/>
        <v>0</v>
      </c>
      <c r="AI126" s="1280">
        <f t="shared" si="346"/>
        <v>0</v>
      </c>
      <c r="AJ126" s="1280">
        <f t="shared" si="346"/>
        <v>0</v>
      </c>
      <c r="AK126" s="1280">
        <f t="shared" si="346"/>
        <v>0</v>
      </c>
      <c r="AL126" s="1280">
        <f t="shared" si="346"/>
        <v>0</v>
      </c>
      <c r="AM126" s="1280">
        <f t="shared" si="346"/>
        <v>537</v>
      </c>
      <c r="AN126" s="1280">
        <f t="shared" si="346"/>
        <v>537</v>
      </c>
      <c r="AO126" s="1280">
        <f t="shared" si="346"/>
        <v>537</v>
      </c>
      <c r="AP126" s="1280">
        <f t="shared" si="346"/>
        <v>537</v>
      </c>
      <c r="AQ126" s="1280">
        <f t="shared" si="346"/>
        <v>537</v>
      </c>
      <c r="AR126" s="1280">
        <f t="shared" si="346"/>
        <v>537</v>
      </c>
      <c r="AS126" s="1280">
        <f t="shared" si="346"/>
        <v>537</v>
      </c>
      <c r="AT126" s="1280">
        <f t="shared" si="346"/>
        <v>537</v>
      </c>
      <c r="AU126" s="1280">
        <f t="shared" si="346"/>
        <v>537</v>
      </c>
      <c r="AV126" s="1280">
        <f t="shared" si="346"/>
        <v>537</v>
      </c>
      <c r="AW126" s="1280">
        <f t="shared" si="346"/>
        <v>537</v>
      </c>
      <c r="AX126" s="1281"/>
      <c r="AY126" s="1258"/>
      <c r="AZ126" s="1258"/>
    </row>
    <row r="127" spans="1:60" s="1257" customFormat="1" ht="21" customHeight="1">
      <c r="A127" s="2507" t="s">
        <v>1448</v>
      </c>
      <c r="B127" s="2510" t="str">
        <f>'1.4.3개발계획현황'!A60</f>
        <v>삼성준산업단지</v>
      </c>
      <c r="C127" s="2513">
        <f>IF(C$85='1.4.3개발계획현황'!$K60,'1.4.3개발계획현황'!$AA60,0)</f>
        <v>0</v>
      </c>
      <c r="D127" s="1351"/>
      <c r="E127" s="1351"/>
      <c r="F127" s="1351"/>
      <c r="G127" s="1351"/>
      <c r="H127" s="1351"/>
      <c r="I127" s="2513">
        <f>IF(I$85='1.4.3개발계획현황'!$K60,'1.4.3개발계획현황'!$AA60,H129)</f>
        <v>0</v>
      </c>
      <c r="J127" s="1351"/>
      <c r="K127" s="1351"/>
      <c r="L127" s="1351"/>
      <c r="M127" s="1351"/>
      <c r="N127" s="2513">
        <f>IF(N$85='1.4.3개발계획현황'!$K60,'1.4.3개발계획현황'!$AA60,M129)</f>
        <v>0</v>
      </c>
      <c r="O127" s="1351"/>
      <c r="P127" s="1351"/>
      <c r="Q127" s="1351"/>
      <c r="R127" s="1351"/>
      <c r="S127" s="2513">
        <f>IF(S$85='1.4.3개발계획현황'!$K60,'1.4.3개발계획현황'!$AA60,R129)</f>
        <v>0</v>
      </c>
      <c r="T127" s="1351"/>
      <c r="U127" s="1351"/>
      <c r="V127" s="1351"/>
      <c r="W127" s="1351"/>
      <c r="X127" s="2513">
        <f>IF(X$85='1.4.3개발계획현황'!$K60,'1.4.3개발계획현황'!$AA60,W129)</f>
        <v>709</v>
      </c>
      <c r="Y127" s="1281"/>
      <c r="Z127" s="2507"/>
      <c r="AA127" s="1336" t="str">
        <f>CONCATENATE(AA129," 중복제외 전")</f>
        <v>삼성준산업단지 중복제외 전</v>
      </c>
      <c r="AB127" s="1311">
        <f>ROUND(C127*$AX127,0)</f>
        <v>0</v>
      </c>
      <c r="AC127" s="1311">
        <f>ROUND(D129*$AX127,0)</f>
        <v>0</v>
      </c>
      <c r="AD127" s="1311">
        <f>ROUND(E129*$AX127,0)</f>
        <v>0</v>
      </c>
      <c r="AE127" s="1311">
        <f>ROUND(F129*$AX127,0)</f>
        <v>0</v>
      </c>
      <c r="AF127" s="1311">
        <f>ROUND(G129*$AX127,0)</f>
        <v>0</v>
      </c>
      <c r="AG127" s="1311">
        <f>ROUND(H129*$AX127,0)</f>
        <v>0</v>
      </c>
      <c r="AH127" s="1311">
        <f>ROUND(I127*$AX127,0)</f>
        <v>0</v>
      </c>
      <c r="AI127" s="1311">
        <f>ROUND(J129*$AX127,0)</f>
        <v>0</v>
      </c>
      <c r="AJ127" s="1311">
        <f>ROUND(K129*$AX127,0)</f>
        <v>0</v>
      </c>
      <c r="AK127" s="1311">
        <f>ROUND(L129*$AX127,0)</f>
        <v>0</v>
      </c>
      <c r="AL127" s="1311">
        <f>ROUND(M129*$AX127,0)</f>
        <v>0</v>
      </c>
      <c r="AM127" s="1311">
        <f>ROUND(N127*$AX127,0)</f>
        <v>0</v>
      </c>
      <c r="AN127" s="1311">
        <f>ROUND(O129*$AX127,0)</f>
        <v>0</v>
      </c>
      <c r="AO127" s="1311">
        <f>ROUND(P129*$AX127,0)</f>
        <v>0</v>
      </c>
      <c r="AP127" s="1311">
        <f>ROUND(Q129*$AX127,0)</f>
        <v>0</v>
      </c>
      <c r="AQ127" s="1311">
        <f>ROUND(R129*$AX127,0)</f>
        <v>0</v>
      </c>
      <c r="AR127" s="1311">
        <f>ROUND(S127*$AX127,0)</f>
        <v>0</v>
      </c>
      <c r="AS127" s="1311">
        <f>ROUND(T129*$AX127,0)</f>
        <v>0</v>
      </c>
      <c r="AT127" s="1311">
        <f>ROUND(U129*$AX127,0)</f>
        <v>0</v>
      </c>
      <c r="AU127" s="1311">
        <f>ROUND(V129*$AX127,0)</f>
        <v>0</v>
      </c>
      <c r="AV127" s="1311">
        <f>ROUND(W129*$AX127,0)</f>
        <v>0</v>
      </c>
      <c r="AW127" s="1311">
        <f>ROUND(X127*$AX127,0)</f>
        <v>319</v>
      </c>
      <c r="AX127" s="1347">
        <v>0.45</v>
      </c>
      <c r="AY127" s="1258"/>
      <c r="AZ127" s="1258"/>
      <c r="BH127" s="1354"/>
    </row>
    <row r="128" spans="1:60" s="1257" customFormat="1" ht="21" customHeight="1">
      <c r="A128" s="2507"/>
      <c r="B128" s="2511"/>
      <c r="C128" s="2513"/>
      <c r="D128" s="1351"/>
      <c r="E128" s="1351"/>
      <c r="F128" s="1351"/>
      <c r="G128" s="1351"/>
      <c r="H128" s="1351"/>
      <c r="I128" s="2513"/>
      <c r="J128" s="1351"/>
      <c r="K128" s="1351"/>
      <c r="L128" s="1351"/>
      <c r="M128" s="1351"/>
      <c r="N128" s="2513"/>
      <c r="O128" s="1351"/>
      <c r="P128" s="1351"/>
      <c r="Q128" s="1351"/>
      <c r="R128" s="1351"/>
      <c r="S128" s="2513"/>
      <c r="T128" s="1351"/>
      <c r="U128" s="1351"/>
      <c r="V128" s="1351"/>
      <c r="W128" s="1351"/>
      <c r="X128" s="2513"/>
      <c r="Y128" s="1281"/>
      <c r="Z128" s="2507"/>
      <c r="AA128" s="1336" t="str">
        <f>CONCATENATE(AA129," 중복제외인구")</f>
        <v>삼성준산업단지 중복제외인구</v>
      </c>
      <c r="AB128" s="1311">
        <f>ROUND(C127*$AX128,0)</f>
        <v>0</v>
      </c>
      <c r="AC128" s="1275">
        <f>-ROUND(IF(D129&gt;0,VLOOKUP($AA129,'사회적 유입 중복인구 제외근거'!$E$32:$F$38,2,FALSE),0),0)</f>
        <v>0</v>
      </c>
      <c r="AD128" s="1275">
        <f>-ROUND(IF(E129&gt;0,SUMIF('사회적 유입 중복인구 제외근거'!$E$6:$E$53,$AA129,'사회적 유입 중복인구 제외근거'!$F$6:$F$53),0),0)</f>
        <v>0</v>
      </c>
      <c r="AE128" s="1275">
        <f>-ROUND(IF(F129&gt;0,SUMIF('사회적 유입 중복인구 제외근거'!$E$6:$E$53,$AA129,'사회적 유입 중복인구 제외근거'!$F$6:$F$53),0),0)</f>
        <v>0</v>
      </c>
      <c r="AF128" s="1275">
        <f>-ROUND(IF(G129&gt;0,SUMIF('사회적 유입 중복인구 제외근거'!$E$6:$E$53,$AA129,'사회적 유입 중복인구 제외근거'!$F$6:$F$53),0),0)</f>
        <v>0</v>
      </c>
      <c r="AG128" s="1275">
        <f>-ROUND(IF(H129&gt;0,SUMIF('사회적 유입 중복인구 제외근거'!$E$6:$E$53,$AA129,'사회적 유입 중복인구 제외근거'!$F$6:$F$53),0),0)</f>
        <v>0</v>
      </c>
      <c r="AH128" s="1275">
        <f>-ROUND(IF(I127&gt;0,SUMIF('사회적 유입 중복인구 제외근거'!$E$6:$E$53,$AA129,'사회적 유입 중복인구 제외근거'!$F$6:$F$53),0),0)</f>
        <v>0</v>
      </c>
      <c r="AI128" s="1275">
        <f>-ROUND(IF(J129&gt;0,SUMIF('사회적 유입 중복인구 제외근거'!$E$6:$E$53,$AA129,'사회적 유입 중복인구 제외근거'!$F$6:$F$53),0),0)</f>
        <v>0</v>
      </c>
      <c r="AJ128" s="1275">
        <f>-ROUND(IF(K129&gt;0,SUMIF('사회적 유입 중복인구 제외근거'!$E$6:$E$53,$AA129,'사회적 유입 중복인구 제외근거'!$F$6:$F$53),0),0)</f>
        <v>0</v>
      </c>
      <c r="AK128" s="1275">
        <f>-ROUND(IF(L129&gt;0,SUMIF('사회적 유입 중복인구 제외근거'!$E$6:$E$53,$AA129,'사회적 유입 중복인구 제외근거'!$F$6:$F$53),0),0)</f>
        <v>0</v>
      </c>
      <c r="AL128" s="1275">
        <f>-ROUND(IF(M129&gt;0,SUMIF('사회적 유입 중복인구 제외근거'!$E$6:$E$53,$AA129,'사회적 유입 중복인구 제외근거'!$F$6:$F$53),0),0)</f>
        <v>0</v>
      </c>
      <c r="AM128" s="1275">
        <f>-ROUND(IF(N127&gt;0,SUMIF('사회적 유입 중복인구 제외근거'!$E$6:$E$53,$AA129,'사회적 유입 중복인구 제외근거'!$F$6:$F$53),0),0)</f>
        <v>0</v>
      </c>
      <c r="AN128" s="1275">
        <f>-ROUND(IF(O129&gt;0,SUMIF('사회적 유입 중복인구 제외근거'!$E$6:$E$53,$AA129,'사회적 유입 중복인구 제외근거'!$F$6:$F$53),0),0)</f>
        <v>0</v>
      </c>
      <c r="AO128" s="1275">
        <f>-ROUND(IF(P129&gt;0,SUMIF('사회적 유입 중복인구 제외근거'!$E$6:$E$53,$AA129,'사회적 유입 중복인구 제외근거'!$F$6:$F$53),0),0)</f>
        <v>0</v>
      </c>
      <c r="AP128" s="1275">
        <f>-ROUND(IF(Q129&gt;0,SUMIF('사회적 유입 중복인구 제외근거'!$E$6:$E$53,$AA129,'사회적 유입 중복인구 제외근거'!$F$6:$F$53),0),0)</f>
        <v>0</v>
      </c>
      <c r="AQ128" s="1275">
        <f>-ROUND(IF(R129&gt;0,SUMIF('사회적 유입 중복인구 제외근거'!$E$6:$E$53,$AA129,'사회적 유입 중복인구 제외근거'!$F$6:$F$53),0),0)</f>
        <v>0</v>
      </c>
      <c r="AR128" s="1275">
        <f>-ROUND(IF(S127&gt;0,SUMIF('사회적 유입 중복인구 제외근거'!$E$6:$E$53,$AA129,'사회적 유입 중복인구 제외근거'!$F$6:$F$53),0),0)*0.2</f>
        <v>0</v>
      </c>
      <c r="AS128" s="1275">
        <f>-ROUND(IF(T129&gt;0,SUMIF('사회적 유입 중복인구 제외근거'!$E$6:$E$53,$AA129,'사회적 유입 중복인구 제외근거'!$F$6:$F$53),0),0)*0.6</f>
        <v>0</v>
      </c>
      <c r="AT128" s="1275">
        <f>-ROUND(IF(U129&gt;0,SUMIF('사회적 유입 중복인구 제외근거'!$E$6:$E$53,$AA129,'사회적 유입 중복인구 제외근거'!$F$6:$F$53),0),0)</f>
        <v>0</v>
      </c>
      <c r="AU128" s="1275">
        <f>-ROUND(IF(V129&gt;0,SUMIF('사회적 유입 중복인구 제외근거'!$E$6:$E$53,$AA129,'사회적 유입 중복인구 제외근거'!$F$6:$F$53),0),0)</f>
        <v>0</v>
      </c>
      <c r="AV128" s="1275">
        <f>-ROUND(IF(W129&gt;0,SUMIF('사회적 유입 중복인구 제외근거'!$E$6:$E$53,$AA129,'사회적 유입 중복인구 제외근거'!$F$6:$F$53),0),0)</f>
        <v>0</v>
      </c>
      <c r="AW128" s="1275">
        <f>-ROUND(IF(X127&gt;0,SUMIF('사회적 유입 중복인구 제외근거'!$E$6:$E$53,$AA129,'사회적 유입 중복인구 제외근거'!$F$6:$F$53),0),0)</f>
        <v>-319</v>
      </c>
      <c r="AX128" s="1347"/>
      <c r="AY128" s="1258"/>
      <c r="AZ128" s="1258"/>
      <c r="BH128" s="1354"/>
    </row>
    <row r="129" spans="1:60" s="1257" customFormat="1" ht="21" customHeight="1">
      <c r="A129" s="2507"/>
      <c r="B129" s="2512"/>
      <c r="C129" s="2513"/>
      <c r="D129" s="1311">
        <f>IF(D$85='1.4.3개발계획현황'!$K60,'1.4.3개발계획현황'!$AA60,C127)</f>
        <v>0</v>
      </c>
      <c r="E129" s="1311">
        <f>IF(E$85='1.4.3개발계획현황'!$K60,'1.4.3개발계획현황'!$AA60,D129)</f>
        <v>0</v>
      </c>
      <c r="F129" s="1311">
        <f>IF(F$85='1.4.3개발계획현황'!$K60,'1.4.3개발계획현황'!$AA60,E129)</f>
        <v>0</v>
      </c>
      <c r="G129" s="1311">
        <f>IF(G$85='1.4.3개발계획현황'!$K60,'1.4.3개발계획현황'!$AA60,F129)</f>
        <v>0</v>
      </c>
      <c r="H129" s="1311">
        <f>IF(H$85='1.4.3개발계획현황'!$K60,'1.4.3개발계획현황'!$AA60,G129)</f>
        <v>0</v>
      </c>
      <c r="I129" s="2513"/>
      <c r="J129" s="1311">
        <f>IF(J$85='1.4.3개발계획현황'!$K60,'1.4.3개발계획현황'!$AA60,I127)</f>
        <v>0</v>
      </c>
      <c r="K129" s="1311">
        <f>IF(K$85='1.4.3개발계획현황'!$K60,'1.4.3개발계획현황'!$AA60,J129)</f>
        <v>0</v>
      </c>
      <c r="L129" s="1311">
        <f>IF(L$85='1.4.3개발계획현황'!$K60,'1.4.3개발계획현황'!$AA60,K129)</f>
        <v>0</v>
      </c>
      <c r="M129" s="1311">
        <f>IF(M$85='1.4.3개발계획현황'!$K60,'1.4.3개발계획현황'!$AA60,L129)</f>
        <v>0</v>
      </c>
      <c r="N129" s="2513"/>
      <c r="O129" s="1311">
        <f>IF(O$85='1.4.3개발계획현황'!$K60,'1.4.3개발계획현황'!$AA60,N127)</f>
        <v>0</v>
      </c>
      <c r="P129" s="1311">
        <f>IF(P$85='1.4.3개발계획현황'!$K60,'1.4.3개발계획현황'!$AA60,O129)</f>
        <v>0</v>
      </c>
      <c r="Q129" s="1311">
        <f>IF(Q$85='1.4.3개발계획현황'!$K60,'1.4.3개발계획현황'!$AA60,P129)</f>
        <v>0</v>
      </c>
      <c r="R129" s="1311">
        <f>IF(R$85='1.4.3개발계획현황'!$K60,'1.4.3개발계획현황'!$AA60,Q129)</f>
        <v>0</v>
      </c>
      <c r="S129" s="2513"/>
      <c r="T129" s="1311">
        <f>IF(T$85='1.4.3개발계획현황'!$K60,'1.4.3개발계획현황'!$AA60,S127)</f>
        <v>0</v>
      </c>
      <c r="U129" s="1311">
        <f>IF(U$85='1.4.3개발계획현황'!$K60,'1.4.3개발계획현황'!$AA60,T129)</f>
        <v>0</v>
      </c>
      <c r="V129" s="1311">
        <f>IF(V$85='1.4.3개발계획현황'!$K60,'1.4.3개발계획현황'!$AA60,U129)</f>
        <v>0</v>
      </c>
      <c r="W129" s="1311">
        <f>IF(W$85='1.4.3개발계획현황'!$K60,'1.4.3개발계획현황'!$AA60,V129)</f>
        <v>0</v>
      </c>
      <c r="X129" s="2513"/>
      <c r="Y129" s="1281"/>
      <c r="Z129" s="2507"/>
      <c r="AA129" s="1353" t="str">
        <f>B127</f>
        <v>삼성준산업단지</v>
      </c>
      <c r="AB129" s="1287">
        <f>ROUND(AB127+AB128,0)</f>
        <v>0</v>
      </c>
      <c r="AC129" s="1337">
        <f t="shared" ref="AC129:AW129" si="347">ROUND(AC127+AC128,0)</f>
        <v>0</v>
      </c>
      <c r="AD129" s="1337">
        <f t="shared" si="347"/>
        <v>0</v>
      </c>
      <c r="AE129" s="1337">
        <f t="shared" si="347"/>
        <v>0</v>
      </c>
      <c r="AF129" s="1337">
        <f t="shared" si="347"/>
        <v>0</v>
      </c>
      <c r="AG129" s="1337">
        <f t="shared" si="347"/>
        <v>0</v>
      </c>
      <c r="AH129" s="1337">
        <f t="shared" si="347"/>
        <v>0</v>
      </c>
      <c r="AI129" s="1337">
        <f t="shared" si="347"/>
        <v>0</v>
      </c>
      <c r="AJ129" s="1337">
        <f t="shared" si="347"/>
        <v>0</v>
      </c>
      <c r="AK129" s="1337">
        <f t="shared" si="347"/>
        <v>0</v>
      </c>
      <c r="AL129" s="1337">
        <f t="shared" si="347"/>
        <v>0</v>
      </c>
      <c r="AM129" s="1337">
        <f t="shared" si="347"/>
        <v>0</v>
      </c>
      <c r="AN129" s="1337">
        <f t="shared" si="347"/>
        <v>0</v>
      </c>
      <c r="AO129" s="1337">
        <f t="shared" si="347"/>
        <v>0</v>
      </c>
      <c r="AP129" s="1337">
        <f t="shared" si="347"/>
        <v>0</v>
      </c>
      <c r="AQ129" s="1337">
        <f t="shared" si="347"/>
        <v>0</v>
      </c>
      <c r="AR129" s="1337">
        <f t="shared" si="347"/>
        <v>0</v>
      </c>
      <c r="AS129" s="1337">
        <f t="shared" si="347"/>
        <v>0</v>
      </c>
      <c r="AT129" s="1337">
        <f t="shared" si="347"/>
        <v>0</v>
      </c>
      <c r="AU129" s="1337">
        <f t="shared" si="347"/>
        <v>0</v>
      </c>
      <c r="AV129" s="1337">
        <f t="shared" si="347"/>
        <v>0</v>
      </c>
      <c r="AW129" s="1337">
        <f t="shared" si="347"/>
        <v>0</v>
      </c>
      <c r="AX129" s="1338"/>
      <c r="AY129" s="1258"/>
      <c r="AZ129" s="1258"/>
      <c r="BH129" s="1354"/>
    </row>
    <row r="130" spans="1:60" s="1257" customFormat="1" ht="21" customHeight="1" thickBot="1">
      <c r="A130" s="2507"/>
      <c r="B130" s="2510" t="str">
        <f>'1.4.3개발계획현황'!A61</f>
        <v>태양금속공업 이전</v>
      </c>
      <c r="C130" s="2513">
        <f>IF(C$85='1.4.3개발계획현황'!$K61,'1.4.3개발계획현황'!$AA61,0)</f>
        <v>0</v>
      </c>
      <c r="D130" s="1351"/>
      <c r="E130" s="1351"/>
      <c r="F130" s="1351"/>
      <c r="G130" s="1351"/>
      <c r="H130" s="1351"/>
      <c r="I130" s="2513">
        <f>IF(I$85='1.4.3개발계획현황'!$K61,'1.4.3개발계획현황'!$AA61,H132)</f>
        <v>0</v>
      </c>
      <c r="J130" s="1351"/>
      <c r="K130" s="1351"/>
      <c r="L130" s="1351"/>
      <c r="M130" s="1351"/>
      <c r="N130" s="2513">
        <f>IF(N$85='1.4.3개발계획현황'!$K61,'1.4.3개발계획현황'!$AA61,M132)</f>
        <v>0</v>
      </c>
      <c r="O130" s="1351"/>
      <c r="P130" s="1351"/>
      <c r="Q130" s="1351"/>
      <c r="R130" s="1351"/>
      <c r="S130" s="2513">
        <f>IF(S$85='1.4.3개발계획현황'!$K61,'1.4.3개발계획현황'!$AA61,R132)</f>
        <v>0</v>
      </c>
      <c r="T130" s="1351"/>
      <c r="U130" s="1351"/>
      <c r="V130" s="1351"/>
      <c r="W130" s="1351"/>
      <c r="X130" s="2513">
        <f>IF(X$85='1.4.3개발계획현황'!$K61,'1.4.3개발계획현황'!$AA61,W132)</f>
        <v>622</v>
      </c>
      <c r="Y130" s="1371"/>
      <c r="Z130" s="2507"/>
      <c r="AA130" s="1336" t="str">
        <f>CONCATENATE(AA132," 중복제외 전")</f>
        <v>태양금속공업 이전 중복제외 전</v>
      </c>
      <c r="AB130" s="1311">
        <f>ROUND(C130*$AX130,0)</f>
        <v>0</v>
      </c>
      <c r="AC130" s="1311">
        <f>ROUND(D132*$AX130,0)</f>
        <v>0</v>
      </c>
      <c r="AD130" s="1311">
        <f>ROUND(E132*$AX130,0)</f>
        <v>0</v>
      </c>
      <c r="AE130" s="1311">
        <f>ROUND(F132*$AX130,0)</f>
        <v>0</v>
      </c>
      <c r="AF130" s="1311">
        <f>ROUND(G132*$AX130,0)</f>
        <v>0</v>
      </c>
      <c r="AG130" s="1311">
        <f>ROUND(H132*$AX130,0)</f>
        <v>0</v>
      </c>
      <c r="AH130" s="1311">
        <f>ROUND(I130*$AX130,0)</f>
        <v>0</v>
      </c>
      <c r="AI130" s="1311">
        <f>ROUND(J132*$AX130,0)</f>
        <v>0</v>
      </c>
      <c r="AJ130" s="1311">
        <f>ROUND(K132*$AX130,0)</f>
        <v>0</v>
      </c>
      <c r="AK130" s="1311">
        <f>ROUND(L132*$AX130,0)</f>
        <v>0</v>
      </c>
      <c r="AL130" s="1311">
        <f>ROUND(M132*$AX130,0)</f>
        <v>0</v>
      </c>
      <c r="AM130" s="1311">
        <f>ROUND(N130*$AX130,0)</f>
        <v>0</v>
      </c>
      <c r="AN130" s="1311">
        <f>ROUND(O132*$AX130,0)</f>
        <v>0</v>
      </c>
      <c r="AO130" s="1311">
        <f>ROUND(P132*$AX130,0)</f>
        <v>0</v>
      </c>
      <c r="AP130" s="1311">
        <f>ROUND(Q132*$AX130,0)</f>
        <v>0</v>
      </c>
      <c r="AQ130" s="1311">
        <f>ROUND(R132*$AX130,0)</f>
        <v>0</v>
      </c>
      <c r="AR130" s="1311">
        <f>ROUND(S130*$AX130,0)</f>
        <v>0</v>
      </c>
      <c r="AS130" s="1311">
        <f>ROUND(T132*$AX130,0)</f>
        <v>0</v>
      </c>
      <c r="AT130" s="1311">
        <f>ROUND(U132*$AX130,0)</f>
        <v>0</v>
      </c>
      <c r="AU130" s="1311">
        <f>ROUND(V132*$AX130,0)</f>
        <v>0</v>
      </c>
      <c r="AV130" s="1311">
        <f>ROUND(W132*$AX130,0)</f>
        <v>0</v>
      </c>
      <c r="AW130" s="1311">
        <f>ROUND(X130*$AX130,0)</f>
        <v>280</v>
      </c>
      <c r="AX130" s="1347">
        <v>0.45</v>
      </c>
      <c r="AY130" s="1258"/>
      <c r="AZ130" s="1258"/>
      <c r="BH130" s="1366"/>
    </row>
    <row r="131" spans="1:60" s="1257" customFormat="1" ht="21" customHeight="1" thickTop="1">
      <c r="A131" s="2507"/>
      <c r="B131" s="2511"/>
      <c r="C131" s="2513"/>
      <c r="D131" s="1351"/>
      <c r="E131" s="1351"/>
      <c r="F131" s="1351"/>
      <c r="G131" s="1351"/>
      <c r="H131" s="1351"/>
      <c r="I131" s="2513"/>
      <c r="J131" s="1351"/>
      <c r="K131" s="1351"/>
      <c r="L131" s="1351"/>
      <c r="M131" s="1351"/>
      <c r="N131" s="2513"/>
      <c r="O131" s="1351"/>
      <c r="P131" s="1351"/>
      <c r="Q131" s="1351"/>
      <c r="R131" s="1351"/>
      <c r="S131" s="2513"/>
      <c r="T131" s="1351"/>
      <c r="U131" s="1351"/>
      <c r="V131" s="1351"/>
      <c r="W131" s="1351"/>
      <c r="X131" s="2513"/>
      <c r="Y131" s="1371"/>
      <c r="Z131" s="2507"/>
      <c r="AA131" s="1336" t="str">
        <f>CONCATENATE(AA132," 중복제외인구")</f>
        <v>태양금속공업 이전 중복제외인구</v>
      </c>
      <c r="AB131" s="1311">
        <f>ROUND(C130*$AX131,0)</f>
        <v>0</v>
      </c>
      <c r="AC131" s="1275">
        <f>-ROUND(IF(D132&gt;0,VLOOKUP($AA132,'사회적 유입 중복인구 제외근거'!$E$32:$F$38,2,FALSE),0),0)</f>
        <v>0</v>
      </c>
      <c r="AD131" s="1275">
        <f>-ROUND(IF(E132&gt;0,SUMIF('사회적 유입 중복인구 제외근거'!$E$6:$E$53,$AA132,'사회적 유입 중복인구 제외근거'!$F$6:$F$53),0),0)</f>
        <v>0</v>
      </c>
      <c r="AE131" s="1275">
        <f>-ROUND(IF(F132&gt;0,SUMIF('사회적 유입 중복인구 제외근거'!$E$6:$E$53,$AA132,'사회적 유입 중복인구 제외근거'!$F$6:$F$53),0),0)</f>
        <v>0</v>
      </c>
      <c r="AF131" s="1275">
        <f>-ROUND(IF(G132&gt;0,SUMIF('사회적 유입 중복인구 제외근거'!$E$6:$E$53,$AA132,'사회적 유입 중복인구 제외근거'!$F$6:$F$53),0),0)</f>
        <v>0</v>
      </c>
      <c r="AG131" s="1275">
        <f>-ROUND(IF(H132&gt;0,SUMIF('사회적 유입 중복인구 제외근거'!$E$6:$E$53,$AA132,'사회적 유입 중복인구 제외근거'!$F$6:$F$53),0),0)</f>
        <v>0</v>
      </c>
      <c r="AH131" s="1275">
        <f>-ROUND(IF(I130&gt;0,SUMIF('사회적 유입 중복인구 제외근거'!$E$6:$E$53,$AA132,'사회적 유입 중복인구 제외근거'!$F$6:$F$53),0),0)</f>
        <v>0</v>
      </c>
      <c r="AI131" s="1275">
        <f>-ROUND(IF(J132&gt;0,SUMIF('사회적 유입 중복인구 제외근거'!$E$6:$E$53,$AA132,'사회적 유입 중복인구 제외근거'!$F$6:$F$53),0),0)</f>
        <v>0</v>
      </c>
      <c r="AJ131" s="1275">
        <f>-ROUND(IF(K132&gt;0,SUMIF('사회적 유입 중복인구 제외근거'!$E$6:$E$53,$AA132,'사회적 유입 중복인구 제외근거'!$F$6:$F$53),0),0)</f>
        <v>0</v>
      </c>
      <c r="AK131" s="1275">
        <f>-ROUND(IF(L132&gt;0,SUMIF('사회적 유입 중복인구 제외근거'!$E$6:$E$53,$AA132,'사회적 유입 중복인구 제외근거'!$F$6:$F$53),0),0)</f>
        <v>0</v>
      </c>
      <c r="AL131" s="1275">
        <f>-ROUND(IF(M132&gt;0,SUMIF('사회적 유입 중복인구 제외근거'!$E$6:$E$53,$AA132,'사회적 유입 중복인구 제외근거'!$F$6:$F$53),0),0)</f>
        <v>0</v>
      </c>
      <c r="AM131" s="1275">
        <f>-ROUND(IF(N130&gt;0,SUMIF('사회적 유입 중복인구 제외근거'!$E$6:$E$53,$AA132,'사회적 유입 중복인구 제외근거'!$F$6:$F$53),0),0)</f>
        <v>0</v>
      </c>
      <c r="AN131" s="1275">
        <f>-ROUND(IF(O132&gt;0,SUMIF('사회적 유입 중복인구 제외근거'!$E$6:$E$53,$AA132,'사회적 유입 중복인구 제외근거'!$F$6:$F$53),0),0)</f>
        <v>0</v>
      </c>
      <c r="AO131" s="1275">
        <f>-ROUND(IF(P132&gt;0,SUMIF('사회적 유입 중복인구 제외근거'!$E$6:$E$53,$AA132,'사회적 유입 중복인구 제외근거'!$F$6:$F$53),0),0)</f>
        <v>0</v>
      </c>
      <c r="AP131" s="1275">
        <f>-ROUND(IF(Q132&gt;0,SUMIF('사회적 유입 중복인구 제외근거'!$E$6:$E$53,$AA132,'사회적 유입 중복인구 제외근거'!$F$6:$F$53),0),0)</f>
        <v>0</v>
      </c>
      <c r="AQ131" s="1275">
        <f>-ROUND(IF(R132&gt;0,SUMIF('사회적 유입 중복인구 제외근거'!$E$6:$E$53,$AA132,'사회적 유입 중복인구 제외근거'!$F$6:$F$53),0),0)</f>
        <v>0</v>
      </c>
      <c r="AR131" s="1275">
        <f>-ROUND(IF(S130&gt;0,SUMIF('사회적 유입 중복인구 제외근거'!$E$6:$E$53,$AA132,'사회적 유입 중복인구 제외근거'!$F$6:$F$53),0),0)*0.2</f>
        <v>0</v>
      </c>
      <c r="AS131" s="1275">
        <f>-ROUND(IF(T132&gt;0,SUMIF('사회적 유입 중복인구 제외근거'!$E$6:$E$53,$AA132,'사회적 유입 중복인구 제외근거'!$F$6:$F$53),0),0)*0.6</f>
        <v>0</v>
      </c>
      <c r="AT131" s="1275">
        <f>-ROUND(IF(U132&gt;0,SUMIF('사회적 유입 중복인구 제외근거'!$E$6:$E$53,$AA132,'사회적 유입 중복인구 제외근거'!$F$6:$F$53),0),0)</f>
        <v>0</v>
      </c>
      <c r="AU131" s="1275">
        <f>-ROUND(IF(V132&gt;0,SUMIF('사회적 유입 중복인구 제외근거'!$E$6:$E$53,$AA132,'사회적 유입 중복인구 제외근거'!$F$6:$F$53),0),0)</f>
        <v>0</v>
      </c>
      <c r="AV131" s="1275">
        <f>-ROUND(IF(W132&gt;0,SUMIF('사회적 유입 중복인구 제외근거'!$E$6:$E$53,$AA132,'사회적 유입 중복인구 제외근거'!$F$6:$F$53),0),0)</f>
        <v>0</v>
      </c>
      <c r="AW131" s="1275">
        <f>-ROUND(IF(X130&gt;0,SUMIF('사회적 유입 중복인구 제외근거'!$E$6:$E$53,$AA132,'사회적 유입 중복인구 제외근거'!$F$6:$F$53),0),0)</f>
        <v>-280</v>
      </c>
      <c r="AX131" s="1347"/>
      <c r="AY131" s="1258"/>
      <c r="AZ131" s="1258"/>
    </row>
    <row r="132" spans="1:60" s="1257" customFormat="1" ht="21" customHeight="1">
      <c r="A132" s="2507"/>
      <c r="B132" s="2512"/>
      <c r="C132" s="2513"/>
      <c r="D132" s="1311">
        <f>IF(D$85='1.4.3개발계획현황'!$K61,'1.4.3개발계획현황'!$AA61,C130)</f>
        <v>0</v>
      </c>
      <c r="E132" s="1311">
        <f>IF(E$85='1.4.3개발계획현황'!$K61,'1.4.3개발계획현황'!$AA61,D132)</f>
        <v>0</v>
      </c>
      <c r="F132" s="1311">
        <f>IF(F$85='1.4.3개발계획현황'!$K61,'1.4.3개발계획현황'!$AA61,E132)</f>
        <v>0</v>
      </c>
      <c r="G132" s="1311">
        <f>IF(G$85='1.4.3개발계획현황'!$K61,'1.4.3개발계획현황'!$AA61,F132)</f>
        <v>0</v>
      </c>
      <c r="H132" s="1311">
        <f>IF(H$85='1.4.3개발계획현황'!$K61,'1.4.3개발계획현황'!$AA61,G132)</f>
        <v>0</v>
      </c>
      <c r="I132" s="2513"/>
      <c r="J132" s="1311">
        <f>IF(J$85='1.4.3개발계획현황'!$K61,'1.4.3개발계획현황'!$AA61,I130)</f>
        <v>0</v>
      </c>
      <c r="K132" s="1311">
        <f>IF(K$85='1.4.3개발계획현황'!$K61,'1.4.3개발계획현황'!$AA61,J132)</f>
        <v>0</v>
      </c>
      <c r="L132" s="1311">
        <f>IF(L$85='1.4.3개발계획현황'!$K61,'1.4.3개발계획현황'!$AA61,K132)</f>
        <v>0</v>
      </c>
      <c r="M132" s="1311">
        <f>IF(M$85='1.4.3개발계획현황'!$K61,'1.4.3개발계획현황'!$AA61,L132)</f>
        <v>0</v>
      </c>
      <c r="N132" s="2513"/>
      <c r="O132" s="1311">
        <f>IF(O$85='1.4.3개발계획현황'!$K61,'1.4.3개발계획현황'!$AA61,N130)</f>
        <v>0</v>
      </c>
      <c r="P132" s="1311">
        <f>IF(P$85='1.4.3개발계획현황'!$K61,'1.4.3개발계획현황'!$AA61,O132)</f>
        <v>0</v>
      </c>
      <c r="Q132" s="1311">
        <f>IF(Q$85='1.4.3개발계획현황'!$K61,'1.4.3개발계획현황'!$AA61,P132)</f>
        <v>0</v>
      </c>
      <c r="R132" s="1311">
        <f>IF(R$85='1.4.3개발계획현황'!$K61,'1.4.3개발계획현황'!$AA61,Q132)</f>
        <v>0</v>
      </c>
      <c r="S132" s="2513"/>
      <c r="T132" s="1311">
        <f>IF(T$85='1.4.3개발계획현황'!$K61,'1.4.3개발계획현황'!$AA61,S130)</f>
        <v>0</v>
      </c>
      <c r="U132" s="1311">
        <f>IF(U$85='1.4.3개발계획현황'!$K61,'1.4.3개발계획현황'!$AA61,T132)</f>
        <v>0</v>
      </c>
      <c r="V132" s="1311">
        <f>IF(V$85='1.4.3개발계획현황'!$K61,'1.4.3개발계획현황'!$AA61,U132)</f>
        <v>0</v>
      </c>
      <c r="W132" s="1311">
        <f>IF(W$85='1.4.3개발계획현황'!$K61,'1.4.3개발계획현황'!$AA61,V132)</f>
        <v>0</v>
      </c>
      <c r="X132" s="2513"/>
      <c r="Y132" s="1371"/>
      <c r="Z132" s="2507"/>
      <c r="AA132" s="1353" t="str">
        <f>B130</f>
        <v>태양금속공업 이전</v>
      </c>
      <c r="AB132" s="1287">
        <f>ROUND(AB130+AB131,0)</f>
        <v>0</v>
      </c>
      <c r="AC132" s="1337">
        <f t="shared" ref="AC132:AW132" si="348">ROUND(AC130+AC131,0)</f>
        <v>0</v>
      </c>
      <c r="AD132" s="1337">
        <f t="shared" si="348"/>
        <v>0</v>
      </c>
      <c r="AE132" s="1337">
        <f t="shared" si="348"/>
        <v>0</v>
      </c>
      <c r="AF132" s="1337">
        <f t="shared" si="348"/>
        <v>0</v>
      </c>
      <c r="AG132" s="1337">
        <f t="shared" si="348"/>
        <v>0</v>
      </c>
      <c r="AH132" s="1337">
        <f t="shared" si="348"/>
        <v>0</v>
      </c>
      <c r="AI132" s="1337">
        <f t="shared" si="348"/>
        <v>0</v>
      </c>
      <c r="AJ132" s="1337">
        <f t="shared" si="348"/>
        <v>0</v>
      </c>
      <c r="AK132" s="1337">
        <f t="shared" si="348"/>
        <v>0</v>
      </c>
      <c r="AL132" s="1337">
        <f t="shared" si="348"/>
        <v>0</v>
      </c>
      <c r="AM132" s="1337">
        <f t="shared" si="348"/>
        <v>0</v>
      </c>
      <c r="AN132" s="1337">
        <f t="shared" si="348"/>
        <v>0</v>
      </c>
      <c r="AO132" s="1337">
        <f t="shared" si="348"/>
        <v>0</v>
      </c>
      <c r="AP132" s="1337">
        <f t="shared" si="348"/>
        <v>0</v>
      </c>
      <c r="AQ132" s="1337">
        <f t="shared" si="348"/>
        <v>0</v>
      </c>
      <c r="AR132" s="1337">
        <f t="shared" si="348"/>
        <v>0</v>
      </c>
      <c r="AS132" s="1337">
        <f t="shared" si="348"/>
        <v>0</v>
      </c>
      <c r="AT132" s="1337">
        <f t="shared" si="348"/>
        <v>0</v>
      </c>
      <c r="AU132" s="1337">
        <f t="shared" si="348"/>
        <v>0</v>
      </c>
      <c r="AV132" s="1337">
        <f t="shared" si="348"/>
        <v>0</v>
      </c>
      <c r="AW132" s="1337">
        <f t="shared" si="348"/>
        <v>0</v>
      </c>
      <c r="AX132" s="1338"/>
      <c r="AY132" s="1258"/>
      <c r="AZ132" s="1258"/>
    </row>
    <row r="133" spans="1:60" s="1257" customFormat="1" ht="21" customHeight="1">
      <c r="A133" s="2508"/>
      <c r="B133" s="2510" t="str">
        <f>'1.4.3개발계획현황'!A62</f>
        <v>상곡농공단지</v>
      </c>
      <c r="C133" s="2513">
        <f>IF(C$85='1.4.3개발계획현황'!$K62,'1.4.3개발계획현황'!$AA62,0)</f>
        <v>0</v>
      </c>
      <c r="D133" s="1351"/>
      <c r="E133" s="1351"/>
      <c r="F133" s="1351"/>
      <c r="G133" s="1351"/>
      <c r="H133" s="1351"/>
      <c r="I133" s="2513">
        <f>IF(I$85='1.4.3개발계획현황'!$K62,'1.4.3개발계획현황'!$AA62,H135)</f>
        <v>0</v>
      </c>
      <c r="J133" s="1351"/>
      <c r="K133" s="1351"/>
      <c r="L133" s="1351"/>
      <c r="M133" s="1351"/>
      <c r="N133" s="2513">
        <f>IF(N$85='1.4.3개발계획현황'!$K62,'1.4.3개발계획현황'!$AA62,M135)</f>
        <v>0</v>
      </c>
      <c r="O133" s="1351"/>
      <c r="P133" s="1351"/>
      <c r="Q133" s="1351"/>
      <c r="R133" s="1351"/>
      <c r="S133" s="2513">
        <f>IF(S$85='1.4.3개발계획현황'!$K62,'1.4.3개발계획현황'!$AA62,R135)</f>
        <v>0</v>
      </c>
      <c r="T133" s="1351"/>
      <c r="U133" s="1351"/>
      <c r="V133" s="1351"/>
      <c r="W133" s="1351"/>
      <c r="X133" s="2513">
        <f>IF(X$85='1.4.3개발계획현황'!$K62,'1.4.3개발계획현황'!$AA62,W135)</f>
        <v>466</v>
      </c>
      <c r="Y133" s="1372"/>
      <c r="Z133" s="2508"/>
      <c r="AA133" s="1336" t="str">
        <f>CONCATENATE(AA135," 중복제외 전")</f>
        <v>상곡농공단지 중복제외 전</v>
      </c>
      <c r="AB133" s="1311">
        <f>ROUND(C133*$AX133,0)</f>
        <v>0</v>
      </c>
      <c r="AC133" s="1311">
        <f>ROUND(D135*$AX133,0)</f>
        <v>0</v>
      </c>
      <c r="AD133" s="1311">
        <f>ROUND(E135*$AX133,0)</f>
        <v>0</v>
      </c>
      <c r="AE133" s="1311">
        <f>ROUND(F135*$AX133,0)</f>
        <v>0</v>
      </c>
      <c r="AF133" s="1311">
        <f>ROUND(G135*$AX133,0)</f>
        <v>0</v>
      </c>
      <c r="AG133" s="1311">
        <f>ROUND(H135*$AX133,0)</f>
        <v>0</v>
      </c>
      <c r="AH133" s="1311">
        <f>ROUND(I133*$AX133,0)</f>
        <v>0</v>
      </c>
      <c r="AI133" s="1311">
        <f>ROUND(J135*$AX133,0)</f>
        <v>0</v>
      </c>
      <c r="AJ133" s="1311">
        <f>ROUND(K135*$AX133,0)</f>
        <v>0</v>
      </c>
      <c r="AK133" s="1311">
        <f>ROUND(L135*$AX133,0)</f>
        <v>0</v>
      </c>
      <c r="AL133" s="1311">
        <f>ROUND(M135*$AX133,0)</f>
        <v>0</v>
      </c>
      <c r="AM133" s="1311">
        <f>ROUND(N133*$AX133,0)</f>
        <v>0</v>
      </c>
      <c r="AN133" s="1311">
        <f>ROUND(O135*$AX133,0)</f>
        <v>0</v>
      </c>
      <c r="AO133" s="1311">
        <f>ROUND(P135*$AX133,0)</f>
        <v>0</v>
      </c>
      <c r="AP133" s="1311">
        <f>ROUND(Q135*$AX133,0)</f>
        <v>0</v>
      </c>
      <c r="AQ133" s="1311">
        <f>ROUND(R135*$AX133,0)</f>
        <v>0</v>
      </c>
      <c r="AR133" s="1311">
        <f>ROUND(S133*$AX133,0)</f>
        <v>0</v>
      </c>
      <c r="AS133" s="1311">
        <f>ROUND(T135*$AX133,0)</f>
        <v>0</v>
      </c>
      <c r="AT133" s="1311">
        <f>ROUND(U135*$AX133,0)</f>
        <v>0</v>
      </c>
      <c r="AU133" s="1311">
        <f>ROUND(V135*$AX133,0)</f>
        <v>0</v>
      </c>
      <c r="AV133" s="1311">
        <f>ROUND(W135*$AX133,0)</f>
        <v>0</v>
      </c>
      <c r="AW133" s="1311">
        <f>ROUND(X133*$AX133,0)</f>
        <v>210</v>
      </c>
      <c r="AX133" s="1347">
        <v>0.45</v>
      </c>
      <c r="AY133" s="1258"/>
      <c r="AZ133" s="1258"/>
    </row>
    <row r="134" spans="1:60" s="1257" customFormat="1" ht="21" customHeight="1">
      <c r="A134" s="2508"/>
      <c r="B134" s="2511"/>
      <c r="C134" s="2513"/>
      <c r="D134" s="1351"/>
      <c r="E134" s="1351"/>
      <c r="F134" s="1351"/>
      <c r="G134" s="1351"/>
      <c r="H134" s="1351"/>
      <c r="I134" s="2513"/>
      <c r="J134" s="1351"/>
      <c r="K134" s="1351"/>
      <c r="L134" s="1351"/>
      <c r="M134" s="1351"/>
      <c r="N134" s="2513"/>
      <c r="O134" s="1351"/>
      <c r="P134" s="1351"/>
      <c r="Q134" s="1351"/>
      <c r="R134" s="1351"/>
      <c r="S134" s="2513"/>
      <c r="T134" s="1351"/>
      <c r="U134" s="1351"/>
      <c r="V134" s="1351"/>
      <c r="W134" s="1351"/>
      <c r="X134" s="2513"/>
      <c r="Y134" s="1372"/>
      <c r="Z134" s="2508"/>
      <c r="AA134" s="1336" t="str">
        <f>CONCATENATE(AA135," 중복제외인구")</f>
        <v>상곡농공단지 중복제외인구</v>
      </c>
      <c r="AB134" s="1311">
        <f>ROUND(C133*$AX134,0)</f>
        <v>0</v>
      </c>
      <c r="AC134" s="1275">
        <f>-ROUND(IF(D135&gt;0,VLOOKUP($AA135,'사회적 유입 중복인구 제외근거'!$E$32:$F$38,2,FALSE),0),0)</f>
        <v>0</v>
      </c>
      <c r="AD134" s="1275">
        <f>-ROUND(IF(E135&gt;0,SUMIF('사회적 유입 중복인구 제외근거'!$E$6:$E$53,$AA135,'사회적 유입 중복인구 제외근거'!$F$6:$F$53),0),0)</f>
        <v>0</v>
      </c>
      <c r="AE134" s="1275">
        <f>-ROUND(IF(F135&gt;0,SUMIF('사회적 유입 중복인구 제외근거'!$E$6:$E$53,$AA135,'사회적 유입 중복인구 제외근거'!$F$6:$F$53),0),0)</f>
        <v>0</v>
      </c>
      <c r="AF134" s="1275">
        <f>-ROUND(IF(G135&gt;0,SUMIF('사회적 유입 중복인구 제외근거'!$E$6:$E$53,$AA135,'사회적 유입 중복인구 제외근거'!$F$6:$F$53),0),0)</f>
        <v>0</v>
      </c>
      <c r="AG134" s="1275">
        <f>-ROUND(IF(H135&gt;0,SUMIF('사회적 유입 중복인구 제외근거'!$E$6:$E$53,$AA135,'사회적 유입 중복인구 제외근거'!$F$6:$F$53),0),0)</f>
        <v>0</v>
      </c>
      <c r="AH134" s="1275">
        <f>-ROUND(IF(I133&gt;0,SUMIF('사회적 유입 중복인구 제외근거'!$E$6:$E$53,$AA135,'사회적 유입 중복인구 제외근거'!$F$6:$F$53),0),0)</f>
        <v>0</v>
      </c>
      <c r="AI134" s="1275">
        <f>-ROUND(IF(J135&gt;0,SUMIF('사회적 유입 중복인구 제외근거'!$E$6:$E$53,$AA135,'사회적 유입 중복인구 제외근거'!$F$6:$F$53),0),0)</f>
        <v>0</v>
      </c>
      <c r="AJ134" s="1275">
        <f>-ROUND(IF(K135&gt;0,SUMIF('사회적 유입 중복인구 제외근거'!$E$6:$E$53,$AA135,'사회적 유입 중복인구 제외근거'!$F$6:$F$53),0),0)</f>
        <v>0</v>
      </c>
      <c r="AK134" s="1275">
        <f>-ROUND(IF(L135&gt;0,SUMIF('사회적 유입 중복인구 제외근거'!$E$6:$E$53,$AA135,'사회적 유입 중복인구 제외근거'!$F$6:$F$53),0),0)</f>
        <v>0</v>
      </c>
      <c r="AL134" s="1275">
        <f>-ROUND(IF(M135&gt;0,SUMIF('사회적 유입 중복인구 제외근거'!$E$6:$E$53,$AA135,'사회적 유입 중복인구 제외근거'!$F$6:$F$53),0),0)</f>
        <v>0</v>
      </c>
      <c r="AM134" s="1275">
        <f>-ROUND(IF(N133&gt;0,SUMIF('사회적 유입 중복인구 제외근거'!$E$6:$E$53,$AA135,'사회적 유입 중복인구 제외근거'!$F$6:$F$53),0),0)</f>
        <v>0</v>
      </c>
      <c r="AN134" s="1275">
        <f>-ROUND(IF(O135&gt;0,SUMIF('사회적 유입 중복인구 제외근거'!$E$6:$E$53,$AA135,'사회적 유입 중복인구 제외근거'!$F$6:$F$53),0),0)</f>
        <v>0</v>
      </c>
      <c r="AO134" s="1275">
        <f>-ROUND(IF(P135&gt;0,SUMIF('사회적 유입 중복인구 제외근거'!$E$6:$E$53,$AA135,'사회적 유입 중복인구 제외근거'!$F$6:$F$53),0),0)</f>
        <v>0</v>
      </c>
      <c r="AP134" s="1275">
        <f>-ROUND(IF(Q135&gt;0,SUMIF('사회적 유입 중복인구 제외근거'!$E$6:$E$53,$AA135,'사회적 유입 중복인구 제외근거'!$F$6:$F$53),0),0)</f>
        <v>0</v>
      </c>
      <c r="AQ134" s="1275">
        <f>-ROUND(IF(R135&gt;0,SUMIF('사회적 유입 중복인구 제외근거'!$E$6:$E$53,$AA135,'사회적 유입 중복인구 제외근거'!$F$6:$F$53),0),0)</f>
        <v>0</v>
      </c>
      <c r="AR134" s="1275">
        <f>-ROUND(IF(S133&gt;0,SUMIF('사회적 유입 중복인구 제외근거'!$E$6:$E$53,$AA135,'사회적 유입 중복인구 제외근거'!$F$6:$F$53),0),0)*0.2</f>
        <v>0</v>
      </c>
      <c r="AS134" s="1275">
        <f>-ROUND(IF(T135&gt;0,SUMIF('사회적 유입 중복인구 제외근거'!$E$6:$E$53,$AA135,'사회적 유입 중복인구 제외근거'!$F$6:$F$53),0),0)*0.6</f>
        <v>0</v>
      </c>
      <c r="AT134" s="1275">
        <f>-ROUND(IF(U135&gt;0,SUMIF('사회적 유입 중복인구 제외근거'!$E$6:$E$53,$AA135,'사회적 유입 중복인구 제외근거'!$F$6:$F$53),0),0)</f>
        <v>0</v>
      </c>
      <c r="AU134" s="1275">
        <f>-ROUND(IF(V135&gt;0,SUMIF('사회적 유입 중복인구 제외근거'!$E$6:$E$53,$AA135,'사회적 유입 중복인구 제외근거'!$F$6:$F$53),0),0)</f>
        <v>0</v>
      </c>
      <c r="AV134" s="1275">
        <f>-ROUND(IF(W135&gt;0,SUMIF('사회적 유입 중복인구 제외근거'!$E$6:$E$53,$AA135,'사회적 유입 중복인구 제외근거'!$F$6:$F$53),0),0)</f>
        <v>0</v>
      </c>
      <c r="AW134" s="1275">
        <f>-ROUND(IF(X133&gt;0,SUMIF('사회적 유입 중복인구 제외근거'!$E$6:$E$53,$AA135,'사회적 유입 중복인구 제외근거'!$F$6:$F$53),0),0)</f>
        <v>-210</v>
      </c>
      <c r="AX134" s="1347"/>
      <c r="AY134" s="1258"/>
      <c r="AZ134" s="1258"/>
    </row>
    <row r="135" spans="1:60" s="1257" customFormat="1" ht="21" customHeight="1">
      <c r="A135" s="2508"/>
      <c r="B135" s="2512"/>
      <c r="C135" s="2513"/>
      <c r="D135" s="1311">
        <f>IF(D$85='1.4.3개발계획현황'!$K62,'1.4.3개발계획현황'!$AA62,C133)</f>
        <v>0</v>
      </c>
      <c r="E135" s="1311">
        <f>IF(E$85='1.4.3개발계획현황'!$K62,'1.4.3개발계획현황'!$AA62,D135)</f>
        <v>0</v>
      </c>
      <c r="F135" s="1311">
        <f>IF(F$85='1.4.3개발계획현황'!$K62,'1.4.3개발계획현황'!$AA62,E135)</f>
        <v>0</v>
      </c>
      <c r="G135" s="1311">
        <f>IF(G$85='1.4.3개발계획현황'!$K62,'1.4.3개발계획현황'!$AA62,F135)</f>
        <v>0</v>
      </c>
      <c r="H135" s="1311">
        <f>IF(H$85='1.4.3개발계획현황'!$K62,'1.4.3개발계획현황'!$AA62,G135)</f>
        <v>0</v>
      </c>
      <c r="I135" s="2513"/>
      <c r="J135" s="1311">
        <f>IF(J$85='1.4.3개발계획현황'!$K62,'1.4.3개발계획현황'!$AA62,I133)</f>
        <v>0</v>
      </c>
      <c r="K135" s="1311">
        <f>IF(K$85='1.4.3개발계획현황'!$K62,'1.4.3개발계획현황'!$AA62,J135)</f>
        <v>0</v>
      </c>
      <c r="L135" s="1311">
        <f>IF(L$85='1.4.3개발계획현황'!$K62,'1.4.3개발계획현황'!$AA62,K135)</f>
        <v>0</v>
      </c>
      <c r="M135" s="1311">
        <f>IF(M$85='1.4.3개발계획현황'!$K62,'1.4.3개발계획현황'!$AA62,L135)</f>
        <v>0</v>
      </c>
      <c r="N135" s="2513"/>
      <c r="O135" s="1311">
        <f>IF(O$85='1.4.3개발계획현황'!$K62,'1.4.3개발계획현황'!$AA62,N133)</f>
        <v>0</v>
      </c>
      <c r="P135" s="1311">
        <f>IF(P$85='1.4.3개발계획현황'!$K62,'1.4.3개발계획현황'!$AA62,O135)</f>
        <v>0</v>
      </c>
      <c r="Q135" s="1311">
        <f>IF(Q$85='1.4.3개발계획현황'!$K62,'1.4.3개발계획현황'!$AA62,P135)</f>
        <v>0</v>
      </c>
      <c r="R135" s="1311">
        <f>IF(R$85='1.4.3개발계획현황'!$K62,'1.4.3개발계획현황'!$AA62,Q135)</f>
        <v>0</v>
      </c>
      <c r="S135" s="2513"/>
      <c r="T135" s="1311">
        <f>IF(T$85='1.4.3개발계획현황'!$K62,'1.4.3개발계획현황'!$AA62,S133)</f>
        <v>0</v>
      </c>
      <c r="U135" s="1311">
        <f>IF(U$85='1.4.3개발계획현황'!$K62,'1.4.3개발계획현황'!$AA62,T135)</f>
        <v>0</v>
      </c>
      <c r="V135" s="1311">
        <f>IF(V$85='1.4.3개발계획현황'!$K62,'1.4.3개발계획현황'!$AA62,U135)</f>
        <v>0</v>
      </c>
      <c r="W135" s="1311">
        <f>IF(W$85='1.4.3개발계획현황'!$K62,'1.4.3개발계획현황'!$AA62,V135)</f>
        <v>0</v>
      </c>
      <c r="X135" s="2513"/>
      <c r="Y135" s="1372"/>
      <c r="Z135" s="2508"/>
      <c r="AA135" s="1353" t="str">
        <f>B133</f>
        <v>상곡농공단지</v>
      </c>
      <c r="AB135" s="1287">
        <f>ROUND(AB133+AB134,0)</f>
        <v>0</v>
      </c>
      <c r="AC135" s="1337">
        <f t="shared" ref="AC135:AW135" si="349">ROUND(AC133+AC134,0)</f>
        <v>0</v>
      </c>
      <c r="AD135" s="1337">
        <f t="shared" si="349"/>
        <v>0</v>
      </c>
      <c r="AE135" s="1337">
        <f t="shared" si="349"/>
        <v>0</v>
      </c>
      <c r="AF135" s="1337">
        <f t="shared" si="349"/>
        <v>0</v>
      </c>
      <c r="AG135" s="1337">
        <f t="shared" si="349"/>
        <v>0</v>
      </c>
      <c r="AH135" s="1337">
        <f t="shared" si="349"/>
        <v>0</v>
      </c>
      <c r="AI135" s="1337">
        <f t="shared" si="349"/>
        <v>0</v>
      </c>
      <c r="AJ135" s="1337">
        <f t="shared" si="349"/>
        <v>0</v>
      </c>
      <c r="AK135" s="1337">
        <f t="shared" si="349"/>
        <v>0</v>
      </c>
      <c r="AL135" s="1337">
        <f t="shared" si="349"/>
        <v>0</v>
      </c>
      <c r="AM135" s="1337">
        <f t="shared" si="349"/>
        <v>0</v>
      </c>
      <c r="AN135" s="1337">
        <f t="shared" si="349"/>
        <v>0</v>
      </c>
      <c r="AO135" s="1337">
        <f t="shared" si="349"/>
        <v>0</v>
      </c>
      <c r="AP135" s="1337">
        <f t="shared" si="349"/>
        <v>0</v>
      </c>
      <c r="AQ135" s="1337">
        <f t="shared" si="349"/>
        <v>0</v>
      </c>
      <c r="AR135" s="1337">
        <f t="shared" si="349"/>
        <v>0</v>
      </c>
      <c r="AS135" s="1337">
        <f t="shared" si="349"/>
        <v>0</v>
      </c>
      <c r="AT135" s="1337">
        <f t="shared" si="349"/>
        <v>0</v>
      </c>
      <c r="AU135" s="1337">
        <f t="shared" si="349"/>
        <v>0</v>
      </c>
      <c r="AV135" s="1337">
        <f t="shared" si="349"/>
        <v>0</v>
      </c>
      <c r="AW135" s="1337">
        <f t="shared" si="349"/>
        <v>0</v>
      </c>
      <c r="AX135" s="1338"/>
      <c r="AY135" s="1258"/>
      <c r="AZ135" s="1258"/>
    </row>
    <row r="136" spans="1:60" s="1257" customFormat="1" ht="21" customHeight="1">
      <c r="A136" s="2509"/>
      <c r="B136" s="1327" t="s">
        <v>72</v>
      </c>
      <c r="C136" s="1328">
        <f>SUM(C127:C135)</f>
        <v>0</v>
      </c>
      <c r="D136" s="1328">
        <f t="shared" ref="D136" si="350">SUM(D127:D135)</f>
        <v>0</v>
      </c>
      <c r="E136" s="1328">
        <f t="shared" ref="E136" si="351">SUM(E127:E135)</f>
        <v>0</v>
      </c>
      <c r="F136" s="1328">
        <f t="shared" ref="F136" si="352">SUM(F127:F135)</f>
        <v>0</v>
      </c>
      <c r="G136" s="1328">
        <f t="shared" ref="G136" si="353">SUM(G127:G135)</f>
        <v>0</v>
      </c>
      <c r="H136" s="1328">
        <f t="shared" ref="H136" si="354">SUM(H127:H135)</f>
        <v>0</v>
      </c>
      <c r="I136" s="1328">
        <f t="shared" ref="I136" si="355">SUM(I127:I135)</f>
        <v>0</v>
      </c>
      <c r="J136" s="1328">
        <f t="shared" ref="J136" si="356">SUM(J127:J135)</f>
        <v>0</v>
      </c>
      <c r="K136" s="1328">
        <f t="shared" ref="K136" si="357">SUM(K127:K135)</f>
        <v>0</v>
      </c>
      <c r="L136" s="1328">
        <f t="shared" ref="L136" si="358">SUM(L127:L135)</f>
        <v>0</v>
      </c>
      <c r="M136" s="1328">
        <f t="shared" ref="M136" si="359">SUM(M127:M135)</f>
        <v>0</v>
      </c>
      <c r="N136" s="1328">
        <f t="shared" ref="N136" si="360">SUM(N127:N135)</f>
        <v>0</v>
      </c>
      <c r="O136" s="1328">
        <f t="shared" ref="O136" si="361">SUM(O127:O135)</f>
        <v>0</v>
      </c>
      <c r="P136" s="1328">
        <f t="shared" ref="P136" si="362">SUM(P127:P135)</f>
        <v>0</v>
      </c>
      <c r="Q136" s="1328">
        <f t="shared" ref="Q136" si="363">SUM(Q127:Q135)</f>
        <v>0</v>
      </c>
      <c r="R136" s="1328">
        <f t="shared" ref="R136" si="364">SUM(R127:R135)</f>
        <v>0</v>
      </c>
      <c r="S136" s="1328">
        <f t="shared" ref="S136" si="365">SUM(S127:S135)</f>
        <v>0</v>
      </c>
      <c r="T136" s="1328">
        <f t="shared" ref="T136" si="366">SUM(T127:T135)</f>
        <v>0</v>
      </c>
      <c r="U136" s="1328">
        <f t="shared" ref="U136" si="367">SUM(U127:U135)</f>
        <v>0</v>
      </c>
      <c r="V136" s="1328">
        <f t="shared" ref="V136" si="368">SUM(V127:V135)</f>
        <v>0</v>
      </c>
      <c r="W136" s="1328">
        <f t="shared" ref="W136" si="369">SUM(W127:W135)</f>
        <v>0</v>
      </c>
      <c r="X136" s="1328">
        <f t="shared" ref="X136" si="370">SUM(X127:X135)</f>
        <v>1797</v>
      </c>
      <c r="Y136" s="1373"/>
      <c r="Z136" s="2509"/>
      <c r="AA136" s="1327" t="s">
        <v>72</v>
      </c>
      <c r="AB136" s="1328">
        <f>SUM(AB129,AB132,AB135)</f>
        <v>0</v>
      </c>
      <c r="AC136" s="1328">
        <f t="shared" ref="AC136" si="371">SUM(AC129,AC132,AC135)</f>
        <v>0</v>
      </c>
      <c r="AD136" s="1328">
        <f t="shared" ref="AD136" si="372">SUM(AD129,AD132,AD135)</f>
        <v>0</v>
      </c>
      <c r="AE136" s="1328">
        <f t="shared" ref="AE136" si="373">SUM(AE129,AE132,AE135)</f>
        <v>0</v>
      </c>
      <c r="AF136" s="1328">
        <f t="shared" ref="AF136" si="374">SUM(AF129,AF132,AF135)</f>
        <v>0</v>
      </c>
      <c r="AG136" s="1328">
        <f t="shared" ref="AG136" si="375">SUM(AG129,AG132,AG135)</f>
        <v>0</v>
      </c>
      <c r="AH136" s="1328">
        <f t="shared" ref="AH136" si="376">SUM(AH129,AH132,AH135)</f>
        <v>0</v>
      </c>
      <c r="AI136" s="1328">
        <f t="shared" ref="AI136" si="377">SUM(AI129,AI132,AI135)</f>
        <v>0</v>
      </c>
      <c r="AJ136" s="1328">
        <f t="shared" ref="AJ136" si="378">SUM(AJ129,AJ132,AJ135)</f>
        <v>0</v>
      </c>
      <c r="AK136" s="1328">
        <f t="shared" ref="AK136" si="379">SUM(AK129,AK132,AK135)</f>
        <v>0</v>
      </c>
      <c r="AL136" s="1328">
        <f t="shared" ref="AL136" si="380">SUM(AL129,AL132,AL135)</f>
        <v>0</v>
      </c>
      <c r="AM136" s="1328">
        <f t="shared" ref="AM136" si="381">SUM(AM129,AM132,AM135)</f>
        <v>0</v>
      </c>
      <c r="AN136" s="1328">
        <f t="shared" ref="AN136" si="382">SUM(AN129,AN132,AN135)</f>
        <v>0</v>
      </c>
      <c r="AO136" s="1328">
        <f t="shared" ref="AO136" si="383">SUM(AO129,AO132,AO135)</f>
        <v>0</v>
      </c>
      <c r="AP136" s="1328">
        <f t="shared" ref="AP136" si="384">SUM(AP129,AP132,AP135)</f>
        <v>0</v>
      </c>
      <c r="AQ136" s="1328">
        <f t="shared" ref="AQ136" si="385">SUM(AQ129,AQ132,AQ135)</f>
        <v>0</v>
      </c>
      <c r="AR136" s="1328">
        <f t="shared" ref="AR136" si="386">SUM(AR129,AR132,AR135)</f>
        <v>0</v>
      </c>
      <c r="AS136" s="1328">
        <f t="shared" ref="AS136" si="387">SUM(AS129,AS132,AS135)</f>
        <v>0</v>
      </c>
      <c r="AT136" s="1328">
        <f t="shared" ref="AT136" si="388">SUM(AT129,AT132,AT135)</f>
        <v>0</v>
      </c>
      <c r="AU136" s="1328">
        <f t="shared" ref="AU136" si="389">SUM(AU129,AU132,AU135)</f>
        <v>0</v>
      </c>
      <c r="AV136" s="1328">
        <f t="shared" ref="AV136" si="390">SUM(AV129,AV132,AV135)</f>
        <v>0</v>
      </c>
      <c r="AW136" s="1328">
        <f t="shared" ref="AW136" si="391">SUM(AW129,AW132,AW135)</f>
        <v>0</v>
      </c>
      <c r="AX136" s="1368"/>
      <c r="AY136" s="1258"/>
      <c r="AZ136" s="1258"/>
    </row>
    <row r="137" spans="1:60" s="1257" customFormat="1" ht="21" customHeight="1">
      <c r="A137" s="1292" t="s">
        <v>79</v>
      </c>
      <c r="B137" s="1293"/>
      <c r="C137" s="1294">
        <f>SUM(C124,C126,C136)</f>
        <v>0</v>
      </c>
      <c r="D137" s="1294">
        <f t="shared" ref="D137:X137" si="392">SUM(D124,D126,D136)</f>
        <v>0</v>
      </c>
      <c r="E137" s="1294">
        <f t="shared" si="392"/>
        <v>0</v>
      </c>
      <c r="F137" s="1294">
        <f t="shared" si="392"/>
        <v>0</v>
      </c>
      <c r="G137" s="1294">
        <f t="shared" si="392"/>
        <v>0</v>
      </c>
      <c r="H137" s="1294">
        <f t="shared" si="392"/>
        <v>0</v>
      </c>
      <c r="I137" s="1294">
        <f t="shared" si="392"/>
        <v>0</v>
      </c>
      <c r="J137" s="1294">
        <f t="shared" si="392"/>
        <v>0</v>
      </c>
      <c r="K137" s="1294">
        <f t="shared" si="392"/>
        <v>0</v>
      </c>
      <c r="L137" s="1294">
        <f t="shared" si="392"/>
        <v>0</v>
      </c>
      <c r="M137" s="1294">
        <f t="shared" si="392"/>
        <v>0</v>
      </c>
      <c r="N137" s="1294">
        <f t="shared" si="392"/>
        <v>976</v>
      </c>
      <c r="O137" s="1294">
        <f t="shared" si="392"/>
        <v>976</v>
      </c>
      <c r="P137" s="1294">
        <f t="shared" si="392"/>
        <v>976</v>
      </c>
      <c r="Q137" s="1294">
        <f t="shared" si="392"/>
        <v>976</v>
      </c>
      <c r="R137" s="1294">
        <f t="shared" si="392"/>
        <v>976</v>
      </c>
      <c r="S137" s="1294">
        <f t="shared" si="392"/>
        <v>976</v>
      </c>
      <c r="T137" s="1294">
        <f t="shared" si="392"/>
        <v>976</v>
      </c>
      <c r="U137" s="1294">
        <f t="shared" si="392"/>
        <v>976</v>
      </c>
      <c r="V137" s="1294">
        <f t="shared" si="392"/>
        <v>976</v>
      </c>
      <c r="W137" s="1294">
        <f t="shared" si="392"/>
        <v>976</v>
      </c>
      <c r="X137" s="1294">
        <f t="shared" si="392"/>
        <v>7213</v>
      </c>
      <c r="Y137" s="1295"/>
      <c r="Z137" s="1292" t="s">
        <v>79</v>
      </c>
      <c r="AA137" s="1293"/>
      <c r="AB137" s="1294">
        <f>SUM(AB124,AB126,AB136)</f>
        <v>0</v>
      </c>
      <c r="AC137" s="1294">
        <f t="shared" ref="AC137:AW137" si="393">SUM(AC124,AC126,AC136)</f>
        <v>0</v>
      </c>
      <c r="AD137" s="1294">
        <f t="shared" si="393"/>
        <v>0</v>
      </c>
      <c r="AE137" s="1294">
        <f t="shared" si="393"/>
        <v>0</v>
      </c>
      <c r="AF137" s="1294">
        <f t="shared" si="393"/>
        <v>0</v>
      </c>
      <c r="AG137" s="1294">
        <f t="shared" si="393"/>
        <v>0</v>
      </c>
      <c r="AH137" s="1294">
        <f t="shared" si="393"/>
        <v>0</v>
      </c>
      <c r="AI137" s="1294">
        <f t="shared" si="393"/>
        <v>0</v>
      </c>
      <c r="AJ137" s="1294">
        <f t="shared" si="393"/>
        <v>0</v>
      </c>
      <c r="AK137" s="1294">
        <f t="shared" si="393"/>
        <v>0</v>
      </c>
      <c r="AL137" s="1294">
        <f t="shared" si="393"/>
        <v>0</v>
      </c>
      <c r="AM137" s="1294">
        <f t="shared" si="393"/>
        <v>537</v>
      </c>
      <c r="AN137" s="1294">
        <f t="shared" si="393"/>
        <v>537</v>
      </c>
      <c r="AO137" s="1294">
        <f t="shared" si="393"/>
        <v>537</v>
      </c>
      <c r="AP137" s="1294">
        <f t="shared" si="393"/>
        <v>537</v>
      </c>
      <c r="AQ137" s="1294">
        <f t="shared" si="393"/>
        <v>537</v>
      </c>
      <c r="AR137" s="1294">
        <f t="shared" si="393"/>
        <v>537</v>
      </c>
      <c r="AS137" s="1294">
        <f t="shared" si="393"/>
        <v>537</v>
      </c>
      <c r="AT137" s="1294">
        <f t="shared" si="393"/>
        <v>537</v>
      </c>
      <c r="AU137" s="1294">
        <f t="shared" si="393"/>
        <v>537</v>
      </c>
      <c r="AV137" s="1294">
        <f t="shared" si="393"/>
        <v>537</v>
      </c>
      <c r="AW137" s="1294">
        <f t="shared" si="393"/>
        <v>3645</v>
      </c>
      <c r="AX137" s="1295"/>
      <c r="AY137" s="1258"/>
      <c r="AZ137" s="1258"/>
    </row>
    <row r="138" spans="1:60" ht="9.9499999999999993" customHeight="1">
      <c r="A138" s="1264"/>
      <c r="B138" s="1254"/>
      <c r="C138" s="1255"/>
      <c r="D138" s="1255"/>
      <c r="E138" s="1255"/>
      <c r="F138" s="1255"/>
      <c r="G138" s="1255"/>
      <c r="H138" s="1255"/>
      <c r="I138" s="1255"/>
      <c r="J138" s="1255"/>
      <c r="K138" s="1255"/>
      <c r="L138" s="1255"/>
      <c r="M138" s="1255"/>
      <c r="N138" s="1255"/>
      <c r="O138" s="1255"/>
      <c r="P138" s="1256"/>
      <c r="Q138" s="1255"/>
      <c r="R138" s="1255"/>
      <c r="S138" s="1255"/>
      <c r="T138" s="1255"/>
      <c r="U138" s="1256"/>
      <c r="V138" s="1256"/>
      <c r="W138" s="1256"/>
      <c r="X138" s="1256"/>
      <c r="Y138" s="1254"/>
      <c r="Z138" s="1264"/>
      <c r="AA138" s="1267"/>
      <c r="AB138" s="1255"/>
      <c r="AC138" s="1255"/>
      <c r="AD138" s="1255"/>
      <c r="AE138" s="1255"/>
      <c r="AF138" s="1255"/>
      <c r="AG138" s="1255"/>
      <c r="AH138" s="1255"/>
      <c r="AI138" s="1255"/>
      <c r="AJ138" s="1255"/>
      <c r="AK138" s="1255"/>
      <c r="AL138" s="1255"/>
      <c r="AM138" s="1255"/>
      <c r="AN138" s="1255"/>
      <c r="AO138" s="1256"/>
      <c r="AP138" s="1255"/>
      <c r="AQ138" s="1255"/>
      <c r="AR138" s="1255"/>
      <c r="AS138" s="1255"/>
      <c r="AT138" s="1256"/>
      <c r="AU138" s="1256"/>
      <c r="AV138" s="1256"/>
      <c r="AW138" s="1256"/>
      <c r="AX138" s="1254"/>
      <c r="AY138" s="1278">
        <f>ROUND(X119*0.13,0)</f>
        <v>2502</v>
      </c>
      <c r="BH138" s="1296"/>
    </row>
    <row r="139" spans="1:60" s="1257" customFormat="1" ht="21" customHeight="1">
      <c r="A139" s="1264" t="s">
        <v>1440</v>
      </c>
      <c r="B139" s="1254"/>
      <c r="C139" s="1255"/>
      <c r="D139" s="1255"/>
      <c r="E139" s="1255"/>
      <c r="F139" s="1255"/>
      <c r="G139" s="1255"/>
      <c r="H139" s="1255"/>
      <c r="I139" s="1255"/>
      <c r="J139" s="1255"/>
      <c r="K139" s="1255"/>
      <c r="L139" s="1255"/>
      <c r="M139" s="1255"/>
      <c r="N139" s="1255"/>
      <c r="O139" s="1255"/>
      <c r="P139" s="1256"/>
      <c r="Q139" s="1255"/>
      <c r="R139" s="1255"/>
      <c r="S139" s="1255"/>
      <c r="T139" s="1255"/>
      <c r="U139" s="1256"/>
      <c r="V139" s="1256"/>
      <c r="W139" s="1256"/>
      <c r="X139" s="1333"/>
      <c r="Y139" s="1334" t="s">
        <v>70</v>
      </c>
      <c r="Z139" s="1264" t="s">
        <v>1440</v>
      </c>
      <c r="AA139" s="1267"/>
      <c r="AB139" s="1255"/>
      <c r="AC139" s="1255"/>
      <c r="AD139" s="1255"/>
      <c r="AE139" s="1255"/>
      <c r="AF139" s="1255"/>
      <c r="AG139" s="1255"/>
      <c r="AH139" s="1255"/>
      <c r="AI139" s="1255"/>
      <c r="AJ139" s="1255"/>
      <c r="AK139" s="1255"/>
      <c r="AL139" s="1255"/>
      <c r="AM139" s="1255"/>
      <c r="AN139" s="1255"/>
      <c r="AO139" s="1256"/>
      <c r="AP139" s="1255"/>
      <c r="AQ139" s="1255"/>
      <c r="AR139" s="1255"/>
      <c r="AS139" s="1255"/>
      <c r="AT139" s="1256"/>
      <c r="AU139" s="1256"/>
      <c r="AV139" s="1256"/>
      <c r="AW139" s="1256"/>
      <c r="AX139" s="1266" t="s">
        <v>70</v>
      </c>
      <c r="AY139" s="1258"/>
      <c r="AZ139" s="1258"/>
    </row>
    <row r="140" spans="1:60" s="1257" customFormat="1" ht="21" customHeight="1">
      <c r="A140" s="1268" t="s">
        <v>71</v>
      </c>
      <c r="B140" s="1269"/>
      <c r="C140" s="1270">
        <v>2014</v>
      </c>
      <c r="D140" s="1270">
        <v>2015</v>
      </c>
      <c r="E140" s="1270">
        <v>2016</v>
      </c>
      <c r="F140" s="1270">
        <v>2017</v>
      </c>
      <c r="G140" s="1270">
        <v>2018</v>
      </c>
      <c r="H140" s="1270">
        <v>2019</v>
      </c>
      <c r="I140" s="1270">
        <v>2020</v>
      </c>
      <c r="J140" s="1270">
        <v>2021</v>
      </c>
      <c r="K140" s="1270">
        <v>2022</v>
      </c>
      <c r="L140" s="1270">
        <v>2023</v>
      </c>
      <c r="M140" s="1270">
        <v>2024</v>
      </c>
      <c r="N140" s="1270">
        <v>2025</v>
      </c>
      <c r="O140" s="1270">
        <v>2026</v>
      </c>
      <c r="P140" s="1270">
        <v>2027</v>
      </c>
      <c r="Q140" s="1270">
        <v>2028</v>
      </c>
      <c r="R140" s="1270">
        <v>2029</v>
      </c>
      <c r="S140" s="1270">
        <v>2030</v>
      </c>
      <c r="T140" s="1270">
        <v>2031</v>
      </c>
      <c r="U140" s="1270">
        <v>2032</v>
      </c>
      <c r="V140" s="1270">
        <v>2033</v>
      </c>
      <c r="W140" s="1270">
        <v>2034</v>
      </c>
      <c r="X140" s="1270">
        <v>2035</v>
      </c>
      <c r="Y140" s="1271" t="s">
        <v>49</v>
      </c>
      <c r="Z140" s="1268" t="s">
        <v>71</v>
      </c>
      <c r="AA140" s="1269"/>
      <c r="AB140" s="1270">
        <v>2014</v>
      </c>
      <c r="AC140" s="1270">
        <v>2015</v>
      </c>
      <c r="AD140" s="1270">
        <v>2016</v>
      </c>
      <c r="AE140" s="1270">
        <v>2017</v>
      </c>
      <c r="AF140" s="1270">
        <v>2018</v>
      </c>
      <c r="AG140" s="1270">
        <v>2019</v>
      </c>
      <c r="AH140" s="1270">
        <v>2020</v>
      </c>
      <c r="AI140" s="1270">
        <v>2021</v>
      </c>
      <c r="AJ140" s="1270">
        <v>2022</v>
      </c>
      <c r="AK140" s="1270">
        <v>2023</v>
      </c>
      <c r="AL140" s="1270">
        <v>2024</v>
      </c>
      <c r="AM140" s="1270">
        <v>2025</v>
      </c>
      <c r="AN140" s="1270">
        <v>2026</v>
      </c>
      <c r="AO140" s="1270">
        <v>2027</v>
      </c>
      <c r="AP140" s="1270">
        <v>2028</v>
      </c>
      <c r="AQ140" s="1270">
        <v>2029</v>
      </c>
      <c r="AR140" s="1270">
        <v>2030</v>
      </c>
      <c r="AS140" s="1270">
        <v>2031</v>
      </c>
      <c r="AT140" s="1270">
        <v>2032</v>
      </c>
      <c r="AU140" s="1270">
        <v>2033</v>
      </c>
      <c r="AV140" s="1270">
        <v>2034</v>
      </c>
      <c r="AW140" s="1270">
        <v>2035</v>
      </c>
      <c r="AX140" s="1271" t="s">
        <v>97</v>
      </c>
      <c r="AY140" s="1258"/>
      <c r="AZ140" s="1258"/>
    </row>
    <row r="141" spans="1:60" ht="20.100000000000001" customHeight="1">
      <c r="A141" s="2521" t="s">
        <v>94</v>
      </c>
      <c r="B141" s="1369" t="str">
        <f>'1.4.3개발계획현황'!A12</f>
        <v>생극택지지구</v>
      </c>
      <c r="C141" s="1306">
        <f>IF(C$140='1.4.3개발계획현황'!$K12,'1.4.3개발계획현황'!$AA12,0)</f>
        <v>0</v>
      </c>
      <c r="D141" s="1306">
        <f>IF(D$140='1.4.3개발계획현황'!$K12,'1.4.3개발계획현황'!$AA12,C141)</f>
        <v>0</v>
      </c>
      <c r="E141" s="1306">
        <f>IF(E$140='1.4.3개발계획현황'!$K12,'1.4.3개발계획현황'!$AA12,D141)</f>
        <v>0</v>
      </c>
      <c r="F141" s="1306">
        <f>IF(F$140='1.4.3개발계획현황'!$K12,'1.4.3개발계획현황'!$AA12,E141)</f>
        <v>0</v>
      </c>
      <c r="G141" s="1306">
        <f>IF(G$140='1.4.3개발계획현황'!$K12,'1.4.3개발계획현황'!$AA12,F141)</f>
        <v>0</v>
      </c>
      <c r="H141" s="1306">
        <f>IF(H$140='1.4.3개발계획현황'!$K12,'1.4.3개발계획현황'!$AA12,G141)</f>
        <v>0</v>
      </c>
      <c r="I141" s="1306">
        <f>IF(I$140='1.4.3개발계획현황'!$K12,'1.4.3개발계획현황'!$AA12,H141)</f>
        <v>0</v>
      </c>
      <c r="J141" s="1306">
        <f>IF(J$140='1.4.3개발계획현황'!$K12,'1.4.3개발계획현황'!$AA12,I141)</f>
        <v>0</v>
      </c>
      <c r="K141" s="1306">
        <f>IF(K$140='1.4.3개발계획현황'!$K12,'1.4.3개발계획현황'!$AA12,J141)</f>
        <v>0</v>
      </c>
      <c r="L141" s="1306">
        <f>IF(L$140='1.4.3개발계획현황'!$K12,'1.4.3개발계획현황'!$AA12,K141)</f>
        <v>0</v>
      </c>
      <c r="M141" s="1306">
        <f>IF(M$140='1.4.3개발계획현황'!$K12,'1.4.3개발계획현황'!$AA12,L141)</f>
        <v>0</v>
      </c>
      <c r="N141" s="1306">
        <f>IF(N$140='1.4.3개발계획현황'!$K12,'1.4.3개발계획현황'!$AA12,M141)</f>
        <v>0</v>
      </c>
      <c r="O141" s="1306">
        <f>IF(O$140='1.4.3개발계획현황'!$K12,'1.4.3개발계획현황'!$AA12,N141)</f>
        <v>0</v>
      </c>
      <c r="P141" s="1306">
        <f>IF(P$140='1.4.3개발계획현황'!$K12,'1.4.3개발계획현황'!$AA12,O141)</f>
        <v>0</v>
      </c>
      <c r="Q141" s="1306">
        <f>IF(Q$140='1.4.3개발계획현황'!$K12,'1.4.3개발계획현황'!$AA12,P141)</f>
        <v>0</v>
      </c>
      <c r="R141" s="1306">
        <f>IF(R$140='1.4.3개발계획현황'!$K12,'1.4.3개발계획현황'!$AA12,Q141)</f>
        <v>0</v>
      </c>
      <c r="S141" s="1306">
        <f>IF(S$140='1.4.3개발계획현황'!$K12,'1.4.3개발계획현황'!$AA12,R141)</f>
        <v>0</v>
      </c>
      <c r="T141" s="1306">
        <f>IF(T$140='1.4.3개발계획현황'!$K12,'1.4.3개발계획현황'!$AA12,S141)</f>
        <v>0</v>
      </c>
      <c r="U141" s="1306">
        <f>IF(U$140='1.4.3개발계획현황'!$K12,'1.4.3개발계획현황'!$AA12,T141)</f>
        <v>0</v>
      </c>
      <c r="V141" s="1306">
        <f>IF(V$140='1.4.3개발계획현황'!$K12,'1.4.3개발계획현황'!$AA12,U141)</f>
        <v>0</v>
      </c>
      <c r="W141" s="1306">
        <f>IF(W$140='1.4.3개발계획현황'!$K12,'1.4.3개발계획현황'!$AA12,V141)</f>
        <v>0</v>
      </c>
      <c r="X141" s="1306">
        <f>IF(X$140='1.4.3개발계획현황'!$K12,'1.4.3개발계획현황'!$AA12,W141)</f>
        <v>3330</v>
      </c>
      <c r="Y141" s="1370"/>
      <c r="Z141" s="2521" t="str">
        <f>A141</f>
        <v>도시개발사업</v>
      </c>
      <c r="AA141" s="1305" t="str">
        <f>B141</f>
        <v>생극택지지구</v>
      </c>
      <c r="AB141" s="1306">
        <f t="shared" ref="AB141" si="394">ROUND(C141*$AX141,0)</f>
        <v>0</v>
      </c>
      <c r="AC141" s="1306">
        <f>ROUND(D141*$AX141,0)</f>
        <v>0</v>
      </c>
      <c r="AD141" s="1306">
        <f t="shared" ref="AD141" si="395">ROUND(E141*$AX141,0)</f>
        <v>0</v>
      </c>
      <c r="AE141" s="1306">
        <f t="shared" ref="AE141" si="396">ROUND(F141*$AX141,0)</f>
        <v>0</v>
      </c>
      <c r="AF141" s="1306">
        <f t="shared" ref="AF141" si="397">ROUND(G141*$AX141,0)</f>
        <v>0</v>
      </c>
      <c r="AG141" s="1306">
        <f t="shared" ref="AG141" si="398">ROUND(H141*$AX141,0)</f>
        <v>0</v>
      </c>
      <c r="AH141" s="1306">
        <f t="shared" ref="AH141" si="399">ROUND(I141*$AX141,0)</f>
        <v>0</v>
      </c>
      <c r="AI141" s="1306">
        <f t="shared" ref="AI141" si="400">ROUND(J141*$AX141,0)</f>
        <v>0</v>
      </c>
      <c r="AJ141" s="1306">
        <f t="shared" ref="AJ141" si="401">ROUND(K141*$AX141,0)</f>
        <v>0</v>
      </c>
      <c r="AK141" s="1306">
        <f t="shared" ref="AK141" si="402">ROUND(L141*$AX141,0)</f>
        <v>0</v>
      </c>
      <c r="AL141" s="1306">
        <f t="shared" ref="AL141" si="403">ROUND(M141*$AX141,0)</f>
        <v>0</v>
      </c>
      <c r="AM141" s="1306">
        <f t="shared" ref="AM141" si="404">ROUND(N141*$AX141,0)</f>
        <v>0</v>
      </c>
      <c r="AN141" s="1306">
        <f t="shared" ref="AN141" si="405">ROUND(O141*$AX141,0)</f>
        <v>0</v>
      </c>
      <c r="AO141" s="1306">
        <f t="shared" ref="AO141" si="406">ROUND(P141*$AX141,0)</f>
        <v>0</v>
      </c>
      <c r="AP141" s="1306">
        <f t="shared" ref="AP141" si="407">ROUND(Q141*$AX141,0)</f>
        <v>0</v>
      </c>
      <c r="AQ141" s="1306">
        <f t="shared" ref="AQ141" si="408">ROUND(R141*$AX141,0)</f>
        <v>0</v>
      </c>
      <c r="AR141" s="1306">
        <f t="shared" ref="AR141" si="409">ROUND(S141*$AX141,0)</f>
        <v>0</v>
      </c>
      <c r="AS141" s="1306">
        <f t="shared" ref="AS141" si="410">ROUND(T141*$AX141,0)</f>
        <v>0</v>
      </c>
      <c r="AT141" s="1306">
        <f t="shared" ref="AT141" si="411">ROUND(U141*$AX141,0)</f>
        <v>0</v>
      </c>
      <c r="AU141" s="1306">
        <f t="shared" ref="AU141" si="412">ROUND(V141*$AX141,0)</f>
        <v>0</v>
      </c>
      <c r="AV141" s="1306">
        <f t="shared" ref="AV141" si="413">ROUND(W141*$AX141,0)</f>
        <v>0</v>
      </c>
      <c r="AW141" s="1306">
        <f t="shared" ref="AW141" si="414">ROUND(X141*$AX141,0)</f>
        <v>2331</v>
      </c>
      <c r="AX141" s="1307">
        <v>0.7</v>
      </c>
      <c r="AY141" s="1302"/>
    </row>
    <row r="142" spans="1:60" ht="20.100000000000001" customHeight="1">
      <c r="A142" s="2522"/>
      <c r="B142" s="1279" t="s">
        <v>72</v>
      </c>
      <c r="C142" s="1280">
        <f>SUM(C141)</f>
        <v>0</v>
      </c>
      <c r="D142" s="1280">
        <f>SUM(D141)</f>
        <v>0</v>
      </c>
      <c r="E142" s="1280">
        <f t="shared" ref="E142:X142" si="415">SUM(E141)</f>
        <v>0</v>
      </c>
      <c r="F142" s="1280">
        <f t="shared" si="415"/>
        <v>0</v>
      </c>
      <c r="G142" s="1280">
        <f t="shared" si="415"/>
        <v>0</v>
      </c>
      <c r="H142" s="1280">
        <f t="shared" si="415"/>
        <v>0</v>
      </c>
      <c r="I142" s="1280">
        <f t="shared" si="415"/>
        <v>0</v>
      </c>
      <c r="J142" s="1280">
        <f t="shared" si="415"/>
        <v>0</v>
      </c>
      <c r="K142" s="1280">
        <f t="shared" si="415"/>
        <v>0</v>
      </c>
      <c r="L142" s="1280">
        <f t="shared" si="415"/>
        <v>0</v>
      </c>
      <c r="M142" s="1280">
        <f t="shared" si="415"/>
        <v>0</v>
      </c>
      <c r="N142" s="1280">
        <f t="shared" si="415"/>
        <v>0</v>
      </c>
      <c r="O142" s="1280">
        <f t="shared" si="415"/>
        <v>0</v>
      </c>
      <c r="P142" s="1280">
        <f t="shared" si="415"/>
        <v>0</v>
      </c>
      <c r="Q142" s="1280">
        <f t="shared" si="415"/>
        <v>0</v>
      </c>
      <c r="R142" s="1280">
        <f t="shared" si="415"/>
        <v>0</v>
      </c>
      <c r="S142" s="1280">
        <f t="shared" si="415"/>
        <v>0</v>
      </c>
      <c r="T142" s="1280">
        <f t="shared" si="415"/>
        <v>0</v>
      </c>
      <c r="U142" s="1280">
        <f t="shared" si="415"/>
        <v>0</v>
      </c>
      <c r="V142" s="1280">
        <f t="shared" si="415"/>
        <v>0</v>
      </c>
      <c r="W142" s="1280">
        <f t="shared" si="415"/>
        <v>0</v>
      </c>
      <c r="X142" s="1280">
        <f t="shared" si="415"/>
        <v>3330</v>
      </c>
      <c r="Y142" s="1281"/>
      <c r="Z142" s="2522"/>
      <c r="AA142" s="1279" t="s">
        <v>72</v>
      </c>
      <c r="AB142" s="1280">
        <f t="shared" ref="AB142:AT142" si="416">SUM(AB141)</f>
        <v>0</v>
      </c>
      <c r="AC142" s="1280">
        <f t="shared" si="416"/>
        <v>0</v>
      </c>
      <c r="AD142" s="1280">
        <f t="shared" si="416"/>
        <v>0</v>
      </c>
      <c r="AE142" s="1280">
        <f t="shared" si="416"/>
        <v>0</v>
      </c>
      <c r="AF142" s="1280">
        <f t="shared" si="416"/>
        <v>0</v>
      </c>
      <c r="AG142" s="1280">
        <f t="shared" si="416"/>
        <v>0</v>
      </c>
      <c r="AH142" s="1280">
        <f t="shared" si="416"/>
        <v>0</v>
      </c>
      <c r="AI142" s="1280">
        <f t="shared" si="416"/>
        <v>0</v>
      </c>
      <c r="AJ142" s="1280">
        <f t="shared" si="416"/>
        <v>0</v>
      </c>
      <c r="AK142" s="1280">
        <f t="shared" si="416"/>
        <v>0</v>
      </c>
      <c r="AL142" s="1280">
        <f t="shared" si="416"/>
        <v>0</v>
      </c>
      <c r="AM142" s="1280">
        <f t="shared" si="416"/>
        <v>0</v>
      </c>
      <c r="AN142" s="1280">
        <f t="shared" si="416"/>
        <v>0</v>
      </c>
      <c r="AO142" s="1280">
        <f t="shared" si="416"/>
        <v>0</v>
      </c>
      <c r="AP142" s="1280">
        <f t="shared" si="416"/>
        <v>0</v>
      </c>
      <c r="AQ142" s="1280">
        <f t="shared" si="416"/>
        <v>0</v>
      </c>
      <c r="AR142" s="1280">
        <f t="shared" si="416"/>
        <v>0</v>
      </c>
      <c r="AS142" s="1280">
        <f t="shared" si="416"/>
        <v>0</v>
      </c>
      <c r="AT142" s="1280">
        <f t="shared" si="416"/>
        <v>0</v>
      </c>
      <c r="AU142" s="1280">
        <f>SUM(AU141)</f>
        <v>0</v>
      </c>
      <c r="AV142" s="1280">
        <f>SUM(AV141)</f>
        <v>0</v>
      </c>
      <c r="AW142" s="1280">
        <f>SUM(AW141)</f>
        <v>2331</v>
      </c>
      <c r="AX142" s="1281"/>
      <c r="AY142" s="1302"/>
    </row>
    <row r="143" spans="1:60" s="1257" customFormat="1" ht="21" customHeight="1">
      <c r="A143" s="2539" t="s">
        <v>95</v>
      </c>
      <c r="B143" s="1274" t="str">
        <f>'1.4.3개발계획현황'!A34</f>
        <v>태경에코그린</v>
      </c>
      <c r="C143" s="1275">
        <f>IF(C$140='1.4.3개발계획현황'!$K34,'1.4.3개발계획현황'!$AA34,0)</f>
        <v>0</v>
      </c>
      <c r="D143" s="1275">
        <f>IF(D$140='1.4.3개발계획현황'!$K34,'1.4.3개발계획현황'!$AA34,C143)</f>
        <v>0</v>
      </c>
      <c r="E143" s="1275">
        <f>IF(E$140='1.4.3개발계획현황'!$K34,'1.4.3개발계획현황'!$AA34,D143)</f>
        <v>0</v>
      </c>
      <c r="F143" s="1275">
        <f>IF(F$140='1.4.3개발계획현황'!$K34,'1.4.3개발계획현황'!$AA34,E143)</f>
        <v>0</v>
      </c>
      <c r="G143" s="1275">
        <f>IF(G$140='1.4.3개발계획현황'!$K34,'1.4.3개발계획현황'!$AA34,F143)</f>
        <v>0</v>
      </c>
      <c r="H143" s="1275">
        <f>IF(H$140='1.4.3개발계획현황'!$K34,'1.4.3개발계획현황'!$AA34,G143)</f>
        <v>208</v>
      </c>
      <c r="I143" s="1275">
        <f>IF(I$140='1.4.3개발계획현황'!$K34,'1.4.3개발계획현황'!$AA34,H143)</f>
        <v>208</v>
      </c>
      <c r="J143" s="1275">
        <f>IF(J$140='1.4.3개발계획현황'!$K34,'1.4.3개발계획현황'!$AA34,I143)</f>
        <v>208</v>
      </c>
      <c r="K143" s="1275">
        <f>IF(K$140='1.4.3개발계획현황'!$K34,'1.4.3개발계획현황'!$AA34,J143)</f>
        <v>208</v>
      </c>
      <c r="L143" s="1275">
        <f>IF(L$140='1.4.3개발계획현황'!$K34,'1.4.3개발계획현황'!$AA34,K143)</f>
        <v>208</v>
      </c>
      <c r="M143" s="1275">
        <f>IF(M$140='1.4.3개발계획현황'!$K34,'1.4.3개발계획현황'!$AA34,L143)</f>
        <v>208</v>
      </c>
      <c r="N143" s="1275">
        <f>IF(N$140='1.4.3개발계획현황'!$K34,'1.4.3개발계획현황'!$AA34,M143)</f>
        <v>208</v>
      </c>
      <c r="O143" s="1275">
        <f>IF(O$140='1.4.3개발계획현황'!$K34,'1.4.3개발계획현황'!$AA34,N143)</f>
        <v>208</v>
      </c>
      <c r="P143" s="1275">
        <f>IF(P$140='1.4.3개발계획현황'!$K34,'1.4.3개발계획현황'!$AA34,O143)</f>
        <v>208</v>
      </c>
      <c r="Q143" s="1275">
        <f>IF(Q$140='1.4.3개발계획현황'!$K34,'1.4.3개발계획현황'!$AA34,P143)</f>
        <v>208</v>
      </c>
      <c r="R143" s="1275">
        <f>IF(R$140='1.4.3개발계획현황'!$K34,'1.4.3개발계획현황'!$AA34,Q143)</f>
        <v>208</v>
      </c>
      <c r="S143" s="1275">
        <f>IF(S$140='1.4.3개발계획현황'!$K34,'1.4.3개발계획현황'!$AA34,R143)</f>
        <v>208</v>
      </c>
      <c r="T143" s="1275">
        <f>IF(T$140='1.4.3개발계획현황'!$K34,'1.4.3개발계획현황'!$AA34,S143)</f>
        <v>208</v>
      </c>
      <c r="U143" s="1275">
        <f>IF(U$140='1.4.3개발계획현황'!$K34,'1.4.3개발계획현황'!$AA34,T143)</f>
        <v>208</v>
      </c>
      <c r="V143" s="1275">
        <f>IF(V$140='1.4.3개발계획현황'!$K34,'1.4.3개발계획현황'!$AA34,U143)</f>
        <v>208</v>
      </c>
      <c r="W143" s="1275">
        <f>IF(W$140='1.4.3개발계획현황'!$K34,'1.4.3개발계획현황'!$AA34,V143)</f>
        <v>208</v>
      </c>
      <c r="X143" s="1275">
        <f>IF(X$140='1.4.3개발계획현황'!$K34,'1.4.3개발계획현황'!$AA34,W143)</f>
        <v>208</v>
      </c>
      <c r="Y143" s="1276"/>
      <c r="Z143" s="2539" t="str">
        <f>A143</f>
        <v>공동주택
건설사업</v>
      </c>
      <c r="AA143" s="1285" t="str">
        <f>B143</f>
        <v>태경에코그린</v>
      </c>
      <c r="AB143" s="1312">
        <f t="shared" ref="AB143:AW143" si="417">ROUND(C143*$AX143,0)</f>
        <v>0</v>
      </c>
      <c r="AC143" s="1312">
        <f t="shared" si="417"/>
        <v>0</v>
      </c>
      <c r="AD143" s="1312">
        <f t="shared" si="417"/>
        <v>0</v>
      </c>
      <c r="AE143" s="1312">
        <f t="shared" si="417"/>
        <v>0</v>
      </c>
      <c r="AF143" s="1312">
        <f t="shared" si="417"/>
        <v>0</v>
      </c>
      <c r="AG143" s="1312">
        <f t="shared" si="417"/>
        <v>83</v>
      </c>
      <c r="AH143" s="1312">
        <f t="shared" si="417"/>
        <v>83</v>
      </c>
      <c r="AI143" s="1312">
        <f t="shared" si="417"/>
        <v>83</v>
      </c>
      <c r="AJ143" s="1312">
        <f t="shared" si="417"/>
        <v>83</v>
      </c>
      <c r="AK143" s="1312">
        <f t="shared" si="417"/>
        <v>83</v>
      </c>
      <c r="AL143" s="1312">
        <f t="shared" si="417"/>
        <v>83</v>
      </c>
      <c r="AM143" s="1312">
        <f t="shared" si="417"/>
        <v>83</v>
      </c>
      <c r="AN143" s="1312">
        <f t="shared" si="417"/>
        <v>83</v>
      </c>
      <c r="AO143" s="1312">
        <f t="shared" si="417"/>
        <v>83</v>
      </c>
      <c r="AP143" s="1312">
        <f t="shared" si="417"/>
        <v>83</v>
      </c>
      <c r="AQ143" s="1312">
        <f t="shared" si="417"/>
        <v>83</v>
      </c>
      <c r="AR143" s="1312">
        <f t="shared" si="417"/>
        <v>83</v>
      </c>
      <c r="AS143" s="1312">
        <f t="shared" si="417"/>
        <v>83</v>
      </c>
      <c r="AT143" s="1312">
        <f t="shared" si="417"/>
        <v>83</v>
      </c>
      <c r="AU143" s="1312">
        <f t="shared" si="417"/>
        <v>83</v>
      </c>
      <c r="AV143" s="1312">
        <f t="shared" si="417"/>
        <v>83</v>
      </c>
      <c r="AW143" s="1312">
        <f t="shared" si="417"/>
        <v>83</v>
      </c>
      <c r="AX143" s="1277">
        <v>0.4</v>
      </c>
      <c r="AY143" s="1258"/>
      <c r="AZ143" s="1258"/>
    </row>
    <row r="144" spans="1:60" s="1257" customFormat="1" ht="21" customHeight="1">
      <c r="A144" s="2540"/>
      <c r="B144" s="1279" t="s">
        <v>72</v>
      </c>
      <c r="C144" s="1280">
        <f t="shared" ref="C144:X144" si="418">SUM(C143:C143)</f>
        <v>0</v>
      </c>
      <c r="D144" s="1280">
        <f t="shared" si="418"/>
        <v>0</v>
      </c>
      <c r="E144" s="1280">
        <f t="shared" si="418"/>
        <v>0</v>
      </c>
      <c r="F144" s="1280">
        <f t="shared" si="418"/>
        <v>0</v>
      </c>
      <c r="G144" s="1280">
        <f t="shared" si="418"/>
        <v>0</v>
      </c>
      <c r="H144" s="1280">
        <f t="shared" si="418"/>
        <v>208</v>
      </c>
      <c r="I144" s="1280">
        <f t="shared" si="418"/>
        <v>208</v>
      </c>
      <c r="J144" s="1280">
        <f t="shared" si="418"/>
        <v>208</v>
      </c>
      <c r="K144" s="1280">
        <f t="shared" si="418"/>
        <v>208</v>
      </c>
      <c r="L144" s="1280">
        <f t="shared" si="418"/>
        <v>208</v>
      </c>
      <c r="M144" s="1280">
        <f t="shared" si="418"/>
        <v>208</v>
      </c>
      <c r="N144" s="1280">
        <f t="shared" si="418"/>
        <v>208</v>
      </c>
      <c r="O144" s="1280">
        <f t="shared" si="418"/>
        <v>208</v>
      </c>
      <c r="P144" s="1280">
        <f t="shared" si="418"/>
        <v>208</v>
      </c>
      <c r="Q144" s="1280">
        <f t="shared" si="418"/>
        <v>208</v>
      </c>
      <c r="R144" s="1280">
        <f t="shared" si="418"/>
        <v>208</v>
      </c>
      <c r="S144" s="1280">
        <f t="shared" si="418"/>
        <v>208</v>
      </c>
      <c r="T144" s="1280">
        <f t="shared" si="418"/>
        <v>208</v>
      </c>
      <c r="U144" s="1280">
        <f t="shared" si="418"/>
        <v>208</v>
      </c>
      <c r="V144" s="1280">
        <f t="shared" si="418"/>
        <v>208</v>
      </c>
      <c r="W144" s="1280">
        <f t="shared" si="418"/>
        <v>208</v>
      </c>
      <c r="X144" s="1280">
        <f t="shared" si="418"/>
        <v>208</v>
      </c>
      <c r="Y144" s="1281"/>
      <c r="Z144" s="2540"/>
      <c r="AA144" s="1279" t="s">
        <v>72</v>
      </c>
      <c r="AB144" s="1280">
        <f t="shared" ref="AB144:AW144" si="419">SUM(AB143:AB143)</f>
        <v>0</v>
      </c>
      <c r="AC144" s="1280">
        <f t="shared" si="419"/>
        <v>0</v>
      </c>
      <c r="AD144" s="1280">
        <f t="shared" si="419"/>
        <v>0</v>
      </c>
      <c r="AE144" s="1280">
        <f t="shared" si="419"/>
        <v>0</v>
      </c>
      <c r="AF144" s="1280">
        <f t="shared" si="419"/>
        <v>0</v>
      </c>
      <c r="AG144" s="1280">
        <f t="shared" si="419"/>
        <v>83</v>
      </c>
      <c r="AH144" s="1280">
        <f t="shared" si="419"/>
        <v>83</v>
      </c>
      <c r="AI144" s="1280">
        <f t="shared" si="419"/>
        <v>83</v>
      </c>
      <c r="AJ144" s="1280">
        <f t="shared" si="419"/>
        <v>83</v>
      </c>
      <c r="AK144" s="1280">
        <f t="shared" si="419"/>
        <v>83</v>
      </c>
      <c r="AL144" s="1280">
        <f t="shared" si="419"/>
        <v>83</v>
      </c>
      <c r="AM144" s="1280">
        <f t="shared" si="419"/>
        <v>83</v>
      </c>
      <c r="AN144" s="1280">
        <f t="shared" si="419"/>
        <v>83</v>
      </c>
      <c r="AO144" s="1280">
        <f t="shared" si="419"/>
        <v>83</v>
      </c>
      <c r="AP144" s="1280">
        <f t="shared" si="419"/>
        <v>83</v>
      </c>
      <c r="AQ144" s="1280">
        <f t="shared" si="419"/>
        <v>83</v>
      </c>
      <c r="AR144" s="1280">
        <f t="shared" si="419"/>
        <v>83</v>
      </c>
      <c r="AS144" s="1280">
        <f t="shared" si="419"/>
        <v>83</v>
      </c>
      <c r="AT144" s="1280">
        <f t="shared" si="419"/>
        <v>83</v>
      </c>
      <c r="AU144" s="1280">
        <f t="shared" si="419"/>
        <v>83</v>
      </c>
      <c r="AV144" s="1280">
        <f t="shared" si="419"/>
        <v>83</v>
      </c>
      <c r="AW144" s="1280">
        <f t="shared" si="419"/>
        <v>83</v>
      </c>
      <c r="AX144" s="1281"/>
      <c r="AY144" s="1258"/>
      <c r="AZ144" s="1258"/>
    </row>
    <row r="145" spans="1:60" s="1257" customFormat="1" ht="21" customHeight="1">
      <c r="A145" s="2431" t="s">
        <v>96</v>
      </c>
      <c r="B145" s="2432" t="str">
        <f>'1.4.3개발계획현황'!A49</f>
        <v>생극산업단지</v>
      </c>
      <c r="C145" s="2515">
        <f>IF(C$140='1.4.3개발계획현황'!$K$49,'1.4.3개발계획현황'!$AA$49,0)</f>
        <v>0</v>
      </c>
      <c r="D145" s="1280"/>
      <c r="E145" s="1280"/>
      <c r="F145" s="1280"/>
      <c r="G145" s="1280"/>
      <c r="H145" s="1280"/>
      <c r="I145" s="2515">
        <f>IF(I$140='1.4.3개발계획현황'!K49,'1.4.3개발계획현황'!AA49,H147)</f>
        <v>1649</v>
      </c>
      <c r="J145" s="1280"/>
      <c r="K145" s="1280"/>
      <c r="L145" s="1280"/>
      <c r="M145" s="1280"/>
      <c r="N145" s="2515">
        <f>IF(N$140='1.4.3개발계획현황'!Z49,'1.4.3개발계획현황'!AF48,M147)</f>
        <v>1649</v>
      </c>
      <c r="O145" s="1280"/>
      <c r="P145" s="1280"/>
      <c r="Q145" s="1280"/>
      <c r="R145" s="1280"/>
      <c r="S145" s="2515">
        <f>IF(S$140='1.4.3개발계획현황'!AE48,'1.4.3개발계획현황'!AL48,R147)</f>
        <v>1649</v>
      </c>
      <c r="T145" s="1280"/>
      <c r="U145" s="1280"/>
      <c r="V145" s="1280"/>
      <c r="W145" s="1280"/>
      <c r="X145" s="2515">
        <f>IF(X$140='1.4.3개발계획현황'!AJ48,'1.4.3개발계획현황'!AQ48,W147)</f>
        <v>1649</v>
      </c>
      <c r="Y145" s="2516"/>
      <c r="Z145" s="2431" t="str">
        <f>A145</f>
        <v>산업단지
조성사업</v>
      </c>
      <c r="AA145" s="1336" t="str">
        <f>CONCATENATE(AA147," 중복제외 전")</f>
        <v>생극산업단지 중복제외 전</v>
      </c>
      <c r="AB145" s="1275">
        <f>ROUND(C145*$AX145,0)</f>
        <v>0</v>
      </c>
      <c r="AC145" s="1275">
        <f>ROUND(D147*$AX145,0)</f>
        <v>0</v>
      </c>
      <c r="AD145" s="1275">
        <f>ROUND(E147*$AX145,0)</f>
        <v>0</v>
      </c>
      <c r="AE145" s="1275">
        <f>ROUND(F147*$AX145,0)</f>
        <v>0</v>
      </c>
      <c r="AF145" s="1275">
        <f>ROUND(G147*$AX145,0)*0.2</f>
        <v>148.4</v>
      </c>
      <c r="AG145" s="1275">
        <f>ROUND(H147*$AX145,0)*0.6</f>
        <v>445.2</v>
      </c>
      <c r="AH145" s="1275">
        <f>ROUND(I145*$AX145,0)</f>
        <v>742</v>
      </c>
      <c r="AI145" s="1275">
        <f>ROUND(J147*$AX145,0)</f>
        <v>742</v>
      </c>
      <c r="AJ145" s="1275">
        <f>ROUND(K147*$AX145,0)</f>
        <v>742</v>
      </c>
      <c r="AK145" s="1275">
        <f>ROUND(L147*$AX145,0)</f>
        <v>742</v>
      </c>
      <c r="AL145" s="1275">
        <f>ROUND(M147*$AX145,0)</f>
        <v>742</v>
      </c>
      <c r="AM145" s="1275">
        <f>ROUND(N145*$AX145,0)</f>
        <v>742</v>
      </c>
      <c r="AN145" s="1275">
        <f>ROUND(O147*$AX145,0)</f>
        <v>742</v>
      </c>
      <c r="AO145" s="1275">
        <f>ROUND(P147*$AX145,0)</f>
        <v>742</v>
      </c>
      <c r="AP145" s="1275">
        <f>ROUND(Q147*$AX145,0)</f>
        <v>742</v>
      </c>
      <c r="AQ145" s="1275">
        <f>ROUND(R147*$AX145,0)</f>
        <v>742</v>
      </c>
      <c r="AR145" s="1275">
        <f>ROUND(S145*$AX145,0)</f>
        <v>742</v>
      </c>
      <c r="AS145" s="1275">
        <f>ROUND(T147*$AX145,0)</f>
        <v>742</v>
      </c>
      <c r="AT145" s="1275">
        <f>ROUND(U147*$AX145,0)</f>
        <v>742</v>
      </c>
      <c r="AU145" s="1275">
        <f>ROUND(V147*$AX145,0)</f>
        <v>742</v>
      </c>
      <c r="AV145" s="1275">
        <f>ROUND(W147*$AX145,0)</f>
        <v>742</v>
      </c>
      <c r="AW145" s="1275">
        <f>ROUND(X145*$AX145,0)</f>
        <v>742</v>
      </c>
      <c r="AX145" s="1277">
        <v>0.45</v>
      </c>
      <c r="AY145" s="1258"/>
      <c r="AZ145" s="1258"/>
    </row>
    <row r="146" spans="1:60" s="1257" customFormat="1" ht="21" customHeight="1">
      <c r="A146" s="2431"/>
      <c r="B146" s="2432"/>
      <c r="C146" s="2515"/>
      <c r="D146" s="1280"/>
      <c r="E146" s="1280"/>
      <c r="F146" s="1280"/>
      <c r="G146" s="1280"/>
      <c r="H146" s="1280"/>
      <c r="I146" s="2515"/>
      <c r="J146" s="1280"/>
      <c r="K146" s="1280"/>
      <c r="L146" s="1280"/>
      <c r="M146" s="1280"/>
      <c r="N146" s="2515"/>
      <c r="O146" s="1280"/>
      <c r="P146" s="1280"/>
      <c r="Q146" s="1280"/>
      <c r="R146" s="1280"/>
      <c r="S146" s="2515"/>
      <c r="T146" s="1280"/>
      <c r="U146" s="1280"/>
      <c r="V146" s="1280"/>
      <c r="W146" s="1280"/>
      <c r="X146" s="2515"/>
      <c r="Y146" s="2516"/>
      <c r="Z146" s="2431"/>
      <c r="AA146" s="1336" t="str">
        <f>CONCATENATE(AA147," 중복제외인구")</f>
        <v>생극산업단지 중복제외인구</v>
      </c>
      <c r="AB146" s="1275">
        <f>ROUND(C145*$AX146,0)</f>
        <v>0</v>
      </c>
      <c r="AC146" s="1275">
        <f>ROUND(D147*$AX146,0)</f>
        <v>0</v>
      </c>
      <c r="AD146" s="1275">
        <f>-ROUND(IF(E147&gt;0,SUMIF('사회적 유입 중복인구 제외근거'!$E$6:$E$53,$AA147,'사회적 유입 중복인구 제외근거'!$F$6:$F$53),0),0)</f>
        <v>0</v>
      </c>
      <c r="AE146" s="1275">
        <f>-ROUND(IF(F147&gt;0,SUMIF('사회적 유입 중복인구 제외근거'!$E$6:$E$53,$AA147,'사회적 유입 중복인구 제외근거'!$F$6:$F$53),0),0)</f>
        <v>0</v>
      </c>
      <c r="AF146" s="1275">
        <f>-ROUND(IF(G147&gt;0,SUMIF('사회적 유입 중복인구 제외근거'!$E$6:$E$53,$AA147,'사회적 유입 중복인구 제외근거'!$F$6:$F$53),0),0)*0.2</f>
        <v>-76</v>
      </c>
      <c r="AG146" s="1275">
        <f>-ROUND(IF(H147&gt;0,SUMIF('사회적 유입 중복인구 제외근거'!$E$6:$E$53,$AA147,'사회적 유입 중복인구 제외근거'!$F$6:$F$53),0),0)*0.6</f>
        <v>-228</v>
      </c>
      <c r="AH146" s="1275">
        <f>-ROUND(IF(I145&gt;0,SUMIF('사회적 유입 중복인구 제외근거'!$E$6:$E$53,$AA147,'사회적 유입 중복인구 제외근거'!$F$6:$F$53),0),0)</f>
        <v>-380</v>
      </c>
      <c r="AI146" s="1275">
        <f>-ROUND(IF(J147&gt;0,SUMIF('사회적 유입 중복인구 제외근거'!$E$6:$E$53,$AA147,'사회적 유입 중복인구 제외근거'!$F$6:$F$53),0),0)</f>
        <v>-380</v>
      </c>
      <c r="AJ146" s="1275">
        <f>-ROUND(IF(K147&gt;0,SUMIF('사회적 유입 중복인구 제외근거'!$E$6:$E$53,$AA147,'사회적 유입 중복인구 제외근거'!$F$6:$F$53),0),0)</f>
        <v>-380</v>
      </c>
      <c r="AK146" s="1275">
        <f>-ROUND(IF(L147&gt;0,SUMIF('사회적 유입 중복인구 제외근거'!$E$6:$E$53,$AA147,'사회적 유입 중복인구 제외근거'!$F$6:$F$53),0),0)</f>
        <v>-380</v>
      </c>
      <c r="AL146" s="1275">
        <f>-ROUND(IF(M147&gt;0,SUMIF('사회적 유입 중복인구 제외근거'!$E$6:$E$53,$AA147,'사회적 유입 중복인구 제외근거'!$F$6:$F$53),0),0)</f>
        <v>-380</v>
      </c>
      <c r="AM146" s="1275">
        <f>-ROUND(IF(N145&gt;0,SUMIF('사회적 유입 중복인구 제외근거'!$E$6:$E$53,$AA147,'사회적 유입 중복인구 제외근거'!$F$6:$F$53),0),0)</f>
        <v>-380</v>
      </c>
      <c r="AN146" s="1275">
        <f>-ROUND(IF(O147&gt;0,SUMIF('사회적 유입 중복인구 제외근거'!$E$6:$E$53,$AA147,'사회적 유입 중복인구 제외근거'!$F$6:$F$53),0),0)</f>
        <v>-380</v>
      </c>
      <c r="AO146" s="1275">
        <f>-ROUND(IF(P147&gt;0,SUMIF('사회적 유입 중복인구 제외근거'!$E$6:$E$53,$AA147,'사회적 유입 중복인구 제외근거'!$F$6:$F$53),0),0)</f>
        <v>-380</v>
      </c>
      <c r="AP146" s="1275">
        <f>-ROUND(IF(Q147&gt;0,SUMIF('사회적 유입 중복인구 제외근거'!$E$6:$E$53,$AA147,'사회적 유입 중복인구 제외근거'!$F$6:$F$53),0),0)</f>
        <v>-380</v>
      </c>
      <c r="AQ146" s="1275">
        <f>-ROUND(IF(R147&gt;0,SUMIF('사회적 유입 중복인구 제외근거'!$E$6:$E$53,$AA147,'사회적 유입 중복인구 제외근거'!$F$6:$F$53),0),0)</f>
        <v>-380</v>
      </c>
      <c r="AR146" s="1275">
        <f>-ROUND(IF(S145&gt;0,SUMIF('사회적 유입 중복인구 제외근거'!$E$6:$E$53,$AA147,'사회적 유입 중복인구 제외근거'!$F$6:$F$53),0),0)</f>
        <v>-380</v>
      </c>
      <c r="AS146" s="1275">
        <f>-ROUND(IF(T147&gt;0,SUMIF('사회적 유입 중복인구 제외근거'!$E$6:$E$53,$AA147,'사회적 유입 중복인구 제외근거'!$F$6:$F$53),0),0)</f>
        <v>-380</v>
      </c>
      <c r="AT146" s="1275">
        <f>-ROUND(IF(U147&gt;0,SUMIF('사회적 유입 중복인구 제외근거'!$E$6:$E$53,$AA147,'사회적 유입 중복인구 제외근거'!$F$6:$F$53),0),0)</f>
        <v>-380</v>
      </c>
      <c r="AU146" s="1275">
        <f>-ROUND(IF(V147&gt;0,SUMIF('사회적 유입 중복인구 제외근거'!$E$6:$E$53,$AA147,'사회적 유입 중복인구 제외근거'!$F$6:$F$53),0),0)</f>
        <v>-380</v>
      </c>
      <c r="AV146" s="1275">
        <f>-ROUND(IF(W147&gt;0,SUMIF('사회적 유입 중복인구 제외근거'!$E$6:$E$53,$AA147,'사회적 유입 중복인구 제외근거'!$F$6:$F$53),0),0)</f>
        <v>-380</v>
      </c>
      <c r="AW146" s="1275">
        <f>-ROUND(IF(X145&gt;0,SUMIF('사회적 유입 중복인구 제외근거'!$E$6:$E$53,$AA147,'사회적 유입 중복인구 제외근거'!$F$6:$F$53),0),0)</f>
        <v>-380</v>
      </c>
      <c r="AX146" s="1277"/>
      <c r="AY146" s="1258"/>
      <c r="AZ146" s="1258"/>
    </row>
    <row r="147" spans="1:60" s="1257" customFormat="1" ht="21" customHeight="1">
      <c r="A147" s="2431"/>
      <c r="B147" s="2432"/>
      <c r="C147" s="2515"/>
      <c r="D147" s="1275">
        <f>IF(D$140='1.4.3개발계획현황'!$K$49,'1.4.3개발계획현황'!$AA$49,C145)</f>
        <v>0</v>
      </c>
      <c r="E147" s="1275">
        <f>IF(E$140='1.4.3개발계획현황'!$K$49,'1.4.3개발계획현황'!$AA$49,D147)</f>
        <v>0</v>
      </c>
      <c r="F147" s="1275">
        <f>IF(F$140='1.4.3개발계획현황'!$K$49,'1.4.3개발계획현황'!$AA$49,E147)</f>
        <v>0</v>
      </c>
      <c r="G147" s="1275">
        <f>IF(G$140='1.4.3개발계획현황'!$K$49,'1.4.3개발계획현황'!$AA$49,F147)</f>
        <v>1649</v>
      </c>
      <c r="H147" s="1275">
        <f>IF(H$140='1.4.3개발계획현황'!$K$49,'1.4.3개발계획현황'!$AA$49,G147)</f>
        <v>1649</v>
      </c>
      <c r="I147" s="2515"/>
      <c r="J147" s="1275">
        <f>IF(J$140='1.4.3개발계획현황'!$K$49,'1.4.3개발계획현황'!$AA$49,I145)</f>
        <v>1649</v>
      </c>
      <c r="K147" s="1275">
        <f>IF(K$140='1.4.3개발계획현황'!$K$49,'1.4.3개발계획현황'!$AA$49,J147)</f>
        <v>1649</v>
      </c>
      <c r="L147" s="1275">
        <f>IF(L$140='1.4.3개발계획현황'!$K$49,'1.4.3개발계획현황'!$AA$49,K147)</f>
        <v>1649</v>
      </c>
      <c r="M147" s="1275">
        <f>IF(M$140='1.4.3개발계획현황'!$K$49,'1.4.3개발계획현황'!$AA$49,L147)</f>
        <v>1649</v>
      </c>
      <c r="N147" s="2515"/>
      <c r="O147" s="1275">
        <f>IF(O$140='1.4.3개발계획현황'!$K$49,'1.4.3개발계획현황'!$AA$49,N145)</f>
        <v>1649</v>
      </c>
      <c r="P147" s="1275">
        <f>IF(P$140='1.4.3개발계획현황'!$K$49,'1.4.3개발계획현황'!$AA$49,O147)</f>
        <v>1649</v>
      </c>
      <c r="Q147" s="1275">
        <f>IF(Q$140='1.4.3개발계획현황'!$K$49,'1.4.3개발계획현황'!$AA$49,P147)</f>
        <v>1649</v>
      </c>
      <c r="R147" s="1275">
        <f>IF(R$140='1.4.3개발계획현황'!$K$49,'1.4.3개발계획현황'!$AA$49,Q147)</f>
        <v>1649</v>
      </c>
      <c r="S147" s="2515"/>
      <c r="T147" s="1275">
        <f>IF(T$140='1.4.3개발계획현황'!$K$49,'1.4.3개발계획현황'!$AA$49,S145)</f>
        <v>1649</v>
      </c>
      <c r="U147" s="1275">
        <f>IF(U$140='1.4.3개발계획현황'!$K$49,'1.4.3개발계획현황'!$AA$49,T147)</f>
        <v>1649</v>
      </c>
      <c r="V147" s="1275">
        <f>IF(V$140='1.4.3개발계획현황'!$K$49,'1.4.3개발계획현황'!$AA$49,U147)</f>
        <v>1649</v>
      </c>
      <c r="W147" s="1275">
        <f>IF(W$140='1.4.3개발계획현황'!$K$49,'1.4.3개발계획현황'!$AA$49,V147)</f>
        <v>1649</v>
      </c>
      <c r="X147" s="2515"/>
      <c r="Y147" s="2516"/>
      <c r="Z147" s="2431"/>
      <c r="AA147" s="1286" t="str">
        <f>B145</f>
        <v>생극산업단지</v>
      </c>
      <c r="AB147" s="1287">
        <f>ROUND(AB145+AB146,0)</f>
        <v>0</v>
      </c>
      <c r="AC147" s="1337">
        <f t="shared" ref="AC147" si="420">ROUND(AC145+AC146,0)</f>
        <v>0</v>
      </c>
      <c r="AD147" s="1337">
        <f t="shared" ref="AD147" si="421">ROUND(AD145+AD146,0)</f>
        <v>0</v>
      </c>
      <c r="AE147" s="1337">
        <f t="shared" ref="AE147" si="422">ROUND(AE145+AE146,0)</f>
        <v>0</v>
      </c>
      <c r="AF147" s="1337">
        <f t="shared" ref="AF147" si="423">ROUND(AF145+AF146,0)</f>
        <v>72</v>
      </c>
      <c r="AG147" s="1337">
        <f t="shared" ref="AG147" si="424">ROUND(AG145+AG146,0)</f>
        <v>217</v>
      </c>
      <c r="AH147" s="1337">
        <f t="shared" ref="AH147" si="425">ROUND(AH145+AH146,0)</f>
        <v>362</v>
      </c>
      <c r="AI147" s="1337">
        <f t="shared" ref="AI147" si="426">ROUND(AI145+AI146,0)</f>
        <v>362</v>
      </c>
      <c r="AJ147" s="1337">
        <f t="shared" ref="AJ147" si="427">ROUND(AJ145+AJ146,0)</f>
        <v>362</v>
      </c>
      <c r="AK147" s="1337">
        <f t="shared" ref="AK147" si="428">ROUND(AK145+AK146,0)</f>
        <v>362</v>
      </c>
      <c r="AL147" s="1337">
        <f t="shared" ref="AL147" si="429">ROUND(AL145+AL146,0)</f>
        <v>362</v>
      </c>
      <c r="AM147" s="1337">
        <f t="shared" ref="AM147" si="430">ROUND(AM145+AM146,0)</f>
        <v>362</v>
      </c>
      <c r="AN147" s="1337">
        <f t="shared" ref="AN147" si="431">ROUND(AN145+AN146,0)</f>
        <v>362</v>
      </c>
      <c r="AO147" s="1337">
        <f t="shared" ref="AO147" si="432">ROUND(AO145+AO146,0)</f>
        <v>362</v>
      </c>
      <c r="AP147" s="1337">
        <f t="shared" ref="AP147" si="433">ROUND(AP145+AP146,0)</f>
        <v>362</v>
      </c>
      <c r="AQ147" s="1337">
        <f t="shared" ref="AQ147" si="434">ROUND(AQ145+AQ146,0)</f>
        <v>362</v>
      </c>
      <c r="AR147" s="1337">
        <f t="shared" ref="AR147" si="435">ROUND(AR145+AR146,0)</f>
        <v>362</v>
      </c>
      <c r="AS147" s="1337">
        <f t="shared" ref="AS147" si="436">ROUND(AS145+AS146,0)</f>
        <v>362</v>
      </c>
      <c r="AT147" s="1337">
        <f t="shared" ref="AT147" si="437">ROUND(AT145+AT146,0)</f>
        <v>362</v>
      </c>
      <c r="AU147" s="1337">
        <f t="shared" ref="AU147" si="438">ROUND(AU145+AU146,0)</f>
        <v>362</v>
      </c>
      <c r="AV147" s="1337">
        <f t="shared" ref="AV147" si="439">ROUND(AV145+AV146,0)</f>
        <v>362</v>
      </c>
      <c r="AW147" s="1337">
        <f t="shared" ref="AW147" si="440">ROUND(AW145+AW146,0)</f>
        <v>362</v>
      </c>
      <c r="AX147" s="1338"/>
      <c r="AY147" s="1258"/>
      <c r="AZ147" s="1258"/>
    </row>
    <row r="148" spans="1:60" s="1257" customFormat="1" ht="21" customHeight="1">
      <c r="A148" s="2517"/>
      <c r="B148" s="1289" t="s">
        <v>72</v>
      </c>
      <c r="C148" s="1290">
        <f>SUM(C145:C147)</f>
        <v>0</v>
      </c>
      <c r="D148" s="1290">
        <f>SUM(D147:D147)</f>
        <v>0</v>
      </c>
      <c r="E148" s="1290">
        <f>SUM(E147:E147)</f>
        <v>0</v>
      </c>
      <c r="F148" s="1290">
        <f>SUM(F147:F147)</f>
        <v>0</v>
      </c>
      <c r="G148" s="1290">
        <f>SUM(G147:G147)</f>
        <v>1649</v>
      </c>
      <c r="H148" s="1290">
        <f>SUM(H147:H147)</f>
        <v>1649</v>
      </c>
      <c r="I148" s="1290">
        <f>SUM(I145:I147)</f>
        <v>1649</v>
      </c>
      <c r="J148" s="1290">
        <f>SUM(J147:J147)</f>
        <v>1649</v>
      </c>
      <c r="K148" s="1290">
        <f>SUM(K147:K147)</f>
        <v>1649</v>
      </c>
      <c r="L148" s="1290">
        <f>SUM(L147:L147)</f>
        <v>1649</v>
      </c>
      <c r="M148" s="1290">
        <f>SUM(M147:M147)</f>
        <v>1649</v>
      </c>
      <c r="N148" s="1290">
        <f>SUM(N145:N147)</f>
        <v>1649</v>
      </c>
      <c r="O148" s="1290">
        <f>SUM(O147:O147)</f>
        <v>1649</v>
      </c>
      <c r="P148" s="1290">
        <f>SUM(P147:P147)</f>
        <v>1649</v>
      </c>
      <c r="Q148" s="1290">
        <f>SUM(Q147:Q147)</f>
        <v>1649</v>
      </c>
      <c r="R148" s="1290">
        <f>SUM(R147:R147)</f>
        <v>1649</v>
      </c>
      <c r="S148" s="1290">
        <f>SUM(S145:S147)</f>
        <v>1649</v>
      </c>
      <c r="T148" s="1290">
        <f>SUM(T147:T147)</f>
        <v>1649</v>
      </c>
      <c r="U148" s="1290">
        <f>SUM(U147:U147)</f>
        <v>1649</v>
      </c>
      <c r="V148" s="1290">
        <f>SUM(V147:V147)</f>
        <v>1649</v>
      </c>
      <c r="W148" s="1290">
        <f>SUM(W147:W147)</f>
        <v>1649</v>
      </c>
      <c r="X148" s="1290">
        <f>SUM(X145:X147)</f>
        <v>1649</v>
      </c>
      <c r="Y148" s="1291"/>
      <c r="Z148" s="2517"/>
      <c r="AA148" s="1289" t="s">
        <v>72</v>
      </c>
      <c r="AB148" s="1290">
        <f>+AB147</f>
        <v>0</v>
      </c>
      <c r="AC148" s="1290">
        <f t="shared" ref="AC148:AW148" si="441">+AC147</f>
        <v>0</v>
      </c>
      <c r="AD148" s="1290">
        <f t="shared" si="441"/>
        <v>0</v>
      </c>
      <c r="AE148" s="1290">
        <f t="shared" si="441"/>
        <v>0</v>
      </c>
      <c r="AF148" s="1290">
        <f t="shared" si="441"/>
        <v>72</v>
      </c>
      <c r="AG148" s="1290">
        <f t="shared" si="441"/>
        <v>217</v>
      </c>
      <c r="AH148" s="1290">
        <f t="shared" si="441"/>
        <v>362</v>
      </c>
      <c r="AI148" s="1290">
        <f t="shared" si="441"/>
        <v>362</v>
      </c>
      <c r="AJ148" s="1290">
        <f t="shared" si="441"/>
        <v>362</v>
      </c>
      <c r="AK148" s="1290">
        <f t="shared" si="441"/>
        <v>362</v>
      </c>
      <c r="AL148" s="1290">
        <f t="shared" si="441"/>
        <v>362</v>
      </c>
      <c r="AM148" s="1290">
        <f t="shared" si="441"/>
        <v>362</v>
      </c>
      <c r="AN148" s="1290">
        <f t="shared" si="441"/>
        <v>362</v>
      </c>
      <c r="AO148" s="1290">
        <f t="shared" si="441"/>
        <v>362</v>
      </c>
      <c r="AP148" s="1290">
        <f t="shared" si="441"/>
        <v>362</v>
      </c>
      <c r="AQ148" s="1290">
        <f t="shared" si="441"/>
        <v>362</v>
      </c>
      <c r="AR148" s="1290">
        <f t="shared" si="441"/>
        <v>362</v>
      </c>
      <c r="AS148" s="1290">
        <f t="shared" si="441"/>
        <v>362</v>
      </c>
      <c r="AT148" s="1290">
        <f t="shared" si="441"/>
        <v>362</v>
      </c>
      <c r="AU148" s="1290">
        <f t="shared" si="441"/>
        <v>362</v>
      </c>
      <c r="AV148" s="1290">
        <f t="shared" si="441"/>
        <v>362</v>
      </c>
      <c r="AW148" s="1290">
        <f t="shared" si="441"/>
        <v>362</v>
      </c>
      <c r="AX148" s="1291"/>
      <c r="AY148" s="1258"/>
      <c r="AZ148" s="1258"/>
    </row>
    <row r="149" spans="1:60" s="1257" customFormat="1" ht="21" customHeight="1">
      <c r="A149" s="1292" t="s">
        <v>79</v>
      </c>
      <c r="B149" s="1293"/>
      <c r="C149" s="1294">
        <f>SUM(C144,C148,C142)</f>
        <v>0</v>
      </c>
      <c r="D149" s="1294">
        <f t="shared" ref="D149:X149" si="442">SUM(D144,D148,D142)</f>
        <v>0</v>
      </c>
      <c r="E149" s="1294">
        <f t="shared" si="442"/>
        <v>0</v>
      </c>
      <c r="F149" s="1294">
        <f t="shared" si="442"/>
        <v>0</v>
      </c>
      <c r="G149" s="1294">
        <f t="shared" si="442"/>
        <v>1649</v>
      </c>
      <c r="H149" s="1294">
        <f t="shared" si="442"/>
        <v>1857</v>
      </c>
      <c r="I149" s="1294">
        <f t="shared" si="442"/>
        <v>1857</v>
      </c>
      <c r="J149" s="1294">
        <f t="shared" si="442"/>
        <v>1857</v>
      </c>
      <c r="K149" s="1294">
        <f t="shared" si="442"/>
        <v>1857</v>
      </c>
      <c r="L149" s="1294">
        <f t="shared" si="442"/>
        <v>1857</v>
      </c>
      <c r="M149" s="1294">
        <f t="shared" si="442"/>
        <v>1857</v>
      </c>
      <c r="N149" s="1294">
        <f t="shared" si="442"/>
        <v>1857</v>
      </c>
      <c r="O149" s="1294">
        <f t="shared" si="442"/>
        <v>1857</v>
      </c>
      <c r="P149" s="1294">
        <f t="shared" si="442"/>
        <v>1857</v>
      </c>
      <c r="Q149" s="1294">
        <f t="shared" si="442"/>
        <v>1857</v>
      </c>
      <c r="R149" s="1294">
        <f t="shared" si="442"/>
        <v>1857</v>
      </c>
      <c r="S149" s="1294">
        <f t="shared" si="442"/>
        <v>1857</v>
      </c>
      <c r="T149" s="1294">
        <f t="shared" si="442"/>
        <v>1857</v>
      </c>
      <c r="U149" s="1294">
        <f t="shared" si="442"/>
        <v>1857</v>
      </c>
      <c r="V149" s="1294">
        <f t="shared" si="442"/>
        <v>1857</v>
      </c>
      <c r="W149" s="1294">
        <f t="shared" si="442"/>
        <v>1857</v>
      </c>
      <c r="X149" s="1294">
        <f t="shared" si="442"/>
        <v>5187</v>
      </c>
      <c r="Y149" s="1295"/>
      <c r="Z149" s="1292" t="s">
        <v>79</v>
      </c>
      <c r="AA149" s="1293"/>
      <c r="AB149" s="1294">
        <f>SUM(AB144,AB148,AB142)</f>
        <v>0</v>
      </c>
      <c r="AC149" s="1294">
        <f t="shared" ref="AC149:AW149" si="443">SUM(AC144,AC148,AC142)</f>
        <v>0</v>
      </c>
      <c r="AD149" s="1294">
        <f t="shared" si="443"/>
        <v>0</v>
      </c>
      <c r="AE149" s="1294">
        <f t="shared" si="443"/>
        <v>0</v>
      </c>
      <c r="AF149" s="1294">
        <f t="shared" si="443"/>
        <v>72</v>
      </c>
      <c r="AG149" s="1294">
        <f t="shared" si="443"/>
        <v>300</v>
      </c>
      <c r="AH149" s="1294">
        <f t="shared" si="443"/>
        <v>445</v>
      </c>
      <c r="AI149" s="1294">
        <f t="shared" si="443"/>
        <v>445</v>
      </c>
      <c r="AJ149" s="1294">
        <f t="shared" si="443"/>
        <v>445</v>
      </c>
      <c r="AK149" s="1294">
        <f t="shared" si="443"/>
        <v>445</v>
      </c>
      <c r="AL149" s="1294">
        <f t="shared" si="443"/>
        <v>445</v>
      </c>
      <c r="AM149" s="1294">
        <f t="shared" si="443"/>
        <v>445</v>
      </c>
      <c r="AN149" s="1294">
        <f t="shared" si="443"/>
        <v>445</v>
      </c>
      <c r="AO149" s="1294">
        <f t="shared" si="443"/>
        <v>445</v>
      </c>
      <c r="AP149" s="1294">
        <f t="shared" si="443"/>
        <v>445</v>
      </c>
      <c r="AQ149" s="1294">
        <f t="shared" si="443"/>
        <v>445</v>
      </c>
      <c r="AR149" s="1294">
        <f t="shared" si="443"/>
        <v>445</v>
      </c>
      <c r="AS149" s="1294">
        <f t="shared" si="443"/>
        <v>445</v>
      </c>
      <c r="AT149" s="1294">
        <f t="shared" si="443"/>
        <v>445</v>
      </c>
      <c r="AU149" s="1294">
        <f t="shared" si="443"/>
        <v>445</v>
      </c>
      <c r="AV149" s="1294">
        <f t="shared" si="443"/>
        <v>445</v>
      </c>
      <c r="AW149" s="1294">
        <f t="shared" si="443"/>
        <v>2776</v>
      </c>
      <c r="AX149" s="1295"/>
      <c r="AY149" s="1258"/>
      <c r="AZ149" s="1258"/>
    </row>
    <row r="150" spans="1:60" ht="9.9499999999999993" customHeight="1">
      <c r="A150" s="1264"/>
      <c r="B150" s="1254"/>
      <c r="C150" s="1255"/>
      <c r="D150" s="1255"/>
      <c r="E150" s="1255"/>
      <c r="F150" s="1255"/>
      <c r="G150" s="1255"/>
      <c r="H150" s="1255"/>
      <c r="I150" s="1255"/>
      <c r="J150" s="1255"/>
      <c r="K150" s="1255"/>
      <c r="L150" s="1255"/>
      <c r="M150" s="1255"/>
      <c r="N150" s="1255"/>
      <c r="O150" s="1255"/>
      <c r="P150" s="1256"/>
      <c r="Q150" s="1255"/>
      <c r="R150" s="1255"/>
      <c r="S150" s="1255"/>
      <c r="T150" s="1255"/>
      <c r="U150" s="1256"/>
      <c r="V150" s="1256"/>
      <c r="W150" s="1256"/>
      <c r="X150" s="1256"/>
      <c r="Y150" s="1254"/>
      <c r="Z150" s="1264"/>
      <c r="AA150" s="1267"/>
      <c r="AB150" s="1255"/>
      <c r="AC150" s="1255"/>
      <c r="AD150" s="1255"/>
      <c r="AE150" s="1255"/>
      <c r="AF150" s="1255"/>
      <c r="AG150" s="1255"/>
      <c r="AH150" s="1255"/>
      <c r="AI150" s="1255"/>
      <c r="AJ150" s="1255"/>
      <c r="AK150" s="1255"/>
      <c r="AL150" s="1255"/>
      <c r="AM150" s="1255"/>
      <c r="AN150" s="1255"/>
      <c r="AO150" s="1256"/>
      <c r="AP150" s="1255"/>
      <c r="AQ150" s="1255"/>
      <c r="AR150" s="1255"/>
      <c r="AS150" s="1255"/>
      <c r="AT150" s="1256"/>
      <c r="AU150" s="1256"/>
      <c r="AV150" s="1256"/>
      <c r="AW150" s="1256"/>
      <c r="AX150" s="1254"/>
      <c r="AY150" s="1278">
        <f>ROUND(X131*0.13,0)</f>
        <v>0</v>
      </c>
      <c r="BH150" s="1296"/>
    </row>
    <row r="151" spans="1:60" s="1257" customFormat="1" ht="21" customHeight="1">
      <c r="A151" s="1264" t="s">
        <v>1439</v>
      </c>
      <c r="B151" s="1254"/>
      <c r="C151" s="1255"/>
      <c r="D151" s="1255"/>
      <c r="E151" s="1255"/>
      <c r="F151" s="1255"/>
      <c r="G151" s="1255"/>
      <c r="H151" s="1255"/>
      <c r="I151" s="1255"/>
      <c r="J151" s="1255"/>
      <c r="K151" s="1255"/>
      <c r="L151" s="1255"/>
      <c r="M151" s="1255"/>
      <c r="N151" s="1255"/>
      <c r="O151" s="1255"/>
      <c r="P151" s="1256"/>
      <c r="Q151" s="1255"/>
      <c r="R151" s="1255"/>
      <c r="S151" s="1255"/>
      <c r="T151" s="1255"/>
      <c r="U151" s="1256"/>
      <c r="V151" s="1256"/>
      <c r="W151" s="1256"/>
      <c r="X151" s="1256"/>
      <c r="Y151" s="1266" t="s">
        <v>70</v>
      </c>
      <c r="Z151" s="1264" t="s">
        <v>1439</v>
      </c>
      <c r="AA151" s="1267"/>
      <c r="AB151" s="1255"/>
      <c r="AC151" s="1255"/>
      <c r="AD151" s="1255"/>
      <c r="AE151" s="1255"/>
      <c r="AF151" s="1255"/>
      <c r="AG151" s="1255"/>
      <c r="AH151" s="1255"/>
      <c r="AI151" s="1255"/>
      <c r="AJ151" s="1255"/>
      <c r="AK151" s="1255"/>
      <c r="AL151" s="1255"/>
      <c r="AM151" s="1255"/>
      <c r="AN151" s="1255"/>
      <c r="AO151" s="1256"/>
      <c r="AP151" s="1255"/>
      <c r="AQ151" s="1255"/>
      <c r="AR151" s="1255"/>
      <c r="AS151" s="1255"/>
      <c r="AT151" s="1256"/>
      <c r="AU151" s="1256"/>
      <c r="AV151" s="1256"/>
      <c r="AW151" s="1256"/>
      <c r="AX151" s="1266" t="s">
        <v>70</v>
      </c>
      <c r="AY151" s="1258"/>
      <c r="AZ151" s="1258"/>
    </row>
    <row r="152" spans="1:60" s="1257" customFormat="1" ht="21" customHeight="1">
      <c r="A152" s="1268" t="s">
        <v>71</v>
      </c>
      <c r="B152" s="1269"/>
      <c r="C152" s="1270">
        <v>2014</v>
      </c>
      <c r="D152" s="1270">
        <v>2015</v>
      </c>
      <c r="E152" s="1270">
        <v>2016</v>
      </c>
      <c r="F152" s="1270">
        <v>2017</v>
      </c>
      <c r="G152" s="1270">
        <v>2018</v>
      </c>
      <c r="H152" s="1270">
        <v>2019</v>
      </c>
      <c r="I152" s="1270">
        <v>2020</v>
      </c>
      <c r="J152" s="1270">
        <v>2021</v>
      </c>
      <c r="K152" s="1270">
        <v>2022</v>
      </c>
      <c r="L152" s="1270">
        <v>2023</v>
      </c>
      <c r="M152" s="1270">
        <v>2024</v>
      </c>
      <c r="N152" s="1270">
        <v>2025</v>
      </c>
      <c r="O152" s="1270">
        <v>2026</v>
      </c>
      <c r="P152" s="1270">
        <v>2027</v>
      </c>
      <c r="Q152" s="1270">
        <v>2028</v>
      </c>
      <c r="R152" s="1270">
        <v>2029</v>
      </c>
      <c r="S152" s="1270">
        <v>2030</v>
      </c>
      <c r="T152" s="1270">
        <v>2031</v>
      </c>
      <c r="U152" s="1270">
        <v>2032</v>
      </c>
      <c r="V152" s="1270">
        <v>2033</v>
      </c>
      <c r="W152" s="1270">
        <v>2034</v>
      </c>
      <c r="X152" s="1270">
        <v>2035</v>
      </c>
      <c r="Y152" s="1271" t="s">
        <v>49</v>
      </c>
      <c r="Z152" s="1298" t="s">
        <v>71</v>
      </c>
      <c r="AA152" s="1299"/>
      <c r="AB152" s="1300">
        <v>2014</v>
      </c>
      <c r="AC152" s="1300">
        <v>2015</v>
      </c>
      <c r="AD152" s="1300">
        <v>2016</v>
      </c>
      <c r="AE152" s="1300">
        <v>2017</v>
      </c>
      <c r="AF152" s="1300">
        <v>2018</v>
      </c>
      <c r="AG152" s="1300">
        <v>2019</v>
      </c>
      <c r="AH152" s="1300">
        <v>2020</v>
      </c>
      <c r="AI152" s="1300">
        <v>2021</v>
      </c>
      <c r="AJ152" s="1300">
        <v>2022</v>
      </c>
      <c r="AK152" s="1300">
        <v>2023</v>
      </c>
      <c r="AL152" s="1300">
        <v>2024</v>
      </c>
      <c r="AM152" s="1300">
        <v>2025</v>
      </c>
      <c r="AN152" s="1300">
        <v>2026</v>
      </c>
      <c r="AO152" s="1300">
        <v>2027</v>
      </c>
      <c r="AP152" s="1300">
        <v>2028</v>
      </c>
      <c r="AQ152" s="1300">
        <v>2029</v>
      </c>
      <c r="AR152" s="1300">
        <v>2030</v>
      </c>
      <c r="AS152" s="1300">
        <v>2031</v>
      </c>
      <c r="AT152" s="1300">
        <v>2032</v>
      </c>
      <c r="AU152" s="1300">
        <v>2033</v>
      </c>
      <c r="AV152" s="1300">
        <v>2034</v>
      </c>
      <c r="AW152" s="1300">
        <v>2035</v>
      </c>
      <c r="AX152" s="1301" t="s">
        <v>97</v>
      </c>
      <c r="AY152" s="1258"/>
      <c r="AZ152" s="1258"/>
    </row>
    <row r="153" spans="1:60" s="1257" customFormat="1" ht="21" customHeight="1">
      <c r="A153" s="2539" t="s">
        <v>95</v>
      </c>
      <c r="B153" s="1274" t="str">
        <f>'1.4.3개발계획현황'!A31</f>
        <v>포그니아파트</v>
      </c>
      <c r="C153" s="1275">
        <f>IF(C$152='1.4.3개발계획현황'!$K31,'1.4.3개발계획현황'!$AA31,0)</f>
        <v>0</v>
      </c>
      <c r="D153" s="1275">
        <f>IF(D$152='1.4.3개발계획현황'!$K31,'1.4.3개발계획현황'!$AA31,C153)</f>
        <v>0</v>
      </c>
      <c r="E153" s="1275">
        <f>IF(E$152='1.4.3개발계획현황'!$K31,'1.4.3개발계획현황'!$AA31,D153)</f>
        <v>0</v>
      </c>
      <c r="F153" s="1275">
        <f>IF(F$152='1.4.3개발계획현황'!$K31,'1.4.3개발계획현황'!$AA31,E153)</f>
        <v>0</v>
      </c>
      <c r="G153" s="1275">
        <f>IF(G$152='1.4.3개발계획현황'!$K31,'1.4.3개발계획현황'!$AA31,F153)</f>
        <v>420</v>
      </c>
      <c r="H153" s="1275">
        <f>IF(H$152='1.4.3개발계획현황'!$K31,'1.4.3개발계획현황'!$AA31,G153)</f>
        <v>420</v>
      </c>
      <c r="I153" s="1275">
        <f>IF(I$152='1.4.3개발계획현황'!$K31,'1.4.3개발계획현황'!$AA31,H153)</f>
        <v>420</v>
      </c>
      <c r="J153" s="1275">
        <f>IF(J$152='1.4.3개발계획현황'!$K31,'1.4.3개발계획현황'!$AA31,I153)</f>
        <v>420</v>
      </c>
      <c r="K153" s="1275">
        <f>IF(K$152='1.4.3개발계획현황'!$K31,'1.4.3개발계획현황'!$AA31,J153)</f>
        <v>420</v>
      </c>
      <c r="L153" s="1275">
        <f>IF(L$152='1.4.3개발계획현황'!$K31,'1.4.3개발계획현황'!$AA31,K153)</f>
        <v>420</v>
      </c>
      <c r="M153" s="1275">
        <f>IF(M$152='1.4.3개발계획현황'!$K31,'1.4.3개발계획현황'!$AA31,L153)</f>
        <v>420</v>
      </c>
      <c r="N153" s="1275">
        <f>IF(N$152='1.4.3개발계획현황'!$K31,'1.4.3개발계획현황'!$AA31,M153)</f>
        <v>420</v>
      </c>
      <c r="O153" s="1275">
        <f>IF(O$152='1.4.3개발계획현황'!$K31,'1.4.3개발계획현황'!$AA31,N153)</f>
        <v>420</v>
      </c>
      <c r="P153" s="1275">
        <f>IF(P$152='1.4.3개발계획현황'!$K31,'1.4.3개발계획현황'!$AA31,O153)</f>
        <v>420</v>
      </c>
      <c r="Q153" s="1275">
        <f>IF(Q$152='1.4.3개발계획현황'!$K31,'1.4.3개발계획현황'!$AA31,P153)</f>
        <v>420</v>
      </c>
      <c r="R153" s="1275">
        <f>IF(R$152='1.4.3개발계획현황'!$K31,'1.4.3개발계획현황'!$AA31,Q153)</f>
        <v>420</v>
      </c>
      <c r="S153" s="1275">
        <f>IF(S$152='1.4.3개발계획현황'!$K31,'1.4.3개발계획현황'!$AA31,R153)</f>
        <v>420</v>
      </c>
      <c r="T153" s="1275">
        <f>IF(T$152='1.4.3개발계획현황'!$K31,'1.4.3개발계획현황'!$AA31,S153)</f>
        <v>420</v>
      </c>
      <c r="U153" s="1275">
        <f>IF(U$152='1.4.3개발계획현황'!$K31,'1.4.3개발계획현황'!$AA31,T153)</f>
        <v>420</v>
      </c>
      <c r="V153" s="1275">
        <f>IF(V$152='1.4.3개발계획현황'!$K31,'1.4.3개발계획현황'!$AA31,U153)</f>
        <v>420</v>
      </c>
      <c r="W153" s="1275">
        <f>IF(W$152='1.4.3개발계획현황'!$K31,'1.4.3개발계획현황'!$AA31,V153)</f>
        <v>420</v>
      </c>
      <c r="X153" s="1275">
        <f>IF(X$152='1.4.3개발계획현황'!$K31,'1.4.3개발계획현황'!$AA31,W153)</f>
        <v>420</v>
      </c>
      <c r="Y153" s="1276"/>
      <c r="Z153" s="2518" t="str">
        <f>A153</f>
        <v>공동주택
건설사업</v>
      </c>
      <c r="AA153" s="1303" t="str">
        <f>B153</f>
        <v>포그니아파트</v>
      </c>
      <c r="AB153" s="1374">
        <f t="shared" ref="AB153:AK155" si="444">ROUND(C153*$AX153,0)</f>
        <v>0</v>
      </c>
      <c r="AC153" s="1374">
        <f t="shared" si="444"/>
        <v>0</v>
      </c>
      <c r="AD153" s="1374">
        <f t="shared" si="444"/>
        <v>0</v>
      </c>
      <c r="AE153" s="1374">
        <f t="shared" si="444"/>
        <v>0</v>
      </c>
      <c r="AF153" s="1374">
        <f t="shared" si="444"/>
        <v>231</v>
      </c>
      <c r="AG153" s="1374">
        <f t="shared" si="444"/>
        <v>231</v>
      </c>
      <c r="AH153" s="1374">
        <f t="shared" si="444"/>
        <v>231</v>
      </c>
      <c r="AI153" s="1374">
        <f t="shared" si="444"/>
        <v>231</v>
      </c>
      <c r="AJ153" s="1374">
        <f t="shared" si="444"/>
        <v>231</v>
      </c>
      <c r="AK153" s="1374">
        <f t="shared" si="444"/>
        <v>231</v>
      </c>
      <c r="AL153" s="1374">
        <f t="shared" ref="AL153:AU155" si="445">ROUND(M153*$AX153,0)</f>
        <v>231</v>
      </c>
      <c r="AM153" s="1374">
        <f t="shared" si="445"/>
        <v>231</v>
      </c>
      <c r="AN153" s="1374">
        <f t="shared" si="445"/>
        <v>231</v>
      </c>
      <c r="AO153" s="1374">
        <f t="shared" si="445"/>
        <v>231</v>
      </c>
      <c r="AP153" s="1374">
        <f t="shared" si="445"/>
        <v>231</v>
      </c>
      <c r="AQ153" s="1374">
        <f t="shared" si="445"/>
        <v>231</v>
      </c>
      <c r="AR153" s="1374">
        <f t="shared" si="445"/>
        <v>231</v>
      </c>
      <c r="AS153" s="1374">
        <f t="shared" si="445"/>
        <v>231</v>
      </c>
      <c r="AT153" s="1374">
        <f t="shared" si="445"/>
        <v>231</v>
      </c>
      <c r="AU153" s="1374">
        <f t="shared" si="445"/>
        <v>231</v>
      </c>
      <c r="AV153" s="1374">
        <f t="shared" ref="AV153:AW155" si="446">ROUND(W153*$AX153,0)</f>
        <v>231</v>
      </c>
      <c r="AW153" s="1374">
        <f t="shared" si="446"/>
        <v>231</v>
      </c>
      <c r="AX153" s="1361">
        <v>0.55000000000000004</v>
      </c>
      <c r="AY153" s="1258"/>
      <c r="AZ153" s="1258"/>
    </row>
    <row r="154" spans="1:60" s="1257" customFormat="1" ht="21" customHeight="1">
      <c r="A154" s="2541"/>
      <c r="B154" s="1274" t="str">
        <f>'1.4.3개발계획현황'!A33</f>
        <v>대신리치빌</v>
      </c>
      <c r="C154" s="1275">
        <f>IF(C$152='1.4.3개발계획현황'!$K33,'1.4.3개발계획현황'!$AA33,0)</f>
        <v>0</v>
      </c>
      <c r="D154" s="1275">
        <f>IF(D$152='1.4.3개발계획현황'!$K33,'1.4.3개발계획현황'!$AA33,C154)</f>
        <v>0</v>
      </c>
      <c r="E154" s="1275">
        <f>IF(E$152='1.4.3개발계획현황'!$K33,'1.4.3개발계획현황'!$AA33,D154)</f>
        <v>0</v>
      </c>
      <c r="F154" s="1275">
        <f>IF(F$152='1.4.3개발계획현황'!$K33,'1.4.3개발계획현황'!$AA33,E154)</f>
        <v>0</v>
      </c>
      <c r="G154" s="1275">
        <f>IF(G$152='1.4.3개발계획현황'!$K33,'1.4.3개발계획현황'!$AA33,F154)</f>
        <v>206</v>
      </c>
      <c r="H154" s="1275">
        <f>IF(H$152='1.4.3개발계획현황'!$K33,'1.4.3개발계획현황'!$AA33,G154)</f>
        <v>206</v>
      </c>
      <c r="I154" s="1275">
        <f>IF(I$152='1.4.3개발계획현황'!$K33,'1.4.3개발계획현황'!$AA33,H154)</f>
        <v>206</v>
      </c>
      <c r="J154" s="1275">
        <f>IF(J$152='1.4.3개발계획현황'!$K33,'1.4.3개발계획현황'!$AA33,I154)</f>
        <v>206</v>
      </c>
      <c r="K154" s="1275">
        <f>IF(K$152='1.4.3개발계획현황'!$K33,'1.4.3개발계획현황'!$AA33,J154)</f>
        <v>206</v>
      </c>
      <c r="L154" s="1275">
        <f>IF(L$152='1.4.3개발계획현황'!$K33,'1.4.3개발계획현황'!$AA33,K154)</f>
        <v>206</v>
      </c>
      <c r="M154" s="1275">
        <f>IF(M$152='1.4.3개발계획현황'!$K33,'1.4.3개발계획현황'!$AA33,L154)</f>
        <v>206</v>
      </c>
      <c r="N154" s="1275">
        <f>IF(N$152='1.4.3개발계획현황'!$K33,'1.4.3개발계획현황'!$AA33,M154)</f>
        <v>206</v>
      </c>
      <c r="O154" s="1275">
        <f>IF(O$152='1.4.3개발계획현황'!$K33,'1.4.3개발계획현황'!$AA33,N154)</f>
        <v>206</v>
      </c>
      <c r="P154" s="1275">
        <f>IF(P$152='1.4.3개발계획현황'!$K33,'1.4.3개발계획현황'!$AA33,O154)</f>
        <v>206</v>
      </c>
      <c r="Q154" s="1275">
        <f>IF(Q$152='1.4.3개발계획현황'!$K33,'1.4.3개발계획현황'!$AA33,P154)</f>
        <v>206</v>
      </c>
      <c r="R154" s="1275">
        <f>IF(R$152='1.4.3개발계획현황'!$K33,'1.4.3개발계획현황'!$AA33,Q154)</f>
        <v>206</v>
      </c>
      <c r="S154" s="1275">
        <f>IF(S$152='1.4.3개발계획현황'!$K33,'1.4.3개발계획현황'!$AA33,R154)</f>
        <v>206</v>
      </c>
      <c r="T154" s="1275">
        <f>IF(T$152='1.4.3개발계획현황'!$K33,'1.4.3개발계획현황'!$AA33,S154)</f>
        <v>206</v>
      </c>
      <c r="U154" s="1275">
        <f>IF(U$152='1.4.3개발계획현황'!$K33,'1.4.3개발계획현황'!$AA33,T154)</f>
        <v>206</v>
      </c>
      <c r="V154" s="1275">
        <f>IF(V$152='1.4.3개발계획현황'!$K33,'1.4.3개발계획현황'!$AA33,U154)</f>
        <v>206</v>
      </c>
      <c r="W154" s="1275">
        <f>IF(W$152='1.4.3개발계획현황'!$K33,'1.4.3개발계획현황'!$AA33,V154)</f>
        <v>206</v>
      </c>
      <c r="X154" s="1275">
        <f>IF(X$152='1.4.3개발계획현황'!$K33,'1.4.3개발계획현황'!$AA33,W154)</f>
        <v>206</v>
      </c>
      <c r="Y154" s="1276"/>
      <c r="Z154" s="2507"/>
      <c r="AA154" s="1336" t="str">
        <f>B154</f>
        <v>대신리치빌</v>
      </c>
      <c r="AB154" s="1350">
        <f t="shared" si="444"/>
        <v>0</v>
      </c>
      <c r="AC154" s="1350">
        <f t="shared" si="444"/>
        <v>0</v>
      </c>
      <c r="AD154" s="1350">
        <f t="shared" si="444"/>
        <v>0</v>
      </c>
      <c r="AE154" s="1350">
        <f t="shared" si="444"/>
        <v>0</v>
      </c>
      <c r="AF154" s="1350">
        <f t="shared" si="444"/>
        <v>113</v>
      </c>
      <c r="AG154" s="1350">
        <f t="shared" si="444"/>
        <v>113</v>
      </c>
      <c r="AH154" s="1350">
        <f t="shared" si="444"/>
        <v>113</v>
      </c>
      <c r="AI154" s="1350">
        <f t="shared" si="444"/>
        <v>113</v>
      </c>
      <c r="AJ154" s="1350">
        <f t="shared" si="444"/>
        <v>113</v>
      </c>
      <c r="AK154" s="1350">
        <f t="shared" si="444"/>
        <v>113</v>
      </c>
      <c r="AL154" s="1350">
        <f t="shared" si="445"/>
        <v>113</v>
      </c>
      <c r="AM154" s="1350">
        <f t="shared" si="445"/>
        <v>113</v>
      </c>
      <c r="AN154" s="1350">
        <f t="shared" si="445"/>
        <v>113</v>
      </c>
      <c r="AO154" s="1350">
        <f t="shared" si="445"/>
        <v>113</v>
      </c>
      <c r="AP154" s="1350">
        <f t="shared" si="445"/>
        <v>113</v>
      </c>
      <c r="AQ154" s="1350">
        <f t="shared" si="445"/>
        <v>113</v>
      </c>
      <c r="AR154" s="1350">
        <f t="shared" si="445"/>
        <v>113</v>
      </c>
      <c r="AS154" s="1350">
        <f t="shared" si="445"/>
        <v>113</v>
      </c>
      <c r="AT154" s="1350">
        <f t="shared" si="445"/>
        <v>113</v>
      </c>
      <c r="AU154" s="1350">
        <f t="shared" si="445"/>
        <v>113</v>
      </c>
      <c r="AV154" s="1350">
        <f t="shared" si="446"/>
        <v>113</v>
      </c>
      <c r="AW154" s="1350">
        <f t="shared" si="446"/>
        <v>113</v>
      </c>
      <c r="AX154" s="1347">
        <v>0.55000000000000004</v>
      </c>
      <c r="AY154" s="1258"/>
      <c r="AZ154" s="1258"/>
    </row>
    <row r="155" spans="1:60" s="1257" customFormat="1" ht="21" customHeight="1">
      <c r="A155" s="2541"/>
      <c r="B155" s="1274" t="str">
        <f>'1.4.3개발계획현황'!A36</f>
        <v>감곡 오향리 아파트</v>
      </c>
      <c r="C155" s="1275">
        <f>IF(C$152='1.4.3개발계획현황'!$K36,'1.4.3개발계획현황'!$AA36,0)</f>
        <v>0</v>
      </c>
      <c r="D155" s="1275">
        <f>IF(D$152='1.4.3개발계획현황'!$K36,'1.4.3개발계획현황'!$AA36,C155)</f>
        <v>0</v>
      </c>
      <c r="E155" s="1275">
        <f>IF(E$152='1.4.3개발계획현황'!$K36,'1.4.3개발계획현황'!$AA36,D155)</f>
        <v>0</v>
      </c>
      <c r="F155" s="1275">
        <f>IF(F$152='1.4.3개발계획현황'!$K36,'1.4.3개발계획현황'!$AA36,E155)</f>
        <v>0</v>
      </c>
      <c r="G155" s="1275">
        <f>IF(G$152='1.4.3개발계획현황'!$K36,'1.4.3개발계획현황'!$AA36,F155)</f>
        <v>0</v>
      </c>
      <c r="H155" s="1275">
        <f>IF(H$152='1.4.3개발계획현황'!$K36,'1.4.3개발계획현황'!$AA36,G155)</f>
        <v>0</v>
      </c>
      <c r="I155" s="1275">
        <f>IF(I$152='1.4.3개발계획현황'!$K36,'1.4.3개발계획현황'!$AA36,H155)</f>
        <v>0</v>
      </c>
      <c r="J155" s="1275">
        <f>IF(J$152='1.4.3개발계획현황'!$K36,'1.4.3개발계획현황'!$AA36,I155)</f>
        <v>0</v>
      </c>
      <c r="K155" s="1275">
        <f>IF(K$152='1.4.3개발계획현황'!$K36,'1.4.3개발계획현황'!$AA36,J155)</f>
        <v>0</v>
      </c>
      <c r="L155" s="1275">
        <f>IF(L$152='1.4.3개발계획현황'!$K36,'1.4.3개발계획현황'!$AA36,K155)</f>
        <v>0</v>
      </c>
      <c r="M155" s="1275">
        <f>IF(M$152='1.4.3개발계획현황'!$K36,'1.4.3개발계획현황'!$AA36,L155)</f>
        <v>0</v>
      </c>
      <c r="N155" s="1275">
        <f>IF(N$152='1.4.3개발계획현황'!$K36,'1.4.3개발계획현황'!$AA36,M155)</f>
        <v>998</v>
      </c>
      <c r="O155" s="1275">
        <f>IF(O$152='1.4.3개발계획현황'!$K36,'1.4.3개발계획현황'!$AA36,N155)</f>
        <v>998</v>
      </c>
      <c r="P155" s="1275">
        <f>IF(P$152='1.4.3개발계획현황'!$K36,'1.4.3개발계획현황'!$AA36,O155)</f>
        <v>998</v>
      </c>
      <c r="Q155" s="1275">
        <f>IF(Q$152='1.4.3개발계획현황'!$K36,'1.4.3개발계획현황'!$AA36,P155)</f>
        <v>998</v>
      </c>
      <c r="R155" s="1275">
        <f>IF(R$152='1.4.3개발계획현황'!$K36,'1.4.3개발계획현황'!$AA36,Q155)</f>
        <v>998</v>
      </c>
      <c r="S155" s="1275">
        <f>IF(S$152='1.4.3개발계획현황'!$K36,'1.4.3개발계획현황'!$AA36,R155)</f>
        <v>998</v>
      </c>
      <c r="T155" s="1275">
        <f>IF(T$152='1.4.3개발계획현황'!$K36,'1.4.3개발계획현황'!$AA36,S155)</f>
        <v>998</v>
      </c>
      <c r="U155" s="1275">
        <f>IF(U$152='1.4.3개발계획현황'!$K36,'1.4.3개발계획현황'!$AA36,T155)</f>
        <v>998</v>
      </c>
      <c r="V155" s="1275">
        <f>IF(V$152='1.4.3개발계획현황'!$K36,'1.4.3개발계획현황'!$AA36,U155)</f>
        <v>998</v>
      </c>
      <c r="W155" s="1275">
        <f>IF(W$152='1.4.3개발계획현황'!$K36,'1.4.3개발계획현황'!$AA36,V155)</f>
        <v>998</v>
      </c>
      <c r="X155" s="1275">
        <f>IF(X$152='1.4.3개발계획현황'!$K36,'1.4.3개발계획현황'!$AA36,W155)</f>
        <v>998</v>
      </c>
      <c r="Y155" s="1276"/>
      <c r="Z155" s="2507"/>
      <c r="AA155" s="1336" t="str">
        <f>B155</f>
        <v>감곡 오향리 아파트</v>
      </c>
      <c r="AB155" s="1350">
        <f t="shared" si="444"/>
        <v>0</v>
      </c>
      <c r="AC155" s="1350">
        <f t="shared" si="444"/>
        <v>0</v>
      </c>
      <c r="AD155" s="1350">
        <f t="shared" si="444"/>
        <v>0</v>
      </c>
      <c r="AE155" s="1350">
        <f t="shared" si="444"/>
        <v>0</v>
      </c>
      <c r="AF155" s="1350">
        <f t="shared" si="444"/>
        <v>0</v>
      </c>
      <c r="AG155" s="1350">
        <f t="shared" si="444"/>
        <v>0</v>
      </c>
      <c r="AH155" s="1350">
        <f t="shared" si="444"/>
        <v>0</v>
      </c>
      <c r="AI155" s="1350">
        <f t="shared" si="444"/>
        <v>0</v>
      </c>
      <c r="AJ155" s="1350">
        <f t="shared" si="444"/>
        <v>0</v>
      </c>
      <c r="AK155" s="1350">
        <f t="shared" si="444"/>
        <v>0</v>
      </c>
      <c r="AL155" s="1350">
        <f t="shared" si="445"/>
        <v>0</v>
      </c>
      <c r="AM155" s="1350">
        <f t="shared" si="445"/>
        <v>549</v>
      </c>
      <c r="AN155" s="1350">
        <f t="shared" si="445"/>
        <v>549</v>
      </c>
      <c r="AO155" s="1350">
        <f t="shared" si="445"/>
        <v>549</v>
      </c>
      <c r="AP155" s="1350">
        <f t="shared" si="445"/>
        <v>549</v>
      </c>
      <c r="AQ155" s="1350">
        <f t="shared" si="445"/>
        <v>549</v>
      </c>
      <c r="AR155" s="1350">
        <f t="shared" si="445"/>
        <v>549</v>
      </c>
      <c r="AS155" s="1350">
        <f t="shared" si="445"/>
        <v>549</v>
      </c>
      <c r="AT155" s="1350">
        <f t="shared" si="445"/>
        <v>549</v>
      </c>
      <c r="AU155" s="1350">
        <f t="shared" si="445"/>
        <v>549</v>
      </c>
      <c r="AV155" s="1350">
        <f t="shared" si="446"/>
        <v>549</v>
      </c>
      <c r="AW155" s="1350">
        <f t="shared" si="446"/>
        <v>549</v>
      </c>
      <c r="AX155" s="1347">
        <v>0.55000000000000004</v>
      </c>
      <c r="AY155" s="1258"/>
      <c r="AZ155" s="1258"/>
    </row>
    <row r="156" spans="1:60" s="1257" customFormat="1" ht="21" customHeight="1">
      <c r="A156" s="2540"/>
      <c r="B156" s="1279" t="s">
        <v>72</v>
      </c>
      <c r="C156" s="1280">
        <f t="shared" ref="C156:X156" si="447">SUM(C153:C155)</f>
        <v>0</v>
      </c>
      <c r="D156" s="1280">
        <f t="shared" si="447"/>
        <v>0</v>
      </c>
      <c r="E156" s="1280">
        <f t="shared" si="447"/>
        <v>0</v>
      </c>
      <c r="F156" s="1280">
        <f t="shared" si="447"/>
        <v>0</v>
      </c>
      <c r="G156" s="1280">
        <f t="shared" si="447"/>
        <v>626</v>
      </c>
      <c r="H156" s="1280">
        <f t="shared" si="447"/>
        <v>626</v>
      </c>
      <c r="I156" s="1280">
        <f t="shared" si="447"/>
        <v>626</v>
      </c>
      <c r="J156" s="1280">
        <f t="shared" si="447"/>
        <v>626</v>
      </c>
      <c r="K156" s="1280">
        <f t="shared" si="447"/>
        <v>626</v>
      </c>
      <c r="L156" s="1280">
        <f t="shared" si="447"/>
        <v>626</v>
      </c>
      <c r="M156" s="1280">
        <f t="shared" si="447"/>
        <v>626</v>
      </c>
      <c r="N156" s="1280">
        <f t="shared" si="447"/>
        <v>1624</v>
      </c>
      <c r="O156" s="1280">
        <f t="shared" si="447"/>
        <v>1624</v>
      </c>
      <c r="P156" s="1280">
        <f t="shared" si="447"/>
        <v>1624</v>
      </c>
      <c r="Q156" s="1280">
        <f t="shared" si="447"/>
        <v>1624</v>
      </c>
      <c r="R156" s="1280">
        <f t="shared" si="447"/>
        <v>1624</v>
      </c>
      <c r="S156" s="1280">
        <f t="shared" si="447"/>
        <v>1624</v>
      </c>
      <c r="T156" s="1280">
        <f t="shared" si="447"/>
        <v>1624</v>
      </c>
      <c r="U156" s="1280">
        <f t="shared" si="447"/>
        <v>1624</v>
      </c>
      <c r="V156" s="1280">
        <f t="shared" si="447"/>
        <v>1624</v>
      </c>
      <c r="W156" s="1280">
        <f t="shared" si="447"/>
        <v>1624</v>
      </c>
      <c r="X156" s="1280">
        <f t="shared" si="447"/>
        <v>1624</v>
      </c>
      <c r="Y156" s="1281"/>
      <c r="Z156" s="2507"/>
      <c r="AA156" s="1308" t="s">
        <v>72</v>
      </c>
      <c r="AB156" s="1309">
        <f t="shared" ref="AB156:AW156" si="448">SUM(AB153:AB155)</f>
        <v>0</v>
      </c>
      <c r="AC156" s="1309">
        <f t="shared" si="448"/>
        <v>0</v>
      </c>
      <c r="AD156" s="1309">
        <f t="shared" si="448"/>
        <v>0</v>
      </c>
      <c r="AE156" s="1309">
        <f t="shared" si="448"/>
        <v>0</v>
      </c>
      <c r="AF156" s="1309">
        <f t="shared" si="448"/>
        <v>344</v>
      </c>
      <c r="AG156" s="1309">
        <f t="shared" si="448"/>
        <v>344</v>
      </c>
      <c r="AH156" s="1309">
        <f t="shared" si="448"/>
        <v>344</v>
      </c>
      <c r="AI156" s="1309">
        <f t="shared" si="448"/>
        <v>344</v>
      </c>
      <c r="AJ156" s="1309">
        <f t="shared" si="448"/>
        <v>344</v>
      </c>
      <c r="AK156" s="1309">
        <f t="shared" si="448"/>
        <v>344</v>
      </c>
      <c r="AL156" s="1309">
        <f t="shared" si="448"/>
        <v>344</v>
      </c>
      <c r="AM156" s="1309">
        <f t="shared" si="448"/>
        <v>893</v>
      </c>
      <c r="AN156" s="1309">
        <f t="shared" si="448"/>
        <v>893</v>
      </c>
      <c r="AO156" s="1309">
        <f t="shared" si="448"/>
        <v>893</v>
      </c>
      <c r="AP156" s="1309">
        <f t="shared" si="448"/>
        <v>893</v>
      </c>
      <c r="AQ156" s="1309">
        <f t="shared" si="448"/>
        <v>893</v>
      </c>
      <c r="AR156" s="1309">
        <f t="shared" si="448"/>
        <v>893</v>
      </c>
      <c r="AS156" s="1309">
        <f t="shared" si="448"/>
        <v>893</v>
      </c>
      <c r="AT156" s="1309">
        <f t="shared" si="448"/>
        <v>893</v>
      </c>
      <c r="AU156" s="1309">
        <f t="shared" si="448"/>
        <v>893</v>
      </c>
      <c r="AV156" s="1309">
        <f t="shared" si="448"/>
        <v>893</v>
      </c>
      <c r="AW156" s="1309">
        <f t="shared" si="448"/>
        <v>893</v>
      </c>
      <c r="AX156" s="1348"/>
      <c r="AY156" s="1258"/>
      <c r="AZ156" s="1258"/>
    </row>
    <row r="157" spans="1:60" s="1257" customFormat="1" ht="21" customHeight="1">
      <c r="A157" s="2431" t="s">
        <v>96</v>
      </c>
      <c r="B157" s="2432" t="str">
        <f>'1.4.3개발계획현황'!A45</f>
        <v>상우산업단지</v>
      </c>
      <c r="C157" s="2515">
        <f>IF(C$152='1.4.3개발계획현황'!$K$45,'1.4.3개발계획현황'!AA45,0)</f>
        <v>0</v>
      </c>
      <c r="D157" s="1280"/>
      <c r="E157" s="1280"/>
      <c r="F157" s="1280"/>
      <c r="G157" s="1280"/>
      <c r="H157" s="1280"/>
      <c r="I157" s="2515">
        <f>IF(I$152='1.4.3개발계획현황'!$K45,'1.4.3개발계획현황'!$AA45,H159)</f>
        <v>2249</v>
      </c>
      <c r="J157" s="1280"/>
      <c r="K157" s="1280"/>
      <c r="L157" s="1280"/>
      <c r="M157" s="1280"/>
      <c r="N157" s="2515">
        <f>IF(N$152='1.4.3개발계획현황'!$K45,'1.4.3개발계획현황'!$AA45,M159)</f>
        <v>2249</v>
      </c>
      <c r="O157" s="1280"/>
      <c r="P157" s="1280"/>
      <c r="Q157" s="1280"/>
      <c r="R157" s="1280"/>
      <c r="S157" s="2515">
        <f>IF(S$152='1.4.3개발계획현황'!$K45,'1.4.3개발계획현황'!$AA45,R159)</f>
        <v>2249</v>
      </c>
      <c r="T157" s="1280"/>
      <c r="U157" s="1280"/>
      <c r="V157" s="1280"/>
      <c r="W157" s="1280"/>
      <c r="X157" s="2515">
        <f>IF(X$152='1.4.3개발계획현황'!$K45,'1.4.3개발계획현황'!$AA45,W159)</f>
        <v>2249</v>
      </c>
      <c r="Y157" s="2516"/>
      <c r="Z157" s="2507" t="str">
        <f>A157</f>
        <v>산업단지
조성사업</v>
      </c>
      <c r="AA157" s="1336" t="str">
        <f>CONCATENATE(AA159," 중복제외 전")</f>
        <v>상우산업단지 중복제외 전</v>
      </c>
      <c r="AB157" s="1311">
        <f>ROUND(C157*$AX157,0)</f>
        <v>0</v>
      </c>
      <c r="AC157" s="1311">
        <f>ROUND(D159*$AX157,0)</f>
        <v>0</v>
      </c>
      <c r="AD157" s="1311">
        <f>ROUND(E159*$AX157,0)</f>
        <v>0</v>
      </c>
      <c r="AE157" s="1311">
        <f>ROUND(F159*$AX157,0)</f>
        <v>0</v>
      </c>
      <c r="AF157" s="1311">
        <f>ROUND(G159*$AX157,0)</f>
        <v>0</v>
      </c>
      <c r="AG157" s="1311">
        <f>ROUND(H159*$AX157,0)</f>
        <v>0</v>
      </c>
      <c r="AH157" s="1311">
        <f>ROUND(I157*$AX157,0)*0.2</f>
        <v>202.4</v>
      </c>
      <c r="AI157" s="1311">
        <f>ROUND(J159*$AX157,0)*0.6</f>
        <v>607.19999999999993</v>
      </c>
      <c r="AJ157" s="1311">
        <f>ROUND(K159*$AX157,0)</f>
        <v>1012</v>
      </c>
      <c r="AK157" s="1311">
        <f>ROUND(L159*$AX157,0)</f>
        <v>1012</v>
      </c>
      <c r="AL157" s="1311">
        <f>ROUND(M159*$AX157,0)</f>
        <v>1012</v>
      </c>
      <c r="AM157" s="1311">
        <f>ROUND(N157*$AX157,0)</f>
        <v>1012</v>
      </c>
      <c r="AN157" s="1311">
        <f>ROUND(O159*$AX157,0)</f>
        <v>1012</v>
      </c>
      <c r="AO157" s="1311">
        <f>ROUND(P159*$AX157,0)</f>
        <v>1012</v>
      </c>
      <c r="AP157" s="1311">
        <f>ROUND(Q159*$AX157,0)</f>
        <v>1012</v>
      </c>
      <c r="AQ157" s="1311">
        <f>ROUND(R159*$AX157,0)</f>
        <v>1012</v>
      </c>
      <c r="AR157" s="1311">
        <f>ROUND(S157*$AX157,0)</f>
        <v>1012</v>
      </c>
      <c r="AS157" s="1311">
        <f>ROUND(T159*$AX157,0)</f>
        <v>1012</v>
      </c>
      <c r="AT157" s="1311">
        <f>ROUND(U159*$AX157,0)</f>
        <v>1012</v>
      </c>
      <c r="AU157" s="1311">
        <f>ROUND(V159*$AX157,0)</f>
        <v>1012</v>
      </c>
      <c r="AV157" s="1311">
        <f>ROUND(W159*$AX157,0)</f>
        <v>1012</v>
      </c>
      <c r="AW157" s="1311">
        <f>ROUND(X157*$AX157,0)</f>
        <v>1012</v>
      </c>
      <c r="AX157" s="1347">
        <v>0.45</v>
      </c>
      <c r="AY157" s="1258"/>
      <c r="AZ157" s="1258"/>
    </row>
    <row r="158" spans="1:60" s="1257" customFormat="1" ht="21" customHeight="1">
      <c r="A158" s="2431"/>
      <c r="B158" s="2432"/>
      <c r="C158" s="2515"/>
      <c r="D158" s="1280"/>
      <c r="E158" s="1280"/>
      <c r="F158" s="1280"/>
      <c r="G158" s="1280"/>
      <c r="H158" s="1280"/>
      <c r="I158" s="2515"/>
      <c r="J158" s="1280"/>
      <c r="K158" s="1280"/>
      <c r="L158" s="1280"/>
      <c r="M158" s="1280"/>
      <c r="N158" s="2515"/>
      <c r="O158" s="1280"/>
      <c r="P158" s="1280"/>
      <c r="Q158" s="1280"/>
      <c r="R158" s="1280"/>
      <c r="S158" s="2515"/>
      <c r="T158" s="1280"/>
      <c r="U158" s="1280"/>
      <c r="V158" s="1280"/>
      <c r="W158" s="1280"/>
      <c r="X158" s="2515"/>
      <c r="Y158" s="2516"/>
      <c r="Z158" s="2507"/>
      <c r="AA158" s="1336" t="str">
        <f>CONCATENATE(AA159," 중복제외인구")</f>
        <v>상우산업단지 중복제외인구</v>
      </c>
      <c r="AB158" s="1311">
        <f>ROUND(C157*$AX158,0)</f>
        <v>0</v>
      </c>
      <c r="AC158" s="1311">
        <f>ROUND(D159*$AX158,0)</f>
        <v>0</v>
      </c>
      <c r="AD158" s="1311">
        <f>-ROUND(IF(E159&gt;0,SUMIF('사회적 유입 중복인구 제외근거'!$E$6:$E$53,$AA159,'사회적 유입 중복인구 제외근거'!$F$6:$F$53),0),0)</f>
        <v>0</v>
      </c>
      <c r="AE158" s="1311">
        <f>-ROUND(IF(F159&gt;0,SUMIF('사회적 유입 중복인구 제외근거'!$E$6:$E$53,$AA159,'사회적 유입 중복인구 제외근거'!$F$6:$F$53),0),0)</f>
        <v>0</v>
      </c>
      <c r="AF158" s="1311">
        <f>-ROUND(IF(G159&gt;0,SUMIF('사회적 유입 중복인구 제외근거'!$E$6:$E$53,$AA159,'사회적 유입 중복인구 제외근거'!$F$6:$F$53),0),0)</f>
        <v>0</v>
      </c>
      <c r="AG158" s="1311">
        <f>-ROUND(IF(H159&gt;0,SUMIF('사회적 유입 중복인구 제외근거'!$E$6:$E$53,$AA159,'사회적 유입 중복인구 제외근거'!$F$6:$F$53),0),0)</f>
        <v>0</v>
      </c>
      <c r="AH158" s="1311">
        <f>-ROUND(IF(I157&gt;0,SUMIF('사회적 유입 중복인구 제외근거'!$E$6:$E$53,$AA159,'사회적 유입 중복인구 제외근거'!$F$6:$F$53),0),0)*0.2</f>
        <v>-68.8</v>
      </c>
      <c r="AI158" s="1311">
        <f>-ROUND(IF(J159&gt;0,SUMIF('사회적 유입 중복인구 제외근거'!$E$6:$E$53,$AA159,'사회적 유입 중복인구 제외근거'!$F$6:$F$53),0),0)*0.6</f>
        <v>-206.4</v>
      </c>
      <c r="AJ158" s="1311">
        <f>-ROUND(IF(K159&gt;0,SUMIF('사회적 유입 중복인구 제외근거'!$E$6:$E$53,$AA159,'사회적 유입 중복인구 제외근거'!$F$6:$F$53),0),0)</f>
        <v>-344</v>
      </c>
      <c r="AK158" s="1311">
        <f>-ROUND(IF(L159&gt;0,SUMIF('사회적 유입 중복인구 제외근거'!$E$6:$E$53,$AA159,'사회적 유입 중복인구 제외근거'!$F$6:$F$53),0),0)</f>
        <v>-344</v>
      </c>
      <c r="AL158" s="1311">
        <f>-ROUND(IF(M159&gt;0,SUMIF('사회적 유입 중복인구 제외근거'!$E$6:$E$53,$AA159,'사회적 유입 중복인구 제외근거'!$F$6:$F$53),0),0)</f>
        <v>-344</v>
      </c>
      <c r="AM158" s="1311">
        <f>-ROUND(IF(N157&gt;0,SUMIF('사회적 유입 중복인구 제외근거'!$E$6:$E$53,$AA159,'사회적 유입 중복인구 제외근거'!$F$6:$F$53),0),0)</f>
        <v>-344</v>
      </c>
      <c r="AN158" s="1311">
        <f>-ROUND(IF(O159&gt;0,SUMIF('사회적 유입 중복인구 제외근거'!$E$6:$E$53,$AA159,'사회적 유입 중복인구 제외근거'!$F$6:$F$53),0),0)</f>
        <v>-344</v>
      </c>
      <c r="AO158" s="1311">
        <f>-ROUND(IF(P159&gt;0,SUMIF('사회적 유입 중복인구 제외근거'!$E$6:$E$53,$AA159,'사회적 유입 중복인구 제외근거'!$F$6:$F$53),0),0)</f>
        <v>-344</v>
      </c>
      <c r="AP158" s="1311">
        <f>-ROUND(IF(Q159&gt;0,SUMIF('사회적 유입 중복인구 제외근거'!$E$6:$E$53,$AA159,'사회적 유입 중복인구 제외근거'!$F$6:$F$53),0),0)</f>
        <v>-344</v>
      </c>
      <c r="AQ158" s="1311">
        <f>-ROUND(IF(R159&gt;0,SUMIF('사회적 유입 중복인구 제외근거'!$E$6:$E$53,$AA159,'사회적 유입 중복인구 제외근거'!$F$6:$F$53),0),0)</f>
        <v>-344</v>
      </c>
      <c r="AR158" s="1311">
        <f>-ROUND(IF(S157&gt;0,SUMIF('사회적 유입 중복인구 제외근거'!$E$6:$E$53,$AA159,'사회적 유입 중복인구 제외근거'!$F$6:$F$53),0),0)</f>
        <v>-344</v>
      </c>
      <c r="AS158" s="1311">
        <f>-ROUND(IF(T159&gt;0,SUMIF('사회적 유입 중복인구 제외근거'!$E$6:$E$53,$AA159,'사회적 유입 중복인구 제외근거'!$F$6:$F$53),0),0)</f>
        <v>-344</v>
      </c>
      <c r="AT158" s="1311">
        <f>-ROUND(IF(U159&gt;0,SUMIF('사회적 유입 중복인구 제외근거'!$E$6:$E$53,$AA159,'사회적 유입 중복인구 제외근거'!$F$6:$F$53),0),0)</f>
        <v>-344</v>
      </c>
      <c r="AU158" s="1311">
        <f>-ROUND(IF(V159&gt;0,SUMIF('사회적 유입 중복인구 제외근거'!$E$6:$E$53,$AA159,'사회적 유입 중복인구 제외근거'!$F$6:$F$53),0),0)</f>
        <v>-344</v>
      </c>
      <c r="AV158" s="1311">
        <f>-ROUND(IF(W159&gt;0,SUMIF('사회적 유입 중복인구 제외근거'!$E$6:$E$53,$AA159,'사회적 유입 중복인구 제외근거'!$F$6:$F$53),0),0)</f>
        <v>-344</v>
      </c>
      <c r="AW158" s="1311">
        <f>-ROUND(IF(X157&gt;0,SUMIF('사회적 유입 중복인구 제외근거'!$E$6:$E$53,$AA159,'사회적 유입 중복인구 제외근거'!$F$6:$F$53),0),0)</f>
        <v>-344</v>
      </c>
      <c r="AX158" s="1347"/>
      <c r="AY158" s="1258"/>
      <c r="AZ158" s="1258"/>
    </row>
    <row r="159" spans="1:60" s="1257" customFormat="1" ht="21" customHeight="1">
      <c r="A159" s="2431"/>
      <c r="B159" s="2432"/>
      <c r="C159" s="2515"/>
      <c r="D159" s="1275">
        <f>IF(D$152='1.4.3개발계획현황'!$K45,'1.4.3개발계획현황'!$AA45,C157)</f>
        <v>0</v>
      </c>
      <c r="E159" s="1275">
        <f>IF(E$152='1.4.3개발계획현황'!$K45,'1.4.3개발계획현황'!$AA45,D159)</f>
        <v>0</v>
      </c>
      <c r="F159" s="1275">
        <f>IF(F$152='1.4.3개발계획현황'!$K45,'1.4.3개발계획현황'!$AA45,E159)</f>
        <v>0</v>
      </c>
      <c r="G159" s="1275">
        <f>IF(G$152='1.4.3개발계획현황'!$K45,'1.4.3개발계획현황'!$AA45,F159)</f>
        <v>0</v>
      </c>
      <c r="H159" s="1275">
        <f>IF(H$152='1.4.3개발계획현황'!$K45,'1.4.3개발계획현황'!$AA45,G159)</f>
        <v>0</v>
      </c>
      <c r="I159" s="2515"/>
      <c r="J159" s="1275">
        <f>IF(J$152='1.4.3개발계획현황'!$K45,'1.4.3개발계획현황'!$AA45,I157)</f>
        <v>2249</v>
      </c>
      <c r="K159" s="1275">
        <f>IF(K$152='1.4.3개발계획현황'!$K45,'1.4.3개발계획현황'!$AA45,J159)</f>
        <v>2249</v>
      </c>
      <c r="L159" s="1275">
        <f>IF(L$152='1.4.3개발계획현황'!$K45,'1.4.3개발계획현황'!$AA45,K159)</f>
        <v>2249</v>
      </c>
      <c r="M159" s="1275">
        <f>IF(M$152='1.4.3개발계획현황'!$K45,'1.4.3개발계획현황'!$AA45,L159)</f>
        <v>2249</v>
      </c>
      <c r="N159" s="2515"/>
      <c r="O159" s="1275">
        <f>IF(O$152='1.4.3개발계획현황'!$K45,'1.4.3개발계획현황'!$AA45,N157)</f>
        <v>2249</v>
      </c>
      <c r="P159" s="1275">
        <f>IF(P$152='1.4.3개발계획현황'!$K45,'1.4.3개발계획현황'!$AA45,O159)</f>
        <v>2249</v>
      </c>
      <c r="Q159" s="1275">
        <f>IF(Q$152='1.4.3개발계획현황'!$K45,'1.4.3개발계획현황'!$AA45,P159)</f>
        <v>2249</v>
      </c>
      <c r="R159" s="1275">
        <f>IF(R$152='1.4.3개발계획현황'!$K45,'1.4.3개발계획현황'!$AA45,Q159)</f>
        <v>2249</v>
      </c>
      <c r="S159" s="2515"/>
      <c r="T159" s="1275">
        <f>IF(T$152='1.4.3개발계획현황'!$K45,'1.4.3개발계획현황'!$AA45,S157)</f>
        <v>2249</v>
      </c>
      <c r="U159" s="1275">
        <f>IF(U$152='1.4.3개발계획현황'!$K45,'1.4.3개발계획현황'!$AA45,T159)</f>
        <v>2249</v>
      </c>
      <c r="V159" s="1275">
        <f>IF(V$152='1.4.3개발계획현황'!$K45,'1.4.3개발계획현황'!$AA45,U159)</f>
        <v>2249</v>
      </c>
      <c r="W159" s="1275">
        <f>IF(W$152='1.4.3개발계획현황'!$K45,'1.4.3개발계획현황'!$AA45,V159)</f>
        <v>2249</v>
      </c>
      <c r="X159" s="2515"/>
      <c r="Y159" s="2516"/>
      <c r="Z159" s="2507"/>
      <c r="AA159" s="1353" t="str">
        <f>B157</f>
        <v>상우산업단지</v>
      </c>
      <c r="AB159" s="1337">
        <f>ROUND(AB157+AB158,0)</f>
        <v>0</v>
      </c>
      <c r="AC159" s="1337">
        <f t="shared" ref="AC159:AW159" si="449">ROUND(AC157+AC158,0)</f>
        <v>0</v>
      </c>
      <c r="AD159" s="1337">
        <f t="shared" si="449"/>
        <v>0</v>
      </c>
      <c r="AE159" s="1337">
        <f t="shared" si="449"/>
        <v>0</v>
      </c>
      <c r="AF159" s="1337">
        <f t="shared" si="449"/>
        <v>0</v>
      </c>
      <c r="AG159" s="1337">
        <f t="shared" si="449"/>
        <v>0</v>
      </c>
      <c r="AH159" s="1337">
        <f t="shared" si="449"/>
        <v>134</v>
      </c>
      <c r="AI159" s="1337">
        <f t="shared" si="449"/>
        <v>401</v>
      </c>
      <c r="AJ159" s="1337">
        <f t="shared" si="449"/>
        <v>668</v>
      </c>
      <c r="AK159" s="1337">
        <f t="shared" si="449"/>
        <v>668</v>
      </c>
      <c r="AL159" s="1337">
        <f t="shared" si="449"/>
        <v>668</v>
      </c>
      <c r="AM159" s="1337">
        <f t="shared" si="449"/>
        <v>668</v>
      </c>
      <c r="AN159" s="1337">
        <f t="shared" si="449"/>
        <v>668</v>
      </c>
      <c r="AO159" s="1337">
        <f t="shared" si="449"/>
        <v>668</v>
      </c>
      <c r="AP159" s="1337">
        <f t="shared" si="449"/>
        <v>668</v>
      </c>
      <c r="AQ159" s="1337">
        <f t="shared" si="449"/>
        <v>668</v>
      </c>
      <c r="AR159" s="1337">
        <f t="shared" si="449"/>
        <v>668</v>
      </c>
      <c r="AS159" s="1337">
        <f t="shared" si="449"/>
        <v>668</v>
      </c>
      <c r="AT159" s="1337">
        <f t="shared" si="449"/>
        <v>668</v>
      </c>
      <c r="AU159" s="1337">
        <f t="shared" si="449"/>
        <v>668</v>
      </c>
      <c r="AV159" s="1337">
        <f t="shared" si="449"/>
        <v>668</v>
      </c>
      <c r="AW159" s="1337">
        <f t="shared" si="449"/>
        <v>668</v>
      </c>
      <c r="AX159" s="1338"/>
      <c r="AY159" s="1258"/>
      <c r="AZ159" s="1258"/>
    </row>
    <row r="160" spans="1:60" s="1257" customFormat="1" ht="21" customHeight="1">
      <c r="A160" s="2539"/>
      <c r="B160" s="2432" t="str">
        <f>'1.4.3개발계획현황'!A55</f>
        <v>사곡산업단지</v>
      </c>
      <c r="C160" s="2515">
        <f>IF(C$152='1.4.3개발계획현황'!$K$55,'1.4.3개발계획현황'!AA55,0)</f>
        <v>0</v>
      </c>
      <c r="D160" s="1280"/>
      <c r="E160" s="1280"/>
      <c r="F160" s="1280"/>
      <c r="G160" s="1280"/>
      <c r="H160" s="1280"/>
      <c r="I160" s="2515">
        <f>IF(I$152='1.4.3개발계획현황'!$K55,'1.4.3개발계획현황'!$AA55,H162)</f>
        <v>0</v>
      </c>
      <c r="J160" s="1280"/>
      <c r="K160" s="1280"/>
      <c r="L160" s="1280"/>
      <c r="M160" s="1280"/>
      <c r="N160" s="2515">
        <f>IF(N$152='1.4.3개발계획현황'!$K55,'1.4.3개발계획현황'!$AA55,M162)</f>
        <v>0</v>
      </c>
      <c r="O160" s="1280"/>
      <c r="P160" s="1280"/>
      <c r="Q160" s="1280"/>
      <c r="R160" s="1280"/>
      <c r="S160" s="2515">
        <f>IF(S$152='1.4.3개발계획현황'!$K55,'1.4.3개발계획현황'!$AA55,R162)</f>
        <v>0</v>
      </c>
      <c r="T160" s="1280"/>
      <c r="U160" s="1280"/>
      <c r="V160" s="1280"/>
      <c r="W160" s="1280"/>
      <c r="X160" s="2515">
        <f>IF(X$152='1.4.3개발계획현황'!$K55,'1.4.3개발계획현황'!$AA55,W162)</f>
        <v>4952</v>
      </c>
      <c r="Y160" s="2516"/>
      <c r="Z160" s="2507"/>
      <c r="AA160" s="1336" t="str">
        <f>CONCATENATE(AA162," 중복제외 전")</f>
        <v>사곡산업단지 중복제외 전</v>
      </c>
      <c r="AB160" s="1311">
        <f>ROUND(C160*$AX160,0)</f>
        <v>0</v>
      </c>
      <c r="AC160" s="1311">
        <f>ROUND(D162*$AX160,0)</f>
        <v>0</v>
      </c>
      <c r="AD160" s="1311">
        <f>ROUND(E162*$AX160,0)</f>
        <v>0</v>
      </c>
      <c r="AE160" s="1311">
        <f>ROUND(F162*$AX160,0)</f>
        <v>0</v>
      </c>
      <c r="AF160" s="1311">
        <f>ROUND(G162*$AX160,0)</f>
        <v>0</v>
      </c>
      <c r="AG160" s="1311">
        <f>ROUND(H162*$AX160,0)</f>
        <v>0</v>
      </c>
      <c r="AH160" s="1311">
        <f>ROUND(I160*$AX160,0)</f>
        <v>0</v>
      </c>
      <c r="AI160" s="1311">
        <f>ROUND(J162*$AX160,0)</f>
        <v>0</v>
      </c>
      <c r="AJ160" s="1311">
        <f>ROUND(K162*$AX160,0)</f>
        <v>0</v>
      </c>
      <c r="AK160" s="1311">
        <f>ROUND(L162*$AX160,0)</f>
        <v>0</v>
      </c>
      <c r="AL160" s="1311">
        <f>ROUND(M162*$AX160,0)</f>
        <v>0</v>
      </c>
      <c r="AM160" s="1311">
        <f>ROUND(N160*$AX160,0)</f>
        <v>0</v>
      </c>
      <c r="AN160" s="1311">
        <f>ROUND(O162*$AX160,0)</f>
        <v>0</v>
      </c>
      <c r="AO160" s="1311">
        <f>ROUND(P162*$AX160,0)</f>
        <v>0</v>
      </c>
      <c r="AP160" s="1311">
        <f>ROUND(Q162*$AX160,0)</f>
        <v>0</v>
      </c>
      <c r="AQ160" s="1311">
        <f>ROUND(R162*$AX160,0)</f>
        <v>0</v>
      </c>
      <c r="AR160" s="1311">
        <f>ROUND(S160*$AX160,0)*0.2</f>
        <v>0</v>
      </c>
      <c r="AS160" s="1311">
        <f>ROUND(T162*$AX160,0)*0.6</f>
        <v>0</v>
      </c>
      <c r="AT160" s="1311">
        <f>ROUND(U162*$AX160,0)</f>
        <v>0</v>
      </c>
      <c r="AU160" s="1311">
        <f>ROUND(V162*$AX160,0)</f>
        <v>0</v>
      </c>
      <c r="AV160" s="1311">
        <f>ROUND(W162*$AX160,0)</f>
        <v>0</v>
      </c>
      <c r="AW160" s="1311">
        <f>ROUND(X160*$AX160,0)</f>
        <v>2228</v>
      </c>
      <c r="AX160" s="1347">
        <v>0.45</v>
      </c>
      <c r="AY160" s="1258"/>
      <c r="AZ160" s="1258"/>
    </row>
    <row r="161" spans="1:52" s="1257" customFormat="1" ht="21" customHeight="1">
      <c r="A161" s="2539"/>
      <c r="B161" s="2432"/>
      <c r="C161" s="2515"/>
      <c r="D161" s="1280"/>
      <c r="E161" s="1280"/>
      <c r="F161" s="1280"/>
      <c r="G161" s="1280"/>
      <c r="H161" s="1280"/>
      <c r="I161" s="2515"/>
      <c r="J161" s="1280"/>
      <c r="K161" s="1280"/>
      <c r="L161" s="1280"/>
      <c r="M161" s="1280"/>
      <c r="N161" s="2515"/>
      <c r="O161" s="1280"/>
      <c r="P161" s="1280"/>
      <c r="Q161" s="1280"/>
      <c r="R161" s="1280"/>
      <c r="S161" s="2515"/>
      <c r="T161" s="1280"/>
      <c r="U161" s="1280"/>
      <c r="V161" s="1280"/>
      <c r="W161" s="1280"/>
      <c r="X161" s="2515"/>
      <c r="Y161" s="2516"/>
      <c r="Z161" s="2507"/>
      <c r="AA161" s="1336" t="str">
        <f>CONCATENATE(AA162," 중복제외인구")</f>
        <v>사곡산업단지 중복제외인구</v>
      </c>
      <c r="AB161" s="1311">
        <f>ROUND(C160*$AX161,0)</f>
        <v>0</v>
      </c>
      <c r="AC161" s="1311">
        <f>ROUND(D162*$AX161,0)</f>
        <v>0</v>
      </c>
      <c r="AD161" s="1311">
        <f>-ROUND(IF(E162&gt;0,SUMIF('사회적 유입 중복인구 제외근거'!$E$6:$E$53,$AA162,'사회적 유입 중복인구 제외근거'!$F$6:$F$53),0),0)</f>
        <v>0</v>
      </c>
      <c r="AE161" s="1311">
        <f>-ROUND(IF(F162&gt;0,SUMIF('사회적 유입 중복인구 제외근거'!$E$6:$E$53,$AA162,'사회적 유입 중복인구 제외근거'!$F$6:$F$53),0),0)</f>
        <v>0</v>
      </c>
      <c r="AF161" s="1311">
        <f>-ROUND(IF(G162&gt;0,SUMIF('사회적 유입 중복인구 제외근거'!$E$6:$E$53,$AA162,'사회적 유입 중복인구 제외근거'!$F$6:$F$53),0),0)</f>
        <v>0</v>
      </c>
      <c r="AG161" s="1311">
        <f>-ROUND(IF(H162&gt;0,SUMIF('사회적 유입 중복인구 제외근거'!$E$6:$E$53,$AA162,'사회적 유입 중복인구 제외근거'!$F$6:$F$53),0),0)</f>
        <v>0</v>
      </c>
      <c r="AH161" s="1311">
        <f>-ROUND(IF(I160&gt;0,SUMIF('사회적 유입 중복인구 제외근거'!$E$6:$E$53,$AA162,'사회적 유입 중복인구 제외근거'!$F$6:$F$53),0),0)</f>
        <v>0</v>
      </c>
      <c r="AI161" s="1311">
        <f>-ROUND(IF(J162&gt;0,SUMIF('사회적 유입 중복인구 제외근거'!$E$6:$E$53,$AA162,'사회적 유입 중복인구 제외근거'!$F$6:$F$53),0),0)</f>
        <v>0</v>
      </c>
      <c r="AJ161" s="1311">
        <f>-ROUND(IF(K162&gt;0,SUMIF('사회적 유입 중복인구 제외근거'!$E$6:$E$53,$AA162,'사회적 유입 중복인구 제외근거'!$F$6:$F$53),0),0)</f>
        <v>0</v>
      </c>
      <c r="AK161" s="1311">
        <f>-ROUND(IF(L162&gt;0,SUMIF('사회적 유입 중복인구 제외근거'!$E$6:$E$53,$AA162,'사회적 유입 중복인구 제외근거'!$F$6:$F$53),0),0)</f>
        <v>0</v>
      </c>
      <c r="AL161" s="1311">
        <f>-ROUND(IF(M162&gt;0,SUMIF('사회적 유입 중복인구 제외근거'!$E$6:$E$53,$AA162,'사회적 유입 중복인구 제외근거'!$F$6:$F$53),0),0)</f>
        <v>0</v>
      </c>
      <c r="AM161" s="1311">
        <f>-ROUND(IF(N160&gt;0,SUMIF('사회적 유입 중복인구 제외근거'!$E$6:$E$53,$AA162,'사회적 유입 중복인구 제외근거'!$F$6:$F$53),0),0)</f>
        <v>0</v>
      </c>
      <c r="AN161" s="1311">
        <f>-ROUND(IF(O162&gt;0,SUMIF('사회적 유입 중복인구 제외근거'!$E$6:$E$53,$AA162,'사회적 유입 중복인구 제외근거'!$F$6:$F$53),0),0)</f>
        <v>0</v>
      </c>
      <c r="AO161" s="1311">
        <f>-ROUND(IF(P162&gt;0,SUMIF('사회적 유입 중복인구 제외근거'!$E$6:$E$53,$AA162,'사회적 유입 중복인구 제외근거'!$F$6:$F$53),0),0)</f>
        <v>0</v>
      </c>
      <c r="AP161" s="1311">
        <f>-ROUND(IF(Q162&gt;0,SUMIF('사회적 유입 중복인구 제외근거'!$E$6:$E$53,$AA162,'사회적 유입 중복인구 제외근거'!$F$6:$F$53),0),0)</f>
        <v>0</v>
      </c>
      <c r="AQ161" s="1311">
        <f>-ROUND(IF(R162&gt;0,SUMIF('사회적 유입 중복인구 제외근거'!$E$6:$E$53,$AA162,'사회적 유입 중복인구 제외근거'!$F$6:$F$53),0),0)</f>
        <v>0</v>
      </c>
      <c r="AR161" s="1311">
        <f>-ROUND(IF(S160&gt;0,SUMIF('사회적 유입 중복인구 제외근거'!$E$6:$E$53,$AA162,'사회적 유입 중복인구 제외근거'!$F$6:$F$53),0),0)*0.2</f>
        <v>0</v>
      </c>
      <c r="AS161" s="1311">
        <f>-ROUND(IF(T162&gt;0,SUMIF('사회적 유입 중복인구 제외근거'!$E$6:$E$53,$AA162,'사회적 유입 중복인구 제외근거'!$F$6:$F$53),0),0)*0.6</f>
        <v>0</v>
      </c>
      <c r="AT161" s="1311">
        <f>-ROUND(IF(U162&gt;0,SUMIF('사회적 유입 중복인구 제외근거'!$E$6:$E$53,$AA162,'사회적 유입 중복인구 제외근거'!$F$6:$F$53),0),0)</f>
        <v>0</v>
      </c>
      <c r="AU161" s="1311">
        <f>-ROUND(IF(V162&gt;0,SUMIF('사회적 유입 중복인구 제외근거'!$E$6:$E$53,$AA162,'사회적 유입 중복인구 제외근거'!$F$6:$F$53),0),0)</f>
        <v>0</v>
      </c>
      <c r="AV161" s="1311">
        <f>-ROUND(IF(W162&gt;0,SUMIF('사회적 유입 중복인구 제외근거'!$E$6:$E$53,$AA162,'사회적 유입 중복인구 제외근거'!$F$6:$F$53),0),0)</f>
        <v>0</v>
      </c>
      <c r="AW161" s="1311">
        <f>-ROUND(IF(X160&gt;0,SUMIF('사회적 유입 중복인구 제외근거'!$E$6:$E$53,$AA162,'사회적 유입 중복인구 제외근거'!$F$6:$F$53),0),0)</f>
        <v>0</v>
      </c>
      <c r="AX161" s="1347"/>
      <c r="AY161" s="1258"/>
      <c r="AZ161" s="1258"/>
    </row>
    <row r="162" spans="1:52" s="1257" customFormat="1" ht="21" customHeight="1">
      <c r="A162" s="2539"/>
      <c r="B162" s="2432"/>
      <c r="C162" s="2515"/>
      <c r="D162" s="1275">
        <f>IF(D$152='1.4.3개발계획현황'!$K55,'1.4.3개발계획현황'!$AA55,C160)</f>
        <v>0</v>
      </c>
      <c r="E162" s="1275">
        <f>IF(E$152='1.4.3개발계획현황'!$K55,'1.4.3개발계획현황'!$AA55,D162)</f>
        <v>0</v>
      </c>
      <c r="F162" s="1275">
        <f>IF(F$152='1.4.3개발계획현황'!$K55,'1.4.3개발계획현황'!$AA55,E162)</f>
        <v>0</v>
      </c>
      <c r="G162" s="1275">
        <f>IF(G$152='1.4.3개발계획현황'!$K55,'1.4.3개발계획현황'!$AA55,F162)</f>
        <v>0</v>
      </c>
      <c r="H162" s="1275">
        <f>IF(H$152='1.4.3개발계획현황'!$K55,'1.4.3개발계획현황'!$AA55,G162)</f>
        <v>0</v>
      </c>
      <c r="I162" s="2515"/>
      <c r="J162" s="1275">
        <f>IF(J$152='1.4.3개발계획현황'!$K55,'1.4.3개발계획현황'!$AA55,I160)</f>
        <v>0</v>
      </c>
      <c r="K162" s="1275">
        <f>IF(K$152='1.4.3개발계획현황'!$K55,'1.4.3개발계획현황'!$AA55,J162)</f>
        <v>0</v>
      </c>
      <c r="L162" s="1275">
        <f>IF(L$152='1.4.3개발계획현황'!$K55,'1.4.3개발계획현황'!$AA55,K162)</f>
        <v>0</v>
      </c>
      <c r="M162" s="1275">
        <f>IF(M$152='1.4.3개발계획현황'!$K55,'1.4.3개발계획현황'!$AA55,L162)</f>
        <v>0</v>
      </c>
      <c r="N162" s="2515"/>
      <c r="O162" s="1275">
        <f>IF(O$152='1.4.3개발계획현황'!$K55,'1.4.3개발계획현황'!$AA55,N160)</f>
        <v>0</v>
      </c>
      <c r="P162" s="1275">
        <f>IF(P$152='1.4.3개발계획현황'!$K55,'1.4.3개발계획현황'!$AA55,O162)</f>
        <v>0</v>
      </c>
      <c r="Q162" s="1275">
        <f>IF(Q$152='1.4.3개발계획현황'!$K55,'1.4.3개발계획현황'!$AA55,P162)</f>
        <v>0</v>
      </c>
      <c r="R162" s="1275">
        <f>IF(R$152='1.4.3개발계획현황'!$K55,'1.4.3개발계획현황'!$AA55,Q162)</f>
        <v>0</v>
      </c>
      <c r="S162" s="2515"/>
      <c r="T162" s="1275">
        <f>IF(T$152='1.4.3개발계획현황'!$K55,'1.4.3개발계획현황'!$AA55,S160)</f>
        <v>0</v>
      </c>
      <c r="U162" s="1275">
        <f>IF(U$152='1.4.3개발계획현황'!$K55,'1.4.3개발계획현황'!$AA55,T162)</f>
        <v>0</v>
      </c>
      <c r="V162" s="1275">
        <f>IF(V$152='1.4.3개발계획현황'!$K55,'1.4.3개발계획현황'!$AA55,U162)</f>
        <v>0</v>
      </c>
      <c r="W162" s="1275">
        <f>IF(W$152='1.4.3개발계획현황'!$K55,'1.4.3개발계획현황'!$AA55,V162)</f>
        <v>0</v>
      </c>
      <c r="X162" s="2515"/>
      <c r="Y162" s="2516"/>
      <c r="Z162" s="2507"/>
      <c r="AA162" s="1353" t="str">
        <f>B160</f>
        <v>사곡산업단지</v>
      </c>
      <c r="AB162" s="1337">
        <f>ROUND(AB160+AB161,0)</f>
        <v>0</v>
      </c>
      <c r="AC162" s="1337">
        <f t="shared" ref="AC162:AW162" si="450">ROUND(AC160+AC161,0)</f>
        <v>0</v>
      </c>
      <c r="AD162" s="1337">
        <f t="shared" si="450"/>
        <v>0</v>
      </c>
      <c r="AE162" s="1337">
        <f t="shared" si="450"/>
        <v>0</v>
      </c>
      <c r="AF162" s="1337">
        <f t="shared" si="450"/>
        <v>0</v>
      </c>
      <c r="AG162" s="1337">
        <f t="shared" si="450"/>
        <v>0</v>
      </c>
      <c r="AH162" s="1337">
        <f t="shared" si="450"/>
        <v>0</v>
      </c>
      <c r="AI162" s="1337">
        <f t="shared" si="450"/>
        <v>0</v>
      </c>
      <c r="AJ162" s="1337">
        <f t="shared" si="450"/>
        <v>0</v>
      </c>
      <c r="AK162" s="1337">
        <f t="shared" si="450"/>
        <v>0</v>
      </c>
      <c r="AL162" s="1337">
        <f t="shared" si="450"/>
        <v>0</v>
      </c>
      <c r="AM162" s="1337">
        <f t="shared" si="450"/>
        <v>0</v>
      </c>
      <c r="AN162" s="1337">
        <f t="shared" si="450"/>
        <v>0</v>
      </c>
      <c r="AO162" s="1337">
        <f t="shared" si="450"/>
        <v>0</v>
      </c>
      <c r="AP162" s="1337">
        <f t="shared" si="450"/>
        <v>0</v>
      </c>
      <c r="AQ162" s="1337">
        <f t="shared" si="450"/>
        <v>0</v>
      </c>
      <c r="AR162" s="1337">
        <f t="shared" si="450"/>
        <v>0</v>
      </c>
      <c r="AS162" s="1337">
        <f t="shared" si="450"/>
        <v>0</v>
      </c>
      <c r="AT162" s="1337">
        <f t="shared" si="450"/>
        <v>0</v>
      </c>
      <c r="AU162" s="1337">
        <f t="shared" si="450"/>
        <v>0</v>
      </c>
      <c r="AV162" s="1337">
        <f t="shared" si="450"/>
        <v>0</v>
      </c>
      <c r="AW162" s="1337">
        <f t="shared" si="450"/>
        <v>2228</v>
      </c>
      <c r="AX162" s="1338"/>
      <c r="AY162" s="1258"/>
      <c r="AZ162" s="1258"/>
    </row>
    <row r="163" spans="1:52" s="1257" customFormat="1" ht="21" customHeight="1">
      <c r="A163" s="2539"/>
      <c r="B163" s="2432" t="str">
        <f>'1.4.3개발계획현황'!A56</f>
        <v>원당산업단지</v>
      </c>
      <c r="C163" s="2515">
        <f>IF(C$152='1.4.3개발계획현황'!$K$56,'1.4.3개발계획현황'!AA56,0)</f>
        <v>0</v>
      </c>
      <c r="D163" s="1280"/>
      <c r="E163" s="1280"/>
      <c r="F163" s="1280"/>
      <c r="G163" s="1280"/>
      <c r="H163" s="1280"/>
      <c r="I163" s="2515">
        <f>IF(I$152='1.4.3개발계획현황'!$K56,'1.4.3개발계획현황'!$AA56,H165)</f>
        <v>0</v>
      </c>
      <c r="J163" s="1280"/>
      <c r="K163" s="1280"/>
      <c r="L163" s="1280"/>
      <c r="M163" s="1280"/>
      <c r="N163" s="2515">
        <f>IF(N$152='1.4.3개발계획현황'!$K56,'1.4.3개발계획현황'!$AA56,M165)</f>
        <v>0</v>
      </c>
      <c r="O163" s="1280"/>
      <c r="P163" s="1280"/>
      <c r="Q163" s="1280"/>
      <c r="R163" s="1280"/>
      <c r="S163" s="2515">
        <f>IF(S$152='1.4.3개발계획현황'!$K56,'1.4.3개발계획현황'!$AA56,R165)</f>
        <v>0</v>
      </c>
      <c r="T163" s="1280"/>
      <c r="U163" s="1280"/>
      <c r="V163" s="1280"/>
      <c r="W163" s="1280"/>
      <c r="X163" s="2515">
        <f>IF(X$152='1.4.3개발계획현황'!$K56,'1.4.3개발계획현황'!$AA56,W165)</f>
        <v>1058</v>
      </c>
      <c r="Y163" s="2516"/>
      <c r="Z163" s="2507"/>
      <c r="AA163" s="1336" t="str">
        <f>CONCATENATE(AA165," 중복제외 전")</f>
        <v>원당산업단지 중복제외 전</v>
      </c>
      <c r="AB163" s="1311">
        <f>ROUND(C163*$AX163,0)</f>
        <v>0</v>
      </c>
      <c r="AC163" s="1311">
        <f>ROUND(D165*$AX163,0)</f>
        <v>0</v>
      </c>
      <c r="AD163" s="1311">
        <f>ROUND(E165*$AX163,0)</f>
        <v>0</v>
      </c>
      <c r="AE163" s="1311">
        <f>ROUND(F165*$AX163,0)</f>
        <v>0</v>
      </c>
      <c r="AF163" s="1311">
        <f>ROUND(G165*$AX163,0)</f>
        <v>0</v>
      </c>
      <c r="AG163" s="1311">
        <f>ROUND(H165*$AX163,0)</f>
        <v>0</v>
      </c>
      <c r="AH163" s="1311">
        <f>ROUND(I163*$AX163,0)</f>
        <v>0</v>
      </c>
      <c r="AI163" s="1311">
        <f>ROUND(J165*$AX163,0)</f>
        <v>0</v>
      </c>
      <c r="AJ163" s="1311">
        <f>ROUND(K165*$AX163,0)</f>
        <v>0</v>
      </c>
      <c r="AK163" s="1311">
        <f>ROUND(L165*$AX163,0)</f>
        <v>0</v>
      </c>
      <c r="AL163" s="1311">
        <f>ROUND(M165*$AX163,0)</f>
        <v>0</v>
      </c>
      <c r="AM163" s="1311">
        <f>ROUND(N163*$AX163,0)</f>
        <v>0</v>
      </c>
      <c r="AN163" s="1311">
        <f>ROUND(O165*$AX163,0)</f>
        <v>0</v>
      </c>
      <c r="AO163" s="1311">
        <f>ROUND(P165*$AX163,0)</f>
        <v>0</v>
      </c>
      <c r="AP163" s="1311">
        <f>ROUND(Q165*$AX163,0)</f>
        <v>0</v>
      </c>
      <c r="AQ163" s="1311">
        <f>ROUND(R165*$AX163,0)</f>
        <v>0</v>
      </c>
      <c r="AR163" s="1311">
        <f>ROUND(S163*$AX163,0)</f>
        <v>0</v>
      </c>
      <c r="AS163" s="1311">
        <f>ROUND(T165*$AX163,0)</f>
        <v>0</v>
      </c>
      <c r="AT163" s="1311">
        <f>ROUND(U165*$AX163,0)</f>
        <v>0</v>
      </c>
      <c r="AU163" s="1311">
        <f>ROUND(V165*$AX163,0)</f>
        <v>0</v>
      </c>
      <c r="AV163" s="1311">
        <f>ROUND(W165*$AX163,0)</f>
        <v>0</v>
      </c>
      <c r="AW163" s="1311">
        <f>ROUND(X163*$AX163,0)</f>
        <v>476</v>
      </c>
      <c r="AX163" s="1347">
        <v>0.45</v>
      </c>
      <c r="AY163" s="1258"/>
      <c r="AZ163" s="1258"/>
    </row>
    <row r="164" spans="1:52" s="1257" customFormat="1" ht="21" customHeight="1">
      <c r="A164" s="2539"/>
      <c r="B164" s="2432"/>
      <c r="C164" s="2515"/>
      <c r="D164" s="1280"/>
      <c r="E164" s="1280"/>
      <c r="F164" s="1280"/>
      <c r="G164" s="1280"/>
      <c r="H164" s="1280"/>
      <c r="I164" s="2515"/>
      <c r="J164" s="1280"/>
      <c r="K164" s="1280"/>
      <c r="L164" s="1280"/>
      <c r="M164" s="1280"/>
      <c r="N164" s="2515"/>
      <c r="O164" s="1280"/>
      <c r="P164" s="1280"/>
      <c r="Q164" s="1280"/>
      <c r="R164" s="1280"/>
      <c r="S164" s="2515"/>
      <c r="T164" s="1280"/>
      <c r="U164" s="1280"/>
      <c r="V164" s="1280"/>
      <c r="W164" s="1280"/>
      <c r="X164" s="2515"/>
      <c r="Y164" s="2516"/>
      <c r="Z164" s="2507"/>
      <c r="AA164" s="1336" t="str">
        <f>CONCATENATE(AA165," 중복제외인구")</f>
        <v>원당산업단지 중복제외인구</v>
      </c>
      <c r="AB164" s="1311">
        <f>ROUND(C163*$AX164,0)</f>
        <v>0</v>
      </c>
      <c r="AC164" s="1311">
        <f>ROUND(D165*$AX164,0)</f>
        <v>0</v>
      </c>
      <c r="AD164" s="1311">
        <f>-ROUND(IF(E165&gt;0,SUMIF('사회적 유입 중복인구 제외근거'!$E$6:$E$53,$AA165,'사회적 유입 중복인구 제외근거'!$F$6:$F$53),0),0)</f>
        <v>0</v>
      </c>
      <c r="AE164" s="1311">
        <f>-ROUND(IF(F165&gt;0,SUMIF('사회적 유입 중복인구 제외근거'!$E$6:$E$53,$AA165,'사회적 유입 중복인구 제외근거'!$F$6:$F$53),0),0)</f>
        <v>0</v>
      </c>
      <c r="AF164" s="1311">
        <f>-ROUND(IF(G165&gt;0,SUMIF('사회적 유입 중복인구 제외근거'!$E$6:$E$53,$AA165,'사회적 유입 중복인구 제외근거'!$F$6:$F$53),0),0)</f>
        <v>0</v>
      </c>
      <c r="AG164" s="1311">
        <f>-ROUND(IF(H165&gt;0,SUMIF('사회적 유입 중복인구 제외근거'!$E$6:$E$53,$AA165,'사회적 유입 중복인구 제외근거'!$F$6:$F$53),0),0)</f>
        <v>0</v>
      </c>
      <c r="AH164" s="1311">
        <f>-ROUND(IF(I163&gt;0,SUMIF('사회적 유입 중복인구 제외근거'!$E$6:$E$53,$AA165,'사회적 유입 중복인구 제외근거'!$F$6:$F$53),0),0)</f>
        <v>0</v>
      </c>
      <c r="AI164" s="1311">
        <f>-ROUND(IF(J165&gt;0,SUMIF('사회적 유입 중복인구 제외근거'!$E$6:$E$53,$AA165,'사회적 유입 중복인구 제외근거'!$F$6:$F$53),0),0)</f>
        <v>0</v>
      </c>
      <c r="AJ164" s="1311">
        <f>-ROUND(IF(K165&gt;0,SUMIF('사회적 유입 중복인구 제외근거'!$E$6:$E$53,$AA165,'사회적 유입 중복인구 제외근거'!$F$6:$F$53),0),0)</f>
        <v>0</v>
      </c>
      <c r="AK164" s="1311">
        <f>-ROUND(IF(L165&gt;0,SUMIF('사회적 유입 중복인구 제외근거'!$E$6:$E$53,$AA165,'사회적 유입 중복인구 제외근거'!$F$6:$F$53),0),0)</f>
        <v>0</v>
      </c>
      <c r="AL164" s="1311">
        <f>-ROUND(IF(M165&gt;0,SUMIF('사회적 유입 중복인구 제외근거'!$E$6:$E$53,$AA165,'사회적 유입 중복인구 제외근거'!$F$6:$F$53),0),0)</f>
        <v>0</v>
      </c>
      <c r="AM164" s="1311">
        <f>-ROUND(IF(N163&gt;0,SUMIF('사회적 유입 중복인구 제외근거'!$E$6:$E$53,$AA165,'사회적 유입 중복인구 제외근거'!$F$6:$F$53),0),0)</f>
        <v>0</v>
      </c>
      <c r="AN164" s="1311">
        <f>-ROUND(IF(O165&gt;0,SUMIF('사회적 유입 중복인구 제외근거'!$E$6:$E$53,$AA165,'사회적 유입 중복인구 제외근거'!$F$6:$F$53),0),0)</f>
        <v>0</v>
      </c>
      <c r="AO164" s="1311">
        <f>-ROUND(IF(P165&gt;0,SUMIF('사회적 유입 중복인구 제외근거'!$E$6:$E$53,$AA165,'사회적 유입 중복인구 제외근거'!$F$6:$F$53),0),0)</f>
        <v>0</v>
      </c>
      <c r="AP164" s="1311">
        <f>-ROUND(IF(Q165&gt;0,SUMIF('사회적 유입 중복인구 제외근거'!$E$6:$E$53,$AA165,'사회적 유입 중복인구 제외근거'!$F$6:$F$53),0),0)</f>
        <v>0</v>
      </c>
      <c r="AQ164" s="1311">
        <f>-ROUND(IF(R165&gt;0,SUMIF('사회적 유입 중복인구 제외근거'!$E$6:$E$53,$AA165,'사회적 유입 중복인구 제외근거'!$F$6:$F$53),0),0)</f>
        <v>0</v>
      </c>
      <c r="AR164" s="1311">
        <f>-ROUND(IF(S163&gt;0,SUMIF('사회적 유입 중복인구 제외근거'!$E$6:$E$53,$AA165,'사회적 유입 중복인구 제외근거'!$F$6:$F$53),0),0)</f>
        <v>0</v>
      </c>
      <c r="AS164" s="1311">
        <f>-ROUND(IF(T165&gt;0,SUMIF('사회적 유입 중복인구 제외근거'!$E$6:$E$53,$AA165,'사회적 유입 중복인구 제외근거'!$F$6:$F$53),0),0)</f>
        <v>0</v>
      </c>
      <c r="AT164" s="1311">
        <f>-ROUND(IF(U165&gt;0,SUMIF('사회적 유입 중복인구 제외근거'!$E$6:$E$53,$AA165,'사회적 유입 중복인구 제외근거'!$F$6:$F$53),0),0)</f>
        <v>0</v>
      </c>
      <c r="AU164" s="1311">
        <f>-ROUND(IF(V165&gt;0,SUMIF('사회적 유입 중복인구 제외근거'!$E$6:$E$53,$AA165,'사회적 유입 중복인구 제외근거'!$F$6:$F$53),0),0)</f>
        <v>0</v>
      </c>
      <c r="AV164" s="1311">
        <f>-ROUND(IF(W165&gt;0,SUMIF('사회적 유입 중복인구 제외근거'!$E$6:$E$53,$AA165,'사회적 유입 중복인구 제외근거'!$F$6:$F$53),0),0)</f>
        <v>0</v>
      </c>
      <c r="AW164" s="1311">
        <f>-ROUND(IF(X163&gt;0,SUMIF('사회적 유입 중복인구 제외근거'!$E$6:$E$53,$AA165,'사회적 유입 중복인구 제외근거'!$F$6:$F$53),0),0)</f>
        <v>0</v>
      </c>
      <c r="AX164" s="1347"/>
      <c r="AY164" s="1258"/>
      <c r="AZ164" s="1258"/>
    </row>
    <row r="165" spans="1:52" s="1257" customFormat="1" ht="21" customHeight="1">
      <c r="A165" s="2539"/>
      <c r="B165" s="2432"/>
      <c r="C165" s="2515"/>
      <c r="D165" s="1275">
        <f>IF(D$152='1.4.3개발계획현황'!$K56,'1.4.3개발계획현황'!$AA56,C163)</f>
        <v>0</v>
      </c>
      <c r="E165" s="1275">
        <f>IF(E$152='1.4.3개발계획현황'!$K56,'1.4.3개발계획현황'!$AA56,D165)</f>
        <v>0</v>
      </c>
      <c r="F165" s="1275">
        <f>IF(F$152='1.4.3개발계획현황'!$K56,'1.4.3개발계획현황'!$AA56,E165)</f>
        <v>0</v>
      </c>
      <c r="G165" s="1275">
        <f>IF(G$152='1.4.3개발계획현황'!$K56,'1.4.3개발계획현황'!$AA56,F165)</f>
        <v>0</v>
      </c>
      <c r="H165" s="1275">
        <f>IF(H$152='1.4.3개발계획현황'!$K56,'1.4.3개발계획현황'!$AA56,G165)</f>
        <v>0</v>
      </c>
      <c r="I165" s="2515"/>
      <c r="J165" s="1275">
        <f>IF(J$152='1.4.3개발계획현황'!$K56,'1.4.3개발계획현황'!$AA56,I163)</f>
        <v>0</v>
      </c>
      <c r="K165" s="1275">
        <f>IF(K$152='1.4.3개발계획현황'!$K56,'1.4.3개발계획현황'!$AA56,J165)</f>
        <v>0</v>
      </c>
      <c r="L165" s="1275">
        <f>IF(L$152='1.4.3개발계획현황'!$K56,'1.4.3개발계획현황'!$AA56,K165)</f>
        <v>0</v>
      </c>
      <c r="M165" s="1275">
        <f>IF(M$152='1.4.3개발계획현황'!$K56,'1.4.3개발계획현황'!$AA56,L165)</f>
        <v>0</v>
      </c>
      <c r="N165" s="2515"/>
      <c r="O165" s="1275">
        <f>IF(O$152='1.4.3개발계획현황'!$K56,'1.4.3개발계획현황'!$AA56,N163)</f>
        <v>0</v>
      </c>
      <c r="P165" s="1275">
        <f>IF(P$152='1.4.3개발계획현황'!$K56,'1.4.3개발계획현황'!$AA56,O165)</f>
        <v>0</v>
      </c>
      <c r="Q165" s="1275">
        <f>IF(Q$152='1.4.3개발계획현황'!$K56,'1.4.3개발계획현황'!$AA56,P165)</f>
        <v>0</v>
      </c>
      <c r="R165" s="1275">
        <f>IF(R$152='1.4.3개발계획현황'!$K56,'1.4.3개발계획현황'!$AA56,Q165)</f>
        <v>0</v>
      </c>
      <c r="S165" s="2515"/>
      <c r="T165" s="1275">
        <f>IF(T$152='1.4.3개발계획현황'!$K56,'1.4.3개발계획현황'!$AA56,S163)</f>
        <v>0</v>
      </c>
      <c r="U165" s="1275">
        <f>IF(U$152='1.4.3개발계획현황'!$K56,'1.4.3개발계획현황'!$AA56,T165)</f>
        <v>0</v>
      </c>
      <c r="V165" s="1275">
        <f>IF(V$152='1.4.3개발계획현황'!$K56,'1.4.3개발계획현황'!$AA56,U165)</f>
        <v>0</v>
      </c>
      <c r="W165" s="1275">
        <f>IF(W$152='1.4.3개발계획현황'!$K56,'1.4.3개발계획현황'!$AA56,V165)</f>
        <v>0</v>
      </c>
      <c r="X165" s="2515"/>
      <c r="Y165" s="2516"/>
      <c r="Z165" s="2507"/>
      <c r="AA165" s="1353" t="str">
        <f>B163</f>
        <v>원당산업단지</v>
      </c>
      <c r="AB165" s="1337">
        <f>ROUND(AB163+AB164,0)</f>
        <v>0</v>
      </c>
      <c r="AC165" s="1337">
        <f t="shared" ref="AC165:AW165" si="451">ROUND(AC163+AC164,0)</f>
        <v>0</v>
      </c>
      <c r="AD165" s="1337">
        <f t="shared" si="451"/>
        <v>0</v>
      </c>
      <c r="AE165" s="1337">
        <f t="shared" si="451"/>
        <v>0</v>
      </c>
      <c r="AF165" s="1337">
        <f t="shared" si="451"/>
        <v>0</v>
      </c>
      <c r="AG165" s="1337">
        <f t="shared" si="451"/>
        <v>0</v>
      </c>
      <c r="AH165" s="1337">
        <f t="shared" si="451"/>
        <v>0</v>
      </c>
      <c r="AI165" s="1337">
        <f t="shared" si="451"/>
        <v>0</v>
      </c>
      <c r="AJ165" s="1337">
        <f t="shared" si="451"/>
        <v>0</v>
      </c>
      <c r="AK165" s="1337">
        <f t="shared" si="451"/>
        <v>0</v>
      </c>
      <c r="AL165" s="1337">
        <f t="shared" si="451"/>
        <v>0</v>
      </c>
      <c r="AM165" s="1337">
        <f t="shared" si="451"/>
        <v>0</v>
      </c>
      <c r="AN165" s="1337">
        <f t="shared" si="451"/>
        <v>0</v>
      </c>
      <c r="AO165" s="1337">
        <f t="shared" si="451"/>
        <v>0</v>
      </c>
      <c r="AP165" s="1337">
        <f t="shared" si="451"/>
        <v>0</v>
      </c>
      <c r="AQ165" s="1337">
        <f t="shared" si="451"/>
        <v>0</v>
      </c>
      <c r="AR165" s="1337">
        <f t="shared" si="451"/>
        <v>0</v>
      </c>
      <c r="AS165" s="1337">
        <f t="shared" si="451"/>
        <v>0</v>
      </c>
      <c r="AT165" s="1337">
        <f t="shared" si="451"/>
        <v>0</v>
      </c>
      <c r="AU165" s="1337">
        <f t="shared" si="451"/>
        <v>0</v>
      </c>
      <c r="AV165" s="1337">
        <f t="shared" si="451"/>
        <v>0</v>
      </c>
      <c r="AW165" s="1337">
        <f t="shared" si="451"/>
        <v>476</v>
      </c>
      <c r="AX165" s="1338"/>
      <c r="AY165" s="1258"/>
      <c r="AZ165" s="1258"/>
    </row>
    <row r="166" spans="1:52" s="1257" customFormat="1" ht="21" customHeight="1">
      <c r="A166" s="2517"/>
      <c r="B166" s="1289" t="s">
        <v>72</v>
      </c>
      <c r="C166" s="1290">
        <f>SUM(C157:C165)</f>
        <v>0</v>
      </c>
      <c r="D166" s="1290">
        <f>SUM(D159,D162,D165)</f>
        <v>0</v>
      </c>
      <c r="E166" s="1290">
        <f t="shared" ref="E166:H166" si="452">SUM(E159,E162,E165)</f>
        <v>0</v>
      </c>
      <c r="F166" s="1290">
        <f t="shared" si="452"/>
        <v>0</v>
      </c>
      <c r="G166" s="1290">
        <f t="shared" si="452"/>
        <v>0</v>
      </c>
      <c r="H166" s="1290">
        <f t="shared" si="452"/>
        <v>0</v>
      </c>
      <c r="I166" s="1290">
        <f>SUM(I157:I165)</f>
        <v>2249</v>
      </c>
      <c r="J166" s="1290">
        <f t="shared" ref="J166" si="453">SUM(J159,J162,J165)</f>
        <v>2249</v>
      </c>
      <c r="K166" s="1290">
        <f t="shared" ref="K166" si="454">SUM(K159,K162,K165)</f>
        <v>2249</v>
      </c>
      <c r="L166" s="1290">
        <f t="shared" ref="L166" si="455">SUM(L159,L162,L165)</f>
        <v>2249</v>
      </c>
      <c r="M166" s="1290">
        <f t="shared" ref="M166" si="456">SUM(M159,M162,M165)</f>
        <v>2249</v>
      </c>
      <c r="N166" s="1290">
        <f>SUM(N157:N165)</f>
        <v>2249</v>
      </c>
      <c r="O166" s="1290">
        <f t="shared" ref="O166" si="457">SUM(O159,O162,O165)</f>
        <v>2249</v>
      </c>
      <c r="P166" s="1290">
        <f t="shared" ref="P166" si="458">SUM(P159,P162,P165)</f>
        <v>2249</v>
      </c>
      <c r="Q166" s="1290">
        <f t="shared" ref="Q166" si="459">SUM(Q159,Q162,Q165)</f>
        <v>2249</v>
      </c>
      <c r="R166" s="1290">
        <f t="shared" ref="R166" si="460">SUM(R159,R162,R165)</f>
        <v>2249</v>
      </c>
      <c r="S166" s="1290">
        <f>SUM(S157:S165)</f>
        <v>2249</v>
      </c>
      <c r="T166" s="1290">
        <f t="shared" ref="T166" si="461">SUM(T159,T162,T165)</f>
        <v>2249</v>
      </c>
      <c r="U166" s="1290">
        <f t="shared" ref="U166" si="462">SUM(U159,U162,U165)</f>
        <v>2249</v>
      </c>
      <c r="V166" s="1290">
        <f t="shared" ref="V166" si="463">SUM(V159,V162,V165)</f>
        <v>2249</v>
      </c>
      <c r="W166" s="1290">
        <f t="shared" ref="W166" si="464">SUM(W159,W162,W165)</f>
        <v>2249</v>
      </c>
      <c r="X166" s="1290">
        <f>SUM(X157:X165)</f>
        <v>8259</v>
      </c>
      <c r="Y166" s="1291"/>
      <c r="Z166" s="2509"/>
      <c r="AA166" s="1327" t="s">
        <v>72</v>
      </c>
      <c r="AB166" s="1328">
        <f>+AB159+AB162+AB165</f>
        <v>0</v>
      </c>
      <c r="AC166" s="1328">
        <f t="shared" ref="AC166:AW166" si="465">+AC159+AC162+AC165</f>
        <v>0</v>
      </c>
      <c r="AD166" s="1328">
        <f t="shared" si="465"/>
        <v>0</v>
      </c>
      <c r="AE166" s="1328">
        <f t="shared" si="465"/>
        <v>0</v>
      </c>
      <c r="AF166" s="1328">
        <f t="shared" si="465"/>
        <v>0</v>
      </c>
      <c r="AG166" s="1328">
        <f t="shared" si="465"/>
        <v>0</v>
      </c>
      <c r="AH166" s="1328">
        <f t="shared" si="465"/>
        <v>134</v>
      </c>
      <c r="AI166" s="1328">
        <f t="shared" si="465"/>
        <v>401</v>
      </c>
      <c r="AJ166" s="1328">
        <f t="shared" si="465"/>
        <v>668</v>
      </c>
      <c r="AK166" s="1328">
        <f t="shared" si="465"/>
        <v>668</v>
      </c>
      <c r="AL166" s="1328">
        <f t="shared" si="465"/>
        <v>668</v>
      </c>
      <c r="AM166" s="1328">
        <f t="shared" si="465"/>
        <v>668</v>
      </c>
      <c r="AN166" s="1328">
        <f t="shared" si="465"/>
        <v>668</v>
      </c>
      <c r="AO166" s="1328">
        <f t="shared" si="465"/>
        <v>668</v>
      </c>
      <c r="AP166" s="1328">
        <f t="shared" si="465"/>
        <v>668</v>
      </c>
      <c r="AQ166" s="1328">
        <f t="shared" si="465"/>
        <v>668</v>
      </c>
      <c r="AR166" s="1328">
        <f t="shared" si="465"/>
        <v>668</v>
      </c>
      <c r="AS166" s="1328">
        <f t="shared" si="465"/>
        <v>668</v>
      </c>
      <c r="AT166" s="1328">
        <f t="shared" si="465"/>
        <v>668</v>
      </c>
      <c r="AU166" s="1328">
        <f t="shared" si="465"/>
        <v>668</v>
      </c>
      <c r="AV166" s="1328">
        <f t="shared" si="465"/>
        <v>668</v>
      </c>
      <c r="AW166" s="1328">
        <f t="shared" si="465"/>
        <v>3372</v>
      </c>
      <c r="AX166" s="1368"/>
      <c r="AY166" s="1258"/>
      <c r="AZ166" s="1258"/>
    </row>
    <row r="167" spans="1:52" s="1257" customFormat="1" ht="21" customHeight="1">
      <c r="A167" s="1292" t="s">
        <v>79</v>
      </c>
      <c r="B167" s="1293"/>
      <c r="C167" s="1294">
        <f>SUM(C156,C166)</f>
        <v>0</v>
      </c>
      <c r="D167" s="1294">
        <f t="shared" ref="D167:X167" si="466">SUM(D156,D166)</f>
        <v>0</v>
      </c>
      <c r="E167" s="1294">
        <f t="shared" si="466"/>
        <v>0</v>
      </c>
      <c r="F167" s="1294">
        <f t="shared" si="466"/>
        <v>0</v>
      </c>
      <c r="G167" s="1294">
        <f t="shared" si="466"/>
        <v>626</v>
      </c>
      <c r="H167" s="1294">
        <f t="shared" si="466"/>
        <v>626</v>
      </c>
      <c r="I167" s="1294">
        <f t="shared" si="466"/>
        <v>2875</v>
      </c>
      <c r="J167" s="1294">
        <f t="shared" si="466"/>
        <v>2875</v>
      </c>
      <c r="K167" s="1294">
        <f t="shared" si="466"/>
        <v>2875</v>
      </c>
      <c r="L167" s="1294">
        <f t="shared" si="466"/>
        <v>2875</v>
      </c>
      <c r="M167" s="1294">
        <f t="shared" si="466"/>
        <v>2875</v>
      </c>
      <c r="N167" s="1294">
        <f t="shared" si="466"/>
        <v>3873</v>
      </c>
      <c r="O167" s="1294">
        <f t="shared" si="466"/>
        <v>3873</v>
      </c>
      <c r="P167" s="1294">
        <f t="shared" si="466"/>
        <v>3873</v>
      </c>
      <c r="Q167" s="1294">
        <f t="shared" si="466"/>
        <v>3873</v>
      </c>
      <c r="R167" s="1294">
        <f t="shared" si="466"/>
        <v>3873</v>
      </c>
      <c r="S167" s="1294">
        <f t="shared" si="466"/>
        <v>3873</v>
      </c>
      <c r="T167" s="1294">
        <f t="shared" si="466"/>
        <v>3873</v>
      </c>
      <c r="U167" s="1294">
        <f t="shared" si="466"/>
        <v>3873</v>
      </c>
      <c r="V167" s="1294">
        <f t="shared" si="466"/>
        <v>3873</v>
      </c>
      <c r="W167" s="1294">
        <f t="shared" si="466"/>
        <v>3873</v>
      </c>
      <c r="X167" s="1294">
        <f t="shared" si="466"/>
        <v>9883</v>
      </c>
      <c r="Y167" s="1295"/>
      <c r="Z167" s="1329" t="s">
        <v>79</v>
      </c>
      <c r="AA167" s="1330"/>
      <c r="AB167" s="1331">
        <f>SUM(AB156,AB166)</f>
        <v>0</v>
      </c>
      <c r="AC167" s="1331">
        <f t="shared" ref="AC167:AW167" si="467">SUM(AC156,AC166)</f>
        <v>0</v>
      </c>
      <c r="AD167" s="1331">
        <f t="shared" si="467"/>
        <v>0</v>
      </c>
      <c r="AE167" s="1331">
        <f t="shared" si="467"/>
        <v>0</v>
      </c>
      <c r="AF167" s="1331">
        <f t="shared" si="467"/>
        <v>344</v>
      </c>
      <c r="AG167" s="1331">
        <f t="shared" si="467"/>
        <v>344</v>
      </c>
      <c r="AH167" s="1331">
        <f t="shared" si="467"/>
        <v>478</v>
      </c>
      <c r="AI167" s="1331">
        <f t="shared" si="467"/>
        <v>745</v>
      </c>
      <c r="AJ167" s="1331">
        <f t="shared" si="467"/>
        <v>1012</v>
      </c>
      <c r="AK167" s="1331">
        <f t="shared" si="467"/>
        <v>1012</v>
      </c>
      <c r="AL167" s="1331">
        <f t="shared" si="467"/>
        <v>1012</v>
      </c>
      <c r="AM167" s="1331">
        <f t="shared" si="467"/>
        <v>1561</v>
      </c>
      <c r="AN167" s="1331">
        <f t="shared" si="467"/>
        <v>1561</v>
      </c>
      <c r="AO167" s="1331">
        <f t="shared" si="467"/>
        <v>1561</v>
      </c>
      <c r="AP167" s="1331">
        <f t="shared" si="467"/>
        <v>1561</v>
      </c>
      <c r="AQ167" s="1331">
        <f t="shared" si="467"/>
        <v>1561</v>
      </c>
      <c r="AR167" s="1331">
        <f t="shared" si="467"/>
        <v>1561</v>
      </c>
      <c r="AS167" s="1331">
        <f t="shared" si="467"/>
        <v>1561</v>
      </c>
      <c r="AT167" s="1331">
        <f t="shared" si="467"/>
        <v>1561</v>
      </c>
      <c r="AU167" s="1331">
        <f t="shared" si="467"/>
        <v>1561</v>
      </c>
      <c r="AV167" s="1331">
        <f t="shared" si="467"/>
        <v>1561</v>
      </c>
      <c r="AW167" s="1331">
        <f t="shared" si="467"/>
        <v>4265</v>
      </c>
      <c r="AX167" s="1332"/>
      <c r="AY167" s="1258"/>
      <c r="AZ167" s="1258"/>
    </row>
    <row r="168" spans="1:52" s="1257" customFormat="1" ht="21" customHeight="1">
      <c r="A168" s="1258"/>
      <c r="B168" s="1258"/>
      <c r="C168" s="1375"/>
      <c r="D168" s="1375"/>
      <c r="E168" s="1375"/>
      <c r="F168" s="1375"/>
      <c r="G168" s="1375"/>
      <c r="H168" s="1375"/>
      <c r="I168" s="1375"/>
      <c r="J168" s="1375"/>
      <c r="K168" s="1375"/>
      <c r="L168" s="1375"/>
      <c r="M168" s="1375"/>
      <c r="N168" s="1375"/>
      <c r="O168" s="1375"/>
      <c r="P168" s="1375"/>
      <c r="Q168" s="1375"/>
      <c r="R168" s="1375"/>
      <c r="S168" s="1375"/>
      <c r="T168" s="1375"/>
      <c r="U168" s="1375"/>
      <c r="V168" s="1375"/>
      <c r="W168" s="1375"/>
      <c r="X168" s="1375"/>
      <c r="Z168" s="1258"/>
      <c r="AA168" s="43"/>
      <c r="AX168" s="1258"/>
      <c r="AY168" s="1258"/>
      <c r="AZ168" s="1258"/>
    </row>
    <row r="169" spans="1:52" s="1257" customFormat="1" ht="21" customHeight="1">
      <c r="A169" s="1258"/>
      <c r="B169" s="1258"/>
      <c r="C169" s="1375"/>
      <c r="D169" s="1375"/>
      <c r="E169" s="1375"/>
      <c r="F169" s="1375"/>
      <c r="G169" s="1375"/>
      <c r="H169" s="1375"/>
      <c r="I169" s="1375"/>
      <c r="J169" s="1375"/>
      <c r="K169" s="1375"/>
      <c r="L169" s="1375"/>
      <c r="M169" s="1375"/>
      <c r="N169" s="1375"/>
      <c r="O169" s="1375"/>
      <c r="P169" s="1375"/>
      <c r="Q169" s="1375"/>
      <c r="R169" s="1375"/>
      <c r="S169" s="1375"/>
      <c r="T169" s="1375"/>
      <c r="U169" s="1375"/>
      <c r="V169" s="1375"/>
      <c r="W169" s="1375"/>
      <c r="X169" s="1375"/>
      <c r="Z169" s="1258"/>
      <c r="AA169" s="43"/>
      <c r="AX169" s="1258"/>
      <c r="AY169" s="1258"/>
      <c r="AZ169" s="1258"/>
    </row>
    <row r="170" spans="1:52" s="1257" customFormat="1" ht="21" customHeight="1">
      <c r="A170" s="1258"/>
      <c r="B170" s="1258"/>
      <c r="C170" s="1375"/>
      <c r="D170" s="1375"/>
      <c r="E170" s="1375"/>
      <c r="F170" s="1375"/>
      <c r="G170" s="1375"/>
      <c r="H170" s="1375"/>
      <c r="I170" s="1375"/>
      <c r="J170" s="1375"/>
      <c r="K170" s="1375"/>
      <c r="L170" s="1375"/>
      <c r="M170" s="1375"/>
      <c r="N170" s="1375"/>
      <c r="O170" s="1375"/>
      <c r="P170" s="1375"/>
      <c r="Q170" s="1375"/>
      <c r="R170" s="1375"/>
      <c r="S170" s="1375"/>
      <c r="T170" s="1375"/>
      <c r="U170" s="1375"/>
      <c r="V170" s="1375"/>
      <c r="W170" s="1375"/>
      <c r="X170" s="1375"/>
      <c r="Z170" s="1258"/>
      <c r="AA170" s="43"/>
      <c r="AX170" s="1258"/>
      <c r="AY170" s="1258"/>
      <c r="AZ170" s="1258"/>
    </row>
    <row r="171" spans="1:52" s="1257" customFormat="1" ht="21" customHeight="1">
      <c r="A171" s="1258"/>
      <c r="B171" s="1258"/>
      <c r="C171" s="1375"/>
      <c r="D171" s="1375"/>
      <c r="E171" s="1375"/>
      <c r="F171" s="1375"/>
      <c r="G171" s="1375"/>
      <c r="H171" s="1375"/>
      <c r="I171" s="1375"/>
      <c r="J171" s="1375"/>
      <c r="K171" s="1375"/>
      <c r="L171" s="1375"/>
      <c r="M171" s="1375"/>
      <c r="N171" s="1375"/>
      <c r="O171" s="1375"/>
      <c r="P171" s="1375"/>
      <c r="Q171" s="1375"/>
      <c r="R171" s="1375"/>
      <c r="S171" s="1375"/>
      <c r="T171" s="1375"/>
      <c r="U171" s="1375"/>
      <c r="V171" s="1375"/>
      <c r="W171" s="1375"/>
      <c r="X171" s="1375"/>
      <c r="Z171" s="1258"/>
      <c r="AA171" s="43"/>
      <c r="AX171" s="1258"/>
      <c r="AY171" s="1258"/>
      <c r="AZ171" s="1258"/>
    </row>
    <row r="172" spans="1:52" s="1257" customFormat="1" ht="21" customHeight="1">
      <c r="A172" s="1258"/>
      <c r="B172" s="1258"/>
      <c r="C172" s="1375"/>
      <c r="D172" s="1375"/>
      <c r="E172" s="1375"/>
      <c r="F172" s="1375"/>
      <c r="G172" s="1375"/>
      <c r="H172" s="1375"/>
      <c r="I172" s="1375"/>
      <c r="J172" s="1375"/>
      <c r="K172" s="1375"/>
      <c r="L172" s="1375"/>
      <c r="M172" s="1375"/>
      <c r="N172" s="1375"/>
      <c r="O172" s="1375"/>
      <c r="P172" s="1375"/>
      <c r="Q172" s="1375"/>
      <c r="R172" s="1375"/>
      <c r="S172" s="1375"/>
      <c r="T172" s="1375"/>
      <c r="U172" s="1375"/>
      <c r="V172" s="1375"/>
      <c r="W172" s="1375"/>
      <c r="X172" s="1375"/>
      <c r="Z172" s="1258"/>
      <c r="AA172" s="43"/>
      <c r="AB172" s="1376"/>
      <c r="AC172" s="1376"/>
      <c r="AD172" s="1377"/>
      <c r="AX172" s="1258"/>
      <c r="AY172" s="1258"/>
      <c r="AZ172" s="1258"/>
    </row>
    <row r="173" spans="1:52" s="1257" customFormat="1" ht="21" customHeight="1">
      <c r="A173" s="1258"/>
      <c r="B173" s="1258"/>
      <c r="C173" s="1375"/>
      <c r="D173" s="1375"/>
      <c r="E173" s="1375"/>
      <c r="F173" s="1375"/>
      <c r="G173" s="1375"/>
      <c r="H173" s="1375"/>
      <c r="I173" s="1375"/>
      <c r="J173" s="1375"/>
      <c r="K173" s="1375"/>
      <c r="L173" s="1375"/>
      <c r="M173" s="1375"/>
      <c r="N173" s="1375"/>
      <c r="O173" s="1375"/>
      <c r="P173" s="1375"/>
      <c r="Q173" s="1375"/>
      <c r="R173" s="1375"/>
      <c r="S173" s="1375"/>
      <c r="T173" s="1375"/>
      <c r="U173" s="1375"/>
      <c r="V173" s="1375"/>
      <c r="W173" s="1375"/>
      <c r="X173" s="1375"/>
      <c r="Z173" s="1258"/>
      <c r="AA173" s="43"/>
      <c r="AB173" s="1376"/>
      <c r="AC173" s="1376"/>
      <c r="AD173" s="1377"/>
      <c r="AX173" s="1258"/>
      <c r="AY173" s="1258"/>
      <c r="AZ173" s="1258"/>
    </row>
    <row r="174" spans="1:52" s="1257" customFormat="1" ht="21" customHeight="1">
      <c r="A174" s="1258"/>
      <c r="B174" s="1258"/>
      <c r="C174" s="1375"/>
      <c r="D174" s="1375"/>
      <c r="E174" s="1375"/>
      <c r="F174" s="1375"/>
      <c r="G174" s="1375"/>
      <c r="H174" s="1375"/>
      <c r="I174" s="1375"/>
      <c r="J174" s="1375"/>
      <c r="K174" s="1375"/>
      <c r="L174" s="1375"/>
      <c r="M174" s="1375"/>
      <c r="N174" s="1375"/>
      <c r="O174" s="1375"/>
      <c r="P174" s="1375"/>
      <c r="Q174" s="1375"/>
      <c r="R174" s="1375"/>
      <c r="S174" s="1375"/>
      <c r="T174" s="1375"/>
      <c r="U174" s="1375"/>
      <c r="V174" s="1375"/>
      <c r="W174" s="1375"/>
      <c r="X174" s="1375"/>
      <c r="Z174" s="1258"/>
      <c r="AA174" s="43"/>
      <c r="AB174" s="1376"/>
      <c r="AC174" s="1376"/>
      <c r="AD174" s="1377"/>
      <c r="AX174" s="1258"/>
      <c r="AY174" s="1258"/>
      <c r="AZ174" s="1258"/>
    </row>
    <row r="175" spans="1:52" s="1257" customFormat="1" ht="21" customHeight="1">
      <c r="A175" s="1258"/>
      <c r="B175" s="1258"/>
      <c r="C175" s="1375"/>
      <c r="D175" s="1375"/>
      <c r="E175" s="1375"/>
      <c r="F175" s="1375"/>
      <c r="G175" s="1375"/>
      <c r="H175" s="1375"/>
      <c r="I175" s="1375"/>
      <c r="J175" s="1375"/>
      <c r="K175" s="1375"/>
      <c r="L175" s="1375"/>
      <c r="M175" s="1375"/>
      <c r="N175" s="1375"/>
      <c r="O175" s="1375"/>
      <c r="P175" s="1375"/>
      <c r="Q175" s="1375"/>
      <c r="R175" s="1375"/>
      <c r="S175" s="1375"/>
      <c r="T175" s="1375"/>
      <c r="U175" s="1375"/>
      <c r="V175" s="1375"/>
      <c r="W175" s="1375"/>
      <c r="X175" s="1375"/>
      <c r="Z175" s="1258"/>
      <c r="AA175" s="43"/>
      <c r="AX175" s="1258"/>
      <c r="AY175" s="1258"/>
      <c r="AZ175" s="1258"/>
    </row>
    <row r="176" spans="1:52" s="1257" customFormat="1" ht="21" customHeight="1">
      <c r="A176" s="1258"/>
      <c r="B176" s="1258"/>
      <c r="C176" s="1375"/>
      <c r="D176" s="1375"/>
      <c r="E176" s="1375"/>
      <c r="F176" s="1375"/>
      <c r="G176" s="1375"/>
      <c r="H176" s="1375"/>
      <c r="I176" s="1375"/>
      <c r="J176" s="1375"/>
      <c r="K176" s="1375"/>
      <c r="L176" s="1375"/>
      <c r="M176" s="1375"/>
      <c r="N176" s="1375"/>
      <c r="O176" s="1375"/>
      <c r="P176" s="1375"/>
      <c r="Q176" s="1375"/>
      <c r="R176" s="1375"/>
      <c r="S176" s="1375"/>
      <c r="T176" s="1375"/>
      <c r="U176" s="1375"/>
      <c r="V176" s="1375"/>
      <c r="W176" s="1375"/>
      <c r="X176" s="1375"/>
      <c r="Z176" s="1258"/>
      <c r="AA176" s="43"/>
      <c r="AX176" s="1258"/>
      <c r="AY176" s="1258"/>
      <c r="AZ176" s="1258"/>
    </row>
    <row r="177" spans="1:52" s="1257" customFormat="1" ht="21" customHeight="1">
      <c r="A177" s="1258"/>
      <c r="B177" s="1258"/>
      <c r="C177" s="1375"/>
      <c r="D177" s="1375"/>
      <c r="E177" s="1375"/>
      <c r="F177" s="1375"/>
      <c r="G177" s="1375"/>
      <c r="H177" s="1375"/>
      <c r="I177" s="1375"/>
      <c r="J177" s="1375"/>
      <c r="K177" s="1375"/>
      <c r="L177" s="1375"/>
      <c r="M177" s="1375"/>
      <c r="N177" s="1375"/>
      <c r="O177" s="1375"/>
      <c r="P177" s="1375"/>
      <c r="Q177" s="1375"/>
      <c r="R177" s="1375"/>
      <c r="S177" s="1375"/>
      <c r="T177" s="1375"/>
      <c r="U177" s="1375"/>
      <c r="V177" s="1375"/>
      <c r="W177" s="1375"/>
      <c r="X177" s="1375"/>
      <c r="Z177" s="1258"/>
      <c r="AA177" s="43"/>
      <c r="AX177" s="1258"/>
      <c r="AY177" s="1258"/>
      <c r="AZ177" s="1258"/>
    </row>
    <row r="178" spans="1:52" s="1257" customFormat="1" ht="21" customHeight="1">
      <c r="A178" s="1258"/>
      <c r="B178" s="1258"/>
      <c r="C178" s="1375"/>
      <c r="D178" s="1375"/>
      <c r="E178" s="1375"/>
      <c r="F178" s="1375"/>
      <c r="G178" s="1375"/>
      <c r="H178" s="1375"/>
      <c r="I178" s="1375"/>
      <c r="J178" s="1375"/>
      <c r="K178" s="1375"/>
      <c r="L178" s="1375"/>
      <c r="M178" s="1375"/>
      <c r="N178" s="1375"/>
      <c r="O178" s="1375"/>
      <c r="P178" s="1375"/>
      <c r="Q178" s="1375"/>
      <c r="R178" s="1375"/>
      <c r="S178" s="1375"/>
      <c r="T178" s="1375"/>
      <c r="U178" s="1375"/>
      <c r="V178" s="1375"/>
      <c r="W178" s="1375"/>
      <c r="X178" s="1375"/>
      <c r="Z178" s="1258"/>
      <c r="AA178" s="43"/>
      <c r="AX178" s="1258"/>
      <c r="AY178" s="1258"/>
      <c r="AZ178" s="1258"/>
    </row>
    <row r="179" spans="1:52" s="1257" customFormat="1" ht="21" customHeight="1">
      <c r="A179" s="1258"/>
      <c r="B179" s="1258"/>
      <c r="C179" s="1375"/>
      <c r="D179" s="1375"/>
      <c r="E179" s="1375"/>
      <c r="F179" s="1375"/>
      <c r="G179" s="1375"/>
      <c r="H179" s="1375"/>
      <c r="I179" s="1375"/>
      <c r="J179" s="1375"/>
      <c r="K179" s="1375"/>
      <c r="L179" s="1375"/>
      <c r="M179" s="1375"/>
      <c r="N179" s="1375"/>
      <c r="O179" s="1375"/>
      <c r="P179" s="1375"/>
      <c r="Q179" s="1375"/>
      <c r="R179" s="1375"/>
      <c r="S179" s="1375"/>
      <c r="T179" s="1375"/>
      <c r="U179" s="1375"/>
      <c r="V179" s="1375"/>
      <c r="W179" s="1375"/>
      <c r="X179" s="1375"/>
      <c r="Z179" s="1258"/>
      <c r="AA179" s="43"/>
      <c r="AX179" s="1258"/>
      <c r="AY179" s="1258"/>
      <c r="AZ179" s="1258"/>
    </row>
    <row r="180" spans="1:52" s="1257" customFormat="1" ht="21" customHeight="1">
      <c r="A180" s="1258"/>
      <c r="B180" s="1258"/>
      <c r="C180" s="1375"/>
      <c r="D180" s="1375"/>
      <c r="E180" s="1375"/>
      <c r="F180" s="1375"/>
      <c r="G180" s="1375"/>
      <c r="H180" s="1375"/>
      <c r="I180" s="1375"/>
      <c r="J180" s="1375"/>
      <c r="K180" s="1375"/>
      <c r="L180" s="1375"/>
      <c r="M180" s="1375"/>
      <c r="N180" s="1375"/>
      <c r="O180" s="1375"/>
      <c r="P180" s="1375"/>
      <c r="Q180" s="1375"/>
      <c r="R180" s="1375"/>
      <c r="S180" s="1375"/>
      <c r="T180" s="1375"/>
      <c r="U180" s="1375"/>
      <c r="V180" s="1375"/>
      <c r="W180" s="1375"/>
      <c r="X180" s="1375"/>
      <c r="Z180" s="1258"/>
      <c r="AA180" s="43"/>
      <c r="AX180" s="1258"/>
      <c r="AY180" s="1258"/>
      <c r="AZ180" s="1258"/>
    </row>
    <row r="181" spans="1:52" s="1257" customFormat="1" ht="21" customHeight="1">
      <c r="A181" s="1258"/>
      <c r="B181" s="1258"/>
      <c r="C181" s="1375"/>
      <c r="D181" s="1375"/>
      <c r="E181" s="1375"/>
      <c r="F181" s="1375"/>
      <c r="G181" s="1375"/>
      <c r="H181" s="1375"/>
      <c r="I181" s="1375"/>
      <c r="J181" s="1375"/>
      <c r="K181" s="1375"/>
      <c r="L181" s="1375"/>
      <c r="M181" s="1375"/>
      <c r="N181" s="1375"/>
      <c r="O181" s="1375"/>
      <c r="P181" s="1375"/>
      <c r="Q181" s="1375"/>
      <c r="R181" s="1375"/>
      <c r="S181" s="1375"/>
      <c r="T181" s="1375"/>
      <c r="U181" s="1375"/>
      <c r="V181" s="1375"/>
      <c r="W181" s="1375"/>
      <c r="X181" s="1375"/>
      <c r="Z181" s="1258"/>
      <c r="AA181" s="43"/>
      <c r="AX181" s="1258"/>
      <c r="AY181" s="1258"/>
      <c r="AZ181" s="1258"/>
    </row>
    <row r="182" spans="1:52" s="1257" customFormat="1" ht="21" customHeight="1">
      <c r="A182" s="1258"/>
      <c r="B182" s="1258"/>
      <c r="C182" s="1375"/>
      <c r="D182" s="1375"/>
      <c r="E182" s="1375"/>
      <c r="F182" s="1375"/>
      <c r="G182" s="1375"/>
      <c r="H182" s="1375"/>
      <c r="I182" s="1375"/>
      <c r="J182" s="1375"/>
      <c r="K182" s="1375"/>
      <c r="L182" s="1375"/>
      <c r="M182" s="1375"/>
      <c r="N182" s="1375"/>
      <c r="O182" s="1375"/>
      <c r="P182" s="1375"/>
      <c r="Q182" s="1375"/>
      <c r="R182" s="1375"/>
      <c r="S182" s="1375"/>
      <c r="T182" s="1375"/>
      <c r="U182" s="1375"/>
      <c r="V182" s="1375"/>
      <c r="W182" s="1375"/>
      <c r="X182" s="1375"/>
      <c r="Z182" s="1258"/>
      <c r="AA182" s="43"/>
      <c r="AX182" s="1258"/>
      <c r="AY182" s="1258"/>
      <c r="AZ182" s="1258"/>
    </row>
    <row r="183" spans="1:52" s="1257" customFormat="1" ht="21" customHeight="1">
      <c r="A183" s="1258"/>
      <c r="B183" s="1258"/>
      <c r="C183" s="1375"/>
      <c r="D183" s="1375"/>
      <c r="E183" s="1375"/>
      <c r="F183" s="1375"/>
      <c r="G183" s="1375"/>
      <c r="H183" s="1375"/>
      <c r="I183" s="1375"/>
      <c r="J183" s="1375"/>
      <c r="K183" s="1375"/>
      <c r="L183" s="1375"/>
      <c r="M183" s="1375"/>
      <c r="N183" s="1375"/>
      <c r="O183" s="1375"/>
      <c r="P183" s="1375"/>
      <c r="Q183" s="1375"/>
      <c r="R183" s="1375"/>
      <c r="S183" s="1375"/>
      <c r="T183" s="1375"/>
      <c r="U183" s="1375"/>
      <c r="V183" s="1375"/>
      <c r="W183" s="1375"/>
      <c r="X183" s="1375"/>
      <c r="Z183" s="1258"/>
      <c r="AA183" s="43"/>
      <c r="AX183" s="1258"/>
      <c r="AY183" s="1258"/>
      <c r="AZ183" s="1258"/>
    </row>
    <row r="184" spans="1:52" s="1257" customFormat="1" ht="21" customHeight="1">
      <c r="A184" s="1258"/>
      <c r="B184" s="1258"/>
      <c r="C184" s="1375"/>
      <c r="D184" s="1375"/>
      <c r="E184" s="1375"/>
      <c r="F184" s="1375"/>
      <c r="G184" s="1375"/>
      <c r="H184" s="1375"/>
      <c r="I184" s="1375"/>
      <c r="J184" s="1375"/>
      <c r="K184" s="1375"/>
      <c r="L184" s="1375"/>
      <c r="M184" s="1375"/>
      <c r="N184" s="1375"/>
      <c r="O184" s="1375"/>
      <c r="P184" s="1375"/>
      <c r="Q184" s="1375"/>
      <c r="R184" s="1375"/>
      <c r="S184" s="1375"/>
      <c r="T184" s="1375"/>
      <c r="U184" s="1375"/>
      <c r="V184" s="1375"/>
      <c r="W184" s="1375"/>
      <c r="X184" s="1375"/>
      <c r="Z184" s="1258"/>
      <c r="AA184" s="43"/>
      <c r="AX184" s="1258"/>
      <c r="AY184" s="1258"/>
      <c r="AZ184" s="1258"/>
    </row>
    <row r="185" spans="1:52" s="1257" customFormat="1" ht="21" customHeight="1">
      <c r="A185" s="1258"/>
      <c r="B185" s="1258"/>
      <c r="C185" s="1375"/>
      <c r="D185" s="1375"/>
      <c r="E185" s="1375"/>
      <c r="F185" s="1375"/>
      <c r="G185" s="1375"/>
      <c r="H185" s="1375"/>
      <c r="I185" s="1375"/>
      <c r="J185" s="1375"/>
      <c r="K185" s="1375"/>
      <c r="L185" s="1375"/>
      <c r="M185" s="1375"/>
      <c r="N185" s="1375"/>
      <c r="O185" s="1375"/>
      <c r="P185" s="1375"/>
      <c r="Q185" s="1375"/>
      <c r="R185" s="1375"/>
      <c r="S185" s="1375"/>
      <c r="T185" s="1375"/>
      <c r="U185" s="1375"/>
      <c r="V185" s="1375"/>
      <c r="W185" s="1375"/>
      <c r="X185" s="1375"/>
      <c r="Z185" s="1258"/>
      <c r="AA185" s="43"/>
      <c r="AB185" s="1376"/>
      <c r="AC185" s="1376"/>
      <c r="AD185" s="1377"/>
      <c r="AX185" s="1258"/>
      <c r="AY185" s="1258"/>
      <c r="AZ185" s="1258"/>
    </row>
    <row r="186" spans="1:52" s="1257" customFormat="1" ht="21" customHeight="1">
      <c r="A186" s="1258"/>
      <c r="B186" s="1258"/>
      <c r="C186" s="1375"/>
      <c r="D186" s="1375"/>
      <c r="E186" s="1375"/>
      <c r="F186" s="1375"/>
      <c r="G186" s="1375"/>
      <c r="H186" s="1375"/>
      <c r="I186" s="1375"/>
      <c r="J186" s="1375"/>
      <c r="K186" s="1375"/>
      <c r="L186" s="1375"/>
      <c r="M186" s="1375"/>
      <c r="N186" s="1375"/>
      <c r="O186" s="1375"/>
      <c r="P186" s="1375"/>
      <c r="Q186" s="1375"/>
      <c r="R186" s="1375"/>
      <c r="S186" s="1375"/>
      <c r="T186" s="1375"/>
      <c r="U186" s="1375"/>
      <c r="V186" s="1375"/>
      <c r="W186" s="1375"/>
      <c r="X186" s="1375"/>
      <c r="Z186" s="1258"/>
      <c r="AA186" s="43"/>
      <c r="AB186" s="1376"/>
      <c r="AC186" s="1376"/>
      <c r="AD186" s="1377"/>
      <c r="AX186" s="1258"/>
      <c r="AY186" s="1258"/>
      <c r="AZ186" s="1258"/>
    </row>
    <row r="187" spans="1:52" s="1257" customFormat="1" ht="21" customHeight="1">
      <c r="A187" s="1258"/>
      <c r="B187" s="1258"/>
      <c r="C187" s="1375"/>
      <c r="D187" s="1375"/>
      <c r="E187" s="1375"/>
      <c r="F187" s="1375"/>
      <c r="G187" s="1375"/>
      <c r="H187" s="1375"/>
      <c r="I187" s="1375"/>
      <c r="J187" s="1375"/>
      <c r="K187" s="1375"/>
      <c r="L187" s="1375"/>
      <c r="M187" s="1375"/>
      <c r="N187" s="1375"/>
      <c r="O187" s="1375"/>
      <c r="P187" s="1375"/>
      <c r="Q187" s="1375"/>
      <c r="R187" s="1375"/>
      <c r="S187" s="1375"/>
      <c r="T187" s="1375"/>
      <c r="U187" s="1375"/>
      <c r="V187" s="1375"/>
      <c r="W187" s="1375"/>
      <c r="X187" s="1375"/>
      <c r="Z187" s="1258"/>
      <c r="AA187" s="43"/>
      <c r="AB187" s="1376"/>
      <c r="AC187" s="1376"/>
      <c r="AD187" s="1377"/>
      <c r="AX187" s="1258"/>
      <c r="AY187" s="1258"/>
      <c r="AZ187" s="1258"/>
    </row>
    <row r="188" spans="1:52" s="1257" customFormat="1" ht="21" customHeight="1">
      <c r="A188" s="1258"/>
      <c r="B188" s="1258"/>
      <c r="C188" s="1375"/>
      <c r="D188" s="1375"/>
      <c r="E188" s="1375"/>
      <c r="F188" s="1375"/>
      <c r="G188" s="1375"/>
      <c r="H188" s="1375"/>
      <c r="I188" s="1375"/>
      <c r="J188" s="1375"/>
      <c r="K188" s="1375"/>
      <c r="L188" s="1375"/>
      <c r="M188" s="1375"/>
      <c r="N188" s="1375"/>
      <c r="O188" s="1375"/>
      <c r="P188" s="1375"/>
      <c r="Q188" s="1375"/>
      <c r="R188" s="1375"/>
      <c r="S188" s="1375"/>
      <c r="T188" s="1375"/>
      <c r="U188" s="1375"/>
      <c r="V188" s="1375"/>
      <c r="W188" s="1375"/>
      <c r="X188" s="1375"/>
      <c r="Z188" s="1258"/>
      <c r="AA188" s="43"/>
      <c r="AB188" s="1376"/>
      <c r="AC188" s="1376"/>
      <c r="AD188" s="1377"/>
      <c r="AX188" s="1258"/>
      <c r="AY188" s="1258"/>
      <c r="AZ188" s="1258"/>
    </row>
    <row r="189" spans="1:52" s="1257" customFormat="1" ht="21" customHeight="1">
      <c r="A189" s="1258"/>
      <c r="B189" s="1258"/>
      <c r="C189" s="1375"/>
      <c r="D189" s="1375"/>
      <c r="E189" s="1375"/>
      <c r="F189" s="1375"/>
      <c r="G189" s="1375"/>
      <c r="H189" s="1375"/>
      <c r="I189" s="1375"/>
      <c r="J189" s="1375"/>
      <c r="K189" s="1375"/>
      <c r="L189" s="1375"/>
      <c r="M189" s="1375"/>
      <c r="N189" s="1375"/>
      <c r="O189" s="1375"/>
      <c r="P189" s="1375"/>
      <c r="Q189" s="1375"/>
      <c r="R189" s="1375"/>
      <c r="S189" s="1375"/>
      <c r="T189" s="1375"/>
      <c r="U189" s="1375"/>
      <c r="V189" s="1375"/>
      <c r="W189" s="1375"/>
      <c r="X189" s="1375"/>
      <c r="Z189" s="1258"/>
      <c r="AA189" s="43"/>
      <c r="AB189" s="1376"/>
      <c r="AC189" s="1376"/>
      <c r="AD189" s="1377"/>
      <c r="AX189" s="1258"/>
      <c r="AY189" s="1258"/>
      <c r="AZ189" s="1258"/>
    </row>
    <row r="190" spans="1:52" s="1257" customFormat="1" ht="21" customHeight="1">
      <c r="A190" s="1258"/>
      <c r="B190" s="1258"/>
      <c r="C190" s="1375"/>
      <c r="D190" s="1375"/>
      <c r="E190" s="1375"/>
      <c r="F190" s="1375"/>
      <c r="G190" s="1375"/>
      <c r="H190" s="1375"/>
      <c r="I190" s="1375"/>
      <c r="J190" s="1375"/>
      <c r="K190" s="1375"/>
      <c r="L190" s="1375"/>
      <c r="M190" s="1375"/>
      <c r="N190" s="1375"/>
      <c r="O190" s="1375"/>
      <c r="P190" s="1375"/>
      <c r="Q190" s="1375"/>
      <c r="R190" s="1375"/>
      <c r="S190" s="1375"/>
      <c r="T190" s="1375"/>
      <c r="U190" s="1375"/>
      <c r="V190" s="1375"/>
      <c r="W190" s="1375"/>
      <c r="X190" s="1375"/>
      <c r="Z190" s="1258"/>
      <c r="AA190" s="43"/>
      <c r="AB190" s="1376"/>
      <c r="AC190" s="1376"/>
      <c r="AD190" s="1377"/>
      <c r="AX190" s="1258"/>
      <c r="AY190" s="1258"/>
      <c r="AZ190" s="1258"/>
    </row>
    <row r="191" spans="1:52" s="1257" customFormat="1" ht="21" customHeight="1">
      <c r="A191" s="1258"/>
      <c r="B191" s="1258"/>
      <c r="C191" s="1375"/>
      <c r="D191" s="1375"/>
      <c r="E191" s="1375"/>
      <c r="F191" s="1375"/>
      <c r="G191" s="1375"/>
      <c r="H191" s="1375"/>
      <c r="I191" s="1375"/>
      <c r="J191" s="1375"/>
      <c r="K191" s="1375"/>
      <c r="L191" s="1375"/>
      <c r="M191" s="1375"/>
      <c r="N191" s="1375"/>
      <c r="O191" s="1375"/>
      <c r="P191" s="1375"/>
      <c r="Q191" s="1375"/>
      <c r="R191" s="1375"/>
      <c r="S191" s="1375"/>
      <c r="T191" s="1375"/>
      <c r="U191" s="1375"/>
      <c r="V191" s="1375"/>
      <c r="W191" s="1375"/>
      <c r="X191" s="1375"/>
      <c r="Z191" s="1258"/>
      <c r="AA191" s="43"/>
      <c r="AB191" s="1376"/>
      <c r="AC191" s="1376"/>
      <c r="AD191" s="1377"/>
      <c r="AX191" s="1258"/>
      <c r="AY191" s="1258"/>
      <c r="AZ191" s="1258"/>
    </row>
    <row r="192" spans="1:52" s="1257" customFormat="1" ht="21" customHeight="1">
      <c r="A192" s="1258"/>
      <c r="B192" s="1258"/>
      <c r="C192" s="1375"/>
      <c r="D192" s="1375"/>
      <c r="E192" s="1375"/>
      <c r="F192" s="1375"/>
      <c r="G192" s="1375"/>
      <c r="H192" s="1375"/>
      <c r="I192" s="1375"/>
      <c r="J192" s="1375"/>
      <c r="K192" s="1375"/>
      <c r="L192" s="1375"/>
      <c r="M192" s="1375"/>
      <c r="N192" s="1375"/>
      <c r="O192" s="1375"/>
      <c r="P192" s="1375"/>
      <c r="Q192" s="1375"/>
      <c r="R192" s="1375"/>
      <c r="S192" s="1375"/>
      <c r="T192" s="1375"/>
      <c r="U192" s="1375"/>
      <c r="V192" s="1375"/>
      <c r="W192" s="1375"/>
      <c r="X192" s="1375"/>
      <c r="Z192" s="1258"/>
      <c r="AA192" s="43"/>
      <c r="AB192" s="1376"/>
      <c r="AC192" s="1376"/>
      <c r="AD192" s="1377"/>
      <c r="AX192" s="1258"/>
      <c r="AY192" s="1258"/>
      <c r="AZ192" s="1258"/>
    </row>
    <row r="193" spans="1:52" s="1257" customFormat="1" ht="21" customHeight="1">
      <c r="A193" s="1258"/>
      <c r="B193" s="1258"/>
      <c r="C193" s="1375"/>
      <c r="D193" s="1375"/>
      <c r="E193" s="1375"/>
      <c r="F193" s="1375"/>
      <c r="G193" s="1375"/>
      <c r="H193" s="1375"/>
      <c r="I193" s="1375"/>
      <c r="J193" s="1375"/>
      <c r="K193" s="1375"/>
      <c r="L193" s="1375"/>
      <c r="M193" s="1375"/>
      <c r="N193" s="1375"/>
      <c r="O193" s="1375"/>
      <c r="P193" s="1375"/>
      <c r="Q193" s="1375"/>
      <c r="R193" s="1375"/>
      <c r="S193" s="1375"/>
      <c r="T193" s="1375"/>
      <c r="U193" s="1375"/>
      <c r="V193" s="1375"/>
      <c r="W193" s="1375"/>
      <c r="X193" s="1375"/>
      <c r="Z193" s="1258"/>
      <c r="AA193" s="43"/>
      <c r="AB193" s="1376"/>
      <c r="AC193" s="1376"/>
      <c r="AD193" s="1377"/>
      <c r="AX193" s="1258"/>
      <c r="AY193" s="1258"/>
      <c r="AZ193" s="1258"/>
    </row>
    <row r="194" spans="1:52" s="1257" customFormat="1" ht="21" customHeight="1">
      <c r="A194" s="1258"/>
      <c r="B194" s="1258"/>
      <c r="C194" s="1375"/>
      <c r="D194" s="1375"/>
      <c r="E194" s="1375"/>
      <c r="F194" s="1375"/>
      <c r="G194" s="1375"/>
      <c r="H194" s="1375"/>
      <c r="I194" s="1375"/>
      <c r="J194" s="1375"/>
      <c r="K194" s="1375"/>
      <c r="L194" s="1375"/>
      <c r="M194" s="1375"/>
      <c r="N194" s="1375"/>
      <c r="O194" s="1375"/>
      <c r="P194" s="1375"/>
      <c r="Q194" s="1375"/>
      <c r="R194" s="1375"/>
      <c r="S194" s="1375"/>
      <c r="T194" s="1375"/>
      <c r="U194" s="1375"/>
      <c r="V194" s="1375"/>
      <c r="W194" s="1375"/>
      <c r="X194" s="1375"/>
      <c r="Z194" s="1258"/>
      <c r="AA194" s="43"/>
      <c r="AB194" s="1376"/>
      <c r="AC194" s="1376"/>
      <c r="AD194" s="1377"/>
      <c r="AX194" s="1258"/>
      <c r="AY194" s="1258"/>
      <c r="AZ194" s="1258"/>
    </row>
    <row r="195" spans="1:52" s="1257" customFormat="1" ht="21" customHeight="1">
      <c r="A195" s="1258"/>
      <c r="B195" s="1258"/>
      <c r="C195" s="1375"/>
      <c r="D195" s="1375"/>
      <c r="E195" s="1375"/>
      <c r="F195" s="1375"/>
      <c r="G195" s="1375"/>
      <c r="H195" s="1375"/>
      <c r="I195" s="1375"/>
      <c r="J195" s="1375"/>
      <c r="K195" s="1375"/>
      <c r="L195" s="1375"/>
      <c r="M195" s="1375"/>
      <c r="N195" s="1375"/>
      <c r="O195" s="1375"/>
      <c r="P195" s="1375"/>
      <c r="Q195" s="1375"/>
      <c r="R195" s="1375"/>
      <c r="S195" s="1375"/>
      <c r="T195" s="1375"/>
      <c r="U195" s="1375"/>
      <c r="V195" s="1375"/>
      <c r="W195" s="1375"/>
      <c r="X195" s="1375"/>
      <c r="Z195" s="1258"/>
      <c r="AA195" s="43"/>
      <c r="AB195" s="1376"/>
      <c r="AC195" s="1376"/>
      <c r="AD195" s="1377"/>
      <c r="AX195" s="1258"/>
      <c r="AY195" s="1258"/>
      <c r="AZ195" s="1258"/>
    </row>
    <row r="196" spans="1:52" s="1257" customFormat="1" ht="21" customHeight="1">
      <c r="A196" s="1258"/>
      <c r="B196" s="1258"/>
      <c r="C196" s="1375"/>
      <c r="D196" s="1375"/>
      <c r="E196" s="1375"/>
      <c r="F196" s="1375"/>
      <c r="G196" s="1375"/>
      <c r="H196" s="1375"/>
      <c r="I196" s="1375"/>
      <c r="J196" s="1375"/>
      <c r="K196" s="1375"/>
      <c r="L196" s="1375"/>
      <c r="M196" s="1375"/>
      <c r="N196" s="1375"/>
      <c r="O196" s="1375"/>
      <c r="P196" s="1375"/>
      <c r="Q196" s="1375"/>
      <c r="R196" s="1375"/>
      <c r="S196" s="1375"/>
      <c r="T196" s="1375"/>
      <c r="U196" s="1375"/>
      <c r="V196" s="1375"/>
      <c r="W196" s="1375"/>
      <c r="X196" s="1375"/>
      <c r="Z196" s="1258"/>
      <c r="AA196" s="43"/>
      <c r="AB196" s="1376"/>
      <c r="AC196" s="1376"/>
      <c r="AD196" s="1377"/>
      <c r="AX196" s="1258"/>
      <c r="AY196" s="1258"/>
      <c r="AZ196" s="1258"/>
    </row>
    <row r="197" spans="1:52" s="1257" customFormat="1" ht="21" customHeight="1">
      <c r="A197" s="1258"/>
      <c r="B197" s="1258"/>
      <c r="C197" s="1375"/>
      <c r="D197" s="1375"/>
      <c r="E197" s="1375"/>
      <c r="F197" s="1375"/>
      <c r="G197" s="1375"/>
      <c r="H197" s="1375"/>
      <c r="I197" s="1375"/>
      <c r="J197" s="1375"/>
      <c r="K197" s="1375"/>
      <c r="L197" s="1375"/>
      <c r="M197" s="1375"/>
      <c r="N197" s="1375"/>
      <c r="O197" s="1375"/>
      <c r="P197" s="1375"/>
      <c r="Q197" s="1375"/>
      <c r="R197" s="1375"/>
      <c r="S197" s="1375"/>
      <c r="T197" s="1375"/>
      <c r="U197" s="1375"/>
      <c r="V197" s="1375"/>
      <c r="W197" s="1375"/>
      <c r="X197" s="1375"/>
      <c r="Z197" s="1258"/>
      <c r="AA197" s="43"/>
      <c r="AB197" s="1376"/>
      <c r="AC197" s="1376"/>
      <c r="AD197" s="1377"/>
      <c r="AX197" s="1258"/>
      <c r="AY197" s="1258"/>
      <c r="AZ197" s="1258"/>
    </row>
    <row r="198" spans="1:52" s="1257" customFormat="1" ht="21" customHeight="1">
      <c r="A198" s="1258"/>
      <c r="B198" s="1258"/>
      <c r="C198" s="1375"/>
      <c r="D198" s="1375"/>
      <c r="E198" s="1375"/>
      <c r="F198" s="1375"/>
      <c r="G198" s="1375"/>
      <c r="H198" s="1375"/>
      <c r="I198" s="1375"/>
      <c r="J198" s="1375"/>
      <c r="K198" s="1375"/>
      <c r="L198" s="1375"/>
      <c r="M198" s="1375"/>
      <c r="N198" s="1375"/>
      <c r="O198" s="1375"/>
      <c r="P198" s="1375"/>
      <c r="Q198" s="1375"/>
      <c r="R198" s="1375"/>
      <c r="S198" s="1375"/>
      <c r="T198" s="1375"/>
      <c r="U198" s="1375"/>
      <c r="V198" s="1375"/>
      <c r="W198" s="1375"/>
      <c r="X198" s="1375"/>
      <c r="Z198" s="1258"/>
      <c r="AA198" s="43"/>
      <c r="AB198" s="1376"/>
      <c r="AC198" s="1376"/>
      <c r="AD198" s="1377"/>
      <c r="AX198" s="1258"/>
      <c r="AY198" s="1258"/>
      <c r="AZ198" s="1258"/>
    </row>
    <row r="199" spans="1:52" s="1257" customFormat="1" ht="21" customHeight="1">
      <c r="A199" s="1258"/>
      <c r="B199" s="1258"/>
      <c r="C199" s="1375"/>
      <c r="D199" s="1375"/>
      <c r="E199" s="1375"/>
      <c r="F199" s="1375"/>
      <c r="G199" s="1375"/>
      <c r="H199" s="1375"/>
      <c r="I199" s="1375"/>
      <c r="J199" s="1375"/>
      <c r="K199" s="1375"/>
      <c r="L199" s="1375"/>
      <c r="M199" s="1375"/>
      <c r="N199" s="1375"/>
      <c r="O199" s="1375"/>
      <c r="P199" s="1375"/>
      <c r="Q199" s="1375"/>
      <c r="R199" s="1375"/>
      <c r="S199" s="1375"/>
      <c r="T199" s="1375"/>
      <c r="U199" s="1375"/>
      <c r="V199" s="1375"/>
      <c r="W199" s="1375"/>
      <c r="X199" s="1375"/>
      <c r="Z199" s="1258"/>
      <c r="AA199" s="43"/>
      <c r="AB199" s="1376"/>
      <c r="AC199" s="1376"/>
      <c r="AD199" s="1377"/>
      <c r="AX199" s="1258"/>
      <c r="AY199" s="1258"/>
      <c r="AZ199" s="1258"/>
    </row>
    <row r="200" spans="1:52" s="1257" customFormat="1" ht="21" customHeight="1">
      <c r="A200" s="1258"/>
      <c r="B200" s="1258"/>
      <c r="C200" s="1375"/>
      <c r="D200" s="1375"/>
      <c r="E200" s="1375"/>
      <c r="F200" s="1375"/>
      <c r="G200" s="1375"/>
      <c r="H200" s="1375"/>
      <c r="I200" s="1375"/>
      <c r="J200" s="1375"/>
      <c r="K200" s="1375"/>
      <c r="L200" s="1375"/>
      <c r="M200" s="1375"/>
      <c r="N200" s="1375"/>
      <c r="O200" s="1375"/>
      <c r="P200" s="1375"/>
      <c r="Q200" s="1375"/>
      <c r="R200" s="1375"/>
      <c r="S200" s="1375"/>
      <c r="T200" s="1375"/>
      <c r="U200" s="1375"/>
      <c r="V200" s="1375"/>
      <c r="W200" s="1375"/>
      <c r="X200" s="1375"/>
      <c r="Z200" s="1258"/>
      <c r="AA200" s="43"/>
      <c r="AB200" s="1376"/>
      <c r="AC200" s="1376"/>
      <c r="AD200" s="1377"/>
      <c r="AX200" s="1258"/>
      <c r="AY200" s="1258"/>
      <c r="AZ200" s="1258"/>
    </row>
    <row r="201" spans="1:52" s="1257" customFormat="1" ht="21" customHeight="1">
      <c r="A201" s="1258"/>
      <c r="B201" s="1258"/>
      <c r="C201" s="1375"/>
      <c r="D201" s="1375"/>
      <c r="E201" s="1375"/>
      <c r="F201" s="1375"/>
      <c r="G201" s="1375"/>
      <c r="H201" s="1375"/>
      <c r="I201" s="1375"/>
      <c r="J201" s="1375"/>
      <c r="K201" s="1375"/>
      <c r="L201" s="1375"/>
      <c r="M201" s="1375"/>
      <c r="N201" s="1375"/>
      <c r="O201" s="1375"/>
      <c r="P201" s="1375"/>
      <c r="Q201" s="1375"/>
      <c r="R201" s="1375"/>
      <c r="S201" s="1375"/>
      <c r="T201" s="1375"/>
      <c r="U201" s="1375"/>
      <c r="V201" s="1375"/>
      <c r="W201" s="1375"/>
      <c r="X201" s="1375"/>
      <c r="Z201" s="1258"/>
      <c r="AA201" s="43"/>
      <c r="AB201" s="1376"/>
      <c r="AC201" s="1376"/>
      <c r="AD201" s="1377"/>
      <c r="AX201" s="1258"/>
      <c r="AY201" s="1258"/>
      <c r="AZ201" s="1258"/>
    </row>
    <row r="202" spans="1:52" s="1257" customFormat="1" ht="21" customHeight="1">
      <c r="A202" s="1258"/>
      <c r="B202" s="1258"/>
      <c r="C202" s="1375"/>
      <c r="D202" s="1375"/>
      <c r="E202" s="1375"/>
      <c r="F202" s="1375"/>
      <c r="G202" s="1375"/>
      <c r="H202" s="1375"/>
      <c r="I202" s="1375"/>
      <c r="J202" s="1375"/>
      <c r="K202" s="1375"/>
      <c r="L202" s="1375"/>
      <c r="M202" s="1375"/>
      <c r="N202" s="1375"/>
      <c r="O202" s="1375"/>
      <c r="P202" s="1375"/>
      <c r="Q202" s="1375"/>
      <c r="R202" s="1375"/>
      <c r="S202" s="1375"/>
      <c r="T202" s="1375"/>
      <c r="U202" s="1375"/>
      <c r="V202" s="1375"/>
      <c r="W202" s="1375"/>
      <c r="X202" s="1375"/>
      <c r="Z202" s="1258"/>
      <c r="AA202" s="43"/>
      <c r="AB202" s="1376"/>
      <c r="AC202" s="1376"/>
      <c r="AD202" s="1377"/>
      <c r="AX202" s="1258"/>
      <c r="AY202" s="1258"/>
      <c r="AZ202" s="1258"/>
    </row>
    <row r="203" spans="1:52" s="1257" customFormat="1" ht="21" customHeight="1">
      <c r="A203" s="1258"/>
      <c r="B203" s="1258"/>
      <c r="C203" s="1375"/>
      <c r="D203" s="1375"/>
      <c r="E203" s="1375"/>
      <c r="F203" s="1375"/>
      <c r="G203" s="1375"/>
      <c r="H203" s="1375"/>
      <c r="I203" s="1375"/>
      <c r="J203" s="1375"/>
      <c r="K203" s="1375"/>
      <c r="L203" s="1375"/>
      <c r="M203" s="1375"/>
      <c r="N203" s="1375"/>
      <c r="O203" s="1375"/>
      <c r="P203" s="1375"/>
      <c r="Q203" s="1375"/>
      <c r="R203" s="1375"/>
      <c r="S203" s="1375"/>
      <c r="T203" s="1375"/>
      <c r="U203" s="1375"/>
      <c r="V203" s="1375"/>
      <c r="W203" s="1375"/>
      <c r="X203" s="1375"/>
      <c r="Z203" s="1258"/>
      <c r="AA203" s="43"/>
      <c r="AB203" s="1376"/>
      <c r="AC203" s="1376"/>
      <c r="AD203" s="1377"/>
      <c r="AX203" s="1258"/>
      <c r="AY203" s="1258"/>
      <c r="AZ203" s="1258"/>
    </row>
    <row r="204" spans="1:52" s="1257" customFormat="1" ht="21" customHeight="1">
      <c r="A204" s="1258"/>
      <c r="B204" s="1258"/>
      <c r="C204" s="1375"/>
      <c r="D204" s="1375"/>
      <c r="E204" s="1375"/>
      <c r="F204" s="1375"/>
      <c r="G204" s="1375"/>
      <c r="H204" s="1375"/>
      <c r="I204" s="1375"/>
      <c r="J204" s="1375"/>
      <c r="K204" s="1375"/>
      <c r="L204" s="1375"/>
      <c r="M204" s="1375"/>
      <c r="N204" s="1375"/>
      <c r="O204" s="1375"/>
      <c r="P204" s="1375"/>
      <c r="Q204" s="1375"/>
      <c r="R204" s="1375"/>
      <c r="S204" s="1375"/>
      <c r="T204" s="1375"/>
      <c r="U204" s="1375"/>
      <c r="V204" s="1375"/>
      <c r="W204" s="1375"/>
      <c r="X204" s="1375"/>
      <c r="Z204" s="1258"/>
      <c r="AA204" s="43"/>
      <c r="AB204" s="1376"/>
      <c r="AC204" s="1376"/>
      <c r="AD204" s="1377"/>
      <c r="AX204" s="1258"/>
      <c r="AY204" s="1258"/>
      <c r="AZ204" s="1258"/>
    </row>
    <row r="205" spans="1:52" s="1257" customFormat="1" ht="21" customHeight="1">
      <c r="A205" s="1258"/>
      <c r="B205" s="1258"/>
      <c r="C205" s="1375"/>
      <c r="D205" s="1375"/>
      <c r="E205" s="1375"/>
      <c r="F205" s="1375"/>
      <c r="G205" s="1375"/>
      <c r="H205" s="1375"/>
      <c r="I205" s="1375"/>
      <c r="J205" s="1375"/>
      <c r="K205" s="1375"/>
      <c r="L205" s="1375"/>
      <c r="M205" s="1375"/>
      <c r="N205" s="1375"/>
      <c r="O205" s="1375"/>
      <c r="P205" s="1375"/>
      <c r="Q205" s="1375"/>
      <c r="R205" s="1375"/>
      <c r="S205" s="1375"/>
      <c r="T205" s="1375"/>
      <c r="U205" s="1375"/>
      <c r="V205" s="1375"/>
      <c r="W205" s="1375"/>
      <c r="X205" s="1375"/>
      <c r="Z205" s="1258"/>
      <c r="AA205" s="43"/>
      <c r="AB205" s="1376"/>
      <c r="AC205" s="1376"/>
      <c r="AD205" s="1377"/>
      <c r="AX205" s="1258"/>
      <c r="AY205" s="1258"/>
      <c r="AZ205" s="1258"/>
    </row>
    <row r="206" spans="1:52" s="1257" customFormat="1" ht="21" customHeight="1">
      <c r="A206" s="1258"/>
      <c r="B206" s="1258"/>
      <c r="C206" s="1375"/>
      <c r="D206" s="1375"/>
      <c r="E206" s="1375"/>
      <c r="F206" s="1375"/>
      <c r="G206" s="1375"/>
      <c r="H206" s="1375"/>
      <c r="I206" s="1375"/>
      <c r="J206" s="1375"/>
      <c r="K206" s="1375"/>
      <c r="L206" s="1375"/>
      <c r="M206" s="1375"/>
      <c r="N206" s="1375"/>
      <c r="O206" s="1375"/>
      <c r="P206" s="1375"/>
      <c r="Q206" s="1375"/>
      <c r="R206" s="1375"/>
      <c r="S206" s="1375"/>
      <c r="T206" s="1375"/>
      <c r="U206" s="1375"/>
      <c r="V206" s="1375"/>
      <c r="W206" s="1375"/>
      <c r="X206" s="1375"/>
      <c r="Z206" s="1258"/>
      <c r="AA206" s="43"/>
      <c r="AB206" s="1376"/>
      <c r="AC206" s="1376"/>
      <c r="AD206" s="1377"/>
      <c r="AX206" s="1258"/>
      <c r="AY206" s="1258"/>
      <c r="AZ206" s="1258"/>
    </row>
    <row r="207" spans="1:52" s="1257" customFormat="1" ht="21" customHeight="1">
      <c r="A207" s="1258"/>
      <c r="B207" s="1258"/>
      <c r="C207" s="1375"/>
      <c r="D207" s="1375"/>
      <c r="E207" s="1375"/>
      <c r="F207" s="1375"/>
      <c r="G207" s="1375"/>
      <c r="H207" s="1375"/>
      <c r="I207" s="1375"/>
      <c r="J207" s="1375"/>
      <c r="K207" s="1375"/>
      <c r="L207" s="1375"/>
      <c r="M207" s="1375"/>
      <c r="N207" s="1375"/>
      <c r="O207" s="1375"/>
      <c r="P207" s="1375"/>
      <c r="Q207" s="1375"/>
      <c r="R207" s="1375"/>
      <c r="S207" s="1375"/>
      <c r="T207" s="1375"/>
      <c r="U207" s="1375"/>
      <c r="V207" s="1375"/>
      <c r="W207" s="1375"/>
      <c r="X207" s="1375"/>
      <c r="Z207" s="1258"/>
      <c r="AA207" s="43"/>
      <c r="AB207" s="1376"/>
      <c r="AC207" s="1376"/>
      <c r="AD207" s="1377"/>
      <c r="AX207" s="1258"/>
      <c r="AY207" s="1258"/>
      <c r="AZ207" s="1258"/>
    </row>
    <row r="208" spans="1:52" s="1257" customFormat="1" ht="21" customHeight="1">
      <c r="A208" s="1258"/>
      <c r="B208" s="1258"/>
      <c r="C208" s="1375"/>
      <c r="D208" s="1375"/>
      <c r="E208" s="1375"/>
      <c r="F208" s="1375"/>
      <c r="G208" s="1375"/>
      <c r="H208" s="1375"/>
      <c r="I208" s="1375"/>
      <c r="J208" s="1375"/>
      <c r="K208" s="1375"/>
      <c r="L208" s="1375"/>
      <c r="M208" s="1375"/>
      <c r="N208" s="1375"/>
      <c r="O208" s="1375"/>
      <c r="P208" s="1375"/>
      <c r="Q208" s="1375"/>
      <c r="R208" s="1375"/>
      <c r="S208" s="1375"/>
      <c r="T208" s="1375"/>
      <c r="U208" s="1375"/>
      <c r="V208" s="1375"/>
      <c r="W208" s="1375"/>
      <c r="X208" s="1375"/>
      <c r="Z208" s="1258"/>
      <c r="AA208" s="43"/>
      <c r="AB208" s="1376"/>
      <c r="AC208" s="1376"/>
      <c r="AD208" s="1377"/>
      <c r="AX208" s="1258"/>
      <c r="AY208" s="1258"/>
      <c r="AZ208" s="1258"/>
    </row>
    <row r="209" spans="1:52" s="1257" customFormat="1" ht="21" customHeight="1">
      <c r="A209" s="1258"/>
      <c r="B209" s="1258"/>
      <c r="C209" s="1375"/>
      <c r="D209" s="1375"/>
      <c r="E209" s="1375"/>
      <c r="F209" s="1375"/>
      <c r="G209" s="1375"/>
      <c r="H209" s="1375"/>
      <c r="I209" s="1375"/>
      <c r="J209" s="1375"/>
      <c r="K209" s="1375"/>
      <c r="L209" s="1375"/>
      <c r="M209" s="1375"/>
      <c r="N209" s="1375"/>
      <c r="O209" s="1375"/>
      <c r="P209" s="1375"/>
      <c r="Q209" s="1375"/>
      <c r="R209" s="1375"/>
      <c r="S209" s="1375"/>
      <c r="T209" s="1375"/>
      <c r="U209" s="1375"/>
      <c r="V209" s="1375"/>
      <c r="W209" s="1375"/>
      <c r="X209" s="1375"/>
      <c r="Z209" s="1258"/>
      <c r="AA209" s="43"/>
      <c r="AB209" s="1376"/>
      <c r="AC209" s="1376"/>
      <c r="AD209" s="1377"/>
      <c r="AX209" s="1258"/>
      <c r="AY209" s="1258"/>
      <c r="AZ209" s="1258"/>
    </row>
    <row r="210" spans="1:52" s="1257" customFormat="1" ht="21" customHeight="1">
      <c r="A210" s="1258"/>
      <c r="B210" s="1258"/>
      <c r="C210" s="1375"/>
      <c r="D210" s="1375"/>
      <c r="E210" s="1375"/>
      <c r="F210" s="1375"/>
      <c r="G210" s="1375"/>
      <c r="H210" s="1375"/>
      <c r="I210" s="1375"/>
      <c r="J210" s="1375"/>
      <c r="K210" s="1375"/>
      <c r="L210" s="1375"/>
      <c r="M210" s="1375"/>
      <c r="N210" s="1375"/>
      <c r="O210" s="1375"/>
      <c r="P210" s="1375"/>
      <c r="Q210" s="1375"/>
      <c r="R210" s="1375"/>
      <c r="S210" s="1375"/>
      <c r="T210" s="1375"/>
      <c r="U210" s="1375"/>
      <c r="V210" s="1375"/>
      <c r="W210" s="1375"/>
      <c r="X210" s="1375"/>
      <c r="Z210" s="1258"/>
      <c r="AA210" s="43"/>
      <c r="AB210" s="1376"/>
      <c r="AC210" s="1376"/>
      <c r="AD210" s="1377"/>
      <c r="AX210" s="1258"/>
      <c r="AY210" s="1258"/>
      <c r="AZ210" s="1258"/>
    </row>
    <row r="211" spans="1:52" s="1257" customFormat="1" ht="21" customHeight="1">
      <c r="A211" s="1258"/>
      <c r="B211" s="1258"/>
      <c r="C211" s="1375"/>
      <c r="D211" s="1375"/>
      <c r="E211" s="1375"/>
      <c r="F211" s="1375"/>
      <c r="G211" s="1375"/>
      <c r="H211" s="1375"/>
      <c r="I211" s="1375"/>
      <c r="J211" s="1375"/>
      <c r="K211" s="1375"/>
      <c r="L211" s="1375"/>
      <c r="M211" s="1375"/>
      <c r="N211" s="1375"/>
      <c r="O211" s="1375"/>
      <c r="P211" s="1375"/>
      <c r="Q211" s="1375"/>
      <c r="R211" s="1375"/>
      <c r="S211" s="1375"/>
      <c r="T211" s="1375"/>
      <c r="U211" s="1375"/>
      <c r="V211" s="1375"/>
      <c r="W211" s="1375"/>
      <c r="X211" s="1375"/>
      <c r="Z211" s="1258"/>
      <c r="AA211" s="43"/>
      <c r="AB211" s="1376"/>
      <c r="AC211" s="1376"/>
      <c r="AD211" s="1377"/>
      <c r="AX211" s="1258"/>
      <c r="AY211" s="1258"/>
      <c r="AZ211" s="1258"/>
    </row>
    <row r="212" spans="1:52" s="1257" customFormat="1" ht="21" customHeight="1">
      <c r="A212" s="1258"/>
      <c r="B212" s="1258"/>
      <c r="C212" s="1375"/>
      <c r="D212" s="1375"/>
      <c r="E212" s="1375"/>
      <c r="F212" s="1375"/>
      <c r="G212" s="1375"/>
      <c r="H212" s="1375"/>
      <c r="I212" s="1375"/>
      <c r="J212" s="1375"/>
      <c r="K212" s="1375"/>
      <c r="L212" s="1375"/>
      <c r="M212" s="1375"/>
      <c r="N212" s="1375"/>
      <c r="O212" s="1375"/>
      <c r="P212" s="1375"/>
      <c r="Q212" s="1375"/>
      <c r="R212" s="1375"/>
      <c r="S212" s="1375"/>
      <c r="T212" s="1375"/>
      <c r="U212" s="1375"/>
      <c r="V212" s="1375"/>
      <c r="W212" s="1375"/>
      <c r="X212" s="1375"/>
      <c r="Z212" s="1258"/>
      <c r="AA212" s="43"/>
      <c r="AX212" s="1258"/>
      <c r="AY212" s="1258"/>
      <c r="AZ212" s="1258"/>
    </row>
    <row r="213" spans="1:52" s="1257" customFormat="1" ht="21" customHeight="1">
      <c r="A213" s="1258"/>
      <c r="B213" s="1258"/>
      <c r="C213" s="1375"/>
      <c r="D213" s="1375"/>
      <c r="E213" s="1375"/>
      <c r="F213" s="1375"/>
      <c r="G213" s="1375"/>
      <c r="H213" s="1375"/>
      <c r="I213" s="1375"/>
      <c r="J213" s="1375"/>
      <c r="K213" s="1375"/>
      <c r="L213" s="1375"/>
      <c r="M213" s="1375"/>
      <c r="N213" s="1375"/>
      <c r="O213" s="1375"/>
      <c r="P213" s="1375"/>
      <c r="Q213" s="1375"/>
      <c r="R213" s="1375"/>
      <c r="S213" s="1375"/>
      <c r="T213" s="1375"/>
      <c r="U213" s="1375"/>
      <c r="V213" s="1375"/>
      <c r="W213" s="1375"/>
      <c r="X213" s="1375"/>
      <c r="Z213" s="1258"/>
      <c r="AA213" s="43"/>
      <c r="AX213" s="1258"/>
      <c r="AY213" s="1258"/>
      <c r="AZ213" s="1258"/>
    </row>
    <row r="214" spans="1:52" s="1257" customFormat="1" ht="21" customHeight="1">
      <c r="A214" s="1258"/>
      <c r="B214" s="1258"/>
      <c r="C214" s="1375"/>
      <c r="D214" s="1375"/>
      <c r="E214" s="1375"/>
      <c r="F214" s="1375"/>
      <c r="G214" s="1375"/>
      <c r="H214" s="1375"/>
      <c r="I214" s="1375"/>
      <c r="J214" s="1375"/>
      <c r="K214" s="1375"/>
      <c r="L214" s="1375"/>
      <c r="M214" s="1375"/>
      <c r="N214" s="1375"/>
      <c r="O214" s="1375"/>
      <c r="P214" s="1375"/>
      <c r="Q214" s="1375"/>
      <c r="R214" s="1375"/>
      <c r="S214" s="1375"/>
      <c r="T214" s="1375"/>
      <c r="U214" s="1375"/>
      <c r="V214" s="1375"/>
      <c r="W214" s="1375"/>
      <c r="X214" s="1375"/>
      <c r="Z214" s="1258"/>
      <c r="AA214" s="43"/>
      <c r="AX214" s="1258"/>
      <c r="AY214" s="1258"/>
      <c r="AZ214" s="1258"/>
    </row>
    <row r="215" spans="1:52" s="1257" customFormat="1" ht="21" customHeight="1">
      <c r="A215" s="1258"/>
      <c r="B215" s="1258"/>
      <c r="C215" s="1375"/>
      <c r="D215" s="1375"/>
      <c r="E215" s="1375"/>
      <c r="F215" s="1375"/>
      <c r="G215" s="1375"/>
      <c r="H215" s="1375"/>
      <c r="I215" s="1375"/>
      <c r="J215" s="1375"/>
      <c r="K215" s="1375"/>
      <c r="L215" s="1375"/>
      <c r="M215" s="1375"/>
      <c r="N215" s="1375"/>
      <c r="O215" s="1375"/>
      <c r="P215" s="1375"/>
      <c r="Q215" s="1375"/>
      <c r="R215" s="1375"/>
      <c r="S215" s="1375"/>
      <c r="T215" s="1375"/>
      <c r="U215" s="1375"/>
      <c r="V215" s="1375"/>
      <c r="W215" s="1375"/>
      <c r="X215" s="1375"/>
      <c r="Z215" s="1258"/>
      <c r="AA215" s="43"/>
      <c r="AX215" s="1258"/>
      <c r="AY215" s="1258"/>
      <c r="AZ215" s="1258"/>
    </row>
    <row r="216" spans="1:52" s="1257" customFormat="1" ht="21" customHeight="1">
      <c r="A216" s="1258"/>
      <c r="B216" s="1258"/>
      <c r="C216" s="1375"/>
      <c r="D216" s="1375"/>
      <c r="E216" s="1375"/>
      <c r="F216" s="1375"/>
      <c r="G216" s="1375"/>
      <c r="H216" s="1375"/>
      <c r="I216" s="1375"/>
      <c r="J216" s="1375"/>
      <c r="K216" s="1375"/>
      <c r="L216" s="1375"/>
      <c r="M216" s="1375"/>
      <c r="N216" s="1375"/>
      <c r="O216" s="1375"/>
      <c r="P216" s="1375"/>
      <c r="Q216" s="1375"/>
      <c r="R216" s="1375"/>
      <c r="S216" s="1375"/>
      <c r="T216" s="1375"/>
      <c r="U216" s="1375"/>
      <c r="V216" s="1375"/>
      <c r="W216" s="1375"/>
      <c r="X216" s="1375"/>
      <c r="Z216" s="1258"/>
      <c r="AA216" s="43"/>
      <c r="AX216" s="1258"/>
      <c r="AY216" s="1258"/>
      <c r="AZ216" s="1258"/>
    </row>
    <row r="217" spans="1:52" s="1257" customFormat="1" ht="21" customHeight="1">
      <c r="A217" s="1258"/>
      <c r="B217" s="1258"/>
      <c r="C217" s="1375"/>
      <c r="D217" s="1375"/>
      <c r="E217" s="1375"/>
      <c r="F217" s="1375"/>
      <c r="G217" s="1375"/>
      <c r="H217" s="1375"/>
      <c r="I217" s="1375"/>
      <c r="J217" s="1375"/>
      <c r="K217" s="1375"/>
      <c r="L217" s="1375"/>
      <c r="M217" s="1375"/>
      <c r="N217" s="1375"/>
      <c r="O217" s="1375"/>
      <c r="P217" s="1375"/>
      <c r="Q217" s="1375"/>
      <c r="R217" s="1375"/>
      <c r="S217" s="1375"/>
      <c r="T217" s="1375"/>
      <c r="U217" s="1375"/>
      <c r="V217" s="1375"/>
      <c r="W217" s="1375"/>
      <c r="X217" s="1375"/>
      <c r="Z217" s="1258"/>
      <c r="AA217" s="43"/>
      <c r="AB217" s="1261"/>
      <c r="AC217" s="1261"/>
      <c r="AD217" s="1262"/>
      <c r="AX217" s="1258"/>
      <c r="AY217" s="1258"/>
      <c r="AZ217" s="1258"/>
    </row>
    <row r="218" spans="1:52" s="1257" customFormat="1" ht="21" customHeight="1">
      <c r="A218" s="1258"/>
      <c r="B218" s="1258"/>
      <c r="C218" s="1375"/>
      <c r="D218" s="1375"/>
      <c r="E218" s="1375"/>
      <c r="F218" s="1375"/>
      <c r="G218" s="1375"/>
      <c r="H218" s="1375"/>
      <c r="I218" s="1375"/>
      <c r="J218" s="1375"/>
      <c r="K218" s="1375"/>
      <c r="L218" s="1375"/>
      <c r="M218" s="1375"/>
      <c r="N218" s="1375"/>
      <c r="O218" s="1375"/>
      <c r="P218" s="1375"/>
      <c r="Q218" s="1375"/>
      <c r="R218" s="1375"/>
      <c r="S218" s="1375"/>
      <c r="T218" s="1375"/>
      <c r="U218" s="1375"/>
      <c r="V218" s="1375"/>
      <c r="W218" s="1375"/>
      <c r="X218" s="1375"/>
      <c r="Z218" s="1258"/>
      <c r="AA218" s="43"/>
      <c r="AB218" s="1261"/>
      <c r="AC218" s="1261"/>
      <c r="AD218" s="1262"/>
      <c r="AX218" s="1258"/>
      <c r="AY218" s="1258"/>
      <c r="AZ218" s="1258"/>
    </row>
    <row r="219" spans="1:52" s="1257" customFormat="1" ht="21" customHeight="1">
      <c r="A219" s="1258"/>
      <c r="B219" s="1258"/>
      <c r="C219" s="1375"/>
      <c r="D219" s="1375"/>
      <c r="E219" s="1375"/>
      <c r="F219" s="1375"/>
      <c r="G219" s="1375"/>
      <c r="H219" s="1375"/>
      <c r="I219" s="1375"/>
      <c r="J219" s="1375"/>
      <c r="K219" s="1375"/>
      <c r="L219" s="1375"/>
      <c r="M219" s="1375"/>
      <c r="N219" s="1375"/>
      <c r="O219" s="1375"/>
      <c r="P219" s="1375"/>
      <c r="Q219" s="1375"/>
      <c r="R219" s="1375"/>
      <c r="S219" s="1375"/>
      <c r="T219" s="1375"/>
      <c r="U219" s="1375"/>
      <c r="V219" s="1375"/>
      <c r="W219" s="1375"/>
      <c r="X219" s="1375"/>
      <c r="Z219" s="1258"/>
      <c r="AA219" s="43"/>
      <c r="AB219" s="1261"/>
      <c r="AC219" s="1261"/>
      <c r="AD219" s="1262"/>
      <c r="AX219" s="1258"/>
      <c r="AY219" s="1258"/>
      <c r="AZ219" s="1258"/>
    </row>
    <row r="220" spans="1:52" s="1257" customFormat="1" ht="21" customHeight="1">
      <c r="A220" s="1258"/>
      <c r="B220" s="1258"/>
      <c r="C220" s="1375"/>
      <c r="D220" s="1375"/>
      <c r="E220" s="1375"/>
      <c r="F220" s="1375"/>
      <c r="G220" s="1375"/>
      <c r="H220" s="1375"/>
      <c r="I220" s="1375"/>
      <c r="J220" s="1375"/>
      <c r="K220" s="1375"/>
      <c r="L220" s="1375"/>
      <c r="M220" s="1375"/>
      <c r="N220" s="1375"/>
      <c r="O220" s="1375"/>
      <c r="P220" s="1375"/>
      <c r="Q220" s="1375"/>
      <c r="R220" s="1375"/>
      <c r="S220" s="1375"/>
      <c r="T220" s="1375"/>
      <c r="U220" s="1375"/>
      <c r="V220" s="1375"/>
      <c r="W220" s="1375"/>
      <c r="X220" s="1375"/>
      <c r="Z220" s="1258"/>
      <c r="AA220" s="43"/>
      <c r="AX220" s="1258"/>
      <c r="AY220" s="1258"/>
      <c r="AZ220" s="1258"/>
    </row>
    <row r="221" spans="1:52" s="1257" customFormat="1" ht="21" customHeight="1">
      <c r="A221" s="1258"/>
      <c r="B221" s="1258"/>
      <c r="C221" s="1375"/>
      <c r="D221" s="1375"/>
      <c r="E221" s="1375"/>
      <c r="F221" s="1375"/>
      <c r="G221" s="1375"/>
      <c r="H221" s="1375"/>
      <c r="I221" s="1375"/>
      <c r="J221" s="1375"/>
      <c r="K221" s="1375"/>
      <c r="L221" s="1375"/>
      <c r="M221" s="1375"/>
      <c r="N221" s="1375"/>
      <c r="O221" s="1375"/>
      <c r="P221" s="1375"/>
      <c r="Q221" s="1375"/>
      <c r="R221" s="1375"/>
      <c r="S221" s="1375"/>
      <c r="T221" s="1375"/>
      <c r="U221" s="1375"/>
      <c r="V221" s="1375"/>
      <c r="W221" s="1375"/>
      <c r="X221" s="1375"/>
      <c r="Z221" s="1258"/>
      <c r="AA221" s="43"/>
      <c r="AX221" s="1258"/>
      <c r="AY221" s="1258"/>
      <c r="AZ221" s="1258"/>
    </row>
    <row r="222" spans="1:52" s="1257" customFormat="1" ht="21" customHeight="1">
      <c r="A222" s="1258"/>
      <c r="B222" s="1258"/>
      <c r="C222" s="1375"/>
      <c r="D222" s="1375"/>
      <c r="E222" s="1375"/>
      <c r="F222" s="1375"/>
      <c r="G222" s="1375"/>
      <c r="H222" s="1375"/>
      <c r="I222" s="1375"/>
      <c r="J222" s="1375"/>
      <c r="K222" s="1375"/>
      <c r="L222" s="1375"/>
      <c r="M222" s="1375"/>
      <c r="N222" s="1375"/>
      <c r="O222" s="1375"/>
      <c r="P222" s="1375"/>
      <c r="Q222" s="1375"/>
      <c r="R222" s="1375"/>
      <c r="S222" s="1375"/>
      <c r="T222" s="1375"/>
      <c r="U222" s="1375"/>
      <c r="V222" s="1375"/>
      <c r="W222" s="1375"/>
      <c r="X222" s="1375"/>
      <c r="Z222" s="1258"/>
      <c r="AA222" s="43"/>
      <c r="AX222" s="1258"/>
      <c r="AY222" s="1258"/>
      <c r="AZ222" s="1258"/>
    </row>
    <row r="223" spans="1:52" s="1257" customFormat="1" ht="21" customHeight="1">
      <c r="A223" s="1258"/>
      <c r="B223" s="1258"/>
      <c r="C223" s="1375"/>
      <c r="D223" s="1375"/>
      <c r="E223" s="1375"/>
      <c r="F223" s="1375"/>
      <c r="G223" s="1375"/>
      <c r="H223" s="1375"/>
      <c r="I223" s="1375"/>
      <c r="J223" s="1375"/>
      <c r="K223" s="1375"/>
      <c r="L223" s="1375"/>
      <c r="M223" s="1375"/>
      <c r="N223" s="1375"/>
      <c r="O223" s="1375"/>
      <c r="P223" s="1375"/>
      <c r="Q223" s="1375"/>
      <c r="R223" s="1375"/>
      <c r="S223" s="1375"/>
      <c r="T223" s="1375"/>
      <c r="U223" s="1375"/>
      <c r="V223" s="1375"/>
      <c r="W223" s="1375"/>
      <c r="X223" s="1375"/>
      <c r="Z223" s="1258"/>
      <c r="AA223" s="43"/>
      <c r="AX223" s="1258"/>
      <c r="AY223" s="1258"/>
      <c r="AZ223" s="1258"/>
    </row>
    <row r="224" spans="1:52" s="1257" customFormat="1" ht="21" customHeight="1">
      <c r="A224" s="1258"/>
      <c r="B224" s="1258"/>
      <c r="C224" s="1375"/>
      <c r="D224" s="1375"/>
      <c r="E224" s="1375"/>
      <c r="F224" s="1375"/>
      <c r="G224" s="1375"/>
      <c r="H224" s="1375"/>
      <c r="I224" s="1375"/>
      <c r="J224" s="1375"/>
      <c r="K224" s="1375"/>
      <c r="L224" s="1375"/>
      <c r="M224" s="1375"/>
      <c r="N224" s="1375"/>
      <c r="O224" s="1375"/>
      <c r="P224" s="1375"/>
      <c r="Q224" s="1375"/>
      <c r="R224" s="1375"/>
      <c r="S224" s="1375"/>
      <c r="T224" s="1375"/>
      <c r="U224" s="1375"/>
      <c r="V224" s="1375"/>
      <c r="W224" s="1375"/>
      <c r="X224" s="1375"/>
      <c r="Z224" s="1258"/>
      <c r="AA224" s="43"/>
      <c r="AX224" s="1258"/>
      <c r="AY224" s="1258"/>
      <c r="AZ224" s="1258"/>
    </row>
    <row r="225" spans="1:52" s="1257" customFormat="1" ht="21" customHeight="1">
      <c r="A225" s="1258"/>
      <c r="B225" s="1258"/>
      <c r="C225" s="1375"/>
      <c r="D225" s="1375"/>
      <c r="E225" s="1375"/>
      <c r="F225" s="1375"/>
      <c r="G225" s="1375"/>
      <c r="H225" s="1375"/>
      <c r="I225" s="1375"/>
      <c r="J225" s="1375"/>
      <c r="K225" s="1375"/>
      <c r="L225" s="1375"/>
      <c r="M225" s="1375"/>
      <c r="N225" s="1375"/>
      <c r="O225" s="1375"/>
      <c r="P225" s="1375"/>
      <c r="Q225" s="1375"/>
      <c r="R225" s="1375"/>
      <c r="S225" s="1375"/>
      <c r="T225" s="1375"/>
      <c r="U225" s="1375"/>
      <c r="V225" s="1375"/>
      <c r="W225" s="1375"/>
      <c r="X225" s="1375"/>
      <c r="Z225" s="1258"/>
      <c r="AA225" s="43"/>
      <c r="AX225" s="1258"/>
      <c r="AY225" s="1258"/>
      <c r="AZ225" s="1258"/>
    </row>
    <row r="226" spans="1:52" s="1257" customFormat="1" ht="21" customHeight="1">
      <c r="A226" s="1258"/>
      <c r="B226" s="1258"/>
      <c r="C226" s="1375"/>
      <c r="D226" s="1375"/>
      <c r="E226" s="1375"/>
      <c r="F226" s="1375"/>
      <c r="G226" s="1375"/>
      <c r="H226" s="1375"/>
      <c r="I226" s="1375"/>
      <c r="J226" s="1375"/>
      <c r="K226" s="1375"/>
      <c r="L226" s="1375"/>
      <c r="M226" s="1375"/>
      <c r="N226" s="1375"/>
      <c r="O226" s="1375"/>
      <c r="P226" s="1375"/>
      <c r="Q226" s="1375"/>
      <c r="R226" s="1375"/>
      <c r="S226" s="1375"/>
      <c r="T226" s="1375"/>
      <c r="U226" s="1375"/>
      <c r="V226" s="1375"/>
      <c r="W226" s="1375"/>
      <c r="X226" s="1375"/>
      <c r="Z226" s="1258"/>
      <c r="AA226" s="43"/>
      <c r="AX226" s="1258"/>
      <c r="AY226" s="1258"/>
      <c r="AZ226" s="1258"/>
    </row>
    <row r="227" spans="1:52" s="1257" customFormat="1" ht="21" customHeight="1">
      <c r="A227" s="1258"/>
      <c r="B227" s="1258"/>
      <c r="C227" s="1375"/>
      <c r="D227" s="1375"/>
      <c r="E227" s="1375"/>
      <c r="F227" s="1375"/>
      <c r="G227" s="1375"/>
      <c r="H227" s="1375"/>
      <c r="I227" s="1375"/>
      <c r="J227" s="1375"/>
      <c r="K227" s="1375"/>
      <c r="L227" s="1375"/>
      <c r="M227" s="1375"/>
      <c r="N227" s="1375"/>
      <c r="O227" s="1375"/>
      <c r="P227" s="1375"/>
      <c r="Q227" s="1375"/>
      <c r="R227" s="1375"/>
      <c r="S227" s="1375"/>
      <c r="T227" s="1375"/>
      <c r="U227" s="1375"/>
      <c r="V227" s="1375"/>
      <c r="W227" s="1375"/>
      <c r="X227" s="1375"/>
      <c r="Z227" s="1258"/>
      <c r="AA227" s="43"/>
      <c r="AX227" s="1258"/>
      <c r="AY227" s="1258"/>
      <c r="AZ227" s="1258"/>
    </row>
    <row r="228" spans="1:52" s="1257" customFormat="1" ht="21" customHeight="1">
      <c r="A228" s="1258"/>
      <c r="B228" s="1258"/>
      <c r="C228" s="1375"/>
      <c r="D228" s="1375"/>
      <c r="E228" s="1375"/>
      <c r="F228" s="1375"/>
      <c r="G228" s="1375"/>
      <c r="H228" s="1375"/>
      <c r="I228" s="1375"/>
      <c r="J228" s="1375"/>
      <c r="K228" s="1375"/>
      <c r="L228" s="1375"/>
      <c r="M228" s="1375"/>
      <c r="N228" s="1375"/>
      <c r="O228" s="1375"/>
      <c r="P228" s="1375"/>
      <c r="Q228" s="1375"/>
      <c r="R228" s="1375"/>
      <c r="S228" s="1375"/>
      <c r="T228" s="1375"/>
      <c r="U228" s="1375"/>
      <c r="V228" s="1375"/>
      <c r="W228" s="1375"/>
      <c r="X228" s="1375"/>
      <c r="Z228" s="1258"/>
      <c r="AA228" s="43"/>
      <c r="AX228" s="1258"/>
      <c r="AY228" s="1258"/>
      <c r="AZ228" s="1258"/>
    </row>
    <row r="229" spans="1:52" s="1257" customFormat="1" ht="21" customHeight="1">
      <c r="A229" s="1258"/>
      <c r="B229" s="1258"/>
      <c r="C229" s="1375"/>
      <c r="D229" s="1375"/>
      <c r="E229" s="1375"/>
      <c r="F229" s="1375"/>
      <c r="G229" s="1375"/>
      <c r="H229" s="1375"/>
      <c r="I229" s="1375"/>
      <c r="J229" s="1375"/>
      <c r="K229" s="1375"/>
      <c r="L229" s="1375"/>
      <c r="M229" s="1375"/>
      <c r="N229" s="1375"/>
      <c r="O229" s="1375"/>
      <c r="P229" s="1375"/>
      <c r="Q229" s="1375"/>
      <c r="R229" s="1375"/>
      <c r="S229" s="1375"/>
      <c r="T229" s="1375"/>
      <c r="U229" s="1375"/>
      <c r="V229" s="1375"/>
      <c r="W229" s="1375"/>
      <c r="X229" s="1375"/>
      <c r="Z229" s="1258"/>
      <c r="AA229" s="43"/>
      <c r="AX229" s="1258"/>
      <c r="AY229" s="1258"/>
      <c r="AZ229" s="1258"/>
    </row>
    <row r="230" spans="1:52" s="1257" customFormat="1" ht="21" customHeight="1">
      <c r="A230" s="1258"/>
      <c r="B230" s="1258"/>
      <c r="C230" s="1375"/>
      <c r="D230" s="1375"/>
      <c r="E230" s="1375"/>
      <c r="F230" s="1375"/>
      <c r="G230" s="1375"/>
      <c r="H230" s="1375"/>
      <c r="I230" s="1375"/>
      <c r="J230" s="1375"/>
      <c r="K230" s="1375"/>
      <c r="L230" s="1375"/>
      <c r="M230" s="1375"/>
      <c r="N230" s="1375"/>
      <c r="O230" s="1375"/>
      <c r="P230" s="1375"/>
      <c r="Q230" s="1375"/>
      <c r="R230" s="1375"/>
      <c r="S230" s="1375"/>
      <c r="T230" s="1375"/>
      <c r="U230" s="1375"/>
      <c r="V230" s="1375"/>
      <c r="W230" s="1375"/>
      <c r="X230" s="1375"/>
      <c r="Z230" s="1258"/>
      <c r="AA230" s="43"/>
      <c r="AB230" s="1376"/>
      <c r="AC230" s="1376"/>
      <c r="AD230" s="1377"/>
      <c r="AX230" s="1258"/>
      <c r="AY230" s="1258"/>
      <c r="AZ230" s="1258"/>
    </row>
    <row r="231" spans="1:52" s="1257" customFormat="1" ht="21" customHeight="1">
      <c r="A231" s="1258"/>
      <c r="B231" s="1258"/>
      <c r="C231" s="1375"/>
      <c r="D231" s="1375"/>
      <c r="E231" s="1375"/>
      <c r="F231" s="1375"/>
      <c r="G231" s="1375"/>
      <c r="H231" s="1375"/>
      <c r="I231" s="1375"/>
      <c r="J231" s="1375"/>
      <c r="K231" s="1375"/>
      <c r="L231" s="1375"/>
      <c r="M231" s="1375"/>
      <c r="N231" s="1375"/>
      <c r="O231" s="1375"/>
      <c r="P231" s="1375"/>
      <c r="Q231" s="1375"/>
      <c r="R231" s="1375"/>
      <c r="S231" s="1375"/>
      <c r="T231" s="1375"/>
      <c r="U231" s="1375"/>
      <c r="V231" s="1375"/>
      <c r="W231" s="1375"/>
      <c r="X231" s="1375"/>
      <c r="Z231" s="1258"/>
      <c r="AA231" s="43"/>
      <c r="AB231" s="1376"/>
      <c r="AC231" s="1376"/>
      <c r="AD231" s="1377"/>
      <c r="AX231" s="1258"/>
      <c r="AY231" s="1258"/>
      <c r="AZ231" s="1258"/>
    </row>
    <row r="232" spans="1:52" s="1257" customFormat="1" ht="21" customHeight="1">
      <c r="A232" s="1258"/>
      <c r="B232" s="1258"/>
      <c r="C232" s="1375"/>
      <c r="D232" s="1375"/>
      <c r="E232" s="1375"/>
      <c r="F232" s="1375"/>
      <c r="G232" s="1375"/>
      <c r="H232" s="1375"/>
      <c r="I232" s="1375"/>
      <c r="J232" s="1375"/>
      <c r="K232" s="1375"/>
      <c r="L232" s="1375"/>
      <c r="M232" s="1375"/>
      <c r="N232" s="1375"/>
      <c r="O232" s="1375"/>
      <c r="P232" s="1375"/>
      <c r="Q232" s="1375"/>
      <c r="R232" s="1375"/>
      <c r="S232" s="1375"/>
      <c r="T232" s="1375"/>
      <c r="U232" s="1375"/>
      <c r="V232" s="1375"/>
      <c r="W232" s="1375"/>
      <c r="X232" s="1375"/>
      <c r="Z232" s="1258"/>
      <c r="AA232" s="43"/>
      <c r="AX232" s="1258"/>
      <c r="AY232" s="1258"/>
      <c r="AZ232" s="1258"/>
    </row>
    <row r="233" spans="1:52" s="1257" customFormat="1" ht="21" customHeight="1">
      <c r="A233" s="1258"/>
      <c r="B233" s="1258"/>
      <c r="C233" s="1375"/>
      <c r="D233" s="1375"/>
      <c r="E233" s="1375"/>
      <c r="F233" s="1375"/>
      <c r="G233" s="1375"/>
      <c r="H233" s="1375"/>
      <c r="I233" s="1375"/>
      <c r="J233" s="1375"/>
      <c r="K233" s="1375"/>
      <c r="L233" s="1375"/>
      <c r="M233" s="1375"/>
      <c r="N233" s="1375"/>
      <c r="O233" s="1375"/>
      <c r="P233" s="1375"/>
      <c r="Q233" s="1375"/>
      <c r="R233" s="1375"/>
      <c r="S233" s="1375"/>
      <c r="T233" s="1375"/>
      <c r="U233" s="1375"/>
      <c r="V233" s="1375"/>
      <c r="W233" s="1375"/>
      <c r="X233" s="1375"/>
      <c r="Z233" s="1258"/>
      <c r="AA233" s="43"/>
      <c r="AX233" s="1258"/>
      <c r="AY233" s="1258"/>
      <c r="AZ233" s="1258"/>
    </row>
    <row r="234" spans="1:52" s="1257" customFormat="1" ht="21" customHeight="1">
      <c r="A234" s="1258"/>
      <c r="B234" s="1258"/>
      <c r="C234" s="1375"/>
      <c r="D234" s="1375"/>
      <c r="E234" s="1375"/>
      <c r="F234" s="1375"/>
      <c r="G234" s="1375"/>
      <c r="H234" s="1375"/>
      <c r="I234" s="1375"/>
      <c r="J234" s="1375"/>
      <c r="K234" s="1375"/>
      <c r="L234" s="1375"/>
      <c r="M234" s="1375"/>
      <c r="N234" s="1375"/>
      <c r="O234" s="1375"/>
      <c r="P234" s="1375"/>
      <c r="Q234" s="1375"/>
      <c r="R234" s="1375"/>
      <c r="S234" s="1375"/>
      <c r="T234" s="1375"/>
      <c r="U234" s="1375"/>
      <c r="V234" s="1375"/>
      <c r="W234" s="1375"/>
      <c r="X234" s="1375"/>
      <c r="Z234" s="1258"/>
      <c r="AA234" s="43"/>
      <c r="AX234" s="1258"/>
      <c r="AY234" s="1258"/>
      <c r="AZ234" s="1258"/>
    </row>
    <row r="235" spans="1:52" s="1257" customFormat="1" ht="21" customHeight="1">
      <c r="A235" s="1258"/>
      <c r="B235" s="1258"/>
      <c r="C235" s="1375"/>
      <c r="D235" s="1375"/>
      <c r="E235" s="1375"/>
      <c r="F235" s="1375"/>
      <c r="G235" s="1375"/>
      <c r="H235" s="1375"/>
      <c r="I235" s="1375"/>
      <c r="J235" s="1375"/>
      <c r="K235" s="1375"/>
      <c r="L235" s="1375"/>
      <c r="M235" s="1375"/>
      <c r="N235" s="1375"/>
      <c r="O235" s="1375"/>
      <c r="P235" s="1375"/>
      <c r="Q235" s="1375"/>
      <c r="R235" s="1375"/>
      <c r="S235" s="1375"/>
      <c r="T235" s="1375"/>
      <c r="U235" s="1375"/>
      <c r="V235" s="1375"/>
      <c r="W235" s="1375"/>
      <c r="X235" s="1375"/>
      <c r="Z235" s="1258"/>
      <c r="AA235" s="43"/>
      <c r="AX235" s="1258"/>
      <c r="AY235" s="1258"/>
      <c r="AZ235" s="1258"/>
    </row>
    <row r="236" spans="1:52" s="1257" customFormat="1" ht="21" customHeight="1">
      <c r="A236" s="1258"/>
      <c r="B236" s="1258"/>
      <c r="C236" s="1375"/>
      <c r="D236" s="1375"/>
      <c r="E236" s="1375"/>
      <c r="F236" s="1375"/>
      <c r="G236" s="1375"/>
      <c r="H236" s="1375"/>
      <c r="I236" s="1375"/>
      <c r="J236" s="1375"/>
      <c r="K236" s="1375"/>
      <c r="L236" s="1375"/>
      <c r="M236" s="1375"/>
      <c r="N236" s="1375"/>
      <c r="O236" s="1375"/>
      <c r="P236" s="1375"/>
      <c r="Q236" s="1375"/>
      <c r="R236" s="1375"/>
      <c r="S236" s="1375"/>
      <c r="T236" s="1375"/>
      <c r="U236" s="1375"/>
      <c r="V236" s="1375"/>
      <c r="W236" s="1375"/>
      <c r="X236" s="1375"/>
      <c r="Z236" s="1258"/>
      <c r="AA236" s="43"/>
      <c r="AX236" s="1258"/>
      <c r="AY236" s="1258"/>
      <c r="AZ236" s="1258"/>
    </row>
    <row r="237" spans="1:52" s="1257" customFormat="1" ht="21" customHeight="1">
      <c r="A237" s="1258"/>
      <c r="B237" s="1258"/>
      <c r="C237" s="1375"/>
      <c r="D237" s="1375"/>
      <c r="E237" s="1375"/>
      <c r="F237" s="1375"/>
      <c r="G237" s="1375"/>
      <c r="H237" s="1375"/>
      <c r="I237" s="1375"/>
      <c r="J237" s="1375"/>
      <c r="K237" s="1375"/>
      <c r="L237" s="1375"/>
      <c r="M237" s="1375"/>
      <c r="N237" s="1375"/>
      <c r="O237" s="1375"/>
      <c r="P237" s="1375"/>
      <c r="Q237" s="1375"/>
      <c r="R237" s="1375"/>
      <c r="S237" s="1375"/>
      <c r="T237" s="1375"/>
      <c r="U237" s="1375"/>
      <c r="V237" s="1375"/>
      <c r="W237" s="1375"/>
      <c r="X237" s="1375"/>
      <c r="Z237" s="1258"/>
      <c r="AA237" s="43"/>
      <c r="AX237" s="1258"/>
      <c r="AY237" s="1258"/>
      <c r="AZ237" s="1258"/>
    </row>
    <row r="238" spans="1:52" s="1257" customFormat="1" ht="21" customHeight="1">
      <c r="A238" s="1258"/>
      <c r="B238" s="1258"/>
      <c r="C238" s="1375"/>
      <c r="D238" s="1375"/>
      <c r="E238" s="1375"/>
      <c r="F238" s="1375"/>
      <c r="G238" s="1375"/>
      <c r="H238" s="1375"/>
      <c r="I238" s="1375"/>
      <c r="J238" s="1375"/>
      <c r="K238" s="1375"/>
      <c r="L238" s="1375"/>
      <c r="M238" s="1375"/>
      <c r="N238" s="1375"/>
      <c r="O238" s="1375"/>
      <c r="P238" s="1375"/>
      <c r="Q238" s="1375"/>
      <c r="R238" s="1375"/>
      <c r="S238" s="1375"/>
      <c r="T238" s="1375"/>
      <c r="U238" s="1375"/>
      <c r="V238" s="1375"/>
      <c r="W238" s="1375"/>
      <c r="X238" s="1375"/>
      <c r="Z238" s="1258"/>
      <c r="AA238" s="43"/>
      <c r="AX238" s="1258"/>
      <c r="AY238" s="1258"/>
      <c r="AZ238" s="1258"/>
    </row>
    <row r="239" spans="1:52" s="1257" customFormat="1" ht="21" customHeight="1">
      <c r="A239" s="1258"/>
      <c r="B239" s="1258"/>
      <c r="C239" s="1375"/>
      <c r="D239" s="1375"/>
      <c r="E239" s="1375"/>
      <c r="F239" s="1375"/>
      <c r="G239" s="1375"/>
      <c r="H239" s="1375"/>
      <c r="I239" s="1375"/>
      <c r="J239" s="1375"/>
      <c r="K239" s="1375"/>
      <c r="L239" s="1375"/>
      <c r="M239" s="1375"/>
      <c r="N239" s="1375"/>
      <c r="O239" s="1375"/>
      <c r="P239" s="1375"/>
      <c r="Q239" s="1375"/>
      <c r="R239" s="1375"/>
      <c r="S239" s="1375"/>
      <c r="T239" s="1375"/>
      <c r="U239" s="1375"/>
      <c r="V239" s="1375"/>
      <c r="W239" s="1375"/>
      <c r="X239" s="1375"/>
      <c r="Z239" s="1258"/>
      <c r="AA239" s="43"/>
      <c r="AX239" s="1258"/>
      <c r="AY239" s="1258"/>
      <c r="AZ239" s="1258"/>
    </row>
    <row r="240" spans="1:52" s="1257" customFormat="1" ht="21" customHeight="1">
      <c r="A240" s="1258"/>
      <c r="B240" s="1258"/>
      <c r="C240" s="1375"/>
      <c r="D240" s="1375"/>
      <c r="E240" s="1375"/>
      <c r="F240" s="1375"/>
      <c r="G240" s="1375"/>
      <c r="H240" s="1375"/>
      <c r="I240" s="1375"/>
      <c r="J240" s="1375"/>
      <c r="K240" s="1375"/>
      <c r="L240" s="1375"/>
      <c r="M240" s="1375"/>
      <c r="N240" s="1375"/>
      <c r="O240" s="1375"/>
      <c r="P240" s="1375"/>
      <c r="Q240" s="1375"/>
      <c r="R240" s="1375"/>
      <c r="S240" s="1375"/>
      <c r="T240" s="1375"/>
      <c r="U240" s="1375"/>
      <c r="V240" s="1375"/>
      <c r="W240" s="1375"/>
      <c r="X240" s="1375"/>
      <c r="Z240" s="1258"/>
      <c r="AA240" s="43"/>
      <c r="AX240" s="1258"/>
      <c r="AY240" s="1258"/>
      <c r="AZ240" s="1258"/>
    </row>
    <row r="241" spans="1:52" s="1257" customFormat="1" ht="21" customHeight="1">
      <c r="A241" s="1258"/>
      <c r="B241" s="1258"/>
      <c r="C241" s="1375"/>
      <c r="D241" s="1375"/>
      <c r="E241" s="1375"/>
      <c r="F241" s="1375"/>
      <c r="G241" s="1375"/>
      <c r="H241" s="1375"/>
      <c r="I241" s="1375"/>
      <c r="J241" s="1375"/>
      <c r="K241" s="1375"/>
      <c r="L241" s="1375"/>
      <c r="M241" s="1375"/>
      <c r="N241" s="1375"/>
      <c r="O241" s="1375"/>
      <c r="P241" s="1375"/>
      <c r="Q241" s="1375"/>
      <c r="R241" s="1375"/>
      <c r="S241" s="1375"/>
      <c r="T241" s="1375"/>
      <c r="U241" s="1375"/>
      <c r="V241" s="1375"/>
      <c r="W241" s="1375"/>
      <c r="X241" s="1375"/>
      <c r="Z241" s="1258"/>
      <c r="AA241" s="43"/>
      <c r="AX241" s="1258"/>
      <c r="AY241" s="1258"/>
      <c r="AZ241" s="1258"/>
    </row>
    <row r="242" spans="1:52" s="1257" customFormat="1" ht="21" customHeight="1">
      <c r="A242" s="1258"/>
      <c r="B242" s="1258"/>
      <c r="C242" s="1375"/>
      <c r="D242" s="1375"/>
      <c r="E242" s="1375"/>
      <c r="F242" s="1375"/>
      <c r="G242" s="1375"/>
      <c r="H242" s="1375"/>
      <c r="I242" s="1375"/>
      <c r="J242" s="1375"/>
      <c r="K242" s="1375"/>
      <c r="L242" s="1375"/>
      <c r="M242" s="1375"/>
      <c r="N242" s="1375"/>
      <c r="O242" s="1375"/>
      <c r="P242" s="1375"/>
      <c r="Q242" s="1375"/>
      <c r="R242" s="1375"/>
      <c r="S242" s="1375"/>
      <c r="T242" s="1375"/>
      <c r="U242" s="1375"/>
      <c r="V242" s="1375"/>
      <c r="W242" s="1375"/>
      <c r="X242" s="1375"/>
      <c r="Z242" s="1258"/>
      <c r="AA242" s="43"/>
      <c r="AX242" s="1258"/>
      <c r="AY242" s="1258"/>
      <c r="AZ242" s="1258"/>
    </row>
    <row r="243" spans="1:52" s="1257" customFormat="1" ht="21" customHeight="1">
      <c r="A243" s="1258"/>
      <c r="B243" s="1258"/>
      <c r="C243" s="1375"/>
      <c r="D243" s="1375"/>
      <c r="E243" s="1375"/>
      <c r="F243" s="1375"/>
      <c r="G243" s="1375"/>
      <c r="H243" s="1375"/>
      <c r="I243" s="1375"/>
      <c r="J243" s="1375"/>
      <c r="K243" s="1375"/>
      <c r="L243" s="1375"/>
      <c r="M243" s="1375"/>
      <c r="N243" s="1375"/>
      <c r="O243" s="1375"/>
      <c r="P243" s="1375"/>
      <c r="Q243" s="1375"/>
      <c r="R243" s="1375"/>
      <c r="S243" s="1375"/>
      <c r="T243" s="1375"/>
      <c r="U243" s="1375"/>
      <c r="V243" s="1375"/>
      <c r="W243" s="1375"/>
      <c r="X243" s="1375"/>
      <c r="Z243" s="1258"/>
      <c r="AA243" s="43"/>
      <c r="AX243" s="1258"/>
      <c r="AY243" s="1258"/>
      <c r="AZ243" s="1258"/>
    </row>
    <row r="244" spans="1:52" s="1257" customFormat="1" ht="21" customHeight="1">
      <c r="A244" s="1258"/>
      <c r="B244" s="1258"/>
      <c r="C244" s="1375"/>
      <c r="D244" s="1375"/>
      <c r="E244" s="1375"/>
      <c r="F244" s="1375"/>
      <c r="G244" s="1375"/>
      <c r="H244" s="1375"/>
      <c r="I244" s="1375"/>
      <c r="J244" s="1375"/>
      <c r="K244" s="1375"/>
      <c r="L244" s="1375"/>
      <c r="M244" s="1375"/>
      <c r="N244" s="1375"/>
      <c r="O244" s="1375"/>
      <c r="P244" s="1375"/>
      <c r="Q244" s="1375"/>
      <c r="R244" s="1375"/>
      <c r="S244" s="1375"/>
      <c r="T244" s="1375"/>
      <c r="U244" s="1375"/>
      <c r="V244" s="1375"/>
      <c r="W244" s="1375"/>
      <c r="X244" s="1375"/>
      <c r="Z244" s="1258"/>
      <c r="AA244" s="43"/>
      <c r="AX244" s="1258"/>
      <c r="AY244" s="1258"/>
      <c r="AZ244" s="1258"/>
    </row>
    <row r="245" spans="1:52" s="1257" customFormat="1" ht="21" customHeight="1">
      <c r="A245" s="1258"/>
      <c r="B245" s="1258"/>
      <c r="C245" s="1375"/>
      <c r="D245" s="1375"/>
      <c r="E245" s="1375"/>
      <c r="F245" s="1375"/>
      <c r="G245" s="1375"/>
      <c r="H245" s="1375"/>
      <c r="I245" s="1375"/>
      <c r="J245" s="1375"/>
      <c r="K245" s="1375"/>
      <c r="L245" s="1375"/>
      <c r="M245" s="1375"/>
      <c r="N245" s="1375"/>
      <c r="O245" s="1375"/>
      <c r="P245" s="1375"/>
      <c r="Q245" s="1375"/>
      <c r="R245" s="1375"/>
      <c r="S245" s="1375"/>
      <c r="T245" s="1375"/>
      <c r="U245" s="1375"/>
      <c r="V245" s="1375"/>
      <c r="W245" s="1375"/>
      <c r="X245" s="1375"/>
      <c r="Z245" s="1258"/>
      <c r="AA245" s="43"/>
      <c r="AX245" s="1258"/>
      <c r="AY245" s="1258"/>
      <c r="AZ245" s="1258"/>
    </row>
    <row r="246" spans="1:52" s="1257" customFormat="1" ht="21" customHeight="1">
      <c r="A246" s="1258"/>
      <c r="B246" s="1258"/>
      <c r="C246" s="1375"/>
      <c r="D246" s="1375"/>
      <c r="E246" s="1375"/>
      <c r="F246" s="1375"/>
      <c r="G246" s="1375"/>
      <c r="H246" s="1375"/>
      <c r="I246" s="1375"/>
      <c r="J246" s="1375"/>
      <c r="K246" s="1375"/>
      <c r="L246" s="1375"/>
      <c r="M246" s="1375"/>
      <c r="N246" s="1375"/>
      <c r="O246" s="1375"/>
      <c r="P246" s="1375"/>
      <c r="Q246" s="1375"/>
      <c r="R246" s="1375"/>
      <c r="S246" s="1375"/>
      <c r="T246" s="1375"/>
      <c r="U246" s="1375"/>
      <c r="V246" s="1375"/>
      <c r="W246" s="1375"/>
      <c r="X246" s="1375"/>
      <c r="Z246" s="1258"/>
      <c r="AA246" s="43"/>
      <c r="AX246" s="1258"/>
      <c r="AY246" s="1258"/>
      <c r="AZ246" s="1258"/>
    </row>
    <row r="247" spans="1:52" s="1257" customFormat="1" ht="21" customHeight="1">
      <c r="A247" s="1258"/>
      <c r="B247" s="1258"/>
      <c r="C247" s="1375"/>
      <c r="D247" s="1375"/>
      <c r="E247" s="1375"/>
      <c r="F247" s="1375"/>
      <c r="G247" s="1375"/>
      <c r="H247" s="1375"/>
      <c r="I247" s="1375"/>
      <c r="J247" s="1375"/>
      <c r="K247" s="1375"/>
      <c r="L247" s="1375"/>
      <c r="M247" s="1375"/>
      <c r="N247" s="1375"/>
      <c r="O247" s="1375"/>
      <c r="P247" s="1375"/>
      <c r="Q247" s="1375"/>
      <c r="R247" s="1375"/>
      <c r="S247" s="1375"/>
      <c r="T247" s="1375"/>
      <c r="U247" s="1375"/>
      <c r="V247" s="1375"/>
      <c r="W247" s="1375"/>
      <c r="X247" s="1375"/>
      <c r="Z247" s="1258"/>
      <c r="AA247" s="43"/>
      <c r="AX247" s="1258"/>
      <c r="AY247" s="1258"/>
      <c r="AZ247" s="1258"/>
    </row>
    <row r="248" spans="1:52" s="1257" customFormat="1" ht="21" customHeight="1">
      <c r="A248" s="1258"/>
      <c r="B248" s="1258"/>
      <c r="C248" s="1375"/>
      <c r="D248" s="1375"/>
      <c r="E248" s="1375"/>
      <c r="F248" s="1375"/>
      <c r="G248" s="1375"/>
      <c r="H248" s="1375"/>
      <c r="I248" s="1375"/>
      <c r="J248" s="1375"/>
      <c r="K248" s="1375"/>
      <c r="L248" s="1375"/>
      <c r="M248" s="1375"/>
      <c r="N248" s="1375"/>
      <c r="O248" s="1375"/>
      <c r="P248" s="1375"/>
      <c r="Q248" s="1375"/>
      <c r="R248" s="1375"/>
      <c r="S248" s="1375"/>
      <c r="T248" s="1375"/>
      <c r="U248" s="1375"/>
      <c r="V248" s="1375"/>
      <c r="W248" s="1375"/>
      <c r="X248" s="1375"/>
      <c r="Z248" s="1258"/>
      <c r="AA248" s="43"/>
      <c r="AB248" s="1376"/>
      <c r="AC248" s="1376"/>
      <c r="AD248" s="1377"/>
      <c r="AX248" s="1258"/>
      <c r="AY248" s="1258"/>
      <c r="AZ248" s="1258"/>
    </row>
    <row r="249" spans="1:52" s="1257" customFormat="1" ht="21" customHeight="1">
      <c r="A249" s="1258"/>
      <c r="B249" s="1258"/>
      <c r="C249" s="1375"/>
      <c r="D249" s="1375"/>
      <c r="E249" s="1375"/>
      <c r="F249" s="1375"/>
      <c r="G249" s="1375"/>
      <c r="H249" s="1375"/>
      <c r="I249" s="1375"/>
      <c r="J249" s="1375"/>
      <c r="K249" s="1375"/>
      <c r="L249" s="1375"/>
      <c r="M249" s="1375"/>
      <c r="N249" s="1375"/>
      <c r="O249" s="1375"/>
      <c r="P249" s="1375"/>
      <c r="Q249" s="1375"/>
      <c r="R249" s="1375"/>
      <c r="S249" s="1375"/>
      <c r="T249" s="1375"/>
      <c r="U249" s="1375"/>
      <c r="V249" s="1375"/>
      <c r="W249" s="1375"/>
      <c r="X249" s="1375"/>
      <c r="Z249" s="1258"/>
      <c r="AA249" s="43"/>
      <c r="AB249" s="1376"/>
      <c r="AC249" s="1376"/>
      <c r="AD249" s="1377"/>
      <c r="AX249" s="1258"/>
      <c r="AY249" s="1258"/>
      <c r="AZ249" s="1258"/>
    </row>
    <row r="250" spans="1:52" s="1257" customFormat="1" ht="21" customHeight="1">
      <c r="A250" s="1258"/>
      <c r="B250" s="1258"/>
      <c r="C250" s="1375"/>
      <c r="D250" s="1375"/>
      <c r="E250" s="1375"/>
      <c r="F250" s="1375"/>
      <c r="G250" s="1375"/>
      <c r="H250" s="1375"/>
      <c r="I250" s="1375"/>
      <c r="J250" s="1375"/>
      <c r="K250" s="1375"/>
      <c r="L250" s="1375"/>
      <c r="M250" s="1375"/>
      <c r="N250" s="1375"/>
      <c r="O250" s="1375"/>
      <c r="P250" s="1375"/>
      <c r="Q250" s="1375"/>
      <c r="R250" s="1375"/>
      <c r="S250" s="1375"/>
      <c r="T250" s="1375"/>
      <c r="U250" s="1375"/>
      <c r="V250" s="1375"/>
      <c r="W250" s="1375"/>
      <c r="X250" s="1375"/>
      <c r="Z250" s="1258"/>
      <c r="AA250" s="43"/>
      <c r="AB250" s="1376"/>
      <c r="AC250" s="1376"/>
      <c r="AD250" s="1377"/>
      <c r="AX250" s="1258"/>
      <c r="AY250" s="1258"/>
      <c r="AZ250" s="1258"/>
    </row>
    <row r="251" spans="1:52" s="1257" customFormat="1" ht="21" customHeight="1">
      <c r="A251" s="1258"/>
      <c r="B251" s="1258"/>
      <c r="C251" s="1375"/>
      <c r="D251" s="1375"/>
      <c r="E251" s="1375"/>
      <c r="F251" s="1375"/>
      <c r="G251" s="1375"/>
      <c r="H251" s="1375"/>
      <c r="I251" s="1375"/>
      <c r="J251" s="1375"/>
      <c r="K251" s="1375"/>
      <c r="L251" s="1375"/>
      <c r="M251" s="1375"/>
      <c r="N251" s="1375"/>
      <c r="O251" s="1375"/>
      <c r="P251" s="1375"/>
      <c r="Q251" s="1375"/>
      <c r="R251" s="1375"/>
      <c r="S251" s="1375"/>
      <c r="T251" s="1375"/>
      <c r="U251" s="1375"/>
      <c r="V251" s="1375"/>
      <c r="W251" s="1375"/>
      <c r="X251" s="1375"/>
      <c r="Z251" s="1258"/>
      <c r="AA251" s="43"/>
      <c r="AX251" s="1258"/>
      <c r="AY251" s="1258"/>
      <c r="AZ251" s="1258"/>
    </row>
    <row r="252" spans="1:52" s="1257" customFormat="1" ht="21" customHeight="1">
      <c r="A252" s="1258"/>
      <c r="B252" s="1258"/>
      <c r="C252" s="1375"/>
      <c r="D252" s="1375"/>
      <c r="E252" s="1375"/>
      <c r="F252" s="1375"/>
      <c r="G252" s="1375"/>
      <c r="H252" s="1375"/>
      <c r="I252" s="1375"/>
      <c r="J252" s="1375"/>
      <c r="K252" s="1375"/>
      <c r="L252" s="1375"/>
      <c r="M252" s="1375"/>
      <c r="N252" s="1375"/>
      <c r="O252" s="1375"/>
      <c r="P252" s="1375"/>
      <c r="Q252" s="1375"/>
      <c r="R252" s="1375"/>
      <c r="S252" s="1375"/>
      <c r="T252" s="1375"/>
      <c r="U252" s="1375"/>
      <c r="V252" s="1375"/>
      <c r="W252" s="1375"/>
      <c r="X252" s="1375"/>
      <c r="Z252" s="1258"/>
      <c r="AA252" s="43"/>
      <c r="AX252" s="1258"/>
      <c r="AY252" s="1258"/>
      <c r="AZ252" s="1258"/>
    </row>
    <row r="253" spans="1:52" s="1257" customFormat="1" ht="21" customHeight="1">
      <c r="A253" s="1258"/>
      <c r="B253" s="1258"/>
      <c r="C253" s="1375"/>
      <c r="D253" s="1375"/>
      <c r="E253" s="1375"/>
      <c r="F253" s="1375"/>
      <c r="G253" s="1375"/>
      <c r="H253" s="1375"/>
      <c r="I253" s="1375"/>
      <c r="J253" s="1375"/>
      <c r="K253" s="1375"/>
      <c r="L253" s="1375"/>
      <c r="M253" s="1375"/>
      <c r="N253" s="1375"/>
      <c r="O253" s="1375"/>
      <c r="P253" s="1375"/>
      <c r="Q253" s="1375"/>
      <c r="R253" s="1375"/>
      <c r="S253" s="1375"/>
      <c r="T253" s="1375"/>
      <c r="U253" s="1375"/>
      <c r="V253" s="1375"/>
      <c r="W253" s="1375"/>
      <c r="X253" s="1375"/>
      <c r="Z253" s="1258"/>
      <c r="AA253" s="43"/>
      <c r="AX253" s="1258"/>
      <c r="AY253" s="1258"/>
      <c r="AZ253" s="1258"/>
    </row>
    <row r="254" spans="1:52" s="1257" customFormat="1" ht="21" customHeight="1">
      <c r="A254" s="1258"/>
      <c r="B254" s="1258"/>
      <c r="C254" s="1375"/>
      <c r="D254" s="1375"/>
      <c r="E254" s="1375"/>
      <c r="F254" s="1375"/>
      <c r="G254" s="1375"/>
      <c r="H254" s="1375"/>
      <c r="I254" s="1375"/>
      <c r="J254" s="1375"/>
      <c r="K254" s="1375"/>
      <c r="L254" s="1375"/>
      <c r="M254" s="1375"/>
      <c r="N254" s="1375"/>
      <c r="O254" s="1375"/>
      <c r="P254" s="1375"/>
      <c r="Q254" s="1375"/>
      <c r="R254" s="1375"/>
      <c r="S254" s="1375"/>
      <c r="T254" s="1375"/>
      <c r="U254" s="1375"/>
      <c r="V254" s="1375"/>
      <c r="W254" s="1375"/>
      <c r="X254" s="1375"/>
      <c r="Z254" s="1258"/>
      <c r="AA254" s="43"/>
      <c r="AX254" s="1258"/>
      <c r="AY254" s="1258"/>
      <c r="AZ254" s="1258"/>
    </row>
    <row r="255" spans="1:52" s="1257" customFormat="1" ht="21" customHeight="1">
      <c r="A255" s="1258"/>
      <c r="B255" s="1258"/>
      <c r="C255" s="1375"/>
      <c r="D255" s="1375"/>
      <c r="E255" s="1375"/>
      <c r="F255" s="1375"/>
      <c r="G255" s="1375"/>
      <c r="H255" s="1375"/>
      <c r="I255" s="1375"/>
      <c r="J255" s="1375"/>
      <c r="K255" s="1375"/>
      <c r="L255" s="1375"/>
      <c r="M255" s="1375"/>
      <c r="N255" s="1375"/>
      <c r="O255" s="1375"/>
      <c r="P255" s="1375"/>
      <c r="Q255" s="1375"/>
      <c r="R255" s="1375"/>
      <c r="S255" s="1375"/>
      <c r="T255" s="1375"/>
      <c r="U255" s="1375"/>
      <c r="V255" s="1375"/>
      <c r="W255" s="1375"/>
      <c r="X255" s="1375"/>
      <c r="Z255" s="1258"/>
      <c r="AA255" s="43"/>
      <c r="AX255" s="1258"/>
      <c r="AY255" s="1258"/>
      <c r="AZ255" s="1258"/>
    </row>
    <row r="256" spans="1:52" s="1257" customFormat="1" ht="21" customHeight="1">
      <c r="A256" s="1258"/>
      <c r="B256" s="1258"/>
      <c r="C256" s="1375"/>
      <c r="D256" s="1375"/>
      <c r="E256" s="1375"/>
      <c r="F256" s="1375"/>
      <c r="G256" s="1375"/>
      <c r="H256" s="1375"/>
      <c r="I256" s="1375"/>
      <c r="J256" s="1375"/>
      <c r="K256" s="1375"/>
      <c r="L256" s="1375"/>
      <c r="M256" s="1375"/>
      <c r="N256" s="1375"/>
      <c r="O256" s="1375"/>
      <c r="P256" s="1375"/>
      <c r="Q256" s="1375"/>
      <c r="R256" s="1375"/>
      <c r="S256" s="1375"/>
      <c r="T256" s="1375"/>
      <c r="U256" s="1375"/>
      <c r="V256" s="1375"/>
      <c r="W256" s="1375"/>
      <c r="X256" s="1375"/>
      <c r="Z256" s="1258"/>
      <c r="AA256" s="43"/>
      <c r="AB256" s="1376"/>
      <c r="AC256" s="1376"/>
      <c r="AD256" s="1377"/>
      <c r="AX256" s="1258"/>
      <c r="AY256" s="1258"/>
      <c r="AZ256" s="1258"/>
    </row>
    <row r="257" spans="1:52" s="1257" customFormat="1" ht="21" customHeight="1">
      <c r="A257" s="1258"/>
      <c r="B257" s="1258"/>
      <c r="C257" s="1375"/>
      <c r="D257" s="1375"/>
      <c r="E257" s="1375"/>
      <c r="F257" s="1375"/>
      <c r="G257" s="1375"/>
      <c r="H257" s="1375"/>
      <c r="I257" s="1375"/>
      <c r="J257" s="1375"/>
      <c r="K257" s="1375"/>
      <c r="L257" s="1375"/>
      <c r="M257" s="1375"/>
      <c r="N257" s="1375"/>
      <c r="O257" s="1375"/>
      <c r="P257" s="1375"/>
      <c r="Q257" s="1375"/>
      <c r="R257" s="1375"/>
      <c r="S257" s="1375"/>
      <c r="T257" s="1375"/>
      <c r="U257" s="1375"/>
      <c r="V257" s="1375"/>
      <c r="W257" s="1375"/>
      <c r="X257" s="1375"/>
      <c r="Z257" s="1258"/>
      <c r="AA257" s="43"/>
      <c r="AB257" s="1261"/>
      <c r="AC257" s="1261"/>
      <c r="AD257" s="1262"/>
      <c r="AX257" s="1258"/>
      <c r="AY257" s="1258"/>
      <c r="AZ257" s="1258"/>
    </row>
    <row r="258" spans="1:52" s="1257" customFormat="1" ht="21" customHeight="1">
      <c r="A258" s="1258"/>
      <c r="B258" s="1258"/>
      <c r="C258" s="1375"/>
      <c r="D258" s="1375"/>
      <c r="E258" s="1375"/>
      <c r="F258" s="1375"/>
      <c r="G258" s="1375"/>
      <c r="H258" s="1375"/>
      <c r="I258" s="1375"/>
      <c r="J258" s="1375"/>
      <c r="K258" s="1375"/>
      <c r="L258" s="1375"/>
      <c r="M258" s="1375"/>
      <c r="N258" s="1375"/>
      <c r="O258" s="1375"/>
      <c r="P258" s="1375"/>
      <c r="Q258" s="1375"/>
      <c r="R258" s="1375"/>
      <c r="S258" s="1375"/>
      <c r="T258" s="1375"/>
      <c r="U258" s="1375"/>
      <c r="V258" s="1375"/>
      <c r="W258" s="1375"/>
      <c r="X258" s="1375"/>
      <c r="Z258" s="1258"/>
      <c r="AA258" s="43"/>
      <c r="AX258" s="1258"/>
      <c r="AY258" s="1258"/>
      <c r="AZ258" s="1258"/>
    </row>
    <row r="259" spans="1:52" s="1257" customFormat="1" ht="21" customHeight="1">
      <c r="A259" s="1258"/>
      <c r="B259" s="1258"/>
      <c r="C259" s="1375"/>
      <c r="D259" s="1375"/>
      <c r="E259" s="1375"/>
      <c r="F259" s="1375"/>
      <c r="G259" s="1375"/>
      <c r="H259" s="1375"/>
      <c r="I259" s="1375"/>
      <c r="J259" s="1375"/>
      <c r="K259" s="1375"/>
      <c r="L259" s="1375"/>
      <c r="M259" s="1375"/>
      <c r="N259" s="1375"/>
      <c r="O259" s="1375"/>
      <c r="P259" s="1375"/>
      <c r="Q259" s="1375"/>
      <c r="R259" s="1375"/>
      <c r="S259" s="1375"/>
      <c r="T259" s="1375"/>
      <c r="U259" s="1375"/>
      <c r="V259" s="1375"/>
      <c r="W259" s="1375"/>
      <c r="X259" s="1375"/>
      <c r="Z259" s="1258"/>
      <c r="AA259" s="43"/>
      <c r="AX259" s="1258"/>
      <c r="AY259" s="1258"/>
      <c r="AZ259" s="1258"/>
    </row>
    <row r="260" spans="1:52" s="1257" customFormat="1" ht="21" customHeight="1">
      <c r="A260" s="1258"/>
      <c r="B260" s="1258"/>
      <c r="C260" s="1375"/>
      <c r="D260" s="1375"/>
      <c r="E260" s="1375"/>
      <c r="F260" s="1375"/>
      <c r="G260" s="1375"/>
      <c r="H260" s="1375"/>
      <c r="I260" s="1375"/>
      <c r="J260" s="1375"/>
      <c r="K260" s="1375"/>
      <c r="L260" s="1375"/>
      <c r="M260" s="1375"/>
      <c r="N260" s="1375"/>
      <c r="O260" s="1375"/>
      <c r="P260" s="1375"/>
      <c r="Q260" s="1375"/>
      <c r="R260" s="1375"/>
      <c r="S260" s="1375"/>
      <c r="T260" s="1375"/>
      <c r="U260" s="1375"/>
      <c r="V260" s="1375"/>
      <c r="W260" s="1375"/>
      <c r="X260" s="1375"/>
      <c r="Z260" s="1258"/>
      <c r="AA260" s="43"/>
      <c r="AX260" s="1258"/>
      <c r="AY260" s="1258"/>
      <c r="AZ260" s="1258"/>
    </row>
    <row r="261" spans="1:52" s="1257" customFormat="1" ht="21" customHeight="1">
      <c r="A261" s="1258"/>
      <c r="B261" s="1258"/>
      <c r="C261" s="1375"/>
      <c r="D261" s="1375"/>
      <c r="E261" s="1375"/>
      <c r="F261" s="1375"/>
      <c r="G261" s="1375"/>
      <c r="H261" s="1375"/>
      <c r="I261" s="1375"/>
      <c r="J261" s="1375"/>
      <c r="K261" s="1375"/>
      <c r="L261" s="1375"/>
      <c r="M261" s="1375"/>
      <c r="N261" s="1375"/>
      <c r="O261" s="1375"/>
      <c r="P261" s="1375"/>
      <c r="Q261" s="1375"/>
      <c r="R261" s="1375"/>
      <c r="S261" s="1375"/>
      <c r="T261" s="1375"/>
      <c r="U261" s="1375"/>
      <c r="V261" s="1375"/>
      <c r="W261" s="1375"/>
      <c r="X261" s="1375"/>
      <c r="Z261" s="1258"/>
      <c r="AA261" s="43"/>
      <c r="AX261" s="1258"/>
      <c r="AY261" s="1258"/>
      <c r="AZ261" s="1258"/>
    </row>
    <row r="262" spans="1:52" s="1257" customFormat="1" ht="21" customHeight="1">
      <c r="A262" s="1258"/>
      <c r="B262" s="1258"/>
      <c r="C262" s="1375"/>
      <c r="D262" s="1375"/>
      <c r="E262" s="1375"/>
      <c r="F262" s="1375"/>
      <c r="G262" s="1375"/>
      <c r="H262" s="1375"/>
      <c r="I262" s="1375"/>
      <c r="J262" s="1375"/>
      <c r="K262" s="1375"/>
      <c r="L262" s="1375"/>
      <c r="M262" s="1375"/>
      <c r="N262" s="1375"/>
      <c r="O262" s="1375"/>
      <c r="P262" s="1375"/>
      <c r="Q262" s="1375"/>
      <c r="R262" s="1375"/>
      <c r="S262" s="1375"/>
      <c r="T262" s="1375"/>
      <c r="U262" s="1375"/>
      <c r="V262" s="1375"/>
      <c r="W262" s="1375"/>
      <c r="X262" s="1375"/>
      <c r="Z262" s="1258"/>
      <c r="AA262" s="43"/>
      <c r="AB262" s="1376"/>
      <c r="AC262" s="1376"/>
      <c r="AD262" s="1377"/>
      <c r="AX262" s="1258"/>
      <c r="AY262" s="1258"/>
      <c r="AZ262" s="1258"/>
    </row>
    <row r="263" spans="1:52" s="1257" customFormat="1" ht="21" customHeight="1">
      <c r="A263" s="1258"/>
      <c r="B263" s="1258"/>
      <c r="C263" s="1375"/>
      <c r="D263" s="1375"/>
      <c r="E263" s="1375"/>
      <c r="F263" s="1375"/>
      <c r="G263" s="1375"/>
      <c r="H263" s="1375"/>
      <c r="I263" s="1375"/>
      <c r="J263" s="1375"/>
      <c r="K263" s="1375"/>
      <c r="L263" s="1375"/>
      <c r="M263" s="1375"/>
      <c r="N263" s="1375"/>
      <c r="O263" s="1375"/>
      <c r="P263" s="1375"/>
      <c r="Q263" s="1375"/>
      <c r="R263" s="1375"/>
      <c r="S263" s="1375"/>
      <c r="T263" s="1375"/>
      <c r="U263" s="1375"/>
      <c r="V263" s="1375"/>
      <c r="W263" s="1375"/>
      <c r="X263" s="1375"/>
      <c r="Z263" s="1258"/>
      <c r="AA263" s="43"/>
      <c r="AB263" s="1376"/>
      <c r="AC263" s="1376"/>
      <c r="AD263" s="1377"/>
      <c r="AX263" s="1258"/>
      <c r="AY263" s="1258"/>
      <c r="AZ263" s="1258"/>
    </row>
    <row r="264" spans="1:52" s="1257" customFormat="1" ht="21" customHeight="1">
      <c r="A264" s="1258"/>
      <c r="B264" s="1258"/>
      <c r="C264" s="1375"/>
      <c r="D264" s="1375"/>
      <c r="E264" s="1375"/>
      <c r="F264" s="1375"/>
      <c r="G264" s="1375"/>
      <c r="H264" s="1375"/>
      <c r="I264" s="1375"/>
      <c r="J264" s="1375"/>
      <c r="K264" s="1375"/>
      <c r="L264" s="1375"/>
      <c r="M264" s="1375"/>
      <c r="N264" s="1375"/>
      <c r="O264" s="1375"/>
      <c r="P264" s="1375"/>
      <c r="Q264" s="1375"/>
      <c r="R264" s="1375"/>
      <c r="S264" s="1375"/>
      <c r="T264" s="1375"/>
      <c r="U264" s="1375"/>
      <c r="V264" s="1375"/>
      <c r="W264" s="1375"/>
      <c r="X264" s="1375"/>
      <c r="Z264" s="1258"/>
      <c r="AA264" s="43"/>
      <c r="AB264" s="1376"/>
      <c r="AC264" s="1376"/>
      <c r="AD264" s="1377"/>
      <c r="AX264" s="1258"/>
      <c r="AY264" s="1258"/>
      <c r="AZ264" s="1258"/>
    </row>
    <row r="265" spans="1:52" s="1257" customFormat="1" ht="21" customHeight="1">
      <c r="A265" s="1258"/>
      <c r="B265" s="1258"/>
      <c r="C265" s="1375"/>
      <c r="D265" s="1375"/>
      <c r="E265" s="1375"/>
      <c r="F265" s="1375"/>
      <c r="G265" s="1375"/>
      <c r="H265" s="1375"/>
      <c r="I265" s="1375"/>
      <c r="J265" s="1375"/>
      <c r="K265" s="1375"/>
      <c r="L265" s="1375"/>
      <c r="M265" s="1375"/>
      <c r="N265" s="1375"/>
      <c r="O265" s="1375"/>
      <c r="P265" s="1375"/>
      <c r="Q265" s="1375"/>
      <c r="R265" s="1375"/>
      <c r="S265" s="1375"/>
      <c r="T265" s="1375"/>
      <c r="U265" s="1375"/>
      <c r="V265" s="1375"/>
      <c r="W265" s="1375"/>
      <c r="X265" s="1375"/>
      <c r="Z265" s="1258"/>
      <c r="AA265" s="43"/>
      <c r="AB265" s="1376"/>
      <c r="AC265" s="1376"/>
      <c r="AD265" s="1377"/>
      <c r="AX265" s="1258"/>
      <c r="AY265" s="1258"/>
      <c r="AZ265" s="1258"/>
    </row>
    <row r="266" spans="1:52" s="1257" customFormat="1" ht="21" customHeight="1">
      <c r="A266" s="1258"/>
      <c r="B266" s="1258"/>
      <c r="C266" s="1375"/>
      <c r="D266" s="1375"/>
      <c r="E266" s="1375"/>
      <c r="F266" s="1375"/>
      <c r="G266" s="1375"/>
      <c r="H266" s="1375"/>
      <c r="I266" s="1375"/>
      <c r="J266" s="1375"/>
      <c r="K266" s="1375"/>
      <c r="L266" s="1375"/>
      <c r="M266" s="1375"/>
      <c r="N266" s="1375"/>
      <c r="O266" s="1375"/>
      <c r="P266" s="1375"/>
      <c r="Q266" s="1375"/>
      <c r="R266" s="1375"/>
      <c r="S266" s="1375"/>
      <c r="T266" s="1375"/>
      <c r="U266" s="1375"/>
      <c r="V266" s="1375"/>
      <c r="W266" s="1375"/>
      <c r="X266" s="1375"/>
      <c r="Z266" s="1258"/>
      <c r="AA266" s="43"/>
      <c r="AB266" s="1376"/>
      <c r="AC266" s="1376"/>
      <c r="AD266" s="1377"/>
      <c r="AX266" s="1258"/>
      <c r="AY266" s="1258"/>
      <c r="AZ266" s="1258"/>
    </row>
    <row r="267" spans="1:52" s="1257" customFormat="1" ht="21" customHeight="1">
      <c r="A267" s="1258"/>
      <c r="B267" s="1258"/>
      <c r="C267" s="1375"/>
      <c r="D267" s="1375"/>
      <c r="E267" s="1375"/>
      <c r="F267" s="1375"/>
      <c r="G267" s="1375"/>
      <c r="H267" s="1375"/>
      <c r="I267" s="1375"/>
      <c r="J267" s="1375"/>
      <c r="K267" s="1375"/>
      <c r="L267" s="1375"/>
      <c r="M267" s="1375"/>
      <c r="N267" s="1375"/>
      <c r="O267" s="1375"/>
      <c r="P267" s="1375"/>
      <c r="Q267" s="1375"/>
      <c r="R267" s="1375"/>
      <c r="S267" s="1375"/>
      <c r="T267" s="1375"/>
      <c r="U267" s="1375"/>
      <c r="V267" s="1375"/>
      <c r="W267" s="1375"/>
      <c r="X267" s="1375"/>
      <c r="Z267" s="1258"/>
      <c r="AA267" s="43"/>
      <c r="AB267" s="1376"/>
      <c r="AC267" s="1376"/>
      <c r="AD267" s="1377"/>
      <c r="AX267" s="1258"/>
      <c r="AY267" s="1258"/>
      <c r="AZ267" s="1258"/>
    </row>
    <row r="268" spans="1:52" s="1257" customFormat="1" ht="21" customHeight="1">
      <c r="A268" s="1258"/>
      <c r="B268" s="1258"/>
      <c r="C268" s="1375"/>
      <c r="D268" s="1375"/>
      <c r="E268" s="1375"/>
      <c r="F268" s="1375"/>
      <c r="G268" s="1375"/>
      <c r="H268" s="1375"/>
      <c r="I268" s="1375"/>
      <c r="J268" s="1375"/>
      <c r="K268" s="1375"/>
      <c r="L268" s="1375"/>
      <c r="M268" s="1375"/>
      <c r="N268" s="1375"/>
      <c r="O268" s="1375"/>
      <c r="P268" s="1375"/>
      <c r="Q268" s="1375"/>
      <c r="R268" s="1375"/>
      <c r="S268" s="1375"/>
      <c r="T268" s="1375"/>
      <c r="U268" s="1375"/>
      <c r="V268" s="1375"/>
      <c r="W268" s="1375"/>
      <c r="X268" s="1375"/>
      <c r="Z268" s="1258"/>
      <c r="AA268" s="43"/>
      <c r="AX268" s="1258"/>
      <c r="AY268" s="1258"/>
      <c r="AZ268" s="1258"/>
    </row>
    <row r="269" spans="1:52" s="1257" customFormat="1" ht="21" customHeight="1">
      <c r="A269" s="1258"/>
      <c r="B269" s="1258"/>
      <c r="C269" s="1375"/>
      <c r="D269" s="1375"/>
      <c r="E269" s="1375"/>
      <c r="F269" s="1375"/>
      <c r="G269" s="1375"/>
      <c r="H269" s="1375"/>
      <c r="I269" s="1375"/>
      <c r="J269" s="1375"/>
      <c r="K269" s="1375"/>
      <c r="L269" s="1375"/>
      <c r="M269" s="1375"/>
      <c r="N269" s="1375"/>
      <c r="O269" s="1375"/>
      <c r="P269" s="1375"/>
      <c r="Q269" s="1375"/>
      <c r="R269" s="1375"/>
      <c r="S269" s="1375"/>
      <c r="T269" s="1375"/>
      <c r="U269" s="1375"/>
      <c r="V269" s="1375"/>
      <c r="W269" s="1375"/>
      <c r="X269" s="1375"/>
      <c r="Z269" s="1258"/>
      <c r="AA269" s="43"/>
      <c r="AX269" s="1258"/>
      <c r="AY269" s="1258"/>
      <c r="AZ269" s="1258"/>
    </row>
    <row r="270" spans="1:52" s="1257" customFormat="1" ht="21" customHeight="1">
      <c r="A270" s="1258"/>
      <c r="B270" s="1258"/>
      <c r="C270" s="1375"/>
      <c r="D270" s="1375"/>
      <c r="E270" s="1375"/>
      <c r="F270" s="1375"/>
      <c r="G270" s="1375"/>
      <c r="H270" s="1375"/>
      <c r="I270" s="1375"/>
      <c r="J270" s="1375"/>
      <c r="K270" s="1375"/>
      <c r="L270" s="1375"/>
      <c r="M270" s="1375"/>
      <c r="N270" s="1375"/>
      <c r="O270" s="1375"/>
      <c r="P270" s="1375"/>
      <c r="Q270" s="1375"/>
      <c r="R270" s="1375"/>
      <c r="S270" s="1375"/>
      <c r="T270" s="1375"/>
      <c r="U270" s="1375"/>
      <c r="V270" s="1375"/>
      <c r="W270" s="1375"/>
      <c r="X270" s="1375"/>
      <c r="Z270" s="1258"/>
      <c r="AA270" s="43"/>
      <c r="AX270" s="1258"/>
      <c r="AY270" s="1258"/>
      <c r="AZ270" s="1258"/>
    </row>
    <row r="271" spans="1:52" s="1257" customFormat="1" ht="21" customHeight="1">
      <c r="A271" s="1258"/>
      <c r="B271" s="1258"/>
      <c r="C271" s="1375"/>
      <c r="D271" s="1375"/>
      <c r="E271" s="1375"/>
      <c r="F271" s="1375"/>
      <c r="G271" s="1375"/>
      <c r="H271" s="1375"/>
      <c r="I271" s="1375"/>
      <c r="J271" s="1375"/>
      <c r="K271" s="1375"/>
      <c r="L271" s="1375"/>
      <c r="M271" s="1375"/>
      <c r="N271" s="1375"/>
      <c r="O271" s="1375"/>
      <c r="P271" s="1375"/>
      <c r="Q271" s="1375"/>
      <c r="R271" s="1375"/>
      <c r="S271" s="1375"/>
      <c r="T271" s="1375"/>
      <c r="U271" s="1375"/>
      <c r="V271" s="1375"/>
      <c r="W271" s="1375"/>
      <c r="X271" s="1375"/>
      <c r="Z271" s="1258"/>
      <c r="AA271" s="43"/>
      <c r="AX271" s="1258"/>
      <c r="AY271" s="1258"/>
      <c r="AZ271" s="1258"/>
    </row>
    <row r="272" spans="1:52" s="1257" customFormat="1" ht="21" customHeight="1">
      <c r="A272" s="1258"/>
      <c r="B272" s="1258"/>
      <c r="C272" s="1375"/>
      <c r="D272" s="1375"/>
      <c r="E272" s="1375"/>
      <c r="F272" s="1375"/>
      <c r="G272" s="1375"/>
      <c r="H272" s="1375"/>
      <c r="I272" s="1375"/>
      <c r="J272" s="1375"/>
      <c r="K272" s="1375"/>
      <c r="L272" s="1375"/>
      <c r="M272" s="1375"/>
      <c r="N272" s="1375"/>
      <c r="O272" s="1375"/>
      <c r="P272" s="1375"/>
      <c r="Q272" s="1375"/>
      <c r="R272" s="1375"/>
      <c r="S272" s="1375"/>
      <c r="T272" s="1375"/>
      <c r="U272" s="1375"/>
      <c r="V272" s="1375"/>
      <c r="W272" s="1375"/>
      <c r="X272" s="1375"/>
      <c r="Z272" s="1258"/>
      <c r="AA272" s="43"/>
      <c r="AX272" s="1258"/>
      <c r="AY272" s="1258"/>
      <c r="AZ272" s="1258"/>
    </row>
    <row r="273" spans="1:52" s="1257" customFormat="1" ht="21" customHeight="1">
      <c r="A273" s="1258"/>
      <c r="B273" s="1258"/>
      <c r="C273" s="1375"/>
      <c r="D273" s="1375"/>
      <c r="E273" s="1375"/>
      <c r="F273" s="1375"/>
      <c r="G273" s="1375"/>
      <c r="H273" s="1375"/>
      <c r="I273" s="1375"/>
      <c r="J273" s="1375"/>
      <c r="K273" s="1375"/>
      <c r="L273" s="1375"/>
      <c r="M273" s="1375"/>
      <c r="N273" s="1375"/>
      <c r="O273" s="1375"/>
      <c r="P273" s="1375"/>
      <c r="Q273" s="1375"/>
      <c r="R273" s="1375"/>
      <c r="S273" s="1375"/>
      <c r="T273" s="1375"/>
      <c r="U273" s="1375"/>
      <c r="V273" s="1375"/>
      <c r="W273" s="1375"/>
      <c r="X273" s="1375"/>
      <c r="Z273" s="1258"/>
      <c r="AA273" s="43"/>
      <c r="AX273" s="1258"/>
      <c r="AY273" s="1258"/>
      <c r="AZ273" s="1258"/>
    </row>
    <row r="274" spans="1:52" s="1257" customFormat="1" ht="21" customHeight="1">
      <c r="A274" s="1258"/>
      <c r="B274" s="1258"/>
      <c r="C274" s="1375"/>
      <c r="D274" s="1375"/>
      <c r="E274" s="1375"/>
      <c r="F274" s="1375"/>
      <c r="G274" s="1375"/>
      <c r="H274" s="1375"/>
      <c r="I274" s="1375"/>
      <c r="J274" s="1375"/>
      <c r="K274" s="1375"/>
      <c r="L274" s="1375"/>
      <c r="M274" s="1375"/>
      <c r="N274" s="1375"/>
      <c r="O274" s="1375"/>
      <c r="P274" s="1375"/>
      <c r="Q274" s="1375"/>
      <c r="R274" s="1375"/>
      <c r="S274" s="1375"/>
      <c r="T274" s="1375"/>
      <c r="U274" s="1375"/>
      <c r="V274" s="1375"/>
      <c r="W274" s="1375"/>
      <c r="X274" s="1375"/>
      <c r="Z274" s="1258"/>
      <c r="AA274" s="43"/>
      <c r="AX274" s="1258"/>
      <c r="AY274" s="1258"/>
      <c r="AZ274" s="1258"/>
    </row>
    <row r="275" spans="1:52" s="1257" customFormat="1" ht="21" customHeight="1">
      <c r="A275" s="1258"/>
      <c r="B275" s="1258"/>
      <c r="C275" s="1375"/>
      <c r="D275" s="1375"/>
      <c r="E275" s="1375"/>
      <c r="F275" s="1375"/>
      <c r="G275" s="1375"/>
      <c r="H275" s="1375"/>
      <c r="I275" s="1375"/>
      <c r="J275" s="1375"/>
      <c r="K275" s="1375"/>
      <c r="L275" s="1375"/>
      <c r="M275" s="1375"/>
      <c r="N275" s="1375"/>
      <c r="O275" s="1375"/>
      <c r="P275" s="1375"/>
      <c r="Q275" s="1375"/>
      <c r="R275" s="1375"/>
      <c r="S275" s="1375"/>
      <c r="T275" s="1375"/>
      <c r="U275" s="1375"/>
      <c r="V275" s="1375"/>
      <c r="W275" s="1375"/>
      <c r="X275" s="1375"/>
      <c r="Z275" s="1258"/>
      <c r="AA275" s="43"/>
      <c r="AX275" s="1258"/>
      <c r="AY275" s="1258"/>
      <c r="AZ275" s="1258"/>
    </row>
    <row r="276" spans="1:52" s="1257" customFormat="1" ht="21" customHeight="1">
      <c r="A276" s="1258"/>
      <c r="B276" s="1258"/>
      <c r="C276" s="1375"/>
      <c r="D276" s="1375"/>
      <c r="E276" s="1375"/>
      <c r="F276" s="1375"/>
      <c r="G276" s="1375"/>
      <c r="H276" s="1375"/>
      <c r="I276" s="1375"/>
      <c r="J276" s="1375"/>
      <c r="K276" s="1375"/>
      <c r="L276" s="1375"/>
      <c r="M276" s="1375"/>
      <c r="N276" s="1375"/>
      <c r="O276" s="1375"/>
      <c r="P276" s="1375"/>
      <c r="Q276" s="1375"/>
      <c r="R276" s="1375"/>
      <c r="S276" s="1375"/>
      <c r="T276" s="1375"/>
      <c r="U276" s="1375"/>
      <c r="V276" s="1375"/>
      <c r="W276" s="1375"/>
      <c r="X276" s="1375"/>
      <c r="Z276" s="1258"/>
      <c r="AA276" s="43"/>
      <c r="AX276" s="1258"/>
      <c r="AY276" s="1258"/>
      <c r="AZ276" s="1258"/>
    </row>
    <row r="277" spans="1:52" s="1257" customFormat="1" ht="21" customHeight="1">
      <c r="A277" s="1258"/>
      <c r="B277" s="1258"/>
      <c r="C277" s="1375"/>
      <c r="D277" s="1375"/>
      <c r="E277" s="1375"/>
      <c r="F277" s="1375"/>
      <c r="G277" s="1375"/>
      <c r="H277" s="1375"/>
      <c r="I277" s="1375"/>
      <c r="J277" s="1375"/>
      <c r="K277" s="1375"/>
      <c r="L277" s="1375"/>
      <c r="M277" s="1375"/>
      <c r="N277" s="1375"/>
      <c r="O277" s="1375"/>
      <c r="P277" s="1375"/>
      <c r="Q277" s="1375"/>
      <c r="R277" s="1375"/>
      <c r="S277" s="1375"/>
      <c r="T277" s="1375"/>
      <c r="U277" s="1375"/>
      <c r="V277" s="1375"/>
      <c r="W277" s="1375"/>
      <c r="X277" s="1375"/>
      <c r="Z277" s="1258"/>
      <c r="AA277" s="43"/>
      <c r="AX277" s="1258"/>
      <c r="AY277" s="1258"/>
      <c r="AZ277" s="1258"/>
    </row>
    <row r="278" spans="1:52" s="1257" customFormat="1" ht="21" customHeight="1">
      <c r="A278" s="1258"/>
      <c r="B278" s="1258"/>
      <c r="C278" s="1375"/>
      <c r="D278" s="1375"/>
      <c r="E278" s="1375"/>
      <c r="F278" s="1375"/>
      <c r="G278" s="1375"/>
      <c r="H278" s="1375"/>
      <c r="I278" s="1375"/>
      <c r="J278" s="1375"/>
      <c r="K278" s="1375"/>
      <c r="L278" s="1375"/>
      <c r="M278" s="1375"/>
      <c r="N278" s="1375"/>
      <c r="O278" s="1375"/>
      <c r="P278" s="1375"/>
      <c r="Q278" s="1375"/>
      <c r="R278" s="1375"/>
      <c r="S278" s="1375"/>
      <c r="T278" s="1375"/>
      <c r="U278" s="1375"/>
      <c r="V278" s="1375"/>
      <c r="W278" s="1375"/>
      <c r="X278" s="1375"/>
      <c r="Z278" s="1258"/>
      <c r="AA278" s="43"/>
      <c r="AB278" s="1376"/>
      <c r="AC278" s="1376"/>
      <c r="AD278" s="1377"/>
      <c r="AX278" s="1258"/>
      <c r="AY278" s="1258"/>
      <c r="AZ278" s="1258"/>
    </row>
    <row r="279" spans="1:52" s="1257" customFormat="1" ht="21" customHeight="1">
      <c r="A279" s="1258"/>
      <c r="B279" s="1258"/>
      <c r="C279" s="1375"/>
      <c r="D279" s="1375"/>
      <c r="E279" s="1375"/>
      <c r="F279" s="1375"/>
      <c r="G279" s="1375"/>
      <c r="H279" s="1375"/>
      <c r="I279" s="1375"/>
      <c r="J279" s="1375"/>
      <c r="K279" s="1375"/>
      <c r="L279" s="1375"/>
      <c r="M279" s="1375"/>
      <c r="N279" s="1375"/>
      <c r="O279" s="1375"/>
      <c r="P279" s="1375"/>
      <c r="Q279" s="1375"/>
      <c r="R279" s="1375"/>
      <c r="S279" s="1375"/>
      <c r="T279" s="1375"/>
      <c r="U279" s="1375"/>
      <c r="V279" s="1375"/>
      <c r="W279" s="1375"/>
      <c r="X279" s="1375"/>
      <c r="Z279" s="1258"/>
      <c r="AA279" s="43"/>
      <c r="AB279" s="1376"/>
      <c r="AC279" s="1376"/>
      <c r="AD279" s="1377"/>
      <c r="AX279" s="1258"/>
      <c r="AY279" s="1258"/>
      <c r="AZ279" s="1258"/>
    </row>
    <row r="280" spans="1:52" s="1257" customFormat="1" ht="21" customHeight="1">
      <c r="A280" s="1258"/>
      <c r="B280" s="1258"/>
      <c r="C280" s="1375"/>
      <c r="D280" s="1375"/>
      <c r="E280" s="1375"/>
      <c r="F280" s="1375"/>
      <c r="G280" s="1375"/>
      <c r="H280" s="1375"/>
      <c r="I280" s="1375"/>
      <c r="J280" s="1375"/>
      <c r="K280" s="1375"/>
      <c r="L280" s="1375"/>
      <c r="M280" s="1375"/>
      <c r="N280" s="1375"/>
      <c r="O280" s="1375"/>
      <c r="P280" s="1375"/>
      <c r="Q280" s="1375"/>
      <c r="R280" s="1375"/>
      <c r="S280" s="1375"/>
      <c r="T280" s="1375"/>
      <c r="U280" s="1375"/>
      <c r="V280" s="1375"/>
      <c r="W280" s="1375"/>
      <c r="X280" s="1375"/>
      <c r="Z280" s="1258"/>
      <c r="AA280" s="43"/>
      <c r="AB280" s="1376"/>
      <c r="AC280" s="1376"/>
      <c r="AD280" s="1377"/>
      <c r="AX280" s="1258"/>
      <c r="AY280" s="1258"/>
      <c r="AZ280" s="1258"/>
    </row>
    <row r="281" spans="1:52" s="1257" customFormat="1" ht="21" customHeight="1">
      <c r="A281" s="1258"/>
      <c r="B281" s="1258"/>
      <c r="C281" s="1375"/>
      <c r="D281" s="1375"/>
      <c r="E281" s="1375"/>
      <c r="F281" s="1375"/>
      <c r="G281" s="1375"/>
      <c r="H281" s="1375"/>
      <c r="I281" s="1375"/>
      <c r="J281" s="1375"/>
      <c r="K281" s="1375"/>
      <c r="L281" s="1375"/>
      <c r="M281" s="1375"/>
      <c r="N281" s="1375"/>
      <c r="O281" s="1375"/>
      <c r="P281" s="1375"/>
      <c r="Q281" s="1375"/>
      <c r="R281" s="1375"/>
      <c r="S281" s="1375"/>
      <c r="T281" s="1375"/>
      <c r="U281" s="1375"/>
      <c r="V281" s="1375"/>
      <c r="W281" s="1375"/>
      <c r="X281" s="1375"/>
      <c r="Z281" s="1258"/>
      <c r="AA281" s="43"/>
      <c r="AX281" s="1258"/>
      <c r="AY281" s="1258"/>
      <c r="AZ281" s="1258"/>
    </row>
    <row r="282" spans="1:52" s="1257" customFormat="1" ht="21" customHeight="1">
      <c r="A282" s="1258"/>
      <c r="B282" s="1258"/>
      <c r="C282" s="1375"/>
      <c r="D282" s="1375"/>
      <c r="E282" s="1375"/>
      <c r="F282" s="1375"/>
      <c r="G282" s="1375"/>
      <c r="H282" s="1375"/>
      <c r="I282" s="1375"/>
      <c r="J282" s="1375"/>
      <c r="K282" s="1375"/>
      <c r="L282" s="1375"/>
      <c r="M282" s="1375"/>
      <c r="N282" s="1375"/>
      <c r="O282" s="1375"/>
      <c r="P282" s="1375"/>
      <c r="Q282" s="1375"/>
      <c r="R282" s="1375"/>
      <c r="S282" s="1375"/>
      <c r="T282" s="1375"/>
      <c r="U282" s="1375"/>
      <c r="V282" s="1375"/>
      <c r="W282" s="1375"/>
      <c r="X282" s="1375"/>
      <c r="Z282" s="1258"/>
      <c r="AA282" s="43"/>
      <c r="AX282" s="1258"/>
      <c r="AY282" s="1258"/>
      <c r="AZ282" s="1258"/>
    </row>
    <row r="283" spans="1:52" s="1257" customFormat="1" ht="21" customHeight="1">
      <c r="A283" s="1258"/>
      <c r="B283" s="1258"/>
      <c r="C283" s="1375"/>
      <c r="D283" s="1375"/>
      <c r="E283" s="1375"/>
      <c r="F283" s="1375"/>
      <c r="G283" s="1375"/>
      <c r="H283" s="1375"/>
      <c r="I283" s="1375"/>
      <c r="J283" s="1375"/>
      <c r="K283" s="1375"/>
      <c r="L283" s="1375"/>
      <c r="M283" s="1375"/>
      <c r="N283" s="1375"/>
      <c r="O283" s="1375"/>
      <c r="P283" s="1375"/>
      <c r="Q283" s="1375"/>
      <c r="R283" s="1375"/>
      <c r="S283" s="1375"/>
      <c r="T283" s="1375"/>
      <c r="U283" s="1375"/>
      <c r="V283" s="1375"/>
      <c r="W283" s="1375"/>
      <c r="X283" s="1375"/>
      <c r="Z283" s="1258"/>
      <c r="AA283" s="43"/>
      <c r="AX283" s="1258"/>
      <c r="AY283" s="1258"/>
      <c r="AZ283" s="1258"/>
    </row>
    <row r="284" spans="1:52" s="1257" customFormat="1" ht="21" customHeight="1">
      <c r="A284" s="1258"/>
      <c r="B284" s="1258"/>
      <c r="C284" s="1375"/>
      <c r="D284" s="1375"/>
      <c r="E284" s="1375"/>
      <c r="F284" s="1375"/>
      <c r="G284" s="1375"/>
      <c r="H284" s="1375"/>
      <c r="I284" s="1375"/>
      <c r="J284" s="1375"/>
      <c r="K284" s="1375"/>
      <c r="L284" s="1375"/>
      <c r="M284" s="1375"/>
      <c r="N284" s="1375"/>
      <c r="O284" s="1375"/>
      <c r="P284" s="1375"/>
      <c r="Q284" s="1375"/>
      <c r="R284" s="1375"/>
      <c r="S284" s="1375"/>
      <c r="T284" s="1375"/>
      <c r="U284" s="1375"/>
      <c r="V284" s="1375"/>
      <c r="W284" s="1375"/>
      <c r="X284" s="1375"/>
      <c r="Z284" s="1258"/>
      <c r="AA284" s="43"/>
      <c r="AX284" s="1258"/>
      <c r="AY284" s="1258"/>
      <c r="AZ284" s="1258"/>
    </row>
    <row r="285" spans="1:52" s="1257" customFormat="1" ht="21" customHeight="1">
      <c r="A285" s="1258"/>
      <c r="B285" s="1258"/>
      <c r="C285" s="1375"/>
      <c r="D285" s="1375"/>
      <c r="E285" s="1375"/>
      <c r="F285" s="1375"/>
      <c r="G285" s="1375"/>
      <c r="H285" s="1375"/>
      <c r="I285" s="1375"/>
      <c r="J285" s="1375"/>
      <c r="K285" s="1375"/>
      <c r="L285" s="1375"/>
      <c r="M285" s="1375"/>
      <c r="N285" s="1375"/>
      <c r="O285" s="1375"/>
      <c r="P285" s="1375"/>
      <c r="Q285" s="1375"/>
      <c r="R285" s="1375"/>
      <c r="S285" s="1375"/>
      <c r="T285" s="1375"/>
      <c r="U285" s="1375"/>
      <c r="V285" s="1375"/>
      <c r="W285" s="1375"/>
      <c r="X285" s="1375"/>
      <c r="Z285" s="1258"/>
      <c r="AA285" s="43"/>
      <c r="AX285" s="1258"/>
      <c r="AY285" s="1258"/>
      <c r="AZ285" s="1258"/>
    </row>
    <row r="286" spans="1:52" s="1257" customFormat="1" ht="21" customHeight="1">
      <c r="A286" s="1258"/>
      <c r="B286" s="1258"/>
      <c r="C286" s="1375"/>
      <c r="D286" s="1375"/>
      <c r="E286" s="1375"/>
      <c r="F286" s="1375"/>
      <c r="G286" s="1375"/>
      <c r="H286" s="1375"/>
      <c r="I286" s="1375"/>
      <c r="J286" s="1375"/>
      <c r="K286" s="1375"/>
      <c r="L286" s="1375"/>
      <c r="M286" s="1375"/>
      <c r="N286" s="1375"/>
      <c r="O286" s="1375"/>
      <c r="P286" s="1375"/>
      <c r="Q286" s="1375"/>
      <c r="R286" s="1375"/>
      <c r="S286" s="1375"/>
      <c r="T286" s="1375"/>
      <c r="U286" s="1375"/>
      <c r="V286" s="1375"/>
      <c r="W286" s="1375"/>
      <c r="X286" s="1375"/>
      <c r="Z286" s="1258"/>
      <c r="AA286" s="43"/>
      <c r="AB286" s="1261"/>
      <c r="AC286" s="1261"/>
      <c r="AD286" s="1262"/>
      <c r="AX286" s="1258"/>
      <c r="AY286" s="1258"/>
      <c r="AZ286" s="1258"/>
    </row>
    <row r="287" spans="1:52" s="1257" customFormat="1" ht="21" customHeight="1">
      <c r="A287" s="1258"/>
      <c r="B287" s="1258"/>
      <c r="C287" s="1375"/>
      <c r="D287" s="1375"/>
      <c r="E287" s="1375"/>
      <c r="F287" s="1375"/>
      <c r="G287" s="1375"/>
      <c r="H287" s="1375"/>
      <c r="I287" s="1375"/>
      <c r="J287" s="1375"/>
      <c r="K287" s="1375"/>
      <c r="L287" s="1375"/>
      <c r="M287" s="1375"/>
      <c r="N287" s="1375"/>
      <c r="O287" s="1375"/>
      <c r="P287" s="1375"/>
      <c r="Q287" s="1375"/>
      <c r="R287" s="1375"/>
      <c r="S287" s="1375"/>
      <c r="T287" s="1375"/>
      <c r="U287" s="1375"/>
      <c r="V287" s="1375"/>
      <c r="W287" s="1375"/>
      <c r="X287" s="1375"/>
      <c r="Z287" s="1258"/>
      <c r="AA287" s="43"/>
      <c r="AB287" s="1261"/>
      <c r="AC287" s="1261"/>
      <c r="AD287" s="1262"/>
      <c r="AX287" s="1258"/>
      <c r="AY287" s="1258"/>
      <c r="AZ287" s="1258"/>
    </row>
    <row r="288" spans="1:52" s="1257" customFormat="1" ht="21" customHeight="1">
      <c r="A288" s="1258"/>
      <c r="B288" s="1258"/>
      <c r="C288" s="1375"/>
      <c r="D288" s="1375"/>
      <c r="E288" s="1375"/>
      <c r="F288" s="1375"/>
      <c r="G288" s="1375"/>
      <c r="H288" s="1375"/>
      <c r="I288" s="1375"/>
      <c r="J288" s="1375"/>
      <c r="K288" s="1375"/>
      <c r="L288" s="1375"/>
      <c r="M288" s="1375"/>
      <c r="N288" s="1375"/>
      <c r="O288" s="1375"/>
      <c r="P288" s="1375"/>
      <c r="Q288" s="1375"/>
      <c r="R288" s="1375"/>
      <c r="S288" s="1375"/>
      <c r="T288" s="1375"/>
      <c r="U288" s="1375"/>
      <c r="V288" s="1375"/>
      <c r="W288" s="1375"/>
      <c r="X288" s="1375"/>
      <c r="Z288" s="1258"/>
      <c r="AA288" s="43"/>
      <c r="AX288" s="1258"/>
      <c r="AY288" s="1258"/>
      <c r="AZ288" s="1258"/>
    </row>
    <row r="289" spans="1:52" s="1257" customFormat="1" ht="21" customHeight="1">
      <c r="A289" s="1258"/>
      <c r="B289" s="1258"/>
      <c r="C289" s="1375"/>
      <c r="D289" s="1375"/>
      <c r="E289" s="1375"/>
      <c r="F289" s="1375"/>
      <c r="G289" s="1375"/>
      <c r="H289" s="1375"/>
      <c r="I289" s="1375"/>
      <c r="J289" s="1375"/>
      <c r="K289" s="1375"/>
      <c r="L289" s="1375"/>
      <c r="M289" s="1375"/>
      <c r="N289" s="1375"/>
      <c r="O289" s="1375"/>
      <c r="P289" s="1375"/>
      <c r="Q289" s="1375"/>
      <c r="R289" s="1375"/>
      <c r="S289" s="1375"/>
      <c r="T289" s="1375"/>
      <c r="U289" s="1375"/>
      <c r="V289" s="1375"/>
      <c r="W289" s="1375"/>
      <c r="X289" s="1375"/>
      <c r="Z289" s="1258"/>
      <c r="AA289" s="43"/>
      <c r="AX289" s="1258"/>
      <c r="AY289" s="1258"/>
      <c r="AZ289" s="1258"/>
    </row>
    <row r="290" spans="1:52" s="1257" customFormat="1" ht="21" customHeight="1">
      <c r="A290" s="1258"/>
      <c r="B290" s="1258"/>
      <c r="C290" s="1375"/>
      <c r="D290" s="1375"/>
      <c r="E290" s="1375"/>
      <c r="F290" s="1375"/>
      <c r="G290" s="1375"/>
      <c r="H290" s="1375"/>
      <c r="I290" s="1375"/>
      <c r="J290" s="1375"/>
      <c r="K290" s="1375"/>
      <c r="L290" s="1375"/>
      <c r="M290" s="1375"/>
      <c r="N290" s="1375"/>
      <c r="O290" s="1375"/>
      <c r="P290" s="1375"/>
      <c r="Q290" s="1375"/>
      <c r="R290" s="1375"/>
      <c r="S290" s="1375"/>
      <c r="T290" s="1375"/>
      <c r="U290" s="1375"/>
      <c r="V290" s="1375"/>
      <c r="W290" s="1375"/>
      <c r="X290" s="1375"/>
      <c r="Z290" s="1258"/>
      <c r="AA290" s="43"/>
      <c r="AX290" s="1258"/>
      <c r="AY290" s="1258"/>
      <c r="AZ290" s="1258"/>
    </row>
    <row r="291" spans="1:52" s="1257" customFormat="1" ht="21" customHeight="1">
      <c r="A291" s="1258"/>
      <c r="B291" s="1258"/>
      <c r="C291" s="1375"/>
      <c r="D291" s="1375"/>
      <c r="E291" s="1375"/>
      <c r="F291" s="1375"/>
      <c r="G291" s="1375"/>
      <c r="H291" s="1375"/>
      <c r="I291" s="1375"/>
      <c r="J291" s="1375"/>
      <c r="K291" s="1375"/>
      <c r="L291" s="1375"/>
      <c r="M291" s="1375"/>
      <c r="N291" s="1375"/>
      <c r="O291" s="1375"/>
      <c r="P291" s="1375"/>
      <c r="Q291" s="1375"/>
      <c r="R291" s="1375"/>
      <c r="S291" s="1375"/>
      <c r="T291" s="1375"/>
      <c r="U291" s="1375"/>
      <c r="V291" s="1375"/>
      <c r="W291" s="1375"/>
      <c r="X291" s="1375"/>
      <c r="Z291" s="1258"/>
      <c r="AA291" s="43"/>
      <c r="AX291" s="1258"/>
      <c r="AY291" s="1258"/>
      <c r="AZ291" s="1258"/>
    </row>
    <row r="292" spans="1:52" s="1257" customFormat="1" ht="21" customHeight="1">
      <c r="A292" s="1258"/>
      <c r="B292" s="1258"/>
      <c r="C292" s="1375"/>
      <c r="D292" s="1375"/>
      <c r="E292" s="1375"/>
      <c r="F292" s="1375"/>
      <c r="G292" s="1375"/>
      <c r="H292" s="1375"/>
      <c r="I292" s="1375"/>
      <c r="J292" s="1375"/>
      <c r="K292" s="1375"/>
      <c r="L292" s="1375"/>
      <c r="M292" s="1375"/>
      <c r="N292" s="1375"/>
      <c r="O292" s="1375"/>
      <c r="P292" s="1375"/>
      <c r="Q292" s="1375"/>
      <c r="R292" s="1375"/>
      <c r="S292" s="1375"/>
      <c r="T292" s="1375"/>
      <c r="U292" s="1375"/>
      <c r="V292" s="1375"/>
      <c r="W292" s="1375"/>
      <c r="X292" s="1375"/>
      <c r="Z292" s="1258"/>
      <c r="AA292" s="43"/>
      <c r="AB292" s="1261"/>
      <c r="AC292" s="1261"/>
      <c r="AD292" s="1262"/>
      <c r="AX292" s="1258"/>
      <c r="AY292" s="1258"/>
      <c r="AZ292" s="1258"/>
    </row>
    <row r="293" spans="1:52" s="1257" customFormat="1" ht="21" customHeight="1">
      <c r="A293" s="1258"/>
      <c r="B293" s="1258"/>
      <c r="C293" s="1375"/>
      <c r="D293" s="1375"/>
      <c r="E293" s="1375"/>
      <c r="F293" s="1375"/>
      <c r="G293" s="1375"/>
      <c r="H293" s="1375"/>
      <c r="I293" s="1375"/>
      <c r="J293" s="1375"/>
      <c r="K293" s="1375"/>
      <c r="L293" s="1375"/>
      <c r="M293" s="1375"/>
      <c r="N293" s="1375"/>
      <c r="O293" s="1375"/>
      <c r="P293" s="1375"/>
      <c r="Q293" s="1375"/>
      <c r="R293" s="1375"/>
      <c r="S293" s="1375"/>
      <c r="T293" s="1375"/>
      <c r="U293" s="1375"/>
      <c r="V293" s="1375"/>
      <c r="W293" s="1375"/>
      <c r="X293" s="1375"/>
      <c r="Z293" s="1258"/>
      <c r="AA293" s="43"/>
      <c r="AB293" s="1261"/>
      <c r="AC293" s="1261"/>
      <c r="AD293" s="1262"/>
      <c r="AX293" s="1258"/>
      <c r="AY293" s="1258"/>
      <c r="AZ293" s="1258"/>
    </row>
    <row r="294" spans="1:52" s="1257" customFormat="1" ht="21" customHeight="1">
      <c r="A294" s="1258"/>
      <c r="B294" s="1258"/>
      <c r="C294" s="1375"/>
      <c r="D294" s="1375"/>
      <c r="E294" s="1375"/>
      <c r="F294" s="1375"/>
      <c r="G294" s="1375"/>
      <c r="H294" s="1375"/>
      <c r="I294" s="1375"/>
      <c r="J294" s="1375"/>
      <c r="K294" s="1375"/>
      <c r="L294" s="1375"/>
      <c r="M294" s="1375"/>
      <c r="N294" s="1375"/>
      <c r="O294" s="1375"/>
      <c r="P294" s="1375"/>
      <c r="Q294" s="1375"/>
      <c r="R294" s="1375"/>
      <c r="S294" s="1375"/>
      <c r="T294" s="1375"/>
      <c r="U294" s="1375"/>
      <c r="V294" s="1375"/>
      <c r="W294" s="1375"/>
      <c r="X294" s="1375"/>
      <c r="Z294" s="1258"/>
      <c r="AA294" s="43"/>
      <c r="AX294" s="1258"/>
      <c r="AY294" s="1258"/>
      <c r="AZ294" s="1258"/>
    </row>
    <row r="295" spans="1:52" s="1257" customFormat="1" ht="21" customHeight="1">
      <c r="A295" s="1258"/>
      <c r="B295" s="1258"/>
      <c r="C295" s="1375"/>
      <c r="D295" s="1375"/>
      <c r="E295" s="1375"/>
      <c r="F295" s="1375"/>
      <c r="G295" s="1375"/>
      <c r="H295" s="1375"/>
      <c r="I295" s="1375"/>
      <c r="J295" s="1375"/>
      <c r="K295" s="1375"/>
      <c r="L295" s="1375"/>
      <c r="M295" s="1375"/>
      <c r="N295" s="1375"/>
      <c r="O295" s="1375"/>
      <c r="P295" s="1375"/>
      <c r="Q295" s="1375"/>
      <c r="R295" s="1375"/>
      <c r="S295" s="1375"/>
      <c r="T295" s="1375"/>
      <c r="U295" s="1375"/>
      <c r="V295" s="1375"/>
      <c r="W295" s="1375"/>
      <c r="X295" s="1375"/>
      <c r="Z295" s="1258"/>
      <c r="AA295" s="43"/>
      <c r="AX295" s="1258"/>
      <c r="AY295" s="1258"/>
      <c r="AZ295" s="1258"/>
    </row>
    <row r="296" spans="1:52" s="1257" customFormat="1" ht="21" customHeight="1">
      <c r="A296" s="1258"/>
      <c r="B296" s="1258"/>
      <c r="C296" s="1375"/>
      <c r="D296" s="1375"/>
      <c r="E296" s="1375"/>
      <c r="F296" s="1375"/>
      <c r="G296" s="1375"/>
      <c r="H296" s="1375"/>
      <c r="I296" s="1375"/>
      <c r="J296" s="1375"/>
      <c r="K296" s="1375"/>
      <c r="L296" s="1375"/>
      <c r="M296" s="1375"/>
      <c r="N296" s="1375"/>
      <c r="O296" s="1375"/>
      <c r="P296" s="1375"/>
      <c r="Q296" s="1375"/>
      <c r="R296" s="1375"/>
      <c r="S296" s="1375"/>
      <c r="T296" s="1375"/>
      <c r="U296" s="1375"/>
      <c r="V296" s="1375"/>
      <c r="W296" s="1375"/>
      <c r="X296" s="1375"/>
      <c r="Z296" s="1258"/>
      <c r="AA296" s="43"/>
      <c r="AX296" s="1258"/>
      <c r="AY296" s="1258"/>
      <c r="AZ296" s="1258"/>
    </row>
    <row r="297" spans="1:52" s="1257" customFormat="1" ht="21" customHeight="1">
      <c r="A297" s="1258"/>
      <c r="B297" s="1258"/>
      <c r="C297" s="1375"/>
      <c r="D297" s="1375"/>
      <c r="E297" s="1375"/>
      <c r="F297" s="1375"/>
      <c r="G297" s="1375"/>
      <c r="H297" s="1375"/>
      <c r="I297" s="1375"/>
      <c r="J297" s="1375"/>
      <c r="K297" s="1375"/>
      <c r="L297" s="1375"/>
      <c r="M297" s="1375"/>
      <c r="N297" s="1375"/>
      <c r="O297" s="1375"/>
      <c r="P297" s="1375"/>
      <c r="Q297" s="1375"/>
      <c r="R297" s="1375"/>
      <c r="S297" s="1375"/>
      <c r="T297" s="1375"/>
      <c r="U297" s="1375"/>
      <c r="V297" s="1375"/>
      <c r="W297" s="1375"/>
      <c r="X297" s="1375"/>
      <c r="Z297" s="1258"/>
      <c r="AA297" s="43"/>
      <c r="AX297" s="1258"/>
      <c r="AY297" s="1258"/>
      <c r="AZ297" s="1258"/>
    </row>
    <row r="298" spans="1:52" s="1257" customFormat="1" ht="21" customHeight="1">
      <c r="A298" s="1258"/>
      <c r="B298" s="1258"/>
      <c r="C298" s="1375"/>
      <c r="D298" s="1375"/>
      <c r="E298" s="1375"/>
      <c r="F298" s="1375"/>
      <c r="G298" s="1375"/>
      <c r="H298" s="1375"/>
      <c r="I298" s="1375"/>
      <c r="J298" s="1375"/>
      <c r="K298" s="1375"/>
      <c r="L298" s="1375"/>
      <c r="M298" s="1375"/>
      <c r="N298" s="1375"/>
      <c r="O298" s="1375"/>
      <c r="P298" s="1375"/>
      <c r="Q298" s="1375"/>
      <c r="R298" s="1375"/>
      <c r="S298" s="1375"/>
      <c r="T298" s="1375"/>
      <c r="U298" s="1375"/>
      <c r="V298" s="1375"/>
      <c r="W298" s="1375"/>
      <c r="X298" s="1375"/>
      <c r="Z298" s="1258"/>
      <c r="AA298" s="43"/>
      <c r="AX298" s="1258"/>
      <c r="AY298" s="1258"/>
      <c r="AZ298" s="1258"/>
    </row>
    <row r="299" spans="1:52" s="1257" customFormat="1" ht="21" customHeight="1">
      <c r="A299" s="1258"/>
      <c r="B299" s="1258"/>
      <c r="C299" s="1375"/>
      <c r="D299" s="1375"/>
      <c r="E299" s="1375"/>
      <c r="F299" s="1375"/>
      <c r="G299" s="1375"/>
      <c r="H299" s="1375"/>
      <c r="I299" s="1375"/>
      <c r="J299" s="1375"/>
      <c r="K299" s="1375"/>
      <c r="L299" s="1375"/>
      <c r="M299" s="1375"/>
      <c r="N299" s="1375"/>
      <c r="O299" s="1375"/>
      <c r="P299" s="1375"/>
      <c r="Q299" s="1375"/>
      <c r="R299" s="1375"/>
      <c r="S299" s="1375"/>
      <c r="T299" s="1375"/>
      <c r="U299" s="1375"/>
      <c r="V299" s="1375"/>
      <c r="W299" s="1375"/>
      <c r="X299" s="1375"/>
      <c r="Z299" s="1258"/>
      <c r="AA299" s="43"/>
      <c r="AB299" s="1261"/>
      <c r="AC299" s="1261"/>
      <c r="AD299" s="1262"/>
      <c r="AX299" s="1258"/>
      <c r="AY299" s="1258"/>
      <c r="AZ299" s="1258"/>
    </row>
    <row r="300" spans="1:52" s="1257" customFormat="1" ht="21" customHeight="1">
      <c r="A300" s="1258"/>
      <c r="B300" s="1258"/>
      <c r="C300" s="1375"/>
      <c r="D300" s="1375"/>
      <c r="E300" s="1375"/>
      <c r="F300" s="1375"/>
      <c r="G300" s="1375"/>
      <c r="H300" s="1375"/>
      <c r="I300" s="1375"/>
      <c r="J300" s="1375"/>
      <c r="K300" s="1375"/>
      <c r="L300" s="1375"/>
      <c r="M300" s="1375"/>
      <c r="N300" s="1375"/>
      <c r="O300" s="1375"/>
      <c r="P300" s="1375"/>
      <c r="Q300" s="1375"/>
      <c r="R300" s="1375"/>
      <c r="S300" s="1375"/>
      <c r="T300" s="1375"/>
      <c r="U300" s="1375"/>
      <c r="V300" s="1375"/>
      <c r="W300" s="1375"/>
      <c r="X300" s="1375"/>
      <c r="Z300" s="1258"/>
      <c r="AA300" s="43"/>
      <c r="AB300" s="1261"/>
      <c r="AC300" s="1261"/>
      <c r="AD300" s="1262"/>
      <c r="AX300" s="1258"/>
      <c r="AY300" s="1258"/>
      <c r="AZ300" s="1258"/>
    </row>
    <row r="301" spans="1:52" s="1257" customFormat="1" ht="21" customHeight="1">
      <c r="A301" s="1258"/>
      <c r="B301" s="1258"/>
      <c r="C301" s="1375"/>
      <c r="D301" s="1375"/>
      <c r="E301" s="1375"/>
      <c r="F301" s="1375"/>
      <c r="G301" s="1375"/>
      <c r="H301" s="1375"/>
      <c r="I301" s="1375"/>
      <c r="J301" s="1375"/>
      <c r="K301" s="1375"/>
      <c r="L301" s="1375"/>
      <c r="M301" s="1375"/>
      <c r="N301" s="1375"/>
      <c r="O301" s="1375"/>
      <c r="P301" s="1375"/>
      <c r="Q301" s="1375"/>
      <c r="R301" s="1375"/>
      <c r="S301" s="1375"/>
      <c r="T301" s="1375"/>
      <c r="U301" s="1375"/>
      <c r="V301" s="1375"/>
      <c r="W301" s="1375"/>
      <c r="X301" s="1375"/>
      <c r="Z301" s="1258"/>
      <c r="AA301" s="43"/>
      <c r="AB301" s="1261"/>
      <c r="AC301" s="1261"/>
      <c r="AD301" s="1262"/>
      <c r="AX301" s="1258"/>
      <c r="AY301" s="1258"/>
      <c r="AZ301" s="1258"/>
    </row>
    <row r="302" spans="1:52" s="1257" customFormat="1" ht="21" customHeight="1">
      <c r="A302" s="1258"/>
      <c r="B302" s="1258"/>
      <c r="C302" s="1375"/>
      <c r="D302" s="1375"/>
      <c r="E302" s="1375"/>
      <c r="F302" s="1375"/>
      <c r="G302" s="1375"/>
      <c r="H302" s="1375"/>
      <c r="I302" s="1375"/>
      <c r="J302" s="1375"/>
      <c r="K302" s="1375"/>
      <c r="L302" s="1375"/>
      <c r="M302" s="1375"/>
      <c r="N302" s="1375"/>
      <c r="O302" s="1375"/>
      <c r="P302" s="1375"/>
      <c r="Q302" s="1375"/>
      <c r="R302" s="1375"/>
      <c r="S302" s="1375"/>
      <c r="T302" s="1375"/>
      <c r="U302" s="1375"/>
      <c r="V302" s="1375"/>
      <c r="W302" s="1375"/>
      <c r="X302" s="1375"/>
      <c r="Z302" s="1258"/>
      <c r="AA302" s="43"/>
      <c r="AB302" s="1376"/>
      <c r="AC302" s="1376"/>
      <c r="AD302" s="1377"/>
      <c r="AX302" s="1258"/>
      <c r="AY302" s="1258"/>
      <c r="AZ302" s="1258"/>
    </row>
    <row r="303" spans="1:52" s="1257" customFormat="1" ht="21" customHeight="1">
      <c r="A303" s="1258"/>
      <c r="B303" s="1258"/>
      <c r="C303" s="1375"/>
      <c r="D303" s="1375"/>
      <c r="E303" s="1375"/>
      <c r="F303" s="1375"/>
      <c r="G303" s="1375"/>
      <c r="H303" s="1375"/>
      <c r="I303" s="1375"/>
      <c r="J303" s="1375"/>
      <c r="K303" s="1375"/>
      <c r="L303" s="1375"/>
      <c r="M303" s="1375"/>
      <c r="N303" s="1375"/>
      <c r="O303" s="1375"/>
      <c r="P303" s="1375"/>
      <c r="Q303" s="1375"/>
      <c r="R303" s="1375"/>
      <c r="S303" s="1375"/>
      <c r="T303" s="1375"/>
      <c r="U303" s="1375"/>
      <c r="V303" s="1375"/>
      <c r="W303" s="1375"/>
      <c r="X303" s="1375"/>
      <c r="Z303" s="1258"/>
      <c r="AA303" s="43"/>
      <c r="AB303" s="1376"/>
      <c r="AC303" s="1376"/>
      <c r="AD303" s="1377"/>
      <c r="AX303" s="1258"/>
      <c r="AY303" s="1258"/>
      <c r="AZ303" s="1258"/>
    </row>
    <row r="304" spans="1:52" s="1257" customFormat="1" ht="21" customHeight="1">
      <c r="A304" s="1258"/>
      <c r="B304" s="1258"/>
      <c r="C304" s="1375"/>
      <c r="D304" s="1375"/>
      <c r="E304" s="1375"/>
      <c r="F304" s="1375"/>
      <c r="G304" s="1375"/>
      <c r="H304" s="1375"/>
      <c r="I304" s="1375"/>
      <c r="J304" s="1375"/>
      <c r="K304" s="1375"/>
      <c r="L304" s="1375"/>
      <c r="M304" s="1375"/>
      <c r="N304" s="1375"/>
      <c r="O304" s="1375"/>
      <c r="P304" s="1375"/>
      <c r="Q304" s="1375"/>
      <c r="R304" s="1375"/>
      <c r="S304" s="1375"/>
      <c r="T304" s="1375"/>
      <c r="U304" s="1375"/>
      <c r="V304" s="1375"/>
      <c r="W304" s="1375"/>
      <c r="X304" s="1375"/>
      <c r="Z304" s="1258"/>
      <c r="AA304" s="43"/>
      <c r="AB304" s="1376"/>
      <c r="AC304" s="1376"/>
      <c r="AD304" s="1377"/>
      <c r="AX304" s="1258"/>
      <c r="AY304" s="1258"/>
      <c r="AZ304" s="1258"/>
    </row>
    <row r="305" spans="1:60" s="1257" customFormat="1" ht="21" customHeight="1">
      <c r="A305" s="1258"/>
      <c r="B305" s="1258"/>
      <c r="C305" s="1375"/>
      <c r="D305" s="1375"/>
      <c r="E305" s="1375"/>
      <c r="F305" s="1375"/>
      <c r="G305" s="1375"/>
      <c r="H305" s="1375"/>
      <c r="I305" s="1375"/>
      <c r="J305" s="1375"/>
      <c r="K305" s="1375"/>
      <c r="L305" s="1375"/>
      <c r="M305" s="1375"/>
      <c r="N305" s="1375"/>
      <c r="O305" s="1375"/>
      <c r="P305" s="1375"/>
      <c r="Q305" s="1375"/>
      <c r="R305" s="1375"/>
      <c r="S305" s="1375"/>
      <c r="T305" s="1375"/>
      <c r="U305" s="1375"/>
      <c r="V305" s="1375"/>
      <c r="W305" s="1375"/>
      <c r="X305" s="1375"/>
      <c r="Z305" s="1258"/>
      <c r="AA305" s="43"/>
      <c r="AB305" s="1376"/>
      <c r="AC305" s="1376"/>
      <c r="AD305" s="1377"/>
      <c r="AX305" s="1258"/>
      <c r="AY305" s="1258"/>
      <c r="AZ305" s="1258"/>
    </row>
    <row r="306" spans="1:60" s="1257" customFormat="1" ht="21" customHeight="1">
      <c r="A306" s="1258"/>
      <c r="B306" s="1258"/>
      <c r="C306" s="1375"/>
      <c r="D306" s="1375"/>
      <c r="E306" s="1375"/>
      <c r="F306" s="1375"/>
      <c r="G306" s="1375"/>
      <c r="H306" s="1375"/>
      <c r="I306" s="1375"/>
      <c r="J306" s="1375"/>
      <c r="K306" s="1375"/>
      <c r="L306" s="1375"/>
      <c r="M306" s="1375"/>
      <c r="N306" s="1375"/>
      <c r="O306" s="1375"/>
      <c r="P306" s="1375"/>
      <c r="Q306" s="1375"/>
      <c r="R306" s="1375"/>
      <c r="S306" s="1375"/>
      <c r="T306" s="1375"/>
      <c r="U306" s="1375"/>
      <c r="V306" s="1375"/>
      <c r="W306" s="1375"/>
      <c r="X306" s="1375"/>
      <c r="Z306" s="1258"/>
      <c r="AA306" s="43"/>
      <c r="AB306" s="1376"/>
      <c r="AC306" s="1376"/>
      <c r="AD306" s="1377"/>
      <c r="AX306" s="1258"/>
      <c r="AY306" s="1258"/>
      <c r="AZ306" s="1258"/>
    </row>
    <row r="307" spans="1:60" s="1257" customFormat="1" ht="21" customHeight="1">
      <c r="A307" s="1258"/>
      <c r="B307" s="1258"/>
      <c r="C307" s="1375"/>
      <c r="D307" s="1375"/>
      <c r="E307" s="1375"/>
      <c r="F307" s="1375"/>
      <c r="G307" s="1375"/>
      <c r="H307" s="1375"/>
      <c r="I307" s="1375"/>
      <c r="J307" s="1375"/>
      <c r="K307" s="1375"/>
      <c r="L307" s="1375"/>
      <c r="M307" s="1375"/>
      <c r="N307" s="1375"/>
      <c r="O307" s="1375"/>
      <c r="P307" s="1375"/>
      <c r="Q307" s="1375"/>
      <c r="R307" s="1375"/>
      <c r="S307" s="1375"/>
      <c r="T307" s="1375"/>
      <c r="U307" s="1375"/>
      <c r="V307" s="1375"/>
      <c r="W307" s="1375"/>
      <c r="X307" s="1375"/>
      <c r="Z307" s="1258"/>
      <c r="AA307" s="43"/>
      <c r="AB307" s="1261"/>
      <c r="AC307" s="1261"/>
      <c r="AD307" s="1262"/>
      <c r="AX307" s="1258"/>
      <c r="AY307" s="1258"/>
      <c r="AZ307" s="1258"/>
    </row>
    <row r="308" spans="1:60" s="1257" customFormat="1" ht="21" customHeight="1">
      <c r="A308" s="1258"/>
      <c r="B308" s="1258"/>
      <c r="C308" s="1375"/>
      <c r="D308" s="1375"/>
      <c r="E308" s="1375"/>
      <c r="F308" s="1375"/>
      <c r="G308" s="1375"/>
      <c r="H308" s="1375"/>
      <c r="I308" s="1375"/>
      <c r="J308" s="1375"/>
      <c r="K308" s="1375"/>
      <c r="L308" s="1375"/>
      <c r="M308" s="1375"/>
      <c r="N308" s="1375"/>
      <c r="O308" s="1375"/>
      <c r="P308" s="1375"/>
      <c r="Q308" s="1375"/>
      <c r="R308" s="1375"/>
      <c r="S308" s="1375"/>
      <c r="T308" s="1375"/>
      <c r="U308" s="1375"/>
      <c r="V308" s="1375"/>
      <c r="W308" s="1375"/>
      <c r="X308" s="1375"/>
      <c r="Z308" s="1258"/>
      <c r="AA308" s="43"/>
      <c r="AX308" s="1258"/>
      <c r="AY308" s="1258"/>
      <c r="AZ308" s="1258"/>
    </row>
    <row r="309" spans="1:60" s="1257" customFormat="1" ht="21" customHeight="1">
      <c r="A309" s="1258"/>
      <c r="B309" s="1258"/>
      <c r="C309" s="1375"/>
      <c r="D309" s="1375"/>
      <c r="E309" s="1375"/>
      <c r="F309" s="1375"/>
      <c r="G309" s="1375"/>
      <c r="H309" s="1375"/>
      <c r="I309" s="1375"/>
      <c r="J309" s="1375"/>
      <c r="K309" s="1375"/>
      <c r="L309" s="1375"/>
      <c r="M309" s="1375"/>
      <c r="N309" s="1375"/>
      <c r="O309" s="1375"/>
      <c r="P309" s="1375"/>
      <c r="Q309" s="1375"/>
      <c r="R309" s="1375"/>
      <c r="S309" s="1375"/>
      <c r="T309" s="1375"/>
      <c r="U309" s="1375"/>
      <c r="V309" s="1375"/>
      <c r="W309" s="1375"/>
      <c r="X309" s="1375"/>
      <c r="Z309" s="1258"/>
      <c r="AA309" s="43"/>
      <c r="AX309" s="1258"/>
      <c r="AY309" s="1258"/>
      <c r="AZ309" s="1258"/>
    </row>
    <row r="310" spans="1:60" s="1257" customFormat="1" ht="21" customHeight="1">
      <c r="A310" s="1258"/>
      <c r="B310" s="1258"/>
      <c r="C310" s="1375"/>
      <c r="D310" s="1375"/>
      <c r="E310" s="1375"/>
      <c r="F310" s="1375"/>
      <c r="G310" s="1375"/>
      <c r="H310" s="1375"/>
      <c r="I310" s="1375"/>
      <c r="J310" s="1375"/>
      <c r="K310" s="1375"/>
      <c r="L310" s="1375"/>
      <c r="M310" s="1375"/>
      <c r="N310" s="1375"/>
      <c r="O310" s="1375"/>
      <c r="P310" s="1375"/>
      <c r="Q310" s="1375"/>
      <c r="R310" s="1375"/>
      <c r="S310" s="1375"/>
      <c r="T310" s="1375"/>
      <c r="U310" s="1375"/>
      <c r="V310" s="1375"/>
      <c r="W310" s="1375"/>
      <c r="X310" s="1375"/>
      <c r="Z310" s="1258"/>
      <c r="AA310" s="43"/>
      <c r="AX310" s="1258"/>
      <c r="AY310" s="1258"/>
      <c r="AZ310" s="1258"/>
      <c r="BH310" s="1258"/>
    </row>
    <row r="311" spans="1:60" s="1257" customFormat="1" ht="21" customHeight="1">
      <c r="A311" s="1258"/>
      <c r="B311" s="1258"/>
      <c r="C311" s="1375"/>
      <c r="D311" s="1375"/>
      <c r="E311" s="1375"/>
      <c r="F311" s="1375"/>
      <c r="G311" s="1375"/>
      <c r="H311" s="1375"/>
      <c r="I311" s="1375"/>
      <c r="J311" s="1375"/>
      <c r="K311" s="1375"/>
      <c r="L311" s="1375"/>
      <c r="M311" s="1375"/>
      <c r="N311" s="1375"/>
      <c r="O311" s="1375"/>
      <c r="P311" s="1375"/>
      <c r="Q311" s="1375"/>
      <c r="R311" s="1375"/>
      <c r="S311" s="1375"/>
      <c r="T311" s="1375"/>
      <c r="U311" s="1375"/>
      <c r="V311" s="1375"/>
      <c r="W311" s="1375"/>
      <c r="X311" s="1375"/>
      <c r="Z311" s="1258"/>
      <c r="AA311" s="43"/>
      <c r="AX311" s="1258"/>
      <c r="AY311" s="1258"/>
      <c r="AZ311" s="1258"/>
      <c r="BH311" s="1258"/>
    </row>
    <row r="312" spans="1:60" s="1257" customFormat="1" ht="21" customHeight="1">
      <c r="A312" s="1258"/>
      <c r="B312" s="1258"/>
      <c r="C312" s="1375"/>
      <c r="D312" s="1375"/>
      <c r="E312" s="1375"/>
      <c r="F312" s="1375"/>
      <c r="G312" s="1375"/>
      <c r="H312" s="1375"/>
      <c r="I312" s="1375"/>
      <c r="J312" s="1375"/>
      <c r="K312" s="1375"/>
      <c r="L312" s="1375"/>
      <c r="M312" s="1375"/>
      <c r="N312" s="1375"/>
      <c r="O312" s="1375"/>
      <c r="P312" s="1375"/>
      <c r="Q312" s="1375"/>
      <c r="R312" s="1375"/>
      <c r="S312" s="1375"/>
      <c r="T312" s="1375"/>
      <c r="U312" s="1375"/>
      <c r="V312" s="1375"/>
      <c r="W312" s="1375"/>
      <c r="X312" s="1375"/>
      <c r="Z312" s="1258"/>
      <c r="AA312" s="43"/>
      <c r="AB312" s="1261"/>
      <c r="AC312" s="1261"/>
      <c r="AD312" s="1262"/>
      <c r="AX312" s="1258"/>
      <c r="AY312" s="1258"/>
      <c r="AZ312" s="1258"/>
      <c r="BH312" s="1258"/>
    </row>
    <row r="313" spans="1:60" s="1257" customFormat="1" ht="21" customHeight="1">
      <c r="A313" s="1258"/>
      <c r="B313" s="1258"/>
      <c r="C313" s="1375"/>
      <c r="D313" s="1375"/>
      <c r="E313" s="1375"/>
      <c r="F313" s="1375"/>
      <c r="G313" s="1375"/>
      <c r="H313" s="1375"/>
      <c r="I313" s="1375"/>
      <c r="J313" s="1375"/>
      <c r="K313" s="1375"/>
      <c r="L313" s="1375"/>
      <c r="M313" s="1375"/>
      <c r="N313" s="1375"/>
      <c r="O313" s="1375"/>
      <c r="P313" s="1375"/>
      <c r="Q313" s="1375"/>
      <c r="R313" s="1375"/>
      <c r="S313" s="1375"/>
      <c r="T313" s="1375"/>
      <c r="U313" s="1375"/>
      <c r="V313" s="1375"/>
      <c r="W313" s="1375"/>
      <c r="X313" s="1375"/>
      <c r="Z313" s="1258"/>
      <c r="AA313" s="43"/>
      <c r="AB313" s="1261"/>
      <c r="AC313" s="1261"/>
      <c r="AD313" s="1262"/>
      <c r="AX313" s="1258"/>
      <c r="AY313" s="1258"/>
      <c r="AZ313" s="1258"/>
      <c r="BH313" s="1258"/>
    </row>
    <row r="314" spans="1:60" ht="21" customHeight="1">
      <c r="Z314" s="1258"/>
      <c r="AB314" s="1376"/>
      <c r="AC314" s="1376"/>
      <c r="AD314" s="1377"/>
    </row>
    <row r="315" spans="1:60" ht="21" customHeight="1">
      <c r="Z315" s="1258"/>
      <c r="AB315" s="1376"/>
      <c r="AC315" s="1376"/>
      <c r="AD315" s="1377"/>
    </row>
    <row r="316" spans="1:60" ht="21" customHeight="1">
      <c r="Z316" s="1258"/>
      <c r="AB316" s="1376"/>
      <c r="AC316" s="1376"/>
      <c r="AD316" s="1377"/>
    </row>
    <row r="317" spans="1:60" ht="21" customHeight="1">
      <c r="Z317" s="1258"/>
      <c r="AB317" s="1376"/>
      <c r="AC317" s="1376"/>
      <c r="AD317" s="1377"/>
    </row>
    <row r="318" spans="1:60" ht="21" customHeight="1">
      <c r="Z318" s="1258"/>
      <c r="AB318" s="1376"/>
      <c r="AC318" s="1376"/>
      <c r="AD318" s="1377"/>
    </row>
    <row r="319" spans="1:60" ht="21" customHeight="1">
      <c r="Y319" s="1258"/>
      <c r="Z319" s="1258"/>
    </row>
    <row r="320" spans="1:60" ht="21" customHeight="1">
      <c r="C320" s="1378"/>
      <c r="D320" s="1378"/>
      <c r="E320" s="1378"/>
      <c r="F320" s="1378"/>
      <c r="G320" s="1378"/>
      <c r="H320" s="1378"/>
      <c r="I320" s="1378"/>
      <c r="J320" s="1378"/>
      <c r="K320" s="1378"/>
      <c r="L320" s="1378"/>
      <c r="M320" s="1378"/>
      <c r="N320" s="1378"/>
      <c r="O320" s="1378"/>
      <c r="P320" s="1378"/>
      <c r="Q320" s="1378"/>
      <c r="R320" s="1378"/>
      <c r="S320" s="1378"/>
      <c r="T320" s="1378"/>
      <c r="U320" s="1378"/>
      <c r="V320" s="1378"/>
      <c r="W320" s="1378"/>
      <c r="X320" s="1378"/>
      <c r="Y320" s="1258"/>
      <c r="Z320" s="1258"/>
    </row>
    <row r="321" spans="26:26" ht="21" customHeight="1">
      <c r="Z321" s="1258"/>
    </row>
    <row r="322" spans="26:26" ht="21" customHeight="1">
      <c r="Z322" s="1258"/>
    </row>
    <row r="323" spans="26:26" ht="21" customHeight="1">
      <c r="Z323" s="1258"/>
    </row>
    <row r="324" spans="26:26" ht="21" customHeight="1">
      <c r="Z324" s="1258"/>
    </row>
    <row r="325" spans="26:26" ht="21" customHeight="1">
      <c r="Z325" s="1258"/>
    </row>
  </sheetData>
  <mergeCells count="216">
    <mergeCell ref="A153:A156"/>
    <mergeCell ref="Z153:Z156"/>
    <mergeCell ref="A157:A166"/>
    <mergeCell ref="B157:B159"/>
    <mergeCell ref="C157:C159"/>
    <mergeCell ref="I157:I159"/>
    <mergeCell ref="N157:N159"/>
    <mergeCell ref="S157:S159"/>
    <mergeCell ref="X157:X159"/>
    <mergeCell ref="Y157:Y159"/>
    <mergeCell ref="Z157:Z166"/>
    <mergeCell ref="Z145:Z148"/>
    <mergeCell ref="C91:C93"/>
    <mergeCell ref="I91:I93"/>
    <mergeCell ref="N91:N93"/>
    <mergeCell ref="S91:S93"/>
    <mergeCell ref="X91:X93"/>
    <mergeCell ref="C145:C147"/>
    <mergeCell ref="A86:A88"/>
    <mergeCell ref="Z86:Z88"/>
    <mergeCell ref="A89:A90"/>
    <mergeCell ref="Z89:Z90"/>
    <mergeCell ref="A125:A126"/>
    <mergeCell ref="Z125:Z126"/>
    <mergeCell ref="A99:A101"/>
    <mergeCell ref="Z99:Z101"/>
    <mergeCell ref="A143:A144"/>
    <mergeCell ref="Z143:Z144"/>
    <mergeCell ref="A145:A148"/>
    <mergeCell ref="B145:B147"/>
    <mergeCell ref="A109:A118"/>
    <mergeCell ref="Z109:Z118"/>
    <mergeCell ref="B112:B114"/>
    <mergeCell ref="C112:C114"/>
    <mergeCell ref="I112:I114"/>
    <mergeCell ref="BM40:BO40"/>
    <mergeCell ref="BP40:BR40"/>
    <mergeCell ref="BM41:BO41"/>
    <mergeCell ref="BP41:BR41"/>
    <mergeCell ref="BM42:BO42"/>
    <mergeCell ref="BP42:BR42"/>
    <mergeCell ref="BM43:BO43"/>
    <mergeCell ref="BP43:BR43"/>
    <mergeCell ref="BM45:BO45"/>
    <mergeCell ref="BP45:BR45"/>
    <mergeCell ref="BM44:BO44"/>
    <mergeCell ref="BP44:BR44"/>
    <mergeCell ref="Z40:Z43"/>
    <mergeCell ref="A40:A43"/>
    <mergeCell ref="C44:C46"/>
    <mergeCell ref="I44:I46"/>
    <mergeCell ref="B44:B46"/>
    <mergeCell ref="N44:N46"/>
    <mergeCell ref="S44:S46"/>
    <mergeCell ref="X44:X46"/>
    <mergeCell ref="N56:N58"/>
    <mergeCell ref="S56:S58"/>
    <mergeCell ref="X56:X58"/>
    <mergeCell ref="X53:X55"/>
    <mergeCell ref="I53:I55"/>
    <mergeCell ref="N53:N55"/>
    <mergeCell ref="S53:S55"/>
    <mergeCell ref="C47:C49"/>
    <mergeCell ref="I47:I49"/>
    <mergeCell ref="N47:N49"/>
    <mergeCell ref="S47:S49"/>
    <mergeCell ref="X47:X49"/>
    <mergeCell ref="N50:N52"/>
    <mergeCell ref="S50:S52"/>
    <mergeCell ref="X50:X52"/>
    <mergeCell ref="B53:B55"/>
    <mergeCell ref="A5:A11"/>
    <mergeCell ref="Z5:Z11"/>
    <mergeCell ref="A12:A33"/>
    <mergeCell ref="B12:B14"/>
    <mergeCell ref="Z12:Z33"/>
    <mergeCell ref="I12:I14"/>
    <mergeCell ref="N12:N14"/>
    <mergeCell ref="S12:S14"/>
    <mergeCell ref="X12:X14"/>
    <mergeCell ref="B15:B17"/>
    <mergeCell ref="I15:I17"/>
    <mergeCell ref="N15:N17"/>
    <mergeCell ref="S15:S17"/>
    <mergeCell ref="X15:X17"/>
    <mergeCell ref="B18:B20"/>
    <mergeCell ref="I18:I20"/>
    <mergeCell ref="N18:N20"/>
    <mergeCell ref="S18:S20"/>
    <mergeCell ref="X18:X20"/>
    <mergeCell ref="B24:B26"/>
    <mergeCell ref="I24:I26"/>
    <mergeCell ref="N24:N26"/>
    <mergeCell ref="S24:S26"/>
    <mergeCell ref="X24:X26"/>
    <mergeCell ref="B47:B49"/>
    <mergeCell ref="B50:B52"/>
    <mergeCell ref="C50:C52"/>
    <mergeCell ref="I50:I52"/>
    <mergeCell ref="C53:C55"/>
    <mergeCell ref="B56:B58"/>
    <mergeCell ref="C56:C58"/>
    <mergeCell ref="I56:I58"/>
    <mergeCell ref="Z102:Z108"/>
    <mergeCell ref="Z91:Z94"/>
    <mergeCell ref="B91:B93"/>
    <mergeCell ref="N112:N114"/>
    <mergeCell ref="S112:S114"/>
    <mergeCell ref="X112:X114"/>
    <mergeCell ref="B109:B111"/>
    <mergeCell ref="C109:C111"/>
    <mergeCell ref="I109:I111"/>
    <mergeCell ref="N109:N111"/>
    <mergeCell ref="S109:S111"/>
    <mergeCell ref="X109:X111"/>
    <mergeCell ref="A78:A81"/>
    <mergeCell ref="B78:B80"/>
    <mergeCell ref="C78:C80"/>
    <mergeCell ref="I78:I80"/>
    <mergeCell ref="A38:A39"/>
    <mergeCell ref="Z38:Z39"/>
    <mergeCell ref="A123:A124"/>
    <mergeCell ref="Z123:Z124"/>
    <mergeCell ref="A141:A142"/>
    <mergeCell ref="Z141:Z142"/>
    <mergeCell ref="N78:N80"/>
    <mergeCell ref="S78:S80"/>
    <mergeCell ref="X78:X80"/>
    <mergeCell ref="Y78:Y80"/>
    <mergeCell ref="Z78:Z81"/>
    <mergeCell ref="A44:A65"/>
    <mergeCell ref="Z44:Z64"/>
    <mergeCell ref="B59:B61"/>
    <mergeCell ref="B62:B64"/>
    <mergeCell ref="C59:C61"/>
    <mergeCell ref="I59:I61"/>
    <mergeCell ref="A91:A94"/>
    <mergeCell ref="Y91:Y93"/>
    <mergeCell ref="A102:A108"/>
    <mergeCell ref="A70:A73"/>
    <mergeCell ref="B70:B72"/>
    <mergeCell ref="C70:C72"/>
    <mergeCell ref="I70:I72"/>
    <mergeCell ref="N70:N72"/>
    <mergeCell ref="S70:S72"/>
    <mergeCell ref="X70:X72"/>
    <mergeCell ref="Y70:Y72"/>
    <mergeCell ref="Z70:Z73"/>
    <mergeCell ref="S115:S117"/>
    <mergeCell ref="X115:X117"/>
    <mergeCell ref="B163:B165"/>
    <mergeCell ref="C163:C165"/>
    <mergeCell ref="I163:I165"/>
    <mergeCell ref="N163:N165"/>
    <mergeCell ref="S163:S165"/>
    <mergeCell ref="X163:X165"/>
    <mergeCell ref="Y163:Y165"/>
    <mergeCell ref="B160:B162"/>
    <mergeCell ref="C160:C162"/>
    <mergeCell ref="I160:I162"/>
    <mergeCell ref="N160:N162"/>
    <mergeCell ref="S160:S162"/>
    <mergeCell ref="X160:X162"/>
    <mergeCell ref="Y160:Y162"/>
    <mergeCell ref="I145:I147"/>
    <mergeCell ref="N145:N147"/>
    <mergeCell ref="S145:S147"/>
    <mergeCell ref="X145:X147"/>
    <mergeCell ref="Y145:Y147"/>
    <mergeCell ref="Z127:Z136"/>
    <mergeCell ref="B130:B132"/>
    <mergeCell ref="C130:C132"/>
    <mergeCell ref="I130:I132"/>
    <mergeCell ref="N130:N132"/>
    <mergeCell ref="S130:S132"/>
    <mergeCell ref="X130:X132"/>
    <mergeCell ref="B133:B135"/>
    <mergeCell ref="C133:C135"/>
    <mergeCell ref="I133:I135"/>
    <mergeCell ref="N133:N135"/>
    <mergeCell ref="S133:S135"/>
    <mergeCell ref="X133:X135"/>
    <mergeCell ref="B21:B23"/>
    <mergeCell ref="I21:I23"/>
    <mergeCell ref="N21:N23"/>
    <mergeCell ref="S21:S23"/>
    <mergeCell ref="X21:X23"/>
    <mergeCell ref="A127:A136"/>
    <mergeCell ref="B127:B129"/>
    <mergeCell ref="C127:C129"/>
    <mergeCell ref="I127:I129"/>
    <mergeCell ref="N127:N129"/>
    <mergeCell ref="S127:S129"/>
    <mergeCell ref="X127:X129"/>
    <mergeCell ref="N59:N61"/>
    <mergeCell ref="S59:S61"/>
    <mergeCell ref="X59:X61"/>
    <mergeCell ref="C62:C64"/>
    <mergeCell ref="I62:I64"/>
    <mergeCell ref="N62:N64"/>
    <mergeCell ref="S62:S64"/>
    <mergeCell ref="X62:X64"/>
    <mergeCell ref="B115:B117"/>
    <mergeCell ref="C115:C117"/>
    <mergeCell ref="I115:I117"/>
    <mergeCell ref="N115:N117"/>
    <mergeCell ref="B27:B29"/>
    <mergeCell ref="I27:I29"/>
    <mergeCell ref="N27:N29"/>
    <mergeCell ref="S27:S29"/>
    <mergeCell ref="X27:X29"/>
    <mergeCell ref="B30:B32"/>
    <mergeCell ref="I30:I32"/>
    <mergeCell ref="N30:N32"/>
    <mergeCell ref="S30:S32"/>
    <mergeCell ref="X30:X32"/>
  </mergeCells>
  <phoneticPr fontId="3" type="noConversion"/>
  <printOptions horizontalCentered="1"/>
  <pageMargins left="0.59055118110236227" right="0.59055118110236227" top="0.78740157480314965" bottom="0.78740157480314965" header="0.39370078740157483" footer="0.39370078740157483"/>
  <pageSetup paperSize="9" scale="80" orientation="portrait" r:id="rId1"/>
  <headerFooter alignWithMargins="0"/>
  <rowBreaks count="4" manualBreakCount="4">
    <brk id="35" max="49" man="1"/>
    <brk id="75" max="49" man="1"/>
    <brk id="119" max="49" man="1"/>
    <brk id="150" max="49" man="1"/>
  </rowBreaks>
  <colBreaks count="1" manualBreakCount="1">
    <brk id="25" max="16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3"/>
  <sheetViews>
    <sheetView view="pageBreakPreview" topLeftCell="A16" zoomScaleNormal="100" zoomScaleSheetLayoutView="100" workbookViewId="0">
      <selection activeCell="M3" sqref="M3"/>
    </sheetView>
  </sheetViews>
  <sheetFormatPr defaultRowHeight="16.5" outlineLevelCol="1"/>
  <cols>
    <col min="1" max="1" width="9" style="599"/>
    <col min="2" max="2" width="8.5" style="599" customWidth="1"/>
    <col min="3" max="3" width="18.875" style="599" customWidth="1"/>
    <col min="4" max="4" width="9.25" style="599" customWidth="1"/>
    <col min="5" max="5" width="21" style="599" customWidth="1"/>
    <col min="6" max="6" width="32" style="599" customWidth="1"/>
    <col min="7" max="9" width="26.625" style="599" hidden="1" customWidth="1" outlineLevel="1"/>
    <col min="10" max="10" width="10.75" style="599" bestFit="1" customWidth="1" collapsed="1"/>
    <col min="11" max="11" width="10.75" style="599" bestFit="1" customWidth="1"/>
    <col min="12" max="16384" width="9" style="599"/>
  </cols>
  <sheetData>
    <row r="1" spans="1:26" s="40" customFormat="1" ht="18" customHeight="1" thickBot="1">
      <c r="A1" s="35" t="s">
        <v>1506</v>
      </c>
      <c r="B1" s="38"/>
      <c r="C1" s="36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6"/>
      <c r="R1" s="37"/>
      <c r="S1" s="37"/>
      <c r="T1" s="37"/>
      <c r="U1" s="37"/>
      <c r="V1" s="36"/>
      <c r="W1" s="36"/>
      <c r="X1" s="36"/>
      <c r="Y1" s="36"/>
      <c r="Z1" s="36"/>
    </row>
    <row r="2" spans="1:26" ht="30" customHeight="1">
      <c r="A2" s="2556" t="s">
        <v>1161</v>
      </c>
      <c r="B2" s="2546" t="s">
        <v>1162</v>
      </c>
      <c r="C2" s="2546"/>
      <c r="D2" s="2546"/>
      <c r="E2" s="2557"/>
      <c r="F2" s="2558" t="s">
        <v>1163</v>
      </c>
      <c r="G2" s="2552" t="s">
        <v>1164</v>
      </c>
      <c r="H2" s="2553"/>
      <c r="I2" s="2554"/>
    </row>
    <row r="3" spans="1:26" ht="30" customHeight="1" thickBot="1">
      <c r="A3" s="2542"/>
      <c r="B3" s="1962" t="s">
        <v>1165</v>
      </c>
      <c r="C3" s="1962" t="s">
        <v>1166</v>
      </c>
      <c r="D3" s="97" t="s">
        <v>1165</v>
      </c>
      <c r="E3" s="2196" t="s">
        <v>1167</v>
      </c>
      <c r="F3" s="2559"/>
      <c r="G3" s="2031" t="s">
        <v>1168</v>
      </c>
      <c r="H3" s="2032" t="s">
        <v>1169</v>
      </c>
      <c r="I3" s="2033" t="s">
        <v>1170</v>
      </c>
      <c r="J3" s="2034"/>
      <c r="K3" s="2034"/>
      <c r="L3" s="2034"/>
      <c r="M3" s="2034"/>
      <c r="N3" s="2034"/>
      <c r="O3" s="2034"/>
      <c r="P3" s="2034"/>
      <c r="Q3" s="2034"/>
      <c r="R3" s="2034"/>
      <c r="S3" s="2034"/>
      <c r="T3" s="2034"/>
      <c r="U3" s="2034"/>
      <c r="V3" s="2034"/>
      <c r="W3" s="2034"/>
      <c r="X3" s="2034"/>
      <c r="Y3" s="2035"/>
    </row>
    <row r="4" spans="1:26" ht="26.45" customHeight="1">
      <c r="A4" s="2542" t="s">
        <v>1171</v>
      </c>
      <c r="B4" s="2544"/>
      <c r="C4" s="2544"/>
      <c r="D4" s="2544"/>
      <c r="E4" s="2555"/>
      <c r="F4" s="957">
        <f t="shared" ref="F4:K4" si="0">+F5+F13+F42+F25+F32+F47+F50</f>
        <v>6394</v>
      </c>
      <c r="G4" s="958">
        <f t="shared" si="0"/>
        <v>12764</v>
      </c>
      <c r="H4" s="959">
        <f t="shared" si="0"/>
        <v>7370</v>
      </c>
      <c r="I4" s="960">
        <f t="shared" si="0"/>
        <v>5394</v>
      </c>
      <c r="J4" s="957">
        <f t="shared" si="0"/>
        <v>27788</v>
      </c>
      <c r="K4" s="957">
        <f t="shared" si="0"/>
        <v>16382</v>
      </c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133"/>
    </row>
    <row r="5" spans="1:26" ht="26.45" customHeight="1">
      <c r="A5" s="2551" t="s">
        <v>1172</v>
      </c>
      <c r="B5" s="2544" t="s">
        <v>1173</v>
      </c>
      <c r="C5" s="2544"/>
      <c r="D5" s="2544"/>
      <c r="E5" s="2555"/>
      <c r="F5" s="961">
        <f>SUM(F6:F12)</f>
        <v>167</v>
      </c>
      <c r="G5" s="962">
        <f t="shared" ref="G5:I5" si="1">SUM(G6:G11)</f>
        <v>4771</v>
      </c>
      <c r="H5" s="963">
        <f t="shared" si="1"/>
        <v>2707</v>
      </c>
      <c r="I5" s="964">
        <f t="shared" si="1"/>
        <v>2064</v>
      </c>
      <c r="J5" s="961">
        <f>SUM(J6:J12)</f>
        <v>733</v>
      </c>
      <c r="K5" s="961">
        <f>SUM(K6:K12)</f>
        <v>4311</v>
      </c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133"/>
    </row>
    <row r="6" spans="1:26" ht="26.45" customHeight="1">
      <c r="A6" s="2549"/>
      <c r="B6" s="965">
        <v>2017</v>
      </c>
      <c r="C6" s="982" t="s">
        <v>1174</v>
      </c>
      <c r="D6" s="983">
        <v>2019</v>
      </c>
      <c r="E6" s="2197" t="s">
        <v>1175</v>
      </c>
      <c r="F6" s="961">
        <v>167</v>
      </c>
      <c r="G6" s="966">
        <v>48</v>
      </c>
      <c r="H6" s="967">
        <f>+G6-I6</f>
        <v>0</v>
      </c>
      <c r="I6" s="968">
        <v>48</v>
      </c>
      <c r="J6" s="994">
        <v>125</v>
      </c>
      <c r="K6" s="994">
        <v>167</v>
      </c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133"/>
    </row>
    <row r="7" spans="1:26" ht="26.45" customHeight="1">
      <c r="A7" s="2549"/>
      <c r="B7" s="965">
        <v>2017</v>
      </c>
      <c r="C7" s="982" t="s">
        <v>1176</v>
      </c>
      <c r="D7" s="965">
        <v>2035</v>
      </c>
      <c r="E7" s="2198" t="s">
        <v>1586</v>
      </c>
      <c r="F7" s="961">
        <v>0</v>
      </c>
      <c r="G7" s="966">
        <v>1649</v>
      </c>
      <c r="H7" s="967">
        <f t="shared" ref="H7:H45" si="2">+G7-I7</f>
        <v>1084</v>
      </c>
      <c r="I7" s="968">
        <v>565</v>
      </c>
      <c r="J7" s="994">
        <v>46</v>
      </c>
      <c r="K7" s="994">
        <v>1191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133"/>
    </row>
    <row r="8" spans="1:26" ht="26.45" customHeight="1">
      <c r="A8" s="2549"/>
      <c r="B8" s="965">
        <v>2018</v>
      </c>
      <c r="C8" s="982" t="s">
        <v>1177</v>
      </c>
      <c r="D8" s="965">
        <v>2035</v>
      </c>
      <c r="E8" s="2198" t="s">
        <v>1587</v>
      </c>
      <c r="F8" s="961">
        <v>0</v>
      </c>
      <c r="G8" s="966">
        <v>1172</v>
      </c>
      <c r="H8" s="967">
        <f t="shared" si="2"/>
        <v>670</v>
      </c>
      <c r="I8" s="968">
        <v>502</v>
      </c>
      <c r="J8" s="994">
        <v>144</v>
      </c>
      <c r="K8" s="994">
        <v>1546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133"/>
    </row>
    <row r="9" spans="1:26" ht="26.45" customHeight="1">
      <c r="A9" s="2549"/>
      <c r="B9" s="965">
        <v>2017</v>
      </c>
      <c r="C9" s="982" t="s">
        <v>1178</v>
      </c>
      <c r="D9" s="965">
        <v>2035</v>
      </c>
      <c r="E9" s="2198" t="s">
        <v>1588</v>
      </c>
      <c r="F9" s="961">
        <v>0</v>
      </c>
      <c r="G9" s="966">
        <v>188</v>
      </c>
      <c r="H9" s="967">
        <f t="shared" si="2"/>
        <v>91</v>
      </c>
      <c r="I9" s="968">
        <v>97</v>
      </c>
      <c r="J9" s="994">
        <v>27</v>
      </c>
      <c r="K9" s="994">
        <v>99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133"/>
    </row>
    <row r="10" spans="1:26" ht="26.45" customHeight="1">
      <c r="A10" s="2549"/>
      <c r="B10" s="983">
        <v>2020</v>
      </c>
      <c r="C10" s="131" t="s">
        <v>1179</v>
      </c>
      <c r="D10" s="965">
        <v>2035</v>
      </c>
      <c r="E10" s="2198" t="s">
        <v>1589</v>
      </c>
      <c r="F10" s="961">
        <v>0</v>
      </c>
      <c r="G10" s="966">
        <v>1437</v>
      </c>
      <c r="H10" s="967">
        <f t="shared" si="2"/>
        <v>862</v>
      </c>
      <c r="I10" s="968">
        <v>575</v>
      </c>
      <c r="J10" s="994">
        <v>376</v>
      </c>
      <c r="K10" s="994">
        <v>225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133"/>
    </row>
    <row r="11" spans="1:26" ht="26.45" customHeight="1">
      <c r="A11" s="2549"/>
      <c r="B11" s="965">
        <v>2018</v>
      </c>
      <c r="C11" s="97" t="s">
        <v>1180</v>
      </c>
      <c r="D11" s="965">
        <v>2035</v>
      </c>
      <c r="E11" s="2198" t="s">
        <v>1590</v>
      </c>
      <c r="F11" s="961">
        <v>0</v>
      </c>
      <c r="G11" s="969">
        <v>277</v>
      </c>
      <c r="H11" s="970">
        <f t="shared" si="2"/>
        <v>0</v>
      </c>
      <c r="I11" s="971">
        <v>277</v>
      </c>
      <c r="J11" s="994">
        <v>15</v>
      </c>
      <c r="K11" s="994">
        <v>368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133"/>
    </row>
    <row r="12" spans="1:26" ht="26.45" customHeight="1">
      <c r="A12" s="2550"/>
      <c r="B12" s="965"/>
      <c r="C12" s="97"/>
      <c r="D12" s="965">
        <v>2035</v>
      </c>
      <c r="E12" s="2198" t="s">
        <v>1591</v>
      </c>
      <c r="F12" s="961">
        <v>0</v>
      </c>
      <c r="G12" s="958"/>
      <c r="H12" s="1112"/>
      <c r="I12" s="960"/>
      <c r="J12" s="994"/>
      <c r="K12" s="994">
        <v>715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133"/>
    </row>
    <row r="13" spans="1:26" ht="26.45" customHeight="1">
      <c r="A13" s="2551" t="s">
        <v>1181</v>
      </c>
      <c r="B13" s="2544" t="s">
        <v>1182</v>
      </c>
      <c r="C13" s="2544"/>
      <c r="D13" s="2544"/>
      <c r="E13" s="2555"/>
      <c r="F13" s="961">
        <f>SUM(F14:F24)</f>
        <v>3733</v>
      </c>
      <c r="G13" s="958">
        <f t="shared" ref="G13:I13" si="3">SUM(G14:G20)</f>
        <v>2001</v>
      </c>
      <c r="H13" s="972">
        <f t="shared" si="3"/>
        <v>1193</v>
      </c>
      <c r="I13" s="960">
        <f t="shared" si="3"/>
        <v>808</v>
      </c>
      <c r="J13" s="961">
        <f>SUM(J14:J24)</f>
        <v>4899</v>
      </c>
      <c r="K13" s="961">
        <f>SUM(K14:K24)</f>
        <v>5513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133"/>
    </row>
    <row r="14" spans="1:26" ht="26.45" customHeight="1">
      <c r="A14" s="2550"/>
      <c r="B14" s="965">
        <v>2017</v>
      </c>
      <c r="C14" s="97" t="s">
        <v>1183</v>
      </c>
      <c r="D14" s="965">
        <v>2018</v>
      </c>
      <c r="E14" s="2196" t="s">
        <v>1184</v>
      </c>
      <c r="F14" s="961">
        <v>56</v>
      </c>
      <c r="G14" s="2036">
        <v>8</v>
      </c>
      <c r="H14" s="2037">
        <f t="shared" si="2"/>
        <v>0</v>
      </c>
      <c r="I14" s="2038">
        <v>8</v>
      </c>
      <c r="J14" s="2039">
        <v>593</v>
      </c>
      <c r="K14" s="2039">
        <v>56</v>
      </c>
      <c r="L14" s="2040"/>
      <c r="M14" s="2040"/>
      <c r="N14" s="2040"/>
      <c r="O14" s="2040"/>
      <c r="P14" s="2040"/>
      <c r="Q14" s="2040"/>
      <c r="R14" s="2040"/>
      <c r="S14" s="2040"/>
      <c r="T14" s="2040"/>
      <c r="U14" s="2040"/>
      <c r="V14" s="2040"/>
      <c r="W14" s="2040"/>
      <c r="X14" s="2040"/>
      <c r="Y14" s="2041"/>
    </row>
    <row r="15" spans="1:26" ht="26.45" customHeight="1">
      <c r="A15" s="2549"/>
      <c r="B15" s="1991">
        <v>2020</v>
      </c>
      <c r="C15" s="1992" t="s">
        <v>1185</v>
      </c>
      <c r="D15" s="1993">
        <v>2018</v>
      </c>
      <c r="E15" s="2199" t="s">
        <v>1186</v>
      </c>
      <c r="F15" s="1994">
        <v>331</v>
      </c>
      <c r="G15" s="1995">
        <v>942</v>
      </c>
      <c r="H15" s="973">
        <f t="shared" si="2"/>
        <v>619</v>
      </c>
      <c r="I15" s="1996">
        <v>323</v>
      </c>
      <c r="J15" s="994">
        <v>2306</v>
      </c>
      <c r="K15" s="994">
        <v>331</v>
      </c>
    </row>
    <row r="16" spans="1:26" ht="26.45" customHeight="1">
      <c r="A16" s="2549"/>
      <c r="B16" s="2099">
        <v>2025</v>
      </c>
      <c r="C16" s="107" t="s">
        <v>1335</v>
      </c>
      <c r="D16" s="2099">
        <v>2019</v>
      </c>
      <c r="E16" s="2200" t="s">
        <v>1187</v>
      </c>
      <c r="F16" s="2100">
        <v>395</v>
      </c>
      <c r="G16" s="2101"/>
      <c r="H16" s="970"/>
      <c r="I16" s="2102"/>
      <c r="J16" s="994">
        <v>446</v>
      </c>
      <c r="K16" s="994">
        <v>395</v>
      </c>
    </row>
    <row r="17" spans="1:25" ht="26.45" customHeight="1">
      <c r="A17" s="2551"/>
      <c r="B17" s="965">
        <v>2035</v>
      </c>
      <c r="C17" s="97" t="s">
        <v>1592</v>
      </c>
      <c r="D17" s="965">
        <v>2018</v>
      </c>
      <c r="E17" s="2196" t="s">
        <v>1188</v>
      </c>
      <c r="F17" s="961">
        <v>297</v>
      </c>
      <c r="G17" s="962"/>
      <c r="H17" s="963"/>
      <c r="I17" s="964"/>
      <c r="J17" s="2141">
        <v>1554</v>
      </c>
      <c r="K17" s="2141">
        <v>297</v>
      </c>
      <c r="L17" s="2034"/>
      <c r="M17" s="2034"/>
      <c r="N17" s="2034"/>
      <c r="O17" s="2034"/>
      <c r="P17" s="2034"/>
      <c r="Q17" s="2034"/>
      <c r="R17" s="2034"/>
      <c r="S17" s="2034"/>
      <c r="T17" s="2034"/>
      <c r="U17" s="2034"/>
      <c r="V17" s="2034"/>
      <c r="W17" s="2034"/>
      <c r="X17" s="2034"/>
      <c r="Y17" s="2035"/>
    </row>
    <row r="18" spans="1:25" ht="26.45" customHeight="1">
      <c r="A18" s="2549"/>
      <c r="B18" s="965"/>
      <c r="C18" s="97"/>
      <c r="D18" s="983">
        <v>2020</v>
      </c>
      <c r="E18" s="2197" t="s">
        <v>1189</v>
      </c>
      <c r="F18" s="961">
        <v>0</v>
      </c>
      <c r="G18" s="966"/>
      <c r="H18" s="967"/>
      <c r="I18" s="968"/>
      <c r="J18" s="8"/>
      <c r="K18" s="994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133"/>
    </row>
    <row r="19" spans="1:25" ht="26.45" customHeight="1">
      <c r="A19" s="2549"/>
      <c r="B19" s="965"/>
      <c r="C19" s="97"/>
      <c r="D19" s="985">
        <v>2019</v>
      </c>
      <c r="E19" s="2201" t="s">
        <v>1190</v>
      </c>
      <c r="F19" s="961">
        <v>1023</v>
      </c>
      <c r="G19" s="966">
        <v>1005</v>
      </c>
      <c r="H19" s="967">
        <f t="shared" si="2"/>
        <v>574</v>
      </c>
      <c r="I19" s="968">
        <v>431</v>
      </c>
      <c r="J19" s="8"/>
      <c r="K19" s="994">
        <v>1023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133"/>
    </row>
    <row r="20" spans="1:25" ht="26.45" customHeight="1">
      <c r="A20" s="2549"/>
      <c r="B20" s="965"/>
      <c r="C20" s="97"/>
      <c r="D20" s="965">
        <v>2019</v>
      </c>
      <c r="E20" s="2198" t="s">
        <v>1191</v>
      </c>
      <c r="F20" s="961">
        <v>32</v>
      </c>
      <c r="G20" s="969">
        <v>46</v>
      </c>
      <c r="H20" s="970">
        <f t="shared" si="2"/>
        <v>0</v>
      </c>
      <c r="I20" s="971">
        <v>46</v>
      </c>
      <c r="J20" s="8"/>
      <c r="K20" s="994">
        <v>32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133"/>
    </row>
    <row r="21" spans="1:25" ht="26.45" customHeight="1">
      <c r="A21" s="2549"/>
      <c r="B21" s="965"/>
      <c r="C21" s="97"/>
      <c r="D21" s="965">
        <v>2018</v>
      </c>
      <c r="E21" s="2198" t="s">
        <v>1338</v>
      </c>
      <c r="F21" s="961">
        <v>26</v>
      </c>
      <c r="G21" s="958"/>
      <c r="H21" s="1112"/>
      <c r="I21" s="960"/>
      <c r="J21" s="8"/>
      <c r="K21" s="994">
        <v>26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133"/>
    </row>
    <row r="22" spans="1:25" ht="26.45" customHeight="1">
      <c r="A22" s="2549"/>
      <c r="B22" s="965"/>
      <c r="C22" s="97"/>
      <c r="D22" s="965">
        <v>2020</v>
      </c>
      <c r="E22" s="2198" t="s">
        <v>1339</v>
      </c>
      <c r="F22" s="961">
        <v>19</v>
      </c>
      <c r="G22" s="958"/>
      <c r="H22" s="1112"/>
      <c r="I22" s="960"/>
      <c r="J22" s="8"/>
      <c r="K22" s="994">
        <v>19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133"/>
    </row>
    <row r="23" spans="1:25" ht="26.45" customHeight="1">
      <c r="A23" s="2549"/>
      <c r="B23" s="965"/>
      <c r="C23" s="97"/>
      <c r="D23" s="965">
        <v>2035</v>
      </c>
      <c r="E23" s="2198" t="s">
        <v>1593</v>
      </c>
      <c r="F23" s="995">
        <f>ROUND(J17*M23,0)</f>
        <v>555</v>
      </c>
      <c r="G23" s="958"/>
      <c r="H23" s="1112"/>
      <c r="I23" s="960"/>
      <c r="J23" s="8"/>
      <c r="K23" s="994">
        <v>1191</v>
      </c>
      <c r="L23" s="2142">
        <f>K23+K24</f>
        <v>3334</v>
      </c>
      <c r="M23" s="8">
        <f>K23/L23</f>
        <v>0.35722855428914219</v>
      </c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133"/>
    </row>
    <row r="24" spans="1:25" ht="26.45" customHeight="1">
      <c r="A24" s="2550"/>
      <c r="B24" s="965"/>
      <c r="C24" s="97"/>
      <c r="D24" s="965">
        <v>2035</v>
      </c>
      <c r="E24" s="2198" t="s">
        <v>1594</v>
      </c>
      <c r="F24" s="995">
        <f>ROUND(J17*M24,0)</f>
        <v>999</v>
      </c>
      <c r="G24" s="958"/>
      <c r="H24" s="1112"/>
      <c r="I24" s="960"/>
      <c r="J24" s="8"/>
      <c r="K24" s="994">
        <v>2143</v>
      </c>
      <c r="L24" s="8"/>
      <c r="M24" s="8">
        <f>K24/L23</f>
        <v>0.64277144571085787</v>
      </c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133"/>
    </row>
    <row r="25" spans="1:25" ht="26.45" customHeight="1">
      <c r="A25" s="2551" t="s">
        <v>1192</v>
      </c>
      <c r="B25" s="2544" t="s">
        <v>1182</v>
      </c>
      <c r="C25" s="2544"/>
      <c r="D25" s="2544"/>
      <c r="E25" s="2555"/>
      <c r="F25" s="961">
        <f t="shared" ref="F25:K25" si="4">SUM(F26:F31)</f>
        <v>0</v>
      </c>
      <c r="G25" s="958">
        <f t="shared" si="4"/>
        <v>2001</v>
      </c>
      <c r="H25" s="972">
        <f t="shared" si="4"/>
        <v>1193</v>
      </c>
      <c r="I25" s="960">
        <f t="shared" si="4"/>
        <v>808</v>
      </c>
      <c r="J25" s="961">
        <f t="shared" si="4"/>
        <v>1732</v>
      </c>
      <c r="K25" s="961">
        <f t="shared" si="4"/>
        <v>325</v>
      </c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133"/>
    </row>
    <row r="26" spans="1:25" ht="26.45" customHeight="1">
      <c r="A26" s="2549"/>
      <c r="B26" s="965">
        <v>2017</v>
      </c>
      <c r="C26" s="97" t="s">
        <v>1193</v>
      </c>
      <c r="D26" s="965">
        <v>2018</v>
      </c>
      <c r="E26" s="2196" t="s">
        <v>1184</v>
      </c>
      <c r="F26" s="961">
        <v>0</v>
      </c>
      <c r="G26" s="962">
        <v>8</v>
      </c>
      <c r="H26" s="973">
        <f t="shared" ref="H26:H27" si="5">+G26-I26</f>
        <v>0</v>
      </c>
      <c r="I26" s="964">
        <v>8</v>
      </c>
      <c r="J26" s="994">
        <v>1732</v>
      </c>
      <c r="K26" s="994">
        <v>14</v>
      </c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133"/>
    </row>
    <row r="27" spans="1:25" ht="26.45" customHeight="1">
      <c r="A27" s="2549"/>
      <c r="B27" s="965"/>
      <c r="C27" s="97"/>
      <c r="D27" s="965">
        <v>2018</v>
      </c>
      <c r="E27" s="2196" t="s">
        <v>1186</v>
      </c>
      <c r="F27" s="961">
        <v>0</v>
      </c>
      <c r="G27" s="966">
        <v>942</v>
      </c>
      <c r="H27" s="967">
        <f t="shared" si="5"/>
        <v>619</v>
      </c>
      <c r="I27" s="968">
        <v>323</v>
      </c>
      <c r="J27" s="8"/>
      <c r="K27" s="994">
        <v>24</v>
      </c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133"/>
    </row>
    <row r="28" spans="1:25" ht="26.45" customHeight="1">
      <c r="A28" s="2550"/>
      <c r="B28" s="965"/>
      <c r="C28" s="97"/>
      <c r="D28" s="965">
        <v>2019</v>
      </c>
      <c r="E28" s="2196" t="s">
        <v>1194</v>
      </c>
      <c r="F28" s="961">
        <v>0</v>
      </c>
      <c r="G28" s="969"/>
      <c r="H28" s="2143"/>
      <c r="I28" s="971"/>
      <c r="J28" s="2040"/>
      <c r="K28" s="2039">
        <v>79</v>
      </c>
      <c r="L28" s="2040"/>
      <c r="M28" s="2040"/>
      <c r="N28" s="2040"/>
      <c r="O28" s="2040"/>
      <c r="P28" s="2040"/>
      <c r="Q28" s="2040"/>
      <c r="R28" s="2040"/>
      <c r="S28" s="2040"/>
      <c r="T28" s="2040"/>
      <c r="U28" s="2040"/>
      <c r="V28" s="2040"/>
      <c r="W28" s="2040"/>
      <c r="X28" s="2040"/>
      <c r="Y28" s="2041"/>
    </row>
    <row r="29" spans="1:25" ht="26.45" customHeight="1">
      <c r="A29" s="2549"/>
      <c r="B29" s="1993"/>
      <c r="C29" s="2129"/>
      <c r="D29" s="1993">
        <v>2020</v>
      </c>
      <c r="E29" s="2199" t="s">
        <v>1189</v>
      </c>
      <c r="F29" s="1994">
        <v>0</v>
      </c>
      <c r="G29" s="1995"/>
      <c r="H29" s="973"/>
      <c r="I29" s="1996"/>
      <c r="K29" s="994">
        <v>0</v>
      </c>
    </row>
    <row r="30" spans="1:25" ht="26.45" customHeight="1">
      <c r="A30" s="2549"/>
      <c r="B30" s="965"/>
      <c r="C30" s="97"/>
      <c r="D30" s="965">
        <v>2020</v>
      </c>
      <c r="E30" s="2196" t="s">
        <v>1190</v>
      </c>
      <c r="F30" s="961">
        <v>0</v>
      </c>
      <c r="G30" s="966">
        <v>1005</v>
      </c>
      <c r="H30" s="967">
        <f t="shared" ref="H30:H31" si="6">+G30-I30</f>
        <v>574</v>
      </c>
      <c r="I30" s="968">
        <v>431</v>
      </c>
      <c r="K30" s="994">
        <v>205</v>
      </c>
    </row>
    <row r="31" spans="1:25" ht="26.45" customHeight="1" thickBot="1">
      <c r="A31" s="2560"/>
      <c r="B31" s="978"/>
      <c r="C31" s="979"/>
      <c r="D31" s="978">
        <v>2019</v>
      </c>
      <c r="E31" s="2202" t="s">
        <v>1191</v>
      </c>
      <c r="F31" s="981">
        <v>0</v>
      </c>
      <c r="G31" s="969">
        <v>46</v>
      </c>
      <c r="H31" s="970">
        <f t="shared" si="6"/>
        <v>0</v>
      </c>
      <c r="I31" s="971">
        <v>46</v>
      </c>
      <c r="K31" s="994">
        <v>3</v>
      </c>
    </row>
    <row r="32" spans="1:25" ht="26.45" customHeight="1">
      <c r="A32" s="2548" t="s">
        <v>1195</v>
      </c>
      <c r="B32" s="2546" t="s">
        <v>1182</v>
      </c>
      <c r="C32" s="2546"/>
      <c r="D32" s="2546"/>
      <c r="E32" s="2547"/>
      <c r="F32" s="2203">
        <f>SUM(F33:F40)</f>
        <v>1258</v>
      </c>
      <c r="G32" s="961">
        <f t="shared" ref="G32:K32" si="7">SUM(G33:G40)</f>
        <v>1955</v>
      </c>
      <c r="H32" s="961">
        <f t="shared" si="7"/>
        <v>1193</v>
      </c>
      <c r="I32" s="961">
        <f t="shared" si="7"/>
        <v>762</v>
      </c>
      <c r="J32" s="961">
        <f t="shared" si="7"/>
        <v>13472</v>
      </c>
      <c r="K32" s="961">
        <f t="shared" si="7"/>
        <v>1258</v>
      </c>
    </row>
    <row r="33" spans="1:11" ht="26.45" customHeight="1">
      <c r="A33" s="2549"/>
      <c r="B33" s="983">
        <v>2019</v>
      </c>
      <c r="C33" s="131" t="s">
        <v>1196</v>
      </c>
      <c r="D33" s="986">
        <v>2018</v>
      </c>
      <c r="E33" s="988" t="s">
        <v>1184</v>
      </c>
      <c r="F33" s="995">
        <v>56</v>
      </c>
      <c r="G33" s="962">
        <v>8</v>
      </c>
      <c r="H33" s="973">
        <f t="shared" ref="H33:H34" si="8">+G33-I33</f>
        <v>0</v>
      </c>
      <c r="I33" s="964">
        <v>8</v>
      </c>
      <c r="J33" s="994">
        <v>237</v>
      </c>
      <c r="K33" s="994">
        <v>56</v>
      </c>
    </row>
    <row r="34" spans="1:11" ht="26.45" customHeight="1">
      <c r="A34" s="2549"/>
      <c r="B34" s="986">
        <v>2018</v>
      </c>
      <c r="C34" s="987" t="s">
        <v>1197</v>
      </c>
      <c r="D34" s="986">
        <v>2018</v>
      </c>
      <c r="E34" s="988" t="s">
        <v>1186</v>
      </c>
      <c r="F34" s="995">
        <v>95</v>
      </c>
      <c r="G34" s="966">
        <v>942</v>
      </c>
      <c r="H34" s="967">
        <f t="shared" si="8"/>
        <v>619</v>
      </c>
      <c r="I34" s="968">
        <v>323</v>
      </c>
      <c r="J34" s="994">
        <v>518</v>
      </c>
      <c r="K34" s="994">
        <v>95</v>
      </c>
    </row>
    <row r="35" spans="1:11" ht="26.45" customHeight="1">
      <c r="A35" s="2549"/>
      <c r="B35" s="989">
        <v>2020</v>
      </c>
      <c r="C35" s="990" t="s">
        <v>2266</v>
      </c>
      <c r="D35" s="983">
        <v>2019</v>
      </c>
      <c r="E35" s="984" t="s">
        <v>1194</v>
      </c>
      <c r="F35" s="995">
        <v>237</v>
      </c>
      <c r="G35" s="966"/>
      <c r="H35" s="967"/>
      <c r="I35" s="968"/>
      <c r="J35" s="994">
        <v>195</v>
      </c>
      <c r="K35" s="994">
        <v>237</v>
      </c>
    </row>
    <row r="36" spans="1:11" ht="26.45" customHeight="1">
      <c r="A36" s="2549"/>
      <c r="B36" s="983">
        <v>2019</v>
      </c>
      <c r="C36" s="131" t="s">
        <v>1198</v>
      </c>
      <c r="D36" s="989">
        <v>2020</v>
      </c>
      <c r="E36" s="991" t="s">
        <v>1189</v>
      </c>
      <c r="F36" s="995">
        <v>0</v>
      </c>
      <c r="G36" s="966"/>
      <c r="H36" s="967"/>
      <c r="I36" s="968"/>
      <c r="J36" s="994">
        <v>1497</v>
      </c>
      <c r="K36" s="994">
        <v>0</v>
      </c>
    </row>
    <row r="37" spans="1:11" ht="26.45" customHeight="1">
      <c r="A37" s="2549"/>
      <c r="B37" s="983">
        <v>2019</v>
      </c>
      <c r="C37" s="131" t="s">
        <v>1199</v>
      </c>
      <c r="D37" s="992">
        <v>2020</v>
      </c>
      <c r="E37" s="993" t="s">
        <v>1190</v>
      </c>
      <c r="F37" s="995">
        <v>614</v>
      </c>
      <c r="G37" s="966"/>
      <c r="H37" s="967"/>
      <c r="I37" s="968"/>
      <c r="J37" s="994">
        <v>1488</v>
      </c>
      <c r="K37" s="994">
        <v>614</v>
      </c>
    </row>
    <row r="38" spans="1:11" ht="26.45" customHeight="1">
      <c r="A38" s="2549"/>
      <c r="B38" s="965">
        <v>2025</v>
      </c>
      <c r="C38" s="97" t="s">
        <v>1200</v>
      </c>
      <c r="D38" s="983">
        <v>2019</v>
      </c>
      <c r="E38" s="984" t="s">
        <v>1191</v>
      </c>
      <c r="F38" s="995">
        <v>16</v>
      </c>
      <c r="G38" s="966">
        <v>1005</v>
      </c>
      <c r="H38" s="967">
        <f t="shared" ref="H38" si="9">+G38-I38</f>
        <v>574</v>
      </c>
      <c r="I38" s="968">
        <v>431</v>
      </c>
      <c r="J38" s="994">
        <v>822</v>
      </c>
      <c r="K38" s="994">
        <v>16</v>
      </c>
    </row>
    <row r="39" spans="1:11" ht="26.45" customHeight="1">
      <c r="A39" s="2549"/>
      <c r="B39" s="965">
        <v>2020</v>
      </c>
      <c r="C39" s="97" t="s">
        <v>1595</v>
      </c>
      <c r="D39" s="986">
        <v>2018</v>
      </c>
      <c r="E39" s="988" t="s">
        <v>1340</v>
      </c>
      <c r="F39" s="995">
        <v>102</v>
      </c>
      <c r="G39" s="958"/>
      <c r="H39" s="1112"/>
      <c r="I39" s="960"/>
      <c r="J39" s="994">
        <v>3346</v>
      </c>
      <c r="K39" s="994">
        <v>102</v>
      </c>
    </row>
    <row r="40" spans="1:11" ht="26.45" customHeight="1">
      <c r="A40" s="2549"/>
      <c r="B40" s="965">
        <v>2035</v>
      </c>
      <c r="C40" s="97" t="s">
        <v>1596</v>
      </c>
      <c r="D40" s="983">
        <v>2035</v>
      </c>
      <c r="E40" s="984" t="s">
        <v>1597</v>
      </c>
      <c r="F40" s="995">
        <v>138</v>
      </c>
      <c r="G40" s="958"/>
      <c r="H40" s="1112"/>
      <c r="I40" s="960"/>
      <c r="J40" s="994">
        <v>5369</v>
      </c>
      <c r="K40" s="994">
        <v>138</v>
      </c>
    </row>
    <row r="41" spans="1:11" ht="26.45" customHeight="1">
      <c r="A41" s="2550"/>
      <c r="B41" s="965"/>
      <c r="C41" s="97"/>
      <c r="D41" s="986"/>
      <c r="E41" s="988"/>
      <c r="F41" s="995"/>
      <c r="G41" s="958"/>
      <c r="H41" s="1112"/>
      <c r="I41" s="960"/>
      <c r="J41" s="994"/>
      <c r="K41" s="994"/>
    </row>
    <row r="42" spans="1:11" ht="26.45" customHeight="1">
      <c r="A42" s="2542" t="s">
        <v>1201</v>
      </c>
      <c r="B42" s="2544" t="s">
        <v>1182</v>
      </c>
      <c r="C42" s="2544"/>
      <c r="D42" s="2544"/>
      <c r="E42" s="2545"/>
      <c r="F42" s="961">
        <f>SUM(F43:F46)</f>
        <v>809</v>
      </c>
      <c r="G42" s="958">
        <f t="shared" ref="G42:K42" si="10">SUM(G43:G46)</f>
        <v>1078</v>
      </c>
      <c r="H42" s="972">
        <f t="shared" si="10"/>
        <v>465</v>
      </c>
      <c r="I42" s="960">
        <f t="shared" si="10"/>
        <v>613</v>
      </c>
      <c r="J42" s="961">
        <f t="shared" si="10"/>
        <v>3645</v>
      </c>
      <c r="K42" s="961">
        <f t="shared" si="10"/>
        <v>809</v>
      </c>
    </row>
    <row r="43" spans="1:11" ht="26.45" customHeight="1">
      <c r="A43" s="2542"/>
      <c r="B43" s="965">
        <v>2025</v>
      </c>
      <c r="C43" s="1026" t="s">
        <v>1202</v>
      </c>
      <c r="D43" s="965">
        <v>2035</v>
      </c>
      <c r="E43" s="1976" t="s">
        <v>1598</v>
      </c>
      <c r="F43" s="961">
        <v>319</v>
      </c>
      <c r="G43" s="962">
        <v>48</v>
      </c>
      <c r="H43" s="973">
        <f t="shared" si="2"/>
        <v>0</v>
      </c>
      <c r="I43" s="964">
        <v>48</v>
      </c>
      <c r="J43" s="994">
        <v>537</v>
      </c>
      <c r="K43" s="994">
        <v>319</v>
      </c>
    </row>
    <row r="44" spans="1:11" ht="26.45" customHeight="1">
      <c r="A44" s="2542"/>
      <c r="B44" s="965">
        <v>2035</v>
      </c>
      <c r="C44" s="97" t="s">
        <v>1605</v>
      </c>
      <c r="D44" s="965">
        <v>2035</v>
      </c>
      <c r="E44" s="1976" t="s">
        <v>1599</v>
      </c>
      <c r="F44" s="961">
        <v>280</v>
      </c>
      <c r="G44" s="966">
        <v>707</v>
      </c>
      <c r="H44" s="967">
        <f t="shared" si="2"/>
        <v>465</v>
      </c>
      <c r="I44" s="968">
        <v>242</v>
      </c>
      <c r="J44" s="994">
        <v>3108</v>
      </c>
      <c r="K44" s="994">
        <v>280</v>
      </c>
    </row>
    <row r="45" spans="1:11" ht="26.45" customHeight="1">
      <c r="A45" s="2542"/>
      <c r="B45" s="1975"/>
      <c r="C45" s="97"/>
      <c r="D45" s="965">
        <v>2035</v>
      </c>
      <c r="E45" s="1976" t="s">
        <v>1600</v>
      </c>
      <c r="F45" s="961">
        <v>210</v>
      </c>
      <c r="G45" s="966">
        <v>323</v>
      </c>
      <c r="H45" s="967">
        <f t="shared" si="2"/>
        <v>0</v>
      </c>
      <c r="I45" s="968">
        <v>323</v>
      </c>
      <c r="K45" s="994">
        <v>210</v>
      </c>
    </row>
    <row r="46" spans="1:11" ht="26.45" customHeight="1" thickBot="1">
      <c r="A46" s="2542"/>
      <c r="B46" s="1975"/>
      <c r="C46" s="97"/>
      <c r="D46" s="1975"/>
      <c r="E46" s="974"/>
      <c r="F46" s="961"/>
      <c r="G46" s="975"/>
      <c r="H46" s="976"/>
      <c r="I46" s="977"/>
    </row>
    <row r="47" spans="1:11" ht="26.45" customHeight="1">
      <c r="A47" s="2551" t="s">
        <v>1203</v>
      </c>
      <c r="B47" s="2544" t="s">
        <v>1182</v>
      </c>
      <c r="C47" s="2544"/>
      <c r="D47" s="2544"/>
      <c r="E47" s="2545"/>
      <c r="F47" s="961">
        <f>SUM(F48:F49)</f>
        <v>83</v>
      </c>
      <c r="G47" s="958">
        <f>SUM(G48:G48)</f>
        <v>8</v>
      </c>
      <c r="H47" s="972">
        <f>SUM(H48:H48)</f>
        <v>0</v>
      </c>
      <c r="I47" s="960">
        <f>SUM(I48:I48)</f>
        <v>8</v>
      </c>
      <c r="J47" s="961">
        <f t="shared" ref="J47:K47" si="11">SUM(J48:J49)</f>
        <v>2414</v>
      </c>
      <c r="K47" s="961">
        <f t="shared" si="11"/>
        <v>450</v>
      </c>
    </row>
    <row r="48" spans="1:11" ht="26.45" customHeight="1">
      <c r="A48" s="2549"/>
      <c r="B48" s="965">
        <v>2019</v>
      </c>
      <c r="C48" s="97" t="s">
        <v>1204</v>
      </c>
      <c r="D48" s="965">
        <v>2018</v>
      </c>
      <c r="E48" s="1976" t="s">
        <v>1188</v>
      </c>
      <c r="F48" s="961">
        <v>83</v>
      </c>
      <c r="G48" s="962">
        <v>8</v>
      </c>
      <c r="H48" s="973">
        <f t="shared" ref="H48" si="12">+G48-I48</f>
        <v>0</v>
      </c>
      <c r="I48" s="964">
        <v>8</v>
      </c>
      <c r="J48" s="994">
        <v>83</v>
      </c>
      <c r="K48" s="994">
        <v>445</v>
      </c>
    </row>
    <row r="49" spans="1:11" ht="26.45" customHeight="1">
      <c r="A49" s="2550"/>
      <c r="B49" s="965">
        <v>2035</v>
      </c>
      <c r="C49" s="97" t="s">
        <v>1604</v>
      </c>
      <c r="D49" s="965">
        <v>2020</v>
      </c>
      <c r="E49" s="1976" t="s">
        <v>1601</v>
      </c>
      <c r="F49" s="961">
        <v>0</v>
      </c>
      <c r="G49" s="958"/>
      <c r="H49" s="1112"/>
      <c r="I49" s="960"/>
      <c r="J49" s="994">
        <v>2331</v>
      </c>
      <c r="K49" s="994">
        <v>5</v>
      </c>
    </row>
    <row r="50" spans="1:11" ht="26.45" customHeight="1">
      <c r="A50" s="2542" t="s">
        <v>1205</v>
      </c>
      <c r="B50" s="2544" t="s">
        <v>1182</v>
      </c>
      <c r="C50" s="2544"/>
      <c r="D50" s="2544"/>
      <c r="E50" s="2545"/>
      <c r="F50" s="961">
        <f t="shared" ref="F50:K50" si="13">SUM(F51:F53)</f>
        <v>344</v>
      </c>
      <c r="G50" s="958">
        <f t="shared" si="13"/>
        <v>950</v>
      </c>
      <c r="H50" s="972">
        <f t="shared" si="13"/>
        <v>619</v>
      </c>
      <c r="I50" s="960">
        <f t="shared" si="13"/>
        <v>331</v>
      </c>
      <c r="J50" s="961">
        <f t="shared" si="13"/>
        <v>893</v>
      </c>
      <c r="K50" s="961">
        <f t="shared" si="13"/>
        <v>3716</v>
      </c>
    </row>
    <row r="51" spans="1:11" ht="26.45" customHeight="1">
      <c r="A51" s="2542"/>
      <c r="B51" s="965">
        <v>2018</v>
      </c>
      <c r="C51" s="97" t="s">
        <v>1206</v>
      </c>
      <c r="D51" s="965">
        <v>2021</v>
      </c>
      <c r="E51" s="1976" t="s">
        <v>1207</v>
      </c>
      <c r="F51" s="961">
        <v>344</v>
      </c>
      <c r="G51" s="962">
        <v>8</v>
      </c>
      <c r="H51" s="973">
        <f t="shared" ref="H51:H52" si="14">+G51-I51</f>
        <v>0</v>
      </c>
      <c r="I51" s="964">
        <v>8</v>
      </c>
      <c r="J51" s="994">
        <v>231</v>
      </c>
      <c r="K51" s="994">
        <v>1012</v>
      </c>
    </row>
    <row r="52" spans="1:11" ht="26.45" customHeight="1">
      <c r="A52" s="2542"/>
      <c r="B52" s="965">
        <v>2018</v>
      </c>
      <c r="C52" s="97" t="s">
        <v>1208</v>
      </c>
      <c r="D52" s="965">
        <v>2035</v>
      </c>
      <c r="E52" s="1976" t="s">
        <v>1602</v>
      </c>
      <c r="F52" s="961">
        <v>0</v>
      </c>
      <c r="G52" s="966">
        <v>942</v>
      </c>
      <c r="H52" s="967">
        <f t="shared" si="14"/>
        <v>619</v>
      </c>
      <c r="I52" s="968">
        <v>323</v>
      </c>
      <c r="J52" s="994">
        <v>113</v>
      </c>
      <c r="K52" s="994">
        <v>2228</v>
      </c>
    </row>
    <row r="53" spans="1:11" ht="26.45" customHeight="1" thickBot="1">
      <c r="A53" s="2543"/>
      <c r="B53" s="978">
        <v>2025</v>
      </c>
      <c r="C53" s="979" t="s">
        <v>1209</v>
      </c>
      <c r="D53" s="978">
        <v>2035</v>
      </c>
      <c r="E53" s="980" t="s">
        <v>1603</v>
      </c>
      <c r="F53" s="981">
        <v>0</v>
      </c>
      <c r="G53" s="966"/>
      <c r="H53" s="967"/>
      <c r="I53" s="968"/>
      <c r="J53" s="994">
        <v>549</v>
      </c>
      <c r="K53" s="994">
        <v>476</v>
      </c>
    </row>
  </sheetData>
  <mergeCells count="19">
    <mergeCell ref="G2:I2"/>
    <mergeCell ref="A4:E4"/>
    <mergeCell ref="B13:E13"/>
    <mergeCell ref="B25:E25"/>
    <mergeCell ref="B5:E5"/>
    <mergeCell ref="A2:A3"/>
    <mergeCell ref="B2:E2"/>
    <mergeCell ref="F2:F3"/>
    <mergeCell ref="A25:A31"/>
    <mergeCell ref="A5:A12"/>
    <mergeCell ref="A13:A24"/>
    <mergeCell ref="A50:A53"/>
    <mergeCell ref="B50:E50"/>
    <mergeCell ref="B32:E32"/>
    <mergeCell ref="A42:A46"/>
    <mergeCell ref="B42:E42"/>
    <mergeCell ref="B47:E47"/>
    <mergeCell ref="A32:A41"/>
    <mergeCell ref="A47:A49"/>
  </mergeCells>
  <phoneticPr fontId="3" type="noConversion"/>
  <pageMargins left="0.70866141732283472" right="0.70866141732283472" top="0.74803149606299213" bottom="0.74803149606299213" header="0.31496062992125984" footer="0.31496062992125984"/>
  <pageSetup paperSize="9" scale="81" orientation="portrait" r:id="rId1"/>
  <rowBreaks count="1" manualBreakCount="1">
    <brk id="31" max="7" man="1"/>
  </rowBreaks>
  <colBreaks count="1" manualBreakCount="1">
    <brk id="6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AO202"/>
  <sheetViews>
    <sheetView view="pageBreakPreview" zoomScaleNormal="100" zoomScaleSheetLayoutView="100" workbookViewId="0">
      <pane xSplit="2" ySplit="3" topLeftCell="C91" activePane="bottomRight" state="frozen"/>
      <selection pane="topRight" activeCell="C1" sqref="C1"/>
      <selection pane="bottomLeft" activeCell="A4" sqref="A4"/>
      <selection pane="bottomRight" activeCell="J102" sqref="J102"/>
    </sheetView>
  </sheetViews>
  <sheetFormatPr defaultColWidth="10.5" defaultRowHeight="18.95" customHeight="1" outlineLevelCol="1"/>
  <cols>
    <col min="1" max="1" width="8" style="38" customWidth="1"/>
    <col min="2" max="2" width="10.125" style="38" customWidth="1"/>
    <col min="3" max="3" width="18.625" style="38" customWidth="1"/>
    <col min="4" max="5" width="10.625" style="38" hidden="1" customWidth="1" outlineLevel="1"/>
    <col min="6" max="6" width="10.625" style="38" customWidth="1" collapsed="1"/>
    <col min="7" max="9" width="10.625" style="38" hidden="1" customWidth="1" outlineLevel="1"/>
    <col min="10" max="10" width="10.625" style="38" customWidth="1" collapsed="1"/>
    <col min="11" max="14" width="10.625" style="38" hidden="1" customWidth="1" outlineLevel="1"/>
    <col min="15" max="15" width="10.625" style="38" customWidth="1" collapsed="1"/>
    <col min="16" max="19" width="10.625" style="38" hidden="1" customWidth="1" outlineLevel="1"/>
    <col min="20" max="20" width="10.625" style="38" customWidth="1" collapsed="1"/>
    <col min="21" max="24" width="10.625" style="38" hidden="1" customWidth="1" outlineLevel="1"/>
    <col min="25" max="25" width="10.625" style="38" customWidth="1" collapsed="1"/>
    <col min="26" max="26" width="8.25" style="38" customWidth="1"/>
    <col min="27" max="29" width="11.875" style="38" customWidth="1"/>
    <col min="30" max="16384" width="10.5" style="38"/>
  </cols>
  <sheetData>
    <row r="1" spans="1:41" s="40" customFormat="1" ht="18" customHeight="1">
      <c r="A1" s="35" t="s">
        <v>175</v>
      </c>
      <c r="B1" s="38"/>
      <c r="C1" s="36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6"/>
      <c r="R1" s="37"/>
      <c r="S1" s="37"/>
      <c r="T1" s="37"/>
      <c r="U1" s="37"/>
      <c r="V1" s="36"/>
      <c r="W1" s="36"/>
      <c r="X1" s="36"/>
      <c r="Y1" s="36"/>
      <c r="Z1" s="36"/>
    </row>
    <row r="2" spans="1:41" s="40" customFormat="1" ht="18" customHeight="1">
      <c r="A2" s="38"/>
      <c r="B2" s="38"/>
      <c r="C2" s="38"/>
      <c r="D2" s="41"/>
      <c r="E2" s="41" t="e">
        <f>SUM(#REF!,#REF!,#REF!,'사회적유입인구의 처리구역별 배분(적용)'!#REF!,'사회적유입인구의 처리구역별 배분(적용)'!#REF!,#REF!,#REF!,#REF!)</f>
        <v>#REF!</v>
      </c>
      <c r="F2" s="41" t="e">
        <f>SUM(#REF!,#REF!,#REF!,'사회적유입인구의 처리구역별 배분(적용)'!#REF!,'사회적유입인구의 처리구역별 배분(적용)'!#REF!,#REF!,#REF!,#REF!)</f>
        <v>#REF!</v>
      </c>
      <c r="G2" s="41" t="e">
        <f>SUM(#REF!,#REF!,#REF!,'사회적유입인구의 처리구역별 배분(적용)'!#REF!,'사회적유입인구의 처리구역별 배분(적용)'!#REF!,#REF!,#REF!,#REF!)</f>
        <v>#REF!</v>
      </c>
      <c r="H2" s="41" t="e">
        <f>SUM(#REF!,#REF!,#REF!,'사회적유입인구의 처리구역별 배분(적용)'!#REF!,'사회적유입인구의 처리구역별 배분(적용)'!#REF!,#REF!,#REF!,#REF!)</f>
        <v>#REF!</v>
      </c>
      <c r="I2" s="41" t="e">
        <f>SUM(#REF!,#REF!,#REF!,'사회적유입인구의 처리구역별 배분(적용)'!#REF!,'사회적유입인구의 처리구역별 배분(적용)'!#REF!,#REF!,#REF!,#REF!)</f>
        <v>#REF!</v>
      </c>
      <c r="J2" s="41" t="e">
        <f>SUM(#REF!,#REF!,#REF!,'사회적유입인구의 처리구역별 배분(적용)'!#REF!,'사회적유입인구의 처리구역별 배분(적용)'!#REF!,#REF!,#REF!,#REF!)</f>
        <v>#REF!</v>
      </c>
      <c r="K2" s="41" t="e">
        <f>SUM(#REF!,#REF!,#REF!,'사회적유입인구의 처리구역별 배분(적용)'!#REF!,'사회적유입인구의 처리구역별 배분(적용)'!#REF!,#REF!,#REF!,#REF!)</f>
        <v>#REF!</v>
      </c>
      <c r="L2" s="41" t="e">
        <f>SUM(#REF!,#REF!,#REF!,'사회적유입인구의 처리구역별 배분(적용)'!#REF!,'사회적유입인구의 처리구역별 배분(적용)'!#REF!,#REF!,#REF!,#REF!)</f>
        <v>#REF!</v>
      </c>
      <c r="M2" s="41" t="e">
        <f>SUM(#REF!,#REF!,#REF!,'사회적유입인구의 처리구역별 배분(적용)'!#REF!,'사회적유입인구의 처리구역별 배분(적용)'!#REF!,#REF!,#REF!,#REF!)</f>
        <v>#REF!</v>
      </c>
      <c r="N2" s="41" t="e">
        <f>SUM(#REF!,#REF!,#REF!,'사회적유입인구의 처리구역별 배분(적용)'!#REF!,'사회적유입인구의 처리구역별 배분(적용)'!#REF!,#REF!,#REF!,#REF!)</f>
        <v>#REF!</v>
      </c>
      <c r="O2" s="41" t="e">
        <f>SUM(#REF!,#REF!,#REF!,'사회적유입인구의 처리구역별 배분(적용)'!#REF!,'사회적유입인구의 처리구역별 배분(적용)'!#REF!,#REF!,#REF!,#REF!)</f>
        <v>#REF!</v>
      </c>
      <c r="P2" s="41" t="e">
        <f>SUM(#REF!,#REF!,#REF!,'사회적유입인구의 처리구역별 배분(적용)'!#REF!,'사회적유입인구의 처리구역별 배분(적용)'!#REF!,#REF!,#REF!,#REF!)</f>
        <v>#REF!</v>
      </c>
      <c r="Q2" s="41" t="e">
        <f>SUM(#REF!,#REF!,#REF!,'사회적유입인구의 처리구역별 배분(적용)'!#REF!,'사회적유입인구의 처리구역별 배분(적용)'!#REF!,#REF!,#REF!,#REF!)</f>
        <v>#REF!</v>
      </c>
      <c r="R2" s="41" t="e">
        <f>SUM(#REF!,#REF!,#REF!,'사회적유입인구의 처리구역별 배분(적용)'!#REF!,'사회적유입인구의 처리구역별 배분(적용)'!#REF!,#REF!,#REF!,#REF!)</f>
        <v>#REF!</v>
      </c>
      <c r="S2" s="41" t="e">
        <f>SUM(#REF!,#REF!,#REF!,'사회적유입인구의 처리구역별 배분(적용)'!#REF!,'사회적유입인구의 처리구역별 배분(적용)'!#REF!,#REF!,#REF!,#REF!)</f>
        <v>#REF!</v>
      </c>
      <c r="T2" s="41" t="e">
        <f>SUM(#REF!,#REF!,#REF!,'사회적유입인구의 처리구역별 배분(적용)'!#REF!,'사회적유입인구의 처리구역별 배분(적용)'!#REF!,#REF!,#REF!,#REF!)</f>
        <v>#REF!</v>
      </c>
      <c r="U2" s="41" t="e">
        <f>SUM(#REF!,#REF!,#REF!,'사회적유입인구의 처리구역별 배분(적용)'!#REF!,'사회적유입인구의 처리구역별 배분(적용)'!#REF!,#REF!,#REF!,#REF!)</f>
        <v>#REF!</v>
      </c>
      <c r="V2" s="41" t="e">
        <f>SUM(#REF!,#REF!,#REF!,'사회적유입인구의 처리구역별 배분(적용)'!#REF!,'사회적유입인구의 처리구역별 배분(적용)'!#REF!,#REF!,#REF!,#REF!)</f>
        <v>#REF!</v>
      </c>
      <c r="W2" s="41"/>
      <c r="X2" s="41"/>
      <c r="Y2" s="41"/>
      <c r="Z2" s="38" t="s">
        <v>70</v>
      </c>
    </row>
    <row r="3" spans="1:41" ht="18.95" customHeight="1" thickBot="1">
      <c r="A3" s="1379" t="s">
        <v>98</v>
      </c>
      <c r="B3" s="2578" t="s">
        <v>71</v>
      </c>
      <c r="C3" s="2578"/>
      <c r="D3" s="1380">
        <v>2014</v>
      </c>
      <c r="E3" s="1380">
        <v>2015</v>
      </c>
      <c r="F3" s="1380">
        <v>2016</v>
      </c>
      <c r="G3" s="1380">
        <v>2017</v>
      </c>
      <c r="H3" s="1380">
        <v>2018</v>
      </c>
      <c r="I3" s="1380">
        <v>2019</v>
      </c>
      <c r="J3" s="1380">
        <v>2020</v>
      </c>
      <c r="K3" s="1380">
        <v>2021</v>
      </c>
      <c r="L3" s="1380">
        <v>2022</v>
      </c>
      <c r="M3" s="1380">
        <v>2023</v>
      </c>
      <c r="N3" s="1380">
        <v>2024</v>
      </c>
      <c r="O3" s="1380">
        <v>2025</v>
      </c>
      <c r="P3" s="1380">
        <v>2026</v>
      </c>
      <c r="Q3" s="1380">
        <v>2027</v>
      </c>
      <c r="R3" s="1380">
        <v>2028</v>
      </c>
      <c r="S3" s="1380">
        <v>2029</v>
      </c>
      <c r="T3" s="1380">
        <v>2030</v>
      </c>
      <c r="U3" s="1380">
        <v>2031</v>
      </c>
      <c r="V3" s="1380">
        <v>2032</v>
      </c>
      <c r="W3" s="1380">
        <v>2033</v>
      </c>
      <c r="X3" s="1380">
        <v>2034</v>
      </c>
      <c r="Y3" s="2030">
        <v>2035</v>
      </c>
      <c r="Z3" s="1982" t="s">
        <v>99</v>
      </c>
      <c r="AB3" s="117" t="s">
        <v>176</v>
      </c>
    </row>
    <row r="4" spans="1:41" ht="17.100000000000001" customHeight="1">
      <c r="A4" s="2561" t="s">
        <v>760</v>
      </c>
      <c r="B4" s="2569" t="s">
        <v>95</v>
      </c>
      <c r="C4" s="2204" t="str">
        <f>AB11</f>
        <v>지평더웰2차</v>
      </c>
      <c r="D4" s="2205">
        <f>ROUND(IFERROR(VLOOKUP($C4,사회적유입!$AA$5:$AW$167,2,FALSE),0)*$Z4,0)</f>
        <v>0</v>
      </c>
      <c r="E4" s="2205">
        <f>ROUND(IFERROR(VLOOKUP($C4,사회적유입!$AA$5:$AW$167,3,FALSE),0)*$Z4,0)</f>
        <v>0</v>
      </c>
      <c r="F4" s="2205">
        <f>ROUND(IFERROR(VLOOKUP($C4,사회적유입!$AA$5:$AW$167,4,FALSE),0)*$Z4,0)</f>
        <v>0</v>
      </c>
      <c r="G4" s="2205">
        <f>ROUND(IFERROR(VLOOKUP($C4,사회적유입!$AA$5:$AW$167,5,FALSE),0)*$Z4,0)</f>
        <v>125</v>
      </c>
      <c r="H4" s="2205">
        <f>ROUND(IFERROR(VLOOKUP($C4,사회적유입!$AA$5:$AW$167,6,FALSE),0)*$Z4,0)</f>
        <v>125</v>
      </c>
      <c r="I4" s="2205">
        <f>ROUND(IFERROR(VLOOKUP($C4,사회적유입!$AA$5:$AW$167,7,FALSE),0)*$Z4,0)</f>
        <v>125</v>
      </c>
      <c r="J4" s="2205">
        <f>ROUND(IFERROR(VLOOKUP($C4,사회적유입!$AA$5:$AW$167,8,FALSE),0)*$Z4,0)</f>
        <v>125</v>
      </c>
      <c r="K4" s="2205">
        <f>ROUND(IFERROR(VLOOKUP($C4,사회적유입!$AA$5:$AW$167,9,FALSE),0)*$Z4,0)</f>
        <v>125</v>
      </c>
      <c r="L4" s="2205">
        <f>ROUND(IFERROR(VLOOKUP($C4,사회적유입!$AA$5:$AW$167,10,FALSE),0)*$Z4,0)</f>
        <v>125</v>
      </c>
      <c r="M4" s="2205">
        <f>ROUND(IFERROR(VLOOKUP($C4,사회적유입!$AA$5:$AW$167,11,FALSE),0)*$Z4,0)</f>
        <v>125</v>
      </c>
      <c r="N4" s="2205">
        <f>ROUND(IFERROR(VLOOKUP($C4,사회적유입!$AA$5:$AW$167,12,FALSE),0)*$Z4,0)</f>
        <v>125</v>
      </c>
      <c r="O4" s="2205">
        <f>ROUND(IFERROR(VLOOKUP($C4,사회적유입!$AA$5:$AW$167,13,FALSE),0)*$Z4,0)</f>
        <v>125</v>
      </c>
      <c r="P4" s="2205">
        <f>ROUND(IFERROR(VLOOKUP($C4,사회적유입!$AA$5:$AW$167,14,FALSE),0)*$Z4,0)</f>
        <v>125</v>
      </c>
      <c r="Q4" s="2205">
        <f>ROUND(IFERROR(VLOOKUP($C4,사회적유입!$AA$5:$AW$167,15,FALSE),0)*$Z4,0)</f>
        <v>125</v>
      </c>
      <c r="R4" s="2205">
        <f>ROUND(IFERROR(VLOOKUP($C4,사회적유입!$AA$5:$AW$167,16,FALSE),0)*$Z4,0)</f>
        <v>125</v>
      </c>
      <c r="S4" s="2205">
        <f>ROUND(IFERROR(VLOOKUP($C4,사회적유입!$AA$5:$AW$167,17,FALSE),0)*$Z4,0)</f>
        <v>125</v>
      </c>
      <c r="T4" s="2205">
        <f>ROUND(IFERROR(VLOOKUP($C4,사회적유입!$AA$5:$AW$167,18,FALSE),0)*$Z4,0)</f>
        <v>125</v>
      </c>
      <c r="U4" s="2205">
        <f>ROUND(IFERROR(VLOOKUP($C4,사회적유입!$AA$5:$AW$167,19,FALSE),0)*$Z4,0)</f>
        <v>125</v>
      </c>
      <c r="V4" s="2205">
        <f>ROUND(IFERROR(VLOOKUP($C4,사회적유입!$AA$5:$AW$167,20,FALSE),0)*$Z4,0)</f>
        <v>125</v>
      </c>
      <c r="W4" s="2205">
        <f>ROUND(IFERROR(VLOOKUP($C4,사회적유입!$AA$5:$AW$167,21,FALSE),0)*$Z4,0)</f>
        <v>125</v>
      </c>
      <c r="X4" s="2205">
        <f>ROUND(IFERROR(VLOOKUP($C4,사회적유입!$AA$5:$AW$167,22,FALSE),0)*$Z4,0)</f>
        <v>125</v>
      </c>
      <c r="Y4" s="2205">
        <f>ROUND(IFERROR(VLOOKUP($C4,사회적유입!$AA$5:$AW$167,23,FALSE),0)*$Z4,0)</f>
        <v>125</v>
      </c>
      <c r="Z4" s="2212">
        <f t="shared" ref="Z4:Z9" si="0">VLOOKUP(C4,$AB$5:$AN$57,4,FALSE)</f>
        <v>1</v>
      </c>
      <c r="AB4" s="2580" t="s">
        <v>43</v>
      </c>
      <c r="AC4" s="2581"/>
      <c r="AD4" s="2581"/>
      <c r="AE4" s="1044" t="s">
        <v>1052</v>
      </c>
      <c r="AF4" s="1044" t="s">
        <v>1080</v>
      </c>
      <c r="AG4" s="1044" t="s">
        <v>1056</v>
      </c>
      <c r="AH4" s="1044" t="s">
        <v>1063</v>
      </c>
      <c r="AI4" s="1044" t="s">
        <v>1069</v>
      </c>
      <c r="AJ4" s="1044" t="s">
        <v>1124</v>
      </c>
      <c r="AK4" s="1044" t="s">
        <v>1073</v>
      </c>
      <c r="AL4" s="1044" t="s">
        <v>1087</v>
      </c>
      <c r="AM4" s="1044" t="s">
        <v>1125</v>
      </c>
      <c r="AN4" s="1045" t="s">
        <v>186</v>
      </c>
    </row>
    <row r="5" spans="1:41" ht="17.100000000000001" customHeight="1">
      <c r="A5" s="2562"/>
      <c r="B5" s="2570"/>
      <c r="C5" s="2206" t="str">
        <f>AB13</f>
        <v>㈜송정건설</v>
      </c>
      <c r="D5" s="2207">
        <f>ROUND(IFERROR(VLOOKUP($C5,사회적유입!$AA$5:$AW$167,2,FALSE),0)*$Z5,0)</f>
        <v>0</v>
      </c>
      <c r="E5" s="2207">
        <f>ROUND(IFERROR(VLOOKUP($C5,사회적유입!$AA$5:$AW$167,3,FALSE),0)*$Z5,0)</f>
        <v>0</v>
      </c>
      <c r="F5" s="2207">
        <f>ROUND(IFERROR(VLOOKUP($C5,사회적유입!$AA$5:$AW$167,4,FALSE),0)*$Z5,0)</f>
        <v>0</v>
      </c>
      <c r="G5" s="2207">
        <f>ROUND(IFERROR(VLOOKUP($C5,사회적유입!$AA$5:$AW$167,5,FALSE),0)*$Z5,0)</f>
        <v>0</v>
      </c>
      <c r="H5" s="2207">
        <f>ROUND(IFERROR(VLOOKUP($C5,사회적유입!$AA$5:$AW$167,6,FALSE),0)*$Z5,0)</f>
        <v>144</v>
      </c>
      <c r="I5" s="2207">
        <f>ROUND(IFERROR(VLOOKUP($C5,사회적유입!$AA$5:$AW$167,7,FALSE),0)*$Z5,0)</f>
        <v>144</v>
      </c>
      <c r="J5" s="2207">
        <f>ROUND(IFERROR(VLOOKUP($C5,사회적유입!$AA$5:$AW$167,8,FALSE),0)*$Z5,0)</f>
        <v>144</v>
      </c>
      <c r="K5" s="2207">
        <f>ROUND(IFERROR(VLOOKUP($C5,사회적유입!$AA$5:$AW$167,9,FALSE),0)*$Z5,0)</f>
        <v>144</v>
      </c>
      <c r="L5" s="2207">
        <f>ROUND(IFERROR(VLOOKUP($C5,사회적유입!$AA$5:$AW$167,10,FALSE),0)*$Z5,0)</f>
        <v>144</v>
      </c>
      <c r="M5" s="2207">
        <f>ROUND(IFERROR(VLOOKUP($C5,사회적유입!$AA$5:$AW$167,11,FALSE),0)*$Z5,0)</f>
        <v>144</v>
      </c>
      <c r="N5" s="2207">
        <f>ROUND(IFERROR(VLOOKUP($C5,사회적유입!$AA$5:$AW$167,12,FALSE),0)*$Z5,0)</f>
        <v>144</v>
      </c>
      <c r="O5" s="2207">
        <f>ROUND(IFERROR(VLOOKUP($C5,사회적유입!$AA$5:$AW$167,13,FALSE),0)*$Z5,0)</f>
        <v>144</v>
      </c>
      <c r="P5" s="2207">
        <f>ROUND(IFERROR(VLOOKUP($C5,사회적유입!$AA$5:$AW$167,14,FALSE),0)*$Z5,0)</f>
        <v>144</v>
      </c>
      <c r="Q5" s="2207">
        <f>ROUND(IFERROR(VLOOKUP($C5,사회적유입!$AA$5:$AW$167,15,FALSE),0)*$Z5,0)</f>
        <v>144</v>
      </c>
      <c r="R5" s="2207">
        <f>ROUND(IFERROR(VLOOKUP($C5,사회적유입!$AA$5:$AW$167,16,FALSE),0)*$Z5,0)</f>
        <v>144</v>
      </c>
      <c r="S5" s="2207">
        <f>ROUND(IFERROR(VLOOKUP($C5,사회적유입!$AA$5:$AW$167,17,FALSE),0)*$Z5,0)</f>
        <v>144</v>
      </c>
      <c r="T5" s="2207">
        <f>ROUND(IFERROR(VLOOKUP($C5,사회적유입!$AA$5:$AW$167,18,FALSE),0)*$Z5,0)</f>
        <v>144</v>
      </c>
      <c r="U5" s="2207">
        <f>ROUND(IFERROR(VLOOKUP($C5,사회적유입!$AA$5:$AW$167,19,FALSE),0)*$Z5,0)</f>
        <v>144</v>
      </c>
      <c r="V5" s="2207">
        <f>ROUND(IFERROR(VLOOKUP($C5,사회적유입!$AA$5:$AW$167,20,FALSE),0)*$Z5,0)</f>
        <v>144</v>
      </c>
      <c r="W5" s="2207">
        <f>ROUND(IFERROR(VLOOKUP($C5,사회적유입!$AA$5:$AW$167,21,FALSE),0)*$Z5,0)</f>
        <v>144</v>
      </c>
      <c r="X5" s="2207">
        <f>ROUND(IFERROR(VLOOKUP($C5,사회적유입!$AA$5:$AW$167,22,FALSE),0)*$Z5,0)</f>
        <v>144</v>
      </c>
      <c r="Y5" s="2207">
        <f>ROUND(IFERROR(VLOOKUP($C5,사회적유입!$AA$5:$AW$167,23,FALSE),0)*$Z5,0)</f>
        <v>144</v>
      </c>
      <c r="Z5" s="2213">
        <f t="shared" si="0"/>
        <v>1</v>
      </c>
      <c r="AB5" s="2582" t="s">
        <v>1104</v>
      </c>
      <c r="AC5" s="2583"/>
      <c r="AD5" s="2583"/>
      <c r="AE5" s="1046"/>
      <c r="AF5" s="1046"/>
      <c r="AG5" s="1046"/>
      <c r="AH5" s="1046"/>
      <c r="AI5" s="1046"/>
      <c r="AJ5" s="1046">
        <v>1</v>
      </c>
      <c r="AK5" s="1046"/>
      <c r="AL5" s="1046"/>
      <c r="AM5" s="1046"/>
      <c r="AN5" s="1047"/>
    </row>
    <row r="6" spans="1:41" ht="17.100000000000001" customHeight="1">
      <c r="A6" s="2562"/>
      <c r="B6" s="2570"/>
      <c r="C6" s="2206" t="str">
        <f>AB14</f>
        <v>미소건설</v>
      </c>
      <c r="D6" s="2207">
        <f>ROUND(IFERROR(VLOOKUP($C6,사회적유입!$AA$5:$AW$167,2,FALSE),0)*$Z6,0)</f>
        <v>0</v>
      </c>
      <c r="E6" s="2207">
        <f>ROUND(IFERROR(VLOOKUP($C6,사회적유입!$AA$5:$AW$167,3,FALSE),0)*$Z6,0)</f>
        <v>0</v>
      </c>
      <c r="F6" s="2207">
        <f>ROUND(IFERROR(VLOOKUP($C6,사회적유입!$AA$5:$AW$167,4,FALSE),0)*$Z6,0)</f>
        <v>0</v>
      </c>
      <c r="G6" s="2207">
        <f>ROUND(IFERROR(VLOOKUP($C6,사회적유입!$AA$5:$AW$167,5,FALSE),0)*$Z6,0)</f>
        <v>46</v>
      </c>
      <c r="H6" s="2207">
        <f>ROUND(IFERROR(VLOOKUP($C6,사회적유입!$AA$5:$AW$167,6,FALSE),0)*$Z6,0)</f>
        <v>46</v>
      </c>
      <c r="I6" s="2207">
        <f>ROUND(IFERROR(VLOOKUP($C6,사회적유입!$AA$5:$AW$167,7,FALSE),0)*$Z6,0)</f>
        <v>46</v>
      </c>
      <c r="J6" s="2207">
        <f>ROUND(IFERROR(VLOOKUP($C6,사회적유입!$AA$5:$AW$167,8,FALSE),0)*$Z6,0)</f>
        <v>46</v>
      </c>
      <c r="K6" s="2207">
        <f>ROUND(IFERROR(VLOOKUP($C6,사회적유입!$AA$5:$AW$167,9,FALSE),0)*$Z6,0)</f>
        <v>46</v>
      </c>
      <c r="L6" s="2207">
        <f>ROUND(IFERROR(VLOOKUP($C6,사회적유입!$AA$5:$AW$167,10,FALSE),0)*$Z6,0)</f>
        <v>46</v>
      </c>
      <c r="M6" s="2207">
        <f>ROUND(IFERROR(VLOOKUP($C6,사회적유입!$AA$5:$AW$167,11,FALSE),0)*$Z6,0)</f>
        <v>46</v>
      </c>
      <c r="N6" s="2207">
        <f>ROUND(IFERROR(VLOOKUP($C6,사회적유입!$AA$5:$AW$167,12,FALSE),0)*$Z6,0)</f>
        <v>46</v>
      </c>
      <c r="O6" s="2207">
        <f>ROUND(IFERROR(VLOOKUP($C6,사회적유입!$AA$5:$AW$167,13,FALSE),0)*$Z6,0)</f>
        <v>46</v>
      </c>
      <c r="P6" s="2207">
        <f>ROUND(IFERROR(VLOOKUP($C6,사회적유입!$AA$5:$AW$167,14,FALSE),0)*$Z6,0)</f>
        <v>46</v>
      </c>
      <c r="Q6" s="2207">
        <f>ROUND(IFERROR(VLOOKUP($C6,사회적유입!$AA$5:$AW$167,15,FALSE),0)*$Z6,0)</f>
        <v>46</v>
      </c>
      <c r="R6" s="2207">
        <f>ROUND(IFERROR(VLOOKUP($C6,사회적유입!$AA$5:$AW$167,16,FALSE),0)*$Z6,0)</f>
        <v>46</v>
      </c>
      <c r="S6" s="2207">
        <f>ROUND(IFERROR(VLOOKUP($C6,사회적유입!$AA$5:$AW$167,17,FALSE),0)*$Z6,0)</f>
        <v>46</v>
      </c>
      <c r="T6" s="2207">
        <f>ROUND(IFERROR(VLOOKUP($C6,사회적유입!$AA$5:$AW$167,18,FALSE),0)*$Z6,0)</f>
        <v>46</v>
      </c>
      <c r="U6" s="2207">
        <f>ROUND(IFERROR(VLOOKUP($C6,사회적유입!$AA$5:$AW$167,19,FALSE),0)*$Z6,0)</f>
        <v>46</v>
      </c>
      <c r="V6" s="2207">
        <f>ROUND(IFERROR(VLOOKUP($C6,사회적유입!$AA$5:$AW$167,20,FALSE),0)*$Z6,0)</f>
        <v>46</v>
      </c>
      <c r="W6" s="2207">
        <f>ROUND(IFERROR(VLOOKUP($C6,사회적유입!$AA$5:$AW$167,21,FALSE),0)*$Z6,0)</f>
        <v>46</v>
      </c>
      <c r="X6" s="2207">
        <f>ROUND(IFERROR(VLOOKUP($C6,사회적유입!$AA$5:$AW$167,22,FALSE),0)*$Z6,0)</f>
        <v>46</v>
      </c>
      <c r="Y6" s="2207">
        <f>ROUND(IFERROR(VLOOKUP($C6,사회적유입!$AA$5:$AW$167,23,FALSE),0)*$Z6,0)</f>
        <v>46</v>
      </c>
      <c r="Z6" s="2213">
        <f t="shared" si="0"/>
        <v>1</v>
      </c>
      <c r="AB6" s="2586" t="s">
        <v>1127</v>
      </c>
      <c r="AC6" s="2587"/>
      <c r="AD6" s="2587"/>
      <c r="AE6" s="1048"/>
      <c r="AF6" s="1048"/>
      <c r="AG6" s="1048"/>
      <c r="AH6" s="1048"/>
      <c r="AI6" s="1048"/>
      <c r="AJ6" s="1048"/>
      <c r="AK6" s="1048"/>
      <c r="AL6" s="1048"/>
      <c r="AM6" s="1048"/>
      <c r="AN6" s="1049">
        <v>1</v>
      </c>
    </row>
    <row r="7" spans="1:41" ht="17.100000000000001" customHeight="1">
      <c r="A7" s="2562"/>
      <c r="B7" s="2570"/>
      <c r="C7" s="2206" t="str">
        <f>AB15</f>
        <v>㈜씨제이산업개발</v>
      </c>
      <c r="D7" s="2207">
        <f>ROUND(IFERROR(VLOOKUP($C7,사회적유입!$AA$5:$AW$167,2,FALSE),0)*$Z7,0)</f>
        <v>0</v>
      </c>
      <c r="E7" s="2207">
        <f>ROUND(IFERROR(VLOOKUP($C7,사회적유입!$AA$5:$AW$167,3,FALSE),0)*$Z7,0)</f>
        <v>0</v>
      </c>
      <c r="F7" s="2207">
        <f>ROUND(IFERROR(VLOOKUP($C7,사회적유입!$AA$5:$AW$167,4,FALSE),0)*$Z7,0)</f>
        <v>0</v>
      </c>
      <c r="G7" s="2207">
        <f>ROUND(IFERROR(VLOOKUP($C7,사회적유입!$AA$5:$AW$167,5,FALSE),0)*$Z7,0)</f>
        <v>27</v>
      </c>
      <c r="H7" s="2207">
        <f>ROUND(IFERROR(VLOOKUP($C7,사회적유입!$AA$5:$AW$167,6,FALSE),0)*$Z7,0)</f>
        <v>27</v>
      </c>
      <c r="I7" s="2207">
        <f>ROUND(IFERROR(VLOOKUP($C7,사회적유입!$AA$5:$AW$167,7,FALSE),0)*$Z7,0)</f>
        <v>27</v>
      </c>
      <c r="J7" s="2207">
        <f>ROUND(IFERROR(VLOOKUP($C7,사회적유입!$AA$5:$AW$167,8,FALSE),0)*$Z7,0)</f>
        <v>27</v>
      </c>
      <c r="K7" s="2207">
        <f>ROUND(IFERROR(VLOOKUP($C7,사회적유입!$AA$5:$AW$167,9,FALSE),0)*$Z7,0)</f>
        <v>27</v>
      </c>
      <c r="L7" s="2207">
        <f>ROUND(IFERROR(VLOOKUP($C7,사회적유입!$AA$5:$AW$167,10,FALSE),0)*$Z7,0)</f>
        <v>27</v>
      </c>
      <c r="M7" s="2207">
        <f>ROUND(IFERROR(VLOOKUP($C7,사회적유입!$AA$5:$AW$167,11,FALSE),0)*$Z7,0)</f>
        <v>27</v>
      </c>
      <c r="N7" s="2207">
        <f>ROUND(IFERROR(VLOOKUP($C7,사회적유입!$AA$5:$AW$167,12,FALSE),0)*$Z7,0)</f>
        <v>27</v>
      </c>
      <c r="O7" s="2207">
        <f>ROUND(IFERROR(VLOOKUP($C7,사회적유입!$AA$5:$AW$167,13,FALSE),0)*$Z7,0)</f>
        <v>27</v>
      </c>
      <c r="P7" s="2207">
        <f>ROUND(IFERROR(VLOOKUP($C7,사회적유입!$AA$5:$AW$167,14,FALSE),0)*$Z7,0)</f>
        <v>27</v>
      </c>
      <c r="Q7" s="2207">
        <f>ROUND(IFERROR(VLOOKUP($C7,사회적유입!$AA$5:$AW$167,15,FALSE),0)*$Z7,0)</f>
        <v>27</v>
      </c>
      <c r="R7" s="2207">
        <f>ROUND(IFERROR(VLOOKUP($C7,사회적유입!$AA$5:$AW$167,16,FALSE),0)*$Z7,0)</f>
        <v>27</v>
      </c>
      <c r="S7" s="2207">
        <f>ROUND(IFERROR(VLOOKUP($C7,사회적유입!$AA$5:$AW$167,17,FALSE),0)*$Z7,0)</f>
        <v>27</v>
      </c>
      <c r="T7" s="2207">
        <f>ROUND(IFERROR(VLOOKUP($C7,사회적유입!$AA$5:$AW$167,18,FALSE),0)*$Z7,0)</f>
        <v>27</v>
      </c>
      <c r="U7" s="2207">
        <f>ROUND(IFERROR(VLOOKUP($C7,사회적유입!$AA$5:$AW$167,19,FALSE),0)*$Z7,0)</f>
        <v>27</v>
      </c>
      <c r="V7" s="2207">
        <f>ROUND(IFERROR(VLOOKUP($C7,사회적유입!$AA$5:$AW$167,20,FALSE),0)*$Z7,0)</f>
        <v>27</v>
      </c>
      <c r="W7" s="2207">
        <f>ROUND(IFERROR(VLOOKUP($C7,사회적유입!$AA$5:$AW$167,21,FALSE),0)*$Z7,0)</f>
        <v>27</v>
      </c>
      <c r="X7" s="2207">
        <f>ROUND(IFERROR(VLOOKUP($C7,사회적유입!$AA$5:$AW$167,22,FALSE),0)*$Z7,0)</f>
        <v>27</v>
      </c>
      <c r="Y7" s="2207">
        <f>ROUND(IFERROR(VLOOKUP($C7,사회적유입!$AA$5:$AW$167,23,FALSE),0)*$Z7,0)</f>
        <v>27</v>
      </c>
      <c r="Z7" s="2213">
        <f t="shared" si="0"/>
        <v>1</v>
      </c>
      <c r="AB7" s="2584" t="s">
        <v>1210</v>
      </c>
      <c r="AC7" s="2585"/>
      <c r="AD7" s="2585"/>
      <c r="AE7" s="1048"/>
      <c r="AF7" s="1048"/>
      <c r="AG7" s="1048"/>
      <c r="AH7" s="1048"/>
      <c r="AI7" s="1048"/>
      <c r="AJ7" s="1048">
        <v>1</v>
      </c>
      <c r="AK7" s="1048"/>
      <c r="AL7" s="1048"/>
      <c r="AM7" s="1048"/>
      <c r="AN7" s="1050"/>
    </row>
    <row r="8" spans="1:41" ht="17.100000000000001" customHeight="1">
      <c r="A8" s="2562"/>
      <c r="B8" s="2570"/>
      <c r="C8" s="2206" t="str">
        <f>AB18</f>
        <v>음성지역주택조합</v>
      </c>
      <c r="D8" s="2207">
        <f>ROUND(IFERROR(VLOOKUP($C8,사회적유입!$AA$5:$AW$167,2,FALSE),0)*$Z8,0)</f>
        <v>0</v>
      </c>
      <c r="E8" s="2207">
        <f>ROUND(IFERROR(VLOOKUP($C8,사회적유입!$AA$5:$AW$167,3,FALSE),0)*$Z8,0)</f>
        <v>0</v>
      </c>
      <c r="F8" s="2207">
        <f>ROUND(IFERROR(VLOOKUP($C8,사회적유입!$AA$5:$AW$167,4,FALSE),0)*$Z8,0)</f>
        <v>0</v>
      </c>
      <c r="G8" s="2207">
        <f>ROUND(IFERROR(VLOOKUP($C8,사회적유입!$AA$5:$AW$167,5,FALSE),0)*$Z8,0)</f>
        <v>0</v>
      </c>
      <c r="H8" s="2207">
        <f>ROUND(IFERROR(VLOOKUP($C8,사회적유입!$AA$5:$AW$167,6,FALSE),0)*$Z8,0)</f>
        <v>0</v>
      </c>
      <c r="I8" s="2207">
        <f>ROUND(IFERROR(VLOOKUP($C8,사회적유입!$AA$5:$AW$167,7,FALSE),0)*$Z8,0)</f>
        <v>0</v>
      </c>
      <c r="J8" s="2207">
        <f>ROUND(IFERROR(VLOOKUP($C8,사회적유입!$AA$5:$AW$167,8,FALSE),0)*$Z8,0)</f>
        <v>376</v>
      </c>
      <c r="K8" s="2207">
        <f>ROUND(IFERROR(VLOOKUP($C8,사회적유입!$AA$5:$AW$167,9,FALSE),0)*$Z8,0)</f>
        <v>376</v>
      </c>
      <c r="L8" s="2207">
        <f>ROUND(IFERROR(VLOOKUP($C8,사회적유입!$AA$5:$AW$167,10,FALSE),0)*$Z8,0)</f>
        <v>376</v>
      </c>
      <c r="M8" s="2207">
        <f>ROUND(IFERROR(VLOOKUP($C8,사회적유입!$AA$5:$AW$167,11,FALSE),0)*$Z8,0)</f>
        <v>376</v>
      </c>
      <c r="N8" s="2207">
        <f>ROUND(IFERROR(VLOOKUP($C8,사회적유입!$AA$5:$AW$167,12,FALSE),0)*$Z8,0)</f>
        <v>376</v>
      </c>
      <c r="O8" s="2207">
        <f>ROUND(IFERROR(VLOOKUP($C8,사회적유입!$AA$5:$AW$167,13,FALSE),0)*$Z8,0)</f>
        <v>376</v>
      </c>
      <c r="P8" s="2207">
        <f>ROUND(IFERROR(VLOOKUP($C8,사회적유입!$AA$5:$AW$167,14,FALSE),0)*$Z8,0)</f>
        <v>376</v>
      </c>
      <c r="Q8" s="2207">
        <f>ROUND(IFERROR(VLOOKUP($C8,사회적유입!$AA$5:$AW$167,15,FALSE),0)*$Z8,0)</f>
        <v>376</v>
      </c>
      <c r="R8" s="2207">
        <f>ROUND(IFERROR(VLOOKUP($C8,사회적유입!$AA$5:$AW$167,16,FALSE),0)*$Z8,0)</f>
        <v>376</v>
      </c>
      <c r="S8" s="2207">
        <f>ROUND(IFERROR(VLOOKUP($C8,사회적유입!$AA$5:$AW$167,17,FALSE),0)*$Z8,0)</f>
        <v>376</v>
      </c>
      <c r="T8" s="2207">
        <f>ROUND(IFERROR(VLOOKUP($C8,사회적유입!$AA$5:$AW$167,18,FALSE),0)*$Z8,0)</f>
        <v>376</v>
      </c>
      <c r="U8" s="2207">
        <f>ROUND(IFERROR(VLOOKUP($C8,사회적유입!$AA$5:$AW$167,19,FALSE),0)*$Z8,0)</f>
        <v>376</v>
      </c>
      <c r="V8" s="2207">
        <f>ROUND(IFERROR(VLOOKUP($C8,사회적유입!$AA$5:$AW$167,20,FALSE),0)*$Z8,0)</f>
        <v>376</v>
      </c>
      <c r="W8" s="2207">
        <f>ROUND(IFERROR(VLOOKUP($C8,사회적유입!$AA$5:$AW$167,21,FALSE),0)*$Z8,0)</f>
        <v>376</v>
      </c>
      <c r="X8" s="2207">
        <f>ROUND(IFERROR(VLOOKUP($C8,사회적유입!$AA$5:$AW$167,22,FALSE),0)*$Z8,0)</f>
        <v>376</v>
      </c>
      <c r="Y8" s="2207">
        <f>ROUND(IFERROR(VLOOKUP($C8,사회적유입!$AA$5:$AW$167,23,FALSE),0)*$Z8,0)</f>
        <v>376</v>
      </c>
      <c r="Z8" s="2213">
        <f t="shared" si="0"/>
        <v>1</v>
      </c>
      <c r="AB8" s="2584" t="s">
        <v>1105</v>
      </c>
      <c r="AC8" s="2585"/>
      <c r="AD8" s="2585"/>
      <c r="AE8" s="1048"/>
      <c r="AF8" s="1048">
        <v>1</v>
      </c>
      <c r="AG8" s="1048"/>
      <c r="AH8" s="1048"/>
      <c r="AI8" s="1048"/>
      <c r="AJ8" s="1048"/>
      <c r="AK8" s="1048"/>
      <c r="AL8" s="1048"/>
      <c r="AM8" s="1048"/>
      <c r="AN8" s="1050"/>
    </row>
    <row r="9" spans="1:41" ht="17.100000000000001" customHeight="1">
      <c r="A9" s="2562"/>
      <c r="B9" s="2570"/>
      <c r="C9" s="2206" t="str">
        <f>AB19</f>
        <v>신 부영아파트</v>
      </c>
      <c r="D9" s="2207">
        <f>ROUND(IFERROR(VLOOKUP($C9,사회적유입!$AA$5:$AW$167,2,FALSE),0)*$Z9,0)</f>
        <v>0</v>
      </c>
      <c r="E9" s="2207">
        <f>IFERROR(VLOOKUP($C9,사회적유입!$AA$5:$AW$167,3,FALSE),0)*$Z9</f>
        <v>0</v>
      </c>
      <c r="F9" s="2207">
        <f>ROUND(IFERROR(VLOOKUP($C9,사회적유입!$AA$5:$AW$167,4,FALSE),0)*$Z9,0)</f>
        <v>0</v>
      </c>
      <c r="G9" s="2207">
        <f>ROUND(IFERROR(VLOOKUP($C9,사회적유입!$AA$5:$AW$167,5,FALSE),0)*$Z9,0)</f>
        <v>0</v>
      </c>
      <c r="H9" s="2207">
        <f>ROUND(IFERROR(VLOOKUP($C9,사회적유입!$AA$5:$AW$167,6,FALSE),0)*$Z9,0)</f>
        <v>15</v>
      </c>
      <c r="I9" s="2207">
        <f>ROUND(IFERROR(VLOOKUP($C9,사회적유입!$AA$5:$AW$167,7,FALSE),0)*$Z9,0)</f>
        <v>15</v>
      </c>
      <c r="J9" s="2207">
        <f>ROUND(IFERROR(VLOOKUP($C9,사회적유입!$AA$5:$AW$167,8,FALSE),0)*$Z9,0)</f>
        <v>15</v>
      </c>
      <c r="K9" s="2207">
        <f>ROUND(IFERROR(VLOOKUP($C9,사회적유입!$AA$5:$AW$167,9,FALSE),0)*$Z9,0)</f>
        <v>15</v>
      </c>
      <c r="L9" s="2207">
        <f>ROUND(IFERROR(VLOOKUP($C9,사회적유입!$AA$5:$AW$167,10,FALSE),0)*$Z9,0)</f>
        <v>15</v>
      </c>
      <c r="M9" s="2207">
        <f>ROUND(IFERROR(VLOOKUP($C9,사회적유입!$AA$5:$AW$167,11,FALSE),0)*$Z9,0)</f>
        <v>15</v>
      </c>
      <c r="N9" s="2207">
        <f>ROUND(IFERROR(VLOOKUP($C9,사회적유입!$AA$5:$AW$167,12,FALSE),0)*$Z9,0)</f>
        <v>15</v>
      </c>
      <c r="O9" s="2207">
        <f>ROUND(IFERROR(VLOOKUP($C9,사회적유입!$AA$5:$AW$167,13,FALSE),0)*$Z9,0)</f>
        <v>15</v>
      </c>
      <c r="P9" s="2207">
        <f>ROUND(IFERROR(VLOOKUP($C9,사회적유입!$AA$5:$AW$167,14,FALSE),0)*$Z9,0)</f>
        <v>15</v>
      </c>
      <c r="Q9" s="2207">
        <f>ROUND(IFERROR(VLOOKUP($C9,사회적유입!$AA$5:$AW$167,15,FALSE),0)*$Z9,0)</f>
        <v>15</v>
      </c>
      <c r="R9" s="2207">
        <f>ROUND(IFERROR(VLOOKUP($C9,사회적유입!$AA$5:$AW$167,16,FALSE),0)*$Z9,0)</f>
        <v>15</v>
      </c>
      <c r="S9" s="2207">
        <f>ROUND(IFERROR(VLOOKUP($C9,사회적유입!$AA$5:$AW$167,17,FALSE),0)*$Z9,0)</f>
        <v>15</v>
      </c>
      <c r="T9" s="2207">
        <f>ROUND(IFERROR(VLOOKUP($C9,사회적유입!$AA$5:$AW$167,18,FALSE),0)*$Z9,0)</f>
        <v>15</v>
      </c>
      <c r="U9" s="2207">
        <f>ROUND(IFERROR(VLOOKUP($C9,사회적유입!$AA$5:$AW$167,19,FALSE),0)*$Z9,0)</f>
        <v>15</v>
      </c>
      <c r="V9" s="2207">
        <f>ROUND(IFERROR(VLOOKUP($C9,사회적유입!$AA$5:$AW$167,20,FALSE),0)*$Z9,0)</f>
        <v>15</v>
      </c>
      <c r="W9" s="2207">
        <f>ROUND(IFERROR(VLOOKUP($C9,사회적유입!$AA$5:$AW$167,21,FALSE),0)*$Z9,0)</f>
        <v>15</v>
      </c>
      <c r="X9" s="2207">
        <f>ROUND(IFERROR(VLOOKUP($C9,사회적유입!$AA$5:$AW$167,22,FALSE),0)*$Z9,0)</f>
        <v>15</v>
      </c>
      <c r="Y9" s="2207">
        <f>ROUND(IFERROR(VLOOKUP($C9,사회적유입!$AA$5:$AW$167,23,FALSE),0)*$Z9,0)</f>
        <v>15</v>
      </c>
      <c r="Z9" s="2213">
        <f t="shared" si="0"/>
        <v>1</v>
      </c>
      <c r="AB9" s="2584" t="s">
        <v>1329</v>
      </c>
      <c r="AC9" s="2585"/>
      <c r="AD9" s="2585"/>
      <c r="AE9" s="1048"/>
      <c r="AF9" s="1048">
        <v>1</v>
      </c>
      <c r="AG9" s="1048"/>
      <c r="AH9" s="1048"/>
      <c r="AI9" s="1048"/>
      <c r="AJ9" s="1048"/>
      <c r="AK9" s="1048"/>
      <c r="AL9" s="1048"/>
      <c r="AM9" s="1048"/>
      <c r="AN9" s="1050"/>
    </row>
    <row r="10" spans="1:41" ht="17.100000000000001" customHeight="1">
      <c r="A10" s="2562"/>
      <c r="B10" s="2570"/>
      <c r="C10" s="2208" t="s">
        <v>73</v>
      </c>
      <c r="D10" s="2209">
        <f t="shared" ref="D10:Y10" si="1">SUM(D4:D9)</f>
        <v>0</v>
      </c>
      <c r="E10" s="2209">
        <f t="shared" si="1"/>
        <v>0</v>
      </c>
      <c r="F10" s="2209">
        <f t="shared" si="1"/>
        <v>0</v>
      </c>
      <c r="G10" s="2209">
        <f t="shared" si="1"/>
        <v>198</v>
      </c>
      <c r="H10" s="2209">
        <f t="shared" si="1"/>
        <v>357</v>
      </c>
      <c r="I10" s="2209">
        <f t="shared" si="1"/>
        <v>357</v>
      </c>
      <c r="J10" s="2209">
        <f t="shared" si="1"/>
        <v>733</v>
      </c>
      <c r="K10" s="2209">
        <f t="shared" si="1"/>
        <v>733</v>
      </c>
      <c r="L10" s="2209">
        <f t="shared" si="1"/>
        <v>733</v>
      </c>
      <c r="M10" s="2209">
        <f t="shared" si="1"/>
        <v>733</v>
      </c>
      <c r="N10" s="2209">
        <f t="shared" si="1"/>
        <v>733</v>
      </c>
      <c r="O10" s="2209">
        <f t="shared" si="1"/>
        <v>733</v>
      </c>
      <c r="P10" s="2209">
        <f t="shared" si="1"/>
        <v>733</v>
      </c>
      <c r="Q10" s="2209">
        <f t="shared" si="1"/>
        <v>733</v>
      </c>
      <c r="R10" s="2209">
        <f t="shared" si="1"/>
        <v>733</v>
      </c>
      <c r="S10" s="2209">
        <f t="shared" si="1"/>
        <v>733</v>
      </c>
      <c r="T10" s="2209">
        <f t="shared" si="1"/>
        <v>733</v>
      </c>
      <c r="U10" s="2209">
        <f t="shared" si="1"/>
        <v>733</v>
      </c>
      <c r="V10" s="2209">
        <f t="shared" si="1"/>
        <v>733</v>
      </c>
      <c r="W10" s="2209">
        <f t="shared" si="1"/>
        <v>733</v>
      </c>
      <c r="X10" s="2209">
        <f t="shared" si="1"/>
        <v>733</v>
      </c>
      <c r="Y10" s="2209">
        <f t="shared" si="1"/>
        <v>733</v>
      </c>
      <c r="Z10" s="2214"/>
      <c r="AB10" s="2584" t="s">
        <v>1106</v>
      </c>
      <c r="AC10" s="2585"/>
      <c r="AD10" s="2585"/>
      <c r="AE10" s="1048"/>
      <c r="AF10" s="1048"/>
      <c r="AG10" s="1048"/>
      <c r="AH10" s="1048"/>
      <c r="AI10" s="1048"/>
      <c r="AJ10" s="1048">
        <v>1</v>
      </c>
      <c r="AK10" s="1048"/>
      <c r="AL10" s="1048"/>
      <c r="AM10" s="1048"/>
      <c r="AN10" s="1050"/>
    </row>
    <row r="11" spans="1:41" ht="17.100000000000001" customHeight="1">
      <c r="A11" s="2562"/>
      <c r="B11" s="2570" t="s">
        <v>96</v>
      </c>
      <c r="C11" s="2210" t="str">
        <f>AB30</f>
        <v>신천보부산업단지</v>
      </c>
      <c r="D11" s="2207">
        <v>0</v>
      </c>
      <c r="E11" s="2207">
        <v>0</v>
      </c>
      <c r="F11" s="2207">
        <v>0</v>
      </c>
      <c r="G11" s="2207">
        <v>0</v>
      </c>
      <c r="H11" s="2207">
        <v>0</v>
      </c>
      <c r="I11" s="2207">
        <v>0</v>
      </c>
      <c r="J11" s="2207">
        <v>0</v>
      </c>
      <c r="K11" s="2207">
        <v>0</v>
      </c>
      <c r="L11" s="2207">
        <v>0</v>
      </c>
      <c r="M11" s="2207">
        <v>0</v>
      </c>
      <c r="N11" s="2207">
        <v>0</v>
      </c>
      <c r="O11" s="2207">
        <v>0</v>
      </c>
      <c r="P11" s="2207">
        <v>0</v>
      </c>
      <c r="Q11" s="2207">
        <v>0</v>
      </c>
      <c r="R11" s="2207">
        <v>0</v>
      </c>
      <c r="S11" s="2207">
        <v>0</v>
      </c>
      <c r="T11" s="2207">
        <v>0</v>
      </c>
      <c r="U11" s="2207">
        <v>0</v>
      </c>
      <c r="V11" s="2207">
        <v>0</v>
      </c>
      <c r="W11" s="2207">
        <v>0</v>
      </c>
      <c r="X11" s="2207">
        <v>0</v>
      </c>
      <c r="Y11" s="2207">
        <v>0</v>
      </c>
      <c r="Z11" s="2213">
        <f t="shared" ref="Z11:Z17" si="2">VLOOKUP(C11,$AB$5:$AN$57,4,FALSE)</f>
        <v>1</v>
      </c>
      <c r="AB11" s="2586" t="s">
        <v>1107</v>
      </c>
      <c r="AC11" s="2587"/>
      <c r="AD11" s="2587"/>
      <c r="AE11" s="1048">
        <v>1</v>
      </c>
      <c r="AF11" s="1048"/>
      <c r="AG11" s="1048"/>
      <c r="AH11" s="1048"/>
      <c r="AI11" s="1048"/>
      <c r="AJ11" s="1048"/>
      <c r="AK11" s="1048"/>
      <c r="AL11" s="1048"/>
      <c r="AM11" s="1048"/>
      <c r="AN11" s="1050"/>
    </row>
    <row r="12" spans="1:41" ht="17.100000000000001" customHeight="1">
      <c r="A12" s="2562"/>
      <c r="B12" s="2570"/>
      <c r="C12" s="2210" t="str">
        <f>AB54</f>
        <v>용산산업단지</v>
      </c>
      <c r="D12" s="2207">
        <f>ROUND(IFERROR(INDEX(사회적유입!$AA$4:$AW$165,MATCH($C12,사회적유입!$AA$4:$AA$165,0)-2,2),0)*$Z12,0)</f>
        <v>0</v>
      </c>
      <c r="E12" s="2207">
        <f>ROUND(IFERROR(INDEX(사회적유입!$AA$4:$AW$165,MATCH($C12,사회적유입!$AA$4:$AA$165,0)-2,3),0)*$Z12,0)</f>
        <v>0</v>
      </c>
      <c r="F12" s="2207">
        <f>ROUND(IFERROR(INDEX(사회적유입!$AA$4:$AW$165,MATCH($C12,사회적유입!$AA$4:$AA$165,0)-2,4),0)*$Z12,0)</f>
        <v>0</v>
      </c>
      <c r="G12" s="2207">
        <f>ROUND(IFERROR(INDEX(사회적유입!$AA$4:$AW$165,MATCH($C12,사회적유입!$AA$4:$AA$165,0)-2,5),0)*$Z12,0)</f>
        <v>0</v>
      </c>
      <c r="H12" s="2207">
        <f>ROUND(IFERROR(INDEX(사회적유입!$AA$4:$AW$165,MATCH($C12,사회적유입!$AA$4:$AA$165,0)-2,6),0)*$Z12,0)</f>
        <v>0</v>
      </c>
      <c r="I12" s="2207">
        <f>ROUND(IFERROR(INDEX(사회적유입!$AA$4:$AW$165,MATCH($C12,사회적유입!$AA$4:$AA$165,0)-2,7),0)*$Z12,0)</f>
        <v>0</v>
      </c>
      <c r="J12" s="2207">
        <f>ROUND(IFERROR(INDEX(사회적유입!$AA$4:$AW$165,MATCH($C12,사회적유입!$AA$4:$AA$165,0)-2,8),0)*$Z12,0)</f>
        <v>0</v>
      </c>
      <c r="K12" s="2207">
        <f>ROUND(IFERROR(INDEX(사회적유입!$AA$4:$AW$165,MATCH($C12,사회적유입!$AA$4:$AA$165,0)-2,9),0)*$Z12,0)</f>
        <v>0</v>
      </c>
      <c r="L12" s="2207">
        <f>ROUND(IFERROR(INDEX(사회적유입!$AA$4:$AW$165,MATCH($C12,사회적유입!$AA$4:$AA$165,0)-2,10),0)*$Z12,0)</f>
        <v>0</v>
      </c>
      <c r="M12" s="2207">
        <f>ROUND(IFERROR(INDEX(사회적유입!$AA$4:$AW$165,MATCH($C12,사회적유입!$AA$4:$AA$165,0)-2,11),0)*$Z12,0)</f>
        <v>0</v>
      </c>
      <c r="N12" s="2207">
        <f>ROUND(IFERROR(INDEX(사회적유입!$AA$4:$AW$165,MATCH($C12,사회적유입!$AA$4:$AA$165,0)-2,12),0)*$Z12,0)</f>
        <v>0</v>
      </c>
      <c r="O12" s="2207">
        <f>ROUND(IFERROR(INDEX(사회적유입!$AA$4:$AW$165,MATCH($C12,사회적유입!$AA$4:$AA$165,0)-2,13),0)*$Z12,0)</f>
        <v>0</v>
      </c>
      <c r="P12" s="2207">
        <f>ROUND(IFERROR(INDEX(사회적유입!$AA$4:$AW$165,MATCH($C12,사회적유입!$AA$4:$AA$165,0)-2,14),0)*$Z12,0)</f>
        <v>0</v>
      </c>
      <c r="Q12" s="2207">
        <f>ROUND(IFERROR(INDEX(사회적유입!$AA$4:$AW$165,MATCH($C12,사회적유입!$AA$4:$AA$165,0)-2,15),0)*$Z12,0)</f>
        <v>0</v>
      </c>
      <c r="R12" s="2207">
        <f>ROUND(IFERROR(INDEX(사회적유입!$AA$4:$AW$165,MATCH($C12,사회적유입!$AA$4:$AA$165,0)-2,16),0)*$Z12,0)</f>
        <v>0</v>
      </c>
      <c r="S12" s="2207">
        <f>ROUND(IFERROR(INDEX(사회적유입!$AA$4:$AW$165,MATCH($C12,사회적유입!$AA$4:$AA$165,0)-2,17),0)*$Z12,0)</f>
        <v>0</v>
      </c>
      <c r="T12" s="2207">
        <f>ROUND(IFERROR(INDEX(사회적유입!$AA$4:$AW$165,MATCH($C12,사회적유입!$AA$4:$AA$165,0)-2,18),0)*$Z12,0)</f>
        <v>0</v>
      </c>
      <c r="U12" s="2207">
        <f>ROUND(IFERROR(INDEX(사회적유입!$AA$4:$AW$165,MATCH($C12,사회적유입!$AA$4:$AA$165,0)-2,19),0)*$Z12,0)</f>
        <v>0</v>
      </c>
      <c r="V12" s="2207">
        <f>ROUND(IFERROR(INDEX(사회적유입!$AA$4:$AW$165,MATCH($C12,사회적유입!$AA$4:$AA$165,0)-2,20),0)*$Z12,0)</f>
        <v>0</v>
      </c>
      <c r="W12" s="2207">
        <f>ROUND(IFERROR(INDEX(사회적유입!$AA$4:$AW$165,MATCH($C12,사회적유입!$AA$4:$AA$165,0)-2,21),0)*$Z12,0)</f>
        <v>0</v>
      </c>
      <c r="X12" s="2207">
        <f>ROUND(IFERROR(INDEX(사회적유입!$AA$4:$AW$165,MATCH($C12,사회적유입!$AA$4:$AA$165,0)-2,22),0)*$Z12,0)</f>
        <v>0</v>
      </c>
      <c r="Y12" s="2207">
        <f>ROUND(IFERROR(INDEX(사회적유입!$AA$4:$AW$165,MATCH($C12,사회적유입!$AA$4:$AA$165,0)-2,23),0)*$Z12,0)</f>
        <v>1191</v>
      </c>
      <c r="Z12" s="2213">
        <f t="shared" si="2"/>
        <v>1</v>
      </c>
      <c r="AB12" s="2586" t="s">
        <v>1108</v>
      </c>
      <c r="AC12" s="2587"/>
      <c r="AD12" s="2587"/>
      <c r="AE12" s="1048"/>
      <c r="AF12" s="1048"/>
      <c r="AG12" s="1048"/>
      <c r="AH12" s="1048"/>
      <c r="AI12" s="1048"/>
      <c r="AJ12" s="1048"/>
      <c r="AK12" s="1048"/>
      <c r="AL12" s="1048"/>
      <c r="AM12" s="1048"/>
      <c r="AN12" s="1049">
        <v>1</v>
      </c>
    </row>
    <row r="13" spans="1:41" ht="17.100000000000001" customHeight="1">
      <c r="A13" s="2562"/>
      <c r="B13" s="2570"/>
      <c r="C13" s="2210" t="str">
        <f>AB55</f>
        <v>음성산업단지</v>
      </c>
      <c r="D13" s="2207">
        <f>ROUND(IFERROR(INDEX(사회적유입!$AA$4:$AW$165,MATCH($C13,사회적유입!$AA$4:$AA$165,0)-2,2),0)*$Z13,0)</f>
        <v>0</v>
      </c>
      <c r="E13" s="2207">
        <f>ROUND(IFERROR(INDEX(사회적유입!$AA$4:$AW$165,MATCH($C13,사회적유입!$AA$4:$AA$165,0)-2,3),0)*$Z13,0)</f>
        <v>0</v>
      </c>
      <c r="F13" s="2207">
        <f>ROUND(IFERROR(INDEX(사회적유입!$AA$4:$AW$165,MATCH($C13,사회적유입!$AA$4:$AA$165,0)-2,4),0)*$Z13,0)</f>
        <v>0</v>
      </c>
      <c r="G13" s="2207">
        <f>ROUND(IFERROR(INDEX(사회적유입!$AA$4:$AW$165,MATCH($C13,사회적유입!$AA$4:$AA$165,0)-2,5),0)*$Z13,0)</f>
        <v>0</v>
      </c>
      <c r="H13" s="2207">
        <f>ROUND(IFERROR(INDEX(사회적유입!$AA$4:$AW$165,MATCH($C13,사회적유입!$AA$4:$AA$165,0)-2,6),0)*$Z13,0)</f>
        <v>0</v>
      </c>
      <c r="I13" s="2207">
        <f>ROUND(IFERROR(INDEX(사회적유입!$AA$4:$AW$165,MATCH($C13,사회적유입!$AA$4:$AA$165,0)-2,7),0)*$Z13,0)</f>
        <v>0</v>
      </c>
      <c r="J13" s="2207">
        <f>ROUND(IFERROR(INDEX(사회적유입!$AA$4:$AW$165,MATCH($C13,사회적유입!$AA$4:$AA$165,0)-2,8),0)*$Z13,0)</f>
        <v>0</v>
      </c>
      <c r="K13" s="2207">
        <f>ROUND(IFERROR(INDEX(사회적유입!$AA$4:$AW$165,MATCH($C13,사회적유입!$AA$4:$AA$165,0)-2,9),0)*$Z13,0)</f>
        <v>0</v>
      </c>
      <c r="L13" s="2207">
        <f>ROUND(IFERROR(INDEX(사회적유입!$AA$4:$AW$165,MATCH($C13,사회적유입!$AA$4:$AA$165,0)-2,10),0)*$Z13,0)</f>
        <v>0</v>
      </c>
      <c r="M13" s="2207">
        <f>ROUND(IFERROR(INDEX(사회적유입!$AA$4:$AW$165,MATCH($C13,사회적유입!$AA$4:$AA$165,0)-2,11),0)*$Z13,0)</f>
        <v>0</v>
      </c>
      <c r="N13" s="2207">
        <f>ROUND(IFERROR(INDEX(사회적유입!$AA$4:$AW$165,MATCH($C13,사회적유입!$AA$4:$AA$165,0)-2,12),0)*$Z13,0)</f>
        <v>0</v>
      </c>
      <c r="O13" s="2207">
        <f>ROUND(IFERROR(INDEX(사회적유입!$AA$4:$AW$165,MATCH($C13,사회적유입!$AA$4:$AA$165,0)-2,13),0)*$Z13,0)</f>
        <v>0</v>
      </c>
      <c r="P13" s="2207">
        <f>ROUND(IFERROR(INDEX(사회적유입!$AA$4:$AW$165,MATCH($C13,사회적유입!$AA$4:$AA$165,0)-2,14),0)*$Z13,0)</f>
        <v>0</v>
      </c>
      <c r="Q13" s="2207">
        <f>ROUND(IFERROR(INDEX(사회적유입!$AA$4:$AW$165,MATCH($C13,사회적유입!$AA$4:$AA$165,0)-2,15),0)*$Z13,0)</f>
        <v>0</v>
      </c>
      <c r="R13" s="2207">
        <f>ROUND(IFERROR(INDEX(사회적유입!$AA$4:$AW$165,MATCH($C13,사회적유입!$AA$4:$AA$165,0)-2,16),0)*$Z13,0)</f>
        <v>0</v>
      </c>
      <c r="S13" s="2207">
        <f>ROUND(IFERROR(INDEX(사회적유입!$AA$4:$AW$165,MATCH($C13,사회적유입!$AA$4:$AA$165,0)-2,17),0)*$Z13,0)</f>
        <v>0</v>
      </c>
      <c r="T13" s="2207">
        <f>ROUND(IFERROR(INDEX(사회적유입!$AA$4:$AW$165,MATCH($C13,사회적유입!$AA$4:$AA$165,0)-2,18),0)*$Z13,0)</f>
        <v>0</v>
      </c>
      <c r="U13" s="2207">
        <f>ROUND(IFERROR(INDEX(사회적유입!$AA$4:$AW$165,MATCH($C13,사회적유입!$AA$4:$AA$165,0)-2,19),0)*$Z13,0)</f>
        <v>0</v>
      </c>
      <c r="V13" s="2207">
        <f>ROUND(IFERROR(INDEX(사회적유입!$AA$4:$AW$165,MATCH($C13,사회적유입!$AA$4:$AA$165,0)-2,20),0)*$Z13,0)</f>
        <v>0</v>
      </c>
      <c r="W13" s="2207">
        <f>ROUND(IFERROR(INDEX(사회적유입!$AA$4:$AW$165,MATCH($C13,사회적유입!$AA$4:$AA$165,0)-2,21),0)*$Z13,0)</f>
        <v>0</v>
      </c>
      <c r="X13" s="2207">
        <f>ROUND(IFERROR(INDEX(사회적유입!$AA$4:$AW$165,MATCH($C13,사회적유입!$AA$4:$AA$165,0)-2,22),0)*$Z13,0)</f>
        <v>0</v>
      </c>
      <c r="Y13" s="2207">
        <f>ROUND(IFERROR(INDEX(사회적유입!$AA$4:$AW$165,MATCH($C13,사회적유입!$AA$4:$AA$165,0)-2,23),0)*$Z13,0)</f>
        <v>1546</v>
      </c>
      <c r="Z13" s="2213">
        <f t="shared" si="2"/>
        <v>1</v>
      </c>
      <c r="AB13" s="2586" t="s">
        <v>1109</v>
      </c>
      <c r="AC13" s="2587"/>
      <c r="AD13" s="2587"/>
      <c r="AE13" s="1048">
        <v>1</v>
      </c>
      <c r="AF13" s="1048"/>
      <c r="AG13" s="1048"/>
      <c r="AH13" s="1048"/>
      <c r="AI13" s="1048"/>
      <c r="AJ13" s="1048"/>
      <c r="AK13" s="1048"/>
      <c r="AL13" s="1048"/>
      <c r="AM13" s="1048"/>
      <c r="AN13" s="1050"/>
    </row>
    <row r="14" spans="1:41" ht="17.100000000000001" customHeight="1">
      <c r="A14" s="2562"/>
      <c r="B14" s="2570"/>
      <c r="C14" s="2210" t="str">
        <f>AB56</f>
        <v>㈜에스지월드테크</v>
      </c>
      <c r="D14" s="2207">
        <f>ROUND(IFERROR(INDEX(사회적유입!$AA$4:$AW$165,MATCH($C14,사회적유입!$AA$4:$AA$165,0)-2,2),0)*$Z14,0)</f>
        <v>0</v>
      </c>
      <c r="E14" s="2207">
        <f>ROUND(IFERROR(INDEX(사회적유입!$AA$4:$AW$165,MATCH($C14,사회적유입!$AA$4:$AA$165,0)-2,3),0)*$Z14,0)</f>
        <v>0</v>
      </c>
      <c r="F14" s="2207">
        <f>ROUND(IFERROR(INDEX(사회적유입!$AA$4:$AW$165,MATCH($C14,사회적유입!$AA$4:$AA$165,0)-2,4),0)*$Z14,0)</f>
        <v>0</v>
      </c>
      <c r="G14" s="2207">
        <f>ROUND(IFERROR(INDEX(사회적유입!$AA$4:$AW$165,MATCH($C14,사회적유입!$AA$4:$AA$165,0)-2,5),0)*$Z14,0)</f>
        <v>0</v>
      </c>
      <c r="H14" s="2207">
        <f>ROUND(IFERROR(INDEX(사회적유입!$AA$4:$AW$165,MATCH($C14,사회적유입!$AA$4:$AA$165,0)-2,6),0)*$Z14,0)</f>
        <v>0</v>
      </c>
      <c r="I14" s="2207">
        <f>ROUND(IFERROR(INDEX(사회적유입!$AA$4:$AW$165,MATCH($C14,사회적유입!$AA$4:$AA$165,0)-2,7),0)*$Z14,0)</f>
        <v>0</v>
      </c>
      <c r="J14" s="2207">
        <f>ROUND(IFERROR(INDEX(사회적유입!$AA$4:$AW$165,MATCH($C14,사회적유입!$AA$4:$AA$165,0)-2,8),0)*$Z14,0)</f>
        <v>0</v>
      </c>
      <c r="K14" s="2207">
        <f>ROUND(IFERROR(INDEX(사회적유입!$AA$4:$AW$165,MATCH($C14,사회적유입!$AA$4:$AA$165,0)-2,9),0)*$Z14,0)</f>
        <v>0</v>
      </c>
      <c r="L14" s="2207">
        <f>ROUND(IFERROR(INDEX(사회적유입!$AA$4:$AW$165,MATCH($C14,사회적유입!$AA$4:$AA$165,0)-2,10),0)*$Z14,0)</f>
        <v>0</v>
      </c>
      <c r="M14" s="2207">
        <f>ROUND(IFERROR(INDEX(사회적유입!$AA$4:$AW$165,MATCH($C14,사회적유입!$AA$4:$AA$165,0)-2,11),0)*$Z14,0)</f>
        <v>0</v>
      </c>
      <c r="N14" s="2207">
        <f>ROUND(IFERROR(INDEX(사회적유입!$AA$4:$AW$165,MATCH($C14,사회적유입!$AA$4:$AA$165,0)-2,12),0)*$Z14,0)</f>
        <v>0</v>
      </c>
      <c r="O14" s="2207">
        <f>ROUND(IFERROR(INDEX(사회적유입!$AA$4:$AW$165,MATCH($C14,사회적유입!$AA$4:$AA$165,0)-2,13),0)*$Z14,0)</f>
        <v>0</v>
      </c>
      <c r="P14" s="2207">
        <f>ROUND(IFERROR(INDEX(사회적유입!$AA$4:$AW$165,MATCH($C14,사회적유입!$AA$4:$AA$165,0)-2,14),0)*$Z14,0)</f>
        <v>0</v>
      </c>
      <c r="Q14" s="2207">
        <f>ROUND(IFERROR(INDEX(사회적유입!$AA$4:$AW$165,MATCH($C14,사회적유입!$AA$4:$AA$165,0)-2,15),0)*$Z14,0)</f>
        <v>0</v>
      </c>
      <c r="R14" s="2207">
        <f>ROUND(IFERROR(INDEX(사회적유입!$AA$4:$AW$165,MATCH($C14,사회적유입!$AA$4:$AA$165,0)-2,16),0)*$Z14,0)</f>
        <v>0</v>
      </c>
      <c r="S14" s="2207">
        <f>ROUND(IFERROR(INDEX(사회적유입!$AA$4:$AW$165,MATCH($C14,사회적유입!$AA$4:$AA$165,0)-2,17),0)*$Z14,0)</f>
        <v>0</v>
      </c>
      <c r="T14" s="2207">
        <f>ROUND(IFERROR(INDEX(사회적유입!$AA$4:$AW$165,MATCH($C14,사회적유입!$AA$4:$AA$165,0)-2,18),0)*$Z14,0)</f>
        <v>0</v>
      </c>
      <c r="U14" s="2207">
        <f>ROUND(IFERROR(INDEX(사회적유입!$AA$4:$AW$165,MATCH($C14,사회적유입!$AA$4:$AA$165,0)-2,19),0)*$Z14,0)</f>
        <v>0</v>
      </c>
      <c r="V14" s="2207">
        <f>ROUND(IFERROR(INDEX(사회적유입!$AA$4:$AW$165,MATCH($C14,사회적유입!$AA$4:$AA$165,0)-2,20),0)*$Z14,0)</f>
        <v>0</v>
      </c>
      <c r="W14" s="2207">
        <f>ROUND(IFERROR(INDEX(사회적유입!$AA$4:$AW$165,MATCH($C14,사회적유입!$AA$4:$AA$165,0)-2,21),0)*$Z14,0)</f>
        <v>0</v>
      </c>
      <c r="X14" s="2207">
        <f>ROUND(IFERROR(INDEX(사회적유입!$AA$4:$AW$165,MATCH($C14,사회적유입!$AA$4:$AA$165,0)-2,22),0)*$Z14,0)</f>
        <v>0</v>
      </c>
      <c r="Y14" s="2207">
        <f>ROUND(IFERROR(INDEX(사회적유입!$AA$4:$AW$165,MATCH($C14,사회적유입!$AA$4:$AA$165,0)-2,23),0)*$Z14,0)</f>
        <v>99</v>
      </c>
      <c r="Z14" s="2213">
        <f t="shared" si="2"/>
        <v>1</v>
      </c>
      <c r="AB14" s="2586" t="s">
        <v>1134</v>
      </c>
      <c r="AC14" s="2587"/>
      <c r="AD14" s="2587"/>
      <c r="AE14" s="1048">
        <v>1</v>
      </c>
      <c r="AF14" s="1048"/>
      <c r="AG14" s="1048"/>
      <c r="AH14" s="1048"/>
      <c r="AI14" s="1048"/>
      <c r="AJ14" s="1048"/>
      <c r="AK14" s="1048"/>
      <c r="AL14" s="1048"/>
      <c r="AM14" s="1048"/>
      <c r="AN14" s="1050"/>
    </row>
    <row r="15" spans="1:41" ht="17.100000000000001" customHeight="1">
      <c r="A15" s="2562"/>
      <c r="B15" s="2570"/>
      <c r="C15" s="2210" t="str">
        <f>AB57</f>
        <v>lng 발전소</v>
      </c>
      <c r="D15" s="2207">
        <f>ROUND(IFERROR(INDEX(사회적유입!$AA$4:$AW$165,MATCH($C15,사회적유입!$AA$4:$AA$165,0)-2,2),0)*$Z15,0)</f>
        <v>0</v>
      </c>
      <c r="E15" s="2207">
        <f>ROUND(IFERROR(INDEX(사회적유입!$AA$4:$AW$165,MATCH($C15,사회적유입!$AA$4:$AA$165,0)-2,3),0)*$Z15,0)</f>
        <v>0</v>
      </c>
      <c r="F15" s="2207">
        <f>ROUND(IFERROR(INDEX(사회적유입!$AA$4:$AW$165,MATCH($C15,사회적유입!$AA$4:$AA$165,0)-2,4),0)*$Z15,0)</f>
        <v>0</v>
      </c>
      <c r="G15" s="2207">
        <f>ROUND(IFERROR(INDEX(사회적유입!$AA$4:$AW$165,MATCH($C15,사회적유입!$AA$4:$AA$165,0)-2,5),0)*$Z15,0)</f>
        <v>0</v>
      </c>
      <c r="H15" s="2207">
        <f>ROUND(IFERROR(INDEX(사회적유입!$AA$4:$AW$165,MATCH($C15,사회적유입!$AA$4:$AA$165,0)-2,6),0)*$Z15,0)</f>
        <v>0</v>
      </c>
      <c r="I15" s="2207">
        <f>ROUND(IFERROR(INDEX(사회적유입!$AA$4:$AW$165,MATCH($C15,사회적유입!$AA$4:$AA$165,0)-2,7),0)*$Z15,0)</f>
        <v>0</v>
      </c>
      <c r="J15" s="2207">
        <f>ROUND(IFERROR(INDEX(사회적유입!$AA$4:$AW$165,MATCH($C15,사회적유입!$AA$4:$AA$165,0)-2,8),0)*$Z15,0)</f>
        <v>0</v>
      </c>
      <c r="K15" s="2207">
        <f>ROUND(IFERROR(INDEX(사회적유입!$AA$4:$AW$165,MATCH($C15,사회적유입!$AA$4:$AA$165,0)-2,9),0)*$Z15,0)</f>
        <v>0</v>
      </c>
      <c r="L15" s="2207">
        <f>ROUND(IFERROR(INDEX(사회적유입!$AA$4:$AW$165,MATCH($C15,사회적유입!$AA$4:$AA$165,0)-2,10),0)*$Z15,0)</f>
        <v>0</v>
      </c>
      <c r="M15" s="2207">
        <f>ROUND(IFERROR(INDEX(사회적유입!$AA$4:$AW$165,MATCH($C15,사회적유입!$AA$4:$AA$165,0)-2,11),0)*$Z15,0)</f>
        <v>0</v>
      </c>
      <c r="N15" s="2207">
        <f>ROUND(IFERROR(INDEX(사회적유입!$AA$4:$AW$165,MATCH($C15,사회적유입!$AA$4:$AA$165,0)-2,12),0)*$Z15,0)</f>
        <v>0</v>
      </c>
      <c r="O15" s="2207">
        <f>ROUND(IFERROR(INDEX(사회적유입!$AA$4:$AW$165,MATCH($C15,사회적유입!$AA$4:$AA$165,0)-2,13),0)*$Z15,0)</f>
        <v>0</v>
      </c>
      <c r="P15" s="2207">
        <f>ROUND(IFERROR(INDEX(사회적유입!$AA$4:$AW$165,MATCH($C15,사회적유입!$AA$4:$AA$165,0)-2,14),0)*$Z15,0)</f>
        <v>0</v>
      </c>
      <c r="Q15" s="2207">
        <f>ROUND(IFERROR(INDEX(사회적유입!$AA$4:$AW$165,MATCH($C15,사회적유입!$AA$4:$AA$165,0)-2,15),0)*$Z15,0)</f>
        <v>0</v>
      </c>
      <c r="R15" s="2207">
        <f>ROUND(IFERROR(INDEX(사회적유입!$AA$4:$AW$165,MATCH($C15,사회적유입!$AA$4:$AA$165,0)-2,16),0)*$Z15,0)</f>
        <v>0</v>
      </c>
      <c r="S15" s="2207">
        <f>ROUND(IFERROR(INDEX(사회적유입!$AA$4:$AW$165,MATCH($C15,사회적유입!$AA$4:$AA$165,0)-2,17),0)*$Z15,0)</f>
        <v>0</v>
      </c>
      <c r="T15" s="2207">
        <f>ROUND(IFERROR(INDEX(사회적유입!$AA$4:$AW$165,MATCH($C15,사회적유입!$AA$4:$AA$165,0)-2,18),0)*$Z15,0)</f>
        <v>0</v>
      </c>
      <c r="U15" s="2207">
        <f>ROUND(IFERROR(INDEX(사회적유입!$AA$4:$AW$165,MATCH($C15,사회적유입!$AA$4:$AA$165,0)-2,19),0)*$Z15,0)</f>
        <v>0</v>
      </c>
      <c r="V15" s="2207">
        <f>ROUND(IFERROR(INDEX(사회적유입!$AA$4:$AW$165,MATCH($C15,사회적유입!$AA$4:$AA$165,0)-2,20),0)*$Z15,0)</f>
        <v>0</v>
      </c>
      <c r="W15" s="2207">
        <f>ROUND(IFERROR(INDEX(사회적유입!$AA$4:$AW$165,MATCH($C15,사회적유입!$AA$4:$AA$165,0)-2,21),0)*$Z15,0)</f>
        <v>0</v>
      </c>
      <c r="X15" s="2207">
        <f>ROUND(IFERROR(INDEX(사회적유입!$AA$4:$AW$165,MATCH($C15,사회적유입!$AA$4:$AA$165,0)-2,22),0)*$Z15,0)</f>
        <v>0</v>
      </c>
      <c r="Y15" s="2207">
        <f>ROUND(IFERROR(INDEX(사회적유입!$AA$4:$AW$165,MATCH($C15,사회적유입!$AA$4:$AA$165,0)-2,23),0)*$Z15,0)</f>
        <v>225</v>
      </c>
      <c r="Z15" s="2213">
        <f t="shared" si="2"/>
        <v>1</v>
      </c>
      <c r="AB15" s="2586" t="s">
        <v>1110</v>
      </c>
      <c r="AC15" s="2587"/>
      <c r="AD15" s="2587"/>
      <c r="AE15" s="1048">
        <v>1</v>
      </c>
      <c r="AF15" s="1048"/>
      <c r="AG15" s="1048"/>
      <c r="AH15" s="1048"/>
      <c r="AI15" s="1048"/>
      <c r="AJ15" s="1048"/>
      <c r="AK15" s="1048"/>
      <c r="AL15" s="1048"/>
      <c r="AM15" s="1048"/>
      <c r="AN15" s="1050"/>
    </row>
    <row r="16" spans="1:41" ht="17.100000000000001" customHeight="1">
      <c r="A16" s="2562"/>
      <c r="B16" s="2570"/>
      <c r="C16" s="2210" t="str">
        <f>AB52</f>
        <v>소이산업단지 확장</v>
      </c>
      <c r="D16" s="2207">
        <f>ROUND(IFERROR(INDEX(사회적유입!$AA$4:$AW$165,MATCH($C16,사회적유입!$AA$4:$AA$165,0)-2,2),0)*$Z16,0)</f>
        <v>0</v>
      </c>
      <c r="E16" s="2207">
        <f>ROUND(IFERROR(INDEX(사회적유입!$AA$4:$AW$165,MATCH($C16,사회적유입!$AA$4:$AA$165,0)-2,3),0)*$Z16,0)</f>
        <v>0</v>
      </c>
      <c r="F16" s="2207">
        <f>ROUND(IFERROR(INDEX(사회적유입!$AA$4:$AW$165,MATCH($C16,사회적유입!$AA$4:$AA$165,0)-2,4),0)*$Z16,0)</f>
        <v>0</v>
      </c>
      <c r="G16" s="2207">
        <f>ROUND(IFERROR(INDEX(사회적유입!$AA$4:$AW$165,MATCH($C16,사회적유입!$AA$4:$AA$165,0)-2,5),0)*$Z16,0)</f>
        <v>0</v>
      </c>
      <c r="H16" s="2207">
        <f>ROUND(IFERROR(INDEX(사회적유입!$AA$4:$AW$165,MATCH($C16,사회적유입!$AA$4:$AA$165,0)-2,6),0)*$Z16,0)</f>
        <v>0</v>
      </c>
      <c r="I16" s="2207">
        <f>ROUND(IFERROR(INDEX(사회적유입!$AA$4:$AW$165,MATCH($C16,사회적유입!$AA$4:$AA$165,0)-2,7),0)*$Z16,0)</f>
        <v>0</v>
      </c>
      <c r="J16" s="2207">
        <f>ROUND(IFERROR(INDEX(사회적유입!$AA$4:$AW$165,MATCH($C16,사회적유입!$AA$4:$AA$165,0)-2,8),0)*$Z16,0)</f>
        <v>0</v>
      </c>
      <c r="K16" s="2207">
        <f>ROUND(IFERROR(INDEX(사회적유입!$AA$4:$AW$165,MATCH($C16,사회적유입!$AA$4:$AA$165,0)-2,9),0)*$Z16,0)</f>
        <v>0</v>
      </c>
      <c r="L16" s="2207">
        <f>ROUND(IFERROR(INDEX(사회적유입!$AA$4:$AW$165,MATCH($C16,사회적유입!$AA$4:$AA$165,0)-2,10),0)*$Z16,0)</f>
        <v>0</v>
      </c>
      <c r="M16" s="2207">
        <f>ROUND(IFERROR(INDEX(사회적유입!$AA$4:$AW$165,MATCH($C16,사회적유입!$AA$4:$AA$165,0)-2,11),0)*$Z16,0)</f>
        <v>0</v>
      </c>
      <c r="N16" s="2207">
        <f>ROUND(IFERROR(INDEX(사회적유입!$AA$4:$AW$165,MATCH($C16,사회적유입!$AA$4:$AA$165,0)-2,12),0)*$Z16,0)</f>
        <v>0</v>
      </c>
      <c r="O16" s="2207">
        <f>ROUND(IFERROR(INDEX(사회적유입!$AA$4:$AW$165,MATCH($C16,사회적유입!$AA$4:$AA$165,0)-2,13),0)*$Z16,0)</f>
        <v>0</v>
      </c>
      <c r="P16" s="2207">
        <f>ROUND(IFERROR(INDEX(사회적유입!$AA$4:$AW$165,MATCH($C16,사회적유입!$AA$4:$AA$165,0)-2,14),0)*$Z16,0)</f>
        <v>0</v>
      </c>
      <c r="Q16" s="2207">
        <f>ROUND(IFERROR(INDEX(사회적유입!$AA$4:$AW$165,MATCH($C16,사회적유입!$AA$4:$AA$165,0)-2,15),0)*$Z16,0)</f>
        <v>0</v>
      </c>
      <c r="R16" s="2207">
        <f>ROUND(IFERROR(INDEX(사회적유입!$AA$4:$AW$165,MATCH($C16,사회적유입!$AA$4:$AA$165,0)-2,16),0)*$Z16,0)</f>
        <v>0</v>
      </c>
      <c r="S16" s="2207">
        <f>ROUND(IFERROR(INDEX(사회적유입!$AA$4:$AW$165,MATCH($C16,사회적유입!$AA$4:$AA$165,0)-2,17),0)*$Z16,0)</f>
        <v>0</v>
      </c>
      <c r="T16" s="2207">
        <f>ROUND(IFERROR(INDEX(사회적유입!$AA$4:$AW$165,MATCH($C16,사회적유입!$AA$4:$AA$165,0)-2,18),0)*$Z16,0)</f>
        <v>0</v>
      </c>
      <c r="U16" s="2207">
        <f>ROUND(IFERROR(INDEX(사회적유입!$AA$4:$AW$165,MATCH($C16,사회적유입!$AA$4:$AA$165,0)-2,19),0)*$Z16,0)</f>
        <v>0</v>
      </c>
      <c r="V16" s="2207">
        <f>ROUND(IFERROR(INDEX(사회적유입!$AA$4:$AW$165,MATCH($C16,사회적유입!$AA$4:$AA$165,0)-2,20),0)*$Z16,0)</f>
        <v>0</v>
      </c>
      <c r="W16" s="2207">
        <f>ROUND(IFERROR(INDEX(사회적유입!$AA$4:$AW$165,MATCH($C16,사회적유입!$AA$4:$AA$165,0)-2,21),0)*$Z16,0)</f>
        <v>0</v>
      </c>
      <c r="X16" s="2207">
        <f>ROUND(IFERROR(INDEX(사회적유입!$AA$4:$AW$165,MATCH($C16,사회적유입!$AA$4:$AA$165,0)-2,22),0)*$Z16,0)</f>
        <v>0</v>
      </c>
      <c r="Y16" s="2207">
        <f>ROUND(IFERROR(INDEX(사회적유입!$AA$4:$AW$165,MATCH($C16,사회적유입!$AA$4:$AA$165,0)-2,23),0)*$Z16,0)</f>
        <v>368</v>
      </c>
      <c r="Z16" s="2213">
        <f t="shared" si="2"/>
        <v>0.5</v>
      </c>
      <c r="AB16" s="2586" t="s">
        <v>2268</v>
      </c>
      <c r="AC16" s="2587"/>
      <c r="AD16" s="2587"/>
      <c r="AE16" s="1048"/>
      <c r="AF16" s="1048"/>
      <c r="AG16" s="1048"/>
      <c r="AH16" s="1048"/>
      <c r="AI16" s="1048"/>
      <c r="AJ16" s="1048">
        <v>1</v>
      </c>
      <c r="AK16" s="1048"/>
      <c r="AL16" s="1048"/>
      <c r="AM16" s="1048"/>
      <c r="AN16" s="1050"/>
      <c r="AO16" s="64"/>
    </row>
    <row r="17" spans="1:41" ht="17.100000000000001" customHeight="1">
      <c r="A17" s="2562"/>
      <c r="B17" s="2570"/>
      <c r="C17" s="2210" t="str">
        <f>AB53</f>
        <v>보천산업단지</v>
      </c>
      <c r="D17" s="2207">
        <f>ROUND(IFERROR(INDEX(사회적유입!$AA$4:$AW$165,MATCH($C17,사회적유입!$AA$4:$AA$165,0)-2,2),0)*$Z17,0)</f>
        <v>0</v>
      </c>
      <c r="E17" s="2207">
        <f>ROUND(IFERROR(INDEX(사회적유입!$AA$4:$AW$165,MATCH($C17,사회적유입!$AA$4:$AA$165,0)-2,3),0)*$Z17,0)</f>
        <v>0</v>
      </c>
      <c r="F17" s="2207">
        <f>ROUND(IFERROR(INDEX(사회적유입!$AA$4:$AW$165,MATCH($C17,사회적유입!$AA$4:$AA$165,0)-2,4),0)*$Z17,0)</f>
        <v>0</v>
      </c>
      <c r="G17" s="2207">
        <f>ROUND(IFERROR(INDEX(사회적유입!$AA$4:$AW$165,MATCH($C17,사회적유입!$AA$4:$AA$165,0)-2,5),0)*$Z17,0)</f>
        <v>0</v>
      </c>
      <c r="H17" s="2207">
        <f>ROUND(IFERROR(INDEX(사회적유입!$AA$4:$AW$165,MATCH($C17,사회적유입!$AA$4:$AA$165,0)-2,6),0)*$Z17,0)</f>
        <v>0</v>
      </c>
      <c r="I17" s="2207">
        <f>ROUND(IFERROR(INDEX(사회적유입!$AA$4:$AW$165,MATCH($C17,사회적유입!$AA$4:$AA$165,0)-2,7),0)*$Z17,0)</f>
        <v>0</v>
      </c>
      <c r="J17" s="2207">
        <f>ROUND(IFERROR(INDEX(사회적유입!$AA$4:$AW$165,MATCH($C17,사회적유입!$AA$4:$AA$165,0)-2,8),0)*$Z17,0)</f>
        <v>0</v>
      </c>
      <c r="K17" s="2207">
        <f>ROUND(IFERROR(INDEX(사회적유입!$AA$4:$AW$165,MATCH($C17,사회적유입!$AA$4:$AA$165,0)-2,9),0)*$Z17,0)</f>
        <v>0</v>
      </c>
      <c r="L17" s="2207">
        <f>ROUND(IFERROR(INDEX(사회적유입!$AA$4:$AW$165,MATCH($C17,사회적유입!$AA$4:$AA$165,0)-2,10),0)*$Z17,0)</f>
        <v>0</v>
      </c>
      <c r="M17" s="2207">
        <f>ROUND(IFERROR(INDEX(사회적유입!$AA$4:$AW$165,MATCH($C17,사회적유입!$AA$4:$AA$165,0)-2,11),0)*$Z17,0)</f>
        <v>0</v>
      </c>
      <c r="N17" s="2207">
        <f>ROUND(IFERROR(INDEX(사회적유입!$AA$4:$AW$165,MATCH($C17,사회적유입!$AA$4:$AA$165,0)-2,12),0)*$Z17,0)</f>
        <v>0</v>
      </c>
      <c r="O17" s="2207">
        <f>ROUND(IFERROR(INDEX(사회적유입!$AA$4:$AW$165,MATCH($C17,사회적유입!$AA$4:$AA$165,0)-2,13),0)*$Z17,0)</f>
        <v>0</v>
      </c>
      <c r="P17" s="2207">
        <f>ROUND(IFERROR(INDEX(사회적유입!$AA$4:$AW$165,MATCH($C17,사회적유입!$AA$4:$AA$165,0)-2,14),0)*$Z17,0)</f>
        <v>0</v>
      </c>
      <c r="Q17" s="2207">
        <f>ROUND(IFERROR(INDEX(사회적유입!$AA$4:$AW$165,MATCH($C17,사회적유입!$AA$4:$AA$165,0)-2,15),0)*$Z17,0)</f>
        <v>0</v>
      </c>
      <c r="R17" s="2207">
        <f>ROUND(IFERROR(INDEX(사회적유입!$AA$4:$AW$165,MATCH($C17,사회적유입!$AA$4:$AA$165,0)-2,16),0)*$Z17,0)</f>
        <v>0</v>
      </c>
      <c r="S17" s="2207">
        <f>ROUND(IFERROR(INDEX(사회적유입!$AA$4:$AW$165,MATCH($C17,사회적유입!$AA$4:$AA$165,0)-2,17),0)*$Z17,0)</f>
        <v>0</v>
      </c>
      <c r="T17" s="2207">
        <f>ROUND(IFERROR(INDEX(사회적유입!$AA$4:$AW$165,MATCH($C17,사회적유입!$AA$4:$AA$165,0)-2,18),0)*$Z17,0)</f>
        <v>0</v>
      </c>
      <c r="U17" s="2207">
        <f>ROUND(IFERROR(INDEX(사회적유입!$AA$4:$AW$165,MATCH($C17,사회적유입!$AA$4:$AA$165,0)-2,19),0)*$Z17,0)</f>
        <v>0</v>
      </c>
      <c r="V17" s="2207">
        <f>ROUND(IFERROR(INDEX(사회적유입!$AA$4:$AW$165,MATCH($C17,사회적유입!$AA$4:$AA$165,0)-2,20),0)*$Z17,0)</f>
        <v>0</v>
      </c>
      <c r="W17" s="2207">
        <f>ROUND(IFERROR(INDEX(사회적유입!$AA$4:$AW$165,MATCH($C17,사회적유입!$AA$4:$AA$165,0)-2,21),0)*$Z17,0)</f>
        <v>0</v>
      </c>
      <c r="X17" s="2207">
        <f>ROUND(IFERROR(INDEX(사회적유입!$AA$4:$AW$165,MATCH($C17,사회적유입!$AA$4:$AA$165,0)-2,22),0)*$Z17,0)</f>
        <v>0</v>
      </c>
      <c r="Y17" s="2207">
        <f>ROUND(IFERROR(INDEX(사회적유입!$AA$4:$AW$165,MATCH($C17,사회적유입!$AA$4:$AA$165,0)-2,23),0)*$Z17,0)</f>
        <v>715</v>
      </c>
      <c r="Z17" s="2213">
        <f t="shared" si="2"/>
        <v>0.5</v>
      </c>
      <c r="AB17" s="2607" t="s">
        <v>1112</v>
      </c>
      <c r="AC17" s="2608"/>
      <c r="AD17" s="2608"/>
      <c r="AE17" s="1048"/>
      <c r="AF17" s="1048"/>
      <c r="AG17" s="1048"/>
      <c r="AH17" s="1048"/>
      <c r="AI17" s="1048"/>
      <c r="AJ17" s="1048">
        <v>1</v>
      </c>
      <c r="AK17" s="1048"/>
      <c r="AL17" s="1048"/>
      <c r="AM17" s="1048"/>
      <c r="AN17" s="1050"/>
      <c r="AO17" s="64"/>
    </row>
    <row r="18" spans="1:41" ht="17.100000000000001" customHeight="1">
      <c r="A18" s="2562"/>
      <c r="B18" s="2570"/>
      <c r="C18" s="2208" t="s">
        <v>73</v>
      </c>
      <c r="D18" s="2209">
        <f>SUM(D11:D17)</f>
        <v>0</v>
      </c>
      <c r="E18" s="2209">
        <f t="shared" ref="E18:Y18" si="3">SUM(E11:E17)</f>
        <v>0</v>
      </c>
      <c r="F18" s="2209">
        <f t="shared" si="3"/>
        <v>0</v>
      </c>
      <c r="G18" s="2209">
        <f t="shared" si="3"/>
        <v>0</v>
      </c>
      <c r="H18" s="2209">
        <f t="shared" si="3"/>
        <v>0</v>
      </c>
      <c r="I18" s="2209">
        <f t="shared" si="3"/>
        <v>0</v>
      </c>
      <c r="J18" s="2209">
        <f t="shared" si="3"/>
        <v>0</v>
      </c>
      <c r="K18" s="2209">
        <f t="shared" si="3"/>
        <v>0</v>
      </c>
      <c r="L18" s="2209">
        <f t="shared" si="3"/>
        <v>0</v>
      </c>
      <c r="M18" s="2209">
        <f t="shared" si="3"/>
        <v>0</v>
      </c>
      <c r="N18" s="2209">
        <f t="shared" si="3"/>
        <v>0</v>
      </c>
      <c r="O18" s="2209">
        <f t="shared" si="3"/>
        <v>0</v>
      </c>
      <c r="P18" s="2209">
        <f t="shared" si="3"/>
        <v>0</v>
      </c>
      <c r="Q18" s="2209">
        <f t="shared" si="3"/>
        <v>0</v>
      </c>
      <c r="R18" s="2209">
        <f t="shared" si="3"/>
        <v>0</v>
      </c>
      <c r="S18" s="2209">
        <f t="shared" si="3"/>
        <v>0</v>
      </c>
      <c r="T18" s="2209">
        <f t="shared" si="3"/>
        <v>0</v>
      </c>
      <c r="U18" s="2209">
        <f t="shared" si="3"/>
        <v>0</v>
      </c>
      <c r="V18" s="2209">
        <f t="shared" si="3"/>
        <v>0</v>
      </c>
      <c r="W18" s="2209">
        <f t="shared" si="3"/>
        <v>0</v>
      </c>
      <c r="X18" s="2209">
        <f t="shared" si="3"/>
        <v>0</v>
      </c>
      <c r="Y18" s="2209">
        <f t="shared" si="3"/>
        <v>4144</v>
      </c>
      <c r="Z18" s="2213"/>
      <c r="AB18" s="2607" t="s">
        <v>1113</v>
      </c>
      <c r="AC18" s="2608"/>
      <c r="AD18" s="2608"/>
      <c r="AE18" s="1048">
        <v>1</v>
      </c>
      <c r="AF18" s="1048"/>
      <c r="AG18" s="1048"/>
      <c r="AH18" s="1048"/>
      <c r="AI18" s="1048"/>
      <c r="AJ18" s="1048"/>
      <c r="AK18" s="1048"/>
      <c r="AL18" s="1048"/>
      <c r="AM18" s="1048"/>
      <c r="AN18" s="1050"/>
    </row>
    <row r="19" spans="1:41" ht="17.100000000000001" customHeight="1">
      <c r="A19" s="2563"/>
      <c r="B19" s="2579" t="s">
        <v>74</v>
      </c>
      <c r="C19" s="2579"/>
      <c r="D19" s="2211">
        <f>SUM(D10,D18)</f>
        <v>0</v>
      </c>
      <c r="E19" s="2211">
        <f>SUM(E10,E18)</f>
        <v>0</v>
      </c>
      <c r="F19" s="2211">
        <f>SUM(F10,F18)</f>
        <v>0</v>
      </c>
      <c r="G19" s="2211">
        <f t="shared" ref="G19:Y19" si="4">SUM(G10,G18)</f>
        <v>198</v>
      </c>
      <c r="H19" s="2211">
        <f t="shared" si="4"/>
        <v>357</v>
      </c>
      <c r="I19" s="2211">
        <f t="shared" si="4"/>
        <v>357</v>
      </c>
      <c r="J19" s="2211">
        <f t="shared" si="4"/>
        <v>733</v>
      </c>
      <c r="K19" s="2211">
        <f t="shared" si="4"/>
        <v>733</v>
      </c>
      <c r="L19" s="2211">
        <f t="shared" si="4"/>
        <v>733</v>
      </c>
      <c r="M19" s="2211">
        <f t="shared" si="4"/>
        <v>733</v>
      </c>
      <c r="N19" s="2211">
        <f t="shared" si="4"/>
        <v>733</v>
      </c>
      <c r="O19" s="2211">
        <f t="shared" si="4"/>
        <v>733</v>
      </c>
      <c r="P19" s="2211">
        <f t="shared" si="4"/>
        <v>733</v>
      </c>
      <c r="Q19" s="2211">
        <f t="shared" si="4"/>
        <v>733</v>
      </c>
      <c r="R19" s="2211">
        <f t="shared" si="4"/>
        <v>733</v>
      </c>
      <c r="S19" s="2211">
        <f t="shared" si="4"/>
        <v>733</v>
      </c>
      <c r="T19" s="2211">
        <f t="shared" si="4"/>
        <v>733</v>
      </c>
      <c r="U19" s="2211">
        <f t="shared" si="4"/>
        <v>733</v>
      </c>
      <c r="V19" s="2211">
        <f t="shared" si="4"/>
        <v>733</v>
      </c>
      <c r="W19" s="2211">
        <f t="shared" si="4"/>
        <v>733</v>
      </c>
      <c r="X19" s="2211">
        <f t="shared" si="4"/>
        <v>733</v>
      </c>
      <c r="Y19" s="2211">
        <f t="shared" si="4"/>
        <v>4877</v>
      </c>
      <c r="Z19" s="2215"/>
      <c r="AB19" s="2607" t="s">
        <v>1114</v>
      </c>
      <c r="AC19" s="2608"/>
      <c r="AD19" s="2608"/>
      <c r="AE19" s="1048">
        <v>1</v>
      </c>
      <c r="AF19" s="1048"/>
      <c r="AG19" s="1048"/>
      <c r="AH19" s="1048"/>
      <c r="AI19" s="1048"/>
      <c r="AJ19" s="1048"/>
      <c r="AK19" s="1048"/>
      <c r="AL19" s="1048"/>
      <c r="AM19" s="1048"/>
      <c r="AN19" s="1050"/>
    </row>
    <row r="20" spans="1:41" ht="17.100000000000001" customHeight="1">
      <c r="A20" s="2561" t="s">
        <v>750</v>
      </c>
      <c r="B20" s="2569" t="s">
        <v>94</v>
      </c>
      <c r="C20" s="2204" t="str">
        <f>AB39</f>
        <v>무극지구 도시계발사업</v>
      </c>
      <c r="D20" s="2205">
        <f>ROUND(IFERROR(VLOOKUP($C20,사회적유입!$AA$5:$AW$167,2,FALSE),0)*$Z20,0)</f>
        <v>0</v>
      </c>
      <c r="E20" s="2205">
        <f>ROUND(IFERROR(VLOOKUP($C20,사회적유입!$AA$5:$AW$167,3,FALSE),0)*$Z20,0)</f>
        <v>0</v>
      </c>
      <c r="F20" s="2205">
        <f>ROUND(IFERROR(VLOOKUP($C20,사회적유입!$AA$5:$AW$167,4,FALSE),0)*$Z20,0)</f>
        <v>0</v>
      </c>
      <c r="G20" s="2205">
        <f>ROUND(IFERROR(VLOOKUP($C20,사회적유입!$AA$5:$AW$167,5,FALSE),0)*$Z20,0)</f>
        <v>0</v>
      </c>
      <c r="H20" s="2205">
        <f>ROUND(IFERROR(VLOOKUP($C20,사회적유입!$AA$5:$AW$167,6,FALSE),0)*$Z20,0)</f>
        <v>0</v>
      </c>
      <c r="I20" s="2205">
        <f>ROUND(IFERROR(VLOOKUP($C20,사회적유입!$AA$5:$AW$167,7,FALSE),0)*$Z20,0)</f>
        <v>0</v>
      </c>
      <c r="J20" s="2205">
        <f>ROUND(IFERROR(VLOOKUP($C20,사회적유입!$AA$5:$AW$167,8,FALSE),0)*$Z20,0)</f>
        <v>0</v>
      </c>
      <c r="K20" s="2205">
        <f>ROUND(IFERROR(VLOOKUP($C20,사회적유입!$AA$5:$AW$167,9,FALSE),0)*$Z20,0)</f>
        <v>0</v>
      </c>
      <c r="L20" s="2205">
        <f>ROUND(IFERROR(VLOOKUP($C20,사회적유입!$AA$5:$AW$167,10,FALSE),0)*$Z20,0)</f>
        <v>0</v>
      </c>
      <c r="M20" s="2205">
        <f>ROUND(IFERROR(VLOOKUP($C20,사회적유입!$AA$5:$AW$167,11,FALSE),0)*$Z20,0)</f>
        <v>0</v>
      </c>
      <c r="N20" s="2205">
        <f>ROUND(IFERROR(VLOOKUP($C20,사회적유입!$AA$5:$AW$167,12,FALSE),0)*$Z20,0)</f>
        <v>0</v>
      </c>
      <c r="O20" s="2205">
        <f>ROUND(IFERROR(VLOOKUP($C20,사회적유입!$AA$5:$AW$167,13,FALSE),0)*$Z20,0)</f>
        <v>0</v>
      </c>
      <c r="P20" s="2205">
        <f>ROUND(IFERROR(VLOOKUP($C20,사회적유입!$AA$5:$AW$167,14,FALSE),0)*$Z20,0)</f>
        <v>0</v>
      </c>
      <c r="Q20" s="2205">
        <f>ROUND(IFERROR(VLOOKUP($C20,사회적유입!$AA$5:$AW$167,15,FALSE),0)*$Z20,0)</f>
        <v>0</v>
      </c>
      <c r="R20" s="2205">
        <f>ROUND(IFERROR(VLOOKUP($C20,사회적유입!$AA$5:$AW$167,16,FALSE),0)*$Z20,0)</f>
        <v>0</v>
      </c>
      <c r="S20" s="2205">
        <f>ROUND(IFERROR(VLOOKUP($C20,사회적유입!$AA$5:$AW$167,17,FALSE),0)*$Z20,0)</f>
        <v>0</v>
      </c>
      <c r="T20" s="2205">
        <f>ROUND(IFERROR(VLOOKUP($C20,사회적유입!$AA$5:$AW$167,18,FALSE),0)*$Z20,0)</f>
        <v>0</v>
      </c>
      <c r="U20" s="2205">
        <f>ROUND(IFERROR(VLOOKUP($C20,사회적유입!$AA$5:$AW$167,19,FALSE),0)*$Z20,0)</f>
        <v>0</v>
      </c>
      <c r="V20" s="2205">
        <f>ROUND(IFERROR(VLOOKUP($C20,사회적유입!$AA$5:$AW$167,20,FALSE),0)*$Z20,0)</f>
        <v>0</v>
      </c>
      <c r="W20" s="2205">
        <f>ROUND(IFERROR(VLOOKUP($C20,사회적유입!$AA$5:$AW$167,21,FALSE),0)*$Z20,0)</f>
        <v>0</v>
      </c>
      <c r="X20" s="2205">
        <f>ROUND(IFERROR(VLOOKUP($C20,사회적유입!$AA$5:$AW$167,22,FALSE),0)*$Z20,0)</f>
        <v>0</v>
      </c>
      <c r="Y20" s="2205">
        <f>ROUND(IFERROR(VLOOKUP($C20,사회적유입!$AA$5:$AW$167,23,FALSE),0)*$Z20,0)</f>
        <v>1554</v>
      </c>
      <c r="Z20" s="2212">
        <f>VLOOKUP(C20,$AB$5:$AN$57,5,FALSE)</f>
        <v>1</v>
      </c>
      <c r="AB20" s="2607" t="s">
        <v>1115</v>
      </c>
      <c r="AC20" s="2608"/>
      <c r="AD20" s="2608"/>
      <c r="AE20" s="1048"/>
      <c r="AF20" s="1048"/>
      <c r="AG20" s="1048"/>
      <c r="AH20" s="1048"/>
      <c r="AI20" s="1048"/>
      <c r="AJ20" s="1048"/>
      <c r="AK20" s="1048"/>
      <c r="AL20" s="1048"/>
      <c r="AM20" s="1048">
        <v>1</v>
      </c>
      <c r="AN20" s="1050"/>
    </row>
    <row r="21" spans="1:41" ht="17.100000000000001" customHeight="1">
      <c r="A21" s="2562"/>
      <c r="B21" s="2570"/>
      <c r="C21" s="2208" t="s">
        <v>72</v>
      </c>
      <c r="D21" s="2209">
        <f t="shared" ref="D21:Y21" si="5">SUM(D20:D20)</f>
        <v>0</v>
      </c>
      <c r="E21" s="2209">
        <f t="shared" si="5"/>
        <v>0</v>
      </c>
      <c r="F21" s="2209">
        <f t="shared" si="5"/>
        <v>0</v>
      </c>
      <c r="G21" s="2209">
        <f t="shared" si="5"/>
        <v>0</v>
      </c>
      <c r="H21" s="2209">
        <f t="shared" si="5"/>
        <v>0</v>
      </c>
      <c r="I21" s="2209">
        <f t="shared" si="5"/>
        <v>0</v>
      </c>
      <c r="J21" s="2209">
        <f t="shared" si="5"/>
        <v>0</v>
      </c>
      <c r="K21" s="2209">
        <f t="shared" si="5"/>
        <v>0</v>
      </c>
      <c r="L21" s="2209">
        <f t="shared" si="5"/>
        <v>0</v>
      </c>
      <c r="M21" s="2209">
        <f t="shared" si="5"/>
        <v>0</v>
      </c>
      <c r="N21" s="2209">
        <f t="shared" si="5"/>
        <v>0</v>
      </c>
      <c r="O21" s="2209">
        <f t="shared" si="5"/>
        <v>0</v>
      </c>
      <c r="P21" s="2209">
        <f t="shared" si="5"/>
        <v>0</v>
      </c>
      <c r="Q21" s="2209">
        <f t="shared" si="5"/>
        <v>0</v>
      </c>
      <c r="R21" s="2209">
        <f t="shared" si="5"/>
        <v>0</v>
      </c>
      <c r="S21" s="2209">
        <f t="shared" si="5"/>
        <v>0</v>
      </c>
      <c r="T21" s="2209">
        <f t="shared" si="5"/>
        <v>0</v>
      </c>
      <c r="U21" s="2209">
        <f t="shared" si="5"/>
        <v>0</v>
      </c>
      <c r="V21" s="2209">
        <f t="shared" si="5"/>
        <v>0</v>
      </c>
      <c r="W21" s="2209">
        <f t="shared" si="5"/>
        <v>0</v>
      </c>
      <c r="X21" s="2209">
        <f t="shared" si="5"/>
        <v>0</v>
      </c>
      <c r="Y21" s="2209">
        <f t="shared" si="5"/>
        <v>1554</v>
      </c>
      <c r="Z21" s="2214"/>
      <c r="AB21" s="2609" t="s">
        <v>1116</v>
      </c>
      <c r="AC21" s="2610"/>
      <c r="AD21" s="2610"/>
      <c r="AE21" s="1048"/>
      <c r="AF21" s="1048"/>
      <c r="AG21" s="1048"/>
      <c r="AH21" s="1048"/>
      <c r="AI21" s="1048"/>
      <c r="AJ21" s="1048">
        <v>1</v>
      </c>
      <c r="AK21" s="1048"/>
      <c r="AL21" s="1048"/>
      <c r="AM21" s="1048"/>
      <c r="AN21" s="1050"/>
    </row>
    <row r="22" spans="1:41" ht="17.100000000000001" customHeight="1">
      <c r="A22" s="2562"/>
      <c r="B22" s="2570" t="s">
        <v>95</v>
      </c>
      <c r="C22" s="2206" t="str">
        <f>AB8</f>
        <v>시티프라디움</v>
      </c>
      <c r="D22" s="2207">
        <f>ROUND(IFERROR(VLOOKUP($C22,사회적유입!$AA$5:$AW$167,2,FALSE),0)*$Z22,0)</f>
        <v>0</v>
      </c>
      <c r="E22" s="2207">
        <f>ROUND(IFERROR(VLOOKUP($C22,사회적유입!$AA$5:$AW$167,3,FALSE),0)*$Z22,0)</f>
        <v>0</v>
      </c>
      <c r="F22" s="2207">
        <f>ROUND(IFERROR(VLOOKUP($C22,사회적유입!$AA$5:$AW$167,4,FALSE),0)*$Z22,0)</f>
        <v>0</v>
      </c>
      <c r="G22" s="2207">
        <f>ROUND(IFERROR(VLOOKUP($C22,사회적유입!$AA$5:$AW$167,5,FALSE),0)*$Z22,0)</f>
        <v>593</v>
      </c>
      <c r="H22" s="2207">
        <f>ROUND(IFERROR(VLOOKUP($C22,사회적유입!$AA$5:$AW$167,6,FALSE),0)*$Z22,0)</f>
        <v>593</v>
      </c>
      <c r="I22" s="2207">
        <f>ROUND(IFERROR(VLOOKUP($C22,사회적유입!$AA$5:$AW$167,7,FALSE),0)*$Z22,0)</f>
        <v>593</v>
      </c>
      <c r="J22" s="2207">
        <f>ROUND(IFERROR(VLOOKUP($C22,사회적유입!$AA$5:$AW$167,8,FALSE),0)*$Z22,0)</f>
        <v>593</v>
      </c>
      <c r="K22" s="2207">
        <f>ROUND(IFERROR(VLOOKUP($C22,사회적유입!$AA$5:$AW$167,9,FALSE),0)*$Z22,0)</f>
        <v>593</v>
      </c>
      <c r="L22" s="2207">
        <f>ROUND(IFERROR(VLOOKUP($C22,사회적유입!$AA$5:$AW$167,10,FALSE),0)*$Z22,0)</f>
        <v>593</v>
      </c>
      <c r="M22" s="2207">
        <f>ROUND(IFERROR(VLOOKUP($C22,사회적유입!$AA$5:$AW$167,11,FALSE),0)*$Z22,0)</f>
        <v>593</v>
      </c>
      <c r="N22" s="2207">
        <f>ROUND(IFERROR(VLOOKUP($C22,사회적유입!$AA$5:$AW$167,12,FALSE),0)*$Z22,0)</f>
        <v>593</v>
      </c>
      <c r="O22" s="2207">
        <f>ROUND(IFERROR(VLOOKUP($C22,사회적유입!$AA$5:$AW$167,13,FALSE),0)*$Z22,0)</f>
        <v>593</v>
      </c>
      <c r="P22" s="2207">
        <f>ROUND(IFERROR(VLOOKUP($C22,사회적유입!$AA$5:$AW$167,14,FALSE),0)*$Z22,0)</f>
        <v>593</v>
      </c>
      <c r="Q22" s="2207">
        <f>ROUND(IFERROR(VLOOKUP($C22,사회적유입!$AA$5:$AW$167,15,FALSE),0)*$Z22,0)</f>
        <v>593</v>
      </c>
      <c r="R22" s="2207">
        <f>ROUND(IFERROR(VLOOKUP($C22,사회적유입!$AA$5:$AW$167,16,FALSE),0)*$Z22,0)</f>
        <v>593</v>
      </c>
      <c r="S22" s="2207">
        <f>ROUND(IFERROR(VLOOKUP($C22,사회적유입!$AA$5:$AW$167,17,FALSE),0)*$Z22,0)</f>
        <v>593</v>
      </c>
      <c r="T22" s="2207">
        <f>ROUND(IFERROR(VLOOKUP($C22,사회적유입!$AA$5:$AW$167,18,FALSE),0)*$Z22,0)</f>
        <v>593</v>
      </c>
      <c r="U22" s="2207">
        <f>ROUND(IFERROR(VLOOKUP($C22,사회적유입!$AA$5:$AW$167,19,FALSE),0)*$Z22,0)</f>
        <v>593</v>
      </c>
      <c r="V22" s="2207">
        <f>ROUND(IFERROR(VLOOKUP($C22,사회적유입!$AA$5:$AW$167,20,FALSE),0)*$Z22,0)</f>
        <v>593</v>
      </c>
      <c r="W22" s="2207">
        <f>ROUND(IFERROR(VLOOKUP($C22,사회적유입!$AA$5:$AW$167,21,FALSE),0)*$Z22,0)</f>
        <v>593</v>
      </c>
      <c r="X22" s="2207">
        <f>ROUND(IFERROR(VLOOKUP($C22,사회적유입!$AA$5:$AW$167,22,FALSE),0)*$Z22,0)</f>
        <v>593</v>
      </c>
      <c r="Y22" s="2207">
        <f>ROUND(IFERROR(VLOOKUP($C22,사회적유입!$AA$5:$AW$167,23,FALSE),0)*$Z22,0)</f>
        <v>593</v>
      </c>
      <c r="Z22" s="2213">
        <f>VLOOKUP(C22,$AB$5:$AN$57,5,FALSE)</f>
        <v>1</v>
      </c>
      <c r="AB22" s="2609" t="s">
        <v>1117</v>
      </c>
      <c r="AC22" s="2610"/>
      <c r="AD22" s="2610"/>
      <c r="AE22" s="1048"/>
      <c r="AF22" s="1048"/>
      <c r="AG22" s="1048"/>
      <c r="AH22" s="1048"/>
      <c r="AI22" s="1048"/>
      <c r="AJ22" s="1048"/>
      <c r="AK22" s="1048"/>
      <c r="AL22" s="1048"/>
      <c r="AM22" s="1048">
        <v>1</v>
      </c>
      <c r="AN22" s="1050"/>
    </row>
    <row r="23" spans="1:41" ht="17.100000000000001" customHeight="1">
      <c r="A23" s="2562"/>
      <c r="B23" s="2570"/>
      <c r="C23" s="2206" t="str">
        <f>AB9</f>
        <v>금석 A2블록</v>
      </c>
      <c r="D23" s="2207">
        <f>ROUND(IFERROR(VLOOKUP($C23,사회적유입!$AA$5:$AW$167,2,FALSE),0)*$Z23,0)</f>
        <v>0</v>
      </c>
      <c r="E23" s="2207">
        <f>ROUND(IFERROR(VLOOKUP($C23,사회적유입!$AA$5:$AW$167,3,FALSE),0)*$Z23,0)</f>
        <v>0</v>
      </c>
      <c r="F23" s="2207">
        <f>ROUND(IFERROR(VLOOKUP($C23,사회적유입!$AA$5:$AW$167,4,FALSE),0)*$Z23,0)</f>
        <v>0</v>
      </c>
      <c r="G23" s="2207">
        <f>ROUND(IFERROR(VLOOKUP($C23,사회적유입!$AA$5:$AW$167,5,FALSE),0)*$Z23,0)</f>
        <v>0</v>
      </c>
      <c r="H23" s="2207">
        <f>ROUND(IFERROR(VLOOKUP($C23,사회적유입!$AA$5:$AW$167,6,FALSE),0)*$Z23,0)</f>
        <v>0</v>
      </c>
      <c r="I23" s="2207">
        <f>ROUND(IFERROR(VLOOKUP($C23,사회적유입!$AA$5:$AW$167,7,FALSE),0)*$Z23,0)</f>
        <v>0</v>
      </c>
      <c r="J23" s="2207">
        <f>ROUND(IFERROR(VLOOKUP($C23,사회적유입!$AA$5:$AW$167,8,FALSE),0)*$Z23,0)</f>
        <v>0</v>
      </c>
      <c r="K23" s="2207">
        <f>ROUND(IFERROR(VLOOKUP($C23,사회적유입!$AA$5:$AW$167,9,FALSE),0)*$Z23,0)</f>
        <v>0</v>
      </c>
      <c r="L23" s="2207">
        <f>ROUND(IFERROR(VLOOKUP($C23,사회적유입!$AA$5:$AW$167,10,FALSE),0)*$Z23,0)</f>
        <v>0</v>
      </c>
      <c r="M23" s="2207">
        <f>ROUND(IFERROR(VLOOKUP($C23,사회적유입!$AA$5:$AW$167,11,FALSE),0)*$Z23,0)</f>
        <v>0</v>
      </c>
      <c r="N23" s="2207">
        <f>ROUND(IFERROR(VLOOKUP($C23,사회적유입!$AA$5:$AW$167,12,FALSE),0)*$Z23,0)</f>
        <v>0</v>
      </c>
      <c r="O23" s="2207">
        <f>ROUND(IFERROR(VLOOKUP($C23,사회적유입!$AA$5:$AW$167,13,FALSE),0)*$Z23,0)</f>
        <v>446</v>
      </c>
      <c r="P23" s="2207">
        <f>ROUND(IFERROR(VLOOKUP($C23,사회적유입!$AA$5:$AW$167,14,FALSE),0)*$Z23,0)</f>
        <v>446</v>
      </c>
      <c r="Q23" s="2207">
        <f>ROUND(IFERROR(VLOOKUP($C23,사회적유입!$AA$5:$AW$167,15,FALSE),0)*$Z23,0)</f>
        <v>446</v>
      </c>
      <c r="R23" s="2207">
        <f>ROUND(IFERROR(VLOOKUP($C23,사회적유입!$AA$5:$AW$167,16,FALSE),0)*$Z23,0)</f>
        <v>446</v>
      </c>
      <c r="S23" s="2207">
        <f>ROUND(IFERROR(VLOOKUP($C23,사회적유입!$AA$5:$AW$167,17,FALSE),0)*$Z23,0)</f>
        <v>446</v>
      </c>
      <c r="T23" s="2207">
        <f>ROUND(IFERROR(VLOOKUP($C23,사회적유입!$AA$5:$AW$167,18,FALSE),0)*$Z23,0)</f>
        <v>446</v>
      </c>
      <c r="U23" s="2207">
        <f>ROUND(IFERROR(VLOOKUP($C23,사회적유입!$AA$5:$AW$167,19,FALSE),0)*$Z23,0)</f>
        <v>446</v>
      </c>
      <c r="V23" s="2207">
        <f>ROUND(IFERROR(VLOOKUP($C23,사회적유입!$AA$5:$AW$167,20,FALSE),0)*$Z23,0)</f>
        <v>446</v>
      </c>
      <c r="W23" s="2207">
        <f>ROUND(IFERROR(VLOOKUP($C23,사회적유입!$AA$5:$AW$167,21,FALSE),0)*$Z23,0)</f>
        <v>446</v>
      </c>
      <c r="X23" s="2207">
        <f>ROUND(IFERROR(VLOOKUP($C23,사회적유입!$AA$5:$AW$167,22,FALSE),0)*$Z23,0)</f>
        <v>446</v>
      </c>
      <c r="Y23" s="2207">
        <f>ROUND(IFERROR(VLOOKUP($C23,사회적유입!$AA$5:$AW$167,23,FALSE),0)*$Z23,0)</f>
        <v>446</v>
      </c>
      <c r="Z23" s="2213">
        <f>VLOOKUP(C23,$AB$5:$AN$57,5,FALSE)</f>
        <v>1</v>
      </c>
      <c r="AB23" s="2609" t="s">
        <v>1118</v>
      </c>
      <c r="AC23" s="2610"/>
      <c r="AD23" s="2610"/>
      <c r="AE23" s="1048"/>
      <c r="AF23" s="1048"/>
      <c r="AG23" s="1048"/>
      <c r="AH23" s="1048"/>
      <c r="AI23" s="1048"/>
      <c r="AJ23" s="1048"/>
      <c r="AK23" s="1048"/>
      <c r="AL23" s="1048">
        <v>1</v>
      </c>
      <c r="AM23" s="1048"/>
      <c r="AN23" s="1050"/>
    </row>
    <row r="24" spans="1:41" ht="17.100000000000001" customHeight="1">
      <c r="A24" s="2562"/>
      <c r="B24" s="2570"/>
      <c r="C24" s="2206" t="str">
        <f>AB24</f>
        <v>우신아파트</v>
      </c>
      <c r="D24" s="2207">
        <f>ROUND(IFERROR(VLOOKUP($C24,사회적유입!$AA$5:$AW$167,2,FALSE),0)*$Z24,0)</f>
        <v>0</v>
      </c>
      <c r="E24" s="2207">
        <f>ROUND(IFERROR(VLOOKUP($C24,사회적유입!$AA$5:$AW$167,3,FALSE),0)*$Z24,0)</f>
        <v>0</v>
      </c>
      <c r="F24" s="2207">
        <f>ROUND(IFERROR(VLOOKUP($C24,사회적유입!$AA$5:$AW$167,4,FALSE),0)*$Z24,0)</f>
        <v>0</v>
      </c>
      <c r="G24" s="2207">
        <f>ROUND(IFERROR(VLOOKUP($C24,사회적유입!$AA$5:$AW$167,5,FALSE),0)*$Z24,0)</f>
        <v>0</v>
      </c>
      <c r="H24" s="2207">
        <f>ROUND(IFERROR(VLOOKUP($C24,사회적유입!$AA$5:$AW$167,6,FALSE),0)*$Z24,0)</f>
        <v>0</v>
      </c>
      <c r="I24" s="2207">
        <f>ROUND(IFERROR(VLOOKUP($C24,사회적유입!$AA$5:$AW$167,7,FALSE),0)*$Z24,0)</f>
        <v>0</v>
      </c>
      <c r="J24" s="2207">
        <f>ROUND(IFERROR(VLOOKUP($C24,사회적유입!$AA$5:$AW$167,8,FALSE),0)*$Z24,0)</f>
        <v>2306</v>
      </c>
      <c r="K24" s="2207">
        <f>ROUND(IFERROR(VLOOKUP($C24,사회적유입!$AA$5:$AW$167,9,FALSE),0)*$Z24,0)</f>
        <v>2306</v>
      </c>
      <c r="L24" s="2207">
        <f>ROUND(IFERROR(VLOOKUP($C24,사회적유입!$AA$5:$AW$167,10,FALSE),0)*$Z24,0)</f>
        <v>2306</v>
      </c>
      <c r="M24" s="2207">
        <f>ROUND(IFERROR(VLOOKUP($C24,사회적유입!$AA$5:$AW$167,11,FALSE),0)*$Z24,0)</f>
        <v>2306</v>
      </c>
      <c r="N24" s="2207">
        <f>ROUND(IFERROR(VLOOKUP($C24,사회적유입!$AA$5:$AW$167,12,FALSE),0)*$Z24,0)</f>
        <v>2306</v>
      </c>
      <c r="O24" s="2207">
        <f>ROUND(IFERROR(VLOOKUP($C24,사회적유입!$AA$5:$AW$167,13,FALSE),0)*$Z24,0)</f>
        <v>2306</v>
      </c>
      <c r="P24" s="2207">
        <f>ROUND(IFERROR(VLOOKUP($C24,사회적유입!$AA$5:$AW$167,14,FALSE),0)*$Z24,0)</f>
        <v>2306</v>
      </c>
      <c r="Q24" s="2207">
        <f>ROUND(IFERROR(VLOOKUP($C24,사회적유입!$AA$5:$AW$167,15,FALSE),0)*$Z24,0)</f>
        <v>2306</v>
      </c>
      <c r="R24" s="2207">
        <f>ROUND(IFERROR(VLOOKUP($C24,사회적유입!$AA$5:$AW$167,16,FALSE),0)*$Z24,0)</f>
        <v>2306</v>
      </c>
      <c r="S24" s="2207">
        <f>ROUND(IFERROR(VLOOKUP($C24,사회적유입!$AA$5:$AW$167,17,FALSE),0)*$Z24,0)</f>
        <v>2306</v>
      </c>
      <c r="T24" s="2207">
        <f>ROUND(IFERROR(VLOOKUP($C24,사회적유입!$AA$5:$AW$167,18,FALSE),0)*$Z24,0)</f>
        <v>2306</v>
      </c>
      <c r="U24" s="2207">
        <f>ROUND(IFERROR(VLOOKUP($C24,사회적유입!$AA$5:$AW$167,19,FALSE),0)*$Z24,0)</f>
        <v>2306</v>
      </c>
      <c r="V24" s="2207">
        <f>ROUND(IFERROR(VLOOKUP($C24,사회적유입!$AA$5:$AW$167,20,FALSE),0)*$Z24,0)</f>
        <v>2306</v>
      </c>
      <c r="W24" s="2207">
        <f>ROUND(IFERROR(VLOOKUP($C24,사회적유입!$AA$5:$AW$167,21,FALSE),0)*$Z24,0)</f>
        <v>2306</v>
      </c>
      <c r="X24" s="2207">
        <f>ROUND(IFERROR(VLOOKUP($C24,사회적유입!$AA$5:$AW$167,22,FALSE),0)*$Z24,0)</f>
        <v>2306</v>
      </c>
      <c r="Y24" s="2207">
        <f>ROUND(IFERROR(VLOOKUP($C24,사회적유입!$AA$5:$AW$167,23,FALSE),0)*$Z24,0)</f>
        <v>2306</v>
      </c>
      <c r="Z24" s="2213">
        <f>VLOOKUP(C24,$AB$5:$AN$57,5,FALSE)</f>
        <v>1</v>
      </c>
      <c r="AB24" s="2609" t="s">
        <v>1119</v>
      </c>
      <c r="AC24" s="2610"/>
      <c r="AD24" s="2610"/>
      <c r="AE24" s="1048"/>
      <c r="AF24" s="1048">
        <v>1</v>
      </c>
      <c r="AG24" s="1048"/>
      <c r="AH24" s="1048"/>
      <c r="AI24" s="1048"/>
      <c r="AJ24" s="1048"/>
      <c r="AK24" s="1048"/>
      <c r="AL24" s="1048"/>
      <c r="AM24" s="1048"/>
      <c r="AN24" s="1050"/>
    </row>
    <row r="25" spans="1:41" ht="17.100000000000001" customHeight="1">
      <c r="A25" s="2562"/>
      <c r="B25" s="2570"/>
      <c r="C25" s="2208" t="s">
        <v>72</v>
      </c>
      <c r="D25" s="2209">
        <f t="shared" ref="D25:Y25" si="6">SUM(D22:D24)</f>
        <v>0</v>
      </c>
      <c r="E25" s="2209">
        <f t="shared" si="6"/>
        <v>0</v>
      </c>
      <c r="F25" s="2209">
        <f t="shared" si="6"/>
        <v>0</v>
      </c>
      <c r="G25" s="2209">
        <f t="shared" si="6"/>
        <v>593</v>
      </c>
      <c r="H25" s="2209">
        <f t="shared" si="6"/>
        <v>593</v>
      </c>
      <c r="I25" s="2209">
        <f t="shared" si="6"/>
        <v>593</v>
      </c>
      <c r="J25" s="2209">
        <f t="shared" si="6"/>
        <v>2899</v>
      </c>
      <c r="K25" s="2209">
        <f t="shared" si="6"/>
        <v>2899</v>
      </c>
      <c r="L25" s="2209">
        <f t="shared" si="6"/>
        <v>2899</v>
      </c>
      <c r="M25" s="2209">
        <f t="shared" si="6"/>
        <v>2899</v>
      </c>
      <c r="N25" s="2209">
        <f t="shared" si="6"/>
        <v>2899</v>
      </c>
      <c r="O25" s="2209">
        <f t="shared" si="6"/>
        <v>3345</v>
      </c>
      <c r="P25" s="2209">
        <f t="shared" si="6"/>
        <v>3345</v>
      </c>
      <c r="Q25" s="2209">
        <f t="shared" si="6"/>
        <v>3345</v>
      </c>
      <c r="R25" s="2209">
        <f t="shared" si="6"/>
        <v>3345</v>
      </c>
      <c r="S25" s="2209">
        <f t="shared" si="6"/>
        <v>3345</v>
      </c>
      <c r="T25" s="2209">
        <f t="shared" si="6"/>
        <v>3345</v>
      </c>
      <c r="U25" s="2209">
        <f t="shared" si="6"/>
        <v>3345</v>
      </c>
      <c r="V25" s="2209">
        <f t="shared" si="6"/>
        <v>3345</v>
      </c>
      <c r="W25" s="2209">
        <f t="shared" si="6"/>
        <v>3345</v>
      </c>
      <c r="X25" s="2209">
        <f t="shared" si="6"/>
        <v>3345</v>
      </c>
      <c r="Y25" s="2209">
        <f t="shared" si="6"/>
        <v>3345</v>
      </c>
      <c r="Z25" s="2214"/>
      <c r="AA25" s="1561"/>
      <c r="AB25" s="2590" t="s">
        <v>1121</v>
      </c>
      <c r="AC25" s="2591"/>
      <c r="AD25" s="2591"/>
      <c r="AE25" s="1048"/>
      <c r="AF25" s="1048"/>
      <c r="AG25" s="1048"/>
      <c r="AH25" s="1048"/>
      <c r="AI25" s="1048"/>
      <c r="AJ25" s="1048"/>
      <c r="AK25" s="1048"/>
      <c r="AL25" s="1048"/>
      <c r="AM25" s="1048">
        <v>1</v>
      </c>
      <c r="AN25" s="1050"/>
    </row>
    <row r="26" spans="1:41" ht="17.100000000000001" customHeight="1">
      <c r="A26" s="2562"/>
      <c r="B26" s="2570" t="s">
        <v>96</v>
      </c>
      <c r="C26" s="2210" t="str">
        <f>AB28</f>
        <v>리노삼봉산업단지</v>
      </c>
      <c r="D26" s="2207">
        <v>0</v>
      </c>
      <c r="E26" s="2207">
        <v>0</v>
      </c>
      <c r="F26" s="2207">
        <v>0</v>
      </c>
      <c r="G26" s="2207">
        <v>0</v>
      </c>
      <c r="H26" s="2207">
        <v>0</v>
      </c>
      <c r="I26" s="2207">
        <v>0</v>
      </c>
      <c r="J26" s="2207">
        <v>0</v>
      </c>
      <c r="K26" s="2207">
        <v>0</v>
      </c>
      <c r="L26" s="2207">
        <v>0</v>
      </c>
      <c r="M26" s="2207">
        <v>0</v>
      </c>
      <c r="N26" s="2207">
        <v>0</v>
      </c>
      <c r="O26" s="2207">
        <v>0</v>
      </c>
      <c r="P26" s="2207">
        <v>0</v>
      </c>
      <c r="Q26" s="2207">
        <v>0</v>
      </c>
      <c r="R26" s="2207">
        <v>0</v>
      </c>
      <c r="S26" s="2207">
        <v>0</v>
      </c>
      <c r="T26" s="2207">
        <v>0</v>
      </c>
      <c r="U26" s="2207">
        <v>0</v>
      </c>
      <c r="V26" s="2207">
        <v>0</v>
      </c>
      <c r="W26" s="2207">
        <v>0</v>
      </c>
      <c r="X26" s="2207">
        <v>0</v>
      </c>
      <c r="Y26" s="2207">
        <v>0</v>
      </c>
      <c r="Z26" s="2213">
        <f t="shared" ref="Z26:Z36" si="7">VLOOKUP(C26,$AB$5:$AN$57,5,FALSE)</f>
        <v>0.4</v>
      </c>
      <c r="AA26" s="1562"/>
      <c r="AB26" s="2590" t="s">
        <v>1122</v>
      </c>
      <c r="AC26" s="2591"/>
      <c r="AD26" s="2591"/>
      <c r="AE26" s="1048"/>
      <c r="AF26" s="1048"/>
      <c r="AG26" s="1048"/>
      <c r="AH26" s="1048"/>
      <c r="AI26" s="1048"/>
      <c r="AJ26" s="1048">
        <v>1</v>
      </c>
      <c r="AK26" s="1048"/>
      <c r="AL26" s="1048"/>
      <c r="AM26" s="1048"/>
      <c r="AN26" s="1050"/>
    </row>
    <row r="27" spans="1:41" ht="17.100000000000001" customHeight="1">
      <c r="A27" s="2562"/>
      <c r="B27" s="2570"/>
      <c r="C27" s="2216" t="str">
        <f t="shared" ref="C27:C34" si="8">AB31</f>
        <v>오선산업단지</v>
      </c>
      <c r="D27" s="2207">
        <v>0</v>
      </c>
      <c r="E27" s="2207">
        <v>0</v>
      </c>
      <c r="F27" s="2207">
        <v>0</v>
      </c>
      <c r="G27" s="2207">
        <v>0</v>
      </c>
      <c r="H27" s="2207">
        <v>0</v>
      </c>
      <c r="I27" s="2207">
        <v>0</v>
      </c>
      <c r="J27" s="2207">
        <v>0</v>
      </c>
      <c r="K27" s="2207">
        <v>0</v>
      </c>
      <c r="L27" s="2207">
        <v>0</v>
      </c>
      <c r="M27" s="2207">
        <v>0</v>
      </c>
      <c r="N27" s="2207">
        <v>0</v>
      </c>
      <c r="O27" s="2207">
        <v>0</v>
      </c>
      <c r="P27" s="2207">
        <v>0</v>
      </c>
      <c r="Q27" s="2207">
        <v>0</v>
      </c>
      <c r="R27" s="2207">
        <v>0</v>
      </c>
      <c r="S27" s="2207">
        <v>0</v>
      </c>
      <c r="T27" s="2207">
        <v>0</v>
      </c>
      <c r="U27" s="2207">
        <v>0</v>
      </c>
      <c r="V27" s="2207">
        <v>0</v>
      </c>
      <c r="W27" s="2207">
        <v>0</v>
      </c>
      <c r="X27" s="2207">
        <v>0</v>
      </c>
      <c r="Y27" s="2207">
        <v>0</v>
      </c>
      <c r="Z27" s="2213">
        <f t="shared" si="7"/>
        <v>0.7</v>
      </c>
      <c r="AB27" s="2590" t="s">
        <v>1123</v>
      </c>
      <c r="AC27" s="2591"/>
      <c r="AD27" s="2591"/>
      <c r="AE27" s="1048"/>
      <c r="AF27" s="1048"/>
      <c r="AG27" s="1048"/>
      <c r="AH27" s="1048"/>
      <c r="AI27" s="1048"/>
      <c r="AJ27" s="1048"/>
      <c r="AK27" s="1048">
        <v>1</v>
      </c>
      <c r="AL27" s="1048"/>
      <c r="AM27" s="1048"/>
      <c r="AN27" s="1050"/>
    </row>
    <row r="28" spans="1:41" ht="17.100000000000001" customHeight="1">
      <c r="A28" s="2562"/>
      <c r="B28" s="2570"/>
      <c r="C28" s="2216" t="str">
        <f t="shared" si="8"/>
        <v>유촌산업단지</v>
      </c>
      <c r="D28" s="2207">
        <v>0</v>
      </c>
      <c r="E28" s="2207">
        <v>0</v>
      </c>
      <c r="F28" s="2207">
        <v>0</v>
      </c>
      <c r="G28" s="2207">
        <v>0</v>
      </c>
      <c r="H28" s="2207">
        <v>0</v>
      </c>
      <c r="I28" s="2207">
        <v>0</v>
      </c>
      <c r="J28" s="2207">
        <v>0</v>
      </c>
      <c r="K28" s="2207">
        <v>0</v>
      </c>
      <c r="L28" s="2207">
        <v>0</v>
      </c>
      <c r="M28" s="2207">
        <v>0</v>
      </c>
      <c r="N28" s="2207">
        <v>0</v>
      </c>
      <c r="O28" s="2207">
        <v>0</v>
      </c>
      <c r="P28" s="2207">
        <v>0</v>
      </c>
      <c r="Q28" s="2207">
        <v>0</v>
      </c>
      <c r="R28" s="2207">
        <v>0</v>
      </c>
      <c r="S28" s="2207">
        <v>0</v>
      </c>
      <c r="T28" s="2207">
        <v>0</v>
      </c>
      <c r="U28" s="2207">
        <v>0</v>
      </c>
      <c r="V28" s="2207">
        <v>0</v>
      </c>
      <c r="W28" s="2207">
        <v>0</v>
      </c>
      <c r="X28" s="2207">
        <v>0</v>
      </c>
      <c r="Y28" s="2207">
        <v>0</v>
      </c>
      <c r="Z28" s="2213">
        <f t="shared" si="7"/>
        <v>0.5</v>
      </c>
      <c r="AB28" s="2564" t="s">
        <v>911</v>
      </c>
      <c r="AC28" s="2565"/>
      <c r="AD28" s="2565"/>
      <c r="AE28" s="1051"/>
      <c r="AF28" s="1051">
        <v>0.4</v>
      </c>
      <c r="AG28" s="1051"/>
      <c r="AH28" s="1051"/>
      <c r="AI28" s="1051">
        <v>0.1</v>
      </c>
      <c r="AJ28" s="1051">
        <v>0.4</v>
      </c>
      <c r="AK28" s="1051"/>
      <c r="AL28" s="1051"/>
      <c r="AM28" s="1051"/>
      <c r="AN28" s="1052">
        <v>0.1</v>
      </c>
    </row>
    <row r="29" spans="1:41" ht="17.100000000000001" customHeight="1">
      <c r="A29" s="2562"/>
      <c r="B29" s="2570"/>
      <c r="C29" s="2216" t="str">
        <f t="shared" si="8"/>
        <v>생극산업단지</v>
      </c>
      <c r="D29" s="2207">
        <v>0</v>
      </c>
      <c r="E29" s="2207">
        <v>0</v>
      </c>
      <c r="F29" s="2207">
        <v>0</v>
      </c>
      <c r="G29" s="2207">
        <v>0</v>
      </c>
      <c r="H29" s="2207">
        <v>0</v>
      </c>
      <c r="I29" s="2207">
        <v>0</v>
      </c>
      <c r="J29" s="2207">
        <v>0</v>
      </c>
      <c r="K29" s="2207">
        <v>0</v>
      </c>
      <c r="L29" s="2207">
        <v>0</v>
      </c>
      <c r="M29" s="2207">
        <v>0</v>
      </c>
      <c r="N29" s="2207">
        <v>0</v>
      </c>
      <c r="O29" s="2207">
        <v>0</v>
      </c>
      <c r="P29" s="2207">
        <v>0</v>
      </c>
      <c r="Q29" s="2207">
        <v>0</v>
      </c>
      <c r="R29" s="2207">
        <v>0</v>
      </c>
      <c r="S29" s="2207">
        <v>0</v>
      </c>
      <c r="T29" s="2207">
        <v>0</v>
      </c>
      <c r="U29" s="2207">
        <v>0</v>
      </c>
      <c r="V29" s="2207">
        <v>0</v>
      </c>
      <c r="W29" s="2207">
        <v>0</v>
      </c>
      <c r="X29" s="2207">
        <v>0</v>
      </c>
      <c r="Y29" s="2207">
        <v>0</v>
      </c>
      <c r="Z29" s="2213">
        <f t="shared" si="7"/>
        <v>0.4</v>
      </c>
      <c r="AB29" s="2564" t="s">
        <v>914</v>
      </c>
      <c r="AC29" s="2565"/>
      <c r="AD29" s="2565"/>
      <c r="AE29" s="1051"/>
      <c r="AF29" s="1051"/>
      <c r="AG29" s="1051"/>
      <c r="AH29" s="1051"/>
      <c r="AI29" s="1051"/>
      <c r="AJ29" s="1051"/>
      <c r="AK29" s="1051"/>
      <c r="AL29" s="1051"/>
      <c r="AM29" s="1051">
        <v>1</v>
      </c>
      <c r="AN29" s="1052"/>
    </row>
    <row r="30" spans="1:41" ht="17.100000000000001" customHeight="1">
      <c r="A30" s="2562"/>
      <c r="B30" s="2570"/>
      <c r="C30" s="2216" t="str">
        <f t="shared" si="8"/>
        <v>성본산업단지</v>
      </c>
      <c r="D30" s="2207">
        <v>0</v>
      </c>
      <c r="E30" s="2207">
        <v>0</v>
      </c>
      <c r="F30" s="2207">
        <v>0</v>
      </c>
      <c r="G30" s="2207">
        <v>0</v>
      </c>
      <c r="H30" s="2207">
        <v>0</v>
      </c>
      <c r="I30" s="2207">
        <v>0</v>
      </c>
      <c r="J30" s="2207">
        <v>0</v>
      </c>
      <c r="K30" s="2207">
        <v>0</v>
      </c>
      <c r="L30" s="2207">
        <v>0</v>
      </c>
      <c r="M30" s="2207">
        <v>0</v>
      </c>
      <c r="N30" s="2207">
        <v>0</v>
      </c>
      <c r="O30" s="2207">
        <v>0</v>
      </c>
      <c r="P30" s="2207">
        <v>0</v>
      </c>
      <c r="Q30" s="2207">
        <v>0</v>
      </c>
      <c r="R30" s="2207">
        <v>0</v>
      </c>
      <c r="S30" s="2207">
        <v>0</v>
      </c>
      <c r="T30" s="2207">
        <v>0</v>
      </c>
      <c r="U30" s="2207">
        <v>0</v>
      </c>
      <c r="V30" s="2207">
        <v>0</v>
      </c>
      <c r="W30" s="2207">
        <v>0</v>
      </c>
      <c r="X30" s="2207">
        <v>0</v>
      </c>
      <c r="Y30" s="2207">
        <v>0</v>
      </c>
      <c r="Z30" s="2213">
        <f t="shared" si="7"/>
        <v>0</v>
      </c>
      <c r="AB30" s="2564" t="s">
        <v>918</v>
      </c>
      <c r="AC30" s="2565"/>
      <c r="AD30" s="2565"/>
      <c r="AE30" s="1051">
        <v>1</v>
      </c>
      <c r="AF30" s="1051"/>
      <c r="AG30" s="1051">
        <v>0</v>
      </c>
      <c r="AH30" s="1051">
        <v>0</v>
      </c>
      <c r="AI30" s="1051"/>
      <c r="AJ30" s="1051"/>
      <c r="AK30" s="1051"/>
      <c r="AL30" s="1051"/>
      <c r="AM30" s="1051"/>
      <c r="AN30" s="1052"/>
    </row>
    <row r="31" spans="1:41" ht="17.100000000000001" customHeight="1">
      <c r="A31" s="2562"/>
      <c r="B31" s="2570"/>
      <c r="C31" s="2216" t="str">
        <f t="shared" si="8"/>
        <v>금왕테크노밸리</v>
      </c>
      <c r="D31" s="2207">
        <v>0</v>
      </c>
      <c r="E31" s="2207">
        <v>0</v>
      </c>
      <c r="F31" s="2207">
        <v>0</v>
      </c>
      <c r="G31" s="2207">
        <v>0</v>
      </c>
      <c r="H31" s="2207">
        <v>0</v>
      </c>
      <c r="I31" s="2207">
        <v>0</v>
      </c>
      <c r="J31" s="2207">
        <v>0</v>
      </c>
      <c r="K31" s="2207">
        <v>0</v>
      </c>
      <c r="L31" s="2207">
        <v>0</v>
      </c>
      <c r="M31" s="2207">
        <v>0</v>
      </c>
      <c r="N31" s="2207">
        <v>0</v>
      </c>
      <c r="O31" s="2207">
        <v>0</v>
      </c>
      <c r="P31" s="2207">
        <v>0</v>
      </c>
      <c r="Q31" s="2207">
        <v>0</v>
      </c>
      <c r="R31" s="2207">
        <v>0</v>
      </c>
      <c r="S31" s="2207">
        <v>0</v>
      </c>
      <c r="T31" s="2207">
        <v>0</v>
      </c>
      <c r="U31" s="2207">
        <v>0</v>
      </c>
      <c r="V31" s="2207">
        <v>0</v>
      </c>
      <c r="W31" s="2207">
        <v>0</v>
      </c>
      <c r="X31" s="2207">
        <v>0</v>
      </c>
      <c r="Y31" s="2207">
        <v>0</v>
      </c>
      <c r="Z31" s="2213">
        <f t="shared" si="7"/>
        <v>0.5</v>
      </c>
      <c r="AB31" s="2564" t="s">
        <v>921</v>
      </c>
      <c r="AC31" s="2565"/>
      <c r="AD31" s="2565"/>
      <c r="AE31" s="1051"/>
      <c r="AF31" s="1051">
        <v>0.7</v>
      </c>
      <c r="AG31" s="1051"/>
      <c r="AH31" s="1051"/>
      <c r="AI31" s="1051">
        <v>0.05</v>
      </c>
      <c r="AJ31" s="1051">
        <v>0.2</v>
      </c>
      <c r="AK31" s="1051"/>
      <c r="AL31" s="1051"/>
      <c r="AM31" s="1051"/>
      <c r="AN31" s="1052">
        <v>0.05</v>
      </c>
    </row>
    <row r="32" spans="1:41" ht="17.100000000000001" customHeight="1">
      <c r="A32" s="2562"/>
      <c r="B32" s="2570"/>
      <c r="C32" s="2216" t="str">
        <f t="shared" si="8"/>
        <v>성안산업단지</v>
      </c>
      <c r="D32" s="2207">
        <v>0</v>
      </c>
      <c r="E32" s="2207">
        <v>0</v>
      </c>
      <c r="F32" s="2207">
        <v>0</v>
      </c>
      <c r="G32" s="2207">
        <v>0</v>
      </c>
      <c r="H32" s="2207">
        <v>0</v>
      </c>
      <c r="I32" s="2207">
        <v>0</v>
      </c>
      <c r="J32" s="2207">
        <v>0</v>
      </c>
      <c r="K32" s="2207">
        <v>0</v>
      </c>
      <c r="L32" s="2207">
        <v>0</v>
      </c>
      <c r="M32" s="2207">
        <v>0</v>
      </c>
      <c r="N32" s="2207">
        <v>0</v>
      </c>
      <c r="O32" s="2207">
        <v>0</v>
      </c>
      <c r="P32" s="2207">
        <v>0</v>
      </c>
      <c r="Q32" s="2207">
        <v>0</v>
      </c>
      <c r="R32" s="2207">
        <v>0</v>
      </c>
      <c r="S32" s="2207">
        <v>0</v>
      </c>
      <c r="T32" s="2207">
        <v>0</v>
      </c>
      <c r="U32" s="2207">
        <v>0</v>
      </c>
      <c r="V32" s="2207">
        <v>0</v>
      </c>
      <c r="W32" s="2207">
        <v>0</v>
      </c>
      <c r="X32" s="2207">
        <v>0</v>
      </c>
      <c r="Y32" s="2207">
        <v>0</v>
      </c>
      <c r="Z32" s="2213">
        <f t="shared" si="7"/>
        <v>0.6</v>
      </c>
      <c r="AB32" s="2564" t="s">
        <v>924</v>
      </c>
      <c r="AC32" s="2565"/>
      <c r="AD32" s="2565"/>
      <c r="AE32" s="1051"/>
      <c r="AF32" s="1051">
        <v>0.5</v>
      </c>
      <c r="AG32" s="1051"/>
      <c r="AH32" s="1051"/>
      <c r="AI32" s="1051">
        <v>0.1</v>
      </c>
      <c r="AJ32" s="1051">
        <v>0.3</v>
      </c>
      <c r="AK32" s="1051"/>
      <c r="AL32" s="1051"/>
      <c r="AM32" s="1051"/>
      <c r="AN32" s="1052">
        <v>0.1</v>
      </c>
    </row>
    <row r="33" spans="1:40" ht="17.100000000000001" customHeight="1">
      <c r="A33" s="2562"/>
      <c r="B33" s="2570"/>
      <c r="C33" s="2216" t="str">
        <f t="shared" si="8"/>
        <v>중부산업단지</v>
      </c>
      <c r="D33" s="2207">
        <v>0</v>
      </c>
      <c r="E33" s="2207">
        <v>0</v>
      </c>
      <c r="F33" s="2207">
        <v>0</v>
      </c>
      <c r="G33" s="2207">
        <v>0</v>
      </c>
      <c r="H33" s="2207">
        <v>0</v>
      </c>
      <c r="I33" s="2207">
        <v>0</v>
      </c>
      <c r="J33" s="2207">
        <v>0</v>
      </c>
      <c r="K33" s="2207">
        <v>0</v>
      </c>
      <c r="L33" s="2207">
        <v>0</v>
      </c>
      <c r="M33" s="2207">
        <v>0</v>
      </c>
      <c r="N33" s="2207">
        <v>0</v>
      </c>
      <c r="O33" s="2207">
        <v>0</v>
      </c>
      <c r="P33" s="2207">
        <v>0</v>
      </c>
      <c r="Q33" s="2207">
        <v>0</v>
      </c>
      <c r="R33" s="2207">
        <v>0</v>
      </c>
      <c r="S33" s="2207">
        <v>0</v>
      </c>
      <c r="T33" s="2207">
        <v>0</v>
      </c>
      <c r="U33" s="2207">
        <v>0</v>
      </c>
      <c r="V33" s="2207">
        <v>0</v>
      </c>
      <c r="W33" s="2207">
        <v>0</v>
      </c>
      <c r="X33" s="2207">
        <v>0</v>
      </c>
      <c r="Y33" s="2207">
        <v>0</v>
      </c>
      <c r="Z33" s="2213">
        <f t="shared" si="7"/>
        <v>0.2</v>
      </c>
      <c r="AB33" s="2564" t="s">
        <v>926</v>
      </c>
      <c r="AC33" s="2565"/>
      <c r="AD33" s="2565"/>
      <c r="AE33" s="1051"/>
      <c r="AF33" s="1051">
        <v>0.4</v>
      </c>
      <c r="AG33" s="1051"/>
      <c r="AH33" s="1051"/>
      <c r="AI33" s="1051"/>
      <c r="AJ33" s="1051"/>
      <c r="AK33" s="1051"/>
      <c r="AL33" s="1051">
        <v>0.6</v>
      </c>
      <c r="AM33" s="1051"/>
      <c r="AN33" s="1052"/>
    </row>
    <row r="34" spans="1:40" ht="17.100000000000001" customHeight="1">
      <c r="A34" s="2562"/>
      <c r="B34" s="2570"/>
      <c r="C34" s="2216" t="str">
        <f t="shared" si="8"/>
        <v>육령일반산업단지</v>
      </c>
      <c r="D34" s="2207">
        <f>ROUND(IFERROR(INDEX(사회적유입!$AA$4:$AW$165,MATCH($C34,사회적유입!$AA$4:$AA$165,0)-2,2),0)*$Z34,0)</f>
        <v>0</v>
      </c>
      <c r="E34" s="2207">
        <f>ROUND(IFERROR(INDEX(사회적유입!$AA$4:$AW$165,MATCH($C34,사회적유입!$AA$4:$AA$165,0)-2,3),0)*$Z34,0)</f>
        <v>0</v>
      </c>
      <c r="F34" s="2207">
        <f>ROUND(IFERROR(INDEX(사회적유입!$AA$4:$AW$165,MATCH($C34,사회적유입!$AA$4:$AA$165,0)-2,4),0)*$Z34,0)</f>
        <v>0</v>
      </c>
      <c r="G34" s="2207">
        <f>ROUND(IFERROR(INDEX(사회적유입!$AA$4:$AW$165,MATCH($C34,사회적유입!$AA$4:$AA$165,0)-2,5),0)*$Z34,0)</f>
        <v>0</v>
      </c>
      <c r="H34" s="2207">
        <f>ROUND(IFERROR(INDEX(사회적유입!$AA$4:$AW$165,MATCH($C34,사회적유입!$AA$4:$AA$165,0)-2,6),0)*$Z34,0)</f>
        <v>0</v>
      </c>
      <c r="I34" s="2207">
        <f>ROUND(IFERROR(INDEX(사회적유입!$AA$4:$AW$165,MATCH($C34,사회적유입!$AA$4:$AA$165,0)-2,7),0)*$Z34,0)</f>
        <v>0</v>
      </c>
      <c r="J34" s="2207">
        <v>0</v>
      </c>
      <c r="K34" s="2207">
        <v>0</v>
      </c>
      <c r="L34" s="2207">
        <v>0</v>
      </c>
      <c r="M34" s="2207">
        <v>0</v>
      </c>
      <c r="N34" s="2207">
        <v>0</v>
      </c>
      <c r="O34" s="2207">
        <v>0</v>
      </c>
      <c r="P34" s="2207">
        <v>0</v>
      </c>
      <c r="Q34" s="2207">
        <v>0</v>
      </c>
      <c r="R34" s="2207">
        <v>0</v>
      </c>
      <c r="S34" s="2207">
        <v>0</v>
      </c>
      <c r="T34" s="2207">
        <v>0</v>
      </c>
      <c r="U34" s="2207">
        <v>0</v>
      </c>
      <c r="V34" s="2207">
        <v>0</v>
      </c>
      <c r="W34" s="2207">
        <v>0</v>
      </c>
      <c r="X34" s="2207">
        <v>0</v>
      </c>
      <c r="Y34" s="2207">
        <v>0</v>
      </c>
      <c r="Z34" s="2213">
        <f t="shared" si="7"/>
        <v>0.8</v>
      </c>
      <c r="AB34" s="2564" t="s">
        <v>928</v>
      </c>
      <c r="AC34" s="2565"/>
      <c r="AD34" s="2565"/>
      <c r="AE34" s="1051"/>
      <c r="AF34" s="1051"/>
      <c r="AG34" s="1051"/>
      <c r="AH34" s="1051"/>
      <c r="AI34" s="1051"/>
      <c r="AJ34" s="1051"/>
      <c r="AK34" s="1051"/>
      <c r="AL34" s="1051"/>
      <c r="AM34" s="1051"/>
      <c r="AN34" s="1052"/>
    </row>
    <row r="35" spans="1:40" ht="17.100000000000001" customHeight="1">
      <c r="A35" s="2562"/>
      <c r="B35" s="2570"/>
      <c r="C35" s="2216" t="str">
        <f>AB46</f>
        <v>봉공산업단지</v>
      </c>
      <c r="D35" s="2207">
        <f>ROUND(IFERROR(INDEX(사회적유입!$AA$4:$AW$165,MATCH($C35,사회적유입!$AA$4:$AA$165,0)-2,2),0)*$Z35,0)</f>
        <v>0</v>
      </c>
      <c r="E35" s="2207">
        <f>ROUND(IFERROR(INDEX(사회적유입!$AA$4:$AW$165,MATCH($C35,사회적유입!$AA$4:$AA$165,0)-2,3),0)*$Z35,0)</f>
        <v>0</v>
      </c>
      <c r="F35" s="2207">
        <f>ROUND(IFERROR(INDEX(사회적유입!$AA$4:$AW$165,MATCH($C35,사회적유입!$AA$4:$AA$165,0)-2,4),0)*$Z35,0)</f>
        <v>0</v>
      </c>
      <c r="G35" s="2207">
        <f>ROUND(IFERROR(INDEX(사회적유입!$AA$4:$AW$165,MATCH($C35,사회적유입!$AA$4:$AA$165,0)-2,5),0)*$Z35,0)</f>
        <v>0</v>
      </c>
      <c r="H35" s="2207">
        <f>ROUND(IFERROR(INDEX(사회적유입!$AA$4:$AW$165,MATCH($C35,사회적유입!$AA$4:$AA$165,0)-2,6),0)*$Z35,0)</f>
        <v>0</v>
      </c>
      <c r="I35" s="2207">
        <f>ROUND(IFERROR(INDEX(사회적유입!$AA$4:$AW$165,MATCH($C35,사회적유입!$AA$4:$AA$165,0)-2,7),0)*$Z35,0)</f>
        <v>0</v>
      </c>
      <c r="J35" s="2207">
        <f>ROUND(IFERROR(INDEX(사회적유입!$AA$4:$AW$165,MATCH($C35,사회적유입!$AA$4:$AA$165,0)-2,8),0)*$Z35,0)</f>
        <v>0</v>
      </c>
      <c r="K35" s="2207">
        <f>ROUND(IFERROR(INDEX(사회적유입!$AA$4:$AW$165,MATCH($C35,사회적유입!$AA$4:$AA$165,0)-2,9),0)*$Z35,0)</f>
        <v>0</v>
      </c>
      <c r="L35" s="2207">
        <f>ROUND(IFERROR(INDEX(사회적유입!$AA$4:$AW$165,MATCH($C35,사회적유입!$AA$4:$AA$165,0)-2,10),0)*$Z35,0)</f>
        <v>0</v>
      </c>
      <c r="M35" s="2207">
        <f>ROUND(IFERROR(INDEX(사회적유입!$AA$4:$AW$165,MATCH($C35,사회적유입!$AA$4:$AA$165,0)-2,11),0)*$Z35,0)</f>
        <v>0</v>
      </c>
      <c r="N35" s="2207">
        <f>ROUND(IFERROR(INDEX(사회적유입!$AA$4:$AW$165,MATCH($C35,사회적유입!$AA$4:$AA$165,0)-2,12),0)*$Z35,0)</f>
        <v>0</v>
      </c>
      <c r="O35" s="2207">
        <f>ROUND(IFERROR(INDEX(사회적유입!$AA$4:$AW$165,MATCH($C35,사회적유입!$AA$4:$AA$165,0)-2,13),0)*$Z35,0)</f>
        <v>0</v>
      </c>
      <c r="P35" s="2207">
        <f>ROUND(IFERROR(INDEX(사회적유입!$AA$4:$AW$165,MATCH($C35,사회적유입!$AA$4:$AA$165,0)-2,14),0)*$Z35,0)</f>
        <v>0</v>
      </c>
      <c r="Q35" s="2207">
        <f>ROUND(IFERROR(INDEX(사회적유입!$AA$4:$AW$165,MATCH($C35,사회적유입!$AA$4:$AA$165,0)-2,15),0)*$Z35,0)</f>
        <v>0</v>
      </c>
      <c r="R35" s="2207">
        <f>ROUND(IFERROR(INDEX(사회적유입!$AA$4:$AW$165,MATCH($C35,사회적유입!$AA$4:$AA$165,0)-2,16),0)*$Z35,0)</f>
        <v>0</v>
      </c>
      <c r="S35" s="2207">
        <f>ROUND(IFERROR(INDEX(사회적유입!$AA$4:$AW$165,MATCH($C35,사회적유입!$AA$4:$AA$165,0)-2,17),0)*$Z35,0)</f>
        <v>0</v>
      </c>
      <c r="T35" s="2207">
        <f>ROUND(IFERROR(INDEX(사회적유입!$AA$4:$AW$165,MATCH($C35,사회적유입!$AA$4:$AA$165,0)-2,18),0)*$Z35,0)</f>
        <v>0</v>
      </c>
      <c r="U35" s="2207">
        <f>ROUND(IFERROR(INDEX(사회적유입!$AA$4:$AW$165,MATCH($C35,사회적유입!$AA$4:$AA$165,0)-2,19),0)*$Z35,0)</f>
        <v>0</v>
      </c>
      <c r="V35" s="2207">
        <f>ROUND(IFERROR(INDEX(사회적유입!$AA$4:$AW$165,MATCH($C35,사회적유입!$AA$4:$AA$165,0)-2,20),0)*$Z35,0)</f>
        <v>0</v>
      </c>
      <c r="W35" s="2207">
        <f>ROUND(IFERROR(INDEX(사회적유입!$AA$4:$AW$165,MATCH($C35,사회적유입!$AA$4:$AA$165,0)-2,21),0)*$Z35,0)</f>
        <v>0</v>
      </c>
      <c r="X35" s="2207">
        <f>ROUND(IFERROR(INDEX(사회적유입!$AA$4:$AW$165,MATCH($C35,사회적유입!$AA$4:$AA$165,0)-2,22),0)*$Z35,0)</f>
        <v>0</v>
      </c>
      <c r="Y35" s="2207">
        <f>ROUND(IFERROR(INDEX(사회적유입!$AA$4:$AW$165,MATCH($C35,사회적유입!$AA$4:$AA$165,0)-2,23),0)*$Z35,0)</f>
        <v>1191</v>
      </c>
      <c r="Z35" s="2213">
        <f t="shared" si="7"/>
        <v>1</v>
      </c>
      <c r="AB35" s="2564" t="s">
        <v>930</v>
      </c>
      <c r="AC35" s="2565"/>
      <c r="AD35" s="2565"/>
      <c r="AE35" s="1051"/>
      <c r="AF35" s="1051">
        <v>0.5</v>
      </c>
      <c r="AG35" s="1051"/>
      <c r="AH35" s="1051"/>
      <c r="AI35" s="1051">
        <v>0.1</v>
      </c>
      <c r="AJ35" s="1051">
        <v>0.3</v>
      </c>
      <c r="AK35" s="1051"/>
      <c r="AL35" s="1051"/>
      <c r="AM35" s="1051"/>
      <c r="AN35" s="1052">
        <v>0.1</v>
      </c>
    </row>
    <row r="36" spans="1:40" ht="17.100000000000001" customHeight="1">
      <c r="A36" s="2562"/>
      <c r="B36" s="2570"/>
      <c r="C36" s="2216" t="str">
        <f>AB47</f>
        <v>신평산업단지</v>
      </c>
      <c r="D36" s="2207">
        <f>ROUND(IFERROR(INDEX(사회적유입!$AA$4:$AW$165,MATCH($C36,사회적유입!$AA$4:$AA$165,0)-2,2),0)*$Z36,0)</f>
        <v>0</v>
      </c>
      <c r="E36" s="2207">
        <f>ROUND(IFERROR(INDEX(사회적유입!$AA$4:$AW$165,MATCH($C36,사회적유입!$AA$4:$AA$165,0)-2,3),0)*$Z36,0)</f>
        <v>0</v>
      </c>
      <c r="F36" s="2207">
        <f>ROUND(IFERROR(INDEX(사회적유입!$AA$4:$AW$165,MATCH($C36,사회적유입!$AA$4:$AA$165,0)-2,4),0)*$Z36,0)</f>
        <v>0</v>
      </c>
      <c r="G36" s="2207">
        <f>ROUND(IFERROR(INDEX(사회적유입!$AA$4:$AW$165,MATCH($C36,사회적유입!$AA$4:$AA$165,0)-2,5),0)*$Z36,0)</f>
        <v>0</v>
      </c>
      <c r="H36" s="2207">
        <f>ROUND(IFERROR(INDEX(사회적유입!$AA$4:$AW$165,MATCH($C36,사회적유입!$AA$4:$AA$165,0)-2,6),0)*$Z36,0)</f>
        <v>0</v>
      </c>
      <c r="I36" s="2207">
        <f>ROUND(IFERROR(INDEX(사회적유입!$AA$4:$AW$165,MATCH($C36,사회적유입!$AA$4:$AA$165,0)-2,7),0)*$Z36,0)</f>
        <v>0</v>
      </c>
      <c r="J36" s="2207">
        <f>ROUND(IFERROR(INDEX(사회적유입!$AA$4:$AW$165,MATCH($C36,사회적유입!$AA$4:$AA$165,0)-2,8),0)*$Z36,0)</f>
        <v>0</v>
      </c>
      <c r="K36" s="2207">
        <f>ROUND(IFERROR(INDEX(사회적유입!$AA$4:$AW$165,MATCH($C36,사회적유입!$AA$4:$AA$165,0)-2,9),0)*$Z36,0)</f>
        <v>0</v>
      </c>
      <c r="L36" s="2207">
        <f>ROUND(IFERROR(INDEX(사회적유입!$AA$4:$AW$165,MATCH($C36,사회적유입!$AA$4:$AA$165,0)-2,10),0)*$Z36,0)</f>
        <v>0</v>
      </c>
      <c r="M36" s="2207">
        <f>ROUND(IFERROR(INDEX(사회적유입!$AA$4:$AW$165,MATCH($C36,사회적유입!$AA$4:$AA$165,0)-2,11),0)*$Z36,0)</f>
        <v>0</v>
      </c>
      <c r="N36" s="2207">
        <f>ROUND(IFERROR(INDEX(사회적유입!$AA$4:$AW$165,MATCH($C36,사회적유입!$AA$4:$AA$165,0)-2,12),0)*$Z36,0)</f>
        <v>0</v>
      </c>
      <c r="O36" s="2207">
        <f>ROUND(IFERROR(INDEX(사회적유입!$AA$4:$AW$165,MATCH($C36,사회적유입!$AA$4:$AA$165,0)-2,13),0)*$Z36,0)</f>
        <v>0</v>
      </c>
      <c r="P36" s="2207">
        <f>ROUND(IFERROR(INDEX(사회적유입!$AA$4:$AW$165,MATCH($C36,사회적유입!$AA$4:$AA$165,0)-2,14),0)*$Z36,0)</f>
        <v>0</v>
      </c>
      <c r="Q36" s="2207">
        <f>ROUND(IFERROR(INDEX(사회적유입!$AA$4:$AW$165,MATCH($C36,사회적유입!$AA$4:$AA$165,0)-2,15),0)*$Z36,0)</f>
        <v>0</v>
      </c>
      <c r="R36" s="2207">
        <f>ROUND(IFERROR(INDEX(사회적유입!$AA$4:$AW$165,MATCH($C36,사회적유입!$AA$4:$AA$165,0)-2,16),0)*$Z36,0)</f>
        <v>0</v>
      </c>
      <c r="S36" s="2207">
        <f>ROUND(IFERROR(INDEX(사회적유입!$AA$4:$AW$165,MATCH($C36,사회적유입!$AA$4:$AA$165,0)-2,17),0)*$Z36,0)</f>
        <v>0</v>
      </c>
      <c r="T36" s="2207">
        <f>ROUND(IFERROR(INDEX(사회적유입!$AA$4:$AW$165,MATCH($C36,사회적유입!$AA$4:$AA$165,0)-2,18),0)*$Z36,0)</f>
        <v>0</v>
      </c>
      <c r="U36" s="2207">
        <f>ROUND(IFERROR(INDEX(사회적유입!$AA$4:$AW$165,MATCH($C36,사회적유입!$AA$4:$AA$165,0)-2,19),0)*$Z36,0)</f>
        <v>0</v>
      </c>
      <c r="V36" s="2207">
        <f>ROUND(IFERROR(INDEX(사회적유입!$AA$4:$AW$165,MATCH($C36,사회적유입!$AA$4:$AA$165,0)-2,20),0)*$Z36,0)</f>
        <v>0</v>
      </c>
      <c r="W36" s="2207">
        <f>ROUND(IFERROR(INDEX(사회적유입!$AA$4:$AW$165,MATCH($C36,사회적유입!$AA$4:$AA$165,0)-2,21),0)*$Z36,0)</f>
        <v>0</v>
      </c>
      <c r="X36" s="2207">
        <f>ROUND(IFERROR(INDEX(사회적유입!$AA$4:$AW$165,MATCH($C36,사회적유입!$AA$4:$AA$165,0)-2,22),0)*$Z36,0)</f>
        <v>0</v>
      </c>
      <c r="Y36" s="2207">
        <f>ROUND(IFERROR(INDEX(사회적유입!$AA$4:$AW$165,MATCH($C36,사회적유입!$AA$4:$AA$165,0)-2,23),0)*$Z36,0)</f>
        <v>2143</v>
      </c>
      <c r="Z36" s="2213">
        <f t="shared" si="7"/>
        <v>1</v>
      </c>
      <c r="AB36" s="2564" t="s">
        <v>931</v>
      </c>
      <c r="AC36" s="2565"/>
      <c r="AD36" s="2565"/>
      <c r="AE36" s="1051"/>
      <c r="AF36" s="1051">
        <v>0.6</v>
      </c>
      <c r="AG36" s="1051"/>
      <c r="AH36" s="1051"/>
      <c r="AI36" s="1051">
        <v>0.05</v>
      </c>
      <c r="AJ36" s="1051">
        <v>0.3</v>
      </c>
      <c r="AK36" s="1051"/>
      <c r="AL36" s="1051"/>
      <c r="AM36" s="1051"/>
      <c r="AN36" s="1052">
        <v>0.05</v>
      </c>
    </row>
    <row r="37" spans="1:40" ht="17.100000000000001" customHeight="1">
      <c r="A37" s="2562"/>
      <c r="B37" s="2570"/>
      <c r="C37" s="2208" t="s">
        <v>72</v>
      </c>
      <c r="D37" s="2209">
        <f t="shared" ref="D37:X37" si="9">SUM(D26:D36)</f>
        <v>0</v>
      </c>
      <c r="E37" s="2209">
        <f t="shared" si="9"/>
        <v>0</v>
      </c>
      <c r="F37" s="2209">
        <f t="shared" si="9"/>
        <v>0</v>
      </c>
      <c r="G37" s="2209">
        <f t="shared" si="9"/>
        <v>0</v>
      </c>
      <c r="H37" s="2209">
        <f t="shared" si="9"/>
        <v>0</v>
      </c>
      <c r="I37" s="2209">
        <f t="shared" si="9"/>
        <v>0</v>
      </c>
      <c r="J37" s="2209">
        <f t="shared" si="9"/>
        <v>0</v>
      </c>
      <c r="K37" s="2209">
        <f t="shared" si="9"/>
        <v>0</v>
      </c>
      <c r="L37" s="2209">
        <f t="shared" si="9"/>
        <v>0</v>
      </c>
      <c r="M37" s="2209">
        <f t="shared" si="9"/>
        <v>0</v>
      </c>
      <c r="N37" s="2209">
        <f t="shared" si="9"/>
        <v>0</v>
      </c>
      <c r="O37" s="2209">
        <f t="shared" si="9"/>
        <v>0</v>
      </c>
      <c r="P37" s="2209">
        <f t="shared" si="9"/>
        <v>0</v>
      </c>
      <c r="Q37" s="2209">
        <f t="shared" si="9"/>
        <v>0</v>
      </c>
      <c r="R37" s="2209">
        <f t="shared" si="9"/>
        <v>0</v>
      </c>
      <c r="S37" s="2209">
        <f t="shared" si="9"/>
        <v>0</v>
      </c>
      <c r="T37" s="2209">
        <f t="shared" si="9"/>
        <v>0</v>
      </c>
      <c r="U37" s="2209">
        <f t="shared" si="9"/>
        <v>0</v>
      </c>
      <c r="V37" s="2209">
        <f t="shared" si="9"/>
        <v>0</v>
      </c>
      <c r="W37" s="2209">
        <f t="shared" si="9"/>
        <v>0</v>
      </c>
      <c r="X37" s="2209">
        <f t="shared" si="9"/>
        <v>0</v>
      </c>
      <c r="Y37" s="2209">
        <f>SUM(Y26:Y36)</f>
        <v>3334</v>
      </c>
      <c r="Z37" s="2214"/>
      <c r="AB37" s="2564" t="s">
        <v>1264</v>
      </c>
      <c r="AC37" s="2565"/>
      <c r="AD37" s="2565"/>
      <c r="AE37" s="1051"/>
      <c r="AF37" s="1051">
        <v>0.2</v>
      </c>
      <c r="AG37" s="1051"/>
      <c r="AH37" s="1051"/>
      <c r="AI37" s="1051"/>
      <c r="AJ37" s="1051">
        <v>0.8</v>
      </c>
      <c r="AK37" s="1051"/>
      <c r="AL37" s="1051"/>
      <c r="AM37" s="1051"/>
      <c r="AN37" s="1052">
        <v>0.15</v>
      </c>
    </row>
    <row r="38" spans="1:40" ht="17.100000000000001" customHeight="1">
      <c r="A38" s="2563"/>
      <c r="B38" s="2579" t="s">
        <v>75</v>
      </c>
      <c r="C38" s="2579"/>
      <c r="D38" s="2211">
        <f t="shared" ref="D38:Y38" si="10">SUM(D25,D37,D21)</f>
        <v>0</v>
      </c>
      <c r="E38" s="2211">
        <f t="shared" si="10"/>
        <v>0</v>
      </c>
      <c r="F38" s="2211">
        <f t="shared" si="10"/>
        <v>0</v>
      </c>
      <c r="G38" s="2211">
        <f t="shared" si="10"/>
        <v>593</v>
      </c>
      <c r="H38" s="2211">
        <f t="shared" si="10"/>
        <v>593</v>
      </c>
      <c r="I38" s="2211">
        <f t="shared" si="10"/>
        <v>593</v>
      </c>
      <c r="J38" s="2211">
        <f t="shared" si="10"/>
        <v>2899</v>
      </c>
      <c r="K38" s="2211">
        <f t="shared" si="10"/>
        <v>2899</v>
      </c>
      <c r="L38" s="2211">
        <f t="shared" si="10"/>
        <v>2899</v>
      </c>
      <c r="M38" s="2211">
        <f t="shared" si="10"/>
        <v>2899</v>
      </c>
      <c r="N38" s="2211">
        <f t="shared" si="10"/>
        <v>2899</v>
      </c>
      <c r="O38" s="2211">
        <f t="shared" si="10"/>
        <v>3345</v>
      </c>
      <c r="P38" s="2211">
        <f t="shared" si="10"/>
        <v>3345</v>
      </c>
      <c r="Q38" s="2211">
        <f t="shared" si="10"/>
        <v>3345</v>
      </c>
      <c r="R38" s="2211">
        <f t="shared" si="10"/>
        <v>3345</v>
      </c>
      <c r="S38" s="2211">
        <f t="shared" si="10"/>
        <v>3345</v>
      </c>
      <c r="T38" s="2211">
        <f t="shared" si="10"/>
        <v>3345</v>
      </c>
      <c r="U38" s="2211">
        <f t="shared" si="10"/>
        <v>3345</v>
      </c>
      <c r="V38" s="2211">
        <f t="shared" si="10"/>
        <v>3345</v>
      </c>
      <c r="W38" s="2211">
        <f t="shared" si="10"/>
        <v>3345</v>
      </c>
      <c r="X38" s="2211">
        <f t="shared" si="10"/>
        <v>3345</v>
      </c>
      <c r="Y38" s="2211">
        <f t="shared" si="10"/>
        <v>8233</v>
      </c>
      <c r="Z38" s="2215"/>
      <c r="AB38" s="2575" t="s">
        <v>1263</v>
      </c>
      <c r="AC38" s="2576"/>
      <c r="AD38" s="2577"/>
      <c r="AE38" s="1165"/>
      <c r="AF38" s="1165">
        <v>0.8</v>
      </c>
      <c r="AG38" s="1165"/>
      <c r="AH38" s="1165"/>
      <c r="AI38" s="1165"/>
      <c r="AJ38" s="1165"/>
      <c r="AK38" s="1165"/>
      <c r="AL38" s="1165">
        <v>0.2</v>
      </c>
      <c r="AM38" s="1165"/>
      <c r="AN38" s="1099">
        <v>0.15</v>
      </c>
    </row>
    <row r="39" spans="1:40" ht="17.100000000000001" customHeight="1">
      <c r="A39" s="2561" t="s">
        <v>1451</v>
      </c>
      <c r="B39" s="2569" t="s">
        <v>1454</v>
      </c>
      <c r="C39" s="2217" t="str">
        <f>AB52</f>
        <v>소이산업단지 확장</v>
      </c>
      <c r="D39" s="2205">
        <f>ROUND(IFERROR(INDEX(사회적유입!$AA$4:$AW$165,MATCH($C39,사회적유입!$AA$4:$AA$165,0)-2,2),0)*$Z39,0)</f>
        <v>0</v>
      </c>
      <c r="E39" s="2205">
        <f>ROUND(IFERROR(INDEX(사회적유입!$AA$4:$AW$165,MATCH($C39,사회적유입!$AA$4:$AA$165,0)-2,3),0)*$Z39,0)</f>
        <v>0</v>
      </c>
      <c r="F39" s="2205">
        <f>ROUND(IFERROR(INDEX(사회적유입!$AA$4:$AW$165,MATCH($C39,사회적유입!$AA$4:$AA$165,0)-2,4),0)*$Z39,0)</f>
        <v>0</v>
      </c>
      <c r="G39" s="2205">
        <f>ROUND(IFERROR(INDEX(사회적유입!$AA$4:$AW$165,MATCH($C39,사회적유입!$AA$4:$AA$165,0)-2,5),0)*$Z39,0)</f>
        <v>0</v>
      </c>
      <c r="H39" s="2205">
        <f>ROUND(IFERROR(INDEX(사회적유입!$AA$4:$AW$165,MATCH($C39,사회적유입!$AA$4:$AA$165,0)-2,6),0)*$Z39,0)</f>
        <v>0</v>
      </c>
      <c r="I39" s="2205">
        <f>ROUND(IFERROR(INDEX(사회적유입!$AA$4:$AW$165,MATCH($C39,사회적유입!$AA$4:$AA$165,0)-2,7),0)*$Z39,0)</f>
        <v>0</v>
      </c>
      <c r="J39" s="2205">
        <f>ROUND(IFERROR(INDEX(사회적유입!$AA$4:$AW$165,MATCH($C39,사회적유입!$AA$4:$AA$165,0)-2,8),0)*$Z39,0)</f>
        <v>0</v>
      </c>
      <c r="K39" s="2205">
        <f>ROUND(IFERROR(INDEX(사회적유입!$AA$4:$AW$165,MATCH($C39,사회적유입!$AA$4:$AA$165,0)-2,9),0)*$Z39,0)</f>
        <v>0</v>
      </c>
      <c r="L39" s="2205">
        <f>ROUND(IFERROR(INDEX(사회적유입!$AA$4:$AW$165,MATCH($C39,사회적유입!$AA$4:$AA$165,0)-2,10),0)*$Z39,0)</f>
        <v>0</v>
      </c>
      <c r="M39" s="2205">
        <f>ROUND(IFERROR(INDEX(사회적유입!$AA$4:$AW$165,MATCH($C39,사회적유입!$AA$4:$AA$165,0)-2,11),0)*$Z39,0)</f>
        <v>0</v>
      </c>
      <c r="N39" s="2205">
        <f>ROUND(IFERROR(INDEX(사회적유입!$AA$4:$AW$165,MATCH($C39,사회적유입!$AA$4:$AA$165,0)-2,12),0)*$Z39,0)</f>
        <v>0</v>
      </c>
      <c r="O39" s="2205">
        <f>ROUND(IFERROR(INDEX(사회적유입!$AA$4:$AW$165,MATCH($C39,사회적유입!$AA$4:$AA$165,0)-2,13),0)*$Z39,0)</f>
        <v>0</v>
      </c>
      <c r="P39" s="2205">
        <f>ROUND(IFERROR(INDEX(사회적유입!$AA$4:$AW$165,MATCH($C39,사회적유입!$AA$4:$AA$165,0)-2,14),0)*$Z39,0)</f>
        <v>0</v>
      </c>
      <c r="Q39" s="2205">
        <f>ROUND(IFERROR(INDEX(사회적유입!$AA$4:$AW$165,MATCH($C39,사회적유입!$AA$4:$AA$165,0)-2,15),0)*$Z39,0)</f>
        <v>0</v>
      </c>
      <c r="R39" s="2205">
        <f>ROUND(IFERROR(INDEX(사회적유입!$AA$4:$AW$165,MATCH($C39,사회적유입!$AA$4:$AA$165,0)-2,16),0)*$Z39,0)</f>
        <v>0</v>
      </c>
      <c r="S39" s="2205">
        <f>ROUND(IFERROR(INDEX(사회적유입!$AA$4:$AW$165,MATCH($C39,사회적유입!$AA$4:$AA$165,0)-2,17),0)*$Z39,0)</f>
        <v>0</v>
      </c>
      <c r="T39" s="2205">
        <f>ROUND(IFERROR(INDEX(사회적유입!$AA$4:$AW$165,MATCH($C39,사회적유입!$AA$4:$AA$165,0)-2,18),0)*$Z39,0)</f>
        <v>0</v>
      </c>
      <c r="U39" s="2205">
        <f>ROUND(IFERROR(INDEX(사회적유입!$AA$4:$AW$165,MATCH($C39,사회적유입!$AA$4:$AA$165,0)-2,19),0)*$Z39,0)</f>
        <v>0</v>
      </c>
      <c r="V39" s="2205">
        <f>ROUND(IFERROR(INDEX(사회적유입!$AA$4:$AW$165,MATCH($C39,사회적유입!$AA$4:$AA$165,0)-2,20),0)*$Z39,0)</f>
        <v>0</v>
      </c>
      <c r="W39" s="2205">
        <f>ROUND(IFERROR(INDEX(사회적유입!$AA$4:$AW$165,MATCH($C39,사회적유입!$AA$4:$AA$165,0)-2,21),0)*$Z39,0)</f>
        <v>0</v>
      </c>
      <c r="X39" s="2205">
        <f>ROUND(IFERROR(INDEX(사회적유입!$AA$4:$AW$165,MATCH($C39,사회적유입!$AA$4:$AA$165,0)-2,22),0)*$Z39,0)</f>
        <v>0</v>
      </c>
      <c r="Y39" s="2205">
        <f>ROUND(IFERROR(INDEX(사회적유입!$AA$4:$AW$165,MATCH($C39,사회적유입!$AA$4:$AA$165,0)-2,23),0)*$Z39,0)</f>
        <v>368</v>
      </c>
      <c r="Z39" s="2212">
        <f>VLOOKUP(C39,$AB$5:$AN$57,6,FALSE)</f>
        <v>0.5</v>
      </c>
      <c r="AB39" s="2566" t="s">
        <v>1388</v>
      </c>
      <c r="AC39" s="2567"/>
      <c r="AD39" s="2568"/>
      <c r="AE39" s="1166"/>
      <c r="AF39" s="1166">
        <v>1</v>
      </c>
      <c r="AG39" s="1166"/>
      <c r="AH39" s="1166"/>
      <c r="AI39" s="1166"/>
      <c r="AJ39" s="1166"/>
      <c r="AK39" s="1166"/>
      <c r="AL39" s="1166"/>
      <c r="AM39" s="1166"/>
      <c r="AN39" s="1167"/>
    </row>
    <row r="40" spans="1:40" ht="17.100000000000001" customHeight="1">
      <c r="A40" s="2562"/>
      <c r="B40" s="2570"/>
      <c r="C40" s="2208" t="s">
        <v>72</v>
      </c>
      <c r="D40" s="2209">
        <f t="shared" ref="D40:Y40" si="11">SUM(D39:D39)</f>
        <v>0</v>
      </c>
      <c r="E40" s="2209">
        <f t="shared" si="11"/>
        <v>0</v>
      </c>
      <c r="F40" s="2209">
        <f t="shared" si="11"/>
        <v>0</v>
      </c>
      <c r="G40" s="2209">
        <f t="shared" si="11"/>
        <v>0</v>
      </c>
      <c r="H40" s="2209">
        <f t="shared" si="11"/>
        <v>0</v>
      </c>
      <c r="I40" s="2209">
        <f t="shared" si="11"/>
        <v>0</v>
      </c>
      <c r="J40" s="2209">
        <f t="shared" si="11"/>
        <v>0</v>
      </c>
      <c r="K40" s="2209">
        <f t="shared" si="11"/>
        <v>0</v>
      </c>
      <c r="L40" s="2209">
        <f t="shared" si="11"/>
        <v>0</v>
      </c>
      <c r="M40" s="2209">
        <f t="shared" si="11"/>
        <v>0</v>
      </c>
      <c r="N40" s="2209">
        <f t="shared" si="11"/>
        <v>0</v>
      </c>
      <c r="O40" s="2209">
        <f t="shared" si="11"/>
        <v>0</v>
      </c>
      <c r="P40" s="2209">
        <f t="shared" si="11"/>
        <v>0</v>
      </c>
      <c r="Q40" s="2209">
        <f t="shared" si="11"/>
        <v>0</v>
      </c>
      <c r="R40" s="2209">
        <f t="shared" si="11"/>
        <v>0</v>
      </c>
      <c r="S40" s="2209">
        <f t="shared" si="11"/>
        <v>0</v>
      </c>
      <c r="T40" s="2209">
        <f t="shared" si="11"/>
        <v>0</v>
      </c>
      <c r="U40" s="2209">
        <f t="shared" si="11"/>
        <v>0</v>
      </c>
      <c r="V40" s="2209">
        <f t="shared" si="11"/>
        <v>0</v>
      </c>
      <c r="W40" s="2209">
        <f t="shared" si="11"/>
        <v>0</v>
      </c>
      <c r="X40" s="2209">
        <f t="shared" si="11"/>
        <v>0</v>
      </c>
      <c r="Y40" s="2209">
        <f t="shared" si="11"/>
        <v>368</v>
      </c>
      <c r="Z40" s="2214"/>
      <c r="AB40" s="2572" t="s">
        <v>1449</v>
      </c>
      <c r="AC40" s="2573"/>
      <c r="AD40" s="2574"/>
      <c r="AE40" s="1051"/>
      <c r="AF40" s="1051"/>
      <c r="AG40" s="1051"/>
      <c r="AH40" s="1051"/>
      <c r="AI40" s="1051"/>
      <c r="AJ40" s="1051">
        <v>1</v>
      </c>
      <c r="AK40" s="1051"/>
      <c r="AL40" s="1051"/>
      <c r="AM40" s="1051"/>
      <c r="AN40" s="1052"/>
    </row>
    <row r="41" spans="1:40" ht="17.100000000000001" customHeight="1">
      <c r="A41" s="2563"/>
      <c r="B41" s="2571" t="s">
        <v>7</v>
      </c>
      <c r="C41" s="2571"/>
      <c r="D41" s="2211">
        <f>SUM(D40)</f>
        <v>0</v>
      </c>
      <c r="E41" s="2211">
        <f t="shared" ref="E41:Y41" si="12">SUM(E40)</f>
        <v>0</v>
      </c>
      <c r="F41" s="2211">
        <f t="shared" si="12"/>
        <v>0</v>
      </c>
      <c r="G41" s="2211">
        <f t="shared" si="12"/>
        <v>0</v>
      </c>
      <c r="H41" s="2211">
        <f t="shared" si="12"/>
        <v>0</v>
      </c>
      <c r="I41" s="2211">
        <f t="shared" si="12"/>
        <v>0</v>
      </c>
      <c r="J41" s="2211">
        <f t="shared" si="12"/>
        <v>0</v>
      </c>
      <c r="K41" s="2211">
        <f t="shared" si="12"/>
        <v>0</v>
      </c>
      <c r="L41" s="2211">
        <f t="shared" si="12"/>
        <v>0</v>
      </c>
      <c r="M41" s="2211">
        <f t="shared" si="12"/>
        <v>0</v>
      </c>
      <c r="N41" s="2211">
        <f t="shared" si="12"/>
        <v>0</v>
      </c>
      <c r="O41" s="2211">
        <f t="shared" si="12"/>
        <v>0</v>
      </c>
      <c r="P41" s="2211">
        <f t="shared" si="12"/>
        <v>0</v>
      </c>
      <c r="Q41" s="2211">
        <f t="shared" si="12"/>
        <v>0</v>
      </c>
      <c r="R41" s="2211">
        <f t="shared" si="12"/>
        <v>0</v>
      </c>
      <c r="S41" s="2211">
        <f t="shared" si="12"/>
        <v>0</v>
      </c>
      <c r="T41" s="2211">
        <f t="shared" si="12"/>
        <v>0</v>
      </c>
      <c r="U41" s="2211">
        <f t="shared" si="12"/>
        <v>0</v>
      </c>
      <c r="V41" s="2211">
        <f t="shared" si="12"/>
        <v>0</v>
      </c>
      <c r="W41" s="2211">
        <f t="shared" si="12"/>
        <v>0</v>
      </c>
      <c r="X41" s="2211">
        <f t="shared" si="12"/>
        <v>0</v>
      </c>
      <c r="Y41" s="2211">
        <f t="shared" si="12"/>
        <v>368</v>
      </c>
      <c r="Z41" s="2215"/>
      <c r="AB41" s="2572" t="s">
        <v>1390</v>
      </c>
      <c r="AC41" s="2573"/>
      <c r="AD41" s="2574"/>
      <c r="AE41" s="1051"/>
      <c r="AF41" s="1051"/>
      <c r="AG41" s="1051"/>
      <c r="AH41" s="1051"/>
      <c r="AI41" s="1051">
        <v>1</v>
      </c>
      <c r="AJ41" s="1051"/>
      <c r="AK41" s="1051"/>
      <c r="AL41" s="1051"/>
      <c r="AM41" s="1051"/>
      <c r="AN41" s="1052"/>
    </row>
    <row r="42" spans="1:40" ht="17.100000000000001" customHeight="1">
      <c r="A42" s="2561" t="s">
        <v>1452</v>
      </c>
      <c r="B42" s="2569" t="s">
        <v>1454</v>
      </c>
      <c r="C42" s="2217" t="str">
        <f>AB53</f>
        <v>보천산업단지</v>
      </c>
      <c r="D42" s="2205">
        <f>ROUND(IFERROR(INDEX(사회적유입!$AA$4:$AW$165,MATCH($C42,사회적유입!$AA$4:$AA$165,0)-2,2),0)*$Z42,0)</f>
        <v>0</v>
      </c>
      <c r="E42" s="2205">
        <f>ROUND(IFERROR(INDEX(사회적유입!$AA$4:$AW$165,MATCH($C42,사회적유입!$AA$4:$AA$165,0)-2,3),0)*$Z42,0)</f>
        <v>0</v>
      </c>
      <c r="F42" s="2205">
        <f>ROUND(IFERROR(INDEX(사회적유입!$AA$4:$AW$165,MATCH($C42,사회적유입!$AA$4:$AA$165,0)-2,4),0)*$Z42,0)</f>
        <v>0</v>
      </c>
      <c r="G42" s="2205">
        <f>ROUND(IFERROR(INDEX(사회적유입!$AA$4:$AW$165,MATCH($C42,사회적유입!$AA$4:$AA$165,0)-2,5),0)*$Z42,0)</f>
        <v>0</v>
      </c>
      <c r="H42" s="2205">
        <f>ROUND(IFERROR(INDEX(사회적유입!$AA$4:$AW$165,MATCH($C42,사회적유입!$AA$4:$AA$165,0)-2,6),0)*$Z42,0)</f>
        <v>0</v>
      </c>
      <c r="I42" s="2205">
        <f>ROUND(IFERROR(INDEX(사회적유입!$AA$4:$AW$165,MATCH($C42,사회적유입!$AA$4:$AA$165,0)-2,7),0)*$Z42,0)</f>
        <v>0</v>
      </c>
      <c r="J42" s="2205">
        <f>ROUND(IFERROR(INDEX(사회적유입!$AA$4:$AW$165,MATCH($C42,사회적유입!$AA$4:$AA$165,0)-2,8),0)*$Z42,0)</f>
        <v>0</v>
      </c>
      <c r="K42" s="2205">
        <f>ROUND(IFERROR(INDEX(사회적유입!$AA$4:$AW$165,MATCH($C42,사회적유입!$AA$4:$AA$165,0)-2,9),0)*$Z42,0)</f>
        <v>0</v>
      </c>
      <c r="L42" s="2205">
        <f>ROUND(IFERROR(INDEX(사회적유입!$AA$4:$AW$165,MATCH($C42,사회적유입!$AA$4:$AA$165,0)-2,10),0)*$Z42,0)</f>
        <v>0</v>
      </c>
      <c r="M42" s="2205">
        <f>ROUND(IFERROR(INDEX(사회적유입!$AA$4:$AW$165,MATCH($C42,사회적유입!$AA$4:$AA$165,0)-2,11),0)*$Z42,0)</f>
        <v>0</v>
      </c>
      <c r="N42" s="2205">
        <f>ROUND(IFERROR(INDEX(사회적유입!$AA$4:$AW$165,MATCH($C42,사회적유입!$AA$4:$AA$165,0)-2,12),0)*$Z42,0)</f>
        <v>0</v>
      </c>
      <c r="O42" s="2205">
        <f>ROUND(IFERROR(INDEX(사회적유입!$AA$4:$AW$165,MATCH($C42,사회적유입!$AA$4:$AA$165,0)-2,13),0)*$Z42,0)</f>
        <v>0</v>
      </c>
      <c r="P42" s="2205">
        <f>ROUND(IFERROR(INDEX(사회적유입!$AA$4:$AW$165,MATCH($C42,사회적유입!$AA$4:$AA$165,0)-2,14),0)*$Z42,0)</f>
        <v>0</v>
      </c>
      <c r="Q42" s="2205">
        <f>ROUND(IFERROR(INDEX(사회적유입!$AA$4:$AW$165,MATCH($C42,사회적유입!$AA$4:$AA$165,0)-2,15),0)*$Z42,0)</f>
        <v>0</v>
      </c>
      <c r="R42" s="2205">
        <f>ROUND(IFERROR(INDEX(사회적유입!$AA$4:$AW$165,MATCH($C42,사회적유입!$AA$4:$AA$165,0)-2,16),0)*$Z42,0)</f>
        <v>0</v>
      </c>
      <c r="S42" s="2205">
        <f>ROUND(IFERROR(INDEX(사회적유입!$AA$4:$AW$165,MATCH($C42,사회적유입!$AA$4:$AA$165,0)-2,17),0)*$Z42,0)</f>
        <v>0</v>
      </c>
      <c r="T42" s="2205">
        <f>ROUND(IFERROR(INDEX(사회적유입!$AA$4:$AW$165,MATCH($C42,사회적유입!$AA$4:$AA$165,0)-2,18),0)*$Z42,0)</f>
        <v>0</v>
      </c>
      <c r="U42" s="2205">
        <f>ROUND(IFERROR(INDEX(사회적유입!$AA$4:$AW$165,MATCH($C42,사회적유입!$AA$4:$AA$165,0)-2,19),0)*$Z42,0)</f>
        <v>0</v>
      </c>
      <c r="V42" s="2205">
        <f>ROUND(IFERROR(INDEX(사회적유입!$AA$4:$AW$165,MATCH($C42,사회적유입!$AA$4:$AA$165,0)-2,20),0)*$Z42,0)</f>
        <v>0</v>
      </c>
      <c r="W42" s="2205">
        <f>ROUND(IFERROR(INDEX(사회적유입!$AA$4:$AW$165,MATCH($C42,사회적유입!$AA$4:$AA$165,0)-2,21),0)*$Z42,0)</f>
        <v>0</v>
      </c>
      <c r="X42" s="2205">
        <f>ROUND(IFERROR(INDEX(사회적유입!$AA$4:$AW$165,MATCH($C42,사회적유입!$AA$4:$AA$165,0)-2,22),0)*$Z42,0)</f>
        <v>0</v>
      </c>
      <c r="Y42" s="2205">
        <f>ROUND(IFERROR(INDEX(사회적유입!$AA$4:$AW$165,MATCH($C42,사회적유입!$AA$4:$AA$165,0)-2,23),0)*$Z42,0)</f>
        <v>715</v>
      </c>
      <c r="Z42" s="2212">
        <f>VLOOKUP(C42,$AB$5:$AN$57,7,FALSE)</f>
        <v>0.5</v>
      </c>
      <c r="AB42" s="2572" t="s">
        <v>1392</v>
      </c>
      <c r="AC42" s="2573"/>
      <c r="AD42" s="2574"/>
      <c r="AE42" s="1051"/>
      <c r="AF42" s="1051"/>
      <c r="AG42" s="1051"/>
      <c r="AH42" s="1051"/>
      <c r="AI42" s="1051"/>
      <c r="AJ42" s="1051"/>
      <c r="AK42" s="1051">
        <v>1</v>
      </c>
      <c r="AL42" s="1051"/>
      <c r="AM42" s="1051"/>
      <c r="AN42" s="1052"/>
    </row>
    <row r="43" spans="1:40" ht="17.100000000000001" customHeight="1">
      <c r="A43" s="2562"/>
      <c r="B43" s="2570"/>
      <c r="C43" s="2208" t="s">
        <v>72</v>
      </c>
      <c r="D43" s="2209">
        <f t="shared" ref="D43:Y43" si="13">SUM(D42:D42)</f>
        <v>0</v>
      </c>
      <c r="E43" s="2209">
        <f t="shared" si="13"/>
        <v>0</v>
      </c>
      <c r="F43" s="2209">
        <f t="shared" si="13"/>
        <v>0</v>
      </c>
      <c r="G43" s="2209">
        <f t="shared" si="13"/>
        <v>0</v>
      </c>
      <c r="H43" s="2209">
        <f t="shared" si="13"/>
        <v>0</v>
      </c>
      <c r="I43" s="2209">
        <f t="shared" si="13"/>
        <v>0</v>
      </c>
      <c r="J43" s="2209">
        <f t="shared" si="13"/>
        <v>0</v>
      </c>
      <c r="K43" s="2209">
        <f t="shared" si="13"/>
        <v>0</v>
      </c>
      <c r="L43" s="2209">
        <f t="shared" si="13"/>
        <v>0</v>
      </c>
      <c r="M43" s="2209">
        <f t="shared" si="13"/>
        <v>0</v>
      </c>
      <c r="N43" s="2209">
        <f t="shared" si="13"/>
        <v>0</v>
      </c>
      <c r="O43" s="2209">
        <f t="shared" si="13"/>
        <v>0</v>
      </c>
      <c r="P43" s="2209">
        <f t="shared" si="13"/>
        <v>0</v>
      </c>
      <c r="Q43" s="2209">
        <f t="shared" si="13"/>
        <v>0</v>
      </c>
      <c r="R43" s="2209">
        <f t="shared" si="13"/>
        <v>0</v>
      </c>
      <c r="S43" s="2209">
        <f t="shared" si="13"/>
        <v>0</v>
      </c>
      <c r="T43" s="2209">
        <f t="shared" si="13"/>
        <v>0</v>
      </c>
      <c r="U43" s="2209">
        <f t="shared" si="13"/>
        <v>0</v>
      </c>
      <c r="V43" s="2209">
        <f t="shared" si="13"/>
        <v>0</v>
      </c>
      <c r="W43" s="2209">
        <f t="shared" si="13"/>
        <v>0</v>
      </c>
      <c r="X43" s="2209">
        <f t="shared" si="13"/>
        <v>0</v>
      </c>
      <c r="Y43" s="2209">
        <f t="shared" si="13"/>
        <v>715</v>
      </c>
      <c r="Z43" s="2214"/>
      <c r="AB43" s="2572" t="s">
        <v>1394</v>
      </c>
      <c r="AC43" s="2573"/>
      <c r="AD43" s="2574"/>
      <c r="AE43" s="1051"/>
      <c r="AF43" s="1051"/>
      <c r="AG43" s="1051"/>
      <c r="AH43" s="1051"/>
      <c r="AI43" s="1051"/>
      <c r="AJ43" s="1051"/>
      <c r="AK43" s="1051"/>
      <c r="AL43" s="1051">
        <v>1</v>
      </c>
      <c r="AM43" s="1051"/>
      <c r="AN43" s="1052"/>
    </row>
    <row r="44" spans="1:40" ht="17.100000000000001" customHeight="1">
      <c r="A44" s="2563"/>
      <c r="B44" s="2571" t="s">
        <v>7</v>
      </c>
      <c r="C44" s="2571"/>
      <c r="D44" s="2211">
        <f>SUM(D43)</f>
        <v>0</v>
      </c>
      <c r="E44" s="2211">
        <f t="shared" ref="E44" si="14">SUM(E43)</f>
        <v>0</v>
      </c>
      <c r="F44" s="2211">
        <f t="shared" ref="F44" si="15">SUM(F43)</f>
        <v>0</v>
      </c>
      <c r="G44" s="2211">
        <f t="shared" ref="G44" si="16">SUM(G43)</f>
        <v>0</v>
      </c>
      <c r="H44" s="2211">
        <f t="shared" ref="H44" si="17">SUM(H43)</f>
        <v>0</v>
      </c>
      <c r="I44" s="2211">
        <f t="shared" ref="I44" si="18">SUM(I43)</f>
        <v>0</v>
      </c>
      <c r="J44" s="2211">
        <f t="shared" ref="J44" si="19">SUM(J43)</f>
        <v>0</v>
      </c>
      <c r="K44" s="2211">
        <f t="shared" ref="K44" si="20">SUM(K43)</f>
        <v>0</v>
      </c>
      <c r="L44" s="2211">
        <f t="shared" ref="L44" si="21">SUM(L43)</f>
        <v>0</v>
      </c>
      <c r="M44" s="2211">
        <f t="shared" ref="M44" si="22">SUM(M43)</f>
        <v>0</v>
      </c>
      <c r="N44" s="2211">
        <f t="shared" ref="N44" si="23">SUM(N43)</f>
        <v>0</v>
      </c>
      <c r="O44" s="2211">
        <f t="shared" ref="O44" si="24">SUM(O43)</f>
        <v>0</v>
      </c>
      <c r="P44" s="2211">
        <f t="shared" ref="P44" si="25">SUM(P43)</f>
        <v>0</v>
      </c>
      <c r="Q44" s="2211">
        <f t="shared" ref="Q44" si="26">SUM(Q43)</f>
        <v>0</v>
      </c>
      <c r="R44" s="2211">
        <f t="shared" ref="R44" si="27">SUM(R43)</f>
        <v>0</v>
      </c>
      <c r="S44" s="2211">
        <f t="shared" ref="S44" si="28">SUM(S43)</f>
        <v>0</v>
      </c>
      <c r="T44" s="2211">
        <f t="shared" ref="T44" si="29">SUM(T43)</f>
        <v>0</v>
      </c>
      <c r="U44" s="2211">
        <f t="shared" ref="U44" si="30">SUM(U43)</f>
        <v>0</v>
      </c>
      <c r="V44" s="2211">
        <f t="shared" ref="V44" si="31">SUM(V43)</f>
        <v>0</v>
      </c>
      <c r="W44" s="2211">
        <f t="shared" ref="W44" si="32">SUM(W43)</f>
        <v>0</v>
      </c>
      <c r="X44" s="2211">
        <f t="shared" ref="X44" si="33">SUM(X43)</f>
        <v>0</v>
      </c>
      <c r="Y44" s="2211">
        <f t="shared" ref="Y44" si="34">SUM(Y43)</f>
        <v>715</v>
      </c>
      <c r="Z44" s="2215"/>
      <c r="AB44" s="2572" t="s">
        <v>1401</v>
      </c>
      <c r="AC44" s="2573"/>
      <c r="AD44" s="2574"/>
      <c r="AE44" s="1051"/>
      <c r="AF44" s="1051"/>
      <c r="AG44" s="1051"/>
      <c r="AH44" s="1051"/>
      <c r="AI44" s="1051"/>
      <c r="AJ44" s="1051"/>
      <c r="AK44" s="1051"/>
      <c r="AL44" s="1051"/>
      <c r="AM44" s="1051">
        <v>1</v>
      </c>
      <c r="AN44" s="1052"/>
    </row>
    <row r="45" spans="1:40" ht="17.100000000000001" customHeight="1">
      <c r="A45" s="2561" t="s">
        <v>1455</v>
      </c>
      <c r="B45" s="2569" t="s">
        <v>94</v>
      </c>
      <c r="C45" s="2204" t="str">
        <f>AB41</f>
        <v>맹동 택지개발</v>
      </c>
      <c r="D45" s="2205">
        <f>ROUND(IFERROR(VLOOKUP($C45,사회적유입!$AA$5:$AW$167,2,FALSE),0)*$Z45,0)</f>
        <v>0</v>
      </c>
      <c r="E45" s="2205">
        <f>ROUND(IFERROR(VLOOKUP($C45,사회적유입!$AA$5:$AW$167,3,FALSE),0)*$Z45,0)</f>
        <v>0</v>
      </c>
      <c r="F45" s="2205">
        <f>ROUND(IFERROR(VLOOKUP($C45,사회적유입!$AA$5:$AW$167,4,FALSE),0)*$Z45,0)</f>
        <v>0</v>
      </c>
      <c r="G45" s="2205">
        <f>ROUND(IFERROR(VLOOKUP($C45,사회적유입!$AA$5:$AW$167,5,FALSE),0)*$Z45,0)</f>
        <v>0</v>
      </c>
      <c r="H45" s="2205">
        <f>ROUND(IFERROR(VLOOKUP($C45,사회적유입!$AA$5:$AW$167,6,FALSE),0)*$Z45,0)</f>
        <v>0</v>
      </c>
      <c r="I45" s="2205">
        <f>ROUND(IFERROR(VLOOKUP($C45,사회적유입!$AA$5:$AW$167,7,FALSE),0)*$Z45,0)</f>
        <v>0</v>
      </c>
      <c r="J45" s="2205">
        <f>ROUND(IFERROR(VLOOKUP($C45,사회적유입!$AA$5:$AW$167,8,FALSE),0)*$Z45,0)</f>
        <v>0</v>
      </c>
      <c r="K45" s="2205">
        <f>ROUND(IFERROR(VLOOKUP($C45,사회적유입!$AA$5:$AW$167,9,FALSE),0)*$Z45,0)</f>
        <v>0</v>
      </c>
      <c r="L45" s="2205">
        <f>ROUND(IFERROR(VLOOKUP($C45,사회적유입!$AA$5:$AW$167,10,FALSE),0)*$Z45,0)</f>
        <v>0</v>
      </c>
      <c r="M45" s="2205">
        <f>ROUND(IFERROR(VLOOKUP($C45,사회적유입!$AA$5:$AW$167,11,FALSE),0)*$Z45,0)</f>
        <v>0</v>
      </c>
      <c r="N45" s="2205">
        <f>ROUND(IFERROR(VLOOKUP($C45,사회적유입!$AA$5:$AW$167,12,FALSE),0)*$Z45,0)</f>
        <v>0</v>
      </c>
      <c r="O45" s="2205">
        <f>ROUND(IFERROR(VLOOKUP($C45,사회적유입!$AA$5:$AW$167,13,FALSE),0)*$Z45,0)</f>
        <v>0</v>
      </c>
      <c r="P45" s="2205">
        <f>ROUND(IFERROR(VLOOKUP($C45,사회적유입!$AA$5:$AW$167,14,FALSE),0)*$Z45,0)</f>
        <v>0</v>
      </c>
      <c r="Q45" s="2205">
        <f>ROUND(IFERROR(VLOOKUP($C45,사회적유입!$AA$5:$AW$167,15,FALSE),0)*$Z45,0)</f>
        <v>0</v>
      </c>
      <c r="R45" s="2205">
        <f>ROUND(IFERROR(VLOOKUP($C45,사회적유입!$AA$5:$AW$167,16,FALSE),0)*$Z45,0)</f>
        <v>0</v>
      </c>
      <c r="S45" s="2205">
        <f>ROUND(IFERROR(VLOOKUP($C45,사회적유입!$AA$5:$AW$167,17,FALSE),0)*$Z45,0)</f>
        <v>0</v>
      </c>
      <c r="T45" s="2205">
        <f>ROUND(IFERROR(VLOOKUP($C45,사회적유입!$AA$5:$AW$167,18,FALSE),0)*$Z45,0)</f>
        <v>0</v>
      </c>
      <c r="U45" s="2205">
        <f>ROUND(IFERROR(VLOOKUP($C45,사회적유입!$AA$5:$AW$167,19,FALSE),0)*$Z45,0)</f>
        <v>0</v>
      </c>
      <c r="V45" s="2205">
        <f>ROUND(IFERROR(VLOOKUP($C45,사회적유입!$AA$5:$AW$167,20,FALSE),0)*$Z45,0)</f>
        <v>0</v>
      </c>
      <c r="W45" s="2205">
        <f>ROUND(IFERROR(VLOOKUP($C45,사회적유입!$AA$5:$AW$167,21,FALSE),0)*$Z45,0)</f>
        <v>0</v>
      </c>
      <c r="X45" s="2205">
        <f>ROUND(IFERROR(VLOOKUP($C45,사회적유입!$AA$5:$AW$167,22,FALSE),0)*$Z45,0)</f>
        <v>0</v>
      </c>
      <c r="Y45" s="2205">
        <f>ROUND(IFERROR(VLOOKUP($C45,사회적유입!$AA$5:$AW$167,23,FALSE),0)*$Z45,0)</f>
        <v>2331</v>
      </c>
      <c r="Z45" s="2212">
        <f>VLOOKUP(C45,$AB$5:$AN$57,8,FALSE)</f>
        <v>1</v>
      </c>
      <c r="AB45" s="2564" t="s">
        <v>1404</v>
      </c>
      <c r="AC45" s="2565"/>
      <c r="AD45" s="2565"/>
      <c r="AE45" s="1051"/>
      <c r="AF45" s="1051"/>
      <c r="AG45" s="1051"/>
      <c r="AH45" s="1051"/>
      <c r="AI45" s="1051"/>
      <c r="AJ45" s="1051"/>
      <c r="AK45" s="1051"/>
      <c r="AL45" s="1051"/>
      <c r="AM45" s="1051">
        <v>1</v>
      </c>
      <c r="AN45" s="1052"/>
    </row>
    <row r="46" spans="1:40" ht="17.100000000000001" customHeight="1">
      <c r="A46" s="2562"/>
      <c r="B46" s="2570"/>
      <c r="C46" s="2208" t="s">
        <v>72</v>
      </c>
      <c r="D46" s="2209">
        <f t="shared" ref="D46:Y46" si="35">SUM(D45:D45)</f>
        <v>0</v>
      </c>
      <c r="E46" s="2209">
        <f t="shared" si="35"/>
        <v>0</v>
      </c>
      <c r="F46" s="2209">
        <f t="shared" si="35"/>
        <v>0</v>
      </c>
      <c r="G46" s="2209">
        <f t="shared" si="35"/>
        <v>0</v>
      </c>
      <c r="H46" s="2209">
        <f t="shared" si="35"/>
        <v>0</v>
      </c>
      <c r="I46" s="2209">
        <f t="shared" si="35"/>
        <v>0</v>
      </c>
      <c r="J46" s="2209">
        <f t="shared" si="35"/>
        <v>0</v>
      </c>
      <c r="K46" s="2209">
        <f t="shared" si="35"/>
        <v>0</v>
      </c>
      <c r="L46" s="2209">
        <f t="shared" si="35"/>
        <v>0</v>
      </c>
      <c r="M46" s="2209">
        <f t="shared" si="35"/>
        <v>0</v>
      </c>
      <c r="N46" s="2209">
        <f t="shared" si="35"/>
        <v>0</v>
      </c>
      <c r="O46" s="2209">
        <f t="shared" si="35"/>
        <v>0</v>
      </c>
      <c r="P46" s="2209">
        <f t="shared" si="35"/>
        <v>0</v>
      </c>
      <c r="Q46" s="2209">
        <f t="shared" si="35"/>
        <v>0</v>
      </c>
      <c r="R46" s="2209">
        <f t="shared" si="35"/>
        <v>0</v>
      </c>
      <c r="S46" s="2209">
        <f t="shared" si="35"/>
        <v>0</v>
      </c>
      <c r="T46" s="2209">
        <f t="shared" si="35"/>
        <v>0</v>
      </c>
      <c r="U46" s="2209">
        <f t="shared" si="35"/>
        <v>0</v>
      </c>
      <c r="V46" s="2209">
        <f t="shared" si="35"/>
        <v>0</v>
      </c>
      <c r="W46" s="2209">
        <f t="shared" si="35"/>
        <v>0</v>
      </c>
      <c r="X46" s="2209">
        <f t="shared" si="35"/>
        <v>0</v>
      </c>
      <c r="Y46" s="2209">
        <f t="shared" si="35"/>
        <v>2331</v>
      </c>
      <c r="Z46" s="2214"/>
      <c r="AB46" s="2564" t="s">
        <v>1410</v>
      </c>
      <c r="AC46" s="2565"/>
      <c r="AD46" s="2565"/>
      <c r="AE46" s="1051"/>
      <c r="AF46" s="1051">
        <v>1</v>
      </c>
      <c r="AG46" s="1051"/>
      <c r="AH46" s="1051"/>
      <c r="AI46" s="1051"/>
      <c r="AJ46" s="1051"/>
      <c r="AK46" s="1051"/>
      <c r="AL46" s="1051"/>
      <c r="AM46" s="1051"/>
      <c r="AN46" s="1052"/>
    </row>
    <row r="47" spans="1:40" ht="17.100000000000001" customHeight="1">
      <c r="A47" s="2562"/>
      <c r="B47" s="2570" t="s">
        <v>1453</v>
      </c>
      <c r="C47" s="2216" t="str">
        <f>AB28</f>
        <v>리노삼봉산업단지</v>
      </c>
      <c r="D47" s="2207">
        <f>ROUND(IFERROR(INDEX(사회적유입!$AA$4:$AW$165,MATCH($C47,사회적유입!$AA$4:$AA$165,0)-2,2),0)*$Z47,0)</f>
        <v>0</v>
      </c>
      <c r="E47" s="2207">
        <f>ROUND(IFERROR(INDEX(사회적유입!$AA$4:$AW$165,MATCH($C47,사회적유입!$AA$4:$AA$165,0)-2,3),0)*$Z47,0)</f>
        <v>0</v>
      </c>
      <c r="F47" s="2207">
        <f>ROUND(IFERROR(INDEX(사회적유입!$AA$4:$AW$165,MATCH($C47,사회적유입!$AA$4:$AA$165,0)-2,4),0)*$Z47,0)</f>
        <v>0</v>
      </c>
      <c r="G47" s="2207">
        <f>ROUND(IFERROR(INDEX(사회적유입!$AA$4:$AW$165,MATCH($C47,사회적유입!$AA$4:$AA$165,0)-2,5),0)*$Z47,0)</f>
        <v>0</v>
      </c>
      <c r="H47" s="2207">
        <f>ROUND(IFERROR(INDEX(사회적유입!$AA$4:$AW$165,MATCH($C47,사회적유입!$AA$4:$AA$165,0)-2,6),0)*$Z47,0)</f>
        <v>3</v>
      </c>
      <c r="I47" s="2207">
        <f>ROUND(IFERROR(INDEX(사회적유입!$AA$4:$AW$165,MATCH($C47,사회적유입!$AA$4:$AA$165,0)-2,7),0)*$Z47,0)</f>
        <v>8</v>
      </c>
      <c r="J47" s="2207">
        <f>ROUND(IFERROR(INDEX(사회적유입!$AA$4:$AW$165,MATCH($C47,사회적유입!$AA$4:$AA$165,0)-2,8),0)*$Z47,0)</f>
        <v>14</v>
      </c>
      <c r="K47" s="2207">
        <f>ROUND(IFERROR(INDEX(사회적유입!$AA$4:$AW$165,MATCH($C47,사회적유입!$AA$4:$AA$165,0)-2,9),0)*$Z47,0)</f>
        <v>14</v>
      </c>
      <c r="L47" s="2207">
        <f>ROUND(IFERROR(INDEX(사회적유입!$AA$4:$AW$165,MATCH($C47,사회적유입!$AA$4:$AA$165,0)-2,10),0)*$Z47,0)</f>
        <v>14</v>
      </c>
      <c r="M47" s="2207">
        <f>ROUND(IFERROR(INDEX(사회적유입!$AA$4:$AW$165,MATCH($C47,사회적유입!$AA$4:$AA$165,0)-2,11),0)*$Z47,0)</f>
        <v>14</v>
      </c>
      <c r="N47" s="2207">
        <f>ROUND(IFERROR(INDEX(사회적유입!$AA$4:$AW$165,MATCH($C47,사회적유입!$AA$4:$AA$165,0)-2,12),0)*$Z47,0)</f>
        <v>14</v>
      </c>
      <c r="O47" s="2207">
        <f>ROUND(IFERROR(INDEX(사회적유입!$AA$4:$AW$165,MATCH($C47,사회적유입!$AA$4:$AA$165,0)-2,13),0)*$Z47,0)</f>
        <v>14</v>
      </c>
      <c r="P47" s="2207">
        <f>ROUND(IFERROR(INDEX(사회적유입!$AA$4:$AW$165,MATCH($C47,사회적유입!$AA$4:$AA$165,0)-2,14),0)*$Z47,0)</f>
        <v>14</v>
      </c>
      <c r="Q47" s="2207">
        <f>ROUND(IFERROR(INDEX(사회적유입!$AA$4:$AW$165,MATCH($C47,사회적유입!$AA$4:$AA$165,0)-2,15),0)*$Z47,0)</f>
        <v>14</v>
      </c>
      <c r="R47" s="2207">
        <f>ROUND(IFERROR(INDEX(사회적유입!$AA$4:$AW$165,MATCH($C47,사회적유입!$AA$4:$AA$165,0)-2,16),0)*$Z47,0)</f>
        <v>14</v>
      </c>
      <c r="S47" s="2207">
        <f>ROUND(IFERROR(INDEX(사회적유입!$AA$4:$AW$165,MATCH($C47,사회적유입!$AA$4:$AA$165,0)-2,17),0)*$Z47,0)</f>
        <v>14</v>
      </c>
      <c r="T47" s="2207">
        <f>ROUND(IFERROR(INDEX(사회적유입!$AA$4:$AW$165,MATCH($C47,사회적유입!$AA$4:$AA$165,0)-2,18),0)*$Z47,0)</f>
        <v>14</v>
      </c>
      <c r="U47" s="2207">
        <f>ROUND(IFERROR(INDEX(사회적유입!$AA$4:$AW$165,MATCH($C47,사회적유입!$AA$4:$AA$165,0)-2,19),0)*$Z47,0)</f>
        <v>14</v>
      </c>
      <c r="V47" s="2207">
        <f>ROUND(IFERROR(INDEX(사회적유입!$AA$4:$AW$165,MATCH($C47,사회적유입!$AA$4:$AA$165,0)-2,20),0)*$Z47,0)</f>
        <v>14</v>
      </c>
      <c r="W47" s="2207">
        <f>ROUND(IFERROR(INDEX(사회적유입!$AA$4:$AW$165,MATCH($C47,사회적유입!$AA$4:$AA$165,0)-2,21),0)*$Z47,0)</f>
        <v>14</v>
      </c>
      <c r="X47" s="2207">
        <f>ROUND(IFERROR(INDEX(사회적유입!$AA$4:$AW$165,MATCH($C47,사회적유입!$AA$4:$AA$165,0)-2,22),0)*$Z47,0)</f>
        <v>14</v>
      </c>
      <c r="Y47" s="2207">
        <f>ROUND(IFERROR(INDEX(사회적유입!$AA$4:$AW$165,MATCH($C47,사회적유입!$AA$4:$AA$165,0)-2,23),0)*$Z47,0)</f>
        <v>14</v>
      </c>
      <c r="Z47" s="2213">
        <f t="shared" ref="Z47:Z52" si="36">VLOOKUP(C47,$AB$5:$AN$57,8,FALSE)</f>
        <v>0.1</v>
      </c>
      <c r="AB47" s="2564" t="s">
        <v>1407</v>
      </c>
      <c r="AC47" s="2565"/>
      <c r="AD47" s="2565"/>
      <c r="AE47" s="1051"/>
      <c r="AF47" s="1051">
        <v>1</v>
      </c>
      <c r="AG47" s="1051"/>
      <c r="AH47" s="1051"/>
      <c r="AI47" s="1051"/>
      <c r="AJ47" s="1051"/>
      <c r="AK47" s="1051"/>
      <c r="AL47" s="1051"/>
      <c r="AM47" s="1051"/>
      <c r="AN47" s="1052"/>
    </row>
    <row r="48" spans="1:40" ht="17.100000000000001" customHeight="1">
      <c r="A48" s="2562"/>
      <c r="B48" s="2570"/>
      <c r="C48" s="2216" t="str">
        <f>AB31</f>
        <v>오선산업단지</v>
      </c>
      <c r="D48" s="2207">
        <f>ROUND(IFERROR(INDEX(사회적유입!$AA$4:$AW$165,MATCH($C48,사회적유입!$AA$4:$AA$165,0)-2,2),0)*$Z48,0)</f>
        <v>0</v>
      </c>
      <c r="E48" s="2207">
        <f>ROUND(IFERROR(INDEX(사회적유입!$AA$4:$AW$165,MATCH($C48,사회적유입!$AA$4:$AA$165,0)-2,3),0)*$Z48,0)</f>
        <v>0</v>
      </c>
      <c r="F48" s="2207">
        <f>ROUND(IFERROR(INDEX(사회적유입!$AA$4:$AW$165,MATCH($C48,사회적유입!$AA$4:$AA$165,0)-2,4),0)*$Z48,0)</f>
        <v>0</v>
      </c>
      <c r="G48" s="2207">
        <f>ROUND(IFERROR(INDEX(사회적유입!$AA$4:$AW$165,MATCH($C48,사회적유입!$AA$4:$AA$165,0)-2,5),0)*$Z48,0)</f>
        <v>0</v>
      </c>
      <c r="H48" s="2207">
        <f>ROUND(IFERROR(INDEX(사회적유입!$AA$4:$AW$165,MATCH($C48,사회적유입!$AA$4:$AA$165,0)-2,6),0)*$Z48,0)</f>
        <v>5</v>
      </c>
      <c r="I48" s="2207">
        <f>ROUND(IFERROR(INDEX(사회적유입!$AA$4:$AW$165,MATCH($C48,사회적유입!$AA$4:$AA$165,0)-2,7),0)*$Z48,0)</f>
        <v>14</v>
      </c>
      <c r="J48" s="2207">
        <f>ROUND(IFERROR(INDEX(사회적유입!$AA$4:$AW$165,MATCH($C48,사회적유입!$AA$4:$AA$165,0)-2,8),0)*$Z48,0)</f>
        <v>24</v>
      </c>
      <c r="K48" s="2207">
        <f>ROUND(IFERROR(INDEX(사회적유입!$AA$4:$AW$165,MATCH($C48,사회적유입!$AA$4:$AA$165,0)-2,9),0)*$Z48,0)</f>
        <v>24</v>
      </c>
      <c r="L48" s="2207">
        <f>ROUND(IFERROR(INDEX(사회적유입!$AA$4:$AW$165,MATCH($C48,사회적유입!$AA$4:$AA$165,0)-2,10),0)*$Z48,0)</f>
        <v>24</v>
      </c>
      <c r="M48" s="2207">
        <f>ROUND(IFERROR(INDEX(사회적유입!$AA$4:$AW$165,MATCH($C48,사회적유입!$AA$4:$AA$165,0)-2,11),0)*$Z48,0)</f>
        <v>24</v>
      </c>
      <c r="N48" s="2207">
        <f>ROUND(IFERROR(INDEX(사회적유입!$AA$4:$AW$165,MATCH($C48,사회적유입!$AA$4:$AA$165,0)-2,12),0)*$Z48,0)</f>
        <v>24</v>
      </c>
      <c r="O48" s="2207">
        <f>ROUND(IFERROR(INDEX(사회적유입!$AA$4:$AW$165,MATCH($C48,사회적유입!$AA$4:$AA$165,0)-2,13),0)*$Z48,0)</f>
        <v>24</v>
      </c>
      <c r="P48" s="2207">
        <f>ROUND(IFERROR(INDEX(사회적유입!$AA$4:$AW$165,MATCH($C48,사회적유입!$AA$4:$AA$165,0)-2,14),0)*$Z48,0)</f>
        <v>24</v>
      </c>
      <c r="Q48" s="2207">
        <f>ROUND(IFERROR(INDEX(사회적유입!$AA$4:$AW$165,MATCH($C48,사회적유입!$AA$4:$AA$165,0)-2,15),0)*$Z48,0)</f>
        <v>24</v>
      </c>
      <c r="R48" s="2207">
        <f>ROUND(IFERROR(INDEX(사회적유입!$AA$4:$AW$165,MATCH($C48,사회적유입!$AA$4:$AA$165,0)-2,16),0)*$Z48,0)</f>
        <v>24</v>
      </c>
      <c r="S48" s="2207">
        <f>ROUND(IFERROR(INDEX(사회적유입!$AA$4:$AW$165,MATCH($C48,사회적유입!$AA$4:$AA$165,0)-2,17),0)*$Z48,0)</f>
        <v>24</v>
      </c>
      <c r="T48" s="2207">
        <f>ROUND(IFERROR(INDEX(사회적유입!$AA$4:$AW$165,MATCH($C48,사회적유입!$AA$4:$AA$165,0)-2,18),0)*$Z48,0)</f>
        <v>24</v>
      </c>
      <c r="U48" s="2207">
        <f>ROUND(IFERROR(INDEX(사회적유입!$AA$4:$AW$165,MATCH($C48,사회적유입!$AA$4:$AA$165,0)-2,19),0)*$Z48,0)</f>
        <v>24</v>
      </c>
      <c r="V48" s="2207">
        <f>ROUND(IFERROR(INDEX(사회적유입!$AA$4:$AW$165,MATCH($C48,사회적유입!$AA$4:$AA$165,0)-2,20),0)*$Z48,0)</f>
        <v>24</v>
      </c>
      <c r="W48" s="2207">
        <f>ROUND(IFERROR(INDEX(사회적유입!$AA$4:$AW$165,MATCH($C48,사회적유입!$AA$4:$AA$165,0)-2,21),0)*$Z48,0)</f>
        <v>24</v>
      </c>
      <c r="X48" s="2207">
        <f>ROUND(IFERROR(INDEX(사회적유입!$AA$4:$AW$165,MATCH($C48,사회적유입!$AA$4:$AA$165,0)-2,22),0)*$Z48,0)</f>
        <v>24</v>
      </c>
      <c r="Y48" s="2207">
        <f>ROUND(IFERROR(INDEX(사회적유입!$AA$4:$AW$165,MATCH($C48,사회적유입!$AA$4:$AA$165,0)-2,23),0)*$Z48,0)</f>
        <v>24</v>
      </c>
      <c r="Z48" s="2213">
        <f t="shared" si="36"/>
        <v>0.05</v>
      </c>
      <c r="AB48" s="2564" t="s">
        <v>1413</v>
      </c>
      <c r="AC48" s="2565"/>
      <c r="AD48" s="2565"/>
      <c r="AE48" s="1051"/>
      <c r="AF48" s="1051"/>
      <c r="AG48" s="1051"/>
      <c r="AH48" s="1051"/>
      <c r="AI48" s="1051"/>
      <c r="AJ48" s="1051">
        <v>1</v>
      </c>
      <c r="AK48" s="1051"/>
      <c r="AL48" s="1051"/>
      <c r="AM48" s="1051"/>
      <c r="AN48" s="1052"/>
    </row>
    <row r="49" spans="1:40" ht="17.100000000000001" customHeight="1">
      <c r="A49" s="2562"/>
      <c r="B49" s="2570"/>
      <c r="C49" s="2216" t="str">
        <f>AB32</f>
        <v>유촌산업단지</v>
      </c>
      <c r="D49" s="2207">
        <f>ROUND(IFERROR(INDEX(사회적유입!$AA$4:$AW$165,MATCH($C49,사회적유입!$AA$4:$AA$165,0)-2,2),0)*$Z49,0)</f>
        <v>0</v>
      </c>
      <c r="E49" s="2207">
        <f>ROUND(IFERROR(INDEX(사회적유입!$AA$4:$AW$165,MATCH($C49,사회적유입!$AA$4:$AA$165,0)-2,3),0)*$Z49,0)</f>
        <v>0</v>
      </c>
      <c r="F49" s="2207">
        <f>ROUND(IFERROR(INDEX(사회적유입!$AA$4:$AW$165,MATCH($C49,사회적유입!$AA$4:$AA$165,0)-2,4),0)*$Z49,0)</f>
        <v>0</v>
      </c>
      <c r="G49" s="2207">
        <f>ROUND(IFERROR(INDEX(사회적유입!$AA$4:$AW$165,MATCH($C49,사회적유입!$AA$4:$AA$165,0)-2,5),0)*$Z49,0)</f>
        <v>0</v>
      </c>
      <c r="H49" s="2207">
        <f>ROUND(IFERROR(INDEX(사회적유입!$AA$4:$AW$165,MATCH($C49,사회적유입!$AA$4:$AA$165,0)-2,6),0)*$Z49,0)</f>
        <v>0</v>
      </c>
      <c r="I49" s="2207">
        <f>ROUND(IFERROR(INDEX(사회적유입!$AA$4:$AW$165,MATCH($C49,사회적유입!$AA$4:$AA$165,0)-2,7),0)*$Z49,0)</f>
        <v>16</v>
      </c>
      <c r="J49" s="2207">
        <f>ROUND(IFERROR(INDEX(사회적유입!$AA$4:$AW$165,MATCH($C49,사회적유입!$AA$4:$AA$165,0)-2,8),0)*$Z49,0)</f>
        <v>47</v>
      </c>
      <c r="K49" s="2207">
        <f>ROUND(IFERROR(INDEX(사회적유입!$AA$4:$AW$165,MATCH($C49,사회적유입!$AA$4:$AA$165,0)-2,9),0)*$Z49,0)</f>
        <v>79</v>
      </c>
      <c r="L49" s="2207">
        <f>ROUND(IFERROR(INDEX(사회적유입!$AA$4:$AW$165,MATCH($C49,사회적유입!$AA$4:$AA$165,0)-2,10),0)*$Z49,0)</f>
        <v>79</v>
      </c>
      <c r="M49" s="2207">
        <f>ROUND(IFERROR(INDEX(사회적유입!$AA$4:$AW$165,MATCH($C49,사회적유입!$AA$4:$AA$165,0)-2,11),0)*$Z49,0)</f>
        <v>79</v>
      </c>
      <c r="N49" s="2207">
        <f>ROUND(IFERROR(INDEX(사회적유입!$AA$4:$AW$165,MATCH($C49,사회적유입!$AA$4:$AA$165,0)-2,12),0)*$Z49,0)</f>
        <v>79</v>
      </c>
      <c r="O49" s="2207">
        <f>ROUND(IFERROR(INDEX(사회적유입!$AA$4:$AW$165,MATCH($C49,사회적유입!$AA$4:$AA$165,0)-2,13),0)*$Z49,0)</f>
        <v>79</v>
      </c>
      <c r="P49" s="2207">
        <f>ROUND(IFERROR(INDEX(사회적유입!$AA$4:$AW$165,MATCH($C49,사회적유입!$AA$4:$AA$165,0)-2,14),0)*$Z49,0)</f>
        <v>79</v>
      </c>
      <c r="Q49" s="2207">
        <f>ROUND(IFERROR(INDEX(사회적유입!$AA$4:$AW$165,MATCH($C49,사회적유입!$AA$4:$AA$165,0)-2,15),0)*$Z49,0)</f>
        <v>79</v>
      </c>
      <c r="R49" s="2207">
        <f>ROUND(IFERROR(INDEX(사회적유입!$AA$4:$AW$165,MATCH($C49,사회적유입!$AA$4:$AA$165,0)-2,16),0)*$Z49,0)</f>
        <v>79</v>
      </c>
      <c r="S49" s="2207">
        <f>ROUND(IFERROR(INDEX(사회적유입!$AA$4:$AW$165,MATCH($C49,사회적유입!$AA$4:$AA$165,0)-2,17),0)*$Z49,0)</f>
        <v>79</v>
      </c>
      <c r="T49" s="2207">
        <f>ROUND(IFERROR(INDEX(사회적유입!$AA$4:$AW$165,MATCH($C49,사회적유입!$AA$4:$AA$165,0)-2,18),0)*$Z49,0)</f>
        <v>79</v>
      </c>
      <c r="U49" s="2207">
        <f>ROUND(IFERROR(INDEX(사회적유입!$AA$4:$AW$165,MATCH($C49,사회적유입!$AA$4:$AA$165,0)-2,19),0)*$Z49,0)</f>
        <v>79</v>
      </c>
      <c r="V49" s="2207">
        <f>ROUND(IFERROR(INDEX(사회적유입!$AA$4:$AW$165,MATCH($C49,사회적유입!$AA$4:$AA$165,0)-2,20),0)*$Z49,0)</f>
        <v>79</v>
      </c>
      <c r="W49" s="2207">
        <f>ROUND(IFERROR(INDEX(사회적유입!$AA$4:$AW$165,MATCH($C49,사회적유입!$AA$4:$AA$165,0)-2,21),0)*$Z49,0)</f>
        <v>79</v>
      </c>
      <c r="X49" s="2207">
        <f>ROUND(IFERROR(INDEX(사회적유입!$AA$4:$AW$165,MATCH($C49,사회적유입!$AA$4:$AA$165,0)-2,22),0)*$Z49,0)</f>
        <v>79</v>
      </c>
      <c r="Y49" s="2207">
        <f>ROUND(IFERROR(INDEX(사회적유입!$AA$4:$AW$165,MATCH($C49,사회적유입!$AA$4:$AA$165,0)-2,23),0)*$Z49,0)</f>
        <v>79</v>
      </c>
      <c r="Z49" s="2213">
        <f t="shared" si="36"/>
        <v>0.1</v>
      </c>
      <c r="AB49" s="2564" t="s">
        <v>1416</v>
      </c>
      <c r="AC49" s="2565"/>
      <c r="AD49" s="2565"/>
      <c r="AE49" s="1051"/>
      <c r="AF49" s="1051"/>
      <c r="AG49" s="1051"/>
      <c r="AH49" s="1051"/>
      <c r="AI49" s="1051"/>
      <c r="AJ49" s="1051"/>
      <c r="AK49" s="1051">
        <v>1</v>
      </c>
      <c r="AL49" s="1051"/>
      <c r="AM49" s="1051"/>
      <c r="AN49" s="1052"/>
    </row>
    <row r="50" spans="1:40" ht="17.100000000000001" customHeight="1">
      <c r="A50" s="2562"/>
      <c r="B50" s="2570"/>
      <c r="C50" s="2216" t="str">
        <f>AB34</f>
        <v>성본산업단지</v>
      </c>
      <c r="D50" s="2207">
        <f>ROUND(IFERROR(INDEX(사회적유입!$AA$4:$AW$165,MATCH($C50,사회적유입!$AA$4:$AA$165,0)-2,2),0)*$Z50,0)</f>
        <v>0</v>
      </c>
      <c r="E50" s="2207">
        <f>ROUND(IFERROR(INDEX(사회적유입!$AA$4:$AW$165,MATCH($C50,사회적유입!$AA$4:$AA$165,0)-2,3),0)*$Z50,0)</f>
        <v>0</v>
      </c>
      <c r="F50" s="2207">
        <f>ROUND(IFERROR(INDEX(사회적유입!$AA$4:$AW$165,MATCH($C50,사회적유입!$AA$4:$AA$165,0)-2,4),0)*$Z50,0)</f>
        <v>0</v>
      </c>
      <c r="G50" s="2207">
        <f>ROUND(IFERROR(INDEX(사회적유입!$AA$4:$AW$165,MATCH($C50,사회적유입!$AA$4:$AA$165,0)-2,5),0)*$Z50,0)</f>
        <v>0</v>
      </c>
      <c r="H50" s="2207">
        <f>ROUND(IFERROR(INDEX(사회적유입!$AA$4:$AW$165,MATCH($C50,사회적유입!$AA$4:$AA$165,0)-2,6),0)*$Z50,0)</f>
        <v>0</v>
      </c>
      <c r="I50" s="2207">
        <f>ROUND(IFERROR(INDEX(사회적유입!$AA$4:$AW$165,MATCH($C50,사회적유입!$AA$4:$AA$165,0)-2,7),0)*$Z50,0)</f>
        <v>0</v>
      </c>
      <c r="J50" s="2207">
        <f>ROUND(IFERROR(INDEX(사회적유입!$AA$4:$AW$165,MATCH($C50,사회적유입!$AA$4:$AA$165,0)-2,8),0)*$Z50,0)</f>
        <v>0</v>
      </c>
      <c r="K50" s="2207">
        <f>ROUND(IFERROR(INDEX(사회적유입!$AA$4:$AW$165,MATCH($C50,사회적유입!$AA$4:$AA$165,0)-2,9),0)*$Z50,0)</f>
        <v>0</v>
      </c>
      <c r="L50" s="2207">
        <f>ROUND(IFERROR(INDEX(사회적유입!$AA$4:$AW$165,MATCH($C50,사회적유입!$AA$4:$AA$165,0)-2,10),0)*$Z50,0)</f>
        <v>0</v>
      </c>
      <c r="M50" s="2207">
        <f>ROUND(IFERROR(INDEX(사회적유입!$AA$4:$AW$165,MATCH($C50,사회적유입!$AA$4:$AA$165,0)-2,11),0)*$Z50,0)</f>
        <v>0</v>
      </c>
      <c r="N50" s="2207">
        <f>ROUND(IFERROR(INDEX(사회적유입!$AA$4:$AW$165,MATCH($C50,사회적유입!$AA$4:$AA$165,0)-2,12),0)*$Z50,0)</f>
        <v>0</v>
      </c>
      <c r="O50" s="2207">
        <f>ROUND(IFERROR(INDEX(사회적유입!$AA$4:$AW$165,MATCH($C50,사회적유입!$AA$4:$AA$165,0)-2,13),0)*$Z50,0)</f>
        <v>0</v>
      </c>
      <c r="P50" s="2207">
        <f>ROUND(IFERROR(INDEX(사회적유입!$AA$4:$AW$165,MATCH($C50,사회적유입!$AA$4:$AA$165,0)-2,14),0)*$Z50,0)</f>
        <v>0</v>
      </c>
      <c r="Q50" s="2207">
        <f>ROUND(IFERROR(INDEX(사회적유입!$AA$4:$AW$165,MATCH($C50,사회적유입!$AA$4:$AA$165,0)-2,15),0)*$Z50,0)</f>
        <v>0</v>
      </c>
      <c r="R50" s="2207">
        <f>ROUND(IFERROR(INDEX(사회적유입!$AA$4:$AW$165,MATCH($C50,사회적유입!$AA$4:$AA$165,0)-2,16),0)*$Z50,0)</f>
        <v>0</v>
      </c>
      <c r="S50" s="2207">
        <f>ROUND(IFERROR(INDEX(사회적유입!$AA$4:$AW$165,MATCH($C50,사회적유입!$AA$4:$AA$165,0)-2,17),0)*$Z50,0)</f>
        <v>0</v>
      </c>
      <c r="T50" s="2207">
        <f>ROUND(IFERROR(INDEX(사회적유입!$AA$4:$AW$165,MATCH($C50,사회적유입!$AA$4:$AA$165,0)-2,18),0)*$Z50,0)</f>
        <v>0</v>
      </c>
      <c r="U50" s="2207">
        <f>ROUND(IFERROR(INDEX(사회적유입!$AA$4:$AW$165,MATCH($C50,사회적유입!$AA$4:$AA$165,0)-2,19),0)*$Z50,0)</f>
        <v>0</v>
      </c>
      <c r="V50" s="2207">
        <f>ROUND(IFERROR(INDEX(사회적유입!$AA$4:$AW$165,MATCH($C50,사회적유입!$AA$4:$AA$165,0)-2,20),0)*$Z50,0)</f>
        <v>0</v>
      </c>
      <c r="W50" s="2207">
        <f>ROUND(IFERROR(INDEX(사회적유입!$AA$4:$AW$165,MATCH($C50,사회적유입!$AA$4:$AA$165,0)-2,21),0)*$Z50,0)</f>
        <v>0</v>
      </c>
      <c r="X50" s="2207">
        <f>ROUND(IFERROR(INDEX(사회적유입!$AA$4:$AW$165,MATCH($C50,사회적유입!$AA$4:$AA$165,0)-2,22),0)*$Z50,0)</f>
        <v>0</v>
      </c>
      <c r="Y50" s="2207">
        <f>ROUND(IFERROR(INDEX(사회적유입!$AA$4:$AW$165,MATCH($C50,사회적유입!$AA$4:$AA$165,0)-2,23),0)*$Z50,0)</f>
        <v>0</v>
      </c>
      <c r="Z50" s="2213">
        <f t="shared" si="36"/>
        <v>0</v>
      </c>
      <c r="AB50" s="2564" t="s">
        <v>1419</v>
      </c>
      <c r="AC50" s="2565"/>
      <c r="AD50" s="2565"/>
      <c r="AE50" s="1051"/>
      <c r="AF50" s="1051"/>
      <c r="AG50" s="1051"/>
      <c r="AH50" s="1051"/>
      <c r="AI50" s="1051"/>
      <c r="AJ50" s="1051"/>
      <c r="AK50" s="1051">
        <v>1</v>
      </c>
      <c r="AL50" s="1051"/>
      <c r="AM50" s="1051"/>
      <c r="AN50" s="1052"/>
    </row>
    <row r="51" spans="1:40" ht="17.100000000000001" customHeight="1">
      <c r="A51" s="2562"/>
      <c r="B51" s="2570"/>
      <c r="C51" s="2216" t="str">
        <f>AB35</f>
        <v>금왕테크노밸리</v>
      </c>
      <c r="D51" s="2207">
        <f>ROUND(IFERROR(INDEX(사회적유입!$AA$4:$AW$165,MATCH($C51,사회적유입!$AA$4:$AA$165,0)-2,2),0)*$Z51,0)</f>
        <v>0</v>
      </c>
      <c r="E51" s="2207">
        <f>ROUND(IFERROR(INDEX(사회적유입!$AA$4:$AW$165,MATCH($C51,사회적유입!$AA$4:$AA$165,0)-2,3),0)*$Z51,0)</f>
        <v>0</v>
      </c>
      <c r="F51" s="2207">
        <f>ROUND(IFERROR(INDEX(사회적유입!$AA$4:$AW$165,MATCH($C51,사회적유입!$AA$4:$AA$165,0)-2,4),0)*$Z51,0)</f>
        <v>0</v>
      </c>
      <c r="G51" s="2207">
        <f>ROUND(IFERROR(INDEX(사회적유입!$AA$4:$AW$165,MATCH($C51,사회적유입!$AA$4:$AA$165,0)-2,5),0)*$Z51,0)</f>
        <v>0</v>
      </c>
      <c r="H51" s="2207">
        <f>ROUND(IFERROR(INDEX(사회적유입!$AA$4:$AW$165,MATCH($C51,사회적유입!$AA$4:$AA$165,0)-2,6),0)*$Z51,0)</f>
        <v>0</v>
      </c>
      <c r="I51" s="2207">
        <f>ROUND(IFERROR(INDEX(사회적유입!$AA$4:$AW$165,MATCH($C51,사회적유입!$AA$4:$AA$165,0)-2,7),0)*$Z51,0)</f>
        <v>41</v>
      </c>
      <c r="J51" s="2207">
        <f>ROUND(IFERROR(INDEX(사회적유입!$AA$4:$AW$165,MATCH($C51,사회적유입!$AA$4:$AA$165,0)-2,8),0)*$Z51,0)</f>
        <v>123</v>
      </c>
      <c r="K51" s="2207">
        <f>ROUND(IFERROR(INDEX(사회적유입!$AA$4:$AW$165,MATCH($C51,사회적유입!$AA$4:$AA$165,0)-2,9),0)*$Z51,0)</f>
        <v>205</v>
      </c>
      <c r="L51" s="2207">
        <f>ROUND(IFERROR(INDEX(사회적유입!$AA$4:$AW$165,MATCH($C51,사회적유입!$AA$4:$AA$165,0)-2,10),0)*$Z51,0)</f>
        <v>205</v>
      </c>
      <c r="M51" s="2207">
        <f>ROUND(IFERROR(INDEX(사회적유입!$AA$4:$AW$165,MATCH($C51,사회적유입!$AA$4:$AA$165,0)-2,11),0)*$Z51,0)</f>
        <v>205</v>
      </c>
      <c r="N51" s="2207">
        <f>ROUND(IFERROR(INDEX(사회적유입!$AA$4:$AW$165,MATCH($C51,사회적유입!$AA$4:$AA$165,0)-2,12),0)*$Z51,0)</f>
        <v>205</v>
      </c>
      <c r="O51" s="2207">
        <f>ROUND(IFERROR(INDEX(사회적유입!$AA$4:$AW$165,MATCH($C51,사회적유입!$AA$4:$AA$165,0)-2,13),0)*$Z51,0)</f>
        <v>205</v>
      </c>
      <c r="P51" s="2207">
        <f>ROUND(IFERROR(INDEX(사회적유입!$AA$4:$AW$165,MATCH($C51,사회적유입!$AA$4:$AA$165,0)-2,14),0)*$Z51,0)</f>
        <v>205</v>
      </c>
      <c r="Q51" s="2207">
        <f>ROUND(IFERROR(INDEX(사회적유입!$AA$4:$AW$165,MATCH($C51,사회적유입!$AA$4:$AA$165,0)-2,15),0)*$Z51,0)</f>
        <v>205</v>
      </c>
      <c r="R51" s="2207">
        <f>ROUND(IFERROR(INDEX(사회적유입!$AA$4:$AW$165,MATCH($C51,사회적유입!$AA$4:$AA$165,0)-2,16),0)*$Z51,0)</f>
        <v>205</v>
      </c>
      <c r="S51" s="2207">
        <f>ROUND(IFERROR(INDEX(사회적유입!$AA$4:$AW$165,MATCH($C51,사회적유입!$AA$4:$AA$165,0)-2,17),0)*$Z51,0)</f>
        <v>205</v>
      </c>
      <c r="T51" s="2207">
        <f>ROUND(IFERROR(INDEX(사회적유입!$AA$4:$AW$165,MATCH($C51,사회적유입!$AA$4:$AA$165,0)-2,18),0)*$Z51,0)</f>
        <v>205</v>
      </c>
      <c r="U51" s="2207">
        <f>ROUND(IFERROR(INDEX(사회적유입!$AA$4:$AW$165,MATCH($C51,사회적유입!$AA$4:$AA$165,0)-2,19),0)*$Z51,0)</f>
        <v>205</v>
      </c>
      <c r="V51" s="2207">
        <f>ROUND(IFERROR(INDEX(사회적유입!$AA$4:$AW$165,MATCH($C51,사회적유입!$AA$4:$AA$165,0)-2,20),0)*$Z51,0)</f>
        <v>205</v>
      </c>
      <c r="W51" s="2207">
        <f>ROUND(IFERROR(INDEX(사회적유입!$AA$4:$AW$165,MATCH($C51,사회적유입!$AA$4:$AA$165,0)-2,21),0)*$Z51,0)</f>
        <v>205</v>
      </c>
      <c r="X51" s="2207">
        <f>ROUND(IFERROR(INDEX(사회적유입!$AA$4:$AW$165,MATCH($C51,사회적유입!$AA$4:$AA$165,0)-2,22),0)*$Z51,0)</f>
        <v>205</v>
      </c>
      <c r="Y51" s="2207">
        <f>ROUND(IFERROR(INDEX(사회적유입!$AA$4:$AW$165,MATCH($C51,사회적유입!$AA$4:$AA$165,0)-2,23),0)*$Z51,0)</f>
        <v>205</v>
      </c>
      <c r="Z51" s="2213">
        <f t="shared" si="36"/>
        <v>0.1</v>
      </c>
      <c r="AB51" s="2564" t="s">
        <v>1421</v>
      </c>
      <c r="AC51" s="2565"/>
      <c r="AD51" s="2565"/>
      <c r="AE51" s="1051"/>
      <c r="AF51" s="1051"/>
      <c r="AG51" s="1051"/>
      <c r="AH51" s="1051"/>
      <c r="AI51" s="1051"/>
      <c r="AJ51" s="1051"/>
      <c r="AK51" s="1051">
        <v>1</v>
      </c>
      <c r="AL51" s="1051"/>
      <c r="AM51" s="1051"/>
      <c r="AN51" s="1052"/>
    </row>
    <row r="52" spans="1:40" ht="17.100000000000001" customHeight="1">
      <c r="A52" s="2562"/>
      <c r="B52" s="2570"/>
      <c r="C52" s="2216" t="str">
        <f>AB36</f>
        <v>성안산업단지</v>
      </c>
      <c r="D52" s="2207">
        <f>ROUND(IFERROR(INDEX(사회적유입!$AA$4:$AW$165,MATCH($C52,사회적유입!$AA$4:$AA$165,0)-2,2),0)*$Z52,0)</f>
        <v>0</v>
      </c>
      <c r="E52" s="2207">
        <f>ROUND(IFERROR(INDEX(사회적유입!$AA$4:$AW$165,MATCH($C52,사회적유입!$AA$4:$AA$165,0)-2,3),0)*$Z52,0)</f>
        <v>0</v>
      </c>
      <c r="F52" s="2207">
        <f>ROUND(IFERROR(INDEX(사회적유입!$AA$4:$AW$165,MATCH($C52,사회적유입!$AA$4:$AA$165,0)-2,4),0)*$Z52,0)</f>
        <v>0</v>
      </c>
      <c r="G52" s="2207">
        <f>ROUND(IFERROR(INDEX(사회적유입!$AA$4:$AW$165,MATCH($C52,사회적유입!$AA$4:$AA$165,0)-2,5),0)*$Z52,0)</f>
        <v>0</v>
      </c>
      <c r="H52" s="2207">
        <f>ROUND(IFERROR(INDEX(사회적유입!$AA$4:$AW$165,MATCH($C52,사회적유입!$AA$4:$AA$165,0)-2,6),0)*$Z52,0)</f>
        <v>0</v>
      </c>
      <c r="I52" s="2207">
        <f>ROUND(IFERROR(INDEX(사회적유입!$AA$4:$AW$165,MATCH($C52,사회적유입!$AA$4:$AA$165,0)-2,7),0)*$Z52,0)</f>
        <v>1</v>
      </c>
      <c r="J52" s="2207">
        <f>ROUND(IFERROR(INDEX(사회적유입!$AA$4:$AW$165,MATCH($C52,사회적유입!$AA$4:$AA$165,0)-2,8),0)*$Z52,0)</f>
        <v>2</v>
      </c>
      <c r="K52" s="2207">
        <f>ROUND(IFERROR(INDEX(사회적유입!$AA$4:$AW$165,MATCH($C52,사회적유입!$AA$4:$AA$165,0)-2,9),0)*$Z52,0)</f>
        <v>3</v>
      </c>
      <c r="L52" s="2207">
        <f>ROUND(IFERROR(INDEX(사회적유입!$AA$4:$AW$165,MATCH($C52,사회적유입!$AA$4:$AA$165,0)-2,10),0)*$Z52,0)</f>
        <v>3</v>
      </c>
      <c r="M52" s="2207">
        <f>ROUND(IFERROR(INDEX(사회적유입!$AA$4:$AW$165,MATCH($C52,사회적유입!$AA$4:$AA$165,0)-2,11),0)*$Z52,0)</f>
        <v>3</v>
      </c>
      <c r="N52" s="2207">
        <f>ROUND(IFERROR(INDEX(사회적유입!$AA$4:$AW$165,MATCH($C52,사회적유입!$AA$4:$AA$165,0)-2,12),0)*$Z52,0)</f>
        <v>3</v>
      </c>
      <c r="O52" s="2207">
        <f>ROUND(IFERROR(INDEX(사회적유입!$AA$4:$AW$165,MATCH($C52,사회적유입!$AA$4:$AA$165,0)-2,13),0)*$Z52,0)</f>
        <v>3</v>
      </c>
      <c r="P52" s="2207">
        <f>ROUND(IFERROR(INDEX(사회적유입!$AA$4:$AW$165,MATCH($C52,사회적유입!$AA$4:$AA$165,0)-2,14),0)*$Z52,0)</f>
        <v>3</v>
      </c>
      <c r="Q52" s="2207">
        <f>ROUND(IFERROR(INDEX(사회적유입!$AA$4:$AW$165,MATCH($C52,사회적유입!$AA$4:$AA$165,0)-2,15),0)*$Z52,0)</f>
        <v>3</v>
      </c>
      <c r="R52" s="2207">
        <f>ROUND(IFERROR(INDEX(사회적유입!$AA$4:$AW$165,MATCH($C52,사회적유입!$AA$4:$AA$165,0)-2,16),0)*$Z52,0)</f>
        <v>3</v>
      </c>
      <c r="S52" s="2207">
        <f>ROUND(IFERROR(INDEX(사회적유입!$AA$4:$AW$165,MATCH($C52,사회적유입!$AA$4:$AA$165,0)-2,17),0)*$Z52,0)</f>
        <v>3</v>
      </c>
      <c r="T52" s="2207">
        <f>ROUND(IFERROR(INDEX(사회적유입!$AA$4:$AW$165,MATCH($C52,사회적유입!$AA$4:$AA$165,0)-2,18),0)*$Z52,0)</f>
        <v>3</v>
      </c>
      <c r="U52" s="2207">
        <f>ROUND(IFERROR(INDEX(사회적유입!$AA$4:$AW$165,MATCH($C52,사회적유입!$AA$4:$AA$165,0)-2,19),0)*$Z52,0)</f>
        <v>3</v>
      </c>
      <c r="V52" s="2207">
        <f>ROUND(IFERROR(INDEX(사회적유입!$AA$4:$AW$165,MATCH($C52,사회적유입!$AA$4:$AA$165,0)-2,20),0)*$Z52,0)</f>
        <v>3</v>
      </c>
      <c r="W52" s="2207">
        <f>ROUND(IFERROR(INDEX(사회적유입!$AA$4:$AW$165,MATCH($C52,사회적유입!$AA$4:$AA$165,0)-2,21),0)*$Z52,0)</f>
        <v>3</v>
      </c>
      <c r="X52" s="2207">
        <f>ROUND(IFERROR(INDEX(사회적유입!$AA$4:$AW$165,MATCH($C52,사회적유입!$AA$4:$AA$165,0)-2,22),0)*$Z52,0)</f>
        <v>3</v>
      </c>
      <c r="Y52" s="2207">
        <f>ROUND(IFERROR(INDEX(사회적유입!$AA$4:$AW$165,MATCH($C52,사회적유입!$AA$4:$AA$165,0)-2,23),0)*$Z52,0)</f>
        <v>3</v>
      </c>
      <c r="Z52" s="2213">
        <f t="shared" si="36"/>
        <v>0.05</v>
      </c>
      <c r="AB52" s="2564" t="s">
        <v>1423</v>
      </c>
      <c r="AC52" s="2565"/>
      <c r="AD52" s="2565"/>
      <c r="AE52" s="1051">
        <v>0.5</v>
      </c>
      <c r="AF52" s="1051"/>
      <c r="AG52" s="1051">
        <v>0.5</v>
      </c>
      <c r="AH52" s="1051"/>
      <c r="AI52" s="1051"/>
      <c r="AJ52" s="1051"/>
      <c r="AK52" s="1051"/>
      <c r="AL52" s="1051"/>
      <c r="AM52" s="1051"/>
      <c r="AN52" s="1052"/>
    </row>
    <row r="53" spans="1:40" ht="17.100000000000001" customHeight="1">
      <c r="A53" s="2562"/>
      <c r="B53" s="2570"/>
      <c r="C53" s="2208" t="s">
        <v>72</v>
      </c>
      <c r="D53" s="2209">
        <f>SUM(D47:D52)</f>
        <v>0</v>
      </c>
      <c r="E53" s="2209">
        <f t="shared" ref="E53:Y53" si="37">SUM(E47:E52)</f>
        <v>0</v>
      </c>
      <c r="F53" s="2209">
        <f t="shared" si="37"/>
        <v>0</v>
      </c>
      <c r="G53" s="2209">
        <f t="shared" si="37"/>
        <v>0</v>
      </c>
      <c r="H53" s="2209">
        <f t="shared" si="37"/>
        <v>8</v>
      </c>
      <c r="I53" s="2209">
        <f t="shared" si="37"/>
        <v>80</v>
      </c>
      <c r="J53" s="2209">
        <f t="shared" si="37"/>
        <v>210</v>
      </c>
      <c r="K53" s="2209">
        <f t="shared" si="37"/>
        <v>325</v>
      </c>
      <c r="L53" s="2209">
        <f t="shared" si="37"/>
        <v>325</v>
      </c>
      <c r="M53" s="2209">
        <f t="shared" si="37"/>
        <v>325</v>
      </c>
      <c r="N53" s="2209">
        <f t="shared" si="37"/>
        <v>325</v>
      </c>
      <c r="O53" s="2209">
        <f t="shared" si="37"/>
        <v>325</v>
      </c>
      <c r="P53" s="2209">
        <f t="shared" si="37"/>
        <v>325</v>
      </c>
      <c r="Q53" s="2209">
        <f t="shared" si="37"/>
        <v>325</v>
      </c>
      <c r="R53" s="2209">
        <f t="shared" si="37"/>
        <v>325</v>
      </c>
      <c r="S53" s="2209">
        <f t="shared" si="37"/>
        <v>325</v>
      </c>
      <c r="T53" s="2209">
        <f t="shared" si="37"/>
        <v>325</v>
      </c>
      <c r="U53" s="2209">
        <f t="shared" si="37"/>
        <v>325</v>
      </c>
      <c r="V53" s="2209">
        <f t="shared" si="37"/>
        <v>325</v>
      </c>
      <c r="W53" s="2209">
        <f t="shared" si="37"/>
        <v>325</v>
      </c>
      <c r="X53" s="2209">
        <f t="shared" si="37"/>
        <v>325</v>
      </c>
      <c r="Y53" s="2209">
        <f t="shared" si="37"/>
        <v>325</v>
      </c>
      <c r="Z53" s="2214"/>
      <c r="AB53" s="2564" t="s">
        <v>1426</v>
      </c>
      <c r="AC53" s="2565"/>
      <c r="AD53" s="2565"/>
      <c r="AE53" s="1051">
        <v>0.5</v>
      </c>
      <c r="AF53" s="1051"/>
      <c r="AG53" s="1051"/>
      <c r="AH53" s="1051">
        <v>0.5</v>
      </c>
      <c r="AI53" s="1051"/>
      <c r="AJ53" s="1051"/>
      <c r="AK53" s="1051"/>
      <c r="AL53" s="1051"/>
      <c r="AM53" s="1051"/>
      <c r="AN53" s="1052"/>
    </row>
    <row r="54" spans="1:40" ht="17.100000000000001" customHeight="1">
      <c r="A54" s="2563"/>
      <c r="B54" s="2571" t="s">
        <v>7</v>
      </c>
      <c r="C54" s="2571"/>
      <c r="D54" s="2211">
        <f>SUM(D46,D53)</f>
        <v>0</v>
      </c>
      <c r="E54" s="2211">
        <f t="shared" ref="E54:Y54" si="38">SUM(E46,E53)</f>
        <v>0</v>
      </c>
      <c r="F54" s="2211">
        <f t="shared" si="38"/>
        <v>0</v>
      </c>
      <c r="G54" s="2211">
        <f t="shared" si="38"/>
        <v>0</v>
      </c>
      <c r="H54" s="2211">
        <f t="shared" si="38"/>
        <v>8</v>
      </c>
      <c r="I54" s="2211">
        <f t="shared" si="38"/>
        <v>80</v>
      </c>
      <c r="J54" s="2211">
        <f t="shared" si="38"/>
        <v>210</v>
      </c>
      <c r="K54" s="2211">
        <f t="shared" si="38"/>
        <v>325</v>
      </c>
      <c r="L54" s="2211">
        <f t="shared" si="38"/>
        <v>325</v>
      </c>
      <c r="M54" s="2211">
        <f t="shared" si="38"/>
        <v>325</v>
      </c>
      <c r="N54" s="2211">
        <f t="shared" si="38"/>
        <v>325</v>
      </c>
      <c r="O54" s="2211">
        <f t="shared" si="38"/>
        <v>325</v>
      </c>
      <c r="P54" s="2211">
        <f t="shared" si="38"/>
        <v>325</v>
      </c>
      <c r="Q54" s="2211">
        <f t="shared" si="38"/>
        <v>325</v>
      </c>
      <c r="R54" s="2211">
        <f t="shared" si="38"/>
        <v>325</v>
      </c>
      <c r="S54" s="2211">
        <f t="shared" si="38"/>
        <v>325</v>
      </c>
      <c r="T54" s="2211">
        <f t="shared" si="38"/>
        <v>325</v>
      </c>
      <c r="U54" s="2211">
        <f t="shared" si="38"/>
        <v>325</v>
      </c>
      <c r="V54" s="2211">
        <f t="shared" si="38"/>
        <v>325</v>
      </c>
      <c r="W54" s="2211">
        <f t="shared" si="38"/>
        <v>325</v>
      </c>
      <c r="X54" s="2211">
        <f t="shared" si="38"/>
        <v>325</v>
      </c>
      <c r="Y54" s="2211">
        <f t="shared" si="38"/>
        <v>2656</v>
      </c>
      <c r="Z54" s="2215"/>
      <c r="AB54" s="2564" t="s">
        <v>1429</v>
      </c>
      <c r="AC54" s="2565"/>
      <c r="AD54" s="2565"/>
      <c r="AE54" s="1051">
        <v>1</v>
      </c>
      <c r="AF54" s="1051"/>
      <c r="AG54" s="1051"/>
      <c r="AH54" s="1051"/>
      <c r="AI54" s="1051"/>
      <c r="AJ54" s="1051"/>
      <c r="AK54" s="1051"/>
      <c r="AL54" s="1051"/>
      <c r="AM54" s="1051"/>
      <c r="AN54" s="1052"/>
    </row>
    <row r="55" spans="1:40" ht="18.95" customHeight="1">
      <c r="A55" s="2561" t="s">
        <v>749</v>
      </c>
      <c r="B55" s="2569" t="s">
        <v>94</v>
      </c>
      <c r="C55" s="2204" t="str">
        <f>AB5</f>
        <v>대소 삼정지구</v>
      </c>
      <c r="D55" s="2205">
        <f>ROUND(IFERROR(VLOOKUP($C55,사회적유입!$AA$5:$AW$167,2,FALSE),0)*$Z55,0)</f>
        <v>0</v>
      </c>
      <c r="E55" s="2205">
        <f>ROUND(IFERROR(VLOOKUP($C55,사회적유입!$AA$5:$AW$167,3,FALSE),0)*$Z55,0)</f>
        <v>0</v>
      </c>
      <c r="F55" s="2205">
        <f>ROUND(IFERROR(VLOOKUP($C55,사회적유입!$AA$5:$AW$167,4,FALSE),0)*$Z55,0)</f>
        <v>0</v>
      </c>
      <c r="G55" s="2205">
        <f>ROUND(IFERROR(VLOOKUP($C55,사회적유입!$AA$5:$AW$167,5,FALSE),0)*$Z55,0)</f>
        <v>0</v>
      </c>
      <c r="H55" s="2205">
        <f>ROUND(IFERROR(VLOOKUP($C55,사회적유입!$AA$5:$AW$167,6,FALSE),0)*$Z55,0)</f>
        <v>0</v>
      </c>
      <c r="I55" s="2205">
        <f>ROUND(IFERROR(VLOOKUP($C55,사회적유입!$AA$5:$AW$167,7,FALSE),0)*$Z55,0)</f>
        <v>0</v>
      </c>
      <c r="J55" s="2205">
        <f>ROUND(IFERROR(VLOOKUP($C55,사회적유입!$AA$5:$AW$167,8,FALSE),0)*$Z55,0)</f>
        <v>3346</v>
      </c>
      <c r="K55" s="2205">
        <f>ROUND(IFERROR(VLOOKUP($C55,사회적유입!$AA$5:$AW$167,9,FALSE),0)*$Z55,0)</f>
        <v>3346</v>
      </c>
      <c r="L55" s="2205">
        <f>ROUND(IFERROR(VLOOKUP($C55,사회적유입!$AA$5:$AW$167,10,FALSE),0)*$Z55,0)</f>
        <v>3346</v>
      </c>
      <c r="M55" s="2205">
        <f>ROUND(IFERROR(VLOOKUP($C55,사회적유입!$AA$5:$AW$167,11,FALSE),0)*$Z55,0)</f>
        <v>3346</v>
      </c>
      <c r="N55" s="2205">
        <f>ROUND(IFERROR(VLOOKUP($C55,사회적유입!$AA$5:$AW$167,12,FALSE),0)*$Z55,0)</f>
        <v>3346</v>
      </c>
      <c r="O55" s="2205">
        <f>ROUND(IFERROR(VLOOKUP($C55,사회적유입!$AA$5:$AW$167,13,FALSE),0)*$Z55,0)</f>
        <v>3346</v>
      </c>
      <c r="P55" s="2205">
        <f>ROUND(IFERROR(VLOOKUP($C55,사회적유입!$AA$5:$AW$167,14,FALSE),0)*$Z55,0)</f>
        <v>3346</v>
      </c>
      <c r="Q55" s="2205">
        <f>ROUND(IFERROR(VLOOKUP($C55,사회적유입!$AA$5:$AW$167,15,FALSE),0)*$Z55,0)</f>
        <v>3346</v>
      </c>
      <c r="R55" s="2205">
        <f>ROUND(IFERROR(VLOOKUP($C55,사회적유입!$AA$5:$AW$167,16,FALSE),0)*$Z55,0)</f>
        <v>3346</v>
      </c>
      <c r="S55" s="2205">
        <f>ROUND(IFERROR(VLOOKUP($C55,사회적유입!$AA$5:$AW$167,17,FALSE),0)*$Z55,0)</f>
        <v>3346</v>
      </c>
      <c r="T55" s="2205">
        <f>ROUND(IFERROR(VLOOKUP($C55,사회적유입!$AA$5:$AW$167,18,FALSE),0)*$Z55,0)</f>
        <v>3346</v>
      </c>
      <c r="U55" s="2205">
        <f>ROUND(IFERROR(VLOOKUP($C55,사회적유입!$AA$5:$AW$167,19,FALSE),0)*$Z55,0)</f>
        <v>3346</v>
      </c>
      <c r="V55" s="2205">
        <f>ROUND(IFERROR(VLOOKUP($C55,사회적유입!$AA$5:$AW$167,20,FALSE),0)*$Z55,0)</f>
        <v>3346</v>
      </c>
      <c r="W55" s="2205">
        <f>ROUND(IFERROR(VLOOKUP($C55,사회적유입!$AA$5:$AW$167,21,FALSE),0)*$Z55,0)</f>
        <v>3346</v>
      </c>
      <c r="X55" s="2205">
        <f>ROUND(IFERROR(VLOOKUP($C55,사회적유입!$AA$5:$AW$167,22,FALSE),0)*$Z55,0)</f>
        <v>3346</v>
      </c>
      <c r="Y55" s="2205">
        <f>ROUND(IFERROR(VLOOKUP($C55,사회적유입!$AA$5:$AW$167,23,FALSE),0)*$Z55,0)</f>
        <v>3346</v>
      </c>
      <c r="Z55" s="2212">
        <f>VLOOKUP(C55,$AB$5:$AN$57,9,FALSE)</f>
        <v>1</v>
      </c>
      <c r="AB55" s="2564" t="s">
        <v>1431</v>
      </c>
      <c r="AC55" s="2565"/>
      <c r="AD55" s="2565"/>
      <c r="AE55" s="1051">
        <v>1</v>
      </c>
      <c r="AF55" s="1051"/>
      <c r="AG55" s="1051"/>
      <c r="AH55" s="1051"/>
      <c r="AI55" s="1051"/>
      <c r="AJ55" s="1051"/>
      <c r="AK55" s="1051"/>
      <c r="AL55" s="1051"/>
      <c r="AM55" s="1051"/>
      <c r="AN55" s="1052"/>
    </row>
    <row r="56" spans="1:40" ht="18" customHeight="1">
      <c r="A56" s="2562"/>
      <c r="B56" s="2570"/>
      <c r="C56" s="2206" t="str">
        <f>AB40</f>
        <v>태성지구 도시개발사업</v>
      </c>
      <c r="D56" s="2207">
        <f>ROUND(IFERROR(VLOOKUP($C56,사회적유입!$AA$5:$AW$167,2,FALSE),0)*$Z56,0)</f>
        <v>0</v>
      </c>
      <c r="E56" s="2207">
        <f>ROUND(IFERROR(VLOOKUP($C56,사회적유입!$AA$5:$AW$167,3,FALSE),0)*$Z56,0)</f>
        <v>0</v>
      </c>
      <c r="F56" s="2207">
        <f>ROUND(IFERROR(VLOOKUP($C56,사회적유입!$AA$5:$AW$167,4,FALSE),0)*$Z56,0)</f>
        <v>0</v>
      </c>
      <c r="G56" s="2207">
        <f>ROUND(IFERROR(VLOOKUP($C56,사회적유입!$AA$5:$AW$167,5,FALSE),0)*$Z56,0)</f>
        <v>0</v>
      </c>
      <c r="H56" s="2207">
        <f>ROUND(IFERROR(VLOOKUP($C56,사회적유입!$AA$5:$AW$167,6,FALSE),0)*$Z56,0)</f>
        <v>0</v>
      </c>
      <c r="I56" s="2207">
        <f>ROUND(IFERROR(VLOOKUP($C56,사회적유입!$AA$5:$AW$167,7,FALSE),0)*$Z56,0)</f>
        <v>0</v>
      </c>
      <c r="J56" s="2207">
        <f>ROUND(IFERROR(VLOOKUP($C56,사회적유입!$AA$5:$AW$167,8,FALSE),0)*$Z56,0)</f>
        <v>0</v>
      </c>
      <c r="K56" s="2207">
        <f>ROUND(IFERROR(VLOOKUP($C56,사회적유입!$AA$5:$AW$167,9,FALSE),0)*$Z56,0)</f>
        <v>0</v>
      </c>
      <c r="L56" s="2207">
        <f>ROUND(IFERROR(VLOOKUP($C56,사회적유입!$AA$5:$AW$167,10,FALSE),0)*$Z56,0)</f>
        <v>0</v>
      </c>
      <c r="M56" s="2207">
        <f>ROUND(IFERROR(VLOOKUP($C56,사회적유입!$AA$5:$AW$167,11,FALSE),0)*$Z56,0)</f>
        <v>0</v>
      </c>
      <c r="N56" s="2207">
        <f>ROUND(IFERROR(VLOOKUP($C56,사회적유입!$AA$5:$AW$167,12,FALSE),0)*$Z56,0)</f>
        <v>0</v>
      </c>
      <c r="O56" s="2207">
        <f>ROUND(IFERROR(VLOOKUP($C56,사회적유입!$AA$5:$AW$167,13,FALSE),0)*$Z56,0)</f>
        <v>0</v>
      </c>
      <c r="P56" s="2207">
        <f>ROUND(IFERROR(VLOOKUP($C56,사회적유입!$AA$5:$AW$167,14,FALSE),0)*$Z56,0)</f>
        <v>0</v>
      </c>
      <c r="Q56" s="2207">
        <f>ROUND(IFERROR(VLOOKUP($C56,사회적유입!$AA$5:$AW$167,15,FALSE),0)*$Z56,0)</f>
        <v>0</v>
      </c>
      <c r="R56" s="2207">
        <f>ROUND(IFERROR(VLOOKUP($C56,사회적유입!$AA$5:$AW$167,16,FALSE),0)*$Z56,0)</f>
        <v>0</v>
      </c>
      <c r="S56" s="2207">
        <f>ROUND(IFERROR(VLOOKUP($C56,사회적유입!$AA$5:$AW$167,17,FALSE),0)*$Z56,0)</f>
        <v>0</v>
      </c>
      <c r="T56" s="2207">
        <f>ROUND(IFERROR(VLOOKUP($C56,사회적유입!$AA$5:$AW$167,18,FALSE),0)*$Z56,0)</f>
        <v>0</v>
      </c>
      <c r="U56" s="2207">
        <f>ROUND(IFERROR(VLOOKUP($C56,사회적유입!$AA$5:$AW$167,19,FALSE),0)*$Z56,0)</f>
        <v>0</v>
      </c>
      <c r="V56" s="2207">
        <f>ROUND(IFERROR(VLOOKUP($C56,사회적유입!$AA$5:$AW$167,20,FALSE),0)*$Z56,0)</f>
        <v>0</v>
      </c>
      <c r="W56" s="2207">
        <f>ROUND(IFERROR(VLOOKUP($C56,사회적유입!$AA$5:$AW$167,21,FALSE),0)*$Z56,0)</f>
        <v>0</v>
      </c>
      <c r="X56" s="2207">
        <f>ROUND(IFERROR(VLOOKUP($C56,사회적유입!$AA$5:$AW$167,22,FALSE),0)*$Z56,0)</f>
        <v>0</v>
      </c>
      <c r="Y56" s="2207">
        <f>ROUND(IFERROR(VLOOKUP($C56,사회적유입!$AA$5:$AW$167,23,FALSE),0)*$Z56,0)</f>
        <v>5369</v>
      </c>
      <c r="Z56" s="2213">
        <f>VLOOKUP(C56,$AB$5:$AN$57,9,FALSE)</f>
        <v>1</v>
      </c>
      <c r="AB56" s="2564" t="s">
        <v>1433</v>
      </c>
      <c r="AC56" s="2565"/>
      <c r="AD56" s="2565"/>
      <c r="AE56" s="1051">
        <v>1</v>
      </c>
      <c r="AF56" s="1051"/>
      <c r="AG56" s="1051"/>
      <c r="AH56" s="1051"/>
      <c r="AI56" s="1051"/>
      <c r="AJ56" s="1051"/>
      <c r="AK56" s="1051"/>
      <c r="AL56" s="1051"/>
      <c r="AM56" s="1051"/>
      <c r="AN56" s="1052"/>
    </row>
    <row r="57" spans="1:40" ht="18" customHeight="1">
      <c r="A57" s="2562"/>
      <c r="B57" s="2570"/>
      <c r="C57" s="2208" t="s">
        <v>72</v>
      </c>
      <c r="D57" s="2209">
        <f t="shared" ref="D57:X57" si="39">SUM(D55:D56)</f>
        <v>0</v>
      </c>
      <c r="E57" s="2209">
        <f t="shared" si="39"/>
        <v>0</v>
      </c>
      <c r="F57" s="2209">
        <f t="shared" si="39"/>
        <v>0</v>
      </c>
      <c r="G57" s="2209">
        <f t="shared" si="39"/>
        <v>0</v>
      </c>
      <c r="H57" s="2209">
        <f t="shared" si="39"/>
        <v>0</v>
      </c>
      <c r="I57" s="2209">
        <f t="shared" si="39"/>
        <v>0</v>
      </c>
      <c r="J57" s="2209">
        <f t="shared" si="39"/>
        <v>3346</v>
      </c>
      <c r="K57" s="2209">
        <f t="shared" si="39"/>
        <v>3346</v>
      </c>
      <c r="L57" s="2209">
        <f t="shared" si="39"/>
        <v>3346</v>
      </c>
      <c r="M57" s="2209">
        <f t="shared" si="39"/>
        <v>3346</v>
      </c>
      <c r="N57" s="2209">
        <f t="shared" si="39"/>
        <v>3346</v>
      </c>
      <c r="O57" s="2209">
        <f t="shared" si="39"/>
        <v>3346</v>
      </c>
      <c r="P57" s="2209">
        <f t="shared" si="39"/>
        <v>3346</v>
      </c>
      <c r="Q57" s="2209">
        <f t="shared" si="39"/>
        <v>3346</v>
      </c>
      <c r="R57" s="2209">
        <f t="shared" si="39"/>
        <v>3346</v>
      </c>
      <c r="S57" s="2209">
        <f t="shared" si="39"/>
        <v>3346</v>
      </c>
      <c r="T57" s="2209">
        <f t="shared" si="39"/>
        <v>3346</v>
      </c>
      <c r="U57" s="2209">
        <f t="shared" si="39"/>
        <v>3346</v>
      </c>
      <c r="V57" s="2209">
        <f t="shared" si="39"/>
        <v>3346</v>
      </c>
      <c r="W57" s="2209">
        <f t="shared" si="39"/>
        <v>3346</v>
      </c>
      <c r="X57" s="2209">
        <f t="shared" si="39"/>
        <v>3346</v>
      </c>
      <c r="Y57" s="2209">
        <f>SUM(Y55:Y56)</f>
        <v>8715</v>
      </c>
      <c r="Z57" s="2214"/>
      <c r="AB57" s="2588" t="s">
        <v>1435</v>
      </c>
      <c r="AC57" s="2589"/>
      <c r="AD57" s="2589"/>
      <c r="AE57" s="1053">
        <v>1</v>
      </c>
      <c r="AF57" s="1053"/>
      <c r="AG57" s="1053"/>
      <c r="AH57" s="1053"/>
      <c r="AI57" s="1053"/>
      <c r="AJ57" s="1053"/>
      <c r="AK57" s="1053"/>
      <c r="AL57" s="1053"/>
      <c r="AM57" s="1053"/>
      <c r="AN57" s="1054"/>
    </row>
    <row r="58" spans="1:40" ht="18" customHeight="1" thickBot="1">
      <c r="A58" s="2562"/>
      <c r="B58" s="2570" t="s">
        <v>432</v>
      </c>
      <c r="C58" s="2206" t="str">
        <f>AB7</f>
        <v>부러운아파트</v>
      </c>
      <c r="D58" s="2207">
        <f>ROUND(IFERROR(VLOOKUP($C58,사회적유입!$AA$5:$AW$167,2,FALSE),0)*$Z58,0)</f>
        <v>0</v>
      </c>
      <c r="E58" s="2207">
        <f>ROUND(IFERROR(VLOOKUP($C58,사회적유입!$AA$5:$AW$167,3,FALSE),0)*$Z58,0)</f>
        <v>0</v>
      </c>
      <c r="F58" s="2207">
        <f>ROUND(IFERROR(VLOOKUP($C58,사회적유입!$AA$5:$AW$167,4,FALSE),0)*$Z58,0)</f>
        <v>0</v>
      </c>
      <c r="G58" s="2207">
        <f>ROUND(IFERROR(VLOOKUP($C58,사회적유입!$AA$5:$AW$167,5,FALSE),0)*$Z58,0)</f>
        <v>0</v>
      </c>
      <c r="H58" s="2207">
        <f>ROUND(IFERROR(VLOOKUP($C58,사회적유입!$AA$5:$AW$167,6,FALSE),0)*$Z58,0)</f>
        <v>0</v>
      </c>
      <c r="I58" s="2207">
        <f>ROUND(IFERROR(VLOOKUP($C58,사회적유입!$AA$5:$AW$167,7,FALSE),0)*$Z58,0)</f>
        <v>237</v>
      </c>
      <c r="J58" s="2207">
        <f>ROUND(IFERROR(VLOOKUP($C58,사회적유입!$AA$5:$AW$167,8,FALSE),0)*$Z58,0)</f>
        <v>237</v>
      </c>
      <c r="K58" s="2207">
        <f>ROUND(IFERROR(VLOOKUP($C58,사회적유입!$AA$5:$AW$167,9,FALSE),0)*$Z58,0)</f>
        <v>237</v>
      </c>
      <c r="L58" s="2207">
        <f>ROUND(IFERROR(VLOOKUP($C58,사회적유입!$AA$5:$AW$167,10,FALSE),0)*$Z58,0)</f>
        <v>237</v>
      </c>
      <c r="M58" s="2207">
        <f>ROUND(IFERROR(VLOOKUP($C58,사회적유입!$AA$5:$AW$167,11,FALSE),0)*$Z58,0)</f>
        <v>237</v>
      </c>
      <c r="N58" s="2207">
        <f>ROUND(IFERROR(VLOOKUP($C58,사회적유입!$AA$5:$AW$167,12,FALSE),0)*$Z58,0)</f>
        <v>237</v>
      </c>
      <c r="O58" s="2207">
        <f>ROUND(IFERROR(VLOOKUP($C58,사회적유입!$AA$5:$AW$167,13,FALSE),0)*$Z58,0)</f>
        <v>237</v>
      </c>
      <c r="P58" s="2207">
        <f>ROUND(IFERROR(VLOOKUP($C58,사회적유입!$AA$5:$AW$167,14,FALSE),0)*$Z58,0)</f>
        <v>237</v>
      </c>
      <c r="Q58" s="2207">
        <f>ROUND(IFERROR(VLOOKUP($C58,사회적유입!$AA$5:$AW$167,15,FALSE),0)*$Z58,0)</f>
        <v>237</v>
      </c>
      <c r="R58" s="2207">
        <f>ROUND(IFERROR(VLOOKUP($C58,사회적유입!$AA$5:$AW$167,16,FALSE),0)*$Z58,0)</f>
        <v>237</v>
      </c>
      <c r="S58" s="2207">
        <f>ROUND(IFERROR(VLOOKUP($C58,사회적유입!$AA$5:$AW$167,17,FALSE),0)*$Z58,0)</f>
        <v>237</v>
      </c>
      <c r="T58" s="2207">
        <f>ROUND(IFERROR(VLOOKUP($C58,사회적유입!$AA$5:$AW$167,18,FALSE),0)*$Z58,0)</f>
        <v>237</v>
      </c>
      <c r="U58" s="2207">
        <f>ROUND(IFERROR(VLOOKUP($C58,사회적유입!$AA$5:$AW$167,19,FALSE),0)*$Z58,0)</f>
        <v>237</v>
      </c>
      <c r="V58" s="2207">
        <f>ROUND(IFERROR(VLOOKUP($C58,사회적유입!$AA$5:$AW$167,20,FALSE),0)*$Z58,0)</f>
        <v>237</v>
      </c>
      <c r="W58" s="2207">
        <f>ROUND(IFERROR(VLOOKUP($C58,사회적유입!$AA$5:$AW$167,21,FALSE),0)*$Z58,0)</f>
        <v>237</v>
      </c>
      <c r="X58" s="2207">
        <f>ROUND(IFERROR(VLOOKUP($C58,사회적유입!$AA$5:$AW$167,22,FALSE),0)*$Z58,0)</f>
        <v>237</v>
      </c>
      <c r="Y58" s="2207">
        <f>ROUND(IFERROR(VLOOKUP($C58,사회적유입!$AA$5:$AW$167,23,FALSE),0)*$Z58,0)</f>
        <v>237</v>
      </c>
      <c r="Z58" s="2213">
        <f t="shared" ref="Z58:Z63" si="40">VLOOKUP(C58,$AB$5:$AN$57,9,FALSE)</f>
        <v>1</v>
      </c>
    </row>
    <row r="59" spans="1:40" ht="18" customHeight="1">
      <c r="A59" s="2562"/>
      <c r="B59" s="2570"/>
      <c r="C59" s="2206" t="str">
        <f>AB10</f>
        <v>웰메이드타운</v>
      </c>
      <c r="D59" s="2207">
        <f>ROUND(IFERROR(VLOOKUP($C59,사회적유입!$AA$5:$AW$167,2,FALSE),0)*$Z59,0)</f>
        <v>0</v>
      </c>
      <c r="E59" s="2207">
        <f>ROUND(IFERROR(VLOOKUP($C59,사회적유입!$AA$5:$AW$167,3,FALSE),0)*$Z59,0)</f>
        <v>0</v>
      </c>
      <c r="F59" s="2207">
        <f>ROUND(IFERROR(VLOOKUP($C59,사회적유입!$AA$5:$AW$167,4,FALSE),0)*$Z59,0)</f>
        <v>0</v>
      </c>
      <c r="G59" s="2207">
        <f>ROUND(IFERROR(VLOOKUP($C59,사회적유입!$AA$5:$AW$167,5,FALSE),0)*$Z59,0)</f>
        <v>0</v>
      </c>
      <c r="H59" s="2207">
        <f>ROUND(IFERROR(VLOOKUP($C59,사회적유입!$AA$5:$AW$167,6,FALSE),0)*$Z59,0)</f>
        <v>518</v>
      </c>
      <c r="I59" s="2207">
        <f>ROUND(IFERROR(VLOOKUP($C59,사회적유입!$AA$5:$AW$167,7,FALSE),0)*$Z59,0)</f>
        <v>518</v>
      </c>
      <c r="J59" s="2207">
        <f>ROUND(IFERROR(VLOOKUP($C59,사회적유입!$AA$5:$AW$167,8,FALSE),0)*$Z59,0)</f>
        <v>518</v>
      </c>
      <c r="K59" s="2207">
        <f>ROUND(IFERROR(VLOOKUP($C59,사회적유입!$AA$5:$AW$167,9,FALSE),0)*$Z59,0)</f>
        <v>518</v>
      </c>
      <c r="L59" s="2207">
        <f>ROUND(IFERROR(VLOOKUP($C59,사회적유입!$AA$5:$AW$167,10,FALSE),0)*$Z59,0)</f>
        <v>518</v>
      </c>
      <c r="M59" s="2207">
        <f>ROUND(IFERROR(VLOOKUP($C59,사회적유입!$AA$5:$AW$167,11,FALSE),0)*$Z59,0)</f>
        <v>518</v>
      </c>
      <c r="N59" s="2207">
        <f>ROUND(IFERROR(VLOOKUP($C59,사회적유입!$AA$5:$AW$167,12,FALSE),0)*$Z59,0)</f>
        <v>518</v>
      </c>
      <c r="O59" s="2207">
        <f>ROUND(IFERROR(VLOOKUP($C59,사회적유입!$AA$5:$AW$167,13,FALSE),0)*$Z59,0)</f>
        <v>518</v>
      </c>
      <c r="P59" s="2207">
        <f>ROUND(IFERROR(VLOOKUP($C59,사회적유입!$AA$5:$AW$167,14,FALSE),0)*$Z59,0)</f>
        <v>518</v>
      </c>
      <c r="Q59" s="2207">
        <f>ROUND(IFERROR(VLOOKUP($C59,사회적유입!$AA$5:$AW$167,15,FALSE),0)*$Z59,0)</f>
        <v>518</v>
      </c>
      <c r="R59" s="2207">
        <f>ROUND(IFERROR(VLOOKUP($C59,사회적유입!$AA$5:$AW$167,16,FALSE),0)*$Z59,0)</f>
        <v>518</v>
      </c>
      <c r="S59" s="2207">
        <f>ROUND(IFERROR(VLOOKUP($C59,사회적유입!$AA$5:$AW$167,17,FALSE),0)*$Z59,0)</f>
        <v>518</v>
      </c>
      <c r="T59" s="2207">
        <f>ROUND(IFERROR(VLOOKUP($C59,사회적유입!$AA$5:$AW$167,18,FALSE),0)*$Z59,0)</f>
        <v>518</v>
      </c>
      <c r="U59" s="2207">
        <f>ROUND(IFERROR(VLOOKUP($C59,사회적유입!$AA$5:$AW$167,19,FALSE),0)*$Z59,0)</f>
        <v>518</v>
      </c>
      <c r="V59" s="2207">
        <f>ROUND(IFERROR(VLOOKUP($C59,사회적유입!$AA$5:$AW$167,20,FALSE),0)*$Z59,0)</f>
        <v>518</v>
      </c>
      <c r="W59" s="2207">
        <f>ROUND(IFERROR(VLOOKUP($C59,사회적유입!$AA$5:$AW$167,21,FALSE),0)*$Z59,0)</f>
        <v>518</v>
      </c>
      <c r="X59" s="2207">
        <f>ROUND(IFERROR(VLOOKUP($C59,사회적유입!$AA$5:$AW$167,22,FALSE),0)*$Z59,0)</f>
        <v>518</v>
      </c>
      <c r="Y59" s="2207">
        <f>ROUND(IFERROR(VLOOKUP($C59,사회적유입!$AA$5:$AW$167,23,FALSE),0)*$Z59,0)</f>
        <v>518</v>
      </c>
      <c r="Z59" s="2213">
        <f t="shared" si="40"/>
        <v>1</v>
      </c>
      <c r="AB59" s="2603" t="s">
        <v>131</v>
      </c>
      <c r="AC59" s="2604"/>
      <c r="AD59" s="115" t="s">
        <v>1126</v>
      </c>
      <c r="AE59" s="115" t="s">
        <v>1052</v>
      </c>
      <c r="AF59" s="115" t="s">
        <v>1080</v>
      </c>
      <c r="AG59" s="115" t="s">
        <v>1056</v>
      </c>
      <c r="AH59" s="115" t="s">
        <v>1063</v>
      </c>
      <c r="AI59" s="115" t="s">
        <v>1069</v>
      </c>
      <c r="AJ59" s="115" t="s">
        <v>1124</v>
      </c>
      <c r="AK59" s="115" t="s">
        <v>1073</v>
      </c>
      <c r="AL59" s="115" t="s">
        <v>1087</v>
      </c>
      <c r="AM59" s="115" t="s">
        <v>1125</v>
      </c>
      <c r="AN59" s="116" t="s">
        <v>186</v>
      </c>
    </row>
    <row r="60" spans="1:40" ht="18" customHeight="1">
      <c r="A60" s="2562"/>
      <c r="B60" s="2570"/>
      <c r="C60" s="2206" t="str">
        <f>AB16</f>
        <v>대소지역주택조합</v>
      </c>
      <c r="D60" s="2207">
        <f>ROUND(IFERROR(VLOOKUP($C60,사회적유입!$AA$5:$AW$167,2,FALSE),0)*$Z60,0)</f>
        <v>0</v>
      </c>
      <c r="E60" s="2207">
        <f>ROUND(IFERROR(VLOOKUP($C60,사회적유입!$AA$5:$AW$167,3,FALSE),0)*$Z60,0)</f>
        <v>0</v>
      </c>
      <c r="F60" s="2207">
        <f>ROUND(IFERROR(VLOOKUP($C60,사회적유입!$AA$5:$AW$167,4,FALSE),0)*$Z60,0)</f>
        <v>0</v>
      </c>
      <c r="G60" s="2207">
        <f>ROUND(IFERROR(VLOOKUP($C60,사회적유입!$AA$5:$AW$167,5,FALSE),0)*$Z60,0)</f>
        <v>0</v>
      </c>
      <c r="H60" s="2207">
        <f>ROUND(IFERROR(VLOOKUP($C60,사회적유입!$AA$5:$AW$167,6,FALSE),0)*$Z60,0)</f>
        <v>0</v>
      </c>
      <c r="I60" s="2207">
        <f>ROUND(IFERROR(VLOOKUP($C60,사회적유입!$AA$5:$AW$167,7,FALSE),0)*$Z60,0)</f>
        <v>0</v>
      </c>
      <c r="J60" s="2207">
        <f>ROUND(IFERROR(VLOOKUP($C60,사회적유입!$AA$5:$AW$167,8,FALSE),0)*$Z60,0)</f>
        <v>0</v>
      </c>
      <c r="K60" s="2207">
        <f>ROUND(IFERROR(VLOOKUP($C60,사회적유입!$AA$5:$AW$167,9,FALSE),0)*$Z60,0)</f>
        <v>0</v>
      </c>
      <c r="L60" s="2207">
        <f>ROUND(IFERROR(VLOOKUP($C60,사회적유입!$AA$5:$AW$167,10,FALSE),0)*$Z60,0)</f>
        <v>0</v>
      </c>
      <c r="M60" s="2207">
        <f>ROUND(IFERROR(VLOOKUP($C60,사회적유입!$AA$5:$AW$167,11,FALSE),0)*$Z60,0)</f>
        <v>0</v>
      </c>
      <c r="N60" s="2207">
        <f>ROUND(IFERROR(VLOOKUP($C60,사회적유입!$AA$5:$AW$167,12,FALSE),0)*$Z60,0)</f>
        <v>0</v>
      </c>
      <c r="O60" s="2207">
        <f>ROUND(IFERROR(VLOOKUP($C60,사회적유입!$AA$5:$AW$167,13,FALSE),0)*$Z60,0)</f>
        <v>195</v>
      </c>
      <c r="P60" s="2207">
        <f>ROUND(IFERROR(VLOOKUP($C60,사회적유입!$AA$5:$AW$167,14,FALSE),0)*$Z60,0)</f>
        <v>195</v>
      </c>
      <c r="Q60" s="2207">
        <f>ROUND(IFERROR(VLOOKUP($C60,사회적유입!$AA$5:$AW$167,15,FALSE),0)*$Z60,0)</f>
        <v>195</v>
      </c>
      <c r="R60" s="2207">
        <f>ROUND(IFERROR(VLOOKUP($C60,사회적유입!$AA$5:$AW$167,16,FALSE),0)*$Z60,0)</f>
        <v>195</v>
      </c>
      <c r="S60" s="2207">
        <f>ROUND(IFERROR(VLOOKUP($C60,사회적유입!$AA$5:$AW$167,17,FALSE),0)*$Z60,0)</f>
        <v>195</v>
      </c>
      <c r="T60" s="2207">
        <f>ROUND(IFERROR(VLOOKUP($C60,사회적유입!$AA$5:$AW$167,18,FALSE),0)*$Z60,0)</f>
        <v>195</v>
      </c>
      <c r="U60" s="2207">
        <f>ROUND(IFERROR(VLOOKUP($C60,사회적유입!$AA$5:$AW$167,19,FALSE),0)*$Z60,0)</f>
        <v>195</v>
      </c>
      <c r="V60" s="2207">
        <f>ROUND(IFERROR(VLOOKUP($C60,사회적유입!$AA$5:$AW$167,20,FALSE),0)*$Z60,0)</f>
        <v>195</v>
      </c>
      <c r="W60" s="2207">
        <f>ROUND(IFERROR(VLOOKUP($C60,사회적유입!$AA$5:$AW$167,21,FALSE),0)*$Z60,0)</f>
        <v>195</v>
      </c>
      <c r="X60" s="2207">
        <f>ROUND(IFERROR(VLOOKUP($C60,사회적유입!$AA$5:$AW$167,22,FALSE),0)*$Z60,0)</f>
        <v>195</v>
      </c>
      <c r="Y60" s="2207">
        <f>ROUND(IFERROR(VLOOKUP($C60,사회적유입!$AA$5:$AW$167,23,FALSE),0)*$Z60,0)</f>
        <v>195</v>
      </c>
      <c r="Z60" s="2213">
        <f t="shared" si="40"/>
        <v>1</v>
      </c>
      <c r="AB60" s="2592" t="s">
        <v>130</v>
      </c>
      <c r="AC60" s="2593"/>
      <c r="AD60" s="850">
        <v>520.33000000000004</v>
      </c>
      <c r="AE60" s="850">
        <v>86.38</v>
      </c>
      <c r="AF60" s="850">
        <v>71.37</v>
      </c>
      <c r="AG60" s="850">
        <v>48.9</v>
      </c>
      <c r="AH60" s="850">
        <v>64.75</v>
      </c>
      <c r="AI60" s="850">
        <v>34.68</v>
      </c>
      <c r="AJ60" s="850">
        <f>38.17-AN60</f>
        <v>34.72</v>
      </c>
      <c r="AK60" s="850">
        <v>50.59</v>
      </c>
      <c r="AL60" s="850">
        <v>56.02</v>
      </c>
      <c r="AM60" s="850">
        <v>69.47</v>
      </c>
      <c r="AN60" s="851">
        <v>3.45</v>
      </c>
    </row>
    <row r="61" spans="1:40" ht="18" customHeight="1" thickBot="1">
      <c r="A61" s="2562"/>
      <c r="B61" s="2570"/>
      <c r="C61" s="2206" t="str">
        <f>AB17</f>
        <v>음성대소지역주택조합</v>
      </c>
      <c r="D61" s="2207">
        <f>ROUND(IFERROR(VLOOKUP($C61,사회적유입!$AA$5:$AW$167,2,FALSE),0)*$Z61,0)</f>
        <v>0</v>
      </c>
      <c r="E61" s="2207">
        <f>ROUND(IFERROR(VLOOKUP($C61,사회적유입!$AA$5:$AW$167,3,FALSE),0)*$Z61,0)</f>
        <v>0</v>
      </c>
      <c r="F61" s="2207">
        <f>ROUND(IFERROR(VLOOKUP($C61,사회적유입!$AA$5:$AW$167,4,FALSE),0)*$Z61,0)</f>
        <v>0</v>
      </c>
      <c r="G61" s="2207">
        <f>ROUND(IFERROR(VLOOKUP($C61,사회적유입!$AA$5:$AW$167,5,FALSE),0)*$Z61,0)</f>
        <v>0</v>
      </c>
      <c r="H61" s="2207">
        <f>ROUND(IFERROR(VLOOKUP($C61,사회적유입!$AA$5:$AW$167,6,FALSE),0)*$Z61,0)</f>
        <v>0</v>
      </c>
      <c r="I61" s="2207">
        <f>ROUND(IFERROR(VLOOKUP($C61,사회적유입!$AA$5:$AW$167,7,FALSE),0)*$Z61,0)</f>
        <v>0</v>
      </c>
      <c r="J61" s="2207">
        <f>ROUND(IFERROR(VLOOKUP($C61,사회적유입!$AA$5:$AW$167,8,FALSE),0)*$Z61,0)</f>
        <v>0</v>
      </c>
      <c r="K61" s="2207">
        <f>ROUND(IFERROR(VLOOKUP($C61,사회적유입!$AA$5:$AW$167,9,FALSE),0)*$Z61,0)</f>
        <v>0</v>
      </c>
      <c r="L61" s="2207">
        <f>ROUND(IFERROR(VLOOKUP($C61,사회적유입!$AA$5:$AW$167,10,FALSE),0)*$Z61,0)</f>
        <v>0</v>
      </c>
      <c r="M61" s="2207">
        <f>ROUND(IFERROR(VLOOKUP($C61,사회적유입!$AA$5:$AW$167,11,FALSE),0)*$Z61,0)</f>
        <v>0</v>
      </c>
      <c r="N61" s="2207">
        <f>ROUND(IFERROR(VLOOKUP($C61,사회적유입!$AA$5:$AW$167,12,FALSE),0)*$Z61,0)</f>
        <v>0</v>
      </c>
      <c r="O61" s="2207">
        <f>ROUND(IFERROR(VLOOKUP($C61,사회적유입!$AA$5:$AW$167,13,FALSE),0)*$Z61,0)</f>
        <v>0</v>
      </c>
      <c r="P61" s="2207">
        <f>ROUND(IFERROR(VLOOKUP($C61,사회적유입!$AA$5:$AW$167,14,FALSE),0)*$Z61,0)</f>
        <v>0</v>
      </c>
      <c r="Q61" s="2207">
        <f>ROUND(IFERROR(VLOOKUP($C61,사회적유입!$AA$5:$AW$167,15,FALSE),0)*$Z61,0)</f>
        <v>0</v>
      </c>
      <c r="R61" s="2207">
        <f>ROUND(IFERROR(VLOOKUP($C61,사회적유입!$AA$5:$AW$167,16,FALSE),0)*$Z61,0)</f>
        <v>0</v>
      </c>
      <c r="S61" s="2207">
        <f>ROUND(IFERROR(VLOOKUP($C61,사회적유입!$AA$5:$AW$167,17,FALSE),0)*$Z61,0)</f>
        <v>0</v>
      </c>
      <c r="T61" s="2207">
        <f>ROUND(IFERROR(VLOOKUP($C61,사회적유입!$AA$5:$AW$167,18,FALSE),0)*$Z61,0)</f>
        <v>823</v>
      </c>
      <c r="U61" s="2207">
        <f>ROUND(IFERROR(VLOOKUP($C61,사회적유입!$AA$5:$AW$167,19,FALSE),0)*$Z61,0)</f>
        <v>823</v>
      </c>
      <c r="V61" s="2207">
        <f>ROUND(IFERROR(VLOOKUP($C61,사회적유입!$AA$5:$AW$167,20,FALSE),0)*$Z61,0)</f>
        <v>823</v>
      </c>
      <c r="W61" s="2207">
        <f>ROUND(IFERROR(VLOOKUP($C61,사회적유입!$AA$5:$AW$167,21,FALSE),0)*$Z61,0)</f>
        <v>823</v>
      </c>
      <c r="X61" s="2207">
        <f>ROUND(IFERROR(VLOOKUP($C61,사회적유입!$AA$5:$AW$167,22,FALSE),0)*$Z61,0)</f>
        <v>823</v>
      </c>
      <c r="Y61" s="2207">
        <f>ROUND(IFERROR(VLOOKUP($C61,사회적유입!$AA$5:$AW$167,23,FALSE),0)*$Z61,0)</f>
        <v>823</v>
      </c>
      <c r="Z61" s="2213">
        <f t="shared" si="40"/>
        <v>1</v>
      </c>
      <c r="AB61" s="2605" t="s">
        <v>132</v>
      </c>
      <c r="AC61" s="2606"/>
      <c r="AD61" s="847">
        <f>SUM(AE61:AN61)</f>
        <v>100.19999999999999</v>
      </c>
      <c r="AE61" s="847">
        <f>ROUND(AE60/$AD$60*100,2)</f>
        <v>16.600000000000001</v>
      </c>
      <c r="AF61" s="847">
        <f>ROUND(AF60/$AD$60*100,2)</f>
        <v>13.72</v>
      </c>
      <c r="AG61" s="847">
        <f>ROUND(AG60/$AD$60*100,2)</f>
        <v>9.4</v>
      </c>
      <c r="AH61" s="847">
        <f>ROUND(AH60/$AD$60*100,2)+1</f>
        <v>13.44</v>
      </c>
      <c r="AI61" s="847">
        <f>ROUND(AI60/$AD$60*100,2)</f>
        <v>6.67</v>
      </c>
      <c r="AJ61" s="847">
        <f>ROUND(AJ60/$AD$60*100,2)-0.2</f>
        <v>6.47</v>
      </c>
      <c r="AK61" s="847">
        <f>ROUND(AK60/$AD$60*100,2)-0.2</f>
        <v>9.5200000000000014</v>
      </c>
      <c r="AL61" s="847">
        <f>ROUND(AL60/$AD$60*100,2)-0.2</f>
        <v>10.57</v>
      </c>
      <c r="AM61" s="847">
        <f>ROUND(AM60/$AD$60*100,2)-0.2</f>
        <v>13.15</v>
      </c>
      <c r="AN61" s="848">
        <f>ROUND(AN60/$AD$60*100,2)</f>
        <v>0.66</v>
      </c>
    </row>
    <row r="62" spans="1:40" ht="18" customHeight="1" thickBot="1">
      <c r="A62" s="2562"/>
      <c r="B62" s="2570"/>
      <c r="C62" s="2206" t="str">
        <f>AB21</f>
        <v>프리즘환타</v>
      </c>
      <c r="D62" s="2207">
        <f>ROUND(IFERROR(VLOOKUP($C62,사회적유입!$AA$5:$AW$167,2,FALSE),0)*$Z62,0)</f>
        <v>0</v>
      </c>
      <c r="E62" s="2207">
        <f>ROUND(IFERROR(VLOOKUP($C62,사회적유입!$AA$5:$AW$167,3,FALSE),0)*$Z62,0)</f>
        <v>0</v>
      </c>
      <c r="F62" s="2207">
        <f>ROUND(IFERROR(VLOOKUP($C62,사회적유입!$AA$5:$AW$167,4,FALSE),0)*$Z62,0)</f>
        <v>0</v>
      </c>
      <c r="G62" s="2207">
        <f>ROUND(IFERROR(VLOOKUP($C62,사회적유입!$AA$5:$AW$167,5,FALSE),0)*$Z62,0)</f>
        <v>0</v>
      </c>
      <c r="H62" s="2207">
        <f>ROUND(IFERROR(VLOOKUP($C62,사회적유입!$AA$5:$AW$167,6,FALSE),0)*$Z62,0)</f>
        <v>0</v>
      </c>
      <c r="I62" s="2207">
        <f>ROUND(IFERROR(VLOOKUP($C62,사회적유입!$AA$5:$AW$167,7,FALSE),0)*$Z62,0)</f>
        <v>0</v>
      </c>
      <c r="J62" s="2207">
        <f>ROUND(IFERROR(VLOOKUP($C62,사회적유입!$AA$5:$AW$167,8,FALSE),0)*$Z62,0)</f>
        <v>0</v>
      </c>
      <c r="K62" s="2207">
        <f>ROUND(IFERROR(VLOOKUP($C62,사회적유입!$AA$5:$AW$167,9,FALSE),0)*$Z62,0)</f>
        <v>0</v>
      </c>
      <c r="L62" s="2207">
        <f>ROUND(IFERROR(VLOOKUP($C62,사회적유입!$AA$5:$AW$167,10,FALSE),0)*$Z62,0)</f>
        <v>0</v>
      </c>
      <c r="M62" s="2207">
        <f>ROUND(IFERROR(VLOOKUP($C62,사회적유입!$AA$5:$AW$167,11,FALSE),0)*$Z62,0)</f>
        <v>0</v>
      </c>
      <c r="N62" s="2207">
        <f>ROUND(IFERROR(VLOOKUP($C62,사회적유입!$AA$5:$AW$167,12,FALSE),0)*$Z62,0)</f>
        <v>0</v>
      </c>
      <c r="O62" s="2207">
        <f>ROUND(IFERROR(VLOOKUP($C62,사회적유입!$AA$5:$AW$167,13,FALSE),0)*$Z62,0)</f>
        <v>0</v>
      </c>
      <c r="P62" s="2207">
        <f>ROUND(IFERROR(VLOOKUP($C62,사회적유입!$AA$5:$AW$167,14,FALSE),0)*$Z62,0)</f>
        <v>0</v>
      </c>
      <c r="Q62" s="2207">
        <f>ROUND(IFERROR(VLOOKUP($C62,사회적유입!$AA$5:$AW$167,15,FALSE),0)*$Z62,0)</f>
        <v>0</v>
      </c>
      <c r="R62" s="2207">
        <f>ROUND(IFERROR(VLOOKUP($C62,사회적유입!$AA$5:$AW$167,16,FALSE),0)*$Z62,0)</f>
        <v>0</v>
      </c>
      <c r="S62" s="2207">
        <f>ROUND(IFERROR(VLOOKUP($C62,사회적유입!$AA$5:$AW$167,17,FALSE),0)*$Z62,0)</f>
        <v>0</v>
      </c>
      <c r="T62" s="2207">
        <f>ROUND(IFERROR(VLOOKUP($C62,사회적유입!$AA$5:$AW$167,18,FALSE),0)*$Z62,0)</f>
        <v>818</v>
      </c>
      <c r="U62" s="2207">
        <f>ROUND(IFERROR(VLOOKUP($C62,사회적유입!$AA$5:$AW$167,19,FALSE),0)*$Z62,0)</f>
        <v>818</v>
      </c>
      <c r="V62" s="2207">
        <f>ROUND(IFERROR(VLOOKUP($C62,사회적유입!$AA$5:$AW$167,20,FALSE),0)*$Z62,0)</f>
        <v>818</v>
      </c>
      <c r="W62" s="2207">
        <f>ROUND(IFERROR(VLOOKUP($C62,사회적유입!$AA$5:$AW$167,21,FALSE),0)*$Z62,0)</f>
        <v>818</v>
      </c>
      <c r="X62" s="2207">
        <f>ROUND(IFERROR(VLOOKUP($C62,사회적유입!$AA$5:$AW$167,22,FALSE),0)*$Z62,0)</f>
        <v>818</v>
      </c>
      <c r="Y62" s="2207">
        <f>ROUND(IFERROR(VLOOKUP($C62,사회적유입!$AA$5:$AW$167,23,FALSE),0)*$Z62,0)</f>
        <v>818</v>
      </c>
      <c r="Z62" s="2213">
        <f t="shared" si="40"/>
        <v>1</v>
      </c>
    </row>
    <row r="63" spans="1:40" ht="18" customHeight="1">
      <c r="A63" s="2562"/>
      <c r="B63" s="2570"/>
      <c r="C63" s="2206" t="str">
        <f>AB26</f>
        <v>소석리아파트(3단지)</v>
      </c>
      <c r="D63" s="2207">
        <f>ROUND(IFERROR(VLOOKUP($C63,사회적유입!$AA$5:$AW$167,2,FALSE),0)*$Z63,0)</f>
        <v>0</v>
      </c>
      <c r="E63" s="2207">
        <f>ROUND(IFERROR(VLOOKUP($C63,사회적유입!$AA$5:$AW$167,3,FALSE),0)*$Z63,0)</f>
        <v>0</v>
      </c>
      <c r="F63" s="2207">
        <f>ROUND(IFERROR(VLOOKUP($C63,사회적유입!$AA$5:$AW$167,4,FALSE),0)*$Z63,0)</f>
        <v>0</v>
      </c>
      <c r="G63" s="2207">
        <f>ROUND(IFERROR(VLOOKUP($C63,사회적유입!$AA$5:$AW$167,5,FALSE),0)*$Z63,0)</f>
        <v>0</v>
      </c>
      <c r="H63" s="2207">
        <f>ROUND(IFERROR(VLOOKUP($C63,사회적유입!$AA$5:$AW$167,6,FALSE),0)*$Z63,0)</f>
        <v>0</v>
      </c>
      <c r="I63" s="2207">
        <f>ROUND(IFERROR(VLOOKUP($C63,사회적유입!$AA$5:$AW$167,7,FALSE),0)*$Z63,0)</f>
        <v>0</v>
      </c>
      <c r="J63" s="2207">
        <f>ROUND(IFERROR(VLOOKUP($C63,사회적유입!$AA$5:$AW$167,8,FALSE),0)*$Z63,0)</f>
        <v>0</v>
      </c>
      <c r="K63" s="2207">
        <f>ROUND(IFERROR(VLOOKUP($C63,사회적유입!$AA$5:$AW$167,9,FALSE),0)*$Z63,0)</f>
        <v>0</v>
      </c>
      <c r="L63" s="2207">
        <f>ROUND(IFERROR(VLOOKUP($C63,사회적유입!$AA$5:$AW$167,10,FALSE),0)*$Z63,0)</f>
        <v>0</v>
      </c>
      <c r="M63" s="2207">
        <f>ROUND(IFERROR(VLOOKUP($C63,사회적유입!$AA$5:$AW$167,11,FALSE),0)*$Z63,0)</f>
        <v>0</v>
      </c>
      <c r="N63" s="2207">
        <f>ROUND(IFERROR(VLOOKUP($C63,사회적유입!$AA$5:$AW$167,12,FALSE),0)*$Z63,0)</f>
        <v>0</v>
      </c>
      <c r="O63" s="2207">
        <f>ROUND(IFERROR(VLOOKUP($C63,사회적유입!$AA$5:$AW$167,13,FALSE),0)*$Z63,0)</f>
        <v>822</v>
      </c>
      <c r="P63" s="2207">
        <f>ROUND(IFERROR(VLOOKUP($C63,사회적유입!$AA$5:$AW$167,14,FALSE),0)*$Z63,0)</f>
        <v>822</v>
      </c>
      <c r="Q63" s="2207">
        <f>ROUND(IFERROR(VLOOKUP($C63,사회적유입!$AA$5:$AW$167,15,FALSE),0)*$Z63,0)</f>
        <v>822</v>
      </c>
      <c r="R63" s="2207">
        <f>ROUND(IFERROR(VLOOKUP($C63,사회적유입!$AA$5:$AW$167,16,FALSE),0)*$Z63,0)</f>
        <v>822</v>
      </c>
      <c r="S63" s="2207">
        <f>ROUND(IFERROR(VLOOKUP($C63,사회적유입!$AA$5:$AW$167,17,FALSE),0)*$Z63,0)</f>
        <v>822</v>
      </c>
      <c r="T63" s="2207">
        <f>ROUND(IFERROR(VLOOKUP($C63,사회적유입!$AA$5:$AW$167,18,FALSE),0)*$Z63,0)</f>
        <v>822</v>
      </c>
      <c r="U63" s="2207">
        <f>ROUND(IFERROR(VLOOKUP($C63,사회적유입!$AA$5:$AW$167,19,FALSE),0)*$Z63,0)</f>
        <v>822</v>
      </c>
      <c r="V63" s="2207">
        <f>ROUND(IFERROR(VLOOKUP($C63,사회적유입!$AA$5:$AW$167,20,FALSE),0)*$Z63,0)</f>
        <v>822</v>
      </c>
      <c r="W63" s="2207">
        <f>ROUND(IFERROR(VLOOKUP($C63,사회적유입!$AA$5:$AW$167,21,FALSE),0)*$Z63,0)</f>
        <v>822</v>
      </c>
      <c r="X63" s="2207">
        <f>ROUND(IFERROR(VLOOKUP($C63,사회적유입!$AA$5:$AW$167,22,FALSE),0)*$Z63,0)</f>
        <v>822</v>
      </c>
      <c r="Y63" s="2207">
        <f>ROUND(IFERROR(VLOOKUP($C63,사회적유입!$AA$5:$AW$167,23,FALSE),0)*$Z63,0)</f>
        <v>822</v>
      </c>
      <c r="Z63" s="2213">
        <f t="shared" si="40"/>
        <v>1</v>
      </c>
      <c r="AB63" s="2611" t="s">
        <v>131</v>
      </c>
      <c r="AC63" s="2612"/>
      <c r="AD63" s="115" t="s">
        <v>1126</v>
      </c>
      <c r="AE63" s="115" t="s">
        <v>1052</v>
      </c>
      <c r="AF63" s="115" t="s">
        <v>1080</v>
      </c>
      <c r="AG63" s="115" t="s">
        <v>1056</v>
      </c>
      <c r="AH63" s="115" t="s">
        <v>1063</v>
      </c>
      <c r="AI63" s="115" t="s">
        <v>1069</v>
      </c>
      <c r="AJ63" s="115" t="s">
        <v>1124</v>
      </c>
      <c r="AK63" s="115" t="s">
        <v>1073</v>
      </c>
      <c r="AL63" s="115" t="s">
        <v>1087</v>
      </c>
      <c r="AM63" s="115" t="s">
        <v>1125</v>
      </c>
      <c r="AN63" s="116" t="s">
        <v>186</v>
      </c>
    </row>
    <row r="64" spans="1:40" ht="18" customHeight="1">
      <c r="A64" s="2562"/>
      <c r="B64" s="2570"/>
      <c r="C64" s="2208" t="s">
        <v>72</v>
      </c>
      <c r="D64" s="2209">
        <f t="shared" ref="D64:Y64" si="41">SUM(D58:D63)</f>
        <v>0</v>
      </c>
      <c r="E64" s="2209">
        <f t="shared" si="41"/>
        <v>0</v>
      </c>
      <c r="F64" s="2209">
        <f t="shared" si="41"/>
        <v>0</v>
      </c>
      <c r="G64" s="2209">
        <f t="shared" si="41"/>
        <v>0</v>
      </c>
      <c r="H64" s="2209">
        <f t="shared" si="41"/>
        <v>518</v>
      </c>
      <c r="I64" s="2209">
        <f t="shared" si="41"/>
        <v>755</v>
      </c>
      <c r="J64" s="2209">
        <f t="shared" si="41"/>
        <v>755</v>
      </c>
      <c r="K64" s="2209">
        <f t="shared" si="41"/>
        <v>755</v>
      </c>
      <c r="L64" s="2209">
        <f t="shared" si="41"/>
        <v>755</v>
      </c>
      <c r="M64" s="2209">
        <f t="shared" si="41"/>
        <v>755</v>
      </c>
      <c r="N64" s="2209">
        <f t="shared" si="41"/>
        <v>755</v>
      </c>
      <c r="O64" s="2209">
        <f t="shared" si="41"/>
        <v>1772</v>
      </c>
      <c r="P64" s="2209">
        <f t="shared" si="41"/>
        <v>1772</v>
      </c>
      <c r="Q64" s="2209">
        <f t="shared" si="41"/>
        <v>1772</v>
      </c>
      <c r="R64" s="2209">
        <f t="shared" si="41"/>
        <v>1772</v>
      </c>
      <c r="S64" s="2209">
        <f t="shared" si="41"/>
        <v>1772</v>
      </c>
      <c r="T64" s="2209">
        <f t="shared" si="41"/>
        <v>3413</v>
      </c>
      <c r="U64" s="2209">
        <f t="shared" si="41"/>
        <v>3413</v>
      </c>
      <c r="V64" s="2209">
        <f t="shared" si="41"/>
        <v>3413</v>
      </c>
      <c r="W64" s="2209">
        <f t="shared" si="41"/>
        <v>3413</v>
      </c>
      <c r="X64" s="2209">
        <f t="shared" si="41"/>
        <v>3413</v>
      </c>
      <c r="Y64" s="2209">
        <f t="shared" si="41"/>
        <v>3413</v>
      </c>
      <c r="Z64" s="2214"/>
      <c r="AB64" s="2592" t="s">
        <v>134</v>
      </c>
      <c r="AC64" s="2593"/>
      <c r="AD64" s="738">
        <f>SUM(AE64:AN64)</f>
        <v>102023</v>
      </c>
      <c r="AE64" s="738">
        <v>18028</v>
      </c>
      <c r="AF64" s="738">
        <v>23018</v>
      </c>
      <c r="AG64" s="738">
        <v>3087</v>
      </c>
      <c r="AH64" s="738">
        <v>3419</v>
      </c>
      <c r="AI64" s="738">
        <f>9247-AN64</f>
        <v>4080</v>
      </c>
      <c r="AJ64" s="738">
        <v>18938</v>
      </c>
      <c r="AK64" s="738">
        <v>9249</v>
      </c>
      <c r="AL64" s="738">
        <v>5193</v>
      </c>
      <c r="AM64" s="738">
        <v>11844</v>
      </c>
      <c r="AN64" s="171">
        <v>5167</v>
      </c>
    </row>
    <row r="65" spans="1:40" ht="18" customHeight="1" thickBot="1">
      <c r="A65" s="2562"/>
      <c r="B65" s="2570" t="s">
        <v>96</v>
      </c>
      <c r="C65" s="2216" t="str">
        <f>AB28</f>
        <v>리노삼봉산업단지</v>
      </c>
      <c r="D65" s="2207">
        <v>0</v>
      </c>
      <c r="E65" s="2207">
        <v>0</v>
      </c>
      <c r="F65" s="2207">
        <v>0</v>
      </c>
      <c r="G65" s="2207">
        <v>0</v>
      </c>
      <c r="H65" s="2207">
        <v>0</v>
      </c>
      <c r="I65" s="2207">
        <v>0</v>
      </c>
      <c r="J65" s="2207">
        <v>0</v>
      </c>
      <c r="K65" s="2207">
        <v>0</v>
      </c>
      <c r="L65" s="2207">
        <v>0</v>
      </c>
      <c r="M65" s="2207">
        <v>0</v>
      </c>
      <c r="N65" s="2207">
        <v>0</v>
      </c>
      <c r="O65" s="2207">
        <v>0</v>
      </c>
      <c r="P65" s="2207">
        <v>0</v>
      </c>
      <c r="Q65" s="2207">
        <v>0</v>
      </c>
      <c r="R65" s="2207">
        <v>0</v>
      </c>
      <c r="S65" s="2207">
        <v>0</v>
      </c>
      <c r="T65" s="2207">
        <v>0</v>
      </c>
      <c r="U65" s="2207">
        <v>0</v>
      </c>
      <c r="V65" s="2207">
        <v>0</v>
      </c>
      <c r="W65" s="2207">
        <v>0</v>
      </c>
      <c r="X65" s="2207">
        <v>0</v>
      </c>
      <c r="Y65" s="2207">
        <v>0</v>
      </c>
      <c r="Z65" s="2213">
        <f t="shared" ref="Z65:Z72" si="42">VLOOKUP(C65,$AB$5:$AN$57,9,FALSE)</f>
        <v>0.4</v>
      </c>
      <c r="AB65" s="2605" t="s">
        <v>132</v>
      </c>
      <c r="AC65" s="2606"/>
      <c r="AD65" s="847">
        <f>SUM(AE65:AN65)</f>
        <v>100.00000000000001</v>
      </c>
      <c r="AE65" s="847">
        <f t="shared" ref="AE65:AM65" si="43">ROUND(AE64/$AD$64*100,2)</f>
        <v>17.670000000000002</v>
      </c>
      <c r="AF65" s="847">
        <f t="shared" si="43"/>
        <v>22.56</v>
      </c>
      <c r="AG65" s="847">
        <f t="shared" si="43"/>
        <v>3.03</v>
      </c>
      <c r="AH65" s="847">
        <f t="shared" si="43"/>
        <v>3.35</v>
      </c>
      <c r="AI65" s="847">
        <f t="shared" si="43"/>
        <v>4</v>
      </c>
      <c r="AJ65" s="847">
        <f t="shared" si="43"/>
        <v>18.559999999999999</v>
      </c>
      <c r="AK65" s="847">
        <f t="shared" si="43"/>
        <v>9.07</v>
      </c>
      <c r="AL65" s="847">
        <f t="shared" si="43"/>
        <v>5.09</v>
      </c>
      <c r="AM65" s="847">
        <f t="shared" si="43"/>
        <v>11.61</v>
      </c>
      <c r="AN65" s="848">
        <f>ROUND(AN64/$AD$64*100,2)</f>
        <v>5.0599999999999996</v>
      </c>
    </row>
    <row r="66" spans="1:40" ht="18" customHeight="1" thickBot="1">
      <c r="A66" s="2562"/>
      <c r="B66" s="2570"/>
      <c r="C66" s="2216" t="str">
        <f>AB31</f>
        <v>오선산업단지</v>
      </c>
      <c r="D66" s="2207">
        <v>0</v>
      </c>
      <c r="E66" s="2207">
        <v>0</v>
      </c>
      <c r="F66" s="2207">
        <v>0</v>
      </c>
      <c r="G66" s="2207">
        <v>0</v>
      </c>
      <c r="H66" s="2207">
        <v>0</v>
      </c>
      <c r="I66" s="2207">
        <v>0</v>
      </c>
      <c r="J66" s="2207">
        <v>0</v>
      </c>
      <c r="K66" s="2207">
        <v>0</v>
      </c>
      <c r="L66" s="2207">
        <v>0</v>
      </c>
      <c r="M66" s="2207">
        <v>0</v>
      </c>
      <c r="N66" s="2207">
        <v>0</v>
      </c>
      <c r="O66" s="2207">
        <v>0</v>
      </c>
      <c r="P66" s="2207">
        <v>0</v>
      </c>
      <c r="Q66" s="2207">
        <v>0</v>
      </c>
      <c r="R66" s="2207">
        <v>0</v>
      </c>
      <c r="S66" s="2207">
        <v>0</v>
      </c>
      <c r="T66" s="2207">
        <v>0</v>
      </c>
      <c r="U66" s="2207">
        <v>0</v>
      </c>
      <c r="V66" s="2207">
        <v>0</v>
      </c>
      <c r="W66" s="2207">
        <v>0</v>
      </c>
      <c r="X66" s="2207">
        <v>0</v>
      </c>
      <c r="Y66" s="2207">
        <v>0</v>
      </c>
      <c r="Z66" s="2213">
        <f t="shared" si="42"/>
        <v>0.2</v>
      </c>
      <c r="AB66" s="46"/>
      <c r="AC66" s="46"/>
      <c r="AD66" s="46"/>
      <c r="AE66" s="46"/>
      <c r="AF66" s="46"/>
      <c r="AG66" s="46"/>
      <c r="AH66" s="46"/>
    </row>
    <row r="67" spans="1:40" ht="18" customHeight="1">
      <c r="A67" s="2562"/>
      <c r="B67" s="2570"/>
      <c r="C67" s="2216" t="str">
        <f>AB32</f>
        <v>유촌산업단지</v>
      </c>
      <c r="D67" s="2207">
        <v>0</v>
      </c>
      <c r="E67" s="2207">
        <v>0</v>
      </c>
      <c r="F67" s="2207">
        <v>0</v>
      </c>
      <c r="G67" s="2207">
        <v>0</v>
      </c>
      <c r="H67" s="2207">
        <v>0</v>
      </c>
      <c r="I67" s="2207">
        <v>0</v>
      </c>
      <c r="J67" s="2207">
        <v>0</v>
      </c>
      <c r="K67" s="2207">
        <v>0</v>
      </c>
      <c r="L67" s="2207">
        <v>0</v>
      </c>
      <c r="M67" s="2207">
        <v>0</v>
      </c>
      <c r="N67" s="2207">
        <v>0</v>
      </c>
      <c r="O67" s="2207">
        <v>0</v>
      </c>
      <c r="P67" s="2207">
        <v>0</v>
      </c>
      <c r="Q67" s="2207">
        <v>0</v>
      </c>
      <c r="R67" s="2207">
        <v>0</v>
      </c>
      <c r="S67" s="2207">
        <v>0</v>
      </c>
      <c r="T67" s="2207">
        <v>0</v>
      </c>
      <c r="U67" s="2207">
        <v>0</v>
      </c>
      <c r="V67" s="2207">
        <v>0</v>
      </c>
      <c r="W67" s="2207">
        <v>0</v>
      </c>
      <c r="X67" s="2207">
        <v>0</v>
      </c>
      <c r="Y67" s="2207">
        <v>0</v>
      </c>
      <c r="Z67" s="2213">
        <f t="shared" si="42"/>
        <v>0.3</v>
      </c>
      <c r="AB67" s="2611" t="s">
        <v>131</v>
      </c>
      <c r="AC67" s="2612"/>
      <c r="AD67" s="115" t="s">
        <v>1126</v>
      </c>
      <c r="AE67" s="115" t="s">
        <v>1052</v>
      </c>
      <c r="AF67" s="115" t="s">
        <v>1080</v>
      </c>
      <c r="AG67" s="115" t="s">
        <v>1056</v>
      </c>
      <c r="AH67" s="115" t="s">
        <v>1063</v>
      </c>
      <c r="AI67" s="115" t="s">
        <v>1069</v>
      </c>
      <c r="AJ67" s="115" t="s">
        <v>1124</v>
      </c>
      <c r="AK67" s="115" t="s">
        <v>1073</v>
      </c>
      <c r="AL67" s="115" t="s">
        <v>1087</v>
      </c>
      <c r="AM67" s="115" t="s">
        <v>1125</v>
      </c>
      <c r="AN67" s="116" t="s">
        <v>186</v>
      </c>
    </row>
    <row r="68" spans="1:40" ht="18" customHeight="1">
      <c r="A68" s="2562"/>
      <c r="B68" s="2570"/>
      <c r="C68" s="2216" t="str">
        <f>AB34</f>
        <v>성본산업단지</v>
      </c>
      <c r="D68" s="2207">
        <f>ROUND(IFERROR(INDEX(사회적유입!$AA$4:$AW$165,MATCH($C68,사회적유입!$AA$4:$AA$165,0)-2,2),0)*$Z68,0)</f>
        <v>0</v>
      </c>
      <c r="E68" s="2207">
        <f>ROUND(IFERROR(INDEX(사회적유입!$AA$4:$AW$165,MATCH($C68,사회적유입!$AA$4:$AA$165,0)-2,3),0)*$Z68,0)</f>
        <v>0</v>
      </c>
      <c r="F68" s="2207">
        <f>ROUND(IFERROR(INDEX(사회적유입!$AA$4:$AW$165,MATCH($C68,사회적유입!$AA$4:$AA$165,0)-2,4),0)*$Z68,0)</f>
        <v>0</v>
      </c>
      <c r="G68" s="2207">
        <f>ROUND(IFERROR(INDEX(사회적유입!$AA$4:$AW$165,MATCH($C68,사회적유입!$AA$4:$AA$165,0)-2,5),0)*$Z68,0)</f>
        <v>0</v>
      </c>
      <c r="H68" s="2207">
        <f>ROUND(IFERROR(INDEX(사회적유입!$AA$4:$AW$165,MATCH($C68,사회적유입!$AA$4:$AA$165,0)-2,6),0)*$Z68,0)</f>
        <v>0</v>
      </c>
      <c r="I68" s="2207">
        <f>ROUND(IFERROR(INDEX(사회적유입!$AA$4:$AW$165,MATCH($C68,사회적유입!$AA$4:$AA$165,0)-2,7),0)*$Z68,0)</f>
        <v>0</v>
      </c>
      <c r="J68" s="2207">
        <f>ROUND(IFERROR(INDEX(사회적유입!$AA$4:$AW$165,MATCH($C68,사회적유입!$AA$4:$AA$165,0)-2,8),0)*$Z68,0)</f>
        <v>0</v>
      </c>
      <c r="K68" s="2207">
        <f>ROUND(IFERROR(INDEX(사회적유입!$AA$4:$AW$165,MATCH($C68,사회적유입!$AA$4:$AA$165,0)-2,9),0)*$Z68,0)</f>
        <v>0</v>
      </c>
      <c r="L68" s="2207">
        <f>ROUND(IFERROR(INDEX(사회적유입!$AA$4:$AW$165,MATCH($C68,사회적유입!$AA$4:$AA$165,0)-2,10),0)*$Z68,0)</f>
        <v>0</v>
      </c>
      <c r="M68" s="2207">
        <f>ROUND(IFERROR(INDEX(사회적유입!$AA$4:$AW$165,MATCH($C68,사회적유입!$AA$4:$AA$165,0)-2,11),0)*$Z68,0)</f>
        <v>0</v>
      </c>
      <c r="N68" s="2207">
        <f>ROUND(IFERROR(INDEX(사회적유입!$AA$4:$AW$165,MATCH($C68,사회적유입!$AA$4:$AA$165,0)-2,12),0)*$Z68,0)</f>
        <v>0</v>
      </c>
      <c r="O68" s="2207">
        <f>ROUND(IFERROR(INDEX(사회적유입!$AA$4:$AW$165,MATCH($C68,사회적유입!$AA$4:$AA$165,0)-2,13),0)*$Z68,0)</f>
        <v>0</v>
      </c>
      <c r="P68" s="2207">
        <f>ROUND(IFERROR(INDEX(사회적유입!$AA$4:$AW$165,MATCH($C68,사회적유입!$AA$4:$AA$165,0)-2,14),0)*$Z68,0)</f>
        <v>0</v>
      </c>
      <c r="Q68" s="2207">
        <f>ROUND(IFERROR(INDEX(사회적유입!$AA$4:$AW$165,MATCH($C68,사회적유입!$AA$4:$AA$165,0)-2,15),0)*$Z68,0)</f>
        <v>0</v>
      </c>
      <c r="R68" s="2207">
        <f>ROUND(IFERROR(INDEX(사회적유입!$AA$4:$AW$165,MATCH($C68,사회적유입!$AA$4:$AA$165,0)-2,16),0)*$Z68,0)</f>
        <v>0</v>
      </c>
      <c r="S68" s="2207">
        <f>ROUND(IFERROR(INDEX(사회적유입!$AA$4:$AW$165,MATCH($C68,사회적유입!$AA$4:$AA$165,0)-2,17),0)*$Z68,0)</f>
        <v>0</v>
      </c>
      <c r="T68" s="2207">
        <f>ROUND(IFERROR(INDEX(사회적유입!$AA$4:$AW$165,MATCH($C68,사회적유입!$AA$4:$AA$165,0)-2,18),0)*$Z68,0)</f>
        <v>0</v>
      </c>
      <c r="U68" s="2207">
        <f>ROUND(IFERROR(INDEX(사회적유입!$AA$4:$AW$165,MATCH($C68,사회적유입!$AA$4:$AA$165,0)-2,19),0)*$Z68,0)</f>
        <v>0</v>
      </c>
      <c r="V68" s="2207">
        <f>ROUND(IFERROR(INDEX(사회적유입!$AA$4:$AW$165,MATCH($C68,사회적유입!$AA$4:$AA$165,0)-2,20),0)*$Z68,0)</f>
        <v>0</v>
      </c>
      <c r="W68" s="2207">
        <f>ROUND(IFERROR(INDEX(사회적유입!$AA$4:$AW$165,MATCH($C68,사회적유입!$AA$4:$AA$165,0)-2,21),0)*$Z68,0)</f>
        <v>0</v>
      </c>
      <c r="X68" s="2207">
        <f>ROUND(IFERROR(INDEX(사회적유입!$AA$4:$AW$165,MATCH($C68,사회적유입!$AA$4:$AA$165,0)-2,22),0)*$Z68,0)</f>
        <v>0</v>
      </c>
      <c r="Y68" s="2207">
        <f>ROUND(IFERROR(INDEX(사회적유입!$AA$4:$AW$165,MATCH($C68,사회적유입!$AA$4:$AA$165,0)-2,23),0)*$Z68,0)</f>
        <v>0</v>
      </c>
      <c r="Z68" s="2213">
        <f t="shared" si="42"/>
        <v>0</v>
      </c>
      <c r="AB68" s="2597" t="str">
        <f t="shared" ref="AB68:AB76" si="44">AB28</f>
        <v>리노삼봉산업단지</v>
      </c>
      <c r="AC68" s="2598"/>
      <c r="AD68" s="738">
        <f t="shared" ref="AD68:AD76" si="45">SUM(AE68:AN68)</f>
        <v>69231</v>
      </c>
      <c r="AE68" s="738">
        <f>+AE64</f>
        <v>18028</v>
      </c>
      <c r="AF68" s="738">
        <f>+AF64</f>
        <v>23018</v>
      </c>
      <c r="AG68" s="738"/>
      <c r="AH68" s="738"/>
      <c r="AI68" s="738">
        <f>AI64</f>
        <v>4080</v>
      </c>
      <c r="AJ68" s="738">
        <f>+AJ64</f>
        <v>18938</v>
      </c>
      <c r="AK68" s="738"/>
      <c r="AL68" s="738"/>
      <c r="AM68" s="738"/>
      <c r="AN68" s="171">
        <f>AN64</f>
        <v>5167</v>
      </c>
    </row>
    <row r="69" spans="1:40" ht="18" customHeight="1">
      <c r="A69" s="2562"/>
      <c r="B69" s="2570"/>
      <c r="C69" s="2216" t="str">
        <f>AB35</f>
        <v>금왕테크노밸리</v>
      </c>
      <c r="D69" s="2207">
        <v>0</v>
      </c>
      <c r="E69" s="2207">
        <v>0</v>
      </c>
      <c r="F69" s="2207">
        <v>0</v>
      </c>
      <c r="G69" s="2207">
        <v>0</v>
      </c>
      <c r="H69" s="2207">
        <v>0</v>
      </c>
      <c r="I69" s="2207">
        <v>0</v>
      </c>
      <c r="J69" s="2207">
        <v>0</v>
      </c>
      <c r="K69" s="2207">
        <v>0</v>
      </c>
      <c r="L69" s="2207">
        <v>0</v>
      </c>
      <c r="M69" s="2207">
        <v>0</v>
      </c>
      <c r="N69" s="2207">
        <v>0</v>
      </c>
      <c r="O69" s="2207">
        <v>0</v>
      </c>
      <c r="P69" s="2207">
        <v>0</v>
      </c>
      <c r="Q69" s="2207">
        <v>0</v>
      </c>
      <c r="R69" s="2207">
        <v>0</v>
      </c>
      <c r="S69" s="2207">
        <v>0</v>
      </c>
      <c r="T69" s="2207">
        <v>0</v>
      </c>
      <c r="U69" s="2207">
        <v>0</v>
      </c>
      <c r="V69" s="2207">
        <v>0</v>
      </c>
      <c r="W69" s="2207">
        <v>0</v>
      </c>
      <c r="X69" s="2207">
        <v>0</v>
      </c>
      <c r="Y69" s="2207">
        <v>0</v>
      </c>
      <c r="Z69" s="2213">
        <f t="shared" si="42"/>
        <v>0.3</v>
      </c>
      <c r="AB69" s="2597" t="str">
        <f t="shared" si="44"/>
        <v>상우산업단지</v>
      </c>
      <c r="AC69" s="2598"/>
      <c r="AD69" s="738">
        <f t="shared" si="45"/>
        <v>17037</v>
      </c>
      <c r="AE69" s="61"/>
      <c r="AF69" s="61"/>
      <c r="AG69" s="61"/>
      <c r="AH69" s="61"/>
      <c r="AI69" s="738"/>
      <c r="AJ69" s="738"/>
      <c r="AK69" s="738"/>
      <c r="AL69" s="61">
        <f>+AL64</f>
        <v>5193</v>
      </c>
      <c r="AM69" s="61">
        <f>+AM64</f>
        <v>11844</v>
      </c>
      <c r="AN69" s="171"/>
    </row>
    <row r="70" spans="1:40" ht="18" customHeight="1">
      <c r="A70" s="2562"/>
      <c r="B70" s="2570"/>
      <c r="C70" s="2216" t="str">
        <f>AB36</f>
        <v>성안산업단지</v>
      </c>
      <c r="D70" s="2207">
        <v>0</v>
      </c>
      <c r="E70" s="2207">
        <v>0</v>
      </c>
      <c r="F70" s="2207">
        <v>0</v>
      </c>
      <c r="G70" s="2207">
        <v>0</v>
      </c>
      <c r="H70" s="2207">
        <v>0</v>
      </c>
      <c r="I70" s="2207">
        <v>0</v>
      </c>
      <c r="J70" s="2207">
        <v>0</v>
      </c>
      <c r="K70" s="2207">
        <v>0</v>
      </c>
      <c r="L70" s="2207">
        <v>0</v>
      </c>
      <c r="M70" s="2207">
        <v>0</v>
      </c>
      <c r="N70" s="2207">
        <v>0</v>
      </c>
      <c r="O70" s="2207">
        <v>0</v>
      </c>
      <c r="P70" s="2207">
        <v>0</v>
      </c>
      <c r="Q70" s="2207">
        <v>0</v>
      </c>
      <c r="R70" s="2207">
        <v>0</v>
      </c>
      <c r="S70" s="2207">
        <v>0</v>
      </c>
      <c r="T70" s="2207">
        <v>0</v>
      </c>
      <c r="U70" s="2207">
        <v>0</v>
      </c>
      <c r="V70" s="2207">
        <v>0</v>
      </c>
      <c r="W70" s="2207">
        <v>0</v>
      </c>
      <c r="X70" s="2207">
        <v>0</v>
      </c>
      <c r="Y70" s="2207">
        <v>0</v>
      </c>
      <c r="Z70" s="2213">
        <f t="shared" si="42"/>
        <v>0.3</v>
      </c>
      <c r="AB70" s="2597" t="str">
        <f t="shared" si="44"/>
        <v>신천보부산업단지</v>
      </c>
      <c r="AC70" s="2598"/>
      <c r="AD70" s="738">
        <f t="shared" si="45"/>
        <v>24534</v>
      </c>
      <c r="AE70" s="61">
        <f>AE64</f>
        <v>18028</v>
      </c>
      <c r="AF70" s="61"/>
      <c r="AG70" s="61">
        <f>AG64</f>
        <v>3087</v>
      </c>
      <c r="AH70" s="61">
        <f>AH64</f>
        <v>3419</v>
      </c>
      <c r="AI70" s="738"/>
      <c r="AJ70" s="738"/>
      <c r="AK70" s="738"/>
      <c r="AL70" s="738"/>
      <c r="AM70" s="738"/>
      <c r="AN70" s="171"/>
    </row>
    <row r="71" spans="1:40" ht="18" customHeight="1">
      <c r="A71" s="2562"/>
      <c r="B71" s="2570"/>
      <c r="C71" s="2216" t="str">
        <f>AB37</f>
        <v>중부산업단지</v>
      </c>
      <c r="D71" s="2207">
        <v>0</v>
      </c>
      <c r="E71" s="2207">
        <v>0</v>
      </c>
      <c r="F71" s="2207">
        <v>0</v>
      </c>
      <c r="G71" s="2207">
        <v>0</v>
      </c>
      <c r="H71" s="2207">
        <v>0</v>
      </c>
      <c r="I71" s="2207">
        <v>0</v>
      </c>
      <c r="J71" s="2207">
        <v>0</v>
      </c>
      <c r="K71" s="2207">
        <v>0</v>
      </c>
      <c r="L71" s="2207">
        <v>0</v>
      </c>
      <c r="M71" s="2207">
        <v>0</v>
      </c>
      <c r="N71" s="2207">
        <v>0</v>
      </c>
      <c r="O71" s="2207">
        <v>0</v>
      </c>
      <c r="P71" s="2207">
        <v>0</v>
      </c>
      <c r="Q71" s="2207">
        <v>0</v>
      </c>
      <c r="R71" s="2207">
        <v>0</v>
      </c>
      <c r="S71" s="2207">
        <v>0</v>
      </c>
      <c r="T71" s="2207">
        <v>0</v>
      </c>
      <c r="U71" s="2207">
        <v>0</v>
      </c>
      <c r="V71" s="2207">
        <v>0</v>
      </c>
      <c r="W71" s="2207">
        <v>0</v>
      </c>
      <c r="X71" s="2207">
        <v>0</v>
      </c>
      <c r="Y71" s="2207">
        <v>0</v>
      </c>
      <c r="Z71" s="2213">
        <f t="shared" si="42"/>
        <v>0.8</v>
      </c>
      <c r="AB71" s="2597" t="str">
        <f t="shared" si="44"/>
        <v>오선산업단지</v>
      </c>
      <c r="AC71" s="2598"/>
      <c r="AD71" s="738">
        <f t="shared" si="45"/>
        <v>51203</v>
      </c>
      <c r="AE71" s="61"/>
      <c r="AF71" s="61">
        <f>AF64</f>
        <v>23018</v>
      </c>
      <c r="AG71" s="61"/>
      <c r="AH71" s="61"/>
      <c r="AI71" s="61">
        <f>AI64</f>
        <v>4080</v>
      </c>
      <c r="AJ71" s="61">
        <f>AJ64</f>
        <v>18938</v>
      </c>
      <c r="AK71" s="738"/>
      <c r="AL71" s="738"/>
      <c r="AM71" s="738"/>
      <c r="AN71" s="852">
        <f>AN64</f>
        <v>5167</v>
      </c>
    </row>
    <row r="72" spans="1:40" ht="18" customHeight="1">
      <c r="A72" s="2562"/>
      <c r="B72" s="2570"/>
      <c r="C72" s="2216" t="str">
        <f>AB48</f>
        <v>대소산업단지 확장</v>
      </c>
      <c r="D72" s="2207">
        <f>ROUND(IFERROR(INDEX(사회적유입!$AA$4:$AW$165,MATCH($C72,사회적유입!$AA$4:$AA$165,0)-2,2),0)*$Z72,0)</f>
        <v>0</v>
      </c>
      <c r="E72" s="2207">
        <f>ROUND(IFERROR(INDEX(사회적유입!$AA$4:$AW$165,MATCH($C72,사회적유입!$AA$4:$AA$165,0)-2,3),0)*$Z72,0)</f>
        <v>0</v>
      </c>
      <c r="F72" s="2207">
        <f>ROUND(IFERROR(INDEX(사회적유입!$AA$4:$AW$165,MATCH($C72,사회적유입!$AA$4:$AA$165,0)-2,4),0)*$Z72,0)</f>
        <v>0</v>
      </c>
      <c r="G72" s="2207">
        <f>ROUND(IFERROR(INDEX(사회적유입!$AA$4:$AW$165,MATCH($C72,사회적유입!$AA$4:$AA$165,0)-2,5),0)*$Z72,0)</f>
        <v>0</v>
      </c>
      <c r="H72" s="2207">
        <f>ROUND(IFERROR(INDEX(사회적유입!$AA$4:$AW$165,MATCH($C72,사회적유입!$AA$4:$AA$165,0)-2,6),0)*$Z72,0)</f>
        <v>0</v>
      </c>
      <c r="I72" s="2207">
        <f>ROUND(IFERROR(INDEX(사회적유입!$AA$4:$AW$165,MATCH($C72,사회적유입!$AA$4:$AA$165,0)-2,7),0)*$Z72,0)</f>
        <v>0</v>
      </c>
      <c r="J72" s="2207">
        <f>ROUND(IFERROR(INDEX(사회적유입!$AA$4:$AW$165,MATCH($C72,사회적유입!$AA$4:$AA$165,0)-2,8),0)*$Z72,0)</f>
        <v>0</v>
      </c>
      <c r="K72" s="2207">
        <f>ROUND(IFERROR(INDEX(사회적유입!$AA$4:$AW$165,MATCH($C72,사회적유입!$AA$4:$AA$165,0)-2,9),0)*$Z72,0)</f>
        <v>0</v>
      </c>
      <c r="L72" s="2207">
        <f>ROUND(IFERROR(INDEX(사회적유입!$AA$4:$AW$165,MATCH($C72,사회적유입!$AA$4:$AA$165,0)-2,10),0)*$Z72,0)</f>
        <v>0</v>
      </c>
      <c r="M72" s="2207">
        <f>ROUND(IFERROR(INDEX(사회적유입!$AA$4:$AW$165,MATCH($C72,사회적유입!$AA$4:$AA$165,0)-2,11),0)*$Z72,0)</f>
        <v>0</v>
      </c>
      <c r="N72" s="2207">
        <f>ROUND(IFERROR(INDEX(사회적유입!$AA$4:$AW$165,MATCH($C72,사회적유입!$AA$4:$AA$165,0)-2,12),0)*$Z72,0)</f>
        <v>0</v>
      </c>
      <c r="O72" s="2207">
        <f>ROUND(IFERROR(INDEX(사회적유입!$AA$4:$AW$165,MATCH($C72,사회적유입!$AA$4:$AA$165,0)-2,13),0)*$Z72,0)</f>
        <v>0</v>
      </c>
      <c r="P72" s="2207">
        <f>ROUND(IFERROR(INDEX(사회적유입!$AA$4:$AW$165,MATCH($C72,사회적유입!$AA$4:$AA$165,0)-2,14),0)*$Z72,0)</f>
        <v>0</v>
      </c>
      <c r="Q72" s="2207">
        <f>ROUND(IFERROR(INDEX(사회적유입!$AA$4:$AW$165,MATCH($C72,사회적유입!$AA$4:$AA$165,0)-2,15),0)*$Z72,0)</f>
        <v>0</v>
      </c>
      <c r="R72" s="2207">
        <f>ROUND(IFERROR(INDEX(사회적유입!$AA$4:$AW$165,MATCH($C72,사회적유입!$AA$4:$AA$165,0)-2,16),0)*$Z72,0)</f>
        <v>0</v>
      </c>
      <c r="S72" s="2207">
        <f>ROUND(IFERROR(INDEX(사회적유입!$AA$4:$AW$165,MATCH($C72,사회적유입!$AA$4:$AA$165,0)-2,17),0)*$Z72,0)</f>
        <v>0</v>
      </c>
      <c r="T72" s="2207">
        <f>ROUND(IFERROR(INDEX(사회적유입!$AA$4:$AW$165,MATCH($C72,사회적유입!$AA$4:$AA$165,0)-2,18),0)*$Z72,0)</f>
        <v>0</v>
      </c>
      <c r="U72" s="2207">
        <f>ROUND(IFERROR(INDEX(사회적유입!$AA$4:$AW$165,MATCH($C72,사회적유입!$AA$4:$AA$165,0)-2,19),0)*$Z72,0)</f>
        <v>0</v>
      </c>
      <c r="V72" s="2207">
        <f>ROUND(IFERROR(INDEX(사회적유입!$AA$4:$AW$165,MATCH($C72,사회적유입!$AA$4:$AA$165,0)-2,20),0)*$Z72,0)</f>
        <v>0</v>
      </c>
      <c r="W72" s="2207">
        <f>ROUND(IFERROR(INDEX(사회적유입!$AA$4:$AW$165,MATCH($C72,사회적유입!$AA$4:$AA$165,0)-2,21),0)*$Z72,0)</f>
        <v>0</v>
      </c>
      <c r="X72" s="2207">
        <f>ROUND(IFERROR(INDEX(사회적유입!$AA$4:$AW$165,MATCH($C72,사회적유입!$AA$4:$AA$165,0)-2,22),0)*$Z72,0)</f>
        <v>0</v>
      </c>
      <c r="Y72" s="2207">
        <f>ROUND(IFERROR(INDEX(사회적유입!$AA$4:$AW$165,MATCH($C72,사회적유입!$AA$4:$AA$165,0)-2,23),0)*$Z72,0)</f>
        <v>138</v>
      </c>
      <c r="Z72" s="2213">
        <f t="shared" si="42"/>
        <v>1</v>
      </c>
      <c r="AB72" s="2597" t="str">
        <f t="shared" si="44"/>
        <v>유촌산업단지</v>
      </c>
      <c r="AC72" s="2598"/>
      <c r="AD72" s="738">
        <f t="shared" si="45"/>
        <v>51203</v>
      </c>
      <c r="AE72" s="61"/>
      <c r="AF72" s="61">
        <f>AF64</f>
        <v>23018</v>
      </c>
      <c r="AG72" s="61"/>
      <c r="AH72" s="61"/>
      <c r="AI72" s="61">
        <f>AI64</f>
        <v>4080</v>
      </c>
      <c r="AJ72" s="61">
        <f>AJ64</f>
        <v>18938</v>
      </c>
      <c r="AK72" s="738"/>
      <c r="AL72" s="738"/>
      <c r="AM72" s="738"/>
      <c r="AN72" s="852">
        <f>AN64</f>
        <v>5167</v>
      </c>
    </row>
    <row r="73" spans="1:40" ht="18" customHeight="1">
      <c r="A73" s="2562"/>
      <c r="B73" s="2570"/>
      <c r="C73" s="2208" t="s">
        <v>72</v>
      </c>
      <c r="D73" s="2209">
        <f>SUM(D65:D72)</f>
        <v>0</v>
      </c>
      <c r="E73" s="2209">
        <f t="shared" ref="E73:Y73" si="46">SUM(E65:E72)</f>
        <v>0</v>
      </c>
      <c r="F73" s="2209">
        <f t="shared" si="46"/>
        <v>0</v>
      </c>
      <c r="G73" s="2209">
        <f t="shared" si="46"/>
        <v>0</v>
      </c>
      <c r="H73" s="2209">
        <f t="shared" si="46"/>
        <v>0</v>
      </c>
      <c r="I73" s="2209">
        <f t="shared" si="46"/>
        <v>0</v>
      </c>
      <c r="J73" s="2209">
        <f t="shared" si="46"/>
        <v>0</v>
      </c>
      <c r="K73" s="2209">
        <f t="shared" si="46"/>
        <v>0</v>
      </c>
      <c r="L73" s="2209">
        <f t="shared" si="46"/>
        <v>0</v>
      </c>
      <c r="M73" s="2209">
        <f t="shared" si="46"/>
        <v>0</v>
      </c>
      <c r="N73" s="2209">
        <f t="shared" si="46"/>
        <v>0</v>
      </c>
      <c r="O73" s="2209">
        <f t="shared" si="46"/>
        <v>0</v>
      </c>
      <c r="P73" s="2209">
        <f t="shared" si="46"/>
        <v>0</v>
      </c>
      <c r="Q73" s="2209">
        <f t="shared" si="46"/>
        <v>0</v>
      </c>
      <c r="R73" s="2209">
        <f t="shared" si="46"/>
        <v>0</v>
      </c>
      <c r="S73" s="2209">
        <f t="shared" si="46"/>
        <v>0</v>
      </c>
      <c r="T73" s="2209">
        <f t="shared" si="46"/>
        <v>0</v>
      </c>
      <c r="U73" s="2209">
        <f t="shared" si="46"/>
        <v>0</v>
      </c>
      <c r="V73" s="2209">
        <f t="shared" si="46"/>
        <v>0</v>
      </c>
      <c r="W73" s="2209">
        <f t="shared" si="46"/>
        <v>0</v>
      </c>
      <c r="X73" s="2209">
        <f t="shared" si="46"/>
        <v>0</v>
      </c>
      <c r="Y73" s="2209">
        <f t="shared" si="46"/>
        <v>138</v>
      </c>
      <c r="Z73" s="2214"/>
      <c r="AB73" s="2597" t="str">
        <f t="shared" si="44"/>
        <v>생극산업단지</v>
      </c>
      <c r="AC73" s="2598"/>
      <c r="AD73" s="738">
        <f t="shared" si="45"/>
        <v>28211</v>
      </c>
      <c r="AE73" s="738"/>
      <c r="AF73" s="738">
        <f>AF64</f>
        <v>23018</v>
      </c>
      <c r="AG73" s="738"/>
      <c r="AH73" s="738"/>
      <c r="AI73" s="738"/>
      <c r="AJ73" s="738"/>
      <c r="AK73" s="738"/>
      <c r="AL73" s="738">
        <f>AL64</f>
        <v>5193</v>
      </c>
      <c r="AM73" s="738"/>
      <c r="AN73" s="171"/>
    </row>
    <row r="74" spans="1:40" ht="18" customHeight="1">
      <c r="A74" s="2563"/>
      <c r="B74" s="2571" t="s">
        <v>7</v>
      </c>
      <c r="C74" s="2571"/>
      <c r="D74" s="2211">
        <f>SUM(D64,D73,D57)</f>
        <v>0</v>
      </c>
      <c r="E74" s="2211">
        <f t="shared" ref="E74:Y74" si="47">SUM(E64,E73,E57)</f>
        <v>0</v>
      </c>
      <c r="F74" s="2211">
        <f t="shared" si="47"/>
        <v>0</v>
      </c>
      <c r="G74" s="2211">
        <f t="shared" si="47"/>
        <v>0</v>
      </c>
      <c r="H74" s="2211">
        <f t="shared" si="47"/>
        <v>518</v>
      </c>
      <c r="I74" s="2211">
        <f t="shared" si="47"/>
        <v>755</v>
      </c>
      <c r="J74" s="2211">
        <f t="shared" si="47"/>
        <v>4101</v>
      </c>
      <c r="K74" s="2211">
        <f t="shared" si="47"/>
        <v>4101</v>
      </c>
      <c r="L74" s="2211">
        <f t="shared" si="47"/>
        <v>4101</v>
      </c>
      <c r="M74" s="2211">
        <f t="shared" si="47"/>
        <v>4101</v>
      </c>
      <c r="N74" s="2211">
        <f t="shared" si="47"/>
        <v>4101</v>
      </c>
      <c r="O74" s="2211">
        <f t="shared" si="47"/>
        <v>5118</v>
      </c>
      <c r="P74" s="2211">
        <f t="shared" si="47"/>
        <v>5118</v>
      </c>
      <c r="Q74" s="2211">
        <f t="shared" si="47"/>
        <v>5118</v>
      </c>
      <c r="R74" s="2211">
        <f t="shared" si="47"/>
        <v>5118</v>
      </c>
      <c r="S74" s="2211">
        <f t="shared" si="47"/>
        <v>5118</v>
      </c>
      <c r="T74" s="2211">
        <f t="shared" si="47"/>
        <v>6759</v>
      </c>
      <c r="U74" s="2211">
        <f t="shared" si="47"/>
        <v>6759</v>
      </c>
      <c r="V74" s="2211">
        <f t="shared" si="47"/>
        <v>6759</v>
      </c>
      <c r="W74" s="2211">
        <f t="shared" si="47"/>
        <v>6759</v>
      </c>
      <c r="X74" s="2211">
        <f t="shared" si="47"/>
        <v>6759</v>
      </c>
      <c r="Y74" s="2211">
        <f t="shared" si="47"/>
        <v>12266</v>
      </c>
      <c r="Z74" s="2215"/>
      <c r="AB74" s="2597" t="str">
        <f t="shared" si="44"/>
        <v>성본산업단지</v>
      </c>
      <c r="AC74" s="2598"/>
      <c r="AD74" s="738">
        <f t="shared" si="45"/>
        <v>46036</v>
      </c>
      <c r="AE74" s="738"/>
      <c r="AF74" s="738">
        <f>AF64</f>
        <v>23018</v>
      </c>
      <c r="AG74" s="738"/>
      <c r="AH74" s="738"/>
      <c r="AI74" s="738">
        <f>AI64</f>
        <v>4080</v>
      </c>
      <c r="AJ74" s="738">
        <f>AJ64</f>
        <v>18938</v>
      </c>
      <c r="AK74" s="738"/>
      <c r="AL74" s="738"/>
      <c r="AM74" s="738"/>
      <c r="AN74" s="171"/>
    </row>
    <row r="75" spans="1:40" ht="18" customHeight="1">
      <c r="A75" s="2561" t="s">
        <v>755</v>
      </c>
      <c r="B75" s="2569" t="s">
        <v>94</v>
      </c>
      <c r="C75" s="2204" t="str">
        <f>AB42</f>
        <v>삼성택지지구</v>
      </c>
      <c r="D75" s="2205">
        <f>ROUND(IFERROR(VLOOKUP($C75,사회적유입!$AA$5:$AW$167,2,FALSE),0)*$Z75,0)</f>
        <v>0</v>
      </c>
      <c r="E75" s="2205">
        <f>ROUND(IFERROR(VLOOKUP($C75,사회적유입!$AA$5:$AW$167,3,FALSE),0)*$Z75,0)</f>
        <v>0</v>
      </c>
      <c r="F75" s="2205">
        <f>ROUND(IFERROR(VLOOKUP($C75,사회적유입!$AA$5:$AW$167,4,FALSE),0)*$Z75,0)</f>
        <v>0</v>
      </c>
      <c r="G75" s="2205">
        <f>ROUND(IFERROR(VLOOKUP($C75,사회적유입!$AA$5:$AW$167,5,FALSE),0)*$Z75,0)</f>
        <v>0</v>
      </c>
      <c r="H75" s="2205">
        <f>ROUND(IFERROR(VLOOKUP($C75,사회적유입!$AA$5:$AW$167,6,FALSE),0)*$Z75,0)</f>
        <v>0</v>
      </c>
      <c r="I75" s="2205">
        <f>ROUND(IFERROR(VLOOKUP($C75,사회적유입!$AA$5:$AW$167,7,FALSE),0)*$Z75,0)</f>
        <v>0</v>
      </c>
      <c r="J75" s="2205">
        <f>ROUND(IFERROR(VLOOKUP($C75,사회적유입!$AA$5:$AW$167,8,FALSE),0)*$Z75,0)</f>
        <v>0</v>
      </c>
      <c r="K75" s="2205">
        <f>ROUND(IFERROR(VLOOKUP($C75,사회적유입!$AA$5:$AW$167,9,FALSE),0)*$Z75,0)</f>
        <v>0</v>
      </c>
      <c r="L75" s="2205">
        <f>ROUND(IFERROR(VLOOKUP($C75,사회적유입!$AA$5:$AW$167,10,FALSE),0)*$Z75,0)</f>
        <v>0</v>
      </c>
      <c r="M75" s="2205">
        <f>ROUND(IFERROR(VLOOKUP($C75,사회적유입!$AA$5:$AW$167,11,FALSE),0)*$Z75,0)</f>
        <v>0</v>
      </c>
      <c r="N75" s="2205">
        <f>ROUND(IFERROR(VLOOKUP($C75,사회적유입!$AA$5:$AW$167,12,FALSE),0)*$Z75,0)</f>
        <v>0</v>
      </c>
      <c r="O75" s="2205">
        <f>ROUND(IFERROR(VLOOKUP($C75,사회적유입!$AA$5:$AW$167,13,FALSE),0)*$Z75,0)</f>
        <v>0</v>
      </c>
      <c r="P75" s="2205">
        <f>ROUND(IFERROR(VLOOKUP($C75,사회적유입!$AA$5:$AW$167,14,FALSE),0)*$Z75,0)</f>
        <v>0</v>
      </c>
      <c r="Q75" s="2205">
        <f>ROUND(IFERROR(VLOOKUP($C75,사회적유입!$AA$5:$AW$167,15,FALSE),0)*$Z75,0)</f>
        <v>0</v>
      </c>
      <c r="R75" s="2205">
        <f>ROUND(IFERROR(VLOOKUP($C75,사회적유입!$AA$5:$AW$167,16,FALSE),0)*$Z75,0)</f>
        <v>0</v>
      </c>
      <c r="S75" s="2205">
        <f>ROUND(IFERROR(VLOOKUP($C75,사회적유입!$AA$5:$AW$167,17,FALSE),0)*$Z75,0)</f>
        <v>0</v>
      </c>
      <c r="T75" s="2205">
        <f>ROUND(IFERROR(VLOOKUP($C75,사회적유입!$AA$5:$AW$167,18,FALSE),0)*$Z75,0)</f>
        <v>0</v>
      </c>
      <c r="U75" s="2205">
        <f>ROUND(IFERROR(VLOOKUP($C75,사회적유입!$AA$5:$AW$167,19,FALSE),0)*$Z75,0)</f>
        <v>0</v>
      </c>
      <c r="V75" s="2205">
        <f>ROUND(IFERROR(VLOOKUP($C75,사회적유입!$AA$5:$AW$167,20,FALSE),0)*$Z75,0)</f>
        <v>0</v>
      </c>
      <c r="W75" s="2205">
        <f>ROUND(IFERROR(VLOOKUP($C75,사회적유입!$AA$5:$AW$167,21,FALSE),0)*$Z75,0)</f>
        <v>0</v>
      </c>
      <c r="X75" s="2205">
        <f>ROUND(IFERROR(VLOOKUP($C75,사회적유입!$AA$5:$AW$167,22,FALSE),0)*$Z75,0)</f>
        <v>0</v>
      </c>
      <c r="Y75" s="2205">
        <f>ROUND(IFERROR(VLOOKUP($C75,사회적유입!$AA$5:$AW$167,23,FALSE),0)*$Z75,0)</f>
        <v>3108</v>
      </c>
      <c r="Z75" s="2212">
        <f>VLOOKUP(C75,$AB$5:$AN$57,10,FALSE)</f>
        <v>1</v>
      </c>
      <c r="AB75" s="2599" t="str">
        <f t="shared" si="44"/>
        <v>금왕테크노밸리</v>
      </c>
      <c r="AC75" s="2600"/>
      <c r="AD75" s="738">
        <f t="shared" si="45"/>
        <v>51203</v>
      </c>
      <c r="AE75" s="738"/>
      <c r="AF75" s="738">
        <f>+AF64</f>
        <v>23018</v>
      </c>
      <c r="AG75" s="738"/>
      <c r="AH75" s="738"/>
      <c r="AI75" s="738">
        <f>+AI64</f>
        <v>4080</v>
      </c>
      <c r="AJ75" s="738">
        <f>+AJ64</f>
        <v>18938</v>
      </c>
      <c r="AK75" s="738"/>
      <c r="AL75" s="738"/>
      <c r="AM75" s="738"/>
      <c r="AN75" s="171">
        <f>+AN64</f>
        <v>5167</v>
      </c>
    </row>
    <row r="76" spans="1:40" ht="18" customHeight="1" thickBot="1">
      <c r="A76" s="2562"/>
      <c r="B76" s="2570"/>
      <c r="C76" s="2208" t="s">
        <v>72</v>
      </c>
      <c r="D76" s="2209">
        <f t="shared" ref="D76:Y76" si="48">SUM(D75:D75)</f>
        <v>0</v>
      </c>
      <c r="E76" s="2209">
        <f t="shared" si="48"/>
        <v>0</v>
      </c>
      <c r="F76" s="2209">
        <f t="shared" si="48"/>
        <v>0</v>
      </c>
      <c r="G76" s="2209">
        <f t="shared" si="48"/>
        <v>0</v>
      </c>
      <c r="H76" s="2209">
        <f t="shared" si="48"/>
        <v>0</v>
      </c>
      <c r="I76" s="2209">
        <f t="shared" si="48"/>
        <v>0</v>
      </c>
      <c r="J76" s="2209">
        <f t="shared" si="48"/>
        <v>0</v>
      </c>
      <c r="K76" s="2209">
        <f t="shared" si="48"/>
        <v>0</v>
      </c>
      <c r="L76" s="2209">
        <f t="shared" si="48"/>
        <v>0</v>
      </c>
      <c r="M76" s="2209">
        <f t="shared" si="48"/>
        <v>0</v>
      </c>
      <c r="N76" s="2209">
        <f t="shared" si="48"/>
        <v>0</v>
      </c>
      <c r="O76" s="2209">
        <f t="shared" si="48"/>
        <v>0</v>
      </c>
      <c r="P76" s="2209">
        <f t="shared" si="48"/>
        <v>0</v>
      </c>
      <c r="Q76" s="2209">
        <f t="shared" si="48"/>
        <v>0</v>
      </c>
      <c r="R76" s="2209">
        <f t="shared" si="48"/>
        <v>0</v>
      </c>
      <c r="S76" s="2209">
        <f t="shared" si="48"/>
        <v>0</v>
      </c>
      <c r="T76" s="2209">
        <f t="shared" si="48"/>
        <v>0</v>
      </c>
      <c r="U76" s="2209">
        <f t="shared" si="48"/>
        <v>0</v>
      </c>
      <c r="V76" s="2209">
        <f t="shared" si="48"/>
        <v>0</v>
      </c>
      <c r="W76" s="2209">
        <f t="shared" si="48"/>
        <v>0</v>
      </c>
      <c r="X76" s="2209">
        <f t="shared" si="48"/>
        <v>0</v>
      </c>
      <c r="Y76" s="2209">
        <f t="shared" si="48"/>
        <v>3108</v>
      </c>
      <c r="Z76" s="2214"/>
      <c r="AB76" s="2601" t="str">
        <f t="shared" si="44"/>
        <v>성안산업단지</v>
      </c>
      <c r="AC76" s="2602"/>
      <c r="AD76" s="849">
        <f t="shared" si="45"/>
        <v>51203</v>
      </c>
      <c r="AE76" s="849"/>
      <c r="AF76" s="849">
        <f>+AF64</f>
        <v>23018</v>
      </c>
      <c r="AG76" s="849"/>
      <c r="AH76" s="849"/>
      <c r="AI76" s="849">
        <f>+AI64</f>
        <v>4080</v>
      </c>
      <c r="AJ76" s="849">
        <f>+AJ64</f>
        <v>18938</v>
      </c>
      <c r="AK76" s="849"/>
      <c r="AL76" s="849"/>
      <c r="AM76" s="849"/>
      <c r="AN76" s="172">
        <f>+AN64</f>
        <v>5167</v>
      </c>
    </row>
    <row r="77" spans="1:40" ht="18" customHeight="1">
      <c r="A77" s="2562"/>
      <c r="B77" s="2570" t="s">
        <v>1227</v>
      </c>
      <c r="C77" s="2206" t="str">
        <f>AB27</f>
        <v>덕정리 아파트</v>
      </c>
      <c r="D77" s="2207">
        <f>ROUND(IFERROR(VLOOKUP($C77,사회적유입!$AA$5:$AW$167,2,FALSE),0)*$Z77,0)</f>
        <v>0</v>
      </c>
      <c r="E77" s="2207">
        <f>ROUND(IFERROR(VLOOKUP($C77,사회적유입!$AA$5:$AW$167,3,FALSE),0)*$Z77,0)</f>
        <v>0</v>
      </c>
      <c r="F77" s="2207">
        <f>ROUND(IFERROR(VLOOKUP($C77,사회적유입!$AA$5:$AW$167,4,FALSE),0)*$Z77,0)</f>
        <v>0</v>
      </c>
      <c r="G77" s="2207">
        <f>ROUND(IFERROR(VLOOKUP($C77,사회적유입!$AA$5:$AW$167,5,FALSE),0)*$Z77,0)</f>
        <v>0</v>
      </c>
      <c r="H77" s="2207">
        <f>ROUND(IFERROR(VLOOKUP($C77,사회적유입!$AA$5:$AW$167,6,FALSE),0)*$Z77,0)</f>
        <v>0</v>
      </c>
      <c r="I77" s="2207">
        <f>ROUND(IFERROR(VLOOKUP($C77,사회적유입!$AA$5:$AW$167,7,FALSE),0)*$Z77,0)</f>
        <v>0</v>
      </c>
      <c r="J77" s="2207">
        <f>ROUND(IFERROR(VLOOKUP($C77,사회적유입!$AA$5:$AW$167,8,FALSE),0)*$Z77,0)</f>
        <v>0</v>
      </c>
      <c r="K77" s="2207">
        <f>ROUND(IFERROR(VLOOKUP($C77,사회적유입!$AA$5:$AW$167,9,FALSE),0)*$Z77,0)</f>
        <v>0</v>
      </c>
      <c r="L77" s="2207">
        <f>ROUND(IFERROR(VLOOKUP($C77,사회적유입!$AA$5:$AW$167,10,FALSE),0)*$Z77,0)</f>
        <v>0</v>
      </c>
      <c r="M77" s="2207">
        <f>ROUND(IFERROR(VLOOKUP($C77,사회적유입!$AA$5:$AW$167,11,FALSE),0)*$Z77,0)</f>
        <v>0</v>
      </c>
      <c r="N77" s="2207">
        <f>ROUND(IFERROR(VLOOKUP($C77,사회적유입!$AA$5:$AW$167,12,FALSE),0)*$Z77,0)</f>
        <v>0</v>
      </c>
      <c r="O77" s="2207">
        <f>ROUND(IFERROR(VLOOKUP($C77,사회적유입!$AA$5:$AW$167,13,FALSE),0)*$Z77,0)</f>
        <v>537</v>
      </c>
      <c r="P77" s="2207">
        <f>ROUND(IFERROR(VLOOKUP($C77,사회적유입!$AA$5:$AW$167,14,FALSE),0)*$Z77,0)</f>
        <v>537</v>
      </c>
      <c r="Q77" s="2207">
        <f>ROUND(IFERROR(VLOOKUP($C77,사회적유입!$AA$5:$AW$167,15,FALSE),0)*$Z77,0)</f>
        <v>537</v>
      </c>
      <c r="R77" s="2207">
        <f>ROUND(IFERROR(VLOOKUP($C77,사회적유입!$AA$5:$AW$167,16,FALSE),0)*$Z77,0)</f>
        <v>537</v>
      </c>
      <c r="S77" s="2207">
        <f>ROUND(IFERROR(VLOOKUP($C77,사회적유입!$AA$5:$AW$167,17,FALSE),0)*$Z77,0)</f>
        <v>537</v>
      </c>
      <c r="T77" s="2207">
        <f>ROUND(IFERROR(VLOOKUP($C77,사회적유입!$AA$5:$AW$167,18,FALSE),0)*$Z77,0)</f>
        <v>537</v>
      </c>
      <c r="U77" s="2207">
        <f>ROUND(IFERROR(VLOOKUP($C77,사회적유입!$AA$5:$AW$167,19,FALSE),0)*$Z77,0)</f>
        <v>537</v>
      </c>
      <c r="V77" s="2207">
        <f>ROUND(IFERROR(VLOOKUP($C77,사회적유입!$AA$5:$AW$167,20,FALSE),0)*$Z77,0)</f>
        <v>537</v>
      </c>
      <c r="W77" s="2207">
        <f>ROUND(IFERROR(VLOOKUP($C77,사회적유입!$AA$5:$AW$167,21,FALSE),0)*$Z77,0)</f>
        <v>537</v>
      </c>
      <c r="X77" s="2207">
        <f>ROUND(IFERROR(VLOOKUP($C77,사회적유입!$AA$5:$AW$167,22,FALSE),0)*$Z77,0)</f>
        <v>537</v>
      </c>
      <c r="Y77" s="2207">
        <f>ROUND(IFERROR(VLOOKUP($C77,사회적유입!$AA$5:$AW$167,23,FALSE),0)*$Z77,0)</f>
        <v>537</v>
      </c>
      <c r="Z77" s="2213">
        <f>VLOOKUP(C77,$AB$5:$AN$57,10,FALSE)</f>
        <v>1</v>
      </c>
      <c r="AA77" s="605" t="e">
        <f>+J105+J106</f>
        <v>#REF!</v>
      </c>
    </row>
    <row r="78" spans="1:40" ht="18" customHeight="1">
      <c r="A78" s="2562"/>
      <c r="B78" s="2570"/>
      <c r="C78" s="2208" t="s">
        <v>72</v>
      </c>
      <c r="D78" s="2209">
        <f t="shared" ref="D78:Y78" si="49">SUM(D77:D77)</f>
        <v>0</v>
      </c>
      <c r="E78" s="2209">
        <f t="shared" si="49"/>
        <v>0</v>
      </c>
      <c r="F78" s="2209">
        <f t="shared" si="49"/>
        <v>0</v>
      </c>
      <c r="G78" s="2209">
        <f t="shared" si="49"/>
        <v>0</v>
      </c>
      <c r="H78" s="2209">
        <f t="shared" si="49"/>
        <v>0</v>
      </c>
      <c r="I78" s="2209">
        <f t="shared" si="49"/>
        <v>0</v>
      </c>
      <c r="J78" s="2209">
        <f t="shared" si="49"/>
        <v>0</v>
      </c>
      <c r="K78" s="2209">
        <f t="shared" si="49"/>
        <v>0</v>
      </c>
      <c r="L78" s="2209">
        <f t="shared" si="49"/>
        <v>0</v>
      </c>
      <c r="M78" s="2209">
        <f t="shared" si="49"/>
        <v>0</v>
      </c>
      <c r="N78" s="2209">
        <f t="shared" si="49"/>
        <v>0</v>
      </c>
      <c r="O78" s="2209">
        <f t="shared" si="49"/>
        <v>537</v>
      </c>
      <c r="P78" s="2209">
        <f t="shared" si="49"/>
        <v>537</v>
      </c>
      <c r="Q78" s="2209">
        <f t="shared" si="49"/>
        <v>537</v>
      </c>
      <c r="R78" s="2209">
        <f t="shared" si="49"/>
        <v>537</v>
      </c>
      <c r="S78" s="2209">
        <f t="shared" si="49"/>
        <v>537</v>
      </c>
      <c r="T78" s="2209">
        <f t="shared" si="49"/>
        <v>537</v>
      </c>
      <c r="U78" s="2209">
        <f t="shared" si="49"/>
        <v>537</v>
      </c>
      <c r="V78" s="2209">
        <f t="shared" si="49"/>
        <v>537</v>
      </c>
      <c r="W78" s="2209">
        <f t="shared" si="49"/>
        <v>537</v>
      </c>
      <c r="X78" s="2209">
        <f t="shared" si="49"/>
        <v>537</v>
      </c>
      <c r="Y78" s="2209">
        <f t="shared" si="49"/>
        <v>537</v>
      </c>
      <c r="Z78" s="2214"/>
      <c r="AA78" s="605">
        <f>+J107</f>
        <v>4731</v>
      </c>
    </row>
    <row r="79" spans="1:40" ht="18" customHeight="1">
      <c r="A79" s="2562"/>
      <c r="B79" s="2570" t="s">
        <v>96</v>
      </c>
      <c r="C79" s="2216" t="str">
        <f>AB49</f>
        <v>삼성준산업단지</v>
      </c>
      <c r="D79" s="2207">
        <v>0</v>
      </c>
      <c r="E79" s="2207">
        <v>0</v>
      </c>
      <c r="F79" s="2207">
        <v>0</v>
      </c>
      <c r="G79" s="2207">
        <v>0</v>
      </c>
      <c r="H79" s="2207">
        <v>0</v>
      </c>
      <c r="I79" s="2207">
        <v>0</v>
      </c>
      <c r="J79" s="2207">
        <v>0</v>
      </c>
      <c r="K79" s="2207">
        <v>0</v>
      </c>
      <c r="L79" s="2207">
        <v>0</v>
      </c>
      <c r="M79" s="2207">
        <v>0</v>
      </c>
      <c r="N79" s="2207">
        <v>0</v>
      </c>
      <c r="O79" s="2207">
        <v>0</v>
      </c>
      <c r="P79" s="2207">
        <v>0</v>
      </c>
      <c r="Q79" s="2207">
        <v>0</v>
      </c>
      <c r="R79" s="2207">
        <v>0</v>
      </c>
      <c r="S79" s="2207">
        <v>0</v>
      </c>
      <c r="T79" s="2207">
        <v>0</v>
      </c>
      <c r="U79" s="2207">
        <v>0</v>
      </c>
      <c r="V79" s="2207">
        <v>0</v>
      </c>
      <c r="W79" s="2207">
        <v>0</v>
      </c>
      <c r="X79" s="2207">
        <v>0</v>
      </c>
      <c r="Y79" s="2207">
        <v>0</v>
      </c>
      <c r="Z79" s="2213">
        <f>VLOOKUP(C79,$AB$5:$AN$57,10,FALSE)</f>
        <v>1</v>
      </c>
      <c r="AA79" s="605">
        <f>+J108</f>
        <v>202</v>
      </c>
    </row>
    <row r="80" spans="1:40" ht="18" customHeight="1">
      <c r="A80" s="2562"/>
      <c r="B80" s="2570"/>
      <c r="C80" s="2216" t="str">
        <f>AB50</f>
        <v>태양금속공업 이전</v>
      </c>
      <c r="D80" s="2207">
        <v>0</v>
      </c>
      <c r="E80" s="2207">
        <v>0</v>
      </c>
      <c r="F80" s="2207">
        <v>0</v>
      </c>
      <c r="G80" s="2207">
        <v>0</v>
      </c>
      <c r="H80" s="2207">
        <v>0</v>
      </c>
      <c r="I80" s="2207">
        <v>0</v>
      </c>
      <c r="J80" s="2207">
        <v>0</v>
      </c>
      <c r="K80" s="2207">
        <v>0</v>
      </c>
      <c r="L80" s="2207">
        <v>0</v>
      </c>
      <c r="M80" s="2207">
        <v>0</v>
      </c>
      <c r="N80" s="2207">
        <v>0</v>
      </c>
      <c r="O80" s="2207">
        <v>0</v>
      </c>
      <c r="P80" s="2207">
        <v>0</v>
      </c>
      <c r="Q80" s="2207">
        <v>0</v>
      </c>
      <c r="R80" s="2207">
        <v>0</v>
      </c>
      <c r="S80" s="2207">
        <v>0</v>
      </c>
      <c r="T80" s="2207">
        <v>0</v>
      </c>
      <c r="U80" s="2207">
        <v>0</v>
      </c>
      <c r="V80" s="2207">
        <v>0</v>
      </c>
      <c r="W80" s="2207">
        <v>0</v>
      </c>
      <c r="X80" s="2207">
        <v>0</v>
      </c>
      <c r="Y80" s="2207">
        <v>0</v>
      </c>
      <c r="Z80" s="2213">
        <f>VLOOKUP(C80,$AB$5:$AN$57,10,FALSE)</f>
        <v>1</v>
      </c>
      <c r="AA80" s="605" t="e">
        <f>+J109</f>
        <v>#REF!</v>
      </c>
    </row>
    <row r="81" spans="1:40" ht="18" customHeight="1">
      <c r="A81" s="2562"/>
      <c r="B81" s="2570"/>
      <c r="C81" s="2216" t="str">
        <f>AB51</f>
        <v>상곡농공단지</v>
      </c>
      <c r="D81" s="2207">
        <v>0</v>
      </c>
      <c r="E81" s="2207">
        <v>0</v>
      </c>
      <c r="F81" s="2207">
        <v>0</v>
      </c>
      <c r="G81" s="2207">
        <v>0</v>
      </c>
      <c r="H81" s="2207">
        <v>0</v>
      </c>
      <c r="I81" s="2207">
        <v>0</v>
      </c>
      <c r="J81" s="2207">
        <v>0</v>
      </c>
      <c r="K81" s="2207">
        <v>0</v>
      </c>
      <c r="L81" s="2207">
        <v>0</v>
      </c>
      <c r="M81" s="2207">
        <v>0</v>
      </c>
      <c r="N81" s="2207">
        <v>0</v>
      </c>
      <c r="O81" s="2207">
        <v>0</v>
      </c>
      <c r="P81" s="2207">
        <v>0</v>
      </c>
      <c r="Q81" s="2207">
        <v>0</v>
      </c>
      <c r="R81" s="2207">
        <v>0</v>
      </c>
      <c r="S81" s="2207">
        <v>0</v>
      </c>
      <c r="T81" s="2207">
        <v>0</v>
      </c>
      <c r="U81" s="2207">
        <v>0</v>
      </c>
      <c r="V81" s="2207">
        <v>0</v>
      </c>
      <c r="W81" s="2207">
        <v>0</v>
      </c>
      <c r="X81" s="2207">
        <v>0</v>
      </c>
      <c r="Y81" s="2207">
        <v>0</v>
      </c>
      <c r="Z81" s="2213">
        <f>VLOOKUP(C81,$AB$5:$AN$57,10,FALSE)</f>
        <v>1</v>
      </c>
      <c r="AA81" s="605"/>
    </row>
    <row r="82" spans="1:40" ht="18" customHeight="1">
      <c r="A82" s="2562"/>
      <c r="B82" s="2570"/>
      <c r="C82" s="2208" t="s">
        <v>72</v>
      </c>
      <c r="D82" s="2209">
        <f>SUM(D79:D81)</f>
        <v>0</v>
      </c>
      <c r="E82" s="2209">
        <f t="shared" ref="E82:Y82" si="50">SUM(E79:E81)</f>
        <v>0</v>
      </c>
      <c r="F82" s="2209">
        <f t="shared" si="50"/>
        <v>0</v>
      </c>
      <c r="G82" s="2209">
        <f t="shared" si="50"/>
        <v>0</v>
      </c>
      <c r="H82" s="2209">
        <f t="shared" si="50"/>
        <v>0</v>
      </c>
      <c r="I82" s="2209">
        <f t="shared" si="50"/>
        <v>0</v>
      </c>
      <c r="J82" s="2209">
        <f t="shared" si="50"/>
        <v>0</v>
      </c>
      <c r="K82" s="2209">
        <f t="shared" si="50"/>
        <v>0</v>
      </c>
      <c r="L82" s="2209">
        <f t="shared" si="50"/>
        <v>0</v>
      </c>
      <c r="M82" s="2209">
        <f t="shared" si="50"/>
        <v>0</v>
      </c>
      <c r="N82" s="2209">
        <f t="shared" si="50"/>
        <v>0</v>
      </c>
      <c r="O82" s="2209">
        <f t="shared" si="50"/>
        <v>0</v>
      </c>
      <c r="P82" s="2209">
        <f t="shared" si="50"/>
        <v>0</v>
      </c>
      <c r="Q82" s="2209">
        <f t="shared" si="50"/>
        <v>0</v>
      </c>
      <c r="R82" s="2209">
        <f t="shared" si="50"/>
        <v>0</v>
      </c>
      <c r="S82" s="2209">
        <f t="shared" si="50"/>
        <v>0</v>
      </c>
      <c r="T82" s="2209">
        <f t="shared" si="50"/>
        <v>0</v>
      </c>
      <c r="U82" s="2209">
        <f t="shared" si="50"/>
        <v>0</v>
      </c>
      <c r="V82" s="2209">
        <f t="shared" si="50"/>
        <v>0</v>
      </c>
      <c r="W82" s="2209">
        <f t="shared" si="50"/>
        <v>0</v>
      </c>
      <c r="X82" s="2209">
        <f t="shared" si="50"/>
        <v>0</v>
      </c>
      <c r="Y82" s="2209">
        <f t="shared" si="50"/>
        <v>0</v>
      </c>
      <c r="Z82" s="2214"/>
      <c r="AE82" s="604">
        <f t="shared" ref="AE82:AN82" si="51">+AE68/$AD68</f>
        <v>0.26040357643252299</v>
      </c>
      <c r="AF82" s="604">
        <f t="shared" si="51"/>
        <v>0.33248111395184238</v>
      </c>
      <c r="AG82" s="604">
        <f t="shared" si="51"/>
        <v>0</v>
      </c>
      <c r="AH82" s="604">
        <f t="shared" si="51"/>
        <v>0</v>
      </c>
      <c r="AI82" s="604">
        <f t="shared" si="51"/>
        <v>5.89331368895437E-2</v>
      </c>
      <c r="AJ82" s="604">
        <f t="shared" si="51"/>
        <v>0.27354797706229866</v>
      </c>
      <c r="AK82" s="604">
        <f t="shared" si="51"/>
        <v>0</v>
      </c>
      <c r="AL82" s="604">
        <f t="shared" si="51"/>
        <v>0</v>
      </c>
      <c r="AM82" s="604">
        <f t="shared" si="51"/>
        <v>0</v>
      </c>
      <c r="AN82" s="604">
        <f t="shared" si="51"/>
        <v>7.463419566379223E-2</v>
      </c>
    </row>
    <row r="83" spans="1:40" ht="18" customHeight="1">
      <c r="A83" s="2563"/>
      <c r="B83" s="2571" t="s">
        <v>7</v>
      </c>
      <c r="C83" s="2571"/>
      <c r="D83" s="2211">
        <f>SUM(D78,D82,D76)</f>
        <v>0</v>
      </c>
      <c r="E83" s="2211">
        <f t="shared" ref="E83:Y83" si="52">SUM(E78,E82,E76)</f>
        <v>0</v>
      </c>
      <c r="F83" s="2211">
        <f t="shared" si="52"/>
        <v>0</v>
      </c>
      <c r="G83" s="2211">
        <f t="shared" si="52"/>
        <v>0</v>
      </c>
      <c r="H83" s="2211">
        <f t="shared" si="52"/>
        <v>0</v>
      </c>
      <c r="I83" s="2211">
        <f t="shared" si="52"/>
        <v>0</v>
      </c>
      <c r="J83" s="2211">
        <f t="shared" si="52"/>
        <v>0</v>
      </c>
      <c r="K83" s="2211">
        <f t="shared" si="52"/>
        <v>0</v>
      </c>
      <c r="L83" s="2211">
        <f t="shared" si="52"/>
        <v>0</v>
      </c>
      <c r="M83" s="2211">
        <f t="shared" si="52"/>
        <v>0</v>
      </c>
      <c r="N83" s="2211">
        <f t="shared" si="52"/>
        <v>0</v>
      </c>
      <c r="O83" s="2211">
        <f t="shared" si="52"/>
        <v>537</v>
      </c>
      <c r="P83" s="2211">
        <f t="shared" si="52"/>
        <v>537</v>
      </c>
      <c r="Q83" s="2211">
        <f t="shared" si="52"/>
        <v>537</v>
      </c>
      <c r="R83" s="2211">
        <f t="shared" si="52"/>
        <v>537</v>
      </c>
      <c r="S83" s="2211">
        <f t="shared" si="52"/>
        <v>537</v>
      </c>
      <c r="T83" s="2211">
        <f t="shared" si="52"/>
        <v>537</v>
      </c>
      <c r="U83" s="2211">
        <f t="shared" si="52"/>
        <v>537</v>
      </c>
      <c r="V83" s="2211">
        <f t="shared" si="52"/>
        <v>537</v>
      </c>
      <c r="W83" s="2211">
        <f t="shared" si="52"/>
        <v>537</v>
      </c>
      <c r="X83" s="2211">
        <f t="shared" si="52"/>
        <v>537</v>
      </c>
      <c r="Y83" s="2211">
        <f t="shared" si="52"/>
        <v>3645</v>
      </c>
      <c r="Z83" s="2215"/>
      <c r="AE83" s="604">
        <f t="shared" ref="AE83:AN83" si="53">+AE69/$AD69</f>
        <v>0</v>
      </c>
      <c r="AF83" s="604">
        <f t="shared" si="53"/>
        <v>0</v>
      </c>
      <c r="AG83" s="604">
        <f t="shared" si="53"/>
        <v>0</v>
      </c>
      <c r="AH83" s="604">
        <f t="shared" si="53"/>
        <v>0</v>
      </c>
      <c r="AI83" s="604">
        <f t="shared" si="53"/>
        <v>0</v>
      </c>
      <c r="AJ83" s="604">
        <f t="shared" si="53"/>
        <v>0</v>
      </c>
      <c r="AK83" s="604">
        <f t="shared" si="53"/>
        <v>0</v>
      </c>
      <c r="AL83" s="604">
        <f t="shared" si="53"/>
        <v>0.30480718436344428</v>
      </c>
      <c r="AM83" s="604">
        <f t="shared" si="53"/>
        <v>0.69519281563655577</v>
      </c>
      <c r="AN83" s="604">
        <f t="shared" si="53"/>
        <v>0</v>
      </c>
    </row>
    <row r="84" spans="1:40" ht="18" customHeight="1">
      <c r="A84" s="2561" t="s">
        <v>819</v>
      </c>
      <c r="B84" s="2569" t="s">
        <v>94</v>
      </c>
      <c r="C84" s="2204" t="str">
        <f>AB43</f>
        <v>생극택지지구</v>
      </c>
      <c r="D84" s="2205">
        <f>ROUND(IFERROR(VLOOKUP($C84,사회적유입!$AA$5:$AW$167,2,FALSE),0)*$Z84,0)</f>
        <v>0</v>
      </c>
      <c r="E84" s="2205">
        <f>ROUND(IFERROR(VLOOKUP($C84,사회적유입!$AA$5:$AW$167,3,FALSE),0)*$Z84,0)</f>
        <v>0</v>
      </c>
      <c r="F84" s="2205">
        <f>ROUND(IFERROR(VLOOKUP($C84,사회적유입!$AA$5:$AW$167,4,FALSE),0)*$Z84,0)</f>
        <v>0</v>
      </c>
      <c r="G84" s="2205">
        <f>ROUND(IFERROR(VLOOKUP($C84,사회적유입!$AA$5:$AW$167,5,FALSE),0)*$Z84,0)</f>
        <v>0</v>
      </c>
      <c r="H84" s="2205">
        <f>ROUND(IFERROR(VLOOKUP($C84,사회적유입!$AA$5:$AW$167,6,FALSE),0)*$Z84,0)</f>
        <v>0</v>
      </c>
      <c r="I84" s="2205">
        <f>ROUND(IFERROR(VLOOKUP($C84,사회적유입!$AA$5:$AW$167,7,FALSE),0)*$Z84,0)</f>
        <v>0</v>
      </c>
      <c r="J84" s="2205">
        <f>ROUND(IFERROR(VLOOKUP($C84,사회적유입!$AA$5:$AW$167,8,FALSE),0)*$Z84,0)</f>
        <v>0</v>
      </c>
      <c r="K84" s="2205">
        <f>ROUND(IFERROR(VLOOKUP($C84,사회적유입!$AA$5:$AW$167,9,FALSE),0)*$Z84,0)</f>
        <v>0</v>
      </c>
      <c r="L84" s="2205">
        <f>ROUND(IFERROR(VLOOKUP($C84,사회적유입!$AA$5:$AW$167,10,FALSE),0)*$Z84,0)</f>
        <v>0</v>
      </c>
      <c r="M84" s="2205">
        <f>ROUND(IFERROR(VLOOKUP($C84,사회적유입!$AA$5:$AW$167,11,FALSE),0)*$Z84,0)</f>
        <v>0</v>
      </c>
      <c r="N84" s="2205">
        <f>ROUND(IFERROR(VLOOKUP($C84,사회적유입!$AA$5:$AW$167,12,FALSE),0)*$Z84,0)</f>
        <v>0</v>
      </c>
      <c r="O84" s="2205">
        <f>ROUND(IFERROR(VLOOKUP($C84,사회적유입!$AA$5:$AW$167,13,FALSE),0)*$Z84,0)</f>
        <v>0</v>
      </c>
      <c r="P84" s="2205">
        <f>ROUND(IFERROR(VLOOKUP($C84,사회적유입!$AA$5:$AW$167,14,FALSE),0)*$Z84,0)</f>
        <v>0</v>
      </c>
      <c r="Q84" s="2205">
        <f>ROUND(IFERROR(VLOOKUP($C84,사회적유입!$AA$5:$AW$167,15,FALSE),0)*$Z84,0)</f>
        <v>0</v>
      </c>
      <c r="R84" s="2205">
        <f>ROUND(IFERROR(VLOOKUP($C84,사회적유입!$AA$5:$AW$167,16,FALSE),0)*$Z84,0)</f>
        <v>0</v>
      </c>
      <c r="S84" s="2205">
        <f>ROUND(IFERROR(VLOOKUP($C84,사회적유입!$AA$5:$AW$167,17,FALSE),0)*$Z84,0)</f>
        <v>0</v>
      </c>
      <c r="T84" s="2205">
        <f>ROUND(IFERROR(VLOOKUP($C84,사회적유입!$AA$5:$AW$167,18,FALSE),0)*$Z84,0)</f>
        <v>0</v>
      </c>
      <c r="U84" s="2205">
        <f>ROUND(IFERROR(VLOOKUP($C84,사회적유입!$AA$5:$AW$167,19,FALSE),0)*$Z84,0)</f>
        <v>0</v>
      </c>
      <c r="V84" s="2205">
        <f>ROUND(IFERROR(VLOOKUP($C84,사회적유입!$AA$5:$AW$167,20,FALSE),0)*$Z84,0)</f>
        <v>0</v>
      </c>
      <c r="W84" s="2205">
        <f>ROUND(IFERROR(VLOOKUP($C84,사회적유입!$AA$5:$AW$167,21,FALSE),0)*$Z84,0)</f>
        <v>0</v>
      </c>
      <c r="X84" s="2205">
        <f>ROUND(IFERROR(VLOOKUP($C84,사회적유입!$AA$5:$AW$167,22,FALSE),0)*$Z84,0)</f>
        <v>0</v>
      </c>
      <c r="Y84" s="2205">
        <f>ROUND(IFERROR(VLOOKUP($C84,사회적유입!$AA$5:$AW$167,23,FALSE),0)*$Z84,0)</f>
        <v>2331</v>
      </c>
      <c r="Z84" s="2212">
        <f>VLOOKUP(C84,$AB$5:$AN$57,11,FALSE)</f>
        <v>1</v>
      </c>
      <c r="AE84" s="604">
        <f t="shared" ref="AE84:AJ85" si="54">+AE73/$AD73</f>
        <v>0</v>
      </c>
      <c r="AF84" s="604">
        <f t="shared" si="54"/>
        <v>0.81592286696678595</v>
      </c>
      <c r="AG84" s="604">
        <f t="shared" si="54"/>
        <v>0</v>
      </c>
      <c r="AH84" s="604">
        <f t="shared" si="54"/>
        <v>0</v>
      </c>
      <c r="AI84" s="604">
        <f t="shared" si="54"/>
        <v>0</v>
      </c>
      <c r="AJ84" s="604">
        <f t="shared" si="54"/>
        <v>0</v>
      </c>
      <c r="AK84" s="604">
        <f t="shared" ref="AK84:AM84" si="55">+AK73/$AD73</f>
        <v>0</v>
      </c>
      <c r="AL84" s="604">
        <f t="shared" si="55"/>
        <v>0.18407713303321399</v>
      </c>
      <c r="AM84" s="604">
        <f t="shared" si="55"/>
        <v>0</v>
      </c>
      <c r="AN84" s="604">
        <f>+AN73/$AD73</f>
        <v>0</v>
      </c>
    </row>
    <row r="85" spans="1:40" ht="18" customHeight="1">
      <c r="A85" s="2562"/>
      <c r="B85" s="2570"/>
      <c r="C85" s="2208" t="s">
        <v>72</v>
      </c>
      <c r="D85" s="2209">
        <f t="shared" ref="D85:Y85" si="56">SUM(D84:D84)</f>
        <v>0</v>
      </c>
      <c r="E85" s="2209">
        <f t="shared" si="56"/>
        <v>0</v>
      </c>
      <c r="F85" s="2209">
        <f t="shared" si="56"/>
        <v>0</v>
      </c>
      <c r="G85" s="2209">
        <f t="shared" si="56"/>
        <v>0</v>
      </c>
      <c r="H85" s="2209">
        <f t="shared" si="56"/>
        <v>0</v>
      </c>
      <c r="I85" s="2209">
        <f t="shared" si="56"/>
        <v>0</v>
      </c>
      <c r="J85" s="2209">
        <f t="shared" si="56"/>
        <v>0</v>
      </c>
      <c r="K85" s="2209">
        <f t="shared" si="56"/>
        <v>0</v>
      </c>
      <c r="L85" s="2209">
        <f t="shared" si="56"/>
        <v>0</v>
      </c>
      <c r="M85" s="2209">
        <f t="shared" si="56"/>
        <v>0</v>
      </c>
      <c r="N85" s="2209">
        <f t="shared" si="56"/>
        <v>0</v>
      </c>
      <c r="O85" s="2209">
        <f t="shared" si="56"/>
        <v>0</v>
      </c>
      <c r="P85" s="2209">
        <f t="shared" si="56"/>
        <v>0</v>
      </c>
      <c r="Q85" s="2209">
        <f t="shared" si="56"/>
        <v>0</v>
      </c>
      <c r="R85" s="2209">
        <f t="shared" si="56"/>
        <v>0</v>
      </c>
      <c r="S85" s="2209">
        <f t="shared" si="56"/>
        <v>0</v>
      </c>
      <c r="T85" s="2209">
        <f t="shared" si="56"/>
        <v>0</v>
      </c>
      <c r="U85" s="2209">
        <f t="shared" si="56"/>
        <v>0</v>
      </c>
      <c r="V85" s="2209">
        <f t="shared" si="56"/>
        <v>0</v>
      </c>
      <c r="W85" s="2209">
        <f t="shared" si="56"/>
        <v>0</v>
      </c>
      <c r="X85" s="2209">
        <f t="shared" si="56"/>
        <v>0</v>
      </c>
      <c r="Y85" s="2209">
        <f t="shared" si="56"/>
        <v>2331</v>
      </c>
      <c r="Z85" s="2214"/>
      <c r="AE85" s="604">
        <f t="shared" si="54"/>
        <v>0</v>
      </c>
      <c r="AF85" s="604">
        <f t="shared" si="54"/>
        <v>0.5</v>
      </c>
      <c r="AG85" s="604">
        <f t="shared" si="54"/>
        <v>0</v>
      </c>
      <c r="AH85" s="604">
        <f t="shared" si="54"/>
        <v>0</v>
      </c>
      <c r="AI85" s="604">
        <f t="shared" si="54"/>
        <v>8.8626292466765136E-2</v>
      </c>
      <c r="AJ85" s="604">
        <f t="shared" si="54"/>
        <v>0.41137370753323488</v>
      </c>
      <c r="AK85" s="604">
        <f t="shared" ref="AK85:AM85" si="57">+AK74/$AD74</f>
        <v>0</v>
      </c>
      <c r="AL85" s="604">
        <f t="shared" si="57"/>
        <v>0</v>
      </c>
      <c r="AM85" s="604">
        <f t="shared" si="57"/>
        <v>0</v>
      </c>
      <c r="AN85" s="604">
        <f>+AN74/$AD74</f>
        <v>0</v>
      </c>
    </row>
    <row r="86" spans="1:40" ht="18" customHeight="1">
      <c r="A86" s="2562"/>
      <c r="B86" s="2570" t="s">
        <v>433</v>
      </c>
      <c r="C86" s="2206" t="str">
        <f>AB23</f>
        <v>태경에코그린</v>
      </c>
      <c r="D86" s="2207">
        <f>ROUND(IFERROR(VLOOKUP($C86,사회적유입!$AA$5:$AW$167,2,FALSE),0)*$Z86,0)</f>
        <v>0</v>
      </c>
      <c r="E86" s="2207">
        <f>ROUND(IFERROR(VLOOKUP($C86,사회적유입!$AA$5:$AW$167,3,FALSE),0)*$Z86,0)</f>
        <v>0</v>
      </c>
      <c r="F86" s="2207">
        <f>ROUND(IFERROR(VLOOKUP($C86,사회적유입!$AA$5:$AW$167,4,FALSE),0)*$Z86,0)</f>
        <v>0</v>
      </c>
      <c r="G86" s="2207">
        <f>ROUND(IFERROR(VLOOKUP($C86,사회적유입!$AA$5:$AW$167,5,FALSE),0)*$Z86,0)</f>
        <v>0</v>
      </c>
      <c r="H86" s="2207">
        <f>ROUND(IFERROR(VLOOKUP($C86,사회적유입!$AA$5:$AW$167,6,FALSE),0)*$Z86,0)</f>
        <v>0</v>
      </c>
      <c r="I86" s="2207">
        <f>ROUND(IFERROR(VLOOKUP($C86,사회적유입!$AA$5:$AW$167,7,FALSE),0)*$Z86,0)</f>
        <v>83</v>
      </c>
      <c r="J86" s="2207">
        <f>ROUND(IFERROR(VLOOKUP($C86,사회적유입!$AA$5:$AW$167,8,FALSE),0)*$Z86,0)</f>
        <v>83</v>
      </c>
      <c r="K86" s="2207">
        <f>ROUND(IFERROR(VLOOKUP($C86,사회적유입!$AA$5:$AW$167,9,FALSE),0)*$Z86,0)</f>
        <v>83</v>
      </c>
      <c r="L86" s="2207">
        <f>ROUND(IFERROR(VLOOKUP($C86,사회적유입!$AA$5:$AW$167,10,FALSE),0)*$Z86,0)</f>
        <v>83</v>
      </c>
      <c r="M86" s="2207">
        <f>ROUND(IFERROR(VLOOKUP($C86,사회적유입!$AA$5:$AW$167,11,FALSE),0)*$Z86,0)</f>
        <v>83</v>
      </c>
      <c r="N86" s="2207">
        <f>ROUND(IFERROR(VLOOKUP($C86,사회적유입!$AA$5:$AW$167,12,FALSE),0)*$Z86,0)</f>
        <v>83</v>
      </c>
      <c r="O86" s="2207">
        <f>ROUND(IFERROR(VLOOKUP($C86,사회적유입!$AA$5:$AW$167,13,FALSE),0)*$Z86,0)</f>
        <v>83</v>
      </c>
      <c r="P86" s="2207">
        <f>ROUND(IFERROR(VLOOKUP($C86,사회적유입!$AA$5:$AW$167,14,FALSE),0)*$Z86,0)</f>
        <v>83</v>
      </c>
      <c r="Q86" s="2207">
        <f>ROUND(IFERROR(VLOOKUP($C86,사회적유입!$AA$5:$AW$167,15,FALSE),0)*$Z86,0)</f>
        <v>83</v>
      </c>
      <c r="R86" s="2207">
        <f>ROUND(IFERROR(VLOOKUP($C86,사회적유입!$AA$5:$AW$167,16,FALSE),0)*$Z86,0)</f>
        <v>83</v>
      </c>
      <c r="S86" s="2207">
        <f>ROUND(IFERROR(VLOOKUP($C86,사회적유입!$AA$5:$AW$167,17,FALSE),0)*$Z86,0)</f>
        <v>83</v>
      </c>
      <c r="T86" s="2207">
        <f>ROUND(IFERROR(VLOOKUP($C86,사회적유입!$AA$5:$AW$167,18,FALSE),0)*$Z86,0)</f>
        <v>83</v>
      </c>
      <c r="U86" s="2207">
        <f>ROUND(IFERROR(VLOOKUP($C86,사회적유입!$AA$5:$AW$167,19,FALSE),0)*$Z86,0)</f>
        <v>83</v>
      </c>
      <c r="V86" s="2207">
        <f>ROUND(IFERROR(VLOOKUP($C86,사회적유입!$AA$5:$AW$167,20,FALSE),0)*$Z86,0)</f>
        <v>83</v>
      </c>
      <c r="W86" s="2207">
        <f>ROUND(IFERROR(VLOOKUP($C86,사회적유입!$AA$5:$AW$167,21,FALSE),0)*$Z86,0)</f>
        <v>83</v>
      </c>
      <c r="X86" s="2207">
        <f>ROUND(IFERROR(VLOOKUP($C86,사회적유입!$AA$5:$AW$167,22,FALSE),0)*$Z86,0)</f>
        <v>83</v>
      </c>
      <c r="Y86" s="2207">
        <f>ROUND(IFERROR(VLOOKUP($C86,사회적유입!$AA$5:$AW$167,23,FALSE),0)*$Z86,0)</f>
        <v>83</v>
      </c>
      <c r="Z86" s="2213">
        <f>VLOOKUP(C86,$AB$5:$AN$57,11,FALSE)</f>
        <v>1</v>
      </c>
      <c r="AA86" s="195"/>
      <c r="AE86" s="604">
        <f>+AE75/$AD75</f>
        <v>0</v>
      </c>
      <c r="AF86" s="604">
        <f t="shared" ref="AF86:AJ86" si="58">+AF75/$AD75</f>
        <v>0.44954397203288871</v>
      </c>
      <c r="AG86" s="604">
        <f t="shared" si="58"/>
        <v>0</v>
      </c>
      <c r="AH86" s="604">
        <f t="shared" si="58"/>
        <v>0</v>
      </c>
      <c r="AI86" s="604">
        <f t="shared" si="58"/>
        <v>7.9682831084116168E-2</v>
      </c>
      <c r="AJ86" s="604">
        <f t="shared" si="58"/>
        <v>0.36986114094877254</v>
      </c>
      <c r="AK86" s="604">
        <f t="shared" ref="AK86:AM86" si="59">+AK75/$AD75</f>
        <v>0</v>
      </c>
      <c r="AL86" s="604">
        <f t="shared" si="59"/>
        <v>0</v>
      </c>
      <c r="AM86" s="604">
        <f t="shared" si="59"/>
        <v>0</v>
      </c>
      <c r="AN86" s="604">
        <f>+AN75/$AD75</f>
        <v>0.1009120559342226</v>
      </c>
    </row>
    <row r="87" spans="1:40" ht="18" customHeight="1">
      <c r="A87" s="2562"/>
      <c r="B87" s="2570"/>
      <c r="C87" s="2208" t="s">
        <v>72</v>
      </c>
      <c r="D87" s="2209">
        <f t="shared" ref="D87:Y87" si="60">SUM(D86:D86)</f>
        <v>0</v>
      </c>
      <c r="E87" s="2209">
        <f t="shared" si="60"/>
        <v>0</v>
      </c>
      <c r="F87" s="2209">
        <f t="shared" si="60"/>
        <v>0</v>
      </c>
      <c r="G87" s="2209">
        <f t="shared" si="60"/>
        <v>0</v>
      </c>
      <c r="H87" s="2209">
        <f t="shared" si="60"/>
        <v>0</v>
      </c>
      <c r="I87" s="2209">
        <f t="shared" si="60"/>
        <v>83</v>
      </c>
      <c r="J87" s="2209">
        <f t="shared" si="60"/>
        <v>83</v>
      </c>
      <c r="K87" s="2209">
        <f t="shared" si="60"/>
        <v>83</v>
      </c>
      <c r="L87" s="2209">
        <f t="shared" si="60"/>
        <v>83</v>
      </c>
      <c r="M87" s="2209">
        <f t="shared" si="60"/>
        <v>83</v>
      </c>
      <c r="N87" s="2209">
        <f t="shared" si="60"/>
        <v>83</v>
      </c>
      <c r="O87" s="2209">
        <f t="shared" si="60"/>
        <v>83</v>
      </c>
      <c r="P87" s="2209">
        <f t="shared" si="60"/>
        <v>83</v>
      </c>
      <c r="Q87" s="2209">
        <f t="shared" si="60"/>
        <v>83</v>
      </c>
      <c r="R87" s="2209">
        <f t="shared" si="60"/>
        <v>83</v>
      </c>
      <c r="S87" s="2209">
        <f t="shared" si="60"/>
        <v>83</v>
      </c>
      <c r="T87" s="2209">
        <f t="shared" si="60"/>
        <v>83</v>
      </c>
      <c r="U87" s="2209">
        <f t="shared" si="60"/>
        <v>83</v>
      </c>
      <c r="V87" s="2209">
        <f t="shared" si="60"/>
        <v>83</v>
      </c>
      <c r="W87" s="2209">
        <f t="shared" si="60"/>
        <v>83</v>
      </c>
      <c r="X87" s="2209">
        <f t="shared" si="60"/>
        <v>83</v>
      </c>
      <c r="Y87" s="2209">
        <f t="shared" si="60"/>
        <v>83</v>
      </c>
      <c r="Z87" s="2214"/>
      <c r="AA87" s="619"/>
      <c r="AE87" s="604">
        <f>+AE76/$AD76</f>
        <v>0</v>
      </c>
      <c r="AF87" s="604">
        <f t="shared" ref="AF87:AJ87" si="61">+AF76/$AD76</f>
        <v>0.44954397203288871</v>
      </c>
      <c r="AG87" s="604">
        <f t="shared" si="61"/>
        <v>0</v>
      </c>
      <c r="AH87" s="604">
        <f t="shared" si="61"/>
        <v>0</v>
      </c>
      <c r="AI87" s="604">
        <f t="shared" si="61"/>
        <v>7.9682831084116168E-2</v>
      </c>
      <c r="AJ87" s="604">
        <f t="shared" si="61"/>
        <v>0.36986114094877254</v>
      </c>
      <c r="AK87" s="604">
        <f t="shared" ref="AK87:AM87" si="62">+AK76/$AD76</f>
        <v>0</v>
      </c>
      <c r="AL87" s="604">
        <f t="shared" si="62"/>
        <v>0</v>
      </c>
      <c r="AM87" s="604">
        <f t="shared" si="62"/>
        <v>0</v>
      </c>
      <c r="AN87" s="604">
        <f>+AN76/$AD76</f>
        <v>0.1009120559342226</v>
      </c>
    </row>
    <row r="88" spans="1:40" ht="18" customHeight="1">
      <c r="A88" s="2562"/>
      <c r="B88" s="2570" t="s">
        <v>96</v>
      </c>
      <c r="C88" s="2216" t="str">
        <f>AB33</f>
        <v>생극산업단지</v>
      </c>
      <c r="D88" s="2207">
        <f>ROUND(IFERROR(INDEX(사회적유입!$AA$4:$AW$165,MATCH($C88,사회적유입!$AA$4:$AA$165,0)-2,2),0)*$Z88,0)</f>
        <v>0</v>
      </c>
      <c r="E88" s="2207">
        <f>ROUND(IFERROR(INDEX(사회적유입!$AA$4:$AW$165,MATCH($C88,사회적유입!$AA$4:$AA$165,0)-2,3),0)*$Z88,0)</f>
        <v>0</v>
      </c>
      <c r="F88" s="2207">
        <f>ROUND(IFERROR(INDEX(사회적유입!$AA$4:$AW$165,MATCH($C88,사회적유입!$AA$4:$AA$165,0)-2,4),0)*$Z88,0)</f>
        <v>0</v>
      </c>
      <c r="G88" s="2207">
        <f>ROUND(IFERROR(INDEX(사회적유입!$AA$4:$AW$165,MATCH($C88,사회적유입!$AA$4:$AA$165,0)-2,5),0)*$Z88,0)</f>
        <v>0</v>
      </c>
      <c r="H88" s="2207">
        <v>0</v>
      </c>
      <c r="I88" s="2207">
        <f>ROUND(IFERROR(INDEX(사회적유입!$AA$4:$AW$165,MATCH($C88,사회적유입!$AA$4:$AA$165,0)-2,7),0)*$Z88,0)-114</f>
        <v>153</v>
      </c>
      <c r="J88" s="2207">
        <v>331</v>
      </c>
      <c r="K88" s="2207">
        <v>331</v>
      </c>
      <c r="L88" s="2207">
        <v>331</v>
      </c>
      <c r="M88" s="2207">
        <v>331</v>
      </c>
      <c r="N88" s="2207">
        <v>331</v>
      </c>
      <c r="O88" s="2207">
        <v>331</v>
      </c>
      <c r="P88" s="2207">
        <v>331</v>
      </c>
      <c r="Q88" s="2207">
        <v>331</v>
      </c>
      <c r="R88" s="2207">
        <v>331</v>
      </c>
      <c r="S88" s="2207">
        <v>331</v>
      </c>
      <c r="T88" s="2207">
        <v>331</v>
      </c>
      <c r="U88" s="2207">
        <v>331</v>
      </c>
      <c r="V88" s="2207">
        <v>331</v>
      </c>
      <c r="W88" s="2207">
        <v>331</v>
      </c>
      <c r="X88" s="2207">
        <v>331</v>
      </c>
      <c r="Y88" s="2207">
        <v>331</v>
      </c>
      <c r="Z88" s="2213">
        <f>VLOOKUP(C88,$AB$5:$AN$57,11,FALSE)</f>
        <v>0.6</v>
      </c>
      <c r="AA88" s="619"/>
    </row>
    <row r="89" spans="1:40" ht="18" customHeight="1">
      <c r="A89" s="2562"/>
      <c r="B89" s="2570"/>
      <c r="C89" s="2216" t="str">
        <f>AB38</f>
        <v>육령일반산업단지</v>
      </c>
      <c r="D89" s="2207">
        <f>ROUND(IFERROR(INDEX(사회적유입!$AA$4:$AW$165,MATCH($C89,사회적유입!$AA$4:$AA$165,0)-2,2),0)*$Z89,0)</f>
        <v>0</v>
      </c>
      <c r="E89" s="2207">
        <f>ROUND(IFERROR(INDEX(사회적유입!$AA$4:$AW$165,MATCH($C89,사회적유입!$AA$4:$AA$165,0)-2,3),0)*$Z89,0)</f>
        <v>0</v>
      </c>
      <c r="F89" s="2207">
        <f>ROUND(IFERROR(INDEX(사회적유입!$AA$4:$AW$165,MATCH($C89,사회적유입!$AA$4:$AA$165,0)-2,4),0)*$Z89,0)</f>
        <v>0</v>
      </c>
      <c r="G89" s="2207">
        <f>ROUND(IFERROR(INDEX(사회적유입!$AA$4:$AW$165,MATCH($C89,사회적유입!$AA$4:$AA$165,0)-2,5),0)*$Z89,0)</f>
        <v>0</v>
      </c>
      <c r="H89" s="2207">
        <f>ROUND(IFERROR(INDEX(사회적유입!$AA$4:$AW$165,MATCH($C89,사회적유입!$AA$4:$AA$165,0)-2,6),0)*$Z89,0)</f>
        <v>0</v>
      </c>
      <c r="I89" s="2207">
        <f>ROUND(IFERROR(INDEX(사회적유입!$AA$4:$AW$165,MATCH($C89,사회적유입!$AA$4:$AA$165,0)-2,7),0)*$Z89,0)</f>
        <v>0</v>
      </c>
      <c r="J89" s="2207">
        <f>ROUND(IFERROR(INDEX(사회적유입!$AA$4:$AW$165,MATCH($C89,사회적유입!$AA$4:$AA$165,0)-2,8),0)*$Z89,0)</f>
        <v>1</v>
      </c>
      <c r="K89" s="2207">
        <f>ROUND(IFERROR(INDEX(사회적유입!$AA$4:$AW$165,MATCH($C89,사회적유입!$AA$4:$AA$165,0)-2,9),0)*$Z89,0)</f>
        <v>3</v>
      </c>
      <c r="L89" s="2207">
        <f>ROUND(IFERROR(INDEX(사회적유입!$AA$4:$AW$165,MATCH($C89,사회적유입!$AA$4:$AA$165,0)-2,10),0)*$Z89,0)</f>
        <v>5</v>
      </c>
      <c r="M89" s="2207">
        <f>ROUND(IFERROR(INDEX(사회적유입!$AA$4:$AW$165,MATCH($C89,사회적유입!$AA$4:$AA$165,0)-2,11),0)*$Z89,0)</f>
        <v>5</v>
      </c>
      <c r="N89" s="2207">
        <f>ROUND(IFERROR(INDEX(사회적유입!$AA$4:$AW$165,MATCH($C89,사회적유입!$AA$4:$AA$165,0)-2,12),0)*$Z89,0)</f>
        <v>5</v>
      </c>
      <c r="O89" s="2207">
        <f>ROUND(IFERROR(INDEX(사회적유입!$AA$4:$AW$165,MATCH($C89,사회적유입!$AA$4:$AA$165,0)-2,13),0)*$Z89,0)</f>
        <v>5</v>
      </c>
      <c r="P89" s="2207">
        <f>ROUND(IFERROR(INDEX(사회적유입!$AA$4:$AW$165,MATCH($C89,사회적유입!$AA$4:$AA$165,0)-2,14),0)*$Z89,0)</f>
        <v>5</v>
      </c>
      <c r="Q89" s="2207">
        <f>ROUND(IFERROR(INDEX(사회적유입!$AA$4:$AW$165,MATCH($C89,사회적유입!$AA$4:$AA$165,0)-2,15),0)*$Z89,0)</f>
        <v>5</v>
      </c>
      <c r="R89" s="2207">
        <f>ROUND(IFERROR(INDEX(사회적유입!$AA$4:$AW$165,MATCH($C89,사회적유입!$AA$4:$AA$165,0)-2,16),0)*$Z89,0)</f>
        <v>5</v>
      </c>
      <c r="S89" s="2207">
        <f>ROUND(IFERROR(INDEX(사회적유입!$AA$4:$AW$165,MATCH($C89,사회적유입!$AA$4:$AA$165,0)-2,17),0)*$Z89,0)</f>
        <v>5</v>
      </c>
      <c r="T89" s="2207">
        <f>ROUND(IFERROR(INDEX(사회적유입!$AA$4:$AW$165,MATCH($C89,사회적유입!$AA$4:$AA$165,0)-2,18),0)*$Z89,0)</f>
        <v>5</v>
      </c>
      <c r="U89" s="2207">
        <f>ROUND(IFERROR(INDEX(사회적유입!$AA$4:$AW$165,MATCH($C89,사회적유입!$AA$4:$AA$165,0)-2,19),0)*$Z89,0)</f>
        <v>5</v>
      </c>
      <c r="V89" s="2207">
        <f>ROUND(IFERROR(INDEX(사회적유입!$AA$4:$AW$165,MATCH($C89,사회적유입!$AA$4:$AA$165,0)-2,20),0)*$Z89,0)</f>
        <v>5</v>
      </c>
      <c r="W89" s="2207">
        <f>ROUND(IFERROR(INDEX(사회적유입!$AA$4:$AW$165,MATCH($C89,사회적유입!$AA$4:$AA$165,0)-2,21),0)*$Z89,0)</f>
        <v>5</v>
      </c>
      <c r="X89" s="2207">
        <f>ROUND(IFERROR(INDEX(사회적유입!$AA$4:$AW$165,MATCH($C89,사회적유입!$AA$4:$AA$165,0)-2,22),0)*$Z89,0)</f>
        <v>5</v>
      </c>
      <c r="Y89" s="2207">
        <f>ROUND(IFERROR(INDEX(사회적유입!$AA$4:$AW$165,MATCH($C89,사회적유입!$AA$4:$AA$165,0)-2,23),0)*$Z89,0)</f>
        <v>5</v>
      </c>
      <c r="Z89" s="2213">
        <f>VLOOKUP(C89,$AB$5:$AN$57,11,FALSE)</f>
        <v>0.2</v>
      </c>
      <c r="AA89" s="619"/>
    </row>
    <row r="90" spans="1:40" ht="18" customHeight="1">
      <c r="A90" s="2562"/>
      <c r="B90" s="2570"/>
      <c r="C90" s="2208" t="s">
        <v>72</v>
      </c>
      <c r="D90" s="2209">
        <f>SUM(D88:D89)</f>
        <v>0</v>
      </c>
      <c r="E90" s="2209">
        <f t="shared" ref="E90:Y90" si="63">SUM(E88:E89)</f>
        <v>0</v>
      </c>
      <c r="F90" s="2209">
        <f t="shared" si="63"/>
        <v>0</v>
      </c>
      <c r="G90" s="2209">
        <f t="shared" si="63"/>
        <v>0</v>
      </c>
      <c r="H90" s="2209">
        <f t="shared" si="63"/>
        <v>0</v>
      </c>
      <c r="I90" s="2209">
        <f t="shared" si="63"/>
        <v>153</v>
      </c>
      <c r="J90" s="2209">
        <f t="shared" si="63"/>
        <v>332</v>
      </c>
      <c r="K90" s="2209">
        <f t="shared" si="63"/>
        <v>334</v>
      </c>
      <c r="L90" s="2209">
        <f t="shared" si="63"/>
        <v>336</v>
      </c>
      <c r="M90" s="2209">
        <f t="shared" si="63"/>
        <v>336</v>
      </c>
      <c r="N90" s="2209">
        <f t="shared" si="63"/>
        <v>336</v>
      </c>
      <c r="O90" s="2209">
        <f t="shared" si="63"/>
        <v>336</v>
      </c>
      <c r="P90" s="2209">
        <f t="shared" si="63"/>
        <v>336</v>
      </c>
      <c r="Q90" s="2209">
        <f t="shared" si="63"/>
        <v>336</v>
      </c>
      <c r="R90" s="2209">
        <f t="shared" si="63"/>
        <v>336</v>
      </c>
      <c r="S90" s="2209">
        <f t="shared" si="63"/>
        <v>336</v>
      </c>
      <c r="T90" s="2209">
        <f t="shared" si="63"/>
        <v>336</v>
      </c>
      <c r="U90" s="2209">
        <f t="shared" si="63"/>
        <v>336</v>
      </c>
      <c r="V90" s="2209">
        <f t="shared" si="63"/>
        <v>336</v>
      </c>
      <c r="W90" s="2209">
        <f t="shared" si="63"/>
        <v>336</v>
      </c>
      <c r="X90" s="2209">
        <f t="shared" si="63"/>
        <v>336</v>
      </c>
      <c r="Y90" s="2209">
        <f t="shared" si="63"/>
        <v>336</v>
      </c>
      <c r="Z90" s="2214"/>
      <c r="AA90" s="619"/>
    </row>
    <row r="91" spans="1:40" ht="18" customHeight="1">
      <c r="A91" s="2563"/>
      <c r="B91" s="2579" t="s">
        <v>7</v>
      </c>
      <c r="C91" s="2579"/>
      <c r="D91" s="2211">
        <f>SUM(D87,D90,D85)</f>
        <v>0</v>
      </c>
      <c r="E91" s="2211">
        <f t="shared" ref="E91:Y91" si="64">SUM(E87,E90,E85)</f>
        <v>0</v>
      </c>
      <c r="F91" s="2211">
        <f t="shared" si="64"/>
        <v>0</v>
      </c>
      <c r="G91" s="2211">
        <f t="shared" si="64"/>
        <v>0</v>
      </c>
      <c r="H91" s="2211">
        <f t="shared" si="64"/>
        <v>0</v>
      </c>
      <c r="I91" s="2211">
        <f t="shared" si="64"/>
        <v>236</v>
      </c>
      <c r="J91" s="2211">
        <f t="shared" si="64"/>
        <v>415</v>
      </c>
      <c r="K91" s="2211">
        <f t="shared" si="64"/>
        <v>417</v>
      </c>
      <c r="L91" s="2211">
        <f t="shared" si="64"/>
        <v>419</v>
      </c>
      <c r="M91" s="2211">
        <f t="shared" si="64"/>
        <v>419</v>
      </c>
      <c r="N91" s="2211">
        <f t="shared" si="64"/>
        <v>419</v>
      </c>
      <c r="O91" s="2211">
        <f t="shared" si="64"/>
        <v>419</v>
      </c>
      <c r="P91" s="2211">
        <f t="shared" si="64"/>
        <v>419</v>
      </c>
      <c r="Q91" s="2211">
        <f t="shared" si="64"/>
        <v>419</v>
      </c>
      <c r="R91" s="2211">
        <f t="shared" si="64"/>
        <v>419</v>
      </c>
      <c r="S91" s="2211">
        <f t="shared" si="64"/>
        <v>419</v>
      </c>
      <c r="T91" s="2211">
        <f t="shared" si="64"/>
        <v>419</v>
      </c>
      <c r="U91" s="2211">
        <f t="shared" si="64"/>
        <v>419</v>
      </c>
      <c r="V91" s="2211">
        <f t="shared" si="64"/>
        <v>419</v>
      </c>
      <c r="W91" s="2211">
        <f t="shared" si="64"/>
        <v>419</v>
      </c>
      <c r="X91" s="2211">
        <f t="shared" si="64"/>
        <v>419</v>
      </c>
      <c r="Y91" s="2211">
        <f t="shared" si="64"/>
        <v>2750</v>
      </c>
      <c r="Z91" s="2215"/>
    </row>
    <row r="92" spans="1:40" ht="18" customHeight="1">
      <c r="A92" s="2561" t="s">
        <v>753</v>
      </c>
      <c r="B92" s="2569" t="s">
        <v>433</v>
      </c>
      <c r="C92" s="2204" t="str">
        <f>AB20</f>
        <v>포그니아파트</v>
      </c>
      <c r="D92" s="2205">
        <f>ROUND(IFERROR(VLOOKUP($C92,사회적유입!$AA$5:$AW$167,2,FALSE),0)*$Z92,0)</f>
        <v>0</v>
      </c>
      <c r="E92" s="2205">
        <f>ROUND(IFERROR(VLOOKUP($C92,사회적유입!$AA$5:$AW$167,3,FALSE),0)*$Z92,0)</f>
        <v>0</v>
      </c>
      <c r="F92" s="2205">
        <f>ROUND(IFERROR(VLOOKUP($C92,사회적유입!$AA$5:$AW$167,4,FALSE),0)*$Z92,0)</f>
        <v>0</v>
      </c>
      <c r="G92" s="2205">
        <f>ROUND(IFERROR(VLOOKUP($C92,사회적유입!$AA$5:$AW$167,5,FALSE),0)*$Z92,0)</f>
        <v>0</v>
      </c>
      <c r="H92" s="2205">
        <f>ROUND(IFERROR(VLOOKUP($C92,사회적유입!$AA$5:$AW$167,6,FALSE),0)*$Z92,0)</f>
        <v>231</v>
      </c>
      <c r="I92" s="2205">
        <f>ROUND(IFERROR(VLOOKUP($C92,사회적유입!$AA$5:$AW$167,7,FALSE),0)*$Z92,0)</f>
        <v>231</v>
      </c>
      <c r="J92" s="2205">
        <f>ROUND(IFERROR(VLOOKUP($C92,사회적유입!$AA$5:$AW$167,8,FALSE),0)*$Z92,0)</f>
        <v>231</v>
      </c>
      <c r="K92" s="2205">
        <f>ROUND(IFERROR(VLOOKUP($C92,사회적유입!$AA$5:$AW$167,9,FALSE),0)*$Z92,0)</f>
        <v>231</v>
      </c>
      <c r="L92" s="2205">
        <f>ROUND(IFERROR(VLOOKUP($C92,사회적유입!$AA$5:$AW$167,10,FALSE),0)*$Z92,0)</f>
        <v>231</v>
      </c>
      <c r="M92" s="2205">
        <f>ROUND(IFERROR(VLOOKUP($C92,사회적유입!$AA$5:$AW$167,11,FALSE),0)*$Z92,0)</f>
        <v>231</v>
      </c>
      <c r="N92" s="2205">
        <f>ROUND(IFERROR(VLOOKUP($C92,사회적유입!$AA$5:$AW$167,12,FALSE),0)*$Z92,0)</f>
        <v>231</v>
      </c>
      <c r="O92" s="2205">
        <f>ROUND(IFERROR(VLOOKUP($C92,사회적유입!$AA$5:$AW$167,13,FALSE),0)*$Z92,0)</f>
        <v>231</v>
      </c>
      <c r="P92" s="2205">
        <f>ROUND(IFERROR(VLOOKUP($C92,사회적유입!$AA$5:$AW$167,14,FALSE),0)*$Z92,0)</f>
        <v>231</v>
      </c>
      <c r="Q92" s="2205">
        <f>ROUND(IFERROR(VLOOKUP($C92,사회적유입!$AA$5:$AW$167,15,FALSE),0)*$Z92,0)</f>
        <v>231</v>
      </c>
      <c r="R92" s="2205">
        <f>ROUND(IFERROR(VLOOKUP($C92,사회적유입!$AA$5:$AW$167,16,FALSE),0)*$Z92,0)</f>
        <v>231</v>
      </c>
      <c r="S92" s="2205">
        <f>ROUND(IFERROR(VLOOKUP($C92,사회적유입!$AA$5:$AW$167,17,FALSE),0)*$Z92,0)</f>
        <v>231</v>
      </c>
      <c r="T92" s="2205">
        <f>ROUND(IFERROR(VLOOKUP($C92,사회적유입!$AA$5:$AW$167,18,FALSE),0)*$Z92,0)</f>
        <v>231</v>
      </c>
      <c r="U92" s="2205">
        <f>ROUND(IFERROR(VLOOKUP($C92,사회적유입!$AA$5:$AW$167,19,FALSE),0)*$Z92,0)</f>
        <v>231</v>
      </c>
      <c r="V92" s="2205">
        <f>ROUND(IFERROR(VLOOKUP($C92,사회적유입!$AA$5:$AW$167,20,FALSE),0)*$Z92,0)</f>
        <v>231</v>
      </c>
      <c r="W92" s="2205">
        <f>ROUND(IFERROR(VLOOKUP($C92,사회적유입!$AA$5:$AW$167,21,FALSE),0)*$Z92,0)</f>
        <v>231</v>
      </c>
      <c r="X92" s="2205">
        <f>ROUND(IFERROR(VLOOKUP($C92,사회적유입!$AA$5:$AW$167,22,FALSE),0)*$Z92,0)</f>
        <v>231</v>
      </c>
      <c r="Y92" s="2205">
        <f>ROUND(IFERROR(VLOOKUP($C92,사회적유입!$AA$5:$AW$167,23,FALSE),0)*$Z92,0)</f>
        <v>231</v>
      </c>
      <c r="Z92" s="2212">
        <f>VLOOKUP(C92,$AB$5:$AN$57,12,FALSE)</f>
        <v>1</v>
      </c>
    </row>
    <row r="93" spans="1:40" ht="18" customHeight="1">
      <c r="A93" s="2562"/>
      <c r="B93" s="2570"/>
      <c r="C93" s="2206" t="str">
        <f>AB22</f>
        <v>대신리치빌</v>
      </c>
      <c r="D93" s="2207">
        <f>ROUND(IFERROR(VLOOKUP($C93,사회적유입!$AA$5:$AW$167,2,FALSE),0)*$Z93,0)</f>
        <v>0</v>
      </c>
      <c r="E93" s="2207">
        <f>ROUND(IFERROR(VLOOKUP($C93,사회적유입!$AA$5:$AW$167,3,FALSE),0)*$Z93,0)</f>
        <v>0</v>
      </c>
      <c r="F93" s="2207">
        <f>ROUND(IFERROR(VLOOKUP($C93,사회적유입!$AA$5:$AW$167,4,FALSE),0)*$Z93,0)</f>
        <v>0</v>
      </c>
      <c r="G93" s="2207">
        <f>ROUND(IFERROR(VLOOKUP($C93,사회적유입!$AA$5:$AW$167,5,FALSE),0)*$Z93,0)</f>
        <v>0</v>
      </c>
      <c r="H93" s="2207">
        <f>ROUND(IFERROR(VLOOKUP($C93,사회적유입!$AA$5:$AW$167,6,FALSE),0)*$Z93,0)</f>
        <v>113</v>
      </c>
      <c r="I93" s="2207">
        <f>ROUND(IFERROR(VLOOKUP($C93,사회적유입!$AA$5:$AW$167,7,FALSE),0)*$Z93,0)</f>
        <v>113</v>
      </c>
      <c r="J93" s="2207">
        <f>ROUND(IFERROR(VLOOKUP($C93,사회적유입!$AA$5:$AW$167,8,FALSE),0)*$Z93,0)</f>
        <v>113</v>
      </c>
      <c r="K93" s="2207">
        <f>ROUND(IFERROR(VLOOKUP($C93,사회적유입!$AA$5:$AW$167,9,FALSE),0)*$Z93,0)</f>
        <v>113</v>
      </c>
      <c r="L93" s="2207">
        <f>ROUND(IFERROR(VLOOKUP($C93,사회적유입!$AA$5:$AW$167,10,FALSE),0)*$Z93,0)</f>
        <v>113</v>
      </c>
      <c r="M93" s="2207">
        <f>ROUND(IFERROR(VLOOKUP($C93,사회적유입!$AA$5:$AW$167,11,FALSE),0)*$Z93,0)</f>
        <v>113</v>
      </c>
      <c r="N93" s="2207">
        <f>ROUND(IFERROR(VLOOKUP($C93,사회적유입!$AA$5:$AW$167,12,FALSE),0)*$Z93,0)</f>
        <v>113</v>
      </c>
      <c r="O93" s="2207">
        <f>ROUND(IFERROR(VLOOKUP($C93,사회적유입!$AA$5:$AW$167,13,FALSE),0)*$Z93,0)</f>
        <v>113</v>
      </c>
      <c r="P93" s="2207">
        <f>ROUND(IFERROR(VLOOKUP($C93,사회적유입!$AA$5:$AW$167,14,FALSE),0)*$Z93,0)</f>
        <v>113</v>
      </c>
      <c r="Q93" s="2207">
        <f>ROUND(IFERROR(VLOOKUP($C93,사회적유입!$AA$5:$AW$167,15,FALSE),0)*$Z93,0)</f>
        <v>113</v>
      </c>
      <c r="R93" s="2207">
        <f>ROUND(IFERROR(VLOOKUP($C93,사회적유입!$AA$5:$AW$167,16,FALSE),0)*$Z93,0)</f>
        <v>113</v>
      </c>
      <c r="S93" s="2207">
        <f>ROUND(IFERROR(VLOOKUP($C93,사회적유입!$AA$5:$AW$167,17,FALSE),0)*$Z93,0)</f>
        <v>113</v>
      </c>
      <c r="T93" s="2207">
        <f>ROUND(IFERROR(VLOOKUP($C93,사회적유입!$AA$5:$AW$167,18,FALSE),0)*$Z93,0)</f>
        <v>113</v>
      </c>
      <c r="U93" s="2207">
        <f>ROUND(IFERROR(VLOOKUP($C93,사회적유입!$AA$5:$AW$167,19,FALSE),0)*$Z93,0)</f>
        <v>113</v>
      </c>
      <c r="V93" s="2207">
        <f>ROUND(IFERROR(VLOOKUP($C93,사회적유입!$AA$5:$AW$167,20,FALSE),0)*$Z93,0)</f>
        <v>113</v>
      </c>
      <c r="W93" s="2207">
        <f>ROUND(IFERROR(VLOOKUP($C93,사회적유입!$AA$5:$AW$167,21,FALSE),0)*$Z93,0)</f>
        <v>113</v>
      </c>
      <c r="X93" s="2207">
        <f>ROUND(IFERROR(VLOOKUP($C93,사회적유입!$AA$5:$AW$167,22,FALSE),0)*$Z93,0)</f>
        <v>113</v>
      </c>
      <c r="Y93" s="2207">
        <f>ROUND(IFERROR(VLOOKUP($C93,사회적유입!$AA$5:$AW$167,23,FALSE),0)*$Z93,0)</f>
        <v>113</v>
      </c>
      <c r="Z93" s="2213">
        <f>VLOOKUP(C93,$AB$5:$AN$57,12,FALSE)</f>
        <v>1</v>
      </c>
    </row>
    <row r="94" spans="1:40" ht="18" customHeight="1">
      <c r="A94" s="2562"/>
      <c r="B94" s="2570"/>
      <c r="C94" s="2206" t="str">
        <f>AB25</f>
        <v>감곡 오향리 아파트</v>
      </c>
      <c r="D94" s="2207">
        <f>ROUND(IFERROR(VLOOKUP($C94,사회적유입!$AA$5:$AW$167,2,FALSE),0)*$Z94,0)</f>
        <v>0</v>
      </c>
      <c r="E94" s="2207">
        <f>ROUND(IFERROR(VLOOKUP($C94,사회적유입!$AA$5:$AW$167,3,FALSE),0)*$Z94,0)</f>
        <v>0</v>
      </c>
      <c r="F94" s="2207">
        <f>ROUND(IFERROR(VLOOKUP($C94,사회적유입!$AA$5:$AW$167,4,FALSE),0)*$Z94,0)</f>
        <v>0</v>
      </c>
      <c r="G94" s="2207">
        <f>ROUND(IFERROR(VLOOKUP($C94,사회적유입!$AA$5:$AW$167,5,FALSE),0)*$Z94,0)</f>
        <v>0</v>
      </c>
      <c r="H94" s="2207">
        <f>ROUND(IFERROR(VLOOKUP($C94,사회적유입!$AA$5:$AW$167,6,FALSE),0)*$Z94,0)</f>
        <v>0</v>
      </c>
      <c r="I94" s="2207">
        <f>ROUND(IFERROR(VLOOKUP($C94,사회적유입!$AA$5:$AW$167,7,FALSE),0)*$Z94,0)</f>
        <v>0</v>
      </c>
      <c r="J94" s="2207">
        <f>ROUND(IFERROR(VLOOKUP($C94,사회적유입!$AA$5:$AW$167,8,FALSE),0)*$Z94,0)</f>
        <v>0</v>
      </c>
      <c r="K94" s="2207">
        <f>ROUND(IFERROR(VLOOKUP($C94,사회적유입!$AA$5:$AW$167,9,FALSE),0)*$Z94,0)</f>
        <v>0</v>
      </c>
      <c r="L94" s="2207">
        <f>ROUND(IFERROR(VLOOKUP($C94,사회적유입!$AA$5:$AW$167,10,FALSE),0)*$Z94,0)</f>
        <v>0</v>
      </c>
      <c r="M94" s="2207">
        <f>ROUND(IFERROR(VLOOKUP($C94,사회적유입!$AA$5:$AW$167,11,FALSE),0)*$Z94,0)</f>
        <v>0</v>
      </c>
      <c r="N94" s="2207">
        <f>ROUND(IFERROR(VLOOKUP($C94,사회적유입!$AA$5:$AW$167,12,FALSE),0)*$Z94,0)</f>
        <v>0</v>
      </c>
      <c r="O94" s="2207">
        <f>ROUND(IFERROR(VLOOKUP($C94,사회적유입!$AA$5:$AW$167,13,FALSE),0)*$Z94,0)</f>
        <v>549</v>
      </c>
      <c r="P94" s="2207">
        <f>ROUND(IFERROR(VLOOKUP($C94,사회적유입!$AA$5:$AW$167,14,FALSE),0)*$Z94,0)</f>
        <v>549</v>
      </c>
      <c r="Q94" s="2207">
        <f>ROUND(IFERROR(VLOOKUP($C94,사회적유입!$AA$5:$AW$167,15,FALSE),0)*$Z94,0)</f>
        <v>549</v>
      </c>
      <c r="R94" s="2207">
        <f>ROUND(IFERROR(VLOOKUP($C94,사회적유입!$AA$5:$AW$167,16,FALSE),0)*$Z94,0)</f>
        <v>549</v>
      </c>
      <c r="S94" s="2207">
        <f>ROUND(IFERROR(VLOOKUP($C94,사회적유입!$AA$5:$AW$167,17,FALSE),0)*$Z94,0)</f>
        <v>549</v>
      </c>
      <c r="T94" s="2207">
        <f>ROUND(IFERROR(VLOOKUP($C94,사회적유입!$AA$5:$AW$167,18,FALSE),0)*$Z94,0)</f>
        <v>549</v>
      </c>
      <c r="U94" s="2207">
        <f>ROUND(IFERROR(VLOOKUP($C94,사회적유입!$AA$5:$AW$167,19,FALSE),0)*$Z94,0)</f>
        <v>549</v>
      </c>
      <c r="V94" s="2207">
        <f>ROUND(IFERROR(VLOOKUP($C94,사회적유입!$AA$5:$AW$167,20,FALSE),0)*$Z94,0)</f>
        <v>549</v>
      </c>
      <c r="W94" s="2207">
        <f>ROUND(IFERROR(VLOOKUP($C94,사회적유입!$AA$5:$AW$167,21,FALSE),0)*$Z94,0)</f>
        <v>549</v>
      </c>
      <c r="X94" s="2207">
        <f>ROUND(IFERROR(VLOOKUP($C94,사회적유입!$AA$5:$AW$167,22,FALSE),0)*$Z94,0)</f>
        <v>549</v>
      </c>
      <c r="Y94" s="2207">
        <f>ROUND(IFERROR(VLOOKUP($C94,사회적유입!$AA$5:$AW$167,23,FALSE),0)*$Z94,0)</f>
        <v>549</v>
      </c>
      <c r="Z94" s="2213">
        <f>VLOOKUP(C94,$AB$5:$AN$57,12,FALSE)</f>
        <v>1</v>
      </c>
    </row>
    <row r="95" spans="1:40" ht="18" customHeight="1">
      <c r="A95" s="2562"/>
      <c r="B95" s="2570"/>
      <c r="C95" s="2208" t="s">
        <v>72</v>
      </c>
      <c r="D95" s="2209">
        <f t="shared" ref="D95:Y95" si="65">SUM(D92:D94)</f>
        <v>0</v>
      </c>
      <c r="E95" s="2209">
        <f t="shared" si="65"/>
        <v>0</v>
      </c>
      <c r="F95" s="2209">
        <f t="shared" si="65"/>
        <v>0</v>
      </c>
      <c r="G95" s="2209">
        <f t="shared" si="65"/>
        <v>0</v>
      </c>
      <c r="H95" s="2209">
        <f t="shared" si="65"/>
        <v>344</v>
      </c>
      <c r="I95" s="2209">
        <f t="shared" si="65"/>
        <v>344</v>
      </c>
      <c r="J95" s="2209">
        <f t="shared" si="65"/>
        <v>344</v>
      </c>
      <c r="K95" s="2209">
        <f t="shared" si="65"/>
        <v>344</v>
      </c>
      <c r="L95" s="2209">
        <f t="shared" si="65"/>
        <v>344</v>
      </c>
      <c r="M95" s="2209">
        <f t="shared" si="65"/>
        <v>344</v>
      </c>
      <c r="N95" s="2209">
        <f t="shared" si="65"/>
        <v>344</v>
      </c>
      <c r="O95" s="2209">
        <f t="shared" si="65"/>
        <v>893</v>
      </c>
      <c r="P95" s="2209">
        <f t="shared" si="65"/>
        <v>893</v>
      </c>
      <c r="Q95" s="2209">
        <f t="shared" si="65"/>
        <v>893</v>
      </c>
      <c r="R95" s="2209">
        <f t="shared" si="65"/>
        <v>893</v>
      </c>
      <c r="S95" s="2209">
        <f t="shared" si="65"/>
        <v>893</v>
      </c>
      <c r="T95" s="2209">
        <f t="shared" si="65"/>
        <v>893</v>
      </c>
      <c r="U95" s="2209">
        <f t="shared" si="65"/>
        <v>893</v>
      </c>
      <c r="V95" s="2209">
        <f t="shared" si="65"/>
        <v>893</v>
      </c>
      <c r="W95" s="2209">
        <f t="shared" si="65"/>
        <v>893</v>
      </c>
      <c r="X95" s="2209">
        <f t="shared" si="65"/>
        <v>893</v>
      </c>
      <c r="Y95" s="2209">
        <f t="shared" si="65"/>
        <v>893</v>
      </c>
      <c r="Z95" s="2214"/>
    </row>
    <row r="96" spans="1:40" ht="18" customHeight="1">
      <c r="A96" s="2562"/>
      <c r="B96" s="2570" t="s">
        <v>96</v>
      </c>
      <c r="C96" s="2216" t="str">
        <f>AB29</f>
        <v>상우산업단지</v>
      </c>
      <c r="D96" s="2207">
        <f>ROUND(IFERROR(INDEX(사회적유입!$AA$4:$AW$165,MATCH($C96,사회적유입!$AA$4:$AA$165,0)-2,2),0)*$Z96,0)</f>
        <v>0</v>
      </c>
      <c r="E96" s="2207">
        <f>ROUND(IFERROR(INDEX(사회적유입!$AA$4:$AW$165,MATCH($C96,사회적유입!$AA$4:$AA$165,0)-2,3),0)*$Z96,0)</f>
        <v>0</v>
      </c>
      <c r="F96" s="2207">
        <f>ROUND(IFERROR(INDEX(사회적유입!$AA$4:$AW$165,MATCH($C96,사회적유입!$AA$4:$AA$165,0)-2,4),0)*$Z96,0)</f>
        <v>0</v>
      </c>
      <c r="G96" s="2207">
        <f>ROUND(IFERROR(INDEX(사회적유입!$AA$4:$AW$165,MATCH($C96,사회적유입!$AA$4:$AA$165,0)-2,5),0)*$Z96,0)</f>
        <v>0</v>
      </c>
      <c r="H96" s="2207">
        <f>ROUND(IFERROR(INDEX(사회적유입!$AA$4:$AW$165,MATCH($C96,사회적유입!$AA$4:$AA$165,0)-2,6),0)*$Z96,0)</f>
        <v>0</v>
      </c>
      <c r="I96" s="2207">
        <f>ROUND(IFERROR(INDEX(사회적유입!$AA$4:$AW$165,MATCH($C96,사회적유입!$AA$4:$AA$165,0)-2,7),0)*$Z96,0)</f>
        <v>0</v>
      </c>
      <c r="J96" s="2207">
        <f>ROUND(IFERROR(INDEX(사회적유입!$AA$4:$AW$165,MATCH($C96,사회적유입!$AA$4:$AA$165,0)-2,8),0)*$Z96,0)</f>
        <v>202</v>
      </c>
      <c r="K96" s="2207">
        <f>ROUND(IFERROR(INDEX(사회적유입!$AA$4:$AW$165,MATCH($C96,사회적유입!$AA$4:$AA$165,0)-2,9),0)*$Z96,0)</f>
        <v>607</v>
      </c>
      <c r="L96" s="2207">
        <f>ROUND(IFERROR(INDEX(사회적유입!$AA$4:$AW$165,MATCH($C96,사회적유입!$AA$4:$AA$165,0)-2,10),0)*$Z96,0)</f>
        <v>1012</v>
      </c>
      <c r="M96" s="2207">
        <f>ROUND(IFERROR(INDEX(사회적유입!$AA$4:$AW$165,MATCH($C96,사회적유입!$AA$4:$AA$165,0)-2,11),0)*$Z96,0)</f>
        <v>1012</v>
      </c>
      <c r="N96" s="2207">
        <f>ROUND(IFERROR(INDEX(사회적유입!$AA$4:$AW$165,MATCH($C96,사회적유입!$AA$4:$AA$165,0)-2,12),0)*$Z96,0)</f>
        <v>1012</v>
      </c>
      <c r="O96" s="2207">
        <f>ROUND(IFERROR(INDEX(사회적유입!$AA$4:$AW$165,MATCH($C96,사회적유입!$AA$4:$AA$165,0)-2,13),0)*$Z96,0)</f>
        <v>1012</v>
      </c>
      <c r="P96" s="2207">
        <f>ROUND(IFERROR(INDEX(사회적유입!$AA$4:$AW$165,MATCH($C96,사회적유입!$AA$4:$AA$165,0)-2,14),0)*$Z96,0)</f>
        <v>1012</v>
      </c>
      <c r="Q96" s="2207">
        <f>ROUND(IFERROR(INDEX(사회적유입!$AA$4:$AW$165,MATCH($C96,사회적유입!$AA$4:$AA$165,0)-2,15),0)*$Z96,0)</f>
        <v>1012</v>
      </c>
      <c r="R96" s="2207">
        <f>ROUND(IFERROR(INDEX(사회적유입!$AA$4:$AW$165,MATCH($C96,사회적유입!$AA$4:$AA$165,0)-2,16),0)*$Z96,0)</f>
        <v>1012</v>
      </c>
      <c r="S96" s="2207">
        <f>ROUND(IFERROR(INDEX(사회적유입!$AA$4:$AW$165,MATCH($C96,사회적유입!$AA$4:$AA$165,0)-2,17),0)*$Z96,0)</f>
        <v>1012</v>
      </c>
      <c r="T96" s="2207">
        <f>ROUND(IFERROR(INDEX(사회적유입!$AA$4:$AW$165,MATCH($C96,사회적유입!$AA$4:$AA$165,0)-2,18),0)*$Z96,0)</f>
        <v>1012</v>
      </c>
      <c r="U96" s="2207">
        <f>ROUND(IFERROR(INDEX(사회적유입!$AA$4:$AW$165,MATCH($C96,사회적유입!$AA$4:$AA$165,0)-2,19),0)*$Z96,0)</f>
        <v>1012</v>
      </c>
      <c r="V96" s="2207">
        <f>ROUND(IFERROR(INDEX(사회적유입!$AA$4:$AW$165,MATCH($C96,사회적유입!$AA$4:$AA$165,0)-2,20),0)*$Z96,0)</f>
        <v>1012</v>
      </c>
      <c r="W96" s="2207">
        <f>ROUND(IFERROR(INDEX(사회적유입!$AA$4:$AW$165,MATCH($C96,사회적유입!$AA$4:$AA$165,0)-2,21),0)*$Z96,0)</f>
        <v>1012</v>
      </c>
      <c r="X96" s="2207">
        <f>ROUND(IFERROR(INDEX(사회적유입!$AA$4:$AW$165,MATCH($C96,사회적유입!$AA$4:$AA$165,0)-2,22),0)*$Z96,0)</f>
        <v>1012</v>
      </c>
      <c r="Y96" s="2207">
        <f>ROUND(IFERROR(INDEX(사회적유입!$AA$4:$AW$165,MATCH($C96,사회적유입!$AA$4:$AA$165,0)-2,23),0)*$Z96,0)</f>
        <v>1012</v>
      </c>
      <c r="Z96" s="2213">
        <f>VLOOKUP(C96,$AB$5:$AN$57,12,FALSE)</f>
        <v>1</v>
      </c>
      <c r="AC96" s="195"/>
      <c r="AD96" s="195"/>
      <c r="AE96" s="195"/>
      <c r="AF96" s="195"/>
    </row>
    <row r="97" spans="1:32" ht="18" customHeight="1">
      <c r="A97" s="2562"/>
      <c r="B97" s="2570"/>
      <c r="C97" s="2216" t="str">
        <f>AB44</f>
        <v>사곡산업단지</v>
      </c>
      <c r="D97" s="2207">
        <f>ROUND(IFERROR(INDEX(사회적유입!$AA$4:$AW$165,MATCH($C97,사회적유입!$AA$4:$AA$165,0)-2,2),0)*$Z97,0)</f>
        <v>0</v>
      </c>
      <c r="E97" s="2207">
        <f>ROUND(IFERROR(INDEX(사회적유입!$AA$4:$AW$165,MATCH($C97,사회적유입!$AA$4:$AA$165,0)-2,3),0)*$Z97,0)</f>
        <v>0</v>
      </c>
      <c r="F97" s="2207">
        <f>ROUND(IFERROR(INDEX(사회적유입!$AA$4:$AW$165,MATCH($C97,사회적유입!$AA$4:$AA$165,0)-2,4),0)*$Z97,0)</f>
        <v>0</v>
      </c>
      <c r="G97" s="2207">
        <f>ROUND(IFERROR(INDEX(사회적유입!$AA$4:$AW$165,MATCH($C97,사회적유입!$AA$4:$AA$165,0)-2,5),0)*$Z97,0)</f>
        <v>0</v>
      </c>
      <c r="H97" s="2207">
        <f>ROUND(IFERROR(INDEX(사회적유입!$AA$4:$AW$165,MATCH($C97,사회적유입!$AA$4:$AA$165,0)-2,6),0)*$Z97,0)</f>
        <v>0</v>
      </c>
      <c r="I97" s="2207">
        <f>ROUND(IFERROR(INDEX(사회적유입!$AA$4:$AW$165,MATCH($C97,사회적유입!$AA$4:$AA$165,0)-2,7),0)*$Z97,0)</f>
        <v>0</v>
      </c>
      <c r="J97" s="2207">
        <f>ROUND(IFERROR(INDEX(사회적유입!$AA$4:$AW$165,MATCH($C97,사회적유입!$AA$4:$AA$165,0)-2,8),0)*$Z97,0)</f>
        <v>0</v>
      </c>
      <c r="K97" s="2207">
        <f>ROUND(IFERROR(INDEX(사회적유입!$AA$4:$AW$165,MATCH($C97,사회적유입!$AA$4:$AA$165,0)-2,9),0)*$Z97,0)</f>
        <v>0</v>
      </c>
      <c r="L97" s="2207">
        <f>ROUND(IFERROR(INDEX(사회적유입!$AA$4:$AW$165,MATCH($C97,사회적유입!$AA$4:$AA$165,0)-2,10),0)*$Z97,0)</f>
        <v>0</v>
      </c>
      <c r="M97" s="2207">
        <f>ROUND(IFERROR(INDEX(사회적유입!$AA$4:$AW$165,MATCH($C97,사회적유입!$AA$4:$AA$165,0)-2,11),0)*$Z97,0)</f>
        <v>0</v>
      </c>
      <c r="N97" s="2207">
        <f>ROUND(IFERROR(INDEX(사회적유입!$AA$4:$AW$165,MATCH($C97,사회적유입!$AA$4:$AA$165,0)-2,12),0)*$Z97,0)</f>
        <v>0</v>
      </c>
      <c r="O97" s="2207">
        <f>ROUND(IFERROR(INDEX(사회적유입!$AA$4:$AW$165,MATCH($C97,사회적유입!$AA$4:$AA$165,0)-2,13),0)*$Z97,0)</f>
        <v>0</v>
      </c>
      <c r="P97" s="2207">
        <f>ROUND(IFERROR(INDEX(사회적유입!$AA$4:$AW$165,MATCH($C97,사회적유입!$AA$4:$AA$165,0)-2,14),0)*$Z97,0)</f>
        <v>0</v>
      </c>
      <c r="Q97" s="2207">
        <f>ROUND(IFERROR(INDEX(사회적유입!$AA$4:$AW$165,MATCH($C97,사회적유입!$AA$4:$AA$165,0)-2,15),0)*$Z97,0)</f>
        <v>0</v>
      </c>
      <c r="R97" s="2207">
        <f>ROUND(IFERROR(INDEX(사회적유입!$AA$4:$AW$165,MATCH($C97,사회적유입!$AA$4:$AA$165,0)-2,16),0)*$Z97,0)</f>
        <v>0</v>
      </c>
      <c r="S97" s="2207">
        <f>ROUND(IFERROR(INDEX(사회적유입!$AA$4:$AW$165,MATCH($C97,사회적유입!$AA$4:$AA$165,0)-2,17),0)*$Z97,0)</f>
        <v>0</v>
      </c>
      <c r="T97" s="2207">
        <f>ROUND(IFERROR(INDEX(사회적유입!$AA$4:$AW$165,MATCH($C97,사회적유입!$AA$4:$AA$165,0)-2,18),0)*$Z97,0)</f>
        <v>0</v>
      </c>
      <c r="U97" s="2207">
        <f>ROUND(IFERROR(INDEX(사회적유입!$AA$4:$AW$165,MATCH($C97,사회적유입!$AA$4:$AA$165,0)-2,19),0)*$Z97,0)</f>
        <v>0</v>
      </c>
      <c r="V97" s="2207">
        <f>ROUND(IFERROR(INDEX(사회적유입!$AA$4:$AW$165,MATCH($C97,사회적유입!$AA$4:$AA$165,0)-2,20),0)*$Z97,0)</f>
        <v>0</v>
      </c>
      <c r="W97" s="2207">
        <f>ROUND(IFERROR(INDEX(사회적유입!$AA$4:$AW$165,MATCH($C97,사회적유입!$AA$4:$AA$165,0)-2,21),0)*$Z97,0)</f>
        <v>0</v>
      </c>
      <c r="X97" s="2207">
        <f>ROUND(IFERROR(INDEX(사회적유입!$AA$4:$AW$165,MATCH($C97,사회적유입!$AA$4:$AA$165,0)-2,22),0)*$Z97,0)</f>
        <v>0</v>
      </c>
      <c r="Y97" s="2207">
        <f>ROUND(IFERROR(INDEX(사회적유입!$AA$4:$AW$165,MATCH($C97,사회적유입!$AA$4:$AA$165,0)-2,23),0)*$Z97,0)</f>
        <v>2228</v>
      </c>
      <c r="Z97" s="2213">
        <f>VLOOKUP(C97,$AB$5:$AN$57,12,FALSE)</f>
        <v>1</v>
      </c>
      <c r="AC97" s="195"/>
      <c r="AD97" s="195"/>
      <c r="AE97" s="195"/>
      <c r="AF97" s="195"/>
    </row>
    <row r="98" spans="1:32" ht="18" customHeight="1">
      <c r="A98" s="2562"/>
      <c r="B98" s="2570"/>
      <c r="C98" s="2216" t="str">
        <f>AB45</f>
        <v>원당산업단지</v>
      </c>
      <c r="D98" s="2207">
        <f>ROUND(IFERROR(INDEX(사회적유입!$AA$4:$AW$165,MATCH($C98,사회적유입!$AA$4:$AA$165,0)-2,2),0)*$Z98,0)</f>
        <v>0</v>
      </c>
      <c r="E98" s="2207">
        <f>ROUND(IFERROR(INDEX(사회적유입!$AA$4:$AW$165,MATCH($C98,사회적유입!$AA$4:$AA$165,0)-2,3),0)*$Z98,0)</f>
        <v>0</v>
      </c>
      <c r="F98" s="2207">
        <f>ROUND(IFERROR(INDEX(사회적유입!$AA$4:$AW$165,MATCH($C98,사회적유입!$AA$4:$AA$165,0)-2,4),0)*$Z98,0)</f>
        <v>0</v>
      </c>
      <c r="G98" s="2207">
        <f>ROUND(IFERROR(INDEX(사회적유입!$AA$4:$AW$165,MATCH($C98,사회적유입!$AA$4:$AA$165,0)-2,5),0)*$Z98,0)</f>
        <v>0</v>
      </c>
      <c r="H98" s="2207">
        <f>ROUND(IFERROR(INDEX(사회적유입!$AA$4:$AW$165,MATCH($C98,사회적유입!$AA$4:$AA$165,0)-2,6),0)*$Z98,0)</f>
        <v>0</v>
      </c>
      <c r="I98" s="2207">
        <f>ROUND(IFERROR(INDEX(사회적유입!$AA$4:$AW$165,MATCH($C98,사회적유입!$AA$4:$AA$165,0)-2,7),0)*$Z98,0)</f>
        <v>0</v>
      </c>
      <c r="J98" s="2207">
        <f>ROUND(IFERROR(INDEX(사회적유입!$AA$4:$AW$165,MATCH($C98,사회적유입!$AA$4:$AA$165,0)-2,8),0)*$Z98,0)</f>
        <v>0</v>
      </c>
      <c r="K98" s="2207">
        <f>ROUND(IFERROR(INDEX(사회적유입!$AA$4:$AW$165,MATCH($C98,사회적유입!$AA$4:$AA$165,0)-2,9),0)*$Z98,0)</f>
        <v>0</v>
      </c>
      <c r="L98" s="2207">
        <f>ROUND(IFERROR(INDEX(사회적유입!$AA$4:$AW$165,MATCH($C98,사회적유입!$AA$4:$AA$165,0)-2,10),0)*$Z98,0)</f>
        <v>0</v>
      </c>
      <c r="M98" s="2207">
        <f>ROUND(IFERROR(INDEX(사회적유입!$AA$4:$AW$165,MATCH($C98,사회적유입!$AA$4:$AA$165,0)-2,11),0)*$Z98,0)</f>
        <v>0</v>
      </c>
      <c r="N98" s="2207">
        <f>ROUND(IFERROR(INDEX(사회적유입!$AA$4:$AW$165,MATCH($C98,사회적유입!$AA$4:$AA$165,0)-2,12),0)*$Z98,0)</f>
        <v>0</v>
      </c>
      <c r="O98" s="2207">
        <f>ROUND(IFERROR(INDEX(사회적유입!$AA$4:$AW$165,MATCH($C98,사회적유입!$AA$4:$AA$165,0)-2,13),0)*$Z98,0)</f>
        <v>0</v>
      </c>
      <c r="P98" s="2207">
        <f>ROUND(IFERROR(INDEX(사회적유입!$AA$4:$AW$165,MATCH($C98,사회적유입!$AA$4:$AA$165,0)-2,14),0)*$Z98,0)</f>
        <v>0</v>
      </c>
      <c r="Q98" s="2207">
        <f>ROUND(IFERROR(INDEX(사회적유입!$AA$4:$AW$165,MATCH($C98,사회적유입!$AA$4:$AA$165,0)-2,15),0)*$Z98,0)</f>
        <v>0</v>
      </c>
      <c r="R98" s="2207">
        <f>ROUND(IFERROR(INDEX(사회적유입!$AA$4:$AW$165,MATCH($C98,사회적유입!$AA$4:$AA$165,0)-2,16),0)*$Z98,0)</f>
        <v>0</v>
      </c>
      <c r="S98" s="2207">
        <f>ROUND(IFERROR(INDEX(사회적유입!$AA$4:$AW$165,MATCH($C98,사회적유입!$AA$4:$AA$165,0)-2,17),0)*$Z98,0)</f>
        <v>0</v>
      </c>
      <c r="T98" s="2207">
        <f>ROUND(IFERROR(INDEX(사회적유입!$AA$4:$AW$165,MATCH($C98,사회적유입!$AA$4:$AA$165,0)-2,18),0)*$Z98,0)</f>
        <v>0</v>
      </c>
      <c r="U98" s="2207">
        <f>ROUND(IFERROR(INDEX(사회적유입!$AA$4:$AW$165,MATCH($C98,사회적유입!$AA$4:$AA$165,0)-2,19),0)*$Z98,0)</f>
        <v>0</v>
      </c>
      <c r="V98" s="2207">
        <f>ROUND(IFERROR(INDEX(사회적유입!$AA$4:$AW$165,MATCH($C98,사회적유입!$AA$4:$AA$165,0)-2,20),0)*$Z98,0)</f>
        <v>0</v>
      </c>
      <c r="W98" s="2207">
        <f>ROUND(IFERROR(INDEX(사회적유입!$AA$4:$AW$165,MATCH($C98,사회적유입!$AA$4:$AA$165,0)-2,21),0)*$Z98,0)</f>
        <v>0</v>
      </c>
      <c r="X98" s="2207">
        <f>ROUND(IFERROR(INDEX(사회적유입!$AA$4:$AW$165,MATCH($C98,사회적유입!$AA$4:$AA$165,0)-2,22),0)*$Z98,0)</f>
        <v>0</v>
      </c>
      <c r="Y98" s="2207">
        <f>ROUND(IFERROR(INDEX(사회적유입!$AA$4:$AW$165,MATCH($C98,사회적유입!$AA$4:$AA$165,0)-2,23),0)*$Z98,0)</f>
        <v>476</v>
      </c>
      <c r="Z98" s="2213">
        <f>VLOOKUP(C98,$AB$5:$AN$57,12,FALSE)</f>
        <v>1</v>
      </c>
      <c r="AC98" s="195"/>
      <c r="AD98" s="195"/>
      <c r="AE98" s="195"/>
      <c r="AF98" s="195"/>
    </row>
    <row r="99" spans="1:32" ht="18" customHeight="1">
      <c r="A99" s="2562"/>
      <c r="B99" s="2570"/>
      <c r="C99" s="2208" t="s">
        <v>72</v>
      </c>
      <c r="D99" s="2209">
        <f>SUM(D96:D98)</f>
        <v>0</v>
      </c>
      <c r="E99" s="2209">
        <f t="shared" ref="E99:Y99" si="66">SUM(E96:E98)</f>
        <v>0</v>
      </c>
      <c r="F99" s="2209">
        <f t="shared" si="66"/>
        <v>0</v>
      </c>
      <c r="G99" s="2209">
        <f t="shared" si="66"/>
        <v>0</v>
      </c>
      <c r="H99" s="2209">
        <f t="shared" si="66"/>
        <v>0</v>
      </c>
      <c r="I99" s="2209">
        <f t="shared" si="66"/>
        <v>0</v>
      </c>
      <c r="J99" s="2209">
        <f t="shared" si="66"/>
        <v>202</v>
      </c>
      <c r="K99" s="2209">
        <f t="shared" si="66"/>
        <v>607</v>
      </c>
      <c r="L99" s="2209">
        <f t="shared" si="66"/>
        <v>1012</v>
      </c>
      <c r="M99" s="2209">
        <f t="shared" si="66"/>
        <v>1012</v>
      </c>
      <c r="N99" s="2209">
        <f t="shared" si="66"/>
        <v>1012</v>
      </c>
      <c r="O99" s="2209">
        <f t="shared" si="66"/>
        <v>1012</v>
      </c>
      <c r="P99" s="2209">
        <f t="shared" si="66"/>
        <v>1012</v>
      </c>
      <c r="Q99" s="2209">
        <f t="shared" si="66"/>
        <v>1012</v>
      </c>
      <c r="R99" s="2209">
        <f t="shared" si="66"/>
        <v>1012</v>
      </c>
      <c r="S99" s="2209">
        <f t="shared" si="66"/>
        <v>1012</v>
      </c>
      <c r="T99" s="2209">
        <f t="shared" si="66"/>
        <v>1012</v>
      </c>
      <c r="U99" s="2209">
        <f t="shared" si="66"/>
        <v>1012</v>
      </c>
      <c r="V99" s="2209">
        <f t="shared" si="66"/>
        <v>1012</v>
      </c>
      <c r="W99" s="2209">
        <f t="shared" si="66"/>
        <v>1012</v>
      </c>
      <c r="X99" s="2209">
        <f t="shared" si="66"/>
        <v>1012</v>
      </c>
      <c r="Y99" s="2209">
        <f t="shared" si="66"/>
        <v>3716</v>
      </c>
      <c r="Z99" s="2214"/>
      <c r="AC99" s="195"/>
      <c r="AD99" s="195"/>
      <c r="AE99" s="195"/>
      <c r="AF99" s="195"/>
    </row>
    <row r="100" spans="1:32" ht="18" customHeight="1">
      <c r="A100" s="2563"/>
      <c r="B100" s="2579" t="s">
        <v>7</v>
      </c>
      <c r="C100" s="2579"/>
      <c r="D100" s="2211">
        <f t="shared" ref="D100:Y100" si="67">SUM(D95,D99)</f>
        <v>0</v>
      </c>
      <c r="E100" s="2211">
        <f t="shared" si="67"/>
        <v>0</v>
      </c>
      <c r="F100" s="2211">
        <f t="shared" si="67"/>
        <v>0</v>
      </c>
      <c r="G100" s="2211">
        <f t="shared" si="67"/>
        <v>0</v>
      </c>
      <c r="H100" s="2211">
        <f t="shared" si="67"/>
        <v>344</v>
      </c>
      <c r="I100" s="2211">
        <f t="shared" si="67"/>
        <v>344</v>
      </c>
      <c r="J100" s="2211">
        <f t="shared" si="67"/>
        <v>546</v>
      </c>
      <c r="K100" s="2211">
        <f t="shared" si="67"/>
        <v>951</v>
      </c>
      <c r="L100" s="2211">
        <f t="shared" si="67"/>
        <v>1356</v>
      </c>
      <c r="M100" s="2211">
        <f t="shared" si="67"/>
        <v>1356</v>
      </c>
      <c r="N100" s="2211">
        <f t="shared" si="67"/>
        <v>1356</v>
      </c>
      <c r="O100" s="2211">
        <f t="shared" si="67"/>
        <v>1905</v>
      </c>
      <c r="P100" s="2211">
        <f t="shared" si="67"/>
        <v>1905</v>
      </c>
      <c r="Q100" s="2211">
        <f t="shared" si="67"/>
        <v>1905</v>
      </c>
      <c r="R100" s="2211">
        <f t="shared" si="67"/>
        <v>1905</v>
      </c>
      <c r="S100" s="2211">
        <f t="shared" si="67"/>
        <v>1905</v>
      </c>
      <c r="T100" s="2211">
        <f t="shared" si="67"/>
        <v>1905</v>
      </c>
      <c r="U100" s="2211">
        <f t="shared" si="67"/>
        <v>1905</v>
      </c>
      <c r="V100" s="2211">
        <f t="shared" si="67"/>
        <v>1905</v>
      </c>
      <c r="W100" s="2211">
        <f t="shared" si="67"/>
        <v>1905</v>
      </c>
      <c r="X100" s="2211">
        <f t="shared" si="67"/>
        <v>1905</v>
      </c>
      <c r="Y100" s="2211">
        <f t="shared" si="67"/>
        <v>4609</v>
      </c>
      <c r="Z100" s="2215"/>
    </row>
    <row r="101" spans="1:32" ht="18" customHeight="1">
      <c r="A101" s="2594" t="s">
        <v>136</v>
      </c>
      <c r="B101" s="2569" t="s">
        <v>431</v>
      </c>
      <c r="C101" s="2217" t="str">
        <f>AB6</f>
        <v>충북혁신도시</v>
      </c>
      <c r="D101" s="2205">
        <f>ROUND(IFERROR(VLOOKUP($C101,사회적유입!$AA$5:$AW$167,2,FALSE),0)*$Z101,0)</f>
        <v>0</v>
      </c>
      <c r="E101" s="2205">
        <f>ROUND(IFERROR(VLOOKUP($C101,사회적유입!$AA$5:$AW$167,3,FALSE),0)*$Z101,0)</f>
        <v>0</v>
      </c>
      <c r="F101" s="2205">
        <f>ROUND(IFERROR(VLOOKUP($C101,사회적유입!$AA$5:$AW$167,4,FALSE),0)*$Z101,0)</f>
        <v>7477</v>
      </c>
      <c r="G101" s="2205">
        <f>ROUND(IFERROR(VLOOKUP($C101,사회적유입!$AA$5:$AW$167,5,FALSE),0)*$Z101,0)</f>
        <v>8665</v>
      </c>
      <c r="H101" s="2205">
        <f>ROUND(IFERROR(VLOOKUP($C101,사회적유입!$AA$5:$AW$167,6,FALSE),0)*$Z101,0)</f>
        <v>9853</v>
      </c>
      <c r="I101" s="2205">
        <f>ROUND(IFERROR(VLOOKUP($C101,사회적유입!$AA$5:$AW$167,7,FALSE),0)*$Z101,0)</f>
        <v>11041</v>
      </c>
      <c r="J101" s="2205">
        <f>ROUND(IFERROR(VLOOKUP($C101,사회적유입!$AA$5:$AW$167,8,FALSE),0)*$Z101,0)</f>
        <v>12230</v>
      </c>
      <c r="K101" s="2205">
        <f>ROUND(IFERROR(VLOOKUP($C101,사회적유입!$AA$5:$AW$167,9,FALSE),0)*$Z101,0)</f>
        <v>12230</v>
      </c>
      <c r="L101" s="2205">
        <f>ROUND(IFERROR(VLOOKUP($C101,사회적유입!$AA$5:$AW$167,10,FALSE),0)*$Z101,0)</f>
        <v>12230</v>
      </c>
      <c r="M101" s="2205">
        <f>ROUND(IFERROR(VLOOKUP($C101,사회적유입!$AA$5:$AW$167,11,FALSE),0)*$Z101,0)</f>
        <v>12230</v>
      </c>
      <c r="N101" s="2205">
        <f>ROUND(IFERROR(VLOOKUP($C101,사회적유입!$AA$5:$AW$167,12,FALSE),0)*$Z101,0)</f>
        <v>12230</v>
      </c>
      <c r="O101" s="2205">
        <f>ROUND(IFERROR(VLOOKUP($C101,사회적유입!$AA$5:$AW$167,13,FALSE),0)*$Z101,0)</f>
        <v>12230</v>
      </c>
      <c r="P101" s="2205">
        <f>ROUND(IFERROR(VLOOKUP($C101,사회적유입!$AA$5:$AW$167,14,FALSE),0)*$Z101,0)</f>
        <v>12230</v>
      </c>
      <c r="Q101" s="2205">
        <f>ROUND(IFERROR(VLOOKUP($C101,사회적유입!$AA$5:$AW$167,15,FALSE),0)*$Z101,0)</f>
        <v>12230</v>
      </c>
      <c r="R101" s="2205">
        <f>ROUND(IFERROR(VLOOKUP($C101,사회적유입!$AA$5:$AW$167,16,FALSE),0)*$Z101,0)</f>
        <v>12230</v>
      </c>
      <c r="S101" s="2205">
        <f>ROUND(IFERROR(VLOOKUP($C101,사회적유입!$AA$5:$AW$167,17,FALSE),0)*$Z101,0)</f>
        <v>12230</v>
      </c>
      <c r="T101" s="2205">
        <f>ROUND(IFERROR(VLOOKUP($C101,사회적유입!$AA$5:$AW$167,18,FALSE),0)*$Z101,0)</f>
        <v>12230</v>
      </c>
      <c r="U101" s="2205">
        <f>ROUND(IFERROR(VLOOKUP($C101,사회적유입!$AA$5:$AW$167,19,FALSE),0)*$Z101,0)</f>
        <v>12230</v>
      </c>
      <c r="V101" s="2205">
        <f>ROUND(IFERROR(VLOOKUP($C101,사회적유입!$AA$5:$AW$167,20,FALSE),0)*$Z101,0)</f>
        <v>12230</v>
      </c>
      <c r="W101" s="2205">
        <f>ROUND(IFERROR(VLOOKUP($C101,사회적유입!$AA$5:$AW$167,21,FALSE),0)*$Z101,0)</f>
        <v>12230</v>
      </c>
      <c r="X101" s="2205">
        <f>ROUND(IFERROR(VLOOKUP($C101,사회적유입!$AA$5:$AW$167,22,FALSE),0)*$Z101,0)</f>
        <v>12230</v>
      </c>
      <c r="Y101" s="2205">
        <f>ROUND(IFERROR(VLOOKUP($C101,사회적유입!$AA$5:$AW$167,23,FALSE),0)*$Z101,0)</f>
        <v>12230</v>
      </c>
      <c r="Z101" s="2212">
        <f>VLOOKUP(C101,$AB$5:$AN$57,13,FALSE)</f>
        <v>1</v>
      </c>
    </row>
    <row r="102" spans="1:32" ht="18" customHeight="1">
      <c r="A102" s="2595"/>
      <c r="B102" s="2570"/>
      <c r="C102" s="2208" t="s">
        <v>72</v>
      </c>
      <c r="D102" s="2209">
        <f t="shared" ref="D102:Y102" si="68">SUM(D101:D101)</f>
        <v>0</v>
      </c>
      <c r="E102" s="2209">
        <f t="shared" si="68"/>
        <v>0</v>
      </c>
      <c r="F102" s="2209">
        <f t="shared" si="68"/>
        <v>7477</v>
      </c>
      <c r="G102" s="2209">
        <f t="shared" si="68"/>
        <v>8665</v>
      </c>
      <c r="H102" s="2209">
        <f t="shared" si="68"/>
        <v>9853</v>
      </c>
      <c r="I102" s="2209">
        <f t="shared" si="68"/>
        <v>11041</v>
      </c>
      <c r="J102" s="2209">
        <f t="shared" si="68"/>
        <v>12230</v>
      </c>
      <c r="K102" s="2209">
        <f t="shared" si="68"/>
        <v>12230</v>
      </c>
      <c r="L102" s="2209">
        <f t="shared" si="68"/>
        <v>12230</v>
      </c>
      <c r="M102" s="2209">
        <f t="shared" si="68"/>
        <v>12230</v>
      </c>
      <c r="N102" s="2209">
        <f t="shared" si="68"/>
        <v>12230</v>
      </c>
      <c r="O102" s="2209">
        <f t="shared" si="68"/>
        <v>12230</v>
      </c>
      <c r="P102" s="2209">
        <f t="shared" si="68"/>
        <v>12230</v>
      </c>
      <c r="Q102" s="2209">
        <f t="shared" si="68"/>
        <v>12230</v>
      </c>
      <c r="R102" s="2209">
        <f t="shared" si="68"/>
        <v>12230</v>
      </c>
      <c r="S102" s="2209">
        <f t="shared" si="68"/>
        <v>12230</v>
      </c>
      <c r="T102" s="2209">
        <f t="shared" si="68"/>
        <v>12230</v>
      </c>
      <c r="U102" s="2209">
        <f t="shared" si="68"/>
        <v>12230</v>
      </c>
      <c r="V102" s="2209">
        <f t="shared" si="68"/>
        <v>12230</v>
      </c>
      <c r="W102" s="2209">
        <f t="shared" si="68"/>
        <v>12230</v>
      </c>
      <c r="X102" s="2209">
        <f t="shared" si="68"/>
        <v>12230</v>
      </c>
      <c r="Y102" s="2209">
        <f t="shared" si="68"/>
        <v>12230</v>
      </c>
      <c r="Z102" s="2214"/>
    </row>
    <row r="103" spans="1:32" ht="18" customHeight="1">
      <c r="A103" s="2596"/>
      <c r="B103" s="2579" t="s">
        <v>7</v>
      </c>
      <c r="C103" s="2579"/>
      <c r="D103" s="2211">
        <f>SUM(D95,D102)</f>
        <v>0</v>
      </c>
      <c r="E103" s="2211">
        <f>SUM(E102)</f>
        <v>0</v>
      </c>
      <c r="F103" s="2211">
        <f t="shared" ref="F103:Y103" si="69">SUM(F102)</f>
        <v>7477</v>
      </c>
      <c r="G103" s="2211">
        <f t="shared" si="69"/>
        <v>8665</v>
      </c>
      <c r="H103" s="2211">
        <f t="shared" si="69"/>
        <v>9853</v>
      </c>
      <c r="I103" s="2211">
        <f t="shared" si="69"/>
        <v>11041</v>
      </c>
      <c r="J103" s="2211">
        <f t="shared" si="69"/>
        <v>12230</v>
      </c>
      <c r="K103" s="2211">
        <f t="shared" si="69"/>
        <v>12230</v>
      </c>
      <c r="L103" s="2211">
        <f t="shared" si="69"/>
        <v>12230</v>
      </c>
      <c r="M103" s="2211">
        <f t="shared" si="69"/>
        <v>12230</v>
      </c>
      <c r="N103" s="2211">
        <f t="shared" si="69"/>
        <v>12230</v>
      </c>
      <c r="O103" s="2211">
        <f t="shared" si="69"/>
        <v>12230</v>
      </c>
      <c r="P103" s="2211">
        <f t="shared" si="69"/>
        <v>12230</v>
      </c>
      <c r="Q103" s="2211">
        <f t="shared" si="69"/>
        <v>12230</v>
      </c>
      <c r="R103" s="2211">
        <f t="shared" si="69"/>
        <v>12230</v>
      </c>
      <c r="S103" s="2211">
        <f t="shared" si="69"/>
        <v>12230</v>
      </c>
      <c r="T103" s="2211">
        <f t="shared" si="69"/>
        <v>12230</v>
      </c>
      <c r="U103" s="2211">
        <f t="shared" si="69"/>
        <v>12230</v>
      </c>
      <c r="V103" s="2211">
        <f t="shared" si="69"/>
        <v>12230</v>
      </c>
      <c r="W103" s="2211">
        <f t="shared" si="69"/>
        <v>12230</v>
      </c>
      <c r="X103" s="2211">
        <f t="shared" si="69"/>
        <v>12230</v>
      </c>
      <c r="Y103" s="2211">
        <f t="shared" si="69"/>
        <v>12230</v>
      </c>
      <c r="Z103" s="2215"/>
    </row>
    <row r="104" spans="1:32" ht="18" customHeight="1"/>
    <row r="105" spans="1:32" ht="18.95" customHeight="1">
      <c r="D105" s="37" t="s">
        <v>428</v>
      </c>
      <c r="J105" s="605" t="e">
        <f>+#REF!+J103+J57</f>
        <v>#REF!</v>
      </c>
      <c r="K105" s="605" t="e">
        <f>+#REF!+K103+K57</f>
        <v>#REF!</v>
      </c>
      <c r="L105" s="605" t="e">
        <f>+#REF!+L103+L57</f>
        <v>#REF!</v>
      </c>
      <c r="M105" s="605" t="e">
        <f>+#REF!+M103+M57</f>
        <v>#REF!</v>
      </c>
      <c r="N105" s="605" t="e">
        <f>+#REF!+N103+N57</f>
        <v>#REF!</v>
      </c>
      <c r="O105" s="605" t="e">
        <f>+#REF!+O103+O57</f>
        <v>#REF!</v>
      </c>
      <c r="P105" s="605" t="e">
        <f>+#REF!+P103+P57</f>
        <v>#REF!</v>
      </c>
      <c r="Q105" s="605" t="e">
        <f>+#REF!+Q103+Q57</f>
        <v>#REF!</v>
      </c>
      <c r="R105" s="605" t="e">
        <f>+#REF!+R103+R57</f>
        <v>#REF!</v>
      </c>
      <c r="S105" s="605" t="e">
        <f>+#REF!+S103+S57</f>
        <v>#REF!</v>
      </c>
      <c r="T105" s="605" t="e">
        <f>+#REF!+T103+T57</f>
        <v>#REF!</v>
      </c>
      <c r="U105" s="605" t="e">
        <f>+#REF!+U103+U57</f>
        <v>#REF!</v>
      </c>
      <c r="V105" s="605" t="e">
        <f>+#REF!+V103+V57</f>
        <v>#REF!</v>
      </c>
      <c r="W105" s="605" t="e">
        <f>+#REF!+W103+W57</f>
        <v>#REF!</v>
      </c>
      <c r="X105" s="605" t="e">
        <f>+#REF!+X103+X57</f>
        <v>#REF!</v>
      </c>
      <c r="Y105" s="605" t="e">
        <f>+#REF!+Y103+Y57</f>
        <v>#REF!</v>
      </c>
    </row>
    <row r="106" spans="1:32" ht="18.95" customHeight="1">
      <c r="D106" s="37"/>
      <c r="J106" s="605"/>
      <c r="K106" s="605"/>
      <c r="L106" s="605"/>
      <c r="M106" s="605"/>
      <c r="N106" s="605"/>
      <c r="O106" s="605"/>
      <c r="P106" s="605"/>
      <c r="Q106" s="605"/>
      <c r="R106" s="605"/>
      <c r="S106" s="605"/>
      <c r="T106" s="605"/>
      <c r="U106" s="605"/>
      <c r="V106" s="605"/>
      <c r="W106" s="605"/>
      <c r="X106" s="605"/>
      <c r="Y106" s="605"/>
    </row>
    <row r="107" spans="1:32" ht="18.95" customHeight="1">
      <c r="D107" s="37" t="s">
        <v>429</v>
      </c>
      <c r="J107" s="605">
        <f>+J10++J95+J25+J64</f>
        <v>4731</v>
      </c>
      <c r="K107" s="605">
        <f>+K10+K25+K64</f>
        <v>4387</v>
      </c>
      <c r="L107" s="605">
        <f>+L10+L25+L64</f>
        <v>4387</v>
      </c>
      <c r="M107" s="605">
        <f>+M10+M25+M64</f>
        <v>4387</v>
      </c>
      <c r="N107" s="605">
        <f>+N10+N25+N64</f>
        <v>4387</v>
      </c>
      <c r="O107" s="605">
        <f>+O10++O95+O25+O64</f>
        <v>6743</v>
      </c>
      <c r="P107" s="605">
        <f>+P10+P25+P64</f>
        <v>5850</v>
      </c>
      <c r="Q107" s="605">
        <f>+Q10+Q25+Q64</f>
        <v>5850</v>
      </c>
      <c r="R107" s="605">
        <f>+R10+R25+R64</f>
        <v>5850</v>
      </c>
      <c r="S107" s="605">
        <f>+S10+S25+S64</f>
        <v>5850</v>
      </c>
      <c r="T107" s="605">
        <f>+T10++T95+T25+T64</f>
        <v>8384</v>
      </c>
      <c r="U107" s="605">
        <f>+U10+U25+U64</f>
        <v>7491</v>
      </c>
      <c r="V107" s="605">
        <f>+V10+V25+V64</f>
        <v>7491</v>
      </c>
      <c r="W107" s="605">
        <f>+W10+W25+W64</f>
        <v>7491</v>
      </c>
      <c r="X107" s="605">
        <f>+X10+X25+X64</f>
        <v>7491</v>
      </c>
      <c r="Y107" s="605">
        <f>+Y10++Y95+Y25+Y64</f>
        <v>8384</v>
      </c>
    </row>
    <row r="108" spans="1:32" ht="18.95" customHeight="1">
      <c r="D108" s="37" t="s">
        <v>430</v>
      </c>
      <c r="J108" s="605">
        <f>+J18+J37+J73+J99</f>
        <v>202</v>
      </c>
      <c r="K108" s="605">
        <f>+K18+K73+K99</f>
        <v>607</v>
      </c>
      <c r="L108" s="605">
        <f>+L18+L73+L99</f>
        <v>1012</v>
      </c>
      <c r="M108" s="605">
        <f>+M18+M73+M99</f>
        <v>1012</v>
      </c>
      <c r="N108" s="605">
        <f>+N18+N73+N99</f>
        <v>1012</v>
      </c>
      <c r="O108" s="605">
        <f>+O18+O37+O73+O99</f>
        <v>1012</v>
      </c>
      <c r="P108" s="605">
        <f>+P18+P73+P99</f>
        <v>1012</v>
      </c>
      <c r="Q108" s="605">
        <f>+Q18+Q73+Q99</f>
        <v>1012</v>
      </c>
      <c r="R108" s="605">
        <f>+R18+R73+R99</f>
        <v>1012</v>
      </c>
      <c r="S108" s="605">
        <f>+S18+S73+S99</f>
        <v>1012</v>
      </c>
      <c r="T108" s="605">
        <f>+T18+T37+T73+T99</f>
        <v>1012</v>
      </c>
      <c r="U108" s="605">
        <f>+U18+U73+U99</f>
        <v>1012</v>
      </c>
      <c r="V108" s="605">
        <f>+V18+V73+V99</f>
        <v>1012</v>
      </c>
      <c r="W108" s="605">
        <f>+W18+W73+W99</f>
        <v>1012</v>
      </c>
      <c r="X108" s="605">
        <f>+X18+X73+X99</f>
        <v>1012</v>
      </c>
      <c r="Y108" s="605">
        <f>+Y18+Y37+Y73+Y99</f>
        <v>11332</v>
      </c>
    </row>
    <row r="109" spans="1:32" ht="18.95" customHeight="1">
      <c r="J109" s="605" t="e">
        <f>SUM(J105:J108)</f>
        <v>#REF!</v>
      </c>
      <c r="K109" s="605" t="e">
        <f t="shared" ref="K109:Y109" si="70">SUM(K105:K108)</f>
        <v>#REF!</v>
      </c>
      <c r="L109" s="605" t="e">
        <f t="shared" si="70"/>
        <v>#REF!</v>
      </c>
      <c r="M109" s="605" t="e">
        <f t="shared" si="70"/>
        <v>#REF!</v>
      </c>
      <c r="N109" s="605" t="e">
        <f t="shared" si="70"/>
        <v>#REF!</v>
      </c>
      <c r="O109" s="605" t="e">
        <f t="shared" si="70"/>
        <v>#REF!</v>
      </c>
      <c r="P109" s="605" t="e">
        <f t="shared" si="70"/>
        <v>#REF!</v>
      </c>
      <c r="Q109" s="605" t="e">
        <f t="shared" si="70"/>
        <v>#REF!</v>
      </c>
      <c r="R109" s="605" t="e">
        <f t="shared" si="70"/>
        <v>#REF!</v>
      </c>
      <c r="S109" s="605" t="e">
        <f t="shared" si="70"/>
        <v>#REF!</v>
      </c>
      <c r="T109" s="605" t="e">
        <f t="shared" si="70"/>
        <v>#REF!</v>
      </c>
      <c r="U109" s="605" t="e">
        <f t="shared" si="70"/>
        <v>#REF!</v>
      </c>
      <c r="V109" s="605" t="e">
        <f t="shared" si="70"/>
        <v>#REF!</v>
      </c>
      <c r="W109" s="605" t="e">
        <f t="shared" si="70"/>
        <v>#REF!</v>
      </c>
      <c r="X109" s="605" t="e">
        <f t="shared" si="70"/>
        <v>#REF!</v>
      </c>
      <c r="Y109" s="605" t="e">
        <f t="shared" si="70"/>
        <v>#REF!</v>
      </c>
      <c r="AB109" s="605" t="e">
        <f>+O105+O106</f>
        <v>#REF!</v>
      </c>
      <c r="AC109" s="605" t="e">
        <f>+T105+T106</f>
        <v>#REF!</v>
      </c>
      <c r="AD109" s="605" t="e">
        <f>+Y105+Y106</f>
        <v>#REF!</v>
      </c>
    </row>
    <row r="110" spans="1:32" ht="18.95" customHeight="1">
      <c r="AB110" s="605">
        <f>+O107</f>
        <v>6743</v>
      </c>
      <c r="AC110" s="605">
        <f>+T107</f>
        <v>8384</v>
      </c>
      <c r="AD110" s="605">
        <f>+Y107</f>
        <v>8384</v>
      </c>
    </row>
    <row r="111" spans="1:32" ht="18.95" customHeight="1">
      <c r="AB111" s="605">
        <f>+O108</f>
        <v>1012</v>
      </c>
      <c r="AC111" s="605">
        <f>+T108</f>
        <v>1012</v>
      </c>
      <c r="AD111" s="605">
        <f>+Y108</f>
        <v>11332</v>
      </c>
    </row>
    <row r="112" spans="1:32" ht="18.95" customHeight="1">
      <c r="AB112" s="605" t="e">
        <f>+O109</f>
        <v>#REF!</v>
      </c>
      <c r="AC112" s="605" t="e">
        <f>+T109</f>
        <v>#REF!</v>
      </c>
      <c r="AD112" s="605" t="e">
        <f>+Y109</f>
        <v>#REF!</v>
      </c>
      <c r="AE112" s="195"/>
    </row>
    <row r="113" spans="4:31" ht="18.95" customHeight="1">
      <c r="D113" s="38" t="s">
        <v>613</v>
      </c>
      <c r="J113" s="605" t="e">
        <f>+#REF!+J57</f>
        <v>#REF!</v>
      </c>
      <c r="K113" s="605" t="e">
        <f>+#REF!+K57</f>
        <v>#REF!</v>
      </c>
      <c r="L113" s="605" t="e">
        <f>+#REF!+L57</f>
        <v>#REF!</v>
      </c>
      <c r="M113" s="605" t="e">
        <f>+#REF!+M57</f>
        <v>#REF!</v>
      </c>
      <c r="N113" s="605" t="e">
        <f>+#REF!+N57</f>
        <v>#REF!</v>
      </c>
      <c r="O113" s="605" t="e">
        <f>+#REF!+O57</f>
        <v>#REF!</v>
      </c>
      <c r="P113" s="605" t="e">
        <f>+#REF!+P57</f>
        <v>#REF!</v>
      </c>
      <c r="Q113" s="605" t="e">
        <f>+#REF!+Q57</f>
        <v>#REF!</v>
      </c>
      <c r="R113" s="605" t="e">
        <f>+#REF!+R57</f>
        <v>#REF!</v>
      </c>
      <c r="S113" s="605" t="e">
        <f>+#REF!+S57</f>
        <v>#REF!</v>
      </c>
      <c r="T113" s="605" t="e">
        <f>+#REF!+T57</f>
        <v>#REF!</v>
      </c>
      <c r="U113" s="605" t="e">
        <f>+#REF!+U57</f>
        <v>#REF!</v>
      </c>
      <c r="V113" s="605" t="e">
        <f>+#REF!+V57</f>
        <v>#REF!</v>
      </c>
      <c r="W113" s="605" t="e">
        <f>+#REF!+W57</f>
        <v>#REF!</v>
      </c>
      <c r="X113" s="605" t="e">
        <f>+#REF!+X57</f>
        <v>#REF!</v>
      </c>
      <c r="Y113" s="605" t="e">
        <f>+#REF!+Y57</f>
        <v>#REF!</v>
      </c>
      <c r="AB113" s="605"/>
      <c r="AC113" s="605"/>
      <c r="AD113" s="605"/>
      <c r="AE113" s="195"/>
    </row>
    <row r="114" spans="4:31" ht="18.95" customHeight="1">
      <c r="D114" s="38" t="s">
        <v>614</v>
      </c>
      <c r="J114" s="605">
        <f t="shared" ref="J114:Y114" si="71">+J10++J95+J25+J64</f>
        <v>4731</v>
      </c>
      <c r="K114" s="605">
        <f t="shared" si="71"/>
        <v>4731</v>
      </c>
      <c r="L114" s="605">
        <f t="shared" si="71"/>
        <v>4731</v>
      </c>
      <c r="M114" s="605">
        <f t="shared" si="71"/>
        <v>4731</v>
      </c>
      <c r="N114" s="605">
        <f t="shared" si="71"/>
        <v>4731</v>
      </c>
      <c r="O114" s="605">
        <f t="shared" si="71"/>
        <v>6743</v>
      </c>
      <c r="P114" s="605">
        <f t="shared" si="71"/>
        <v>6743</v>
      </c>
      <c r="Q114" s="605">
        <f t="shared" si="71"/>
        <v>6743</v>
      </c>
      <c r="R114" s="605">
        <f t="shared" si="71"/>
        <v>6743</v>
      </c>
      <c r="S114" s="605">
        <f t="shared" si="71"/>
        <v>6743</v>
      </c>
      <c r="T114" s="605">
        <f t="shared" si="71"/>
        <v>8384</v>
      </c>
      <c r="U114" s="605">
        <f t="shared" si="71"/>
        <v>8384</v>
      </c>
      <c r="V114" s="605">
        <f t="shared" si="71"/>
        <v>8384</v>
      </c>
      <c r="W114" s="605">
        <f t="shared" si="71"/>
        <v>8384</v>
      </c>
      <c r="X114" s="605">
        <f t="shared" si="71"/>
        <v>8384</v>
      </c>
      <c r="Y114" s="605">
        <f t="shared" si="71"/>
        <v>8384</v>
      </c>
      <c r="AE114" s="195"/>
    </row>
    <row r="115" spans="4:31" ht="18.95" customHeight="1">
      <c r="D115" s="38" t="s">
        <v>615</v>
      </c>
      <c r="J115" s="605">
        <f t="shared" ref="J115:Y115" si="72">+J18+J37+J73+J99</f>
        <v>202</v>
      </c>
      <c r="K115" s="605">
        <f t="shared" si="72"/>
        <v>607</v>
      </c>
      <c r="L115" s="605">
        <f t="shared" si="72"/>
        <v>1012</v>
      </c>
      <c r="M115" s="605">
        <f t="shared" si="72"/>
        <v>1012</v>
      </c>
      <c r="N115" s="605">
        <f t="shared" si="72"/>
        <v>1012</v>
      </c>
      <c r="O115" s="605">
        <f t="shared" si="72"/>
        <v>1012</v>
      </c>
      <c r="P115" s="605">
        <f t="shared" si="72"/>
        <v>1012</v>
      </c>
      <c r="Q115" s="605">
        <f t="shared" si="72"/>
        <v>1012</v>
      </c>
      <c r="R115" s="605">
        <f t="shared" si="72"/>
        <v>1012</v>
      </c>
      <c r="S115" s="605">
        <f t="shared" si="72"/>
        <v>1012</v>
      </c>
      <c r="T115" s="605">
        <f t="shared" si="72"/>
        <v>1012</v>
      </c>
      <c r="U115" s="605">
        <f t="shared" si="72"/>
        <v>1012</v>
      </c>
      <c r="V115" s="605">
        <f t="shared" si="72"/>
        <v>1012</v>
      </c>
      <c r="W115" s="605">
        <f t="shared" si="72"/>
        <v>1012</v>
      </c>
      <c r="X115" s="605">
        <f t="shared" si="72"/>
        <v>1012</v>
      </c>
      <c r="Y115" s="605">
        <f t="shared" si="72"/>
        <v>11332</v>
      </c>
      <c r="AE115" s="195"/>
    </row>
    <row r="116" spans="4:31" ht="18.95" customHeight="1">
      <c r="D116" s="38" t="s">
        <v>616</v>
      </c>
      <c r="J116" s="605">
        <f>+J101</f>
        <v>12230</v>
      </c>
      <c r="K116" s="605">
        <f t="shared" ref="K116:Y116" si="73">+K101</f>
        <v>12230</v>
      </c>
      <c r="L116" s="605">
        <f t="shared" si="73"/>
        <v>12230</v>
      </c>
      <c r="M116" s="605">
        <f t="shared" si="73"/>
        <v>12230</v>
      </c>
      <c r="N116" s="605">
        <f t="shared" si="73"/>
        <v>12230</v>
      </c>
      <c r="O116" s="605">
        <f t="shared" si="73"/>
        <v>12230</v>
      </c>
      <c r="P116" s="605">
        <f t="shared" si="73"/>
        <v>12230</v>
      </c>
      <c r="Q116" s="605">
        <f t="shared" si="73"/>
        <v>12230</v>
      </c>
      <c r="R116" s="605">
        <f t="shared" si="73"/>
        <v>12230</v>
      </c>
      <c r="S116" s="605">
        <f t="shared" si="73"/>
        <v>12230</v>
      </c>
      <c r="T116" s="605">
        <f t="shared" si="73"/>
        <v>12230</v>
      </c>
      <c r="U116" s="605">
        <f t="shared" si="73"/>
        <v>12230</v>
      </c>
      <c r="V116" s="605">
        <f t="shared" si="73"/>
        <v>12230</v>
      </c>
      <c r="W116" s="605">
        <f t="shared" si="73"/>
        <v>12230</v>
      </c>
      <c r="X116" s="605">
        <f t="shared" si="73"/>
        <v>12230</v>
      </c>
      <c r="Y116" s="605">
        <f t="shared" si="73"/>
        <v>12230</v>
      </c>
      <c r="AE116" s="195"/>
    </row>
    <row r="117" spans="4:31" ht="18.95" customHeight="1">
      <c r="J117" s="605"/>
      <c r="K117" s="605"/>
      <c r="L117" s="605"/>
      <c r="M117" s="605"/>
      <c r="N117" s="605"/>
      <c r="O117" s="605"/>
      <c r="P117" s="605"/>
      <c r="Q117" s="605"/>
      <c r="R117" s="605"/>
      <c r="S117" s="605"/>
      <c r="T117" s="605"/>
      <c r="U117" s="605"/>
      <c r="V117" s="605"/>
      <c r="W117" s="605"/>
      <c r="X117" s="605"/>
      <c r="Y117" s="605"/>
      <c r="AE117" s="639"/>
    </row>
    <row r="118" spans="4:31" ht="18.95" customHeight="1">
      <c r="J118" s="605" t="e">
        <f>+J113+J114+J115+J116</f>
        <v>#REF!</v>
      </c>
      <c r="K118" s="605" t="e">
        <f t="shared" ref="K118:Y118" si="74">+K113+K114+K115+K116</f>
        <v>#REF!</v>
      </c>
      <c r="L118" s="605" t="e">
        <f t="shared" si="74"/>
        <v>#REF!</v>
      </c>
      <c r="M118" s="605" t="e">
        <f t="shared" si="74"/>
        <v>#REF!</v>
      </c>
      <c r="N118" s="605" t="e">
        <f t="shared" si="74"/>
        <v>#REF!</v>
      </c>
      <c r="O118" s="605" t="e">
        <f t="shared" si="74"/>
        <v>#REF!</v>
      </c>
      <c r="P118" s="605" t="e">
        <f t="shared" si="74"/>
        <v>#REF!</v>
      </c>
      <c r="Q118" s="605" t="e">
        <f t="shared" si="74"/>
        <v>#REF!</v>
      </c>
      <c r="R118" s="605" t="e">
        <f t="shared" si="74"/>
        <v>#REF!</v>
      </c>
      <c r="S118" s="605" t="e">
        <f t="shared" si="74"/>
        <v>#REF!</v>
      </c>
      <c r="T118" s="605" t="e">
        <f t="shared" si="74"/>
        <v>#REF!</v>
      </c>
      <c r="U118" s="605" t="e">
        <f t="shared" si="74"/>
        <v>#REF!</v>
      </c>
      <c r="V118" s="605" t="e">
        <f t="shared" si="74"/>
        <v>#REF!</v>
      </c>
      <c r="W118" s="605" t="e">
        <f t="shared" si="74"/>
        <v>#REF!</v>
      </c>
      <c r="X118" s="605" t="e">
        <f t="shared" si="74"/>
        <v>#REF!</v>
      </c>
      <c r="Y118" s="605" t="e">
        <f t="shared" si="74"/>
        <v>#REF!</v>
      </c>
      <c r="AB118" s="195"/>
      <c r="AC118" s="195"/>
      <c r="AD118" s="195"/>
    </row>
    <row r="119" spans="4:31" ht="18.95" customHeight="1">
      <c r="J119" s="605"/>
      <c r="K119" s="605"/>
      <c r="L119" s="605"/>
      <c r="M119" s="605"/>
      <c r="N119" s="605"/>
      <c r="O119" s="605"/>
      <c r="P119" s="605"/>
      <c r="Q119" s="605"/>
      <c r="R119" s="605"/>
      <c r="S119" s="605"/>
      <c r="T119" s="605"/>
      <c r="U119" s="605"/>
      <c r="V119" s="605"/>
      <c r="W119" s="605"/>
      <c r="X119" s="605"/>
      <c r="Y119" s="605"/>
      <c r="AB119" s="195"/>
      <c r="AC119" s="195"/>
      <c r="AD119" s="195"/>
    </row>
    <row r="120" spans="4:31" ht="18.95" customHeight="1">
      <c r="J120" s="605"/>
      <c r="K120" s="605"/>
      <c r="L120" s="605"/>
      <c r="M120" s="605"/>
      <c r="N120" s="605"/>
      <c r="O120" s="605"/>
      <c r="P120" s="605"/>
      <c r="Q120" s="605"/>
      <c r="R120" s="605"/>
      <c r="S120" s="605"/>
      <c r="T120" s="605"/>
      <c r="U120" s="605"/>
      <c r="V120" s="605"/>
      <c r="W120" s="605"/>
      <c r="X120" s="605"/>
      <c r="Y120" s="605"/>
      <c r="AB120" s="195"/>
      <c r="AC120" s="195"/>
      <c r="AD120" s="195"/>
    </row>
    <row r="121" spans="4:31" ht="18.95" customHeight="1">
      <c r="AB121" s="195"/>
      <c r="AC121" s="195"/>
      <c r="AD121" s="195"/>
    </row>
    <row r="122" spans="4:31" ht="18.95" customHeight="1">
      <c r="Y122" s="605" t="e">
        <f>++#REF!+Y10+Y25+Y64+#REF!+Y95</f>
        <v>#REF!</v>
      </c>
      <c r="AB122" s="195"/>
      <c r="AC122" s="195"/>
      <c r="AD122" s="195"/>
    </row>
    <row r="123" spans="4:31" ht="18.95" customHeight="1">
      <c r="AB123" s="639"/>
      <c r="AC123" s="639"/>
      <c r="AD123" s="639"/>
    </row>
    <row r="125" spans="4:31" ht="18.95" customHeight="1">
      <c r="J125" s="605">
        <f t="shared" ref="J125:Y125" si="75">+J103+J74+J38+J19+J100</f>
        <v>20509</v>
      </c>
      <c r="K125" s="605">
        <f t="shared" si="75"/>
        <v>20914</v>
      </c>
      <c r="L125" s="605">
        <f t="shared" si="75"/>
        <v>21319</v>
      </c>
      <c r="M125" s="605">
        <f t="shared" si="75"/>
        <v>21319</v>
      </c>
      <c r="N125" s="605">
        <f t="shared" si="75"/>
        <v>21319</v>
      </c>
      <c r="O125" s="605">
        <f t="shared" si="75"/>
        <v>23331</v>
      </c>
      <c r="P125" s="605">
        <f t="shared" si="75"/>
        <v>23331</v>
      </c>
      <c r="Q125" s="605">
        <f t="shared" si="75"/>
        <v>23331</v>
      </c>
      <c r="R125" s="605">
        <f t="shared" si="75"/>
        <v>23331</v>
      </c>
      <c r="S125" s="605">
        <f t="shared" si="75"/>
        <v>23331</v>
      </c>
      <c r="T125" s="605">
        <f t="shared" si="75"/>
        <v>24972</v>
      </c>
      <c r="U125" s="605">
        <f t="shared" si="75"/>
        <v>24972</v>
      </c>
      <c r="V125" s="605">
        <f t="shared" si="75"/>
        <v>24972</v>
      </c>
      <c r="W125" s="605">
        <f t="shared" si="75"/>
        <v>24972</v>
      </c>
      <c r="X125" s="605">
        <f t="shared" si="75"/>
        <v>24972</v>
      </c>
      <c r="Y125" s="605">
        <f t="shared" si="75"/>
        <v>42215</v>
      </c>
      <c r="Z125" s="605"/>
    </row>
    <row r="128" spans="4:31" ht="18.95" customHeight="1">
      <c r="J128" s="605">
        <f t="shared" ref="J128:Y128" si="76">+J100+J74+J38+J19</f>
        <v>8279</v>
      </c>
      <c r="K128" s="605">
        <f t="shared" si="76"/>
        <v>8684</v>
      </c>
      <c r="L128" s="605">
        <f t="shared" si="76"/>
        <v>9089</v>
      </c>
      <c r="M128" s="605">
        <f t="shared" si="76"/>
        <v>9089</v>
      </c>
      <c r="N128" s="605">
        <f t="shared" si="76"/>
        <v>9089</v>
      </c>
      <c r="O128" s="605">
        <f t="shared" si="76"/>
        <v>11101</v>
      </c>
      <c r="P128" s="605">
        <f t="shared" si="76"/>
        <v>11101</v>
      </c>
      <c r="Q128" s="605">
        <f t="shared" si="76"/>
        <v>11101</v>
      </c>
      <c r="R128" s="605">
        <f t="shared" si="76"/>
        <v>11101</v>
      </c>
      <c r="S128" s="605">
        <f t="shared" si="76"/>
        <v>11101</v>
      </c>
      <c r="T128" s="605">
        <f t="shared" si="76"/>
        <v>12742</v>
      </c>
      <c r="U128" s="605">
        <f t="shared" si="76"/>
        <v>12742</v>
      </c>
      <c r="V128" s="605">
        <f t="shared" si="76"/>
        <v>12742</v>
      </c>
      <c r="W128" s="605">
        <f t="shared" si="76"/>
        <v>12742</v>
      </c>
      <c r="X128" s="605">
        <f t="shared" si="76"/>
        <v>12742</v>
      </c>
      <c r="Y128" s="605">
        <f t="shared" si="76"/>
        <v>29985</v>
      </c>
    </row>
    <row r="200" spans="5:26" ht="18.95" customHeight="1"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</row>
    <row r="202" spans="5:26" ht="18.95" customHeight="1"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</row>
  </sheetData>
  <mergeCells count="112">
    <mergeCell ref="AB72:AC72"/>
    <mergeCell ref="AB18:AD18"/>
    <mergeCell ref="AB61:AC61"/>
    <mergeCell ref="AB16:AD16"/>
    <mergeCell ref="AB17:AD17"/>
    <mergeCell ref="AB24:AD24"/>
    <mergeCell ref="AB22:AD22"/>
    <mergeCell ref="AB25:AD25"/>
    <mergeCell ref="AB28:AD28"/>
    <mergeCell ref="AB29:AD29"/>
    <mergeCell ref="AB30:AD30"/>
    <mergeCell ref="AB32:AD32"/>
    <mergeCell ref="AB33:AD33"/>
    <mergeCell ref="AB67:AC67"/>
    <mergeCell ref="AB68:AC68"/>
    <mergeCell ref="AB69:AC69"/>
    <mergeCell ref="AB70:AC70"/>
    <mergeCell ref="AB71:AC71"/>
    <mergeCell ref="AB63:AC63"/>
    <mergeCell ref="AB42:AD42"/>
    <mergeCell ref="AB19:AD19"/>
    <mergeCell ref="AB20:AD20"/>
    <mergeCell ref="AB21:AD21"/>
    <mergeCell ref="AB23:AD23"/>
    <mergeCell ref="B38:C38"/>
    <mergeCell ref="AB40:AD40"/>
    <mergeCell ref="AB41:AD41"/>
    <mergeCell ref="B103:C103"/>
    <mergeCell ref="A101:A103"/>
    <mergeCell ref="AB73:AC73"/>
    <mergeCell ref="AB74:AC74"/>
    <mergeCell ref="AB75:AC75"/>
    <mergeCell ref="AB76:AC76"/>
    <mergeCell ref="B100:C100"/>
    <mergeCell ref="B92:B95"/>
    <mergeCell ref="B91:C91"/>
    <mergeCell ref="B86:B87"/>
    <mergeCell ref="B101:B102"/>
    <mergeCell ref="B88:B90"/>
    <mergeCell ref="B96:B99"/>
    <mergeCell ref="A92:A100"/>
    <mergeCell ref="A84:A91"/>
    <mergeCell ref="B84:B85"/>
    <mergeCell ref="B75:B76"/>
    <mergeCell ref="AB59:AC59"/>
    <mergeCell ref="AB65:AC65"/>
    <mergeCell ref="B79:B82"/>
    <mergeCell ref="B77:B78"/>
    <mergeCell ref="A75:A83"/>
    <mergeCell ref="B83:C83"/>
    <mergeCell ref="B3:C3"/>
    <mergeCell ref="B19:C19"/>
    <mergeCell ref="AB4:AD4"/>
    <mergeCell ref="AB5:AD5"/>
    <mergeCell ref="AB7:AD7"/>
    <mergeCell ref="AB8:AD8"/>
    <mergeCell ref="AB10:AD10"/>
    <mergeCell ref="AB6:AD6"/>
    <mergeCell ref="AB11:AD11"/>
    <mergeCell ref="AB12:AD12"/>
    <mergeCell ref="AB13:AD13"/>
    <mergeCell ref="AB15:AD15"/>
    <mergeCell ref="AB14:AD14"/>
    <mergeCell ref="AB9:AD9"/>
    <mergeCell ref="B4:B10"/>
    <mergeCell ref="B11:B18"/>
    <mergeCell ref="AB57:AD57"/>
    <mergeCell ref="AB56:AD56"/>
    <mergeCell ref="AB26:AD26"/>
    <mergeCell ref="AB27:AD27"/>
    <mergeCell ref="AB64:AC64"/>
    <mergeCell ref="AB60:AC60"/>
    <mergeCell ref="AB34:AD34"/>
    <mergeCell ref="AB31:AD31"/>
    <mergeCell ref="AB54:AD54"/>
    <mergeCell ref="AB49:AD49"/>
    <mergeCell ref="AB50:AD50"/>
    <mergeCell ref="AB51:AD51"/>
    <mergeCell ref="AB52:AD52"/>
    <mergeCell ref="AB53:AD53"/>
    <mergeCell ref="AB44:AD44"/>
    <mergeCell ref="AB45:AD45"/>
    <mergeCell ref="AB46:AD46"/>
    <mergeCell ref="AB47:AD47"/>
    <mergeCell ref="AB43:AD43"/>
    <mergeCell ref="AB36:AD36"/>
    <mergeCell ref="AB37:AD37"/>
    <mergeCell ref="AB38:AD38"/>
    <mergeCell ref="A4:A19"/>
    <mergeCell ref="AB55:AD55"/>
    <mergeCell ref="AB35:AD35"/>
    <mergeCell ref="AB48:AD48"/>
    <mergeCell ref="AB39:AD39"/>
    <mergeCell ref="B39:B40"/>
    <mergeCell ref="B20:B21"/>
    <mergeCell ref="A20:A38"/>
    <mergeCell ref="B26:B37"/>
    <mergeCell ref="B55:B57"/>
    <mergeCell ref="A55:A74"/>
    <mergeCell ref="B65:B73"/>
    <mergeCell ref="B74:C74"/>
    <mergeCell ref="B41:C41"/>
    <mergeCell ref="A42:A44"/>
    <mergeCell ref="B42:B43"/>
    <mergeCell ref="B44:C44"/>
    <mergeCell ref="A39:A41"/>
    <mergeCell ref="A45:A54"/>
    <mergeCell ref="B47:B53"/>
    <mergeCell ref="B45:B46"/>
    <mergeCell ref="B54:C54"/>
    <mergeCell ref="B58:B64"/>
    <mergeCell ref="B22:B25"/>
  </mergeCells>
  <phoneticPr fontId="3" type="noConversion"/>
  <printOptions horizontalCentered="1"/>
  <pageMargins left="0.59055118110236227" right="0.59055118110236227" top="0.78740157480314965" bottom="0.78740157480314965" header="0.39370078740157483" footer="0.39370078740157483"/>
  <pageSetup paperSize="9" scale="76" orientation="portrait" r:id="rId1"/>
  <headerFooter alignWithMargins="0"/>
  <rowBreaks count="2" manualBreakCount="2">
    <brk id="44" max="25" man="1"/>
    <brk id="91" max="25" man="1"/>
  </rowBreak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AO203"/>
  <sheetViews>
    <sheetView view="pageBreakPreview" zoomScaleNormal="100" zoomScaleSheetLayoutView="100" workbookViewId="0"/>
  </sheetViews>
  <sheetFormatPr defaultColWidth="10.5" defaultRowHeight="18.95" customHeight="1" outlineLevelCol="1"/>
  <cols>
    <col min="1" max="1" width="8" style="38" customWidth="1"/>
    <col min="2" max="2" width="10.125" style="38" customWidth="1"/>
    <col min="3" max="3" width="18.625" style="38" customWidth="1"/>
    <col min="4" max="5" width="10.625" style="38" hidden="1" customWidth="1" outlineLevel="1"/>
    <col min="6" max="6" width="10.625" style="38" customWidth="1" collapsed="1"/>
    <col min="7" max="9" width="10.625" style="38" hidden="1" customWidth="1" outlineLevel="1"/>
    <col min="10" max="10" width="10.625" style="38" customWidth="1" collapsed="1"/>
    <col min="11" max="14" width="10.625" style="38" hidden="1" customWidth="1" outlineLevel="1"/>
    <col min="15" max="15" width="10.625" style="38" customWidth="1" collapsed="1"/>
    <col min="16" max="19" width="10.625" style="38" hidden="1" customWidth="1" outlineLevel="1"/>
    <col min="20" max="20" width="10.625" style="38" customWidth="1" collapsed="1"/>
    <col min="21" max="24" width="10.625" style="38" hidden="1" customWidth="1" outlineLevel="1"/>
    <col min="25" max="25" width="10.625" style="38" customWidth="1" collapsed="1"/>
    <col min="26" max="26" width="8.25" style="38" customWidth="1"/>
    <col min="27" max="29" width="11.875" style="38" customWidth="1"/>
    <col min="30" max="16384" width="10.5" style="38"/>
  </cols>
  <sheetData>
    <row r="1" spans="1:41" s="40" customFormat="1" ht="18" customHeight="1">
      <c r="A1" s="35" t="s">
        <v>175</v>
      </c>
      <c r="B1" s="38"/>
      <c r="C1" s="36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6"/>
      <c r="R1" s="37"/>
      <c r="S1" s="37"/>
      <c r="T1" s="37"/>
      <c r="U1" s="37"/>
      <c r="V1" s="36"/>
      <c r="W1" s="36"/>
      <c r="X1" s="36"/>
      <c r="Y1" s="36"/>
      <c r="Z1" s="36"/>
    </row>
    <row r="2" spans="1:41" s="40" customFormat="1" ht="18" customHeight="1">
      <c r="A2" s="38"/>
      <c r="B2" s="38"/>
      <c r="C2" s="38"/>
      <c r="D2" s="41"/>
      <c r="E2" s="41" t="e">
        <f>SUM(#REF!,#REF!,#REF!,'사회적유입인구의 처리구역별 배분 (원본출력x)'!#REF!,'사회적유입인구의 처리구역별 배분 (원본출력x)'!#REF!,#REF!,#REF!,#REF!)</f>
        <v>#REF!</v>
      </c>
      <c r="F2" s="41" t="e">
        <f>SUM(#REF!,#REF!,#REF!,'사회적유입인구의 처리구역별 배분 (원본출력x)'!#REF!,'사회적유입인구의 처리구역별 배분 (원본출력x)'!#REF!,#REF!,#REF!,#REF!)</f>
        <v>#REF!</v>
      </c>
      <c r="G2" s="41" t="e">
        <f>SUM(#REF!,#REF!,#REF!,'사회적유입인구의 처리구역별 배분 (원본출력x)'!#REF!,'사회적유입인구의 처리구역별 배분 (원본출력x)'!#REF!,#REF!,#REF!,#REF!)</f>
        <v>#REF!</v>
      </c>
      <c r="H2" s="41" t="e">
        <f>SUM(#REF!,#REF!,#REF!,'사회적유입인구의 처리구역별 배분 (원본출력x)'!#REF!,'사회적유입인구의 처리구역별 배분 (원본출력x)'!#REF!,#REF!,#REF!,#REF!)</f>
        <v>#REF!</v>
      </c>
      <c r="I2" s="41" t="e">
        <f>SUM(#REF!,#REF!,#REF!,'사회적유입인구의 처리구역별 배분 (원본출력x)'!#REF!,'사회적유입인구의 처리구역별 배분 (원본출력x)'!#REF!,#REF!,#REF!,#REF!)</f>
        <v>#REF!</v>
      </c>
      <c r="J2" s="41" t="e">
        <f>SUM(#REF!,#REF!,#REF!,'사회적유입인구의 처리구역별 배분 (원본출력x)'!#REF!,'사회적유입인구의 처리구역별 배분 (원본출력x)'!#REF!,#REF!,#REF!,#REF!)</f>
        <v>#REF!</v>
      </c>
      <c r="K2" s="41" t="e">
        <f>SUM(#REF!,#REF!,#REF!,'사회적유입인구의 처리구역별 배분 (원본출력x)'!#REF!,'사회적유입인구의 처리구역별 배분 (원본출력x)'!#REF!,#REF!,#REF!,#REF!)</f>
        <v>#REF!</v>
      </c>
      <c r="L2" s="41" t="e">
        <f>SUM(#REF!,#REF!,#REF!,'사회적유입인구의 처리구역별 배분 (원본출력x)'!#REF!,'사회적유입인구의 처리구역별 배분 (원본출력x)'!#REF!,#REF!,#REF!,#REF!)</f>
        <v>#REF!</v>
      </c>
      <c r="M2" s="41" t="e">
        <f>SUM(#REF!,#REF!,#REF!,'사회적유입인구의 처리구역별 배분 (원본출력x)'!#REF!,'사회적유입인구의 처리구역별 배분 (원본출력x)'!#REF!,#REF!,#REF!,#REF!)</f>
        <v>#REF!</v>
      </c>
      <c r="N2" s="41" t="e">
        <f>SUM(#REF!,#REF!,#REF!,'사회적유입인구의 처리구역별 배분 (원본출력x)'!#REF!,'사회적유입인구의 처리구역별 배분 (원본출력x)'!#REF!,#REF!,#REF!,#REF!)</f>
        <v>#REF!</v>
      </c>
      <c r="O2" s="41" t="e">
        <f>SUM(#REF!,#REF!,#REF!,'사회적유입인구의 처리구역별 배분 (원본출력x)'!#REF!,'사회적유입인구의 처리구역별 배분 (원본출력x)'!#REF!,#REF!,#REF!,#REF!)</f>
        <v>#REF!</v>
      </c>
      <c r="P2" s="41" t="e">
        <f>SUM(#REF!,#REF!,#REF!,'사회적유입인구의 처리구역별 배분 (원본출력x)'!#REF!,'사회적유입인구의 처리구역별 배분 (원본출력x)'!#REF!,#REF!,#REF!,#REF!)</f>
        <v>#REF!</v>
      </c>
      <c r="Q2" s="41" t="e">
        <f>SUM(#REF!,#REF!,#REF!,'사회적유입인구의 처리구역별 배분 (원본출력x)'!#REF!,'사회적유입인구의 처리구역별 배분 (원본출력x)'!#REF!,#REF!,#REF!,#REF!)</f>
        <v>#REF!</v>
      </c>
      <c r="R2" s="41" t="e">
        <f>SUM(#REF!,#REF!,#REF!,'사회적유입인구의 처리구역별 배분 (원본출력x)'!#REF!,'사회적유입인구의 처리구역별 배분 (원본출력x)'!#REF!,#REF!,#REF!,#REF!)</f>
        <v>#REF!</v>
      </c>
      <c r="S2" s="41" t="e">
        <f>SUM(#REF!,#REF!,#REF!,'사회적유입인구의 처리구역별 배분 (원본출력x)'!#REF!,'사회적유입인구의 처리구역별 배분 (원본출력x)'!#REF!,#REF!,#REF!,#REF!)</f>
        <v>#REF!</v>
      </c>
      <c r="T2" s="41" t="e">
        <f>SUM(#REF!,#REF!,#REF!,'사회적유입인구의 처리구역별 배분 (원본출력x)'!#REF!,'사회적유입인구의 처리구역별 배분 (원본출력x)'!#REF!,#REF!,#REF!,#REF!)</f>
        <v>#REF!</v>
      </c>
      <c r="U2" s="41" t="e">
        <f>SUM(#REF!,#REF!,#REF!,'사회적유입인구의 처리구역별 배분 (원본출력x)'!#REF!,'사회적유입인구의 처리구역별 배분 (원본출력x)'!#REF!,#REF!,#REF!,#REF!)</f>
        <v>#REF!</v>
      </c>
      <c r="V2" s="41" t="e">
        <f>SUM(#REF!,#REF!,#REF!,'사회적유입인구의 처리구역별 배분 (원본출력x)'!#REF!,'사회적유입인구의 처리구역별 배분 (원본출력x)'!#REF!,#REF!,#REF!,#REF!)</f>
        <v>#REF!</v>
      </c>
      <c r="W2" s="41"/>
      <c r="X2" s="41"/>
      <c r="Y2" s="41"/>
      <c r="Z2" s="38" t="s">
        <v>70</v>
      </c>
    </row>
    <row r="3" spans="1:41" ht="18.95" customHeight="1" thickBot="1">
      <c r="A3" s="1379" t="s">
        <v>98</v>
      </c>
      <c r="B3" s="2578" t="s">
        <v>71</v>
      </c>
      <c r="C3" s="2578"/>
      <c r="D3" s="1380">
        <v>2014</v>
      </c>
      <c r="E3" s="1380">
        <v>2015</v>
      </c>
      <c r="F3" s="1380">
        <v>2016</v>
      </c>
      <c r="G3" s="1380">
        <v>2017</v>
      </c>
      <c r="H3" s="1380">
        <v>2018</v>
      </c>
      <c r="I3" s="1380">
        <v>2019</v>
      </c>
      <c r="J3" s="1380">
        <v>2020</v>
      </c>
      <c r="K3" s="1380">
        <v>2021</v>
      </c>
      <c r="L3" s="1380">
        <v>2022</v>
      </c>
      <c r="M3" s="1380">
        <v>2023</v>
      </c>
      <c r="N3" s="1380">
        <v>2024</v>
      </c>
      <c r="O3" s="1380">
        <v>2025</v>
      </c>
      <c r="P3" s="1380">
        <v>2026</v>
      </c>
      <c r="Q3" s="1380">
        <v>2027</v>
      </c>
      <c r="R3" s="1380">
        <v>2028</v>
      </c>
      <c r="S3" s="1380">
        <v>2029</v>
      </c>
      <c r="T3" s="1380">
        <v>2030</v>
      </c>
      <c r="U3" s="1380">
        <v>2031</v>
      </c>
      <c r="V3" s="1380">
        <v>2032</v>
      </c>
      <c r="W3" s="1380">
        <v>2033</v>
      </c>
      <c r="X3" s="1380">
        <v>2034</v>
      </c>
      <c r="Y3" s="1380">
        <v>2035</v>
      </c>
      <c r="Z3" s="1381" t="s">
        <v>99</v>
      </c>
      <c r="AB3" s="117" t="s">
        <v>176</v>
      </c>
    </row>
    <row r="4" spans="1:41" ht="17.100000000000001" customHeight="1">
      <c r="A4" s="2613" t="s">
        <v>760</v>
      </c>
      <c r="B4" s="2615" t="s">
        <v>95</v>
      </c>
      <c r="C4" s="1096" t="str">
        <f>AB11</f>
        <v>지평더웰2차</v>
      </c>
      <c r="D4" s="862">
        <f>ROUND(IFERROR(VLOOKUP($C4,사회적유입!$AA$5:$AW$167,2,FALSE),0)*$Z4,0)</f>
        <v>0</v>
      </c>
      <c r="E4" s="862">
        <f>ROUND(IFERROR(VLOOKUP($C4,사회적유입!$AA$5:$AW$167,3,FALSE),0)*$Z4,0)</f>
        <v>0</v>
      </c>
      <c r="F4" s="862">
        <f>ROUND(IFERROR(VLOOKUP($C4,사회적유입!$AA$5:$AW$167,4,FALSE),0)*$Z4,0)</f>
        <v>0</v>
      </c>
      <c r="G4" s="862">
        <f>ROUND(IFERROR(VLOOKUP($C4,사회적유입!$AA$5:$AW$167,5,FALSE),0)*$Z4,0)</f>
        <v>125</v>
      </c>
      <c r="H4" s="862">
        <f>ROUND(IFERROR(VLOOKUP($C4,사회적유입!$AA$5:$AW$167,6,FALSE),0)*$Z4,0)</f>
        <v>125</v>
      </c>
      <c r="I4" s="862">
        <f>ROUND(IFERROR(VLOOKUP($C4,사회적유입!$AA$5:$AW$167,7,FALSE),0)*$Z4,0)</f>
        <v>125</v>
      </c>
      <c r="J4" s="862">
        <f>ROUND(IFERROR(VLOOKUP($C4,사회적유입!$AA$5:$AW$167,8,FALSE),0)*$Z4,0)</f>
        <v>125</v>
      </c>
      <c r="K4" s="862">
        <f>ROUND(IFERROR(VLOOKUP($C4,사회적유입!$AA$5:$AW$167,9,FALSE),0)*$Z4,0)</f>
        <v>125</v>
      </c>
      <c r="L4" s="862">
        <f>ROUND(IFERROR(VLOOKUP($C4,사회적유입!$AA$5:$AW$167,10,FALSE),0)*$Z4,0)</f>
        <v>125</v>
      </c>
      <c r="M4" s="862">
        <f>ROUND(IFERROR(VLOOKUP($C4,사회적유입!$AA$5:$AW$167,11,FALSE),0)*$Z4,0)</f>
        <v>125</v>
      </c>
      <c r="N4" s="862">
        <f>ROUND(IFERROR(VLOOKUP($C4,사회적유입!$AA$5:$AW$167,12,FALSE),0)*$Z4,0)</f>
        <v>125</v>
      </c>
      <c r="O4" s="862">
        <f>ROUND(IFERROR(VLOOKUP($C4,사회적유입!$AA$5:$AW$167,13,FALSE),0)*$Z4,0)</f>
        <v>125</v>
      </c>
      <c r="P4" s="862">
        <f>ROUND(IFERROR(VLOOKUP($C4,사회적유입!$AA$5:$AW$167,14,FALSE),0)*$Z4,0)</f>
        <v>125</v>
      </c>
      <c r="Q4" s="862">
        <f>ROUND(IFERROR(VLOOKUP($C4,사회적유입!$AA$5:$AW$167,15,FALSE),0)*$Z4,0)</f>
        <v>125</v>
      </c>
      <c r="R4" s="862">
        <f>ROUND(IFERROR(VLOOKUP($C4,사회적유입!$AA$5:$AW$167,16,FALSE),0)*$Z4,0)</f>
        <v>125</v>
      </c>
      <c r="S4" s="862">
        <f>ROUND(IFERROR(VLOOKUP($C4,사회적유입!$AA$5:$AW$167,17,FALSE),0)*$Z4,0)</f>
        <v>125</v>
      </c>
      <c r="T4" s="862">
        <f>ROUND(IFERROR(VLOOKUP($C4,사회적유입!$AA$5:$AW$167,18,FALSE),0)*$Z4,0)</f>
        <v>125</v>
      </c>
      <c r="U4" s="862">
        <f>ROUND(IFERROR(VLOOKUP($C4,사회적유입!$AA$5:$AW$167,19,FALSE),0)*$Z4,0)</f>
        <v>125</v>
      </c>
      <c r="V4" s="862">
        <f>ROUND(IFERROR(VLOOKUP($C4,사회적유입!$AA$5:$AW$167,20,FALSE),0)*$Z4,0)</f>
        <v>125</v>
      </c>
      <c r="W4" s="862">
        <f>ROUND(IFERROR(VLOOKUP($C4,사회적유입!$AA$5:$AW$167,21,FALSE),0)*$Z4,0)</f>
        <v>125</v>
      </c>
      <c r="X4" s="862">
        <f>ROUND(IFERROR(VLOOKUP($C4,사회적유입!$AA$5:$AW$167,22,FALSE),0)*$Z4,0)</f>
        <v>125</v>
      </c>
      <c r="Y4" s="862">
        <f>ROUND(IFERROR(VLOOKUP($C4,사회적유입!$AA$5:$AW$167,23,FALSE),0)*$Z4,0)</f>
        <v>125</v>
      </c>
      <c r="Z4" s="1101">
        <f t="shared" ref="Z4:Z9" si="0">VLOOKUP(C4,$AB$5:$AN$58,4,FALSE)</f>
        <v>1</v>
      </c>
      <c r="AB4" s="2580" t="s">
        <v>43</v>
      </c>
      <c r="AC4" s="2581"/>
      <c r="AD4" s="2581"/>
      <c r="AE4" s="1044" t="s">
        <v>1052</v>
      </c>
      <c r="AF4" s="1044" t="s">
        <v>692</v>
      </c>
      <c r="AG4" s="1044" t="s">
        <v>1056</v>
      </c>
      <c r="AH4" s="1044" t="s">
        <v>1063</v>
      </c>
      <c r="AI4" s="1044" t="s">
        <v>1069</v>
      </c>
      <c r="AJ4" s="1044" t="s">
        <v>696</v>
      </c>
      <c r="AK4" s="1044" t="s">
        <v>1073</v>
      </c>
      <c r="AL4" s="1044" t="s">
        <v>1087</v>
      </c>
      <c r="AM4" s="1044" t="s">
        <v>1125</v>
      </c>
      <c r="AN4" s="1045" t="s">
        <v>186</v>
      </c>
    </row>
    <row r="5" spans="1:41" ht="17.100000000000001" customHeight="1">
      <c r="A5" s="2613"/>
      <c r="B5" s="2616"/>
      <c r="C5" s="856" t="str">
        <f>AB13</f>
        <v>㈜송정건설</v>
      </c>
      <c r="D5" s="1237">
        <f>ROUND(IFERROR(VLOOKUP($C5,사회적유입!$AA$5:$AW$167,2,FALSE),0)*$Z5,0)</f>
        <v>0</v>
      </c>
      <c r="E5" s="1237">
        <f>ROUND(IFERROR(VLOOKUP($C5,사회적유입!$AA$5:$AW$167,3,FALSE),0)*$Z5,0)</f>
        <v>0</v>
      </c>
      <c r="F5" s="1237">
        <f>ROUND(IFERROR(VLOOKUP($C5,사회적유입!$AA$5:$AW$167,4,FALSE),0)*$Z5,0)</f>
        <v>0</v>
      </c>
      <c r="G5" s="1237">
        <f>ROUND(IFERROR(VLOOKUP($C5,사회적유입!$AA$5:$AW$167,5,FALSE),0)*$Z5,0)</f>
        <v>0</v>
      </c>
      <c r="H5" s="1237">
        <f>ROUND(IFERROR(VLOOKUP($C5,사회적유입!$AA$5:$AW$167,6,FALSE),0)*$Z5,0)</f>
        <v>144</v>
      </c>
      <c r="I5" s="1237">
        <f>ROUND(IFERROR(VLOOKUP($C5,사회적유입!$AA$5:$AW$167,7,FALSE),0)*$Z5,0)</f>
        <v>144</v>
      </c>
      <c r="J5" s="1237">
        <f>ROUND(IFERROR(VLOOKUP($C5,사회적유입!$AA$5:$AW$167,8,FALSE),0)*$Z5,0)</f>
        <v>144</v>
      </c>
      <c r="K5" s="1237">
        <f>ROUND(IFERROR(VLOOKUP($C5,사회적유입!$AA$5:$AW$167,9,FALSE),0)*$Z5,0)</f>
        <v>144</v>
      </c>
      <c r="L5" s="1237">
        <f>ROUND(IFERROR(VLOOKUP($C5,사회적유입!$AA$5:$AW$167,10,FALSE),0)*$Z5,0)</f>
        <v>144</v>
      </c>
      <c r="M5" s="1237">
        <f>ROUND(IFERROR(VLOOKUP($C5,사회적유입!$AA$5:$AW$167,11,FALSE),0)*$Z5,0)</f>
        <v>144</v>
      </c>
      <c r="N5" s="1237">
        <f>ROUND(IFERROR(VLOOKUP($C5,사회적유입!$AA$5:$AW$167,12,FALSE),0)*$Z5,0)</f>
        <v>144</v>
      </c>
      <c r="O5" s="1237">
        <f>ROUND(IFERROR(VLOOKUP($C5,사회적유입!$AA$5:$AW$167,13,FALSE),0)*$Z5,0)</f>
        <v>144</v>
      </c>
      <c r="P5" s="1237">
        <f>ROUND(IFERROR(VLOOKUP($C5,사회적유입!$AA$5:$AW$167,14,FALSE),0)*$Z5,0)</f>
        <v>144</v>
      </c>
      <c r="Q5" s="1237">
        <f>ROUND(IFERROR(VLOOKUP($C5,사회적유입!$AA$5:$AW$167,15,FALSE),0)*$Z5,0)</f>
        <v>144</v>
      </c>
      <c r="R5" s="1237">
        <f>ROUND(IFERROR(VLOOKUP($C5,사회적유입!$AA$5:$AW$167,16,FALSE),0)*$Z5,0)</f>
        <v>144</v>
      </c>
      <c r="S5" s="1237">
        <f>ROUND(IFERROR(VLOOKUP($C5,사회적유입!$AA$5:$AW$167,17,FALSE),0)*$Z5,0)</f>
        <v>144</v>
      </c>
      <c r="T5" s="1237">
        <f>ROUND(IFERROR(VLOOKUP($C5,사회적유입!$AA$5:$AW$167,18,FALSE),0)*$Z5,0)</f>
        <v>144</v>
      </c>
      <c r="U5" s="1237">
        <f>ROUND(IFERROR(VLOOKUP($C5,사회적유입!$AA$5:$AW$167,19,FALSE),0)*$Z5,0)</f>
        <v>144</v>
      </c>
      <c r="V5" s="1237">
        <f>ROUND(IFERROR(VLOOKUP($C5,사회적유입!$AA$5:$AW$167,20,FALSE),0)*$Z5,0)</f>
        <v>144</v>
      </c>
      <c r="W5" s="1237">
        <f>ROUND(IFERROR(VLOOKUP($C5,사회적유입!$AA$5:$AW$167,21,FALSE),0)*$Z5,0)</f>
        <v>144</v>
      </c>
      <c r="X5" s="1237">
        <f>ROUND(IFERROR(VLOOKUP($C5,사회적유입!$AA$5:$AW$167,22,FALSE),0)*$Z5,0)</f>
        <v>144</v>
      </c>
      <c r="Y5" s="1237">
        <f>ROUND(IFERROR(VLOOKUP($C5,사회적유입!$AA$5:$AW$167,23,FALSE),0)*$Z5,0)</f>
        <v>144</v>
      </c>
      <c r="Z5" s="1098">
        <f t="shared" si="0"/>
        <v>1</v>
      </c>
      <c r="AB5" s="2582" t="s">
        <v>1104</v>
      </c>
      <c r="AC5" s="2583"/>
      <c r="AD5" s="2583"/>
      <c r="AE5" s="1046"/>
      <c r="AF5" s="1046"/>
      <c r="AG5" s="1046"/>
      <c r="AH5" s="1046"/>
      <c r="AI5" s="1046"/>
      <c r="AJ5" s="1046">
        <v>1</v>
      </c>
      <c r="AK5" s="1046"/>
      <c r="AL5" s="1046"/>
      <c r="AM5" s="1046"/>
      <c r="AN5" s="1047"/>
    </row>
    <row r="6" spans="1:41" ht="17.100000000000001" customHeight="1">
      <c r="A6" s="2613"/>
      <c r="B6" s="2616"/>
      <c r="C6" s="856" t="str">
        <f>AB14</f>
        <v>미소건설</v>
      </c>
      <c r="D6" s="1237">
        <f>ROUND(IFERROR(VLOOKUP($C6,사회적유입!$AA$5:$AW$167,2,FALSE),0)*$Z6,0)</f>
        <v>0</v>
      </c>
      <c r="E6" s="1237">
        <f>ROUND(IFERROR(VLOOKUP($C6,사회적유입!$AA$5:$AW$167,3,FALSE),0)*$Z6,0)</f>
        <v>0</v>
      </c>
      <c r="F6" s="1237">
        <f>ROUND(IFERROR(VLOOKUP($C6,사회적유입!$AA$5:$AW$167,4,FALSE),0)*$Z6,0)</f>
        <v>0</v>
      </c>
      <c r="G6" s="1237">
        <f>ROUND(IFERROR(VLOOKUP($C6,사회적유입!$AA$5:$AW$167,5,FALSE),0)*$Z6,0)</f>
        <v>46</v>
      </c>
      <c r="H6" s="1237">
        <f>ROUND(IFERROR(VLOOKUP($C6,사회적유입!$AA$5:$AW$167,6,FALSE),0)*$Z6,0)</f>
        <v>46</v>
      </c>
      <c r="I6" s="1237">
        <f>ROUND(IFERROR(VLOOKUP($C6,사회적유입!$AA$5:$AW$167,7,FALSE),0)*$Z6,0)</f>
        <v>46</v>
      </c>
      <c r="J6" s="1237">
        <f>ROUND(IFERROR(VLOOKUP($C6,사회적유입!$AA$5:$AW$167,8,FALSE),0)*$Z6,0)</f>
        <v>46</v>
      </c>
      <c r="K6" s="1237">
        <f>ROUND(IFERROR(VLOOKUP($C6,사회적유입!$AA$5:$AW$167,9,FALSE),0)*$Z6,0)</f>
        <v>46</v>
      </c>
      <c r="L6" s="1237">
        <f>ROUND(IFERROR(VLOOKUP($C6,사회적유입!$AA$5:$AW$167,10,FALSE),0)*$Z6,0)</f>
        <v>46</v>
      </c>
      <c r="M6" s="1237">
        <f>ROUND(IFERROR(VLOOKUP($C6,사회적유입!$AA$5:$AW$167,11,FALSE),0)*$Z6,0)</f>
        <v>46</v>
      </c>
      <c r="N6" s="1237">
        <f>ROUND(IFERROR(VLOOKUP($C6,사회적유입!$AA$5:$AW$167,12,FALSE),0)*$Z6,0)</f>
        <v>46</v>
      </c>
      <c r="O6" s="1237">
        <f>ROUND(IFERROR(VLOOKUP($C6,사회적유입!$AA$5:$AW$167,13,FALSE),0)*$Z6,0)</f>
        <v>46</v>
      </c>
      <c r="P6" s="1237">
        <f>ROUND(IFERROR(VLOOKUP($C6,사회적유입!$AA$5:$AW$167,14,FALSE),0)*$Z6,0)</f>
        <v>46</v>
      </c>
      <c r="Q6" s="1237">
        <f>ROUND(IFERROR(VLOOKUP($C6,사회적유입!$AA$5:$AW$167,15,FALSE),0)*$Z6,0)</f>
        <v>46</v>
      </c>
      <c r="R6" s="1237">
        <f>ROUND(IFERROR(VLOOKUP($C6,사회적유입!$AA$5:$AW$167,16,FALSE),0)*$Z6,0)</f>
        <v>46</v>
      </c>
      <c r="S6" s="1237">
        <f>ROUND(IFERROR(VLOOKUP($C6,사회적유입!$AA$5:$AW$167,17,FALSE),0)*$Z6,0)</f>
        <v>46</v>
      </c>
      <c r="T6" s="1237">
        <f>ROUND(IFERROR(VLOOKUP($C6,사회적유입!$AA$5:$AW$167,18,FALSE),0)*$Z6,0)</f>
        <v>46</v>
      </c>
      <c r="U6" s="1237">
        <f>ROUND(IFERROR(VLOOKUP($C6,사회적유입!$AA$5:$AW$167,19,FALSE),0)*$Z6,0)</f>
        <v>46</v>
      </c>
      <c r="V6" s="1237">
        <f>ROUND(IFERROR(VLOOKUP($C6,사회적유입!$AA$5:$AW$167,20,FALSE),0)*$Z6,0)</f>
        <v>46</v>
      </c>
      <c r="W6" s="1237">
        <f>ROUND(IFERROR(VLOOKUP($C6,사회적유입!$AA$5:$AW$167,21,FALSE),0)*$Z6,0)</f>
        <v>46</v>
      </c>
      <c r="X6" s="1237">
        <f>ROUND(IFERROR(VLOOKUP($C6,사회적유입!$AA$5:$AW$167,22,FALSE),0)*$Z6,0)</f>
        <v>46</v>
      </c>
      <c r="Y6" s="1237">
        <f>ROUND(IFERROR(VLOOKUP($C6,사회적유입!$AA$5:$AW$167,23,FALSE),0)*$Z6,0)</f>
        <v>46</v>
      </c>
      <c r="Z6" s="1098">
        <f t="shared" si="0"/>
        <v>1</v>
      </c>
      <c r="AB6" s="2586" t="s">
        <v>1127</v>
      </c>
      <c r="AC6" s="2587"/>
      <c r="AD6" s="2587"/>
      <c r="AE6" s="1048"/>
      <c r="AF6" s="1048"/>
      <c r="AG6" s="1048"/>
      <c r="AH6" s="1048"/>
      <c r="AI6" s="1048"/>
      <c r="AJ6" s="1048"/>
      <c r="AK6" s="1048"/>
      <c r="AL6" s="1048"/>
      <c r="AM6" s="1048"/>
      <c r="AN6" s="1049">
        <v>1</v>
      </c>
    </row>
    <row r="7" spans="1:41" ht="17.100000000000001" customHeight="1">
      <c r="A7" s="2613"/>
      <c r="B7" s="2616"/>
      <c r="C7" s="856" t="str">
        <f>AB15</f>
        <v>㈜씨제이산업개발</v>
      </c>
      <c r="D7" s="1237">
        <f>ROUND(IFERROR(VLOOKUP($C7,사회적유입!$AA$5:$AW$167,2,FALSE),0)*$Z7,0)</f>
        <v>0</v>
      </c>
      <c r="E7" s="1237">
        <f>ROUND(IFERROR(VLOOKUP($C7,사회적유입!$AA$5:$AW$167,3,FALSE),0)*$Z7,0)</f>
        <v>0</v>
      </c>
      <c r="F7" s="1237">
        <f>ROUND(IFERROR(VLOOKUP($C7,사회적유입!$AA$5:$AW$167,4,FALSE),0)*$Z7,0)</f>
        <v>0</v>
      </c>
      <c r="G7" s="1237">
        <f>ROUND(IFERROR(VLOOKUP($C7,사회적유입!$AA$5:$AW$167,5,FALSE),0)*$Z7,0)</f>
        <v>27</v>
      </c>
      <c r="H7" s="1237">
        <f>ROUND(IFERROR(VLOOKUP($C7,사회적유입!$AA$5:$AW$167,6,FALSE),0)*$Z7,0)</f>
        <v>27</v>
      </c>
      <c r="I7" s="1237">
        <f>ROUND(IFERROR(VLOOKUP($C7,사회적유입!$AA$5:$AW$167,7,FALSE),0)*$Z7,0)</f>
        <v>27</v>
      </c>
      <c r="J7" s="1237">
        <f>ROUND(IFERROR(VLOOKUP($C7,사회적유입!$AA$5:$AW$167,8,FALSE),0)*$Z7,0)</f>
        <v>27</v>
      </c>
      <c r="K7" s="1237">
        <f>ROUND(IFERROR(VLOOKUP($C7,사회적유입!$AA$5:$AW$167,9,FALSE),0)*$Z7,0)</f>
        <v>27</v>
      </c>
      <c r="L7" s="1237">
        <f>ROUND(IFERROR(VLOOKUP($C7,사회적유입!$AA$5:$AW$167,10,FALSE),0)*$Z7,0)</f>
        <v>27</v>
      </c>
      <c r="M7" s="1237">
        <f>ROUND(IFERROR(VLOOKUP($C7,사회적유입!$AA$5:$AW$167,11,FALSE),0)*$Z7,0)</f>
        <v>27</v>
      </c>
      <c r="N7" s="1237">
        <f>ROUND(IFERROR(VLOOKUP($C7,사회적유입!$AA$5:$AW$167,12,FALSE),0)*$Z7,0)</f>
        <v>27</v>
      </c>
      <c r="O7" s="1237">
        <f>ROUND(IFERROR(VLOOKUP($C7,사회적유입!$AA$5:$AW$167,13,FALSE),0)*$Z7,0)</f>
        <v>27</v>
      </c>
      <c r="P7" s="1237">
        <f>ROUND(IFERROR(VLOOKUP($C7,사회적유입!$AA$5:$AW$167,14,FALSE),0)*$Z7,0)</f>
        <v>27</v>
      </c>
      <c r="Q7" s="1237">
        <f>ROUND(IFERROR(VLOOKUP($C7,사회적유입!$AA$5:$AW$167,15,FALSE),0)*$Z7,0)</f>
        <v>27</v>
      </c>
      <c r="R7" s="1237">
        <f>ROUND(IFERROR(VLOOKUP($C7,사회적유입!$AA$5:$AW$167,16,FALSE),0)*$Z7,0)</f>
        <v>27</v>
      </c>
      <c r="S7" s="1237">
        <f>ROUND(IFERROR(VLOOKUP($C7,사회적유입!$AA$5:$AW$167,17,FALSE),0)*$Z7,0)</f>
        <v>27</v>
      </c>
      <c r="T7" s="1237">
        <f>ROUND(IFERROR(VLOOKUP($C7,사회적유입!$AA$5:$AW$167,18,FALSE),0)*$Z7,0)</f>
        <v>27</v>
      </c>
      <c r="U7" s="1237">
        <f>ROUND(IFERROR(VLOOKUP($C7,사회적유입!$AA$5:$AW$167,19,FALSE),0)*$Z7,0)</f>
        <v>27</v>
      </c>
      <c r="V7" s="1237">
        <f>ROUND(IFERROR(VLOOKUP($C7,사회적유입!$AA$5:$AW$167,20,FALSE),0)*$Z7,0)</f>
        <v>27</v>
      </c>
      <c r="W7" s="1237">
        <f>ROUND(IFERROR(VLOOKUP($C7,사회적유입!$AA$5:$AW$167,21,FALSE),0)*$Z7,0)</f>
        <v>27</v>
      </c>
      <c r="X7" s="1237">
        <f>ROUND(IFERROR(VLOOKUP($C7,사회적유입!$AA$5:$AW$167,22,FALSE),0)*$Z7,0)</f>
        <v>27</v>
      </c>
      <c r="Y7" s="1237">
        <f>ROUND(IFERROR(VLOOKUP($C7,사회적유입!$AA$5:$AW$167,23,FALSE),0)*$Z7,0)</f>
        <v>27</v>
      </c>
      <c r="Z7" s="1098">
        <f t="shared" si="0"/>
        <v>1</v>
      </c>
      <c r="AB7" s="2584" t="s">
        <v>1210</v>
      </c>
      <c r="AC7" s="2585"/>
      <c r="AD7" s="2585"/>
      <c r="AE7" s="1048"/>
      <c r="AF7" s="1048"/>
      <c r="AG7" s="1048"/>
      <c r="AH7" s="1048"/>
      <c r="AI7" s="1048"/>
      <c r="AJ7" s="1048">
        <v>1</v>
      </c>
      <c r="AK7" s="1048"/>
      <c r="AL7" s="1048"/>
      <c r="AM7" s="1048"/>
      <c r="AN7" s="1050"/>
    </row>
    <row r="8" spans="1:41" ht="17.100000000000001" customHeight="1">
      <c r="A8" s="2613"/>
      <c r="B8" s="2616"/>
      <c r="C8" s="856" t="str">
        <f>AB18</f>
        <v>음성지역주택조합</v>
      </c>
      <c r="D8" s="1237">
        <f>ROUND(IFERROR(VLOOKUP($C8,사회적유입!$AA$5:$AW$167,2,FALSE),0)*$Z8,0)</f>
        <v>0</v>
      </c>
      <c r="E8" s="1237">
        <f>ROUND(IFERROR(VLOOKUP($C8,사회적유입!$AA$5:$AW$167,3,FALSE),0)*$Z8,0)</f>
        <v>0</v>
      </c>
      <c r="F8" s="1237">
        <f>ROUND(IFERROR(VLOOKUP($C8,사회적유입!$AA$5:$AW$167,4,FALSE),0)*$Z8,0)</f>
        <v>0</v>
      </c>
      <c r="G8" s="1237">
        <f>ROUND(IFERROR(VLOOKUP($C8,사회적유입!$AA$5:$AW$167,5,FALSE),0)*$Z8,0)</f>
        <v>0</v>
      </c>
      <c r="H8" s="1237">
        <f>ROUND(IFERROR(VLOOKUP($C8,사회적유입!$AA$5:$AW$167,6,FALSE),0)*$Z8,0)</f>
        <v>0</v>
      </c>
      <c r="I8" s="1237">
        <f>ROUND(IFERROR(VLOOKUP($C8,사회적유입!$AA$5:$AW$167,7,FALSE),0)*$Z8,0)</f>
        <v>0</v>
      </c>
      <c r="J8" s="1237">
        <f>ROUND(IFERROR(VLOOKUP($C8,사회적유입!$AA$5:$AW$167,8,FALSE),0)*$Z8,0)</f>
        <v>376</v>
      </c>
      <c r="K8" s="1237">
        <f>ROUND(IFERROR(VLOOKUP($C8,사회적유입!$AA$5:$AW$167,9,FALSE),0)*$Z8,0)</f>
        <v>376</v>
      </c>
      <c r="L8" s="1237">
        <f>ROUND(IFERROR(VLOOKUP($C8,사회적유입!$AA$5:$AW$167,10,FALSE),0)*$Z8,0)</f>
        <v>376</v>
      </c>
      <c r="M8" s="1237">
        <f>ROUND(IFERROR(VLOOKUP($C8,사회적유입!$AA$5:$AW$167,11,FALSE),0)*$Z8,0)</f>
        <v>376</v>
      </c>
      <c r="N8" s="1237">
        <f>ROUND(IFERROR(VLOOKUP($C8,사회적유입!$AA$5:$AW$167,12,FALSE),0)*$Z8,0)</f>
        <v>376</v>
      </c>
      <c r="O8" s="1237">
        <f>ROUND(IFERROR(VLOOKUP($C8,사회적유입!$AA$5:$AW$167,13,FALSE),0)*$Z8,0)</f>
        <v>376</v>
      </c>
      <c r="P8" s="1237">
        <f>ROUND(IFERROR(VLOOKUP($C8,사회적유입!$AA$5:$AW$167,14,FALSE),0)*$Z8,0)</f>
        <v>376</v>
      </c>
      <c r="Q8" s="1237">
        <f>ROUND(IFERROR(VLOOKUP($C8,사회적유입!$AA$5:$AW$167,15,FALSE),0)*$Z8,0)</f>
        <v>376</v>
      </c>
      <c r="R8" s="1237">
        <f>ROUND(IFERROR(VLOOKUP($C8,사회적유입!$AA$5:$AW$167,16,FALSE),0)*$Z8,0)</f>
        <v>376</v>
      </c>
      <c r="S8" s="1237">
        <f>ROUND(IFERROR(VLOOKUP($C8,사회적유입!$AA$5:$AW$167,17,FALSE),0)*$Z8,0)</f>
        <v>376</v>
      </c>
      <c r="T8" s="1237">
        <f>ROUND(IFERROR(VLOOKUP($C8,사회적유입!$AA$5:$AW$167,18,FALSE),0)*$Z8,0)</f>
        <v>376</v>
      </c>
      <c r="U8" s="1237">
        <f>ROUND(IFERROR(VLOOKUP($C8,사회적유입!$AA$5:$AW$167,19,FALSE),0)*$Z8,0)</f>
        <v>376</v>
      </c>
      <c r="V8" s="1237">
        <f>ROUND(IFERROR(VLOOKUP($C8,사회적유입!$AA$5:$AW$167,20,FALSE),0)*$Z8,0)</f>
        <v>376</v>
      </c>
      <c r="W8" s="1237">
        <f>ROUND(IFERROR(VLOOKUP($C8,사회적유입!$AA$5:$AW$167,21,FALSE),0)*$Z8,0)</f>
        <v>376</v>
      </c>
      <c r="X8" s="1237">
        <f>ROUND(IFERROR(VLOOKUP($C8,사회적유입!$AA$5:$AW$167,22,FALSE),0)*$Z8,0)</f>
        <v>376</v>
      </c>
      <c r="Y8" s="1237">
        <f>ROUND(IFERROR(VLOOKUP($C8,사회적유입!$AA$5:$AW$167,23,FALSE),0)*$Z8,0)</f>
        <v>376</v>
      </c>
      <c r="Z8" s="1098">
        <f t="shared" si="0"/>
        <v>1</v>
      </c>
      <c r="AB8" s="2584" t="s">
        <v>1105</v>
      </c>
      <c r="AC8" s="2585"/>
      <c r="AD8" s="2585"/>
      <c r="AE8" s="1048"/>
      <c r="AF8" s="1048">
        <v>1</v>
      </c>
      <c r="AG8" s="1048"/>
      <c r="AH8" s="1048"/>
      <c r="AI8" s="1048"/>
      <c r="AJ8" s="1048"/>
      <c r="AK8" s="1048"/>
      <c r="AL8" s="1048"/>
      <c r="AM8" s="1048"/>
      <c r="AN8" s="1050"/>
    </row>
    <row r="9" spans="1:41" ht="17.100000000000001" customHeight="1">
      <c r="A9" s="2613"/>
      <c r="B9" s="2616"/>
      <c r="C9" s="856" t="str">
        <f>AB19</f>
        <v>신 부영아파트</v>
      </c>
      <c r="D9" s="1237">
        <f>ROUND(IFERROR(VLOOKUP($C9,사회적유입!$AA$5:$AW$167,2,FALSE),0)*$Z9,0)</f>
        <v>0</v>
      </c>
      <c r="E9" s="1237">
        <f>IFERROR(VLOOKUP($C9,사회적유입!$AA$5:$AW$167,3,FALSE),0)*$Z9</f>
        <v>0</v>
      </c>
      <c r="F9" s="1237">
        <f>ROUND(IFERROR(VLOOKUP($C9,사회적유입!$AA$5:$AW$167,4,FALSE),0)*$Z9,0)</f>
        <v>0</v>
      </c>
      <c r="G9" s="1237">
        <f>ROUND(IFERROR(VLOOKUP($C9,사회적유입!$AA$5:$AW$167,5,FALSE),0)*$Z9,0)</f>
        <v>0</v>
      </c>
      <c r="H9" s="1237">
        <f>ROUND(IFERROR(VLOOKUP($C9,사회적유입!$AA$5:$AW$167,6,FALSE),0)*$Z9,0)</f>
        <v>15</v>
      </c>
      <c r="I9" s="1237">
        <f>ROUND(IFERROR(VLOOKUP($C9,사회적유입!$AA$5:$AW$167,7,FALSE),0)*$Z9,0)</f>
        <v>15</v>
      </c>
      <c r="J9" s="1237">
        <f>ROUND(IFERROR(VLOOKUP($C9,사회적유입!$AA$5:$AW$167,8,FALSE),0)*$Z9,0)</f>
        <v>15</v>
      </c>
      <c r="K9" s="1237">
        <f>ROUND(IFERROR(VLOOKUP($C9,사회적유입!$AA$5:$AW$167,9,FALSE),0)*$Z9,0)</f>
        <v>15</v>
      </c>
      <c r="L9" s="1237">
        <f>ROUND(IFERROR(VLOOKUP($C9,사회적유입!$AA$5:$AW$167,10,FALSE),0)*$Z9,0)</f>
        <v>15</v>
      </c>
      <c r="M9" s="1237">
        <f>ROUND(IFERROR(VLOOKUP($C9,사회적유입!$AA$5:$AW$167,11,FALSE),0)*$Z9,0)</f>
        <v>15</v>
      </c>
      <c r="N9" s="1237">
        <f>ROUND(IFERROR(VLOOKUP($C9,사회적유입!$AA$5:$AW$167,12,FALSE),0)*$Z9,0)</f>
        <v>15</v>
      </c>
      <c r="O9" s="1237">
        <f>ROUND(IFERROR(VLOOKUP($C9,사회적유입!$AA$5:$AW$167,13,FALSE),0)*$Z9,0)</f>
        <v>15</v>
      </c>
      <c r="P9" s="1237">
        <f>ROUND(IFERROR(VLOOKUP($C9,사회적유입!$AA$5:$AW$167,14,FALSE),0)*$Z9,0)</f>
        <v>15</v>
      </c>
      <c r="Q9" s="1237">
        <f>ROUND(IFERROR(VLOOKUP($C9,사회적유입!$AA$5:$AW$167,15,FALSE),0)*$Z9,0)</f>
        <v>15</v>
      </c>
      <c r="R9" s="1237">
        <f>ROUND(IFERROR(VLOOKUP($C9,사회적유입!$AA$5:$AW$167,16,FALSE),0)*$Z9,0)</f>
        <v>15</v>
      </c>
      <c r="S9" s="1237">
        <f>ROUND(IFERROR(VLOOKUP($C9,사회적유입!$AA$5:$AW$167,17,FALSE),0)*$Z9,0)</f>
        <v>15</v>
      </c>
      <c r="T9" s="1237">
        <f>ROUND(IFERROR(VLOOKUP($C9,사회적유입!$AA$5:$AW$167,18,FALSE),0)*$Z9,0)</f>
        <v>15</v>
      </c>
      <c r="U9" s="1237">
        <f>ROUND(IFERROR(VLOOKUP($C9,사회적유입!$AA$5:$AW$167,19,FALSE),0)*$Z9,0)</f>
        <v>15</v>
      </c>
      <c r="V9" s="1237">
        <f>ROUND(IFERROR(VLOOKUP($C9,사회적유입!$AA$5:$AW$167,20,FALSE),0)*$Z9,0)</f>
        <v>15</v>
      </c>
      <c r="W9" s="1237">
        <f>ROUND(IFERROR(VLOOKUP($C9,사회적유입!$AA$5:$AW$167,21,FALSE),0)*$Z9,0)</f>
        <v>15</v>
      </c>
      <c r="X9" s="1237">
        <f>ROUND(IFERROR(VLOOKUP($C9,사회적유입!$AA$5:$AW$167,22,FALSE),0)*$Z9,0)</f>
        <v>15</v>
      </c>
      <c r="Y9" s="1237">
        <f>ROUND(IFERROR(VLOOKUP($C9,사회적유입!$AA$5:$AW$167,23,FALSE),0)*$Z9,0)</f>
        <v>15</v>
      </c>
      <c r="Z9" s="1098">
        <f t="shared" si="0"/>
        <v>1</v>
      </c>
      <c r="AB9" s="2584" t="s">
        <v>1329</v>
      </c>
      <c r="AC9" s="2585"/>
      <c r="AD9" s="2585"/>
      <c r="AE9" s="1048"/>
      <c r="AF9" s="1048">
        <v>1</v>
      </c>
      <c r="AG9" s="1048"/>
      <c r="AH9" s="1048"/>
      <c r="AI9" s="1048"/>
      <c r="AJ9" s="1048"/>
      <c r="AK9" s="1048"/>
      <c r="AL9" s="1048"/>
      <c r="AM9" s="1048"/>
      <c r="AN9" s="1050"/>
    </row>
    <row r="10" spans="1:41" ht="17.100000000000001" customHeight="1">
      <c r="A10" s="2613"/>
      <c r="B10" s="2616"/>
      <c r="C10" s="857" t="s">
        <v>73</v>
      </c>
      <c r="D10" s="858">
        <f t="shared" ref="D10:Y10" si="1">SUM(D4:D9)</f>
        <v>0</v>
      </c>
      <c r="E10" s="858">
        <f t="shared" si="1"/>
        <v>0</v>
      </c>
      <c r="F10" s="858">
        <f t="shared" si="1"/>
        <v>0</v>
      </c>
      <c r="G10" s="858">
        <f t="shared" si="1"/>
        <v>198</v>
      </c>
      <c r="H10" s="858">
        <f t="shared" si="1"/>
        <v>357</v>
      </c>
      <c r="I10" s="858">
        <f t="shared" si="1"/>
        <v>357</v>
      </c>
      <c r="J10" s="858">
        <f t="shared" si="1"/>
        <v>733</v>
      </c>
      <c r="K10" s="858">
        <f t="shared" si="1"/>
        <v>733</v>
      </c>
      <c r="L10" s="858">
        <f t="shared" si="1"/>
        <v>733</v>
      </c>
      <c r="M10" s="858">
        <f t="shared" si="1"/>
        <v>733</v>
      </c>
      <c r="N10" s="858">
        <f t="shared" si="1"/>
        <v>733</v>
      </c>
      <c r="O10" s="858">
        <f t="shared" si="1"/>
        <v>733</v>
      </c>
      <c r="P10" s="858">
        <f t="shared" si="1"/>
        <v>733</v>
      </c>
      <c r="Q10" s="858">
        <f t="shared" si="1"/>
        <v>733</v>
      </c>
      <c r="R10" s="858">
        <f t="shared" si="1"/>
        <v>733</v>
      </c>
      <c r="S10" s="858">
        <f t="shared" si="1"/>
        <v>733</v>
      </c>
      <c r="T10" s="858">
        <f t="shared" si="1"/>
        <v>733</v>
      </c>
      <c r="U10" s="858">
        <f t="shared" si="1"/>
        <v>733</v>
      </c>
      <c r="V10" s="858">
        <f t="shared" si="1"/>
        <v>733</v>
      </c>
      <c r="W10" s="858">
        <f t="shared" si="1"/>
        <v>733</v>
      </c>
      <c r="X10" s="858">
        <f t="shared" si="1"/>
        <v>733</v>
      </c>
      <c r="Y10" s="858">
        <f t="shared" si="1"/>
        <v>733</v>
      </c>
      <c r="Z10" s="1052"/>
      <c r="AB10" s="2584" t="s">
        <v>1106</v>
      </c>
      <c r="AC10" s="2585"/>
      <c r="AD10" s="2585"/>
      <c r="AE10" s="1048"/>
      <c r="AF10" s="1048"/>
      <c r="AG10" s="1048"/>
      <c r="AH10" s="1048"/>
      <c r="AI10" s="1048"/>
      <c r="AJ10" s="1048">
        <v>1</v>
      </c>
      <c r="AK10" s="1048"/>
      <c r="AL10" s="1048"/>
      <c r="AM10" s="1048"/>
      <c r="AN10" s="1050"/>
    </row>
    <row r="11" spans="1:41" ht="17.100000000000001" customHeight="1">
      <c r="A11" s="2613"/>
      <c r="B11" s="2617" t="s">
        <v>96</v>
      </c>
      <c r="C11" s="859" t="str">
        <f>AB31</f>
        <v>신천보부산업단지</v>
      </c>
      <c r="D11" s="1237">
        <f>ROUND(IFERROR(INDEX(사회적유입!$AA$4:$AW$165,MATCH($C11,사회적유입!$AA$4:$AA$165,0)-2,2),0)*$Z11,0)</f>
        <v>0</v>
      </c>
      <c r="E11" s="1237">
        <f>ROUND(IFERROR(INDEX(사회적유입!$AA$4:$AW$165,MATCH($C11,사회적유입!$AA$4:$AA$165,0)-2,3),0)*$Z11,0)</f>
        <v>0</v>
      </c>
      <c r="F11" s="1237">
        <f>ROUND(IFERROR(INDEX(사회적유입!$AA$4:$AW$165,MATCH($C11,사회적유입!$AA$4:$AA$165,0)-2,4),0)*$Z11,0)</f>
        <v>0</v>
      </c>
      <c r="G11" s="1237">
        <f>ROUND(IFERROR(INDEX(사회적유입!$AA$4:$AW$165,MATCH($C11,사회적유입!$AA$4:$AA$165,0)-2,5),0)*$Z11,0)</f>
        <v>0</v>
      </c>
      <c r="H11" s="1237">
        <f>ROUND(IFERROR(INDEX(사회적유입!$AA$4:$AW$165,MATCH($C11,사회적유입!$AA$4:$AA$165,0)-2,6),0)*$Z11,0)</f>
        <v>33</v>
      </c>
      <c r="I11" s="1237">
        <f>ROUND(IFERROR(INDEX(사회적유입!$AA$4:$AW$165,MATCH($C11,사회적유입!$AA$4:$AA$165,0)-2,7),0)*$Z11,0)</f>
        <v>100</v>
      </c>
      <c r="J11" s="1237">
        <f>ROUND(IFERROR(INDEX(사회적유입!$AA$4:$AW$165,MATCH($C11,사회적유입!$AA$4:$AA$165,0)-2,8),0)*$Z11,0)</f>
        <v>167</v>
      </c>
      <c r="K11" s="1237">
        <f>ROUND(IFERROR(INDEX(사회적유입!$AA$4:$AW$165,MATCH($C11,사회적유입!$AA$4:$AA$165,0)-2,9),0)*$Z11,0)</f>
        <v>167</v>
      </c>
      <c r="L11" s="1237">
        <f>ROUND(IFERROR(INDEX(사회적유입!$AA$4:$AW$165,MATCH($C11,사회적유입!$AA$4:$AA$165,0)-2,10),0)*$Z11,0)</f>
        <v>167</v>
      </c>
      <c r="M11" s="1237">
        <f>ROUND(IFERROR(INDEX(사회적유입!$AA$4:$AW$165,MATCH($C11,사회적유입!$AA$4:$AA$165,0)-2,11),0)*$Z11,0)</f>
        <v>167</v>
      </c>
      <c r="N11" s="1237">
        <f>ROUND(IFERROR(INDEX(사회적유입!$AA$4:$AW$165,MATCH($C11,사회적유입!$AA$4:$AA$165,0)-2,12),0)*$Z11,0)</f>
        <v>167</v>
      </c>
      <c r="O11" s="1237">
        <f>ROUND(IFERROR(INDEX(사회적유입!$AA$4:$AW$165,MATCH($C11,사회적유입!$AA$4:$AA$165,0)-2,13),0)*$Z11,0)</f>
        <v>167</v>
      </c>
      <c r="P11" s="1237">
        <f>ROUND(IFERROR(INDEX(사회적유입!$AA$4:$AW$165,MATCH($C11,사회적유입!$AA$4:$AA$165,0)-2,14),0)*$Z11,0)</f>
        <v>167</v>
      </c>
      <c r="Q11" s="1237">
        <f>ROUND(IFERROR(INDEX(사회적유입!$AA$4:$AW$165,MATCH($C11,사회적유입!$AA$4:$AA$165,0)-2,15),0)*$Z11,0)</f>
        <v>167</v>
      </c>
      <c r="R11" s="1237">
        <f>ROUND(IFERROR(INDEX(사회적유입!$AA$4:$AW$165,MATCH($C11,사회적유입!$AA$4:$AA$165,0)-2,16),0)*$Z11,0)</f>
        <v>167</v>
      </c>
      <c r="S11" s="1237">
        <f>ROUND(IFERROR(INDEX(사회적유입!$AA$4:$AW$165,MATCH($C11,사회적유입!$AA$4:$AA$165,0)-2,17),0)*$Z11,0)</f>
        <v>167</v>
      </c>
      <c r="T11" s="1237">
        <f>ROUND(IFERROR(INDEX(사회적유입!$AA$4:$AW$165,MATCH($C11,사회적유입!$AA$4:$AA$165,0)-2,18),0)*$Z11,0)</f>
        <v>167</v>
      </c>
      <c r="U11" s="1237">
        <f>ROUND(IFERROR(INDEX(사회적유입!$AA$4:$AW$165,MATCH($C11,사회적유입!$AA$4:$AA$165,0)-2,19),0)*$Z11,0)</f>
        <v>167</v>
      </c>
      <c r="V11" s="1237">
        <f>ROUND(IFERROR(INDEX(사회적유입!$AA$4:$AW$165,MATCH($C11,사회적유입!$AA$4:$AA$165,0)-2,20),0)*$Z11,0)</f>
        <v>167</v>
      </c>
      <c r="W11" s="1237">
        <f>ROUND(IFERROR(INDEX(사회적유입!$AA$4:$AW$165,MATCH($C11,사회적유입!$AA$4:$AA$165,0)-2,21),0)*$Z11,0)</f>
        <v>167</v>
      </c>
      <c r="X11" s="1237">
        <f>ROUND(IFERROR(INDEX(사회적유입!$AA$4:$AW$165,MATCH($C11,사회적유입!$AA$4:$AA$165,0)-2,22),0)*$Z11,0)</f>
        <v>167</v>
      </c>
      <c r="Y11" s="1237">
        <f>ROUND(IFERROR(INDEX(사회적유입!$AA$4:$AW$165,MATCH($C11,사회적유입!$AA$4:$AA$165,0)-2,23),0)*$Z11,0)</f>
        <v>167</v>
      </c>
      <c r="Z11" s="1098">
        <f t="shared" ref="Z11:Z17" si="2">VLOOKUP(C11,$AB$5:$AN$58,4,FALSE)</f>
        <v>1</v>
      </c>
      <c r="AB11" s="2586" t="s">
        <v>1107</v>
      </c>
      <c r="AC11" s="2587"/>
      <c r="AD11" s="2587"/>
      <c r="AE11" s="1048">
        <v>1</v>
      </c>
      <c r="AF11" s="1048"/>
      <c r="AG11" s="1048"/>
      <c r="AH11" s="1048"/>
      <c r="AI11" s="1048"/>
      <c r="AJ11" s="1048"/>
      <c r="AK11" s="1048"/>
      <c r="AL11" s="1048"/>
      <c r="AM11" s="1048"/>
      <c r="AN11" s="1050"/>
    </row>
    <row r="12" spans="1:41" ht="17.100000000000001" customHeight="1">
      <c r="A12" s="2613"/>
      <c r="B12" s="2618"/>
      <c r="C12" s="859" t="str">
        <f>AB55</f>
        <v>용산산업단지</v>
      </c>
      <c r="D12" s="1237">
        <f>ROUND(IFERROR(INDEX(사회적유입!$AA$4:$AW$165,MATCH($C12,사회적유입!$AA$4:$AA$165,0)-2,2),0)*$Z12,0)</f>
        <v>0</v>
      </c>
      <c r="E12" s="1237">
        <f>ROUND(IFERROR(INDEX(사회적유입!$AA$4:$AW$165,MATCH($C12,사회적유입!$AA$4:$AA$165,0)-2,3),0)*$Z12,0)</f>
        <v>0</v>
      </c>
      <c r="F12" s="1237">
        <f>ROUND(IFERROR(INDEX(사회적유입!$AA$4:$AW$165,MATCH($C12,사회적유입!$AA$4:$AA$165,0)-2,4),0)*$Z12,0)</f>
        <v>0</v>
      </c>
      <c r="G12" s="1237">
        <f>ROUND(IFERROR(INDEX(사회적유입!$AA$4:$AW$165,MATCH($C12,사회적유입!$AA$4:$AA$165,0)-2,5),0)*$Z12,0)</f>
        <v>0</v>
      </c>
      <c r="H12" s="1237">
        <f>ROUND(IFERROR(INDEX(사회적유입!$AA$4:$AW$165,MATCH($C12,사회적유입!$AA$4:$AA$165,0)-2,6),0)*$Z12,0)</f>
        <v>0</v>
      </c>
      <c r="I12" s="1237">
        <f>ROUND(IFERROR(INDEX(사회적유입!$AA$4:$AW$165,MATCH($C12,사회적유입!$AA$4:$AA$165,0)-2,7),0)*$Z12,0)</f>
        <v>0</v>
      </c>
      <c r="J12" s="1237">
        <f>ROUND(IFERROR(INDEX(사회적유입!$AA$4:$AW$165,MATCH($C12,사회적유입!$AA$4:$AA$165,0)-2,8),0)*$Z12,0)</f>
        <v>0</v>
      </c>
      <c r="K12" s="1237">
        <f>ROUND(IFERROR(INDEX(사회적유입!$AA$4:$AW$165,MATCH($C12,사회적유입!$AA$4:$AA$165,0)-2,9),0)*$Z12,0)</f>
        <v>0</v>
      </c>
      <c r="L12" s="1237">
        <f>ROUND(IFERROR(INDEX(사회적유입!$AA$4:$AW$165,MATCH($C12,사회적유입!$AA$4:$AA$165,0)-2,10),0)*$Z12,0)</f>
        <v>0</v>
      </c>
      <c r="M12" s="1237">
        <f>ROUND(IFERROR(INDEX(사회적유입!$AA$4:$AW$165,MATCH($C12,사회적유입!$AA$4:$AA$165,0)-2,11),0)*$Z12,0)</f>
        <v>0</v>
      </c>
      <c r="N12" s="1237">
        <f>ROUND(IFERROR(INDEX(사회적유입!$AA$4:$AW$165,MATCH($C12,사회적유입!$AA$4:$AA$165,0)-2,12),0)*$Z12,0)</f>
        <v>0</v>
      </c>
      <c r="O12" s="1237">
        <f>ROUND(IFERROR(INDEX(사회적유입!$AA$4:$AW$165,MATCH($C12,사회적유입!$AA$4:$AA$165,0)-2,13),0)*$Z12,0)</f>
        <v>0</v>
      </c>
      <c r="P12" s="1237">
        <f>ROUND(IFERROR(INDEX(사회적유입!$AA$4:$AW$165,MATCH($C12,사회적유입!$AA$4:$AA$165,0)-2,14),0)*$Z12,0)</f>
        <v>0</v>
      </c>
      <c r="Q12" s="1237">
        <f>ROUND(IFERROR(INDEX(사회적유입!$AA$4:$AW$165,MATCH($C12,사회적유입!$AA$4:$AA$165,0)-2,15),0)*$Z12,0)</f>
        <v>0</v>
      </c>
      <c r="R12" s="1237">
        <f>ROUND(IFERROR(INDEX(사회적유입!$AA$4:$AW$165,MATCH($C12,사회적유입!$AA$4:$AA$165,0)-2,16),0)*$Z12,0)</f>
        <v>0</v>
      </c>
      <c r="S12" s="1237">
        <f>ROUND(IFERROR(INDEX(사회적유입!$AA$4:$AW$165,MATCH($C12,사회적유입!$AA$4:$AA$165,0)-2,17),0)*$Z12,0)</f>
        <v>0</v>
      </c>
      <c r="T12" s="1237">
        <f>ROUND(IFERROR(INDEX(사회적유입!$AA$4:$AW$165,MATCH($C12,사회적유입!$AA$4:$AA$165,0)-2,18),0)*$Z12,0)</f>
        <v>0</v>
      </c>
      <c r="U12" s="1237">
        <f>ROUND(IFERROR(INDEX(사회적유입!$AA$4:$AW$165,MATCH($C12,사회적유입!$AA$4:$AA$165,0)-2,19),0)*$Z12,0)</f>
        <v>0</v>
      </c>
      <c r="V12" s="1237">
        <f>ROUND(IFERROR(INDEX(사회적유입!$AA$4:$AW$165,MATCH($C12,사회적유입!$AA$4:$AA$165,0)-2,20),0)*$Z12,0)</f>
        <v>0</v>
      </c>
      <c r="W12" s="1237">
        <f>ROUND(IFERROR(INDEX(사회적유입!$AA$4:$AW$165,MATCH($C12,사회적유입!$AA$4:$AA$165,0)-2,21),0)*$Z12,0)</f>
        <v>0</v>
      </c>
      <c r="X12" s="1237">
        <f>ROUND(IFERROR(INDEX(사회적유입!$AA$4:$AW$165,MATCH($C12,사회적유입!$AA$4:$AA$165,0)-2,22),0)*$Z12,0)</f>
        <v>0</v>
      </c>
      <c r="Y12" s="1237">
        <f>ROUND(IFERROR(INDEX(사회적유입!$AA$4:$AW$165,MATCH($C12,사회적유입!$AA$4:$AA$165,0)-2,23),0)*$Z12,0)</f>
        <v>1191</v>
      </c>
      <c r="Z12" s="1098">
        <f t="shared" si="2"/>
        <v>1</v>
      </c>
      <c r="AB12" s="2586" t="s">
        <v>1108</v>
      </c>
      <c r="AC12" s="2587"/>
      <c r="AD12" s="2587"/>
      <c r="AE12" s="1048"/>
      <c r="AF12" s="1048"/>
      <c r="AG12" s="1048"/>
      <c r="AH12" s="1048"/>
      <c r="AI12" s="1048"/>
      <c r="AJ12" s="1048"/>
      <c r="AK12" s="1048"/>
      <c r="AL12" s="1048"/>
      <c r="AM12" s="1048"/>
      <c r="AN12" s="1049">
        <v>1</v>
      </c>
    </row>
    <row r="13" spans="1:41" ht="17.100000000000001" customHeight="1">
      <c r="A13" s="2613"/>
      <c r="B13" s="2618"/>
      <c r="C13" s="859" t="str">
        <f>AB56</f>
        <v>음성산업단지</v>
      </c>
      <c r="D13" s="1237">
        <f>ROUND(IFERROR(INDEX(사회적유입!$AA$4:$AW$165,MATCH($C13,사회적유입!$AA$4:$AA$165,0)-2,2),0)*$Z13,0)</f>
        <v>0</v>
      </c>
      <c r="E13" s="1237">
        <f>ROUND(IFERROR(INDEX(사회적유입!$AA$4:$AW$165,MATCH($C13,사회적유입!$AA$4:$AA$165,0)-2,3),0)*$Z13,0)</f>
        <v>0</v>
      </c>
      <c r="F13" s="1237">
        <f>ROUND(IFERROR(INDEX(사회적유입!$AA$4:$AW$165,MATCH($C13,사회적유입!$AA$4:$AA$165,0)-2,4),0)*$Z13,0)</f>
        <v>0</v>
      </c>
      <c r="G13" s="1237">
        <f>ROUND(IFERROR(INDEX(사회적유입!$AA$4:$AW$165,MATCH($C13,사회적유입!$AA$4:$AA$165,0)-2,5),0)*$Z13,0)</f>
        <v>0</v>
      </c>
      <c r="H13" s="1237">
        <f>ROUND(IFERROR(INDEX(사회적유입!$AA$4:$AW$165,MATCH($C13,사회적유입!$AA$4:$AA$165,0)-2,6),0)*$Z13,0)</f>
        <v>0</v>
      </c>
      <c r="I13" s="1237">
        <f>ROUND(IFERROR(INDEX(사회적유입!$AA$4:$AW$165,MATCH($C13,사회적유입!$AA$4:$AA$165,0)-2,7),0)*$Z13,0)</f>
        <v>0</v>
      </c>
      <c r="J13" s="1237">
        <f>ROUND(IFERROR(INDEX(사회적유입!$AA$4:$AW$165,MATCH($C13,사회적유입!$AA$4:$AA$165,0)-2,8),0)*$Z13,0)</f>
        <v>0</v>
      </c>
      <c r="K13" s="1237">
        <f>ROUND(IFERROR(INDEX(사회적유입!$AA$4:$AW$165,MATCH($C13,사회적유입!$AA$4:$AA$165,0)-2,9),0)*$Z13,0)</f>
        <v>0</v>
      </c>
      <c r="L13" s="1237">
        <f>ROUND(IFERROR(INDEX(사회적유입!$AA$4:$AW$165,MATCH($C13,사회적유입!$AA$4:$AA$165,0)-2,10),0)*$Z13,0)</f>
        <v>0</v>
      </c>
      <c r="M13" s="1237">
        <f>ROUND(IFERROR(INDEX(사회적유입!$AA$4:$AW$165,MATCH($C13,사회적유입!$AA$4:$AA$165,0)-2,11),0)*$Z13,0)</f>
        <v>0</v>
      </c>
      <c r="N13" s="1237">
        <f>ROUND(IFERROR(INDEX(사회적유입!$AA$4:$AW$165,MATCH($C13,사회적유입!$AA$4:$AA$165,0)-2,12),0)*$Z13,0)</f>
        <v>0</v>
      </c>
      <c r="O13" s="1237">
        <f>ROUND(IFERROR(INDEX(사회적유입!$AA$4:$AW$165,MATCH($C13,사회적유입!$AA$4:$AA$165,0)-2,13),0)*$Z13,0)</f>
        <v>0</v>
      </c>
      <c r="P13" s="1237">
        <f>ROUND(IFERROR(INDEX(사회적유입!$AA$4:$AW$165,MATCH($C13,사회적유입!$AA$4:$AA$165,0)-2,14),0)*$Z13,0)</f>
        <v>0</v>
      </c>
      <c r="Q13" s="1237">
        <f>ROUND(IFERROR(INDEX(사회적유입!$AA$4:$AW$165,MATCH($C13,사회적유입!$AA$4:$AA$165,0)-2,15),0)*$Z13,0)</f>
        <v>0</v>
      </c>
      <c r="R13" s="1237">
        <f>ROUND(IFERROR(INDEX(사회적유입!$AA$4:$AW$165,MATCH($C13,사회적유입!$AA$4:$AA$165,0)-2,16),0)*$Z13,0)</f>
        <v>0</v>
      </c>
      <c r="S13" s="1237">
        <f>ROUND(IFERROR(INDEX(사회적유입!$AA$4:$AW$165,MATCH($C13,사회적유입!$AA$4:$AA$165,0)-2,17),0)*$Z13,0)</f>
        <v>0</v>
      </c>
      <c r="T13" s="1237">
        <f>ROUND(IFERROR(INDEX(사회적유입!$AA$4:$AW$165,MATCH($C13,사회적유입!$AA$4:$AA$165,0)-2,18),0)*$Z13,0)</f>
        <v>0</v>
      </c>
      <c r="U13" s="1237">
        <f>ROUND(IFERROR(INDEX(사회적유입!$AA$4:$AW$165,MATCH($C13,사회적유입!$AA$4:$AA$165,0)-2,19),0)*$Z13,0)</f>
        <v>0</v>
      </c>
      <c r="V13" s="1237">
        <f>ROUND(IFERROR(INDEX(사회적유입!$AA$4:$AW$165,MATCH($C13,사회적유입!$AA$4:$AA$165,0)-2,20),0)*$Z13,0)</f>
        <v>0</v>
      </c>
      <c r="W13" s="1237">
        <f>ROUND(IFERROR(INDEX(사회적유입!$AA$4:$AW$165,MATCH($C13,사회적유입!$AA$4:$AA$165,0)-2,21),0)*$Z13,0)</f>
        <v>0</v>
      </c>
      <c r="X13" s="1237">
        <f>ROUND(IFERROR(INDEX(사회적유입!$AA$4:$AW$165,MATCH($C13,사회적유입!$AA$4:$AA$165,0)-2,22),0)*$Z13,0)</f>
        <v>0</v>
      </c>
      <c r="Y13" s="1237">
        <f>ROUND(IFERROR(INDEX(사회적유입!$AA$4:$AW$165,MATCH($C13,사회적유입!$AA$4:$AA$165,0)-2,23),0)*$Z13,0)</f>
        <v>1546</v>
      </c>
      <c r="Z13" s="1098">
        <f t="shared" si="2"/>
        <v>1</v>
      </c>
      <c r="AB13" s="2586" t="s">
        <v>1109</v>
      </c>
      <c r="AC13" s="2587"/>
      <c r="AD13" s="2587"/>
      <c r="AE13" s="1048">
        <v>1</v>
      </c>
      <c r="AF13" s="1048"/>
      <c r="AG13" s="1048"/>
      <c r="AH13" s="1048"/>
      <c r="AI13" s="1048"/>
      <c r="AJ13" s="1048"/>
      <c r="AK13" s="1048"/>
      <c r="AL13" s="1048"/>
      <c r="AM13" s="1048"/>
      <c r="AN13" s="1050"/>
    </row>
    <row r="14" spans="1:41" ht="17.100000000000001" customHeight="1">
      <c r="A14" s="2613"/>
      <c r="B14" s="2618"/>
      <c r="C14" s="859" t="str">
        <f>AB57</f>
        <v>㈜에스지월드테크</v>
      </c>
      <c r="D14" s="1237">
        <f>ROUND(IFERROR(INDEX(사회적유입!$AA$4:$AW$165,MATCH($C14,사회적유입!$AA$4:$AA$165,0)-2,2),0)*$Z14,0)</f>
        <v>0</v>
      </c>
      <c r="E14" s="1237">
        <f>ROUND(IFERROR(INDEX(사회적유입!$AA$4:$AW$165,MATCH($C14,사회적유입!$AA$4:$AA$165,0)-2,3),0)*$Z14,0)</f>
        <v>0</v>
      </c>
      <c r="F14" s="1237">
        <f>ROUND(IFERROR(INDEX(사회적유입!$AA$4:$AW$165,MATCH($C14,사회적유입!$AA$4:$AA$165,0)-2,4),0)*$Z14,0)</f>
        <v>0</v>
      </c>
      <c r="G14" s="1237">
        <f>ROUND(IFERROR(INDEX(사회적유입!$AA$4:$AW$165,MATCH($C14,사회적유입!$AA$4:$AA$165,0)-2,5),0)*$Z14,0)</f>
        <v>0</v>
      </c>
      <c r="H14" s="1237">
        <f>ROUND(IFERROR(INDEX(사회적유입!$AA$4:$AW$165,MATCH($C14,사회적유입!$AA$4:$AA$165,0)-2,6),0)*$Z14,0)</f>
        <v>0</v>
      </c>
      <c r="I14" s="1237">
        <f>ROUND(IFERROR(INDEX(사회적유입!$AA$4:$AW$165,MATCH($C14,사회적유입!$AA$4:$AA$165,0)-2,7),0)*$Z14,0)</f>
        <v>0</v>
      </c>
      <c r="J14" s="1237">
        <f>ROUND(IFERROR(INDEX(사회적유입!$AA$4:$AW$165,MATCH($C14,사회적유입!$AA$4:$AA$165,0)-2,8),0)*$Z14,0)</f>
        <v>0</v>
      </c>
      <c r="K14" s="1237">
        <f>ROUND(IFERROR(INDEX(사회적유입!$AA$4:$AW$165,MATCH($C14,사회적유입!$AA$4:$AA$165,0)-2,9),0)*$Z14,0)</f>
        <v>0</v>
      </c>
      <c r="L14" s="1237">
        <f>ROUND(IFERROR(INDEX(사회적유입!$AA$4:$AW$165,MATCH($C14,사회적유입!$AA$4:$AA$165,0)-2,10),0)*$Z14,0)</f>
        <v>0</v>
      </c>
      <c r="M14" s="1237">
        <f>ROUND(IFERROR(INDEX(사회적유입!$AA$4:$AW$165,MATCH($C14,사회적유입!$AA$4:$AA$165,0)-2,11),0)*$Z14,0)</f>
        <v>0</v>
      </c>
      <c r="N14" s="1237">
        <f>ROUND(IFERROR(INDEX(사회적유입!$AA$4:$AW$165,MATCH($C14,사회적유입!$AA$4:$AA$165,0)-2,12),0)*$Z14,0)</f>
        <v>0</v>
      </c>
      <c r="O14" s="1237">
        <f>ROUND(IFERROR(INDEX(사회적유입!$AA$4:$AW$165,MATCH($C14,사회적유입!$AA$4:$AA$165,0)-2,13),0)*$Z14,0)</f>
        <v>0</v>
      </c>
      <c r="P14" s="1237">
        <f>ROUND(IFERROR(INDEX(사회적유입!$AA$4:$AW$165,MATCH($C14,사회적유입!$AA$4:$AA$165,0)-2,14),0)*$Z14,0)</f>
        <v>0</v>
      </c>
      <c r="Q14" s="1237">
        <f>ROUND(IFERROR(INDEX(사회적유입!$AA$4:$AW$165,MATCH($C14,사회적유입!$AA$4:$AA$165,0)-2,15),0)*$Z14,0)</f>
        <v>0</v>
      </c>
      <c r="R14" s="1237">
        <f>ROUND(IFERROR(INDEX(사회적유입!$AA$4:$AW$165,MATCH($C14,사회적유입!$AA$4:$AA$165,0)-2,16),0)*$Z14,0)</f>
        <v>0</v>
      </c>
      <c r="S14" s="1237">
        <f>ROUND(IFERROR(INDEX(사회적유입!$AA$4:$AW$165,MATCH($C14,사회적유입!$AA$4:$AA$165,0)-2,17),0)*$Z14,0)</f>
        <v>0</v>
      </c>
      <c r="T14" s="1237">
        <f>ROUND(IFERROR(INDEX(사회적유입!$AA$4:$AW$165,MATCH($C14,사회적유입!$AA$4:$AA$165,0)-2,18),0)*$Z14,0)</f>
        <v>0</v>
      </c>
      <c r="U14" s="1237">
        <f>ROUND(IFERROR(INDEX(사회적유입!$AA$4:$AW$165,MATCH($C14,사회적유입!$AA$4:$AA$165,0)-2,19),0)*$Z14,0)</f>
        <v>0</v>
      </c>
      <c r="V14" s="1237">
        <f>ROUND(IFERROR(INDEX(사회적유입!$AA$4:$AW$165,MATCH($C14,사회적유입!$AA$4:$AA$165,0)-2,20),0)*$Z14,0)</f>
        <v>0</v>
      </c>
      <c r="W14" s="1237">
        <f>ROUND(IFERROR(INDEX(사회적유입!$AA$4:$AW$165,MATCH($C14,사회적유입!$AA$4:$AA$165,0)-2,21),0)*$Z14,0)</f>
        <v>0</v>
      </c>
      <c r="X14" s="1237">
        <f>ROUND(IFERROR(INDEX(사회적유입!$AA$4:$AW$165,MATCH($C14,사회적유입!$AA$4:$AA$165,0)-2,22),0)*$Z14,0)</f>
        <v>0</v>
      </c>
      <c r="Y14" s="1237">
        <f>ROUND(IFERROR(INDEX(사회적유입!$AA$4:$AW$165,MATCH($C14,사회적유입!$AA$4:$AA$165,0)-2,23),0)*$Z14,0)</f>
        <v>99</v>
      </c>
      <c r="Z14" s="1098">
        <f t="shared" si="2"/>
        <v>1</v>
      </c>
      <c r="AB14" s="2586" t="s">
        <v>1134</v>
      </c>
      <c r="AC14" s="2587"/>
      <c r="AD14" s="2587"/>
      <c r="AE14" s="1048">
        <v>1</v>
      </c>
      <c r="AF14" s="1048"/>
      <c r="AG14" s="1048"/>
      <c r="AH14" s="1048"/>
      <c r="AI14" s="1048"/>
      <c r="AJ14" s="1048"/>
      <c r="AK14" s="1048"/>
      <c r="AL14" s="1048"/>
      <c r="AM14" s="1048"/>
      <c r="AN14" s="1050"/>
    </row>
    <row r="15" spans="1:41" ht="17.100000000000001" customHeight="1">
      <c r="A15" s="2613"/>
      <c r="B15" s="2618"/>
      <c r="C15" s="859" t="str">
        <f>AB58</f>
        <v>lng 발전소</v>
      </c>
      <c r="D15" s="1237">
        <f>ROUND(IFERROR(INDEX(사회적유입!$AA$4:$AW$165,MATCH($C15,사회적유입!$AA$4:$AA$165,0)-2,2),0)*$Z15,0)</f>
        <v>0</v>
      </c>
      <c r="E15" s="1237">
        <f>ROUND(IFERROR(INDEX(사회적유입!$AA$4:$AW$165,MATCH($C15,사회적유입!$AA$4:$AA$165,0)-2,3),0)*$Z15,0)</f>
        <v>0</v>
      </c>
      <c r="F15" s="1237">
        <f>ROUND(IFERROR(INDEX(사회적유입!$AA$4:$AW$165,MATCH($C15,사회적유입!$AA$4:$AA$165,0)-2,4),0)*$Z15,0)</f>
        <v>0</v>
      </c>
      <c r="G15" s="1237">
        <f>ROUND(IFERROR(INDEX(사회적유입!$AA$4:$AW$165,MATCH($C15,사회적유입!$AA$4:$AA$165,0)-2,5),0)*$Z15,0)</f>
        <v>0</v>
      </c>
      <c r="H15" s="1237">
        <f>ROUND(IFERROR(INDEX(사회적유입!$AA$4:$AW$165,MATCH($C15,사회적유입!$AA$4:$AA$165,0)-2,6),0)*$Z15,0)</f>
        <v>0</v>
      </c>
      <c r="I15" s="1237">
        <f>ROUND(IFERROR(INDEX(사회적유입!$AA$4:$AW$165,MATCH($C15,사회적유입!$AA$4:$AA$165,0)-2,7),0)*$Z15,0)</f>
        <v>0</v>
      </c>
      <c r="J15" s="1237">
        <f>ROUND(IFERROR(INDEX(사회적유입!$AA$4:$AW$165,MATCH($C15,사회적유입!$AA$4:$AA$165,0)-2,8),0)*$Z15,0)</f>
        <v>0</v>
      </c>
      <c r="K15" s="1237">
        <f>ROUND(IFERROR(INDEX(사회적유입!$AA$4:$AW$165,MATCH($C15,사회적유입!$AA$4:$AA$165,0)-2,9),0)*$Z15,0)</f>
        <v>0</v>
      </c>
      <c r="L15" s="1237">
        <f>ROUND(IFERROR(INDEX(사회적유입!$AA$4:$AW$165,MATCH($C15,사회적유입!$AA$4:$AA$165,0)-2,10),0)*$Z15,0)</f>
        <v>0</v>
      </c>
      <c r="M15" s="1237">
        <f>ROUND(IFERROR(INDEX(사회적유입!$AA$4:$AW$165,MATCH($C15,사회적유입!$AA$4:$AA$165,0)-2,11),0)*$Z15,0)</f>
        <v>0</v>
      </c>
      <c r="N15" s="1237">
        <f>ROUND(IFERROR(INDEX(사회적유입!$AA$4:$AW$165,MATCH($C15,사회적유입!$AA$4:$AA$165,0)-2,12),0)*$Z15,0)</f>
        <v>0</v>
      </c>
      <c r="O15" s="1237">
        <f>ROUND(IFERROR(INDEX(사회적유입!$AA$4:$AW$165,MATCH($C15,사회적유입!$AA$4:$AA$165,0)-2,13),0)*$Z15,0)</f>
        <v>0</v>
      </c>
      <c r="P15" s="1237">
        <f>ROUND(IFERROR(INDEX(사회적유입!$AA$4:$AW$165,MATCH($C15,사회적유입!$AA$4:$AA$165,0)-2,14),0)*$Z15,0)</f>
        <v>0</v>
      </c>
      <c r="Q15" s="1237">
        <f>ROUND(IFERROR(INDEX(사회적유입!$AA$4:$AW$165,MATCH($C15,사회적유입!$AA$4:$AA$165,0)-2,15),0)*$Z15,0)</f>
        <v>0</v>
      </c>
      <c r="R15" s="1237">
        <f>ROUND(IFERROR(INDEX(사회적유입!$AA$4:$AW$165,MATCH($C15,사회적유입!$AA$4:$AA$165,0)-2,16),0)*$Z15,0)</f>
        <v>0</v>
      </c>
      <c r="S15" s="1237">
        <f>ROUND(IFERROR(INDEX(사회적유입!$AA$4:$AW$165,MATCH($C15,사회적유입!$AA$4:$AA$165,0)-2,17),0)*$Z15,0)</f>
        <v>0</v>
      </c>
      <c r="T15" s="1237">
        <f>ROUND(IFERROR(INDEX(사회적유입!$AA$4:$AW$165,MATCH($C15,사회적유입!$AA$4:$AA$165,0)-2,18),0)*$Z15,0)</f>
        <v>0</v>
      </c>
      <c r="U15" s="1237">
        <f>ROUND(IFERROR(INDEX(사회적유입!$AA$4:$AW$165,MATCH($C15,사회적유입!$AA$4:$AA$165,0)-2,19),0)*$Z15,0)</f>
        <v>0</v>
      </c>
      <c r="V15" s="1237">
        <f>ROUND(IFERROR(INDEX(사회적유입!$AA$4:$AW$165,MATCH($C15,사회적유입!$AA$4:$AA$165,0)-2,20),0)*$Z15,0)</f>
        <v>0</v>
      </c>
      <c r="W15" s="1237">
        <f>ROUND(IFERROR(INDEX(사회적유입!$AA$4:$AW$165,MATCH($C15,사회적유입!$AA$4:$AA$165,0)-2,21),0)*$Z15,0)</f>
        <v>0</v>
      </c>
      <c r="X15" s="1237">
        <f>ROUND(IFERROR(INDEX(사회적유입!$AA$4:$AW$165,MATCH($C15,사회적유입!$AA$4:$AA$165,0)-2,22),0)*$Z15,0)</f>
        <v>0</v>
      </c>
      <c r="Y15" s="1237">
        <f>ROUND(IFERROR(INDEX(사회적유입!$AA$4:$AW$165,MATCH($C15,사회적유입!$AA$4:$AA$165,0)-2,23),0)*$Z15,0)</f>
        <v>225</v>
      </c>
      <c r="Z15" s="1098">
        <f t="shared" si="2"/>
        <v>1</v>
      </c>
      <c r="AB15" s="2586" t="s">
        <v>1110</v>
      </c>
      <c r="AC15" s="2587"/>
      <c r="AD15" s="2587"/>
      <c r="AE15" s="1048">
        <v>1</v>
      </c>
      <c r="AF15" s="1048"/>
      <c r="AG15" s="1048"/>
      <c r="AH15" s="1048"/>
      <c r="AI15" s="1048"/>
      <c r="AJ15" s="1048"/>
      <c r="AK15" s="1048"/>
      <c r="AL15" s="1048"/>
      <c r="AM15" s="1048"/>
      <c r="AN15" s="1050"/>
    </row>
    <row r="16" spans="1:41" ht="17.100000000000001" customHeight="1">
      <c r="A16" s="2613"/>
      <c r="B16" s="2618"/>
      <c r="C16" s="859" t="str">
        <f>AB53</f>
        <v>소이산업단지 확장</v>
      </c>
      <c r="D16" s="1237">
        <f>ROUND(IFERROR(INDEX(사회적유입!$AA$4:$AW$165,MATCH($C16,사회적유입!$AA$4:$AA$165,0)-2,2),0)*$Z16,0)</f>
        <v>0</v>
      </c>
      <c r="E16" s="1237">
        <f>ROUND(IFERROR(INDEX(사회적유입!$AA$4:$AW$165,MATCH($C16,사회적유입!$AA$4:$AA$165,0)-2,3),0)*$Z16,0)</f>
        <v>0</v>
      </c>
      <c r="F16" s="1237">
        <f>ROUND(IFERROR(INDEX(사회적유입!$AA$4:$AW$165,MATCH($C16,사회적유입!$AA$4:$AA$165,0)-2,4),0)*$Z16,0)</f>
        <v>0</v>
      </c>
      <c r="G16" s="1237">
        <f>ROUND(IFERROR(INDEX(사회적유입!$AA$4:$AW$165,MATCH($C16,사회적유입!$AA$4:$AA$165,0)-2,5),0)*$Z16,0)</f>
        <v>0</v>
      </c>
      <c r="H16" s="1237">
        <f>ROUND(IFERROR(INDEX(사회적유입!$AA$4:$AW$165,MATCH($C16,사회적유입!$AA$4:$AA$165,0)-2,6),0)*$Z16,0)</f>
        <v>0</v>
      </c>
      <c r="I16" s="1237">
        <f>ROUND(IFERROR(INDEX(사회적유입!$AA$4:$AW$165,MATCH($C16,사회적유입!$AA$4:$AA$165,0)-2,7),0)*$Z16,0)</f>
        <v>0</v>
      </c>
      <c r="J16" s="1237">
        <f>ROUND(IFERROR(INDEX(사회적유입!$AA$4:$AW$165,MATCH($C16,사회적유입!$AA$4:$AA$165,0)-2,8),0)*$Z16,0)</f>
        <v>0</v>
      </c>
      <c r="K16" s="1237">
        <f>ROUND(IFERROR(INDEX(사회적유입!$AA$4:$AW$165,MATCH($C16,사회적유입!$AA$4:$AA$165,0)-2,9),0)*$Z16,0)</f>
        <v>0</v>
      </c>
      <c r="L16" s="1237">
        <f>ROUND(IFERROR(INDEX(사회적유입!$AA$4:$AW$165,MATCH($C16,사회적유입!$AA$4:$AA$165,0)-2,10),0)*$Z16,0)</f>
        <v>0</v>
      </c>
      <c r="M16" s="1237">
        <f>ROUND(IFERROR(INDEX(사회적유입!$AA$4:$AW$165,MATCH($C16,사회적유입!$AA$4:$AA$165,0)-2,11),0)*$Z16,0)</f>
        <v>0</v>
      </c>
      <c r="N16" s="1237">
        <f>ROUND(IFERROR(INDEX(사회적유입!$AA$4:$AW$165,MATCH($C16,사회적유입!$AA$4:$AA$165,0)-2,12),0)*$Z16,0)</f>
        <v>0</v>
      </c>
      <c r="O16" s="1237">
        <f>ROUND(IFERROR(INDEX(사회적유입!$AA$4:$AW$165,MATCH($C16,사회적유입!$AA$4:$AA$165,0)-2,13),0)*$Z16,0)</f>
        <v>0</v>
      </c>
      <c r="P16" s="1237">
        <f>ROUND(IFERROR(INDEX(사회적유입!$AA$4:$AW$165,MATCH($C16,사회적유입!$AA$4:$AA$165,0)-2,14),0)*$Z16,0)</f>
        <v>0</v>
      </c>
      <c r="Q16" s="1237">
        <f>ROUND(IFERROR(INDEX(사회적유입!$AA$4:$AW$165,MATCH($C16,사회적유입!$AA$4:$AA$165,0)-2,15),0)*$Z16,0)</f>
        <v>0</v>
      </c>
      <c r="R16" s="1237">
        <f>ROUND(IFERROR(INDEX(사회적유입!$AA$4:$AW$165,MATCH($C16,사회적유입!$AA$4:$AA$165,0)-2,16),0)*$Z16,0)</f>
        <v>0</v>
      </c>
      <c r="S16" s="1237">
        <f>ROUND(IFERROR(INDEX(사회적유입!$AA$4:$AW$165,MATCH($C16,사회적유입!$AA$4:$AA$165,0)-2,17),0)*$Z16,0)</f>
        <v>0</v>
      </c>
      <c r="T16" s="1237">
        <f>ROUND(IFERROR(INDEX(사회적유입!$AA$4:$AW$165,MATCH($C16,사회적유입!$AA$4:$AA$165,0)-2,18),0)*$Z16,0)</f>
        <v>0</v>
      </c>
      <c r="U16" s="1237">
        <f>ROUND(IFERROR(INDEX(사회적유입!$AA$4:$AW$165,MATCH($C16,사회적유입!$AA$4:$AA$165,0)-2,19),0)*$Z16,0)</f>
        <v>0</v>
      </c>
      <c r="V16" s="1237">
        <f>ROUND(IFERROR(INDEX(사회적유입!$AA$4:$AW$165,MATCH($C16,사회적유입!$AA$4:$AA$165,0)-2,20),0)*$Z16,0)</f>
        <v>0</v>
      </c>
      <c r="W16" s="1237">
        <f>ROUND(IFERROR(INDEX(사회적유입!$AA$4:$AW$165,MATCH($C16,사회적유입!$AA$4:$AA$165,0)-2,21),0)*$Z16,0)</f>
        <v>0</v>
      </c>
      <c r="X16" s="1237">
        <f>ROUND(IFERROR(INDEX(사회적유입!$AA$4:$AW$165,MATCH($C16,사회적유입!$AA$4:$AA$165,0)-2,22),0)*$Z16,0)</f>
        <v>0</v>
      </c>
      <c r="Y16" s="1237">
        <f>ROUND(IFERROR(INDEX(사회적유입!$AA$4:$AW$165,MATCH($C16,사회적유입!$AA$4:$AA$165,0)-2,23),0)*$Z16,0)</f>
        <v>368</v>
      </c>
      <c r="Z16" s="1098">
        <f t="shared" si="2"/>
        <v>0.5</v>
      </c>
      <c r="AB16" s="2586" t="s">
        <v>1111</v>
      </c>
      <c r="AC16" s="2587"/>
      <c r="AD16" s="2587"/>
      <c r="AE16" s="1048"/>
      <c r="AF16" s="1048"/>
      <c r="AG16" s="1048"/>
      <c r="AH16" s="1048"/>
      <c r="AI16" s="1048"/>
      <c r="AJ16" s="1048">
        <v>1</v>
      </c>
      <c r="AK16" s="1048"/>
      <c r="AL16" s="1048"/>
      <c r="AM16" s="1048"/>
      <c r="AN16" s="1050"/>
      <c r="AO16" s="64"/>
    </row>
    <row r="17" spans="1:41" ht="17.100000000000001" customHeight="1">
      <c r="A17" s="2613"/>
      <c r="B17" s="2618"/>
      <c r="C17" s="859" t="str">
        <f>AB54</f>
        <v>보천산업단지</v>
      </c>
      <c r="D17" s="1237">
        <f>ROUND(IFERROR(INDEX(사회적유입!$AA$4:$AW$165,MATCH($C17,사회적유입!$AA$4:$AA$165,0)-2,2),0)*$Z17,0)</f>
        <v>0</v>
      </c>
      <c r="E17" s="1237">
        <f>ROUND(IFERROR(INDEX(사회적유입!$AA$4:$AW$165,MATCH($C17,사회적유입!$AA$4:$AA$165,0)-2,3),0)*$Z17,0)</f>
        <v>0</v>
      </c>
      <c r="F17" s="1237">
        <f>ROUND(IFERROR(INDEX(사회적유입!$AA$4:$AW$165,MATCH($C17,사회적유입!$AA$4:$AA$165,0)-2,4),0)*$Z17,0)</f>
        <v>0</v>
      </c>
      <c r="G17" s="1237">
        <f>ROUND(IFERROR(INDEX(사회적유입!$AA$4:$AW$165,MATCH($C17,사회적유입!$AA$4:$AA$165,0)-2,5),0)*$Z17,0)</f>
        <v>0</v>
      </c>
      <c r="H17" s="1237">
        <f>ROUND(IFERROR(INDEX(사회적유입!$AA$4:$AW$165,MATCH($C17,사회적유입!$AA$4:$AA$165,0)-2,6),0)*$Z17,0)</f>
        <v>0</v>
      </c>
      <c r="I17" s="1237">
        <f>ROUND(IFERROR(INDEX(사회적유입!$AA$4:$AW$165,MATCH($C17,사회적유입!$AA$4:$AA$165,0)-2,7),0)*$Z17,0)</f>
        <v>0</v>
      </c>
      <c r="J17" s="1237">
        <f>ROUND(IFERROR(INDEX(사회적유입!$AA$4:$AW$165,MATCH($C17,사회적유입!$AA$4:$AA$165,0)-2,8),0)*$Z17,0)</f>
        <v>0</v>
      </c>
      <c r="K17" s="1237">
        <f>ROUND(IFERROR(INDEX(사회적유입!$AA$4:$AW$165,MATCH($C17,사회적유입!$AA$4:$AA$165,0)-2,9),0)*$Z17,0)</f>
        <v>0</v>
      </c>
      <c r="L17" s="1237">
        <f>ROUND(IFERROR(INDEX(사회적유입!$AA$4:$AW$165,MATCH($C17,사회적유입!$AA$4:$AA$165,0)-2,10),0)*$Z17,0)</f>
        <v>0</v>
      </c>
      <c r="M17" s="1237">
        <f>ROUND(IFERROR(INDEX(사회적유입!$AA$4:$AW$165,MATCH($C17,사회적유입!$AA$4:$AA$165,0)-2,11),0)*$Z17,0)</f>
        <v>0</v>
      </c>
      <c r="N17" s="1237">
        <f>ROUND(IFERROR(INDEX(사회적유입!$AA$4:$AW$165,MATCH($C17,사회적유입!$AA$4:$AA$165,0)-2,12),0)*$Z17,0)</f>
        <v>0</v>
      </c>
      <c r="O17" s="1237">
        <f>ROUND(IFERROR(INDEX(사회적유입!$AA$4:$AW$165,MATCH($C17,사회적유입!$AA$4:$AA$165,0)-2,13),0)*$Z17,0)</f>
        <v>0</v>
      </c>
      <c r="P17" s="1237">
        <f>ROUND(IFERROR(INDEX(사회적유입!$AA$4:$AW$165,MATCH($C17,사회적유입!$AA$4:$AA$165,0)-2,14),0)*$Z17,0)</f>
        <v>0</v>
      </c>
      <c r="Q17" s="1237">
        <f>ROUND(IFERROR(INDEX(사회적유입!$AA$4:$AW$165,MATCH($C17,사회적유입!$AA$4:$AA$165,0)-2,15),0)*$Z17,0)</f>
        <v>0</v>
      </c>
      <c r="R17" s="1237">
        <f>ROUND(IFERROR(INDEX(사회적유입!$AA$4:$AW$165,MATCH($C17,사회적유입!$AA$4:$AA$165,0)-2,16),0)*$Z17,0)</f>
        <v>0</v>
      </c>
      <c r="S17" s="1237">
        <f>ROUND(IFERROR(INDEX(사회적유입!$AA$4:$AW$165,MATCH($C17,사회적유입!$AA$4:$AA$165,0)-2,17),0)*$Z17,0)</f>
        <v>0</v>
      </c>
      <c r="T17" s="1237">
        <f>ROUND(IFERROR(INDEX(사회적유입!$AA$4:$AW$165,MATCH($C17,사회적유입!$AA$4:$AA$165,0)-2,18),0)*$Z17,0)</f>
        <v>0</v>
      </c>
      <c r="U17" s="1237">
        <f>ROUND(IFERROR(INDEX(사회적유입!$AA$4:$AW$165,MATCH($C17,사회적유입!$AA$4:$AA$165,0)-2,19),0)*$Z17,0)</f>
        <v>0</v>
      </c>
      <c r="V17" s="1237">
        <f>ROUND(IFERROR(INDEX(사회적유입!$AA$4:$AW$165,MATCH($C17,사회적유입!$AA$4:$AA$165,0)-2,20),0)*$Z17,0)</f>
        <v>0</v>
      </c>
      <c r="W17" s="1237">
        <f>ROUND(IFERROR(INDEX(사회적유입!$AA$4:$AW$165,MATCH($C17,사회적유입!$AA$4:$AA$165,0)-2,21),0)*$Z17,0)</f>
        <v>0</v>
      </c>
      <c r="X17" s="1237">
        <f>ROUND(IFERROR(INDEX(사회적유입!$AA$4:$AW$165,MATCH($C17,사회적유입!$AA$4:$AA$165,0)-2,22),0)*$Z17,0)</f>
        <v>0</v>
      </c>
      <c r="Y17" s="1237">
        <f>ROUND(IFERROR(INDEX(사회적유입!$AA$4:$AW$165,MATCH($C17,사회적유입!$AA$4:$AA$165,0)-2,23),0)*$Z17,0)</f>
        <v>715</v>
      </c>
      <c r="Z17" s="1098">
        <f t="shared" si="2"/>
        <v>0.5</v>
      </c>
      <c r="AB17" s="2607" t="s">
        <v>1112</v>
      </c>
      <c r="AC17" s="2608"/>
      <c r="AD17" s="2608"/>
      <c r="AE17" s="1048"/>
      <c r="AF17" s="1048"/>
      <c r="AG17" s="1048"/>
      <c r="AH17" s="1048"/>
      <c r="AI17" s="1048"/>
      <c r="AJ17" s="1048">
        <v>1</v>
      </c>
      <c r="AK17" s="1048"/>
      <c r="AL17" s="1048"/>
      <c r="AM17" s="1048"/>
      <c r="AN17" s="1050"/>
      <c r="AO17" s="64"/>
    </row>
    <row r="18" spans="1:41" ht="17.100000000000001" customHeight="1">
      <c r="A18" s="2613"/>
      <c r="B18" s="2615"/>
      <c r="C18" s="857" t="s">
        <v>73</v>
      </c>
      <c r="D18" s="858">
        <f>SUM(D11:D17)</f>
        <v>0</v>
      </c>
      <c r="E18" s="858">
        <f t="shared" ref="E18:Y18" si="3">SUM(E11:E17)</f>
        <v>0</v>
      </c>
      <c r="F18" s="858">
        <f t="shared" si="3"/>
        <v>0</v>
      </c>
      <c r="G18" s="858">
        <f t="shared" si="3"/>
        <v>0</v>
      </c>
      <c r="H18" s="858">
        <f t="shared" si="3"/>
        <v>33</v>
      </c>
      <c r="I18" s="858">
        <f t="shared" si="3"/>
        <v>100</v>
      </c>
      <c r="J18" s="858">
        <f t="shared" si="3"/>
        <v>167</v>
      </c>
      <c r="K18" s="858">
        <f t="shared" si="3"/>
        <v>167</v>
      </c>
      <c r="L18" s="858">
        <f t="shared" si="3"/>
        <v>167</v>
      </c>
      <c r="M18" s="858">
        <f t="shared" si="3"/>
        <v>167</v>
      </c>
      <c r="N18" s="858">
        <f t="shared" si="3"/>
        <v>167</v>
      </c>
      <c r="O18" s="858">
        <f t="shared" si="3"/>
        <v>167</v>
      </c>
      <c r="P18" s="858">
        <f t="shared" si="3"/>
        <v>167</v>
      </c>
      <c r="Q18" s="858">
        <f t="shared" si="3"/>
        <v>167</v>
      </c>
      <c r="R18" s="858">
        <f t="shared" si="3"/>
        <v>167</v>
      </c>
      <c r="S18" s="858">
        <f t="shared" si="3"/>
        <v>167</v>
      </c>
      <c r="T18" s="858">
        <f t="shared" si="3"/>
        <v>167</v>
      </c>
      <c r="U18" s="858">
        <f t="shared" si="3"/>
        <v>167</v>
      </c>
      <c r="V18" s="858">
        <f t="shared" si="3"/>
        <v>167</v>
      </c>
      <c r="W18" s="858">
        <f t="shared" si="3"/>
        <v>167</v>
      </c>
      <c r="X18" s="858">
        <f t="shared" si="3"/>
        <v>167</v>
      </c>
      <c r="Y18" s="858">
        <f t="shared" si="3"/>
        <v>4311</v>
      </c>
      <c r="Z18" s="1098"/>
      <c r="AB18" s="2607" t="s">
        <v>1113</v>
      </c>
      <c r="AC18" s="2608"/>
      <c r="AD18" s="2608"/>
      <c r="AE18" s="1048">
        <v>1</v>
      </c>
      <c r="AF18" s="1048"/>
      <c r="AG18" s="1048"/>
      <c r="AH18" s="1048"/>
      <c r="AI18" s="1048"/>
      <c r="AJ18" s="1048"/>
      <c r="AK18" s="1048"/>
      <c r="AL18" s="1048"/>
      <c r="AM18" s="1048"/>
      <c r="AN18" s="1050"/>
    </row>
    <row r="19" spans="1:41" ht="17.100000000000001" customHeight="1">
      <c r="A19" s="2614"/>
      <c r="B19" s="2619" t="s">
        <v>74</v>
      </c>
      <c r="C19" s="2619"/>
      <c r="D19" s="864">
        <f>SUM(D10,D18)</f>
        <v>0</v>
      </c>
      <c r="E19" s="864">
        <f>SUM(E10,E18)</f>
        <v>0</v>
      </c>
      <c r="F19" s="864">
        <f>SUM(F10,F18)</f>
        <v>0</v>
      </c>
      <c r="G19" s="864">
        <f t="shared" ref="G19:Y19" si="4">SUM(G10,G18)</f>
        <v>198</v>
      </c>
      <c r="H19" s="864">
        <f t="shared" si="4"/>
        <v>390</v>
      </c>
      <c r="I19" s="864">
        <f t="shared" si="4"/>
        <v>457</v>
      </c>
      <c r="J19" s="864">
        <f t="shared" si="4"/>
        <v>900</v>
      </c>
      <c r="K19" s="864">
        <f t="shared" si="4"/>
        <v>900</v>
      </c>
      <c r="L19" s="864">
        <f t="shared" si="4"/>
        <v>900</v>
      </c>
      <c r="M19" s="864">
        <f t="shared" si="4"/>
        <v>900</v>
      </c>
      <c r="N19" s="864">
        <f t="shared" si="4"/>
        <v>900</v>
      </c>
      <c r="O19" s="864">
        <f t="shared" si="4"/>
        <v>900</v>
      </c>
      <c r="P19" s="864">
        <f t="shared" si="4"/>
        <v>900</v>
      </c>
      <c r="Q19" s="864">
        <f t="shared" si="4"/>
        <v>900</v>
      </c>
      <c r="R19" s="864">
        <f t="shared" si="4"/>
        <v>900</v>
      </c>
      <c r="S19" s="864">
        <f t="shared" si="4"/>
        <v>900</v>
      </c>
      <c r="T19" s="864">
        <f t="shared" si="4"/>
        <v>900</v>
      </c>
      <c r="U19" s="864">
        <f t="shared" si="4"/>
        <v>900</v>
      </c>
      <c r="V19" s="864">
        <f t="shared" si="4"/>
        <v>900</v>
      </c>
      <c r="W19" s="864">
        <f t="shared" si="4"/>
        <v>900</v>
      </c>
      <c r="X19" s="864">
        <f t="shared" si="4"/>
        <v>900</v>
      </c>
      <c r="Y19" s="864">
        <f t="shared" si="4"/>
        <v>5044</v>
      </c>
      <c r="Z19" s="1099"/>
      <c r="AB19" s="2607" t="s">
        <v>1114</v>
      </c>
      <c r="AC19" s="2608"/>
      <c r="AD19" s="2608"/>
      <c r="AE19" s="1048">
        <v>1</v>
      </c>
      <c r="AF19" s="1048"/>
      <c r="AG19" s="1048"/>
      <c r="AH19" s="1048"/>
      <c r="AI19" s="1048"/>
      <c r="AJ19" s="1048"/>
      <c r="AK19" s="1048"/>
      <c r="AL19" s="1048"/>
      <c r="AM19" s="1048"/>
      <c r="AN19" s="1050"/>
    </row>
    <row r="20" spans="1:41" ht="17.100000000000001" customHeight="1">
      <c r="A20" s="2620" t="s">
        <v>750</v>
      </c>
      <c r="B20" s="2623" t="s">
        <v>94</v>
      </c>
      <c r="C20" s="853" t="str">
        <f>AB40</f>
        <v>무극지구 도시계발사업</v>
      </c>
      <c r="D20" s="854">
        <f>ROUND(IFERROR(VLOOKUP($C20,사회적유입!$AA$5:$AW$167,2,FALSE),0)*$Z20,0)</f>
        <v>0</v>
      </c>
      <c r="E20" s="854">
        <f>ROUND(IFERROR(VLOOKUP($C20,사회적유입!$AA$5:$AW$167,3,FALSE),0)*$Z20,0)</f>
        <v>0</v>
      </c>
      <c r="F20" s="854">
        <f>ROUND(IFERROR(VLOOKUP($C20,사회적유입!$AA$5:$AW$167,4,FALSE),0)*$Z20,0)</f>
        <v>0</v>
      </c>
      <c r="G20" s="854">
        <f>ROUND(IFERROR(VLOOKUP($C20,사회적유입!$AA$5:$AW$167,5,FALSE),0)*$Z20,0)</f>
        <v>0</v>
      </c>
      <c r="H20" s="854">
        <f>ROUND(IFERROR(VLOOKUP($C20,사회적유입!$AA$5:$AW$167,6,FALSE),0)*$Z20,0)</f>
        <v>0</v>
      </c>
      <c r="I20" s="854">
        <f>ROUND(IFERROR(VLOOKUP($C20,사회적유입!$AA$5:$AW$167,7,FALSE),0)*$Z20,0)</f>
        <v>0</v>
      </c>
      <c r="J20" s="854">
        <f>ROUND(IFERROR(VLOOKUP($C20,사회적유입!$AA$5:$AW$167,8,FALSE),0)*$Z20,0)</f>
        <v>0</v>
      </c>
      <c r="K20" s="854">
        <f>ROUND(IFERROR(VLOOKUP($C20,사회적유입!$AA$5:$AW$167,9,FALSE),0)*$Z20,0)</f>
        <v>0</v>
      </c>
      <c r="L20" s="854">
        <f>ROUND(IFERROR(VLOOKUP($C20,사회적유입!$AA$5:$AW$167,10,FALSE),0)*$Z20,0)</f>
        <v>0</v>
      </c>
      <c r="M20" s="854">
        <f>ROUND(IFERROR(VLOOKUP($C20,사회적유입!$AA$5:$AW$167,11,FALSE),0)*$Z20,0)</f>
        <v>0</v>
      </c>
      <c r="N20" s="854">
        <f>ROUND(IFERROR(VLOOKUP($C20,사회적유입!$AA$5:$AW$167,12,FALSE),0)*$Z20,0)</f>
        <v>0</v>
      </c>
      <c r="O20" s="854">
        <f>ROUND(IFERROR(VLOOKUP($C20,사회적유입!$AA$5:$AW$167,13,FALSE),0)*$Z20,0)</f>
        <v>0</v>
      </c>
      <c r="P20" s="854">
        <f>ROUND(IFERROR(VLOOKUP($C20,사회적유입!$AA$5:$AW$167,14,FALSE),0)*$Z20,0)</f>
        <v>0</v>
      </c>
      <c r="Q20" s="854">
        <f>ROUND(IFERROR(VLOOKUP($C20,사회적유입!$AA$5:$AW$167,15,FALSE),0)*$Z20,0)</f>
        <v>0</v>
      </c>
      <c r="R20" s="854">
        <f>ROUND(IFERROR(VLOOKUP($C20,사회적유입!$AA$5:$AW$167,16,FALSE),0)*$Z20,0)</f>
        <v>0</v>
      </c>
      <c r="S20" s="854">
        <f>ROUND(IFERROR(VLOOKUP($C20,사회적유입!$AA$5:$AW$167,17,FALSE),0)*$Z20,0)</f>
        <v>0</v>
      </c>
      <c r="T20" s="854">
        <f>ROUND(IFERROR(VLOOKUP($C20,사회적유입!$AA$5:$AW$167,18,FALSE),0)*$Z20,0)</f>
        <v>0</v>
      </c>
      <c r="U20" s="854">
        <f>ROUND(IFERROR(VLOOKUP($C20,사회적유입!$AA$5:$AW$167,19,FALSE),0)*$Z20,0)</f>
        <v>0</v>
      </c>
      <c r="V20" s="854">
        <f>ROUND(IFERROR(VLOOKUP($C20,사회적유입!$AA$5:$AW$167,20,FALSE),0)*$Z20,0)</f>
        <v>0</v>
      </c>
      <c r="W20" s="854">
        <f>ROUND(IFERROR(VLOOKUP($C20,사회적유입!$AA$5:$AW$167,21,FALSE),0)*$Z20,0)</f>
        <v>0</v>
      </c>
      <c r="X20" s="854">
        <f>ROUND(IFERROR(VLOOKUP($C20,사회적유입!$AA$5:$AW$167,22,FALSE),0)*$Z20,0)</f>
        <v>0</v>
      </c>
      <c r="Y20" s="854">
        <f>ROUND(IFERROR(VLOOKUP($C20,사회적유입!$AA$5:$AW$167,23,FALSE),0)*$Z20,0)</f>
        <v>1554</v>
      </c>
      <c r="Z20" s="1097">
        <f>VLOOKUP(C20,$AB$5:$AN$58,5,FALSE)</f>
        <v>1</v>
      </c>
      <c r="AB20" s="2607" t="s">
        <v>1115</v>
      </c>
      <c r="AC20" s="2608"/>
      <c r="AD20" s="2608"/>
      <c r="AE20" s="1048"/>
      <c r="AF20" s="1048"/>
      <c r="AG20" s="1048"/>
      <c r="AH20" s="1048"/>
      <c r="AI20" s="1048"/>
      <c r="AJ20" s="1048"/>
      <c r="AK20" s="1048"/>
      <c r="AL20" s="1048"/>
      <c r="AM20" s="1048">
        <v>1</v>
      </c>
      <c r="AN20" s="1050"/>
    </row>
    <row r="21" spans="1:41" ht="17.100000000000001" customHeight="1">
      <c r="A21" s="2621"/>
      <c r="B21" s="2616"/>
      <c r="C21" s="857" t="s">
        <v>72</v>
      </c>
      <c r="D21" s="858">
        <f t="shared" ref="D21:Y21" si="5">SUM(D20:D20)</f>
        <v>0</v>
      </c>
      <c r="E21" s="858">
        <f t="shared" si="5"/>
        <v>0</v>
      </c>
      <c r="F21" s="858">
        <f t="shared" si="5"/>
        <v>0</v>
      </c>
      <c r="G21" s="858">
        <f t="shared" si="5"/>
        <v>0</v>
      </c>
      <c r="H21" s="858">
        <f t="shared" si="5"/>
        <v>0</v>
      </c>
      <c r="I21" s="858">
        <f t="shared" si="5"/>
        <v>0</v>
      </c>
      <c r="J21" s="858">
        <f t="shared" si="5"/>
        <v>0</v>
      </c>
      <c r="K21" s="858">
        <f t="shared" si="5"/>
        <v>0</v>
      </c>
      <c r="L21" s="858">
        <f t="shared" si="5"/>
        <v>0</v>
      </c>
      <c r="M21" s="858">
        <f t="shared" si="5"/>
        <v>0</v>
      </c>
      <c r="N21" s="858">
        <f t="shared" si="5"/>
        <v>0</v>
      </c>
      <c r="O21" s="858">
        <f t="shared" si="5"/>
        <v>0</v>
      </c>
      <c r="P21" s="858">
        <f t="shared" si="5"/>
        <v>0</v>
      </c>
      <c r="Q21" s="858">
        <f t="shared" si="5"/>
        <v>0</v>
      </c>
      <c r="R21" s="858">
        <f t="shared" si="5"/>
        <v>0</v>
      </c>
      <c r="S21" s="858">
        <f t="shared" si="5"/>
        <v>0</v>
      </c>
      <c r="T21" s="858">
        <f t="shared" si="5"/>
        <v>0</v>
      </c>
      <c r="U21" s="858">
        <f t="shared" si="5"/>
        <v>0</v>
      </c>
      <c r="V21" s="858">
        <f t="shared" si="5"/>
        <v>0</v>
      </c>
      <c r="W21" s="858">
        <f t="shared" si="5"/>
        <v>0</v>
      </c>
      <c r="X21" s="858">
        <f t="shared" si="5"/>
        <v>0</v>
      </c>
      <c r="Y21" s="858">
        <f t="shared" si="5"/>
        <v>1554</v>
      </c>
      <c r="Z21" s="1052"/>
      <c r="AB21" s="2609" t="s">
        <v>1116</v>
      </c>
      <c r="AC21" s="2610"/>
      <c r="AD21" s="2610"/>
      <c r="AE21" s="1048"/>
      <c r="AF21" s="1048"/>
      <c r="AG21" s="1048"/>
      <c r="AH21" s="1048"/>
      <c r="AI21" s="1048"/>
      <c r="AJ21" s="1048">
        <v>1</v>
      </c>
      <c r="AK21" s="1048"/>
      <c r="AL21" s="1048"/>
      <c r="AM21" s="1048"/>
      <c r="AN21" s="1050"/>
    </row>
    <row r="22" spans="1:41" ht="17.100000000000001" customHeight="1">
      <c r="A22" s="2621"/>
      <c r="B22" s="2616" t="s">
        <v>95</v>
      </c>
      <c r="C22" s="856" t="str">
        <f>AB8</f>
        <v>시티프라디움</v>
      </c>
      <c r="D22" s="1237">
        <f>ROUND(IFERROR(VLOOKUP($C22,사회적유입!$AA$5:$AW$167,2,FALSE),0)*$Z22,0)</f>
        <v>0</v>
      </c>
      <c r="E22" s="1237">
        <f>ROUND(IFERROR(VLOOKUP($C22,사회적유입!$AA$5:$AW$167,3,FALSE),0)*$Z22,0)</f>
        <v>0</v>
      </c>
      <c r="F22" s="1237">
        <f>ROUND(IFERROR(VLOOKUP($C22,사회적유입!$AA$5:$AW$167,4,FALSE),0)*$Z22,0)</f>
        <v>0</v>
      </c>
      <c r="G22" s="1237">
        <f>ROUND(IFERROR(VLOOKUP($C22,사회적유입!$AA$5:$AW$167,5,FALSE),0)*$Z22,0)</f>
        <v>593</v>
      </c>
      <c r="H22" s="1237">
        <f>ROUND(IFERROR(VLOOKUP($C22,사회적유입!$AA$5:$AW$167,6,FALSE),0)*$Z22,0)</f>
        <v>593</v>
      </c>
      <c r="I22" s="1237">
        <f>ROUND(IFERROR(VLOOKUP($C22,사회적유입!$AA$5:$AW$167,7,FALSE),0)*$Z22,0)</f>
        <v>593</v>
      </c>
      <c r="J22" s="1237">
        <f>ROUND(IFERROR(VLOOKUP($C22,사회적유입!$AA$5:$AW$167,8,FALSE),0)*$Z22,0)</f>
        <v>593</v>
      </c>
      <c r="K22" s="1237">
        <f>ROUND(IFERROR(VLOOKUP($C22,사회적유입!$AA$5:$AW$167,9,FALSE),0)*$Z22,0)</f>
        <v>593</v>
      </c>
      <c r="L22" s="1237">
        <f>ROUND(IFERROR(VLOOKUP($C22,사회적유입!$AA$5:$AW$167,10,FALSE),0)*$Z22,0)</f>
        <v>593</v>
      </c>
      <c r="M22" s="1237">
        <f>ROUND(IFERROR(VLOOKUP($C22,사회적유입!$AA$5:$AW$167,11,FALSE),0)*$Z22,0)</f>
        <v>593</v>
      </c>
      <c r="N22" s="1237">
        <f>ROUND(IFERROR(VLOOKUP($C22,사회적유입!$AA$5:$AW$167,12,FALSE),0)*$Z22,0)</f>
        <v>593</v>
      </c>
      <c r="O22" s="1237">
        <f>ROUND(IFERROR(VLOOKUP($C22,사회적유입!$AA$5:$AW$167,13,FALSE),0)*$Z22,0)</f>
        <v>593</v>
      </c>
      <c r="P22" s="1237">
        <f>ROUND(IFERROR(VLOOKUP($C22,사회적유입!$AA$5:$AW$167,14,FALSE),0)*$Z22,0)</f>
        <v>593</v>
      </c>
      <c r="Q22" s="1237">
        <f>ROUND(IFERROR(VLOOKUP($C22,사회적유입!$AA$5:$AW$167,15,FALSE),0)*$Z22,0)</f>
        <v>593</v>
      </c>
      <c r="R22" s="1237">
        <f>ROUND(IFERROR(VLOOKUP($C22,사회적유입!$AA$5:$AW$167,16,FALSE),0)*$Z22,0)</f>
        <v>593</v>
      </c>
      <c r="S22" s="1237">
        <f>ROUND(IFERROR(VLOOKUP($C22,사회적유입!$AA$5:$AW$167,17,FALSE),0)*$Z22,0)</f>
        <v>593</v>
      </c>
      <c r="T22" s="1237">
        <f>ROUND(IFERROR(VLOOKUP($C22,사회적유입!$AA$5:$AW$167,18,FALSE),0)*$Z22,0)</f>
        <v>593</v>
      </c>
      <c r="U22" s="1237">
        <f>ROUND(IFERROR(VLOOKUP($C22,사회적유입!$AA$5:$AW$167,19,FALSE),0)*$Z22,0)</f>
        <v>593</v>
      </c>
      <c r="V22" s="1237">
        <f>ROUND(IFERROR(VLOOKUP($C22,사회적유입!$AA$5:$AW$167,20,FALSE),0)*$Z22,0)</f>
        <v>593</v>
      </c>
      <c r="W22" s="1237">
        <f>ROUND(IFERROR(VLOOKUP($C22,사회적유입!$AA$5:$AW$167,21,FALSE),0)*$Z22,0)</f>
        <v>593</v>
      </c>
      <c r="X22" s="1237">
        <f>ROUND(IFERROR(VLOOKUP($C22,사회적유입!$AA$5:$AW$167,22,FALSE),0)*$Z22,0)</f>
        <v>593</v>
      </c>
      <c r="Y22" s="1237">
        <f>ROUND(IFERROR(VLOOKUP($C22,사회적유입!$AA$5:$AW$167,23,FALSE),0)*$Z22,0)</f>
        <v>593</v>
      </c>
      <c r="Z22" s="1098">
        <f>VLOOKUP(C22,$AB$5:$AN$58,5,FALSE)</f>
        <v>1</v>
      </c>
      <c r="AB22" s="2609" t="s">
        <v>1117</v>
      </c>
      <c r="AC22" s="2610"/>
      <c r="AD22" s="2610"/>
      <c r="AE22" s="1048"/>
      <c r="AF22" s="1048"/>
      <c r="AG22" s="1048"/>
      <c r="AH22" s="1048"/>
      <c r="AI22" s="1048"/>
      <c r="AJ22" s="1048"/>
      <c r="AK22" s="1048"/>
      <c r="AL22" s="1048"/>
      <c r="AM22" s="1048">
        <v>1</v>
      </c>
      <c r="AN22" s="1050"/>
    </row>
    <row r="23" spans="1:41" ht="17.100000000000001" customHeight="1">
      <c r="A23" s="2621"/>
      <c r="B23" s="2616"/>
      <c r="C23" s="856" t="str">
        <f>AB9</f>
        <v>금석 A2블록</v>
      </c>
      <c r="D23" s="1237">
        <f>ROUND(IFERROR(VLOOKUP($C23,사회적유입!$AA$5:$AW$167,2,FALSE),0)*$Z23,0)</f>
        <v>0</v>
      </c>
      <c r="E23" s="1237">
        <f>ROUND(IFERROR(VLOOKUP($C23,사회적유입!$AA$5:$AW$167,3,FALSE),0)*$Z23,0)</f>
        <v>0</v>
      </c>
      <c r="F23" s="1237">
        <f>ROUND(IFERROR(VLOOKUP($C23,사회적유입!$AA$5:$AW$167,4,FALSE),0)*$Z23,0)</f>
        <v>0</v>
      </c>
      <c r="G23" s="1237">
        <f>ROUND(IFERROR(VLOOKUP($C23,사회적유입!$AA$5:$AW$167,5,FALSE),0)*$Z23,0)</f>
        <v>0</v>
      </c>
      <c r="H23" s="1237">
        <f>ROUND(IFERROR(VLOOKUP($C23,사회적유입!$AA$5:$AW$167,6,FALSE),0)*$Z23,0)</f>
        <v>0</v>
      </c>
      <c r="I23" s="1237">
        <f>ROUND(IFERROR(VLOOKUP($C23,사회적유입!$AA$5:$AW$167,7,FALSE),0)*$Z23,0)</f>
        <v>0</v>
      </c>
      <c r="J23" s="1237">
        <f>ROUND(IFERROR(VLOOKUP($C23,사회적유입!$AA$5:$AW$167,8,FALSE),0)*$Z23,0)</f>
        <v>0</v>
      </c>
      <c r="K23" s="1237">
        <f>ROUND(IFERROR(VLOOKUP($C23,사회적유입!$AA$5:$AW$167,9,FALSE),0)*$Z23,0)</f>
        <v>0</v>
      </c>
      <c r="L23" s="1237">
        <f>ROUND(IFERROR(VLOOKUP($C23,사회적유입!$AA$5:$AW$167,10,FALSE),0)*$Z23,0)</f>
        <v>0</v>
      </c>
      <c r="M23" s="1237">
        <f>ROUND(IFERROR(VLOOKUP($C23,사회적유입!$AA$5:$AW$167,11,FALSE),0)*$Z23,0)</f>
        <v>0</v>
      </c>
      <c r="N23" s="1237">
        <f>ROUND(IFERROR(VLOOKUP($C23,사회적유입!$AA$5:$AW$167,12,FALSE),0)*$Z23,0)</f>
        <v>0</v>
      </c>
      <c r="O23" s="1237">
        <f>ROUND(IFERROR(VLOOKUP($C23,사회적유입!$AA$5:$AW$167,13,FALSE),0)*$Z23,0)</f>
        <v>446</v>
      </c>
      <c r="P23" s="1237">
        <f>ROUND(IFERROR(VLOOKUP($C23,사회적유입!$AA$5:$AW$167,14,FALSE),0)*$Z23,0)</f>
        <v>446</v>
      </c>
      <c r="Q23" s="1237">
        <f>ROUND(IFERROR(VLOOKUP($C23,사회적유입!$AA$5:$AW$167,15,FALSE),0)*$Z23,0)</f>
        <v>446</v>
      </c>
      <c r="R23" s="1237">
        <f>ROUND(IFERROR(VLOOKUP($C23,사회적유입!$AA$5:$AW$167,16,FALSE),0)*$Z23,0)</f>
        <v>446</v>
      </c>
      <c r="S23" s="1237">
        <f>ROUND(IFERROR(VLOOKUP($C23,사회적유입!$AA$5:$AW$167,17,FALSE),0)*$Z23,0)</f>
        <v>446</v>
      </c>
      <c r="T23" s="1237">
        <f>ROUND(IFERROR(VLOOKUP($C23,사회적유입!$AA$5:$AW$167,18,FALSE),0)*$Z23,0)</f>
        <v>446</v>
      </c>
      <c r="U23" s="1237">
        <f>ROUND(IFERROR(VLOOKUP($C23,사회적유입!$AA$5:$AW$167,19,FALSE),0)*$Z23,0)</f>
        <v>446</v>
      </c>
      <c r="V23" s="1237">
        <f>ROUND(IFERROR(VLOOKUP($C23,사회적유입!$AA$5:$AW$167,20,FALSE),0)*$Z23,0)</f>
        <v>446</v>
      </c>
      <c r="W23" s="1237">
        <f>ROUND(IFERROR(VLOOKUP($C23,사회적유입!$AA$5:$AW$167,21,FALSE),0)*$Z23,0)</f>
        <v>446</v>
      </c>
      <c r="X23" s="1237">
        <f>ROUND(IFERROR(VLOOKUP($C23,사회적유입!$AA$5:$AW$167,22,FALSE),0)*$Z23,0)</f>
        <v>446</v>
      </c>
      <c r="Y23" s="1237">
        <f>ROUND(IFERROR(VLOOKUP($C23,사회적유입!$AA$5:$AW$167,23,FALSE),0)*$Z23,0)</f>
        <v>446</v>
      </c>
      <c r="Z23" s="1098">
        <f>VLOOKUP(C23,$AB$5:$AN$58,5,FALSE)</f>
        <v>1</v>
      </c>
      <c r="AB23" s="2609" t="s">
        <v>1118</v>
      </c>
      <c r="AC23" s="2610"/>
      <c r="AD23" s="2610"/>
      <c r="AE23" s="1048"/>
      <c r="AF23" s="1048"/>
      <c r="AG23" s="1048"/>
      <c r="AH23" s="1048"/>
      <c r="AI23" s="1048"/>
      <c r="AJ23" s="1048"/>
      <c r="AK23" s="1048"/>
      <c r="AL23" s="1048">
        <v>1</v>
      </c>
      <c r="AM23" s="1048"/>
      <c r="AN23" s="1050"/>
    </row>
    <row r="24" spans="1:41" ht="17.100000000000001" customHeight="1">
      <c r="A24" s="2621"/>
      <c r="B24" s="2616"/>
      <c r="C24" s="856" t="str">
        <f>AB24</f>
        <v>우신아파트</v>
      </c>
      <c r="D24" s="1237">
        <f>ROUND(IFERROR(VLOOKUP($C24,사회적유입!$AA$5:$AW$167,2,FALSE),0)*$Z24,0)</f>
        <v>0</v>
      </c>
      <c r="E24" s="1237">
        <f>ROUND(IFERROR(VLOOKUP($C24,사회적유입!$AA$5:$AW$167,3,FALSE),0)*$Z24,0)</f>
        <v>0</v>
      </c>
      <c r="F24" s="1237">
        <f>ROUND(IFERROR(VLOOKUP($C24,사회적유입!$AA$5:$AW$167,4,FALSE),0)*$Z24,0)</f>
        <v>0</v>
      </c>
      <c r="G24" s="1237">
        <f>ROUND(IFERROR(VLOOKUP($C24,사회적유입!$AA$5:$AW$167,5,FALSE),0)*$Z24,0)</f>
        <v>0</v>
      </c>
      <c r="H24" s="1237">
        <f>ROUND(IFERROR(VLOOKUP($C24,사회적유입!$AA$5:$AW$167,6,FALSE),0)*$Z24,0)</f>
        <v>0</v>
      </c>
      <c r="I24" s="1237">
        <f>ROUND(IFERROR(VLOOKUP($C24,사회적유입!$AA$5:$AW$167,7,FALSE),0)*$Z24,0)</f>
        <v>0</v>
      </c>
      <c r="J24" s="1237">
        <f>ROUND(IFERROR(VLOOKUP($C24,사회적유입!$AA$5:$AW$167,8,FALSE),0)*$Z24,0)</f>
        <v>2306</v>
      </c>
      <c r="K24" s="1237">
        <f>ROUND(IFERROR(VLOOKUP($C24,사회적유입!$AA$5:$AW$167,9,FALSE),0)*$Z24,0)</f>
        <v>2306</v>
      </c>
      <c r="L24" s="1237">
        <f>ROUND(IFERROR(VLOOKUP($C24,사회적유입!$AA$5:$AW$167,10,FALSE),0)*$Z24,0)</f>
        <v>2306</v>
      </c>
      <c r="M24" s="1237">
        <f>ROUND(IFERROR(VLOOKUP($C24,사회적유입!$AA$5:$AW$167,11,FALSE),0)*$Z24,0)</f>
        <v>2306</v>
      </c>
      <c r="N24" s="1237">
        <f>ROUND(IFERROR(VLOOKUP($C24,사회적유입!$AA$5:$AW$167,12,FALSE),0)*$Z24,0)</f>
        <v>2306</v>
      </c>
      <c r="O24" s="1237">
        <f>ROUND(IFERROR(VLOOKUP($C24,사회적유입!$AA$5:$AW$167,13,FALSE),0)*$Z24,0)</f>
        <v>2306</v>
      </c>
      <c r="P24" s="1237">
        <f>ROUND(IFERROR(VLOOKUP($C24,사회적유입!$AA$5:$AW$167,14,FALSE),0)*$Z24,0)</f>
        <v>2306</v>
      </c>
      <c r="Q24" s="1237">
        <f>ROUND(IFERROR(VLOOKUP($C24,사회적유입!$AA$5:$AW$167,15,FALSE),0)*$Z24,0)</f>
        <v>2306</v>
      </c>
      <c r="R24" s="1237">
        <f>ROUND(IFERROR(VLOOKUP($C24,사회적유입!$AA$5:$AW$167,16,FALSE),0)*$Z24,0)</f>
        <v>2306</v>
      </c>
      <c r="S24" s="1237">
        <f>ROUND(IFERROR(VLOOKUP($C24,사회적유입!$AA$5:$AW$167,17,FALSE),0)*$Z24,0)</f>
        <v>2306</v>
      </c>
      <c r="T24" s="1237">
        <f>ROUND(IFERROR(VLOOKUP($C24,사회적유입!$AA$5:$AW$167,18,FALSE),0)*$Z24,0)</f>
        <v>2306</v>
      </c>
      <c r="U24" s="1237">
        <f>ROUND(IFERROR(VLOOKUP($C24,사회적유입!$AA$5:$AW$167,19,FALSE),0)*$Z24,0)</f>
        <v>2306</v>
      </c>
      <c r="V24" s="1237">
        <f>ROUND(IFERROR(VLOOKUP($C24,사회적유입!$AA$5:$AW$167,20,FALSE),0)*$Z24,0)</f>
        <v>2306</v>
      </c>
      <c r="W24" s="1237">
        <f>ROUND(IFERROR(VLOOKUP($C24,사회적유입!$AA$5:$AW$167,21,FALSE),0)*$Z24,0)</f>
        <v>2306</v>
      </c>
      <c r="X24" s="1237">
        <f>ROUND(IFERROR(VLOOKUP($C24,사회적유입!$AA$5:$AW$167,22,FALSE),0)*$Z24,0)</f>
        <v>2306</v>
      </c>
      <c r="Y24" s="1237">
        <f>ROUND(IFERROR(VLOOKUP($C24,사회적유입!$AA$5:$AW$167,23,FALSE),0)*$Z24,0)</f>
        <v>2306</v>
      </c>
      <c r="Z24" s="1098">
        <f>VLOOKUP(C24,$AB$5:$AN$58,5,FALSE)</f>
        <v>1</v>
      </c>
      <c r="AB24" s="2609" t="s">
        <v>1119</v>
      </c>
      <c r="AC24" s="2610"/>
      <c r="AD24" s="2610"/>
      <c r="AE24" s="1048"/>
      <c r="AF24" s="1048">
        <v>1</v>
      </c>
      <c r="AG24" s="1048"/>
      <c r="AH24" s="1048"/>
      <c r="AI24" s="1048"/>
      <c r="AJ24" s="1048"/>
      <c r="AK24" s="1048"/>
      <c r="AL24" s="1048"/>
      <c r="AM24" s="1048"/>
      <c r="AN24" s="1050"/>
    </row>
    <row r="25" spans="1:41" ht="17.100000000000001" customHeight="1">
      <c r="A25" s="2621"/>
      <c r="B25" s="2616"/>
      <c r="C25" s="857" t="s">
        <v>72</v>
      </c>
      <c r="D25" s="858">
        <f t="shared" ref="D25:Y25" si="6">SUM(D22:D24)</f>
        <v>0</v>
      </c>
      <c r="E25" s="858">
        <f t="shared" si="6"/>
        <v>0</v>
      </c>
      <c r="F25" s="858">
        <f t="shared" si="6"/>
        <v>0</v>
      </c>
      <c r="G25" s="858">
        <f t="shared" si="6"/>
        <v>593</v>
      </c>
      <c r="H25" s="858">
        <f t="shared" si="6"/>
        <v>593</v>
      </c>
      <c r="I25" s="858">
        <f t="shared" si="6"/>
        <v>593</v>
      </c>
      <c r="J25" s="858">
        <f t="shared" si="6"/>
        <v>2899</v>
      </c>
      <c r="K25" s="858">
        <f t="shared" si="6"/>
        <v>2899</v>
      </c>
      <c r="L25" s="858">
        <f t="shared" si="6"/>
        <v>2899</v>
      </c>
      <c r="M25" s="858">
        <f t="shared" si="6"/>
        <v>2899</v>
      </c>
      <c r="N25" s="858">
        <f t="shared" si="6"/>
        <v>2899</v>
      </c>
      <c r="O25" s="858">
        <f t="shared" si="6"/>
        <v>3345</v>
      </c>
      <c r="P25" s="858">
        <f t="shared" si="6"/>
        <v>3345</v>
      </c>
      <c r="Q25" s="858">
        <f t="shared" si="6"/>
        <v>3345</v>
      </c>
      <c r="R25" s="858">
        <f t="shared" si="6"/>
        <v>3345</v>
      </c>
      <c r="S25" s="858">
        <f t="shared" si="6"/>
        <v>3345</v>
      </c>
      <c r="T25" s="858">
        <f t="shared" si="6"/>
        <v>3345</v>
      </c>
      <c r="U25" s="858">
        <f t="shared" si="6"/>
        <v>3345</v>
      </c>
      <c r="V25" s="858">
        <f t="shared" si="6"/>
        <v>3345</v>
      </c>
      <c r="W25" s="858">
        <f t="shared" si="6"/>
        <v>3345</v>
      </c>
      <c r="X25" s="858">
        <f t="shared" si="6"/>
        <v>3345</v>
      </c>
      <c r="Y25" s="858">
        <f t="shared" si="6"/>
        <v>3345</v>
      </c>
      <c r="Z25" s="1052"/>
      <c r="AA25" s="1561"/>
      <c r="AB25" s="2590" t="s">
        <v>1120</v>
      </c>
      <c r="AC25" s="2591"/>
      <c r="AD25" s="2591"/>
      <c r="AE25" s="1048"/>
      <c r="AF25" s="1048"/>
      <c r="AG25" s="1048"/>
      <c r="AH25" s="1048"/>
      <c r="AI25" s="1048"/>
      <c r="AJ25" s="1048"/>
      <c r="AK25" s="1048"/>
      <c r="AL25" s="1048"/>
      <c r="AM25" s="1048">
        <v>1</v>
      </c>
      <c r="AN25" s="1050"/>
    </row>
    <row r="26" spans="1:41" ht="17.100000000000001" customHeight="1">
      <c r="A26" s="2621"/>
      <c r="B26" s="2616" t="s">
        <v>96</v>
      </c>
      <c r="C26" s="859" t="str">
        <f>AB29</f>
        <v>리노삼봉산업단지</v>
      </c>
      <c r="D26" s="1237">
        <f>ROUND(IFERROR(INDEX(사회적유입!$AA$4:$AW$165,MATCH($C26,사회적유입!$AA$4:$AA$165,0)-2,2),0)*$Z26,0)</f>
        <v>0</v>
      </c>
      <c r="E26" s="1237">
        <f>ROUND(IFERROR(INDEX(사회적유입!$AA$4:$AW$165,MATCH($C26,사회적유입!$AA$4:$AA$165,0)-2,3),0)*$Z26,0)</f>
        <v>0</v>
      </c>
      <c r="F26" s="1237">
        <f>ROUND(IFERROR(INDEX(사회적유입!$AA$4:$AW$165,MATCH($C26,사회적유입!$AA$4:$AA$165,0)-2,4),0)*$Z26,0)</f>
        <v>0</v>
      </c>
      <c r="G26" s="1237">
        <f>ROUND(IFERROR(INDEX(사회적유입!$AA$4:$AW$165,MATCH($C26,사회적유입!$AA$4:$AA$165,0)-2,5),0)*$Z26,0)</f>
        <v>0</v>
      </c>
      <c r="H26" s="1237">
        <f>ROUND(IFERROR(INDEX(사회적유입!$AA$4:$AW$165,MATCH($C26,사회적유입!$AA$4:$AA$165,0)-2,6),0)*$Z26,0)</f>
        <v>11</v>
      </c>
      <c r="I26" s="1237">
        <f>ROUND(IFERROR(INDEX(사회적유입!$AA$4:$AW$165,MATCH($C26,사회적유입!$AA$4:$AA$165,0)-2,7),0)*$Z26,0)</f>
        <v>34</v>
      </c>
      <c r="J26" s="1237">
        <f>ROUND(IFERROR(INDEX(사회적유입!$AA$4:$AW$165,MATCH($C26,사회적유입!$AA$4:$AA$165,0)-2,8),0)*$Z26,0)</f>
        <v>56</v>
      </c>
      <c r="K26" s="1237">
        <f>ROUND(IFERROR(INDEX(사회적유입!$AA$4:$AW$165,MATCH($C26,사회적유입!$AA$4:$AA$165,0)-2,9),0)*$Z26,0)</f>
        <v>56</v>
      </c>
      <c r="L26" s="1237">
        <f>ROUND(IFERROR(INDEX(사회적유입!$AA$4:$AW$165,MATCH($C26,사회적유입!$AA$4:$AA$165,0)-2,10),0)*$Z26,0)</f>
        <v>56</v>
      </c>
      <c r="M26" s="1237">
        <f>ROUND(IFERROR(INDEX(사회적유입!$AA$4:$AW$165,MATCH($C26,사회적유입!$AA$4:$AA$165,0)-2,11),0)*$Z26,0)</f>
        <v>56</v>
      </c>
      <c r="N26" s="1237">
        <f>ROUND(IFERROR(INDEX(사회적유입!$AA$4:$AW$165,MATCH($C26,사회적유입!$AA$4:$AA$165,0)-2,12),0)*$Z26,0)</f>
        <v>56</v>
      </c>
      <c r="O26" s="1237">
        <f>ROUND(IFERROR(INDEX(사회적유입!$AA$4:$AW$165,MATCH($C26,사회적유입!$AA$4:$AA$165,0)-2,13),0)*$Z26,0)</f>
        <v>56</v>
      </c>
      <c r="P26" s="1237">
        <f>ROUND(IFERROR(INDEX(사회적유입!$AA$4:$AW$165,MATCH($C26,사회적유입!$AA$4:$AA$165,0)-2,14),0)*$Z26,0)</f>
        <v>56</v>
      </c>
      <c r="Q26" s="1237">
        <f>ROUND(IFERROR(INDEX(사회적유입!$AA$4:$AW$165,MATCH($C26,사회적유입!$AA$4:$AA$165,0)-2,15),0)*$Z26,0)</f>
        <v>56</v>
      </c>
      <c r="R26" s="1237">
        <f>ROUND(IFERROR(INDEX(사회적유입!$AA$4:$AW$165,MATCH($C26,사회적유입!$AA$4:$AA$165,0)-2,16),0)*$Z26,0)</f>
        <v>56</v>
      </c>
      <c r="S26" s="1237">
        <f>ROUND(IFERROR(INDEX(사회적유입!$AA$4:$AW$165,MATCH($C26,사회적유입!$AA$4:$AA$165,0)-2,17),0)*$Z26,0)</f>
        <v>56</v>
      </c>
      <c r="T26" s="1237">
        <f>ROUND(IFERROR(INDEX(사회적유입!$AA$4:$AW$165,MATCH($C26,사회적유입!$AA$4:$AA$165,0)-2,18),0)*$Z26,0)</f>
        <v>56</v>
      </c>
      <c r="U26" s="1237">
        <f>ROUND(IFERROR(INDEX(사회적유입!$AA$4:$AW$165,MATCH($C26,사회적유입!$AA$4:$AA$165,0)-2,19),0)*$Z26,0)</f>
        <v>56</v>
      </c>
      <c r="V26" s="1237">
        <f>ROUND(IFERROR(INDEX(사회적유입!$AA$4:$AW$165,MATCH($C26,사회적유입!$AA$4:$AA$165,0)-2,20),0)*$Z26,0)</f>
        <v>56</v>
      </c>
      <c r="W26" s="1237">
        <f>ROUND(IFERROR(INDEX(사회적유입!$AA$4:$AW$165,MATCH($C26,사회적유입!$AA$4:$AA$165,0)-2,21),0)*$Z26,0)</f>
        <v>56</v>
      </c>
      <c r="X26" s="1237">
        <f>ROUND(IFERROR(INDEX(사회적유입!$AA$4:$AW$165,MATCH($C26,사회적유입!$AA$4:$AA$165,0)-2,22),0)*$Z26,0)</f>
        <v>56</v>
      </c>
      <c r="Y26" s="1237">
        <f>ROUND(IFERROR(INDEX(사회적유입!$AA$4:$AW$165,MATCH($C26,사회적유입!$AA$4:$AA$165,0)-2,23),0)*$Z26,0)</f>
        <v>56</v>
      </c>
      <c r="Z26" s="1098">
        <f t="shared" ref="Z26:Z36" si="7">VLOOKUP(C26,$AB$5:$AN$58,5,FALSE)</f>
        <v>0.4</v>
      </c>
      <c r="AA26" s="1562"/>
      <c r="AB26" s="2590" t="s">
        <v>1121</v>
      </c>
      <c r="AC26" s="2591"/>
      <c r="AD26" s="2591"/>
      <c r="AE26" s="1048"/>
      <c r="AF26" s="1048"/>
      <c r="AG26" s="1048"/>
      <c r="AH26" s="1048"/>
      <c r="AI26" s="1048"/>
      <c r="AJ26" s="1048"/>
      <c r="AK26" s="1048"/>
      <c r="AL26" s="1048"/>
      <c r="AM26" s="1048">
        <v>1</v>
      </c>
      <c r="AN26" s="1050"/>
    </row>
    <row r="27" spans="1:41" ht="17.100000000000001" customHeight="1">
      <c r="A27" s="2621"/>
      <c r="B27" s="2616"/>
      <c r="C27" s="1130" t="str">
        <f t="shared" ref="C27:C34" si="8">AB32</f>
        <v>오선산업단지</v>
      </c>
      <c r="D27" s="1237">
        <f>ROUND(IFERROR(INDEX(사회적유입!$AA$4:$AW$165,MATCH($C27,사회적유입!$AA$4:$AA$165,0)-2,2),0)*$Z27,0)</f>
        <v>0</v>
      </c>
      <c r="E27" s="1237">
        <f>ROUND(IFERROR(INDEX(사회적유입!$AA$4:$AW$165,MATCH($C27,사회적유입!$AA$4:$AA$165,0)-2,3),0)*$Z27,0)</f>
        <v>0</v>
      </c>
      <c r="F27" s="1237">
        <f>ROUND(IFERROR(INDEX(사회적유입!$AA$4:$AW$165,MATCH($C27,사회적유입!$AA$4:$AA$165,0)-2,4),0)*$Z27,0)</f>
        <v>0</v>
      </c>
      <c r="G27" s="1237">
        <f>ROUND(IFERROR(INDEX(사회적유입!$AA$4:$AW$165,MATCH($C27,사회적유입!$AA$4:$AA$165,0)-2,5),0)*$Z27,0)</f>
        <v>0</v>
      </c>
      <c r="H27" s="1237">
        <f>ROUND(IFERROR(INDEX(사회적유입!$AA$4:$AW$165,MATCH($C27,사회적유입!$AA$4:$AA$165,0)-2,6),0)*$Z27,0)</f>
        <v>66</v>
      </c>
      <c r="I27" s="1237">
        <f>ROUND(IFERROR(INDEX(사회적유입!$AA$4:$AW$165,MATCH($C27,사회적유입!$AA$4:$AA$165,0)-2,7),0)*$Z27,0)</f>
        <v>199</v>
      </c>
      <c r="J27" s="1237">
        <f>ROUND(IFERROR(INDEX(사회적유입!$AA$4:$AW$165,MATCH($C27,사회적유입!$AA$4:$AA$165,0)-2,8),0)*$Z27,0)</f>
        <v>331</v>
      </c>
      <c r="K27" s="1237">
        <f>ROUND(IFERROR(INDEX(사회적유입!$AA$4:$AW$165,MATCH($C27,사회적유입!$AA$4:$AA$165,0)-2,9),0)*$Z27,0)</f>
        <v>331</v>
      </c>
      <c r="L27" s="1237">
        <f>ROUND(IFERROR(INDEX(사회적유입!$AA$4:$AW$165,MATCH($C27,사회적유입!$AA$4:$AA$165,0)-2,10),0)*$Z27,0)</f>
        <v>331</v>
      </c>
      <c r="M27" s="1237">
        <f>ROUND(IFERROR(INDEX(사회적유입!$AA$4:$AW$165,MATCH($C27,사회적유입!$AA$4:$AA$165,0)-2,11),0)*$Z27,0)</f>
        <v>331</v>
      </c>
      <c r="N27" s="1237">
        <f>ROUND(IFERROR(INDEX(사회적유입!$AA$4:$AW$165,MATCH($C27,사회적유입!$AA$4:$AA$165,0)-2,12),0)*$Z27,0)</f>
        <v>331</v>
      </c>
      <c r="O27" s="1237">
        <f>ROUND(IFERROR(INDEX(사회적유입!$AA$4:$AW$165,MATCH($C27,사회적유입!$AA$4:$AA$165,0)-2,13),0)*$Z27,0)</f>
        <v>331</v>
      </c>
      <c r="P27" s="1237">
        <f>ROUND(IFERROR(INDEX(사회적유입!$AA$4:$AW$165,MATCH($C27,사회적유입!$AA$4:$AA$165,0)-2,14),0)*$Z27,0)</f>
        <v>331</v>
      </c>
      <c r="Q27" s="1237">
        <f>ROUND(IFERROR(INDEX(사회적유입!$AA$4:$AW$165,MATCH($C27,사회적유입!$AA$4:$AA$165,0)-2,15),0)*$Z27,0)</f>
        <v>331</v>
      </c>
      <c r="R27" s="1237">
        <f>ROUND(IFERROR(INDEX(사회적유입!$AA$4:$AW$165,MATCH($C27,사회적유입!$AA$4:$AA$165,0)-2,16),0)*$Z27,0)</f>
        <v>331</v>
      </c>
      <c r="S27" s="1237">
        <f>ROUND(IFERROR(INDEX(사회적유입!$AA$4:$AW$165,MATCH($C27,사회적유입!$AA$4:$AA$165,0)-2,17),0)*$Z27,0)</f>
        <v>331</v>
      </c>
      <c r="T27" s="1237">
        <f>ROUND(IFERROR(INDEX(사회적유입!$AA$4:$AW$165,MATCH($C27,사회적유입!$AA$4:$AA$165,0)-2,18),0)*$Z27,0)</f>
        <v>331</v>
      </c>
      <c r="U27" s="1237">
        <f>ROUND(IFERROR(INDEX(사회적유입!$AA$4:$AW$165,MATCH($C27,사회적유입!$AA$4:$AA$165,0)-2,19),0)*$Z27,0)</f>
        <v>331</v>
      </c>
      <c r="V27" s="1237">
        <f>ROUND(IFERROR(INDEX(사회적유입!$AA$4:$AW$165,MATCH($C27,사회적유입!$AA$4:$AA$165,0)-2,20),0)*$Z27,0)</f>
        <v>331</v>
      </c>
      <c r="W27" s="1237">
        <f>ROUND(IFERROR(INDEX(사회적유입!$AA$4:$AW$165,MATCH($C27,사회적유입!$AA$4:$AA$165,0)-2,21),0)*$Z27,0)</f>
        <v>331</v>
      </c>
      <c r="X27" s="1237">
        <f>ROUND(IFERROR(INDEX(사회적유입!$AA$4:$AW$165,MATCH($C27,사회적유입!$AA$4:$AA$165,0)-2,22),0)*$Z27,0)</f>
        <v>331</v>
      </c>
      <c r="Y27" s="1237">
        <f>ROUND(IFERROR(INDEX(사회적유입!$AA$4:$AW$165,MATCH($C27,사회적유입!$AA$4:$AA$165,0)-2,23),0)*$Z27,0)</f>
        <v>331</v>
      </c>
      <c r="Z27" s="1098">
        <f t="shared" si="7"/>
        <v>0.7</v>
      </c>
      <c r="AB27" s="2590" t="s">
        <v>1122</v>
      </c>
      <c r="AC27" s="2591"/>
      <c r="AD27" s="2591"/>
      <c r="AE27" s="1048"/>
      <c r="AF27" s="1048"/>
      <c r="AG27" s="1048"/>
      <c r="AH27" s="1048"/>
      <c r="AI27" s="1048"/>
      <c r="AJ27" s="1048">
        <v>1</v>
      </c>
      <c r="AK27" s="1048"/>
      <c r="AL27" s="1048"/>
      <c r="AM27" s="1048"/>
      <c r="AN27" s="1050"/>
    </row>
    <row r="28" spans="1:41" ht="17.100000000000001" customHeight="1">
      <c r="A28" s="2621"/>
      <c r="B28" s="2616"/>
      <c r="C28" s="1130" t="str">
        <f t="shared" si="8"/>
        <v>유촌산업단지</v>
      </c>
      <c r="D28" s="1237">
        <f>ROUND(IFERROR(INDEX(사회적유입!$AA$4:$AW$165,MATCH($C28,사회적유입!$AA$4:$AA$165,0)-2,2),0)*$Z28,0)</f>
        <v>0</v>
      </c>
      <c r="E28" s="1237">
        <f>ROUND(IFERROR(INDEX(사회적유입!$AA$4:$AW$165,MATCH($C28,사회적유입!$AA$4:$AA$165,0)-2,3),0)*$Z28,0)</f>
        <v>0</v>
      </c>
      <c r="F28" s="1237">
        <f>ROUND(IFERROR(INDEX(사회적유입!$AA$4:$AW$165,MATCH($C28,사회적유입!$AA$4:$AA$165,0)-2,4),0)*$Z28,0)</f>
        <v>0</v>
      </c>
      <c r="G28" s="1237">
        <f>ROUND(IFERROR(INDEX(사회적유입!$AA$4:$AW$165,MATCH($C28,사회적유입!$AA$4:$AA$165,0)-2,5),0)*$Z28,0)</f>
        <v>0</v>
      </c>
      <c r="H28" s="1237">
        <f>ROUND(IFERROR(INDEX(사회적유입!$AA$4:$AW$165,MATCH($C28,사회적유입!$AA$4:$AA$165,0)-2,6),0)*$Z28,0)</f>
        <v>0</v>
      </c>
      <c r="I28" s="1237">
        <f>ROUND(IFERROR(INDEX(사회적유입!$AA$4:$AW$165,MATCH($C28,사회적유입!$AA$4:$AA$165,0)-2,7),0)*$Z28,0)</f>
        <v>79</v>
      </c>
      <c r="J28" s="1237">
        <f>ROUND(IFERROR(INDEX(사회적유입!$AA$4:$AW$165,MATCH($C28,사회적유입!$AA$4:$AA$165,0)-2,8),0)*$Z28,0)</f>
        <v>237</v>
      </c>
      <c r="K28" s="1237">
        <f>ROUND(IFERROR(INDEX(사회적유입!$AA$4:$AW$165,MATCH($C28,사회적유입!$AA$4:$AA$165,0)-2,9),0)*$Z28,0)</f>
        <v>395</v>
      </c>
      <c r="L28" s="1237">
        <f>ROUND(IFERROR(INDEX(사회적유입!$AA$4:$AW$165,MATCH($C28,사회적유입!$AA$4:$AA$165,0)-2,10),0)*$Z28,0)</f>
        <v>395</v>
      </c>
      <c r="M28" s="1237">
        <f>ROUND(IFERROR(INDEX(사회적유입!$AA$4:$AW$165,MATCH($C28,사회적유입!$AA$4:$AA$165,0)-2,11),0)*$Z28,0)</f>
        <v>395</v>
      </c>
      <c r="N28" s="1237">
        <f>ROUND(IFERROR(INDEX(사회적유입!$AA$4:$AW$165,MATCH($C28,사회적유입!$AA$4:$AA$165,0)-2,12),0)*$Z28,0)</f>
        <v>395</v>
      </c>
      <c r="O28" s="1237">
        <f>ROUND(IFERROR(INDEX(사회적유입!$AA$4:$AW$165,MATCH($C28,사회적유입!$AA$4:$AA$165,0)-2,13),0)*$Z28,0)</f>
        <v>395</v>
      </c>
      <c r="P28" s="1237">
        <f>ROUND(IFERROR(INDEX(사회적유입!$AA$4:$AW$165,MATCH($C28,사회적유입!$AA$4:$AA$165,0)-2,14),0)*$Z28,0)</f>
        <v>395</v>
      </c>
      <c r="Q28" s="1237">
        <f>ROUND(IFERROR(INDEX(사회적유입!$AA$4:$AW$165,MATCH($C28,사회적유입!$AA$4:$AA$165,0)-2,15),0)*$Z28,0)</f>
        <v>395</v>
      </c>
      <c r="R28" s="1237">
        <f>ROUND(IFERROR(INDEX(사회적유입!$AA$4:$AW$165,MATCH($C28,사회적유입!$AA$4:$AA$165,0)-2,16),0)*$Z28,0)</f>
        <v>395</v>
      </c>
      <c r="S28" s="1237">
        <f>ROUND(IFERROR(INDEX(사회적유입!$AA$4:$AW$165,MATCH($C28,사회적유입!$AA$4:$AA$165,0)-2,17),0)*$Z28,0)</f>
        <v>395</v>
      </c>
      <c r="T28" s="1237">
        <f>ROUND(IFERROR(INDEX(사회적유입!$AA$4:$AW$165,MATCH($C28,사회적유입!$AA$4:$AA$165,0)-2,18),0)*$Z28,0)</f>
        <v>395</v>
      </c>
      <c r="U28" s="1237">
        <f>ROUND(IFERROR(INDEX(사회적유입!$AA$4:$AW$165,MATCH($C28,사회적유입!$AA$4:$AA$165,0)-2,19),0)*$Z28,0)</f>
        <v>395</v>
      </c>
      <c r="V28" s="1237">
        <f>ROUND(IFERROR(INDEX(사회적유입!$AA$4:$AW$165,MATCH($C28,사회적유입!$AA$4:$AA$165,0)-2,20),0)*$Z28,0)</f>
        <v>395</v>
      </c>
      <c r="W28" s="1237">
        <f>ROUND(IFERROR(INDEX(사회적유입!$AA$4:$AW$165,MATCH($C28,사회적유입!$AA$4:$AA$165,0)-2,21),0)*$Z28,0)</f>
        <v>395</v>
      </c>
      <c r="X28" s="1237">
        <f>ROUND(IFERROR(INDEX(사회적유입!$AA$4:$AW$165,MATCH($C28,사회적유입!$AA$4:$AA$165,0)-2,22),0)*$Z28,0)</f>
        <v>395</v>
      </c>
      <c r="Y28" s="1237">
        <f>ROUND(IFERROR(INDEX(사회적유입!$AA$4:$AW$165,MATCH($C28,사회적유입!$AA$4:$AA$165,0)-2,23),0)*$Z28,0)</f>
        <v>395</v>
      </c>
      <c r="Z28" s="1098">
        <f t="shared" si="7"/>
        <v>0.5</v>
      </c>
      <c r="AB28" s="2590" t="s">
        <v>1123</v>
      </c>
      <c r="AC28" s="2591"/>
      <c r="AD28" s="2591"/>
      <c r="AE28" s="1048"/>
      <c r="AF28" s="1048"/>
      <c r="AG28" s="1048"/>
      <c r="AH28" s="1048"/>
      <c r="AI28" s="1048"/>
      <c r="AJ28" s="1048"/>
      <c r="AK28" s="1048">
        <v>1</v>
      </c>
      <c r="AL28" s="1048"/>
      <c r="AM28" s="1048"/>
      <c r="AN28" s="1050"/>
    </row>
    <row r="29" spans="1:41" ht="17.100000000000001" customHeight="1">
      <c r="A29" s="2621"/>
      <c r="B29" s="2616"/>
      <c r="C29" s="1130" t="str">
        <f t="shared" si="8"/>
        <v>생극산업단지</v>
      </c>
      <c r="D29" s="1237">
        <f>ROUND(IFERROR(INDEX(사회적유입!$AA$4:$AW$165,MATCH($C29,사회적유입!$AA$4:$AA$165,0)-2,2),0)*$Z29,0)</f>
        <v>0</v>
      </c>
      <c r="E29" s="1237">
        <f>ROUND(IFERROR(INDEX(사회적유입!$AA$4:$AW$165,MATCH($C29,사회적유입!$AA$4:$AA$165,0)-2,3),0)*$Z29,0)</f>
        <v>0</v>
      </c>
      <c r="F29" s="1237">
        <f>ROUND(IFERROR(INDEX(사회적유입!$AA$4:$AW$165,MATCH($C29,사회적유입!$AA$4:$AA$165,0)-2,4),0)*$Z29,0)</f>
        <v>0</v>
      </c>
      <c r="G29" s="1237">
        <f>ROUND(IFERROR(INDEX(사회적유입!$AA$4:$AW$165,MATCH($C29,사회적유입!$AA$4:$AA$165,0)-2,5),0)*$Z29,0)</f>
        <v>0</v>
      </c>
      <c r="H29" s="1237">
        <f>ROUND(IFERROR(INDEX(사회적유입!$AA$4:$AW$165,MATCH($C29,사회적유입!$AA$4:$AA$165,0)-2,6),0)*$Z29,0)</f>
        <v>59</v>
      </c>
      <c r="I29" s="1237">
        <f>ROUND(IFERROR(INDEX(사회적유입!$AA$4:$AW$165,MATCH($C29,사회적유입!$AA$4:$AA$165,0)-2,7),0)*$Z29,0)</f>
        <v>178</v>
      </c>
      <c r="J29" s="1237">
        <f>ROUND(IFERROR(INDEX(사회적유입!$AA$4:$AW$165,MATCH($C29,사회적유입!$AA$4:$AA$165,0)-2,8),0)*$Z29,0)</f>
        <v>297</v>
      </c>
      <c r="K29" s="1237">
        <f>ROUND(IFERROR(INDEX(사회적유입!$AA$4:$AW$165,MATCH($C29,사회적유입!$AA$4:$AA$165,0)-2,9),0)*$Z29,0)</f>
        <v>297</v>
      </c>
      <c r="L29" s="1237">
        <f>ROUND(IFERROR(INDEX(사회적유입!$AA$4:$AW$165,MATCH($C29,사회적유입!$AA$4:$AA$165,0)-2,10),0)*$Z29,0)</f>
        <v>297</v>
      </c>
      <c r="M29" s="1237">
        <f>ROUND(IFERROR(INDEX(사회적유입!$AA$4:$AW$165,MATCH($C29,사회적유입!$AA$4:$AA$165,0)-2,11),0)*$Z29,0)</f>
        <v>297</v>
      </c>
      <c r="N29" s="1237">
        <f>ROUND(IFERROR(INDEX(사회적유입!$AA$4:$AW$165,MATCH($C29,사회적유입!$AA$4:$AA$165,0)-2,12),0)*$Z29,0)</f>
        <v>297</v>
      </c>
      <c r="O29" s="1237">
        <f>ROUND(IFERROR(INDEX(사회적유입!$AA$4:$AW$165,MATCH($C29,사회적유입!$AA$4:$AA$165,0)-2,13),0)*$Z29,0)</f>
        <v>297</v>
      </c>
      <c r="P29" s="1237">
        <f>ROUND(IFERROR(INDEX(사회적유입!$AA$4:$AW$165,MATCH($C29,사회적유입!$AA$4:$AA$165,0)-2,14),0)*$Z29,0)</f>
        <v>297</v>
      </c>
      <c r="Q29" s="1237">
        <f>ROUND(IFERROR(INDEX(사회적유입!$AA$4:$AW$165,MATCH($C29,사회적유입!$AA$4:$AA$165,0)-2,15),0)*$Z29,0)</f>
        <v>297</v>
      </c>
      <c r="R29" s="1237">
        <f>ROUND(IFERROR(INDEX(사회적유입!$AA$4:$AW$165,MATCH($C29,사회적유입!$AA$4:$AA$165,0)-2,16),0)*$Z29,0)</f>
        <v>297</v>
      </c>
      <c r="S29" s="1237">
        <f>ROUND(IFERROR(INDEX(사회적유입!$AA$4:$AW$165,MATCH($C29,사회적유입!$AA$4:$AA$165,0)-2,17),0)*$Z29,0)</f>
        <v>297</v>
      </c>
      <c r="T29" s="1237">
        <f>ROUND(IFERROR(INDEX(사회적유입!$AA$4:$AW$165,MATCH($C29,사회적유입!$AA$4:$AA$165,0)-2,18),0)*$Z29,0)</f>
        <v>297</v>
      </c>
      <c r="U29" s="1237">
        <f>ROUND(IFERROR(INDEX(사회적유입!$AA$4:$AW$165,MATCH($C29,사회적유입!$AA$4:$AA$165,0)-2,19),0)*$Z29,0)</f>
        <v>297</v>
      </c>
      <c r="V29" s="1237">
        <f>ROUND(IFERROR(INDEX(사회적유입!$AA$4:$AW$165,MATCH($C29,사회적유입!$AA$4:$AA$165,0)-2,20),0)*$Z29,0)</f>
        <v>297</v>
      </c>
      <c r="W29" s="1237">
        <f>ROUND(IFERROR(INDEX(사회적유입!$AA$4:$AW$165,MATCH($C29,사회적유입!$AA$4:$AA$165,0)-2,21),0)*$Z29,0)</f>
        <v>297</v>
      </c>
      <c r="X29" s="1237">
        <f>ROUND(IFERROR(INDEX(사회적유입!$AA$4:$AW$165,MATCH($C29,사회적유입!$AA$4:$AA$165,0)-2,22),0)*$Z29,0)</f>
        <v>297</v>
      </c>
      <c r="Y29" s="1237">
        <f>ROUND(IFERROR(INDEX(사회적유입!$AA$4:$AW$165,MATCH($C29,사회적유입!$AA$4:$AA$165,0)-2,23),0)*$Z29,0)</f>
        <v>297</v>
      </c>
      <c r="Z29" s="1098">
        <f t="shared" si="7"/>
        <v>0.4</v>
      </c>
      <c r="AB29" s="2564" t="s">
        <v>911</v>
      </c>
      <c r="AC29" s="2565"/>
      <c r="AD29" s="2565"/>
      <c r="AE29" s="1051"/>
      <c r="AF29" s="1051">
        <v>0.4</v>
      </c>
      <c r="AG29" s="1051"/>
      <c r="AH29" s="1051"/>
      <c r="AI29" s="1051">
        <v>0.1</v>
      </c>
      <c r="AJ29" s="1051">
        <v>0.4</v>
      </c>
      <c r="AK29" s="1051"/>
      <c r="AL29" s="1051"/>
      <c r="AM29" s="1051"/>
      <c r="AN29" s="1052">
        <v>0.1</v>
      </c>
    </row>
    <row r="30" spans="1:41" ht="17.100000000000001" customHeight="1">
      <c r="A30" s="2621"/>
      <c r="B30" s="2616"/>
      <c r="C30" s="1130" t="str">
        <f t="shared" si="8"/>
        <v>성본산업단지</v>
      </c>
      <c r="D30" s="1237">
        <f>ROUND(IFERROR(INDEX(사회적유입!$AA$4:$AW$165,MATCH($C30,사회적유입!$AA$4:$AA$165,0)-2,2),0)*$Z30,0)</f>
        <v>0</v>
      </c>
      <c r="E30" s="1237">
        <f>ROUND(IFERROR(INDEX(사회적유입!$AA$4:$AW$165,MATCH($C30,사회적유입!$AA$4:$AA$165,0)-2,3),0)*$Z30,0)</f>
        <v>0</v>
      </c>
      <c r="F30" s="1237">
        <f>ROUND(IFERROR(INDEX(사회적유입!$AA$4:$AW$165,MATCH($C30,사회적유입!$AA$4:$AA$165,0)-2,4),0)*$Z30,0)</f>
        <v>0</v>
      </c>
      <c r="G30" s="1237">
        <f>ROUND(IFERROR(INDEX(사회적유입!$AA$4:$AW$165,MATCH($C30,사회적유입!$AA$4:$AA$165,0)-2,5),0)*$Z30,0)</f>
        <v>0</v>
      </c>
      <c r="H30" s="1237">
        <f>ROUND(IFERROR(INDEX(사회적유입!$AA$4:$AW$165,MATCH($C30,사회적유입!$AA$4:$AA$165,0)-2,6),0)*$Z30,0)</f>
        <v>0</v>
      </c>
      <c r="I30" s="1237">
        <f>ROUND(IFERROR(INDEX(사회적유입!$AA$4:$AW$165,MATCH($C30,사회적유입!$AA$4:$AA$165,0)-2,7),0)*$Z30,0)</f>
        <v>0</v>
      </c>
      <c r="J30" s="1237">
        <f>ROUND(IFERROR(INDEX(사회적유입!$AA$4:$AW$165,MATCH($C30,사회적유입!$AA$4:$AA$165,0)-2,8),0)*$Z30,0)</f>
        <v>0</v>
      </c>
      <c r="K30" s="1237">
        <f>ROUND(IFERROR(INDEX(사회적유입!$AA$4:$AW$165,MATCH($C30,사회적유입!$AA$4:$AA$165,0)-2,9),0)*$Z30,0)</f>
        <v>0</v>
      </c>
      <c r="L30" s="1237">
        <f>ROUND(IFERROR(INDEX(사회적유입!$AA$4:$AW$165,MATCH($C30,사회적유입!$AA$4:$AA$165,0)-2,10),0)*$Z30,0)</f>
        <v>0</v>
      </c>
      <c r="M30" s="1237">
        <f>ROUND(IFERROR(INDEX(사회적유입!$AA$4:$AW$165,MATCH($C30,사회적유입!$AA$4:$AA$165,0)-2,11),0)*$Z30,0)</f>
        <v>0</v>
      </c>
      <c r="N30" s="1237">
        <f>ROUND(IFERROR(INDEX(사회적유입!$AA$4:$AW$165,MATCH($C30,사회적유입!$AA$4:$AA$165,0)-2,12),0)*$Z30,0)</f>
        <v>0</v>
      </c>
      <c r="O30" s="1237">
        <f>ROUND(IFERROR(INDEX(사회적유입!$AA$4:$AW$165,MATCH($C30,사회적유입!$AA$4:$AA$165,0)-2,13),0)*$Z30,0)</f>
        <v>0</v>
      </c>
      <c r="P30" s="1237">
        <f>ROUND(IFERROR(INDEX(사회적유입!$AA$4:$AW$165,MATCH($C30,사회적유입!$AA$4:$AA$165,0)-2,14),0)*$Z30,0)</f>
        <v>0</v>
      </c>
      <c r="Q30" s="1237">
        <f>ROUND(IFERROR(INDEX(사회적유입!$AA$4:$AW$165,MATCH($C30,사회적유입!$AA$4:$AA$165,0)-2,15),0)*$Z30,0)</f>
        <v>0</v>
      </c>
      <c r="R30" s="1237">
        <f>ROUND(IFERROR(INDEX(사회적유입!$AA$4:$AW$165,MATCH($C30,사회적유입!$AA$4:$AA$165,0)-2,16),0)*$Z30,0)</f>
        <v>0</v>
      </c>
      <c r="S30" s="1237">
        <f>ROUND(IFERROR(INDEX(사회적유입!$AA$4:$AW$165,MATCH($C30,사회적유입!$AA$4:$AA$165,0)-2,17),0)*$Z30,0)</f>
        <v>0</v>
      </c>
      <c r="T30" s="1237">
        <f>ROUND(IFERROR(INDEX(사회적유입!$AA$4:$AW$165,MATCH($C30,사회적유입!$AA$4:$AA$165,0)-2,18),0)*$Z30,0)</f>
        <v>0</v>
      </c>
      <c r="U30" s="1237">
        <f>ROUND(IFERROR(INDEX(사회적유입!$AA$4:$AW$165,MATCH($C30,사회적유입!$AA$4:$AA$165,0)-2,19),0)*$Z30,0)</f>
        <v>0</v>
      </c>
      <c r="V30" s="1237">
        <f>ROUND(IFERROR(INDEX(사회적유입!$AA$4:$AW$165,MATCH($C30,사회적유입!$AA$4:$AA$165,0)-2,20),0)*$Z30,0)</f>
        <v>0</v>
      </c>
      <c r="W30" s="1237">
        <f>ROUND(IFERROR(INDEX(사회적유입!$AA$4:$AW$165,MATCH($C30,사회적유입!$AA$4:$AA$165,0)-2,21),0)*$Z30,0)</f>
        <v>0</v>
      </c>
      <c r="X30" s="1237">
        <f>ROUND(IFERROR(INDEX(사회적유입!$AA$4:$AW$165,MATCH($C30,사회적유입!$AA$4:$AA$165,0)-2,22),0)*$Z30,0)</f>
        <v>0</v>
      </c>
      <c r="Y30" s="1237">
        <f>ROUND(IFERROR(INDEX(사회적유입!$AA$4:$AW$165,MATCH($C30,사회적유입!$AA$4:$AA$165,0)-2,23),0)*$Z30,0)</f>
        <v>0</v>
      </c>
      <c r="Z30" s="1098">
        <f t="shared" si="7"/>
        <v>0</v>
      </c>
      <c r="AB30" s="2564" t="s">
        <v>914</v>
      </c>
      <c r="AC30" s="2565"/>
      <c r="AD30" s="2565"/>
      <c r="AE30" s="1051"/>
      <c r="AF30" s="1051"/>
      <c r="AG30" s="1051"/>
      <c r="AH30" s="1051"/>
      <c r="AI30" s="1051"/>
      <c r="AJ30" s="1051"/>
      <c r="AK30" s="1051"/>
      <c r="AL30" s="1051"/>
      <c r="AM30" s="1051">
        <v>1</v>
      </c>
      <c r="AN30" s="1052"/>
    </row>
    <row r="31" spans="1:41" ht="17.100000000000001" customHeight="1">
      <c r="A31" s="2621"/>
      <c r="B31" s="2616"/>
      <c r="C31" s="1130" t="str">
        <f t="shared" si="8"/>
        <v>금왕테크노밸리</v>
      </c>
      <c r="D31" s="1237">
        <f>ROUND(IFERROR(INDEX(사회적유입!$AA$4:$AW$165,MATCH($C31,사회적유입!$AA$4:$AA$165,0)-2,2),0)*$Z31,0)</f>
        <v>0</v>
      </c>
      <c r="E31" s="1237">
        <f>ROUND(IFERROR(INDEX(사회적유입!$AA$4:$AW$165,MATCH($C31,사회적유입!$AA$4:$AA$165,0)-2,3),0)*$Z31,0)</f>
        <v>0</v>
      </c>
      <c r="F31" s="1237">
        <f>ROUND(IFERROR(INDEX(사회적유입!$AA$4:$AW$165,MATCH($C31,사회적유입!$AA$4:$AA$165,0)-2,4),0)*$Z31,0)</f>
        <v>0</v>
      </c>
      <c r="G31" s="1237">
        <f>ROUND(IFERROR(INDEX(사회적유입!$AA$4:$AW$165,MATCH($C31,사회적유입!$AA$4:$AA$165,0)-2,5),0)*$Z31,0)</f>
        <v>0</v>
      </c>
      <c r="H31" s="1237">
        <f>ROUND(IFERROR(INDEX(사회적유입!$AA$4:$AW$165,MATCH($C31,사회적유입!$AA$4:$AA$165,0)-2,6),0)*$Z31,0)</f>
        <v>0</v>
      </c>
      <c r="I31" s="1237">
        <f>ROUND(IFERROR(INDEX(사회적유입!$AA$4:$AW$165,MATCH($C31,사회적유입!$AA$4:$AA$165,0)-2,7),0)*$Z31,0)</f>
        <v>205</v>
      </c>
      <c r="J31" s="1237">
        <f>ROUND(IFERROR(INDEX(사회적유입!$AA$4:$AW$165,MATCH($C31,사회적유입!$AA$4:$AA$165,0)-2,8),0)*$Z31,0)</f>
        <v>614</v>
      </c>
      <c r="K31" s="1237">
        <f>ROUND(IFERROR(INDEX(사회적유입!$AA$4:$AW$165,MATCH($C31,사회적유입!$AA$4:$AA$165,0)-2,9),0)*$Z31,0)</f>
        <v>1023</v>
      </c>
      <c r="L31" s="1237">
        <f>ROUND(IFERROR(INDEX(사회적유입!$AA$4:$AW$165,MATCH($C31,사회적유입!$AA$4:$AA$165,0)-2,10),0)*$Z31,0)</f>
        <v>1023</v>
      </c>
      <c r="M31" s="1237">
        <f>ROUND(IFERROR(INDEX(사회적유입!$AA$4:$AW$165,MATCH($C31,사회적유입!$AA$4:$AA$165,0)-2,11),0)*$Z31,0)</f>
        <v>1023</v>
      </c>
      <c r="N31" s="1237">
        <f>ROUND(IFERROR(INDEX(사회적유입!$AA$4:$AW$165,MATCH($C31,사회적유입!$AA$4:$AA$165,0)-2,12),0)*$Z31,0)</f>
        <v>1023</v>
      </c>
      <c r="O31" s="1237">
        <f>ROUND(IFERROR(INDEX(사회적유입!$AA$4:$AW$165,MATCH($C31,사회적유입!$AA$4:$AA$165,0)-2,13),0)*$Z31,0)</f>
        <v>1023</v>
      </c>
      <c r="P31" s="1237">
        <f>ROUND(IFERROR(INDEX(사회적유입!$AA$4:$AW$165,MATCH($C31,사회적유입!$AA$4:$AA$165,0)-2,14),0)*$Z31,0)</f>
        <v>1023</v>
      </c>
      <c r="Q31" s="1237">
        <f>ROUND(IFERROR(INDEX(사회적유입!$AA$4:$AW$165,MATCH($C31,사회적유입!$AA$4:$AA$165,0)-2,15),0)*$Z31,0)</f>
        <v>1023</v>
      </c>
      <c r="R31" s="1237">
        <f>ROUND(IFERROR(INDEX(사회적유입!$AA$4:$AW$165,MATCH($C31,사회적유입!$AA$4:$AA$165,0)-2,16),0)*$Z31,0)</f>
        <v>1023</v>
      </c>
      <c r="S31" s="1237">
        <f>ROUND(IFERROR(INDEX(사회적유입!$AA$4:$AW$165,MATCH($C31,사회적유입!$AA$4:$AA$165,0)-2,17),0)*$Z31,0)</f>
        <v>1023</v>
      </c>
      <c r="T31" s="1237">
        <f>ROUND(IFERROR(INDEX(사회적유입!$AA$4:$AW$165,MATCH($C31,사회적유입!$AA$4:$AA$165,0)-2,18),0)*$Z31,0)</f>
        <v>1023</v>
      </c>
      <c r="U31" s="1237">
        <f>ROUND(IFERROR(INDEX(사회적유입!$AA$4:$AW$165,MATCH($C31,사회적유입!$AA$4:$AA$165,0)-2,19),0)*$Z31,0)</f>
        <v>1023</v>
      </c>
      <c r="V31" s="1237">
        <f>ROUND(IFERROR(INDEX(사회적유입!$AA$4:$AW$165,MATCH($C31,사회적유입!$AA$4:$AA$165,0)-2,20),0)*$Z31,0)</f>
        <v>1023</v>
      </c>
      <c r="W31" s="1237">
        <f>ROUND(IFERROR(INDEX(사회적유입!$AA$4:$AW$165,MATCH($C31,사회적유입!$AA$4:$AA$165,0)-2,21),0)*$Z31,0)</f>
        <v>1023</v>
      </c>
      <c r="X31" s="1237">
        <f>ROUND(IFERROR(INDEX(사회적유입!$AA$4:$AW$165,MATCH($C31,사회적유입!$AA$4:$AA$165,0)-2,22),0)*$Z31,0)</f>
        <v>1023</v>
      </c>
      <c r="Y31" s="1237">
        <f>ROUND(IFERROR(INDEX(사회적유입!$AA$4:$AW$165,MATCH($C31,사회적유입!$AA$4:$AA$165,0)-2,23),0)*$Z31,0)</f>
        <v>1023</v>
      </c>
      <c r="Z31" s="1098">
        <f t="shared" si="7"/>
        <v>0.5</v>
      </c>
      <c r="AB31" s="2564" t="s">
        <v>918</v>
      </c>
      <c r="AC31" s="2565"/>
      <c r="AD31" s="2565"/>
      <c r="AE31" s="1051">
        <v>1</v>
      </c>
      <c r="AF31" s="1051"/>
      <c r="AG31" s="1051">
        <v>0</v>
      </c>
      <c r="AH31" s="1051">
        <v>0</v>
      </c>
      <c r="AI31" s="1051"/>
      <c r="AJ31" s="1051"/>
      <c r="AK31" s="1051"/>
      <c r="AL31" s="1051"/>
      <c r="AM31" s="1051"/>
      <c r="AN31" s="1052"/>
    </row>
    <row r="32" spans="1:41" ht="17.100000000000001" customHeight="1">
      <c r="A32" s="2621"/>
      <c r="B32" s="2616"/>
      <c r="C32" s="1130" t="str">
        <f t="shared" si="8"/>
        <v>성안산업단지</v>
      </c>
      <c r="D32" s="1237">
        <f>ROUND(IFERROR(INDEX(사회적유입!$AA$4:$AW$165,MATCH($C32,사회적유입!$AA$4:$AA$165,0)-2,2),0)*$Z32,0)</f>
        <v>0</v>
      </c>
      <c r="E32" s="1237">
        <f>ROUND(IFERROR(INDEX(사회적유입!$AA$4:$AW$165,MATCH($C32,사회적유입!$AA$4:$AA$165,0)-2,3),0)*$Z32,0)</f>
        <v>0</v>
      </c>
      <c r="F32" s="1237">
        <f>ROUND(IFERROR(INDEX(사회적유입!$AA$4:$AW$165,MATCH($C32,사회적유입!$AA$4:$AA$165,0)-2,4),0)*$Z32,0)</f>
        <v>0</v>
      </c>
      <c r="G32" s="1237">
        <f>ROUND(IFERROR(INDEX(사회적유입!$AA$4:$AW$165,MATCH($C32,사회적유입!$AA$4:$AA$165,0)-2,5),0)*$Z32,0)</f>
        <v>0</v>
      </c>
      <c r="H32" s="1237">
        <f>ROUND(IFERROR(INDEX(사회적유입!$AA$4:$AW$165,MATCH($C32,사회적유입!$AA$4:$AA$165,0)-2,6),0)*$Z32,0)</f>
        <v>0</v>
      </c>
      <c r="I32" s="1237">
        <f>ROUND(IFERROR(INDEX(사회적유입!$AA$4:$AW$165,MATCH($C32,사회적유입!$AA$4:$AA$165,0)-2,7),0)*$Z32,0)</f>
        <v>6</v>
      </c>
      <c r="J32" s="1237">
        <f>ROUND(IFERROR(INDEX(사회적유입!$AA$4:$AW$165,MATCH($C32,사회적유입!$AA$4:$AA$165,0)-2,8),0)*$Z32,0)</f>
        <v>19</v>
      </c>
      <c r="K32" s="1237">
        <f>ROUND(IFERROR(INDEX(사회적유입!$AA$4:$AW$165,MATCH($C32,사회적유입!$AA$4:$AA$165,0)-2,9),0)*$Z32,0)</f>
        <v>32</v>
      </c>
      <c r="L32" s="1237">
        <f>ROUND(IFERROR(INDEX(사회적유입!$AA$4:$AW$165,MATCH($C32,사회적유입!$AA$4:$AA$165,0)-2,10),0)*$Z32,0)</f>
        <v>32</v>
      </c>
      <c r="M32" s="1237">
        <f>ROUND(IFERROR(INDEX(사회적유입!$AA$4:$AW$165,MATCH($C32,사회적유입!$AA$4:$AA$165,0)-2,11),0)*$Z32,0)</f>
        <v>32</v>
      </c>
      <c r="N32" s="1237">
        <f>ROUND(IFERROR(INDEX(사회적유입!$AA$4:$AW$165,MATCH($C32,사회적유입!$AA$4:$AA$165,0)-2,12),0)*$Z32,0)</f>
        <v>32</v>
      </c>
      <c r="O32" s="1237">
        <f>ROUND(IFERROR(INDEX(사회적유입!$AA$4:$AW$165,MATCH($C32,사회적유입!$AA$4:$AA$165,0)-2,13),0)*$Z32,0)</f>
        <v>32</v>
      </c>
      <c r="P32" s="1237">
        <f>ROUND(IFERROR(INDEX(사회적유입!$AA$4:$AW$165,MATCH($C32,사회적유입!$AA$4:$AA$165,0)-2,14),0)*$Z32,0)</f>
        <v>32</v>
      </c>
      <c r="Q32" s="1237">
        <f>ROUND(IFERROR(INDEX(사회적유입!$AA$4:$AW$165,MATCH($C32,사회적유입!$AA$4:$AA$165,0)-2,15),0)*$Z32,0)</f>
        <v>32</v>
      </c>
      <c r="R32" s="1237">
        <f>ROUND(IFERROR(INDEX(사회적유입!$AA$4:$AW$165,MATCH($C32,사회적유입!$AA$4:$AA$165,0)-2,16),0)*$Z32,0)</f>
        <v>32</v>
      </c>
      <c r="S32" s="1237">
        <f>ROUND(IFERROR(INDEX(사회적유입!$AA$4:$AW$165,MATCH($C32,사회적유입!$AA$4:$AA$165,0)-2,17),0)*$Z32,0)</f>
        <v>32</v>
      </c>
      <c r="T32" s="1237">
        <f>ROUND(IFERROR(INDEX(사회적유입!$AA$4:$AW$165,MATCH($C32,사회적유입!$AA$4:$AA$165,0)-2,18),0)*$Z32,0)</f>
        <v>32</v>
      </c>
      <c r="U32" s="1237">
        <f>ROUND(IFERROR(INDEX(사회적유입!$AA$4:$AW$165,MATCH($C32,사회적유입!$AA$4:$AA$165,0)-2,19),0)*$Z32,0)</f>
        <v>32</v>
      </c>
      <c r="V32" s="1237">
        <f>ROUND(IFERROR(INDEX(사회적유입!$AA$4:$AW$165,MATCH($C32,사회적유입!$AA$4:$AA$165,0)-2,20),0)*$Z32,0)</f>
        <v>32</v>
      </c>
      <c r="W32" s="1237">
        <f>ROUND(IFERROR(INDEX(사회적유입!$AA$4:$AW$165,MATCH($C32,사회적유입!$AA$4:$AA$165,0)-2,21),0)*$Z32,0)</f>
        <v>32</v>
      </c>
      <c r="X32" s="1237">
        <f>ROUND(IFERROR(INDEX(사회적유입!$AA$4:$AW$165,MATCH($C32,사회적유입!$AA$4:$AA$165,0)-2,22),0)*$Z32,0)</f>
        <v>32</v>
      </c>
      <c r="Y32" s="1237">
        <f>ROUND(IFERROR(INDEX(사회적유입!$AA$4:$AW$165,MATCH($C32,사회적유입!$AA$4:$AA$165,0)-2,23),0)*$Z32,0)</f>
        <v>32</v>
      </c>
      <c r="Z32" s="1098">
        <f t="shared" si="7"/>
        <v>0.6</v>
      </c>
      <c r="AB32" s="2564" t="s">
        <v>921</v>
      </c>
      <c r="AC32" s="2565"/>
      <c r="AD32" s="2565"/>
      <c r="AE32" s="1051"/>
      <c r="AF32" s="1051">
        <v>0.7</v>
      </c>
      <c r="AG32" s="1051"/>
      <c r="AH32" s="1051"/>
      <c r="AI32" s="1051">
        <v>0.05</v>
      </c>
      <c r="AJ32" s="1051">
        <v>0.2</v>
      </c>
      <c r="AK32" s="1051"/>
      <c r="AL32" s="1051"/>
      <c r="AM32" s="1051"/>
      <c r="AN32" s="1052">
        <v>0.05</v>
      </c>
    </row>
    <row r="33" spans="1:40" ht="17.100000000000001" customHeight="1">
      <c r="A33" s="2621"/>
      <c r="B33" s="2616"/>
      <c r="C33" s="1130" t="str">
        <f t="shared" si="8"/>
        <v>중부산업단지</v>
      </c>
      <c r="D33" s="1237">
        <f>ROUND(IFERROR(INDEX(사회적유입!$AA$4:$AW$165,MATCH($C33,사회적유입!$AA$4:$AA$165,0)-2,2),0)*$Z33,0)</f>
        <v>0</v>
      </c>
      <c r="E33" s="1237">
        <f>ROUND(IFERROR(INDEX(사회적유입!$AA$4:$AW$165,MATCH($C33,사회적유입!$AA$4:$AA$165,0)-2,3),0)*$Z33,0)</f>
        <v>0</v>
      </c>
      <c r="F33" s="1237">
        <f>ROUND(IFERROR(INDEX(사회적유입!$AA$4:$AW$165,MATCH($C33,사회적유입!$AA$4:$AA$165,0)-2,4),0)*$Z33,0)</f>
        <v>0</v>
      </c>
      <c r="G33" s="1237">
        <f>ROUND(IFERROR(INDEX(사회적유입!$AA$4:$AW$165,MATCH($C33,사회적유입!$AA$4:$AA$165,0)-2,5),0)*$Z33,0)</f>
        <v>0</v>
      </c>
      <c r="H33" s="1237">
        <f>ROUND(IFERROR(INDEX(사회적유입!$AA$4:$AW$165,MATCH($C33,사회적유입!$AA$4:$AA$165,0)-2,6),0)*$Z33,0)</f>
        <v>5</v>
      </c>
      <c r="I33" s="1237">
        <f>ROUND(IFERROR(INDEX(사회적유입!$AA$4:$AW$165,MATCH($C33,사회적유입!$AA$4:$AA$165,0)-2,7),0)*$Z33,0)</f>
        <v>15</v>
      </c>
      <c r="J33" s="1237">
        <f>ROUND(IFERROR(INDEX(사회적유입!$AA$4:$AW$165,MATCH($C33,사회적유입!$AA$4:$AA$165,0)-2,8),0)*$Z33,0)</f>
        <v>26</v>
      </c>
      <c r="K33" s="1237">
        <f>ROUND(IFERROR(INDEX(사회적유입!$AA$4:$AW$165,MATCH($C33,사회적유입!$AA$4:$AA$165,0)-2,9),0)*$Z33,0)</f>
        <v>26</v>
      </c>
      <c r="L33" s="1237">
        <f>ROUND(IFERROR(INDEX(사회적유입!$AA$4:$AW$165,MATCH($C33,사회적유입!$AA$4:$AA$165,0)-2,10),0)*$Z33,0)</f>
        <v>26</v>
      </c>
      <c r="M33" s="1237">
        <f>ROUND(IFERROR(INDEX(사회적유입!$AA$4:$AW$165,MATCH($C33,사회적유입!$AA$4:$AA$165,0)-2,11),0)*$Z33,0)</f>
        <v>26</v>
      </c>
      <c r="N33" s="1237">
        <f>ROUND(IFERROR(INDEX(사회적유입!$AA$4:$AW$165,MATCH($C33,사회적유입!$AA$4:$AA$165,0)-2,12),0)*$Z33,0)</f>
        <v>26</v>
      </c>
      <c r="O33" s="1237">
        <f>ROUND(IFERROR(INDEX(사회적유입!$AA$4:$AW$165,MATCH($C33,사회적유입!$AA$4:$AA$165,0)-2,13),0)*$Z33,0)</f>
        <v>26</v>
      </c>
      <c r="P33" s="1237">
        <f>ROUND(IFERROR(INDEX(사회적유입!$AA$4:$AW$165,MATCH($C33,사회적유입!$AA$4:$AA$165,0)-2,14),0)*$Z33,0)</f>
        <v>26</v>
      </c>
      <c r="Q33" s="1237">
        <f>ROUND(IFERROR(INDEX(사회적유입!$AA$4:$AW$165,MATCH($C33,사회적유입!$AA$4:$AA$165,0)-2,15),0)*$Z33,0)</f>
        <v>26</v>
      </c>
      <c r="R33" s="1237">
        <f>ROUND(IFERROR(INDEX(사회적유입!$AA$4:$AW$165,MATCH($C33,사회적유입!$AA$4:$AA$165,0)-2,16),0)*$Z33,0)</f>
        <v>26</v>
      </c>
      <c r="S33" s="1237">
        <f>ROUND(IFERROR(INDEX(사회적유입!$AA$4:$AW$165,MATCH($C33,사회적유입!$AA$4:$AA$165,0)-2,17),0)*$Z33,0)</f>
        <v>26</v>
      </c>
      <c r="T33" s="1237">
        <f>ROUND(IFERROR(INDEX(사회적유입!$AA$4:$AW$165,MATCH($C33,사회적유입!$AA$4:$AA$165,0)-2,18),0)*$Z33,0)</f>
        <v>26</v>
      </c>
      <c r="U33" s="1237">
        <f>ROUND(IFERROR(INDEX(사회적유입!$AA$4:$AW$165,MATCH($C33,사회적유입!$AA$4:$AA$165,0)-2,19),0)*$Z33,0)</f>
        <v>26</v>
      </c>
      <c r="V33" s="1237">
        <f>ROUND(IFERROR(INDEX(사회적유입!$AA$4:$AW$165,MATCH($C33,사회적유입!$AA$4:$AA$165,0)-2,20),0)*$Z33,0)</f>
        <v>26</v>
      </c>
      <c r="W33" s="1237">
        <f>ROUND(IFERROR(INDEX(사회적유입!$AA$4:$AW$165,MATCH($C33,사회적유입!$AA$4:$AA$165,0)-2,21),0)*$Z33,0)</f>
        <v>26</v>
      </c>
      <c r="X33" s="1237">
        <f>ROUND(IFERROR(INDEX(사회적유입!$AA$4:$AW$165,MATCH($C33,사회적유입!$AA$4:$AA$165,0)-2,22),0)*$Z33,0)</f>
        <v>26</v>
      </c>
      <c r="Y33" s="1237">
        <f>ROUND(IFERROR(INDEX(사회적유입!$AA$4:$AW$165,MATCH($C33,사회적유입!$AA$4:$AA$165,0)-2,23),0)*$Z33,0)</f>
        <v>26</v>
      </c>
      <c r="Z33" s="1098">
        <f t="shared" si="7"/>
        <v>0.2</v>
      </c>
      <c r="AB33" s="2564" t="s">
        <v>924</v>
      </c>
      <c r="AC33" s="2565"/>
      <c r="AD33" s="2565"/>
      <c r="AE33" s="1051"/>
      <c r="AF33" s="1051">
        <v>0.5</v>
      </c>
      <c r="AG33" s="1051"/>
      <c r="AH33" s="1051"/>
      <c r="AI33" s="1051">
        <v>0.1</v>
      </c>
      <c r="AJ33" s="1051">
        <v>0.3</v>
      </c>
      <c r="AK33" s="1051"/>
      <c r="AL33" s="1051"/>
      <c r="AM33" s="1051"/>
      <c r="AN33" s="1052">
        <v>0.1</v>
      </c>
    </row>
    <row r="34" spans="1:40" ht="17.100000000000001" customHeight="1">
      <c r="A34" s="2621"/>
      <c r="B34" s="2616"/>
      <c r="C34" s="1130" t="str">
        <f t="shared" si="8"/>
        <v>육령일반산업단지</v>
      </c>
      <c r="D34" s="1237">
        <f>ROUND(IFERROR(INDEX(사회적유입!$AA$4:$AW$165,MATCH($C34,사회적유입!$AA$4:$AA$165,0)-2,2),0)*$Z34,0)</f>
        <v>0</v>
      </c>
      <c r="E34" s="1237">
        <f>ROUND(IFERROR(INDEX(사회적유입!$AA$4:$AW$165,MATCH($C34,사회적유입!$AA$4:$AA$165,0)-2,3),0)*$Z34,0)</f>
        <v>0</v>
      </c>
      <c r="F34" s="1237">
        <f>ROUND(IFERROR(INDEX(사회적유입!$AA$4:$AW$165,MATCH($C34,사회적유입!$AA$4:$AA$165,0)-2,4),0)*$Z34,0)</f>
        <v>0</v>
      </c>
      <c r="G34" s="1237">
        <f>ROUND(IFERROR(INDEX(사회적유입!$AA$4:$AW$165,MATCH($C34,사회적유입!$AA$4:$AA$165,0)-2,5),0)*$Z34,0)</f>
        <v>0</v>
      </c>
      <c r="H34" s="1237">
        <f>ROUND(IFERROR(INDEX(사회적유입!$AA$4:$AW$165,MATCH($C34,사회적유입!$AA$4:$AA$165,0)-2,6),0)*$Z34,0)</f>
        <v>0</v>
      </c>
      <c r="I34" s="1237">
        <f>ROUND(IFERROR(INDEX(사회적유입!$AA$4:$AW$165,MATCH($C34,사회적유입!$AA$4:$AA$165,0)-2,7),0)*$Z34,0)</f>
        <v>0</v>
      </c>
      <c r="J34" s="1237">
        <f>ROUND(IFERROR(INDEX(사회적유입!$AA$4:$AW$165,MATCH($C34,사회적유입!$AA$4:$AA$165,0)-2,8),0)*$Z34,0)</f>
        <v>4</v>
      </c>
      <c r="K34" s="1237">
        <f>ROUND(IFERROR(INDEX(사회적유입!$AA$4:$AW$165,MATCH($C34,사회적유입!$AA$4:$AA$165,0)-2,9),0)*$Z34,0)</f>
        <v>12</v>
      </c>
      <c r="L34" s="1237">
        <f>ROUND(IFERROR(INDEX(사회적유입!$AA$4:$AW$165,MATCH($C34,사회적유입!$AA$4:$AA$165,0)-2,10),0)*$Z34,0)</f>
        <v>19</v>
      </c>
      <c r="M34" s="1237">
        <f>ROUND(IFERROR(INDEX(사회적유입!$AA$4:$AW$165,MATCH($C34,사회적유입!$AA$4:$AA$165,0)-2,11),0)*$Z34,0)</f>
        <v>19</v>
      </c>
      <c r="N34" s="1237">
        <f>ROUND(IFERROR(INDEX(사회적유입!$AA$4:$AW$165,MATCH($C34,사회적유입!$AA$4:$AA$165,0)-2,12),0)*$Z34,0)</f>
        <v>19</v>
      </c>
      <c r="O34" s="1237">
        <f>ROUND(IFERROR(INDEX(사회적유입!$AA$4:$AW$165,MATCH($C34,사회적유입!$AA$4:$AA$165,0)-2,13),0)*$Z34,0)</f>
        <v>19</v>
      </c>
      <c r="P34" s="1237">
        <f>ROUND(IFERROR(INDEX(사회적유입!$AA$4:$AW$165,MATCH($C34,사회적유입!$AA$4:$AA$165,0)-2,14),0)*$Z34,0)</f>
        <v>19</v>
      </c>
      <c r="Q34" s="1237">
        <f>ROUND(IFERROR(INDEX(사회적유입!$AA$4:$AW$165,MATCH($C34,사회적유입!$AA$4:$AA$165,0)-2,15),0)*$Z34,0)</f>
        <v>19</v>
      </c>
      <c r="R34" s="1237">
        <f>ROUND(IFERROR(INDEX(사회적유입!$AA$4:$AW$165,MATCH($C34,사회적유입!$AA$4:$AA$165,0)-2,16),0)*$Z34,0)</f>
        <v>19</v>
      </c>
      <c r="S34" s="1237">
        <f>ROUND(IFERROR(INDEX(사회적유입!$AA$4:$AW$165,MATCH($C34,사회적유입!$AA$4:$AA$165,0)-2,17),0)*$Z34,0)</f>
        <v>19</v>
      </c>
      <c r="T34" s="1237">
        <f>ROUND(IFERROR(INDEX(사회적유입!$AA$4:$AW$165,MATCH($C34,사회적유입!$AA$4:$AA$165,0)-2,18),0)*$Z34,0)</f>
        <v>19</v>
      </c>
      <c r="U34" s="1237">
        <f>ROUND(IFERROR(INDEX(사회적유입!$AA$4:$AW$165,MATCH($C34,사회적유입!$AA$4:$AA$165,0)-2,19),0)*$Z34,0)</f>
        <v>19</v>
      </c>
      <c r="V34" s="1237">
        <f>ROUND(IFERROR(INDEX(사회적유입!$AA$4:$AW$165,MATCH($C34,사회적유입!$AA$4:$AA$165,0)-2,20),0)*$Z34,0)</f>
        <v>19</v>
      </c>
      <c r="W34" s="1237">
        <f>ROUND(IFERROR(INDEX(사회적유입!$AA$4:$AW$165,MATCH($C34,사회적유입!$AA$4:$AA$165,0)-2,21),0)*$Z34,0)</f>
        <v>19</v>
      </c>
      <c r="X34" s="1237">
        <f>ROUND(IFERROR(INDEX(사회적유입!$AA$4:$AW$165,MATCH($C34,사회적유입!$AA$4:$AA$165,0)-2,22),0)*$Z34,0)</f>
        <v>19</v>
      </c>
      <c r="Y34" s="1237">
        <f>ROUND(IFERROR(INDEX(사회적유입!$AA$4:$AW$165,MATCH($C34,사회적유입!$AA$4:$AA$165,0)-2,23),0)*$Z34,0)</f>
        <v>19</v>
      </c>
      <c r="Z34" s="1098">
        <f t="shared" si="7"/>
        <v>0.8</v>
      </c>
      <c r="AB34" s="2564" t="s">
        <v>926</v>
      </c>
      <c r="AC34" s="2565"/>
      <c r="AD34" s="2565"/>
      <c r="AE34" s="1051"/>
      <c r="AF34" s="1051">
        <v>0.4</v>
      </c>
      <c r="AG34" s="1051"/>
      <c r="AH34" s="1051"/>
      <c r="AI34" s="1051"/>
      <c r="AJ34" s="1051"/>
      <c r="AK34" s="1051"/>
      <c r="AL34" s="1051">
        <v>0.6</v>
      </c>
      <c r="AM34" s="1051"/>
      <c r="AN34" s="1052"/>
    </row>
    <row r="35" spans="1:40" ht="17.100000000000001" customHeight="1">
      <c r="A35" s="2621"/>
      <c r="B35" s="2616"/>
      <c r="C35" s="1130" t="str">
        <f>AB47</f>
        <v>봉공산업단지</v>
      </c>
      <c r="D35" s="1237">
        <f>ROUND(IFERROR(INDEX(사회적유입!$AA$4:$AW$165,MATCH($C35,사회적유입!$AA$4:$AA$165,0)-2,2),0)*$Z35,0)</f>
        <v>0</v>
      </c>
      <c r="E35" s="1237">
        <f>ROUND(IFERROR(INDEX(사회적유입!$AA$4:$AW$165,MATCH($C35,사회적유입!$AA$4:$AA$165,0)-2,3),0)*$Z35,0)</f>
        <v>0</v>
      </c>
      <c r="F35" s="1237">
        <f>ROUND(IFERROR(INDEX(사회적유입!$AA$4:$AW$165,MATCH($C35,사회적유입!$AA$4:$AA$165,0)-2,4),0)*$Z35,0)</f>
        <v>0</v>
      </c>
      <c r="G35" s="1237">
        <f>ROUND(IFERROR(INDEX(사회적유입!$AA$4:$AW$165,MATCH($C35,사회적유입!$AA$4:$AA$165,0)-2,5),0)*$Z35,0)</f>
        <v>0</v>
      </c>
      <c r="H35" s="1237">
        <f>ROUND(IFERROR(INDEX(사회적유입!$AA$4:$AW$165,MATCH($C35,사회적유입!$AA$4:$AA$165,0)-2,6),0)*$Z35,0)</f>
        <v>0</v>
      </c>
      <c r="I35" s="1237">
        <f>ROUND(IFERROR(INDEX(사회적유입!$AA$4:$AW$165,MATCH($C35,사회적유입!$AA$4:$AA$165,0)-2,7),0)*$Z35,0)</f>
        <v>0</v>
      </c>
      <c r="J35" s="1237">
        <f>ROUND(IFERROR(INDEX(사회적유입!$AA$4:$AW$165,MATCH($C35,사회적유입!$AA$4:$AA$165,0)-2,8),0)*$Z35,0)</f>
        <v>0</v>
      </c>
      <c r="K35" s="1237">
        <f>ROUND(IFERROR(INDEX(사회적유입!$AA$4:$AW$165,MATCH($C35,사회적유입!$AA$4:$AA$165,0)-2,9),0)*$Z35,0)</f>
        <v>0</v>
      </c>
      <c r="L35" s="1237">
        <f>ROUND(IFERROR(INDEX(사회적유입!$AA$4:$AW$165,MATCH($C35,사회적유입!$AA$4:$AA$165,0)-2,10),0)*$Z35,0)</f>
        <v>0</v>
      </c>
      <c r="M35" s="1237">
        <f>ROUND(IFERROR(INDEX(사회적유입!$AA$4:$AW$165,MATCH($C35,사회적유입!$AA$4:$AA$165,0)-2,11),0)*$Z35,0)</f>
        <v>0</v>
      </c>
      <c r="N35" s="1237">
        <f>ROUND(IFERROR(INDEX(사회적유입!$AA$4:$AW$165,MATCH($C35,사회적유입!$AA$4:$AA$165,0)-2,12),0)*$Z35,0)</f>
        <v>0</v>
      </c>
      <c r="O35" s="1237">
        <f>ROUND(IFERROR(INDEX(사회적유입!$AA$4:$AW$165,MATCH($C35,사회적유입!$AA$4:$AA$165,0)-2,13),0)*$Z35,0)</f>
        <v>0</v>
      </c>
      <c r="P35" s="1237">
        <f>ROUND(IFERROR(INDEX(사회적유입!$AA$4:$AW$165,MATCH($C35,사회적유입!$AA$4:$AA$165,0)-2,14),0)*$Z35,0)</f>
        <v>0</v>
      </c>
      <c r="Q35" s="1237">
        <f>ROUND(IFERROR(INDEX(사회적유입!$AA$4:$AW$165,MATCH($C35,사회적유입!$AA$4:$AA$165,0)-2,15),0)*$Z35,0)</f>
        <v>0</v>
      </c>
      <c r="R35" s="1237">
        <f>ROUND(IFERROR(INDEX(사회적유입!$AA$4:$AW$165,MATCH($C35,사회적유입!$AA$4:$AA$165,0)-2,16),0)*$Z35,0)</f>
        <v>0</v>
      </c>
      <c r="S35" s="1237">
        <f>ROUND(IFERROR(INDEX(사회적유입!$AA$4:$AW$165,MATCH($C35,사회적유입!$AA$4:$AA$165,0)-2,17),0)*$Z35,0)</f>
        <v>0</v>
      </c>
      <c r="T35" s="1237">
        <f>ROUND(IFERROR(INDEX(사회적유입!$AA$4:$AW$165,MATCH($C35,사회적유입!$AA$4:$AA$165,0)-2,18),0)*$Z35,0)</f>
        <v>0</v>
      </c>
      <c r="U35" s="1237">
        <f>ROUND(IFERROR(INDEX(사회적유입!$AA$4:$AW$165,MATCH($C35,사회적유입!$AA$4:$AA$165,0)-2,19),0)*$Z35,0)</f>
        <v>0</v>
      </c>
      <c r="V35" s="1237">
        <f>ROUND(IFERROR(INDEX(사회적유입!$AA$4:$AW$165,MATCH($C35,사회적유입!$AA$4:$AA$165,0)-2,20),0)*$Z35,0)</f>
        <v>0</v>
      </c>
      <c r="W35" s="1237">
        <f>ROUND(IFERROR(INDEX(사회적유입!$AA$4:$AW$165,MATCH($C35,사회적유입!$AA$4:$AA$165,0)-2,21),0)*$Z35,0)</f>
        <v>0</v>
      </c>
      <c r="X35" s="1237">
        <f>ROUND(IFERROR(INDEX(사회적유입!$AA$4:$AW$165,MATCH($C35,사회적유입!$AA$4:$AA$165,0)-2,22),0)*$Z35,0)</f>
        <v>0</v>
      </c>
      <c r="Y35" s="1237">
        <f>ROUND(IFERROR(INDEX(사회적유입!$AA$4:$AW$165,MATCH($C35,사회적유입!$AA$4:$AA$165,0)-2,23),0)*$Z35,0)</f>
        <v>1191</v>
      </c>
      <c r="Z35" s="1098">
        <f t="shared" si="7"/>
        <v>1</v>
      </c>
      <c r="AB35" s="2564" t="s">
        <v>928</v>
      </c>
      <c r="AC35" s="2565"/>
      <c r="AD35" s="2565"/>
      <c r="AE35" s="1051"/>
      <c r="AF35" s="1051"/>
      <c r="AG35" s="1051"/>
      <c r="AH35" s="1051"/>
      <c r="AI35" s="1051"/>
      <c r="AJ35" s="1051"/>
      <c r="AK35" s="1051"/>
      <c r="AL35" s="1051"/>
      <c r="AM35" s="1051"/>
      <c r="AN35" s="1052"/>
    </row>
    <row r="36" spans="1:40" ht="17.100000000000001" customHeight="1">
      <c r="A36" s="2621"/>
      <c r="B36" s="2616"/>
      <c r="C36" s="1130" t="str">
        <f>AB48</f>
        <v>신평산업단지</v>
      </c>
      <c r="D36" s="1237">
        <f>ROUND(IFERROR(INDEX(사회적유입!$AA$4:$AW$165,MATCH($C36,사회적유입!$AA$4:$AA$165,0)-2,2),0)*$Z36,0)</f>
        <v>0</v>
      </c>
      <c r="E36" s="1237">
        <f>ROUND(IFERROR(INDEX(사회적유입!$AA$4:$AW$165,MATCH($C36,사회적유입!$AA$4:$AA$165,0)-2,3),0)*$Z36,0)</f>
        <v>0</v>
      </c>
      <c r="F36" s="1237">
        <f>ROUND(IFERROR(INDEX(사회적유입!$AA$4:$AW$165,MATCH($C36,사회적유입!$AA$4:$AA$165,0)-2,4),0)*$Z36,0)</f>
        <v>0</v>
      </c>
      <c r="G36" s="1237">
        <f>ROUND(IFERROR(INDEX(사회적유입!$AA$4:$AW$165,MATCH($C36,사회적유입!$AA$4:$AA$165,0)-2,5),0)*$Z36,0)</f>
        <v>0</v>
      </c>
      <c r="H36" s="1237">
        <f>ROUND(IFERROR(INDEX(사회적유입!$AA$4:$AW$165,MATCH($C36,사회적유입!$AA$4:$AA$165,0)-2,6),0)*$Z36,0)</f>
        <v>0</v>
      </c>
      <c r="I36" s="1237">
        <f>ROUND(IFERROR(INDEX(사회적유입!$AA$4:$AW$165,MATCH($C36,사회적유입!$AA$4:$AA$165,0)-2,7),0)*$Z36,0)</f>
        <v>0</v>
      </c>
      <c r="J36" s="1237">
        <f>ROUND(IFERROR(INDEX(사회적유입!$AA$4:$AW$165,MATCH($C36,사회적유입!$AA$4:$AA$165,0)-2,8),0)*$Z36,0)</f>
        <v>0</v>
      </c>
      <c r="K36" s="1237">
        <f>ROUND(IFERROR(INDEX(사회적유입!$AA$4:$AW$165,MATCH($C36,사회적유입!$AA$4:$AA$165,0)-2,9),0)*$Z36,0)</f>
        <v>0</v>
      </c>
      <c r="L36" s="1237">
        <f>ROUND(IFERROR(INDEX(사회적유입!$AA$4:$AW$165,MATCH($C36,사회적유입!$AA$4:$AA$165,0)-2,10),0)*$Z36,0)</f>
        <v>0</v>
      </c>
      <c r="M36" s="1237">
        <f>ROUND(IFERROR(INDEX(사회적유입!$AA$4:$AW$165,MATCH($C36,사회적유입!$AA$4:$AA$165,0)-2,11),0)*$Z36,0)</f>
        <v>0</v>
      </c>
      <c r="N36" s="1237">
        <f>ROUND(IFERROR(INDEX(사회적유입!$AA$4:$AW$165,MATCH($C36,사회적유입!$AA$4:$AA$165,0)-2,12),0)*$Z36,0)</f>
        <v>0</v>
      </c>
      <c r="O36" s="1237">
        <f>ROUND(IFERROR(INDEX(사회적유입!$AA$4:$AW$165,MATCH($C36,사회적유입!$AA$4:$AA$165,0)-2,13),0)*$Z36,0)</f>
        <v>0</v>
      </c>
      <c r="P36" s="1237">
        <f>ROUND(IFERROR(INDEX(사회적유입!$AA$4:$AW$165,MATCH($C36,사회적유입!$AA$4:$AA$165,0)-2,14),0)*$Z36,0)</f>
        <v>0</v>
      </c>
      <c r="Q36" s="1237">
        <f>ROUND(IFERROR(INDEX(사회적유입!$AA$4:$AW$165,MATCH($C36,사회적유입!$AA$4:$AA$165,0)-2,15),0)*$Z36,0)</f>
        <v>0</v>
      </c>
      <c r="R36" s="1237">
        <f>ROUND(IFERROR(INDEX(사회적유입!$AA$4:$AW$165,MATCH($C36,사회적유입!$AA$4:$AA$165,0)-2,16),0)*$Z36,0)</f>
        <v>0</v>
      </c>
      <c r="S36" s="1237">
        <f>ROUND(IFERROR(INDEX(사회적유입!$AA$4:$AW$165,MATCH($C36,사회적유입!$AA$4:$AA$165,0)-2,17),0)*$Z36,0)</f>
        <v>0</v>
      </c>
      <c r="T36" s="1237">
        <f>ROUND(IFERROR(INDEX(사회적유입!$AA$4:$AW$165,MATCH($C36,사회적유입!$AA$4:$AA$165,0)-2,18),0)*$Z36,0)</f>
        <v>0</v>
      </c>
      <c r="U36" s="1237">
        <f>ROUND(IFERROR(INDEX(사회적유입!$AA$4:$AW$165,MATCH($C36,사회적유입!$AA$4:$AA$165,0)-2,19),0)*$Z36,0)</f>
        <v>0</v>
      </c>
      <c r="V36" s="1237">
        <f>ROUND(IFERROR(INDEX(사회적유입!$AA$4:$AW$165,MATCH($C36,사회적유입!$AA$4:$AA$165,0)-2,20),0)*$Z36,0)</f>
        <v>0</v>
      </c>
      <c r="W36" s="1237">
        <f>ROUND(IFERROR(INDEX(사회적유입!$AA$4:$AW$165,MATCH($C36,사회적유입!$AA$4:$AA$165,0)-2,21),0)*$Z36,0)</f>
        <v>0</v>
      </c>
      <c r="X36" s="1237">
        <f>ROUND(IFERROR(INDEX(사회적유입!$AA$4:$AW$165,MATCH($C36,사회적유입!$AA$4:$AA$165,0)-2,22),0)*$Z36,0)</f>
        <v>0</v>
      </c>
      <c r="Y36" s="1237">
        <f>ROUND(IFERROR(INDEX(사회적유입!$AA$4:$AW$165,MATCH($C36,사회적유입!$AA$4:$AA$165,0)-2,23),0)*$Z36,0)</f>
        <v>2143</v>
      </c>
      <c r="Z36" s="1098">
        <f t="shared" si="7"/>
        <v>1</v>
      </c>
      <c r="AB36" s="2564" t="s">
        <v>930</v>
      </c>
      <c r="AC36" s="2565"/>
      <c r="AD36" s="2565"/>
      <c r="AE36" s="1051"/>
      <c r="AF36" s="1051">
        <v>0.5</v>
      </c>
      <c r="AG36" s="1051"/>
      <c r="AH36" s="1051"/>
      <c r="AI36" s="1051">
        <v>0.1</v>
      </c>
      <c r="AJ36" s="1051">
        <v>0.3</v>
      </c>
      <c r="AK36" s="1051"/>
      <c r="AL36" s="1051"/>
      <c r="AM36" s="1051"/>
      <c r="AN36" s="1052">
        <v>0.1</v>
      </c>
    </row>
    <row r="37" spans="1:40" ht="17.100000000000001" customHeight="1">
      <c r="A37" s="2621"/>
      <c r="B37" s="2616"/>
      <c r="C37" s="857" t="s">
        <v>72</v>
      </c>
      <c r="D37" s="858">
        <f t="shared" ref="D37:X37" si="9">SUM(D26:D36)</f>
        <v>0</v>
      </c>
      <c r="E37" s="858">
        <f t="shared" si="9"/>
        <v>0</v>
      </c>
      <c r="F37" s="858">
        <f t="shared" si="9"/>
        <v>0</v>
      </c>
      <c r="G37" s="858">
        <f t="shared" si="9"/>
        <v>0</v>
      </c>
      <c r="H37" s="858">
        <f t="shared" si="9"/>
        <v>141</v>
      </c>
      <c r="I37" s="858">
        <f t="shared" si="9"/>
        <v>716</v>
      </c>
      <c r="J37" s="858">
        <f t="shared" si="9"/>
        <v>1584</v>
      </c>
      <c r="K37" s="858">
        <f t="shared" si="9"/>
        <v>2172</v>
      </c>
      <c r="L37" s="858">
        <f t="shared" si="9"/>
        <v>2179</v>
      </c>
      <c r="M37" s="858">
        <f t="shared" si="9"/>
        <v>2179</v>
      </c>
      <c r="N37" s="858">
        <f t="shared" si="9"/>
        <v>2179</v>
      </c>
      <c r="O37" s="858">
        <f t="shared" si="9"/>
        <v>2179</v>
      </c>
      <c r="P37" s="858">
        <f t="shared" si="9"/>
        <v>2179</v>
      </c>
      <c r="Q37" s="858">
        <f t="shared" si="9"/>
        <v>2179</v>
      </c>
      <c r="R37" s="858">
        <f t="shared" si="9"/>
        <v>2179</v>
      </c>
      <c r="S37" s="858">
        <f t="shared" si="9"/>
        <v>2179</v>
      </c>
      <c r="T37" s="858">
        <f t="shared" si="9"/>
        <v>2179</v>
      </c>
      <c r="U37" s="858">
        <f t="shared" si="9"/>
        <v>2179</v>
      </c>
      <c r="V37" s="858">
        <f t="shared" si="9"/>
        <v>2179</v>
      </c>
      <c r="W37" s="858">
        <f t="shared" si="9"/>
        <v>2179</v>
      </c>
      <c r="X37" s="858">
        <f t="shared" si="9"/>
        <v>2179</v>
      </c>
      <c r="Y37" s="858">
        <f>SUM(Y26:Y36)</f>
        <v>5513</v>
      </c>
      <c r="Z37" s="1052"/>
      <c r="AB37" s="2564" t="s">
        <v>931</v>
      </c>
      <c r="AC37" s="2565"/>
      <c r="AD37" s="2565"/>
      <c r="AE37" s="1051"/>
      <c r="AF37" s="1051">
        <v>0.6</v>
      </c>
      <c r="AG37" s="1051"/>
      <c r="AH37" s="1051"/>
      <c r="AI37" s="1051">
        <v>0.05</v>
      </c>
      <c r="AJ37" s="1051">
        <v>0.3</v>
      </c>
      <c r="AK37" s="1051"/>
      <c r="AL37" s="1051"/>
      <c r="AM37" s="1051"/>
      <c r="AN37" s="1052">
        <v>0.05</v>
      </c>
    </row>
    <row r="38" spans="1:40" ht="17.100000000000001" customHeight="1">
      <c r="A38" s="2622"/>
      <c r="B38" s="2619" t="s">
        <v>75</v>
      </c>
      <c r="C38" s="2619"/>
      <c r="D38" s="864">
        <f t="shared" ref="D38:Y38" si="10">SUM(D25,D37,D21)</f>
        <v>0</v>
      </c>
      <c r="E38" s="864">
        <f t="shared" si="10"/>
        <v>0</v>
      </c>
      <c r="F38" s="864">
        <f t="shared" si="10"/>
        <v>0</v>
      </c>
      <c r="G38" s="864">
        <f t="shared" si="10"/>
        <v>593</v>
      </c>
      <c r="H38" s="864">
        <f t="shared" si="10"/>
        <v>734</v>
      </c>
      <c r="I38" s="864">
        <f t="shared" si="10"/>
        <v>1309</v>
      </c>
      <c r="J38" s="864">
        <f t="shared" si="10"/>
        <v>4483</v>
      </c>
      <c r="K38" s="864">
        <f t="shared" si="10"/>
        <v>5071</v>
      </c>
      <c r="L38" s="864">
        <f t="shared" si="10"/>
        <v>5078</v>
      </c>
      <c r="M38" s="864">
        <f t="shared" si="10"/>
        <v>5078</v>
      </c>
      <c r="N38" s="864">
        <f t="shared" si="10"/>
        <v>5078</v>
      </c>
      <c r="O38" s="864">
        <f t="shared" si="10"/>
        <v>5524</v>
      </c>
      <c r="P38" s="864">
        <f t="shared" si="10"/>
        <v>5524</v>
      </c>
      <c r="Q38" s="864">
        <f t="shared" si="10"/>
        <v>5524</v>
      </c>
      <c r="R38" s="864">
        <f t="shared" si="10"/>
        <v>5524</v>
      </c>
      <c r="S38" s="864">
        <f t="shared" si="10"/>
        <v>5524</v>
      </c>
      <c r="T38" s="864">
        <f t="shared" si="10"/>
        <v>5524</v>
      </c>
      <c r="U38" s="864">
        <f t="shared" si="10"/>
        <v>5524</v>
      </c>
      <c r="V38" s="864">
        <f t="shared" si="10"/>
        <v>5524</v>
      </c>
      <c r="W38" s="864">
        <f t="shared" si="10"/>
        <v>5524</v>
      </c>
      <c r="X38" s="864">
        <f t="shared" si="10"/>
        <v>5524</v>
      </c>
      <c r="Y38" s="864">
        <f t="shared" si="10"/>
        <v>10412</v>
      </c>
      <c r="Z38" s="1099"/>
      <c r="AB38" s="2564" t="s">
        <v>1264</v>
      </c>
      <c r="AC38" s="2565"/>
      <c r="AD38" s="2565"/>
      <c r="AE38" s="1051"/>
      <c r="AF38" s="1051">
        <v>0.2</v>
      </c>
      <c r="AG38" s="1051"/>
      <c r="AH38" s="1051"/>
      <c r="AI38" s="1051"/>
      <c r="AJ38" s="1051">
        <v>0.8</v>
      </c>
      <c r="AK38" s="1051"/>
      <c r="AL38" s="1051"/>
      <c r="AM38" s="1051"/>
      <c r="AN38" s="1052">
        <v>0.15</v>
      </c>
    </row>
    <row r="39" spans="1:40" ht="17.100000000000001" customHeight="1">
      <c r="A39" s="2620" t="s">
        <v>1451</v>
      </c>
      <c r="B39" s="2626" t="s">
        <v>1454</v>
      </c>
      <c r="C39" s="868" t="str">
        <f>AB53</f>
        <v>소이산업단지 확장</v>
      </c>
      <c r="D39" s="1237">
        <f>ROUND(IFERROR(INDEX(사회적유입!$AA$4:$AW$165,MATCH($C39,사회적유입!$AA$4:$AA$165,0)-2,2),0)*$Z39,0)</f>
        <v>0</v>
      </c>
      <c r="E39" s="1237">
        <f>ROUND(IFERROR(INDEX(사회적유입!$AA$4:$AW$165,MATCH($C39,사회적유입!$AA$4:$AA$165,0)-2,3),0)*$Z39,0)</f>
        <v>0</v>
      </c>
      <c r="F39" s="1237">
        <f>ROUND(IFERROR(INDEX(사회적유입!$AA$4:$AW$165,MATCH($C39,사회적유입!$AA$4:$AA$165,0)-2,4),0)*$Z39,0)</f>
        <v>0</v>
      </c>
      <c r="G39" s="1237">
        <f>ROUND(IFERROR(INDEX(사회적유입!$AA$4:$AW$165,MATCH($C39,사회적유입!$AA$4:$AA$165,0)-2,5),0)*$Z39,0)</f>
        <v>0</v>
      </c>
      <c r="H39" s="1237">
        <f>ROUND(IFERROR(INDEX(사회적유입!$AA$4:$AW$165,MATCH($C39,사회적유입!$AA$4:$AA$165,0)-2,6),0)*$Z39,0)</f>
        <v>0</v>
      </c>
      <c r="I39" s="1237">
        <f>ROUND(IFERROR(INDEX(사회적유입!$AA$4:$AW$165,MATCH($C39,사회적유입!$AA$4:$AA$165,0)-2,7),0)*$Z39,0)</f>
        <v>0</v>
      </c>
      <c r="J39" s="1237">
        <f>ROUND(IFERROR(INDEX(사회적유입!$AA$4:$AW$165,MATCH($C39,사회적유입!$AA$4:$AA$165,0)-2,8),0)*$Z39,0)</f>
        <v>0</v>
      </c>
      <c r="K39" s="1237">
        <f>ROUND(IFERROR(INDEX(사회적유입!$AA$4:$AW$165,MATCH($C39,사회적유입!$AA$4:$AA$165,0)-2,9),0)*$Z39,0)</f>
        <v>0</v>
      </c>
      <c r="L39" s="1237">
        <f>ROUND(IFERROR(INDEX(사회적유입!$AA$4:$AW$165,MATCH($C39,사회적유입!$AA$4:$AA$165,0)-2,10),0)*$Z39,0)</f>
        <v>0</v>
      </c>
      <c r="M39" s="1237">
        <f>ROUND(IFERROR(INDEX(사회적유입!$AA$4:$AW$165,MATCH($C39,사회적유입!$AA$4:$AA$165,0)-2,11),0)*$Z39,0)</f>
        <v>0</v>
      </c>
      <c r="N39" s="1237">
        <f>ROUND(IFERROR(INDEX(사회적유입!$AA$4:$AW$165,MATCH($C39,사회적유입!$AA$4:$AA$165,0)-2,12),0)*$Z39,0)</f>
        <v>0</v>
      </c>
      <c r="O39" s="1237">
        <f>ROUND(IFERROR(INDEX(사회적유입!$AA$4:$AW$165,MATCH($C39,사회적유입!$AA$4:$AA$165,0)-2,13),0)*$Z39,0)</f>
        <v>0</v>
      </c>
      <c r="P39" s="1237">
        <f>ROUND(IFERROR(INDEX(사회적유입!$AA$4:$AW$165,MATCH($C39,사회적유입!$AA$4:$AA$165,0)-2,14),0)*$Z39,0)</f>
        <v>0</v>
      </c>
      <c r="Q39" s="1237">
        <f>ROUND(IFERROR(INDEX(사회적유입!$AA$4:$AW$165,MATCH($C39,사회적유입!$AA$4:$AA$165,0)-2,15),0)*$Z39,0)</f>
        <v>0</v>
      </c>
      <c r="R39" s="1237">
        <f>ROUND(IFERROR(INDEX(사회적유입!$AA$4:$AW$165,MATCH($C39,사회적유입!$AA$4:$AA$165,0)-2,16),0)*$Z39,0)</f>
        <v>0</v>
      </c>
      <c r="S39" s="1237">
        <f>ROUND(IFERROR(INDEX(사회적유입!$AA$4:$AW$165,MATCH($C39,사회적유입!$AA$4:$AA$165,0)-2,17),0)*$Z39,0)</f>
        <v>0</v>
      </c>
      <c r="T39" s="1237">
        <f>ROUND(IFERROR(INDEX(사회적유입!$AA$4:$AW$165,MATCH($C39,사회적유입!$AA$4:$AA$165,0)-2,18),0)*$Z39,0)</f>
        <v>0</v>
      </c>
      <c r="U39" s="1237">
        <f>ROUND(IFERROR(INDEX(사회적유입!$AA$4:$AW$165,MATCH($C39,사회적유입!$AA$4:$AA$165,0)-2,19),0)*$Z39,0)</f>
        <v>0</v>
      </c>
      <c r="V39" s="1237">
        <f>ROUND(IFERROR(INDEX(사회적유입!$AA$4:$AW$165,MATCH($C39,사회적유입!$AA$4:$AA$165,0)-2,20),0)*$Z39,0)</f>
        <v>0</v>
      </c>
      <c r="W39" s="1237">
        <f>ROUND(IFERROR(INDEX(사회적유입!$AA$4:$AW$165,MATCH($C39,사회적유입!$AA$4:$AA$165,0)-2,21),0)*$Z39,0)</f>
        <v>0</v>
      </c>
      <c r="X39" s="1237">
        <f>ROUND(IFERROR(INDEX(사회적유입!$AA$4:$AW$165,MATCH($C39,사회적유입!$AA$4:$AA$165,0)-2,22),0)*$Z39,0)</f>
        <v>0</v>
      </c>
      <c r="Y39" s="1237">
        <f>ROUND(IFERROR(INDEX(사회적유입!$AA$4:$AW$165,MATCH($C39,사회적유입!$AA$4:$AA$165,0)-2,23),0)*$Z39,0)</f>
        <v>368</v>
      </c>
      <c r="Z39" s="1097">
        <f>VLOOKUP(C39,$AB$5:$AN$58,6,FALSE)</f>
        <v>0.5</v>
      </c>
      <c r="AB39" s="2575" t="s">
        <v>1263</v>
      </c>
      <c r="AC39" s="2576"/>
      <c r="AD39" s="2577"/>
      <c r="AE39" s="1165"/>
      <c r="AF39" s="1165">
        <v>0.8</v>
      </c>
      <c r="AG39" s="1165"/>
      <c r="AH39" s="1165"/>
      <c r="AI39" s="1165"/>
      <c r="AJ39" s="1165"/>
      <c r="AK39" s="1165"/>
      <c r="AL39" s="1165">
        <v>0.2</v>
      </c>
      <c r="AM39" s="1165"/>
      <c r="AN39" s="1099">
        <v>0.15</v>
      </c>
    </row>
    <row r="40" spans="1:40" ht="17.100000000000001" customHeight="1">
      <c r="A40" s="2621"/>
      <c r="B40" s="2615"/>
      <c r="C40" s="857" t="s">
        <v>72</v>
      </c>
      <c r="D40" s="858">
        <f t="shared" ref="D40:Y40" si="11">SUM(D39:D39)</f>
        <v>0</v>
      </c>
      <c r="E40" s="858">
        <f t="shared" si="11"/>
        <v>0</v>
      </c>
      <c r="F40" s="858">
        <f t="shared" si="11"/>
        <v>0</v>
      </c>
      <c r="G40" s="858">
        <f t="shared" si="11"/>
        <v>0</v>
      </c>
      <c r="H40" s="858">
        <f t="shared" si="11"/>
        <v>0</v>
      </c>
      <c r="I40" s="858">
        <f t="shared" si="11"/>
        <v>0</v>
      </c>
      <c r="J40" s="858">
        <f t="shared" si="11"/>
        <v>0</v>
      </c>
      <c r="K40" s="858">
        <f t="shared" si="11"/>
        <v>0</v>
      </c>
      <c r="L40" s="858">
        <f t="shared" si="11"/>
        <v>0</v>
      </c>
      <c r="M40" s="858">
        <f t="shared" si="11"/>
        <v>0</v>
      </c>
      <c r="N40" s="858">
        <f t="shared" si="11"/>
        <v>0</v>
      </c>
      <c r="O40" s="858">
        <f t="shared" si="11"/>
        <v>0</v>
      </c>
      <c r="P40" s="858">
        <f t="shared" si="11"/>
        <v>0</v>
      </c>
      <c r="Q40" s="858">
        <f t="shared" si="11"/>
        <v>0</v>
      </c>
      <c r="R40" s="858">
        <f t="shared" si="11"/>
        <v>0</v>
      </c>
      <c r="S40" s="858">
        <f t="shared" si="11"/>
        <v>0</v>
      </c>
      <c r="T40" s="858">
        <f t="shared" si="11"/>
        <v>0</v>
      </c>
      <c r="U40" s="858">
        <f t="shared" si="11"/>
        <v>0</v>
      </c>
      <c r="V40" s="858">
        <f t="shared" si="11"/>
        <v>0</v>
      </c>
      <c r="W40" s="858">
        <f t="shared" si="11"/>
        <v>0</v>
      </c>
      <c r="X40" s="858">
        <f t="shared" si="11"/>
        <v>0</v>
      </c>
      <c r="Y40" s="858">
        <f t="shared" si="11"/>
        <v>368</v>
      </c>
      <c r="Z40" s="1052"/>
      <c r="AB40" s="2566" t="s">
        <v>1388</v>
      </c>
      <c r="AC40" s="2567"/>
      <c r="AD40" s="2568"/>
      <c r="AE40" s="1166"/>
      <c r="AF40" s="1166">
        <v>1</v>
      </c>
      <c r="AG40" s="1166"/>
      <c r="AH40" s="1166"/>
      <c r="AI40" s="1166"/>
      <c r="AJ40" s="1166"/>
      <c r="AK40" s="1166"/>
      <c r="AL40" s="1166"/>
      <c r="AM40" s="1166"/>
      <c r="AN40" s="1167"/>
    </row>
    <row r="41" spans="1:40" ht="17.100000000000001" customHeight="1">
      <c r="A41" s="2625"/>
      <c r="B41" s="2627" t="s">
        <v>7</v>
      </c>
      <c r="C41" s="2627"/>
      <c r="D41" s="1100">
        <f>SUM(D40)</f>
        <v>0</v>
      </c>
      <c r="E41" s="1100">
        <f t="shared" ref="E41:Y41" si="12">SUM(E40)</f>
        <v>0</v>
      </c>
      <c r="F41" s="1100">
        <f t="shared" si="12"/>
        <v>0</v>
      </c>
      <c r="G41" s="1100">
        <f t="shared" si="12"/>
        <v>0</v>
      </c>
      <c r="H41" s="1100">
        <f t="shared" si="12"/>
        <v>0</v>
      </c>
      <c r="I41" s="1100">
        <f t="shared" si="12"/>
        <v>0</v>
      </c>
      <c r="J41" s="1100">
        <f t="shared" si="12"/>
        <v>0</v>
      </c>
      <c r="K41" s="1100">
        <f t="shared" si="12"/>
        <v>0</v>
      </c>
      <c r="L41" s="1100">
        <f t="shared" si="12"/>
        <v>0</v>
      </c>
      <c r="M41" s="1100">
        <f t="shared" si="12"/>
        <v>0</v>
      </c>
      <c r="N41" s="1100">
        <f t="shared" si="12"/>
        <v>0</v>
      </c>
      <c r="O41" s="1100">
        <f t="shared" si="12"/>
        <v>0</v>
      </c>
      <c r="P41" s="1100">
        <f t="shared" si="12"/>
        <v>0</v>
      </c>
      <c r="Q41" s="1100">
        <f t="shared" si="12"/>
        <v>0</v>
      </c>
      <c r="R41" s="1100">
        <f t="shared" si="12"/>
        <v>0</v>
      </c>
      <c r="S41" s="1100">
        <f t="shared" si="12"/>
        <v>0</v>
      </c>
      <c r="T41" s="1100">
        <f t="shared" si="12"/>
        <v>0</v>
      </c>
      <c r="U41" s="1100">
        <f t="shared" si="12"/>
        <v>0</v>
      </c>
      <c r="V41" s="1100">
        <f t="shared" si="12"/>
        <v>0</v>
      </c>
      <c r="W41" s="1100">
        <f t="shared" si="12"/>
        <v>0</v>
      </c>
      <c r="X41" s="1100">
        <f t="shared" si="12"/>
        <v>0</v>
      </c>
      <c r="Y41" s="1100">
        <f t="shared" si="12"/>
        <v>368</v>
      </c>
      <c r="Z41" s="1054"/>
      <c r="AB41" s="2572" t="s">
        <v>1449</v>
      </c>
      <c r="AC41" s="2573"/>
      <c r="AD41" s="2574"/>
      <c r="AE41" s="1051"/>
      <c r="AF41" s="1051"/>
      <c r="AG41" s="1051"/>
      <c r="AH41" s="1051"/>
      <c r="AI41" s="1051"/>
      <c r="AJ41" s="1051">
        <v>1</v>
      </c>
      <c r="AK41" s="1051"/>
      <c r="AL41" s="1051"/>
      <c r="AM41" s="1051"/>
      <c r="AN41" s="1052"/>
    </row>
    <row r="42" spans="1:40" ht="17.100000000000001" customHeight="1">
      <c r="A42" s="2624" t="s">
        <v>1452</v>
      </c>
      <c r="B42" s="2626" t="s">
        <v>1454</v>
      </c>
      <c r="C42" s="1129" t="str">
        <f>AB54</f>
        <v>보천산업단지</v>
      </c>
      <c r="D42" s="1237">
        <f>ROUND(IFERROR(INDEX(사회적유입!$AA$4:$AW$165,MATCH($C42,사회적유입!$AA$4:$AA$165,0)-2,2),0)*$Z42,0)</f>
        <v>0</v>
      </c>
      <c r="E42" s="1237">
        <f>ROUND(IFERROR(INDEX(사회적유입!$AA$4:$AW$165,MATCH($C42,사회적유입!$AA$4:$AA$165,0)-2,3),0)*$Z42,0)</f>
        <v>0</v>
      </c>
      <c r="F42" s="1237">
        <f>ROUND(IFERROR(INDEX(사회적유입!$AA$4:$AW$165,MATCH($C42,사회적유입!$AA$4:$AA$165,0)-2,4),0)*$Z42,0)</f>
        <v>0</v>
      </c>
      <c r="G42" s="1237">
        <f>ROUND(IFERROR(INDEX(사회적유입!$AA$4:$AW$165,MATCH($C42,사회적유입!$AA$4:$AA$165,0)-2,5),0)*$Z42,0)</f>
        <v>0</v>
      </c>
      <c r="H42" s="1237">
        <f>ROUND(IFERROR(INDEX(사회적유입!$AA$4:$AW$165,MATCH($C42,사회적유입!$AA$4:$AA$165,0)-2,6),0)*$Z42,0)</f>
        <v>0</v>
      </c>
      <c r="I42" s="1237">
        <f>ROUND(IFERROR(INDEX(사회적유입!$AA$4:$AW$165,MATCH($C42,사회적유입!$AA$4:$AA$165,0)-2,7),0)*$Z42,0)</f>
        <v>0</v>
      </c>
      <c r="J42" s="1237">
        <f>ROUND(IFERROR(INDEX(사회적유입!$AA$4:$AW$165,MATCH($C42,사회적유입!$AA$4:$AA$165,0)-2,8),0)*$Z42,0)</f>
        <v>0</v>
      </c>
      <c r="K42" s="1237">
        <f>ROUND(IFERROR(INDEX(사회적유입!$AA$4:$AW$165,MATCH($C42,사회적유입!$AA$4:$AA$165,0)-2,9),0)*$Z42,0)</f>
        <v>0</v>
      </c>
      <c r="L42" s="1237">
        <f>ROUND(IFERROR(INDEX(사회적유입!$AA$4:$AW$165,MATCH($C42,사회적유입!$AA$4:$AA$165,0)-2,10),0)*$Z42,0)</f>
        <v>0</v>
      </c>
      <c r="M42" s="1237">
        <f>ROUND(IFERROR(INDEX(사회적유입!$AA$4:$AW$165,MATCH($C42,사회적유입!$AA$4:$AA$165,0)-2,11),0)*$Z42,0)</f>
        <v>0</v>
      </c>
      <c r="N42" s="1237">
        <f>ROUND(IFERROR(INDEX(사회적유입!$AA$4:$AW$165,MATCH($C42,사회적유입!$AA$4:$AA$165,0)-2,12),0)*$Z42,0)</f>
        <v>0</v>
      </c>
      <c r="O42" s="1237">
        <f>ROUND(IFERROR(INDEX(사회적유입!$AA$4:$AW$165,MATCH($C42,사회적유입!$AA$4:$AA$165,0)-2,13),0)*$Z42,0)</f>
        <v>0</v>
      </c>
      <c r="P42" s="1237">
        <f>ROUND(IFERROR(INDEX(사회적유입!$AA$4:$AW$165,MATCH($C42,사회적유입!$AA$4:$AA$165,0)-2,14),0)*$Z42,0)</f>
        <v>0</v>
      </c>
      <c r="Q42" s="1237">
        <f>ROUND(IFERROR(INDEX(사회적유입!$AA$4:$AW$165,MATCH($C42,사회적유입!$AA$4:$AA$165,0)-2,15),0)*$Z42,0)</f>
        <v>0</v>
      </c>
      <c r="R42" s="1237">
        <f>ROUND(IFERROR(INDEX(사회적유입!$AA$4:$AW$165,MATCH($C42,사회적유입!$AA$4:$AA$165,0)-2,16),0)*$Z42,0)</f>
        <v>0</v>
      </c>
      <c r="S42" s="1237">
        <f>ROUND(IFERROR(INDEX(사회적유입!$AA$4:$AW$165,MATCH($C42,사회적유입!$AA$4:$AA$165,0)-2,17),0)*$Z42,0)</f>
        <v>0</v>
      </c>
      <c r="T42" s="1237">
        <f>ROUND(IFERROR(INDEX(사회적유입!$AA$4:$AW$165,MATCH($C42,사회적유입!$AA$4:$AA$165,0)-2,18),0)*$Z42,0)</f>
        <v>0</v>
      </c>
      <c r="U42" s="1237">
        <f>ROUND(IFERROR(INDEX(사회적유입!$AA$4:$AW$165,MATCH($C42,사회적유입!$AA$4:$AA$165,0)-2,19),0)*$Z42,0)</f>
        <v>0</v>
      </c>
      <c r="V42" s="1237">
        <f>ROUND(IFERROR(INDEX(사회적유입!$AA$4:$AW$165,MATCH($C42,사회적유입!$AA$4:$AA$165,0)-2,20),0)*$Z42,0)</f>
        <v>0</v>
      </c>
      <c r="W42" s="1237">
        <f>ROUND(IFERROR(INDEX(사회적유입!$AA$4:$AW$165,MATCH($C42,사회적유입!$AA$4:$AA$165,0)-2,21),0)*$Z42,0)</f>
        <v>0</v>
      </c>
      <c r="X42" s="1237">
        <f>ROUND(IFERROR(INDEX(사회적유입!$AA$4:$AW$165,MATCH($C42,사회적유입!$AA$4:$AA$165,0)-2,22),0)*$Z42,0)</f>
        <v>0</v>
      </c>
      <c r="Y42" s="1237">
        <f>ROUND(IFERROR(INDEX(사회적유입!$AA$4:$AW$165,MATCH($C42,사회적유입!$AA$4:$AA$165,0)-2,23),0)*$Z42,0)</f>
        <v>715</v>
      </c>
      <c r="Z42" s="1101">
        <f>VLOOKUP(C42,$AB$5:$AN$58,7,FALSE)</f>
        <v>0.5</v>
      </c>
      <c r="AB42" s="2572" t="s">
        <v>1390</v>
      </c>
      <c r="AC42" s="2573"/>
      <c r="AD42" s="2574"/>
      <c r="AE42" s="1051"/>
      <c r="AF42" s="1051"/>
      <c r="AG42" s="1051"/>
      <c r="AH42" s="1051"/>
      <c r="AI42" s="1051">
        <v>1</v>
      </c>
      <c r="AJ42" s="1051"/>
      <c r="AK42" s="1051"/>
      <c r="AL42" s="1051"/>
      <c r="AM42" s="1051"/>
      <c r="AN42" s="1052"/>
    </row>
    <row r="43" spans="1:40" ht="17.100000000000001" customHeight="1">
      <c r="A43" s="2621"/>
      <c r="B43" s="2615"/>
      <c r="C43" s="857" t="s">
        <v>72</v>
      </c>
      <c r="D43" s="858">
        <f t="shared" ref="D43:Y43" si="13">SUM(D42:D42)</f>
        <v>0</v>
      </c>
      <c r="E43" s="858">
        <f t="shared" si="13"/>
        <v>0</v>
      </c>
      <c r="F43" s="858">
        <f t="shared" si="13"/>
        <v>0</v>
      </c>
      <c r="G43" s="858">
        <f t="shared" si="13"/>
        <v>0</v>
      </c>
      <c r="H43" s="858">
        <f t="shared" si="13"/>
        <v>0</v>
      </c>
      <c r="I43" s="858">
        <f t="shared" si="13"/>
        <v>0</v>
      </c>
      <c r="J43" s="858">
        <f t="shared" si="13"/>
        <v>0</v>
      </c>
      <c r="K43" s="858">
        <f t="shared" si="13"/>
        <v>0</v>
      </c>
      <c r="L43" s="858">
        <f t="shared" si="13"/>
        <v>0</v>
      </c>
      <c r="M43" s="858">
        <f t="shared" si="13"/>
        <v>0</v>
      </c>
      <c r="N43" s="858">
        <f t="shared" si="13"/>
        <v>0</v>
      </c>
      <c r="O43" s="858">
        <f t="shared" si="13"/>
        <v>0</v>
      </c>
      <c r="P43" s="858">
        <f t="shared" si="13"/>
        <v>0</v>
      </c>
      <c r="Q43" s="858">
        <f t="shared" si="13"/>
        <v>0</v>
      </c>
      <c r="R43" s="858">
        <f t="shared" si="13"/>
        <v>0</v>
      </c>
      <c r="S43" s="858">
        <f t="shared" si="13"/>
        <v>0</v>
      </c>
      <c r="T43" s="858">
        <f t="shared" si="13"/>
        <v>0</v>
      </c>
      <c r="U43" s="858">
        <f t="shared" si="13"/>
        <v>0</v>
      </c>
      <c r="V43" s="858">
        <f t="shared" si="13"/>
        <v>0</v>
      </c>
      <c r="W43" s="858">
        <f t="shared" si="13"/>
        <v>0</v>
      </c>
      <c r="X43" s="858">
        <f t="shared" si="13"/>
        <v>0</v>
      </c>
      <c r="Y43" s="858">
        <f t="shared" si="13"/>
        <v>715</v>
      </c>
      <c r="Z43" s="1052"/>
      <c r="AB43" s="2572" t="s">
        <v>1392</v>
      </c>
      <c r="AC43" s="2573"/>
      <c r="AD43" s="2574"/>
      <c r="AE43" s="1051"/>
      <c r="AF43" s="1051"/>
      <c r="AG43" s="1051"/>
      <c r="AH43" s="1051"/>
      <c r="AI43" s="1051"/>
      <c r="AJ43" s="1051"/>
      <c r="AK43" s="1051">
        <v>1</v>
      </c>
      <c r="AL43" s="1051"/>
      <c r="AM43" s="1051"/>
      <c r="AN43" s="1052"/>
    </row>
    <row r="44" spans="1:40" ht="17.100000000000001" customHeight="1">
      <c r="A44" s="2625"/>
      <c r="B44" s="2627" t="s">
        <v>7</v>
      </c>
      <c r="C44" s="2627"/>
      <c r="D44" s="1100">
        <f>SUM(D43)</f>
        <v>0</v>
      </c>
      <c r="E44" s="1100">
        <f t="shared" ref="E44:Y44" si="14">SUM(E43)</f>
        <v>0</v>
      </c>
      <c r="F44" s="1100">
        <f t="shared" si="14"/>
        <v>0</v>
      </c>
      <c r="G44" s="1100">
        <f t="shared" si="14"/>
        <v>0</v>
      </c>
      <c r="H44" s="1100">
        <f t="shared" si="14"/>
        <v>0</v>
      </c>
      <c r="I44" s="1100">
        <f t="shared" si="14"/>
        <v>0</v>
      </c>
      <c r="J44" s="1100">
        <f t="shared" si="14"/>
        <v>0</v>
      </c>
      <c r="K44" s="1100">
        <f t="shared" si="14"/>
        <v>0</v>
      </c>
      <c r="L44" s="1100">
        <f t="shared" si="14"/>
        <v>0</v>
      </c>
      <c r="M44" s="1100">
        <f t="shared" si="14"/>
        <v>0</v>
      </c>
      <c r="N44" s="1100">
        <f t="shared" si="14"/>
        <v>0</v>
      </c>
      <c r="O44" s="1100">
        <f t="shared" si="14"/>
        <v>0</v>
      </c>
      <c r="P44" s="1100">
        <f t="shared" si="14"/>
        <v>0</v>
      </c>
      <c r="Q44" s="1100">
        <f t="shared" si="14"/>
        <v>0</v>
      </c>
      <c r="R44" s="1100">
        <f t="shared" si="14"/>
        <v>0</v>
      </c>
      <c r="S44" s="1100">
        <f t="shared" si="14"/>
        <v>0</v>
      </c>
      <c r="T44" s="1100">
        <f t="shared" si="14"/>
        <v>0</v>
      </c>
      <c r="U44" s="1100">
        <f t="shared" si="14"/>
        <v>0</v>
      </c>
      <c r="V44" s="1100">
        <f t="shared" si="14"/>
        <v>0</v>
      </c>
      <c r="W44" s="1100">
        <f t="shared" si="14"/>
        <v>0</v>
      </c>
      <c r="X44" s="1100">
        <f t="shared" si="14"/>
        <v>0</v>
      </c>
      <c r="Y44" s="1100">
        <f t="shared" si="14"/>
        <v>715</v>
      </c>
      <c r="Z44" s="1054"/>
      <c r="AB44" s="2572" t="s">
        <v>1394</v>
      </c>
      <c r="AC44" s="2573"/>
      <c r="AD44" s="2574"/>
      <c r="AE44" s="1051"/>
      <c r="AF44" s="1051"/>
      <c r="AG44" s="1051"/>
      <c r="AH44" s="1051"/>
      <c r="AI44" s="1051"/>
      <c r="AJ44" s="1051"/>
      <c r="AK44" s="1051"/>
      <c r="AL44" s="1051">
        <v>1</v>
      </c>
      <c r="AM44" s="1051"/>
      <c r="AN44" s="1052"/>
    </row>
    <row r="45" spans="1:40" ht="17.100000000000001" customHeight="1">
      <c r="A45" s="2628" t="s">
        <v>1455</v>
      </c>
      <c r="B45" s="2615" t="s">
        <v>94</v>
      </c>
      <c r="C45" s="1096" t="str">
        <f>AB42</f>
        <v>맹동 택지개발</v>
      </c>
      <c r="D45" s="862">
        <f>ROUND(IFERROR(VLOOKUP($C45,사회적유입!$AA$5:$AW$167,2,FALSE),0)*$Z45,0)</f>
        <v>0</v>
      </c>
      <c r="E45" s="862">
        <f>ROUND(IFERROR(VLOOKUP($C45,사회적유입!$AA$5:$AW$167,3,FALSE),0)*$Z45,0)</f>
        <v>0</v>
      </c>
      <c r="F45" s="862">
        <f>ROUND(IFERROR(VLOOKUP($C45,사회적유입!$AA$5:$AW$167,4,FALSE),0)*$Z45,0)</f>
        <v>0</v>
      </c>
      <c r="G45" s="862">
        <f>ROUND(IFERROR(VLOOKUP($C45,사회적유입!$AA$5:$AW$167,5,FALSE),0)*$Z45,0)</f>
        <v>0</v>
      </c>
      <c r="H45" s="862">
        <f>ROUND(IFERROR(VLOOKUP($C45,사회적유입!$AA$5:$AW$167,6,FALSE),0)*$Z45,0)</f>
        <v>0</v>
      </c>
      <c r="I45" s="862">
        <f>ROUND(IFERROR(VLOOKUP($C45,사회적유입!$AA$5:$AW$167,7,FALSE),0)*$Z45,0)</f>
        <v>0</v>
      </c>
      <c r="J45" s="862">
        <f>ROUND(IFERROR(VLOOKUP($C45,사회적유입!$AA$5:$AW$167,8,FALSE),0)*$Z45,0)</f>
        <v>0</v>
      </c>
      <c r="K45" s="862">
        <f>ROUND(IFERROR(VLOOKUP($C45,사회적유입!$AA$5:$AW$167,9,FALSE),0)*$Z45,0)</f>
        <v>0</v>
      </c>
      <c r="L45" s="862">
        <f>ROUND(IFERROR(VLOOKUP($C45,사회적유입!$AA$5:$AW$167,10,FALSE),0)*$Z45,0)</f>
        <v>0</v>
      </c>
      <c r="M45" s="862">
        <f>ROUND(IFERROR(VLOOKUP($C45,사회적유입!$AA$5:$AW$167,11,FALSE),0)*$Z45,0)</f>
        <v>0</v>
      </c>
      <c r="N45" s="862">
        <f>ROUND(IFERROR(VLOOKUP($C45,사회적유입!$AA$5:$AW$167,12,FALSE),0)*$Z45,0)</f>
        <v>0</v>
      </c>
      <c r="O45" s="862">
        <f>ROUND(IFERROR(VLOOKUP($C45,사회적유입!$AA$5:$AW$167,13,FALSE),0)*$Z45,0)</f>
        <v>0</v>
      </c>
      <c r="P45" s="862">
        <f>ROUND(IFERROR(VLOOKUP($C45,사회적유입!$AA$5:$AW$167,14,FALSE),0)*$Z45,0)</f>
        <v>0</v>
      </c>
      <c r="Q45" s="862">
        <f>ROUND(IFERROR(VLOOKUP($C45,사회적유입!$AA$5:$AW$167,15,FALSE),0)*$Z45,0)</f>
        <v>0</v>
      </c>
      <c r="R45" s="862">
        <f>ROUND(IFERROR(VLOOKUP($C45,사회적유입!$AA$5:$AW$167,16,FALSE),0)*$Z45,0)</f>
        <v>0</v>
      </c>
      <c r="S45" s="862">
        <f>ROUND(IFERROR(VLOOKUP($C45,사회적유입!$AA$5:$AW$167,17,FALSE),0)*$Z45,0)</f>
        <v>0</v>
      </c>
      <c r="T45" s="862">
        <f>ROUND(IFERROR(VLOOKUP($C45,사회적유입!$AA$5:$AW$167,18,FALSE),0)*$Z45,0)</f>
        <v>0</v>
      </c>
      <c r="U45" s="862">
        <f>ROUND(IFERROR(VLOOKUP($C45,사회적유입!$AA$5:$AW$167,19,FALSE),0)*$Z45,0)</f>
        <v>0</v>
      </c>
      <c r="V45" s="862">
        <f>ROUND(IFERROR(VLOOKUP($C45,사회적유입!$AA$5:$AW$167,20,FALSE),0)*$Z45,0)</f>
        <v>0</v>
      </c>
      <c r="W45" s="862">
        <f>ROUND(IFERROR(VLOOKUP($C45,사회적유입!$AA$5:$AW$167,21,FALSE),0)*$Z45,0)</f>
        <v>0</v>
      </c>
      <c r="X45" s="862">
        <f>ROUND(IFERROR(VLOOKUP($C45,사회적유입!$AA$5:$AW$167,22,FALSE),0)*$Z45,0)</f>
        <v>0</v>
      </c>
      <c r="Y45" s="862">
        <f>ROUND(IFERROR(VLOOKUP($C45,사회적유입!$AA$5:$AW$167,23,FALSE),0)*$Z45,0)</f>
        <v>2331</v>
      </c>
      <c r="Z45" s="1101">
        <f>VLOOKUP(C45,$AB$5:$AN$58,8,FALSE)</f>
        <v>1</v>
      </c>
      <c r="AB45" s="2572" t="s">
        <v>1401</v>
      </c>
      <c r="AC45" s="2573"/>
      <c r="AD45" s="2574"/>
      <c r="AE45" s="1051"/>
      <c r="AF45" s="1051"/>
      <c r="AG45" s="1051"/>
      <c r="AH45" s="1051"/>
      <c r="AI45" s="1051"/>
      <c r="AJ45" s="1051"/>
      <c r="AK45" s="1051"/>
      <c r="AL45" s="1051"/>
      <c r="AM45" s="1051">
        <v>1</v>
      </c>
      <c r="AN45" s="1052"/>
    </row>
    <row r="46" spans="1:40" ht="17.100000000000001" customHeight="1">
      <c r="A46" s="2613"/>
      <c r="B46" s="2616"/>
      <c r="C46" s="857" t="s">
        <v>72</v>
      </c>
      <c r="D46" s="858">
        <f t="shared" ref="D46:Y46" si="15">SUM(D45:D45)</f>
        <v>0</v>
      </c>
      <c r="E46" s="858">
        <f t="shared" si="15"/>
        <v>0</v>
      </c>
      <c r="F46" s="858">
        <f t="shared" si="15"/>
        <v>0</v>
      </c>
      <c r="G46" s="858">
        <f t="shared" si="15"/>
        <v>0</v>
      </c>
      <c r="H46" s="858">
        <f t="shared" si="15"/>
        <v>0</v>
      </c>
      <c r="I46" s="858">
        <f t="shared" si="15"/>
        <v>0</v>
      </c>
      <c r="J46" s="858">
        <f t="shared" si="15"/>
        <v>0</v>
      </c>
      <c r="K46" s="858">
        <f t="shared" si="15"/>
        <v>0</v>
      </c>
      <c r="L46" s="858">
        <f t="shared" si="15"/>
        <v>0</v>
      </c>
      <c r="M46" s="858">
        <f t="shared" si="15"/>
        <v>0</v>
      </c>
      <c r="N46" s="858">
        <f t="shared" si="15"/>
        <v>0</v>
      </c>
      <c r="O46" s="858">
        <f t="shared" si="15"/>
        <v>0</v>
      </c>
      <c r="P46" s="858">
        <f t="shared" si="15"/>
        <v>0</v>
      </c>
      <c r="Q46" s="858">
        <f t="shared" si="15"/>
        <v>0</v>
      </c>
      <c r="R46" s="858">
        <f t="shared" si="15"/>
        <v>0</v>
      </c>
      <c r="S46" s="858">
        <f t="shared" si="15"/>
        <v>0</v>
      </c>
      <c r="T46" s="858">
        <f t="shared" si="15"/>
        <v>0</v>
      </c>
      <c r="U46" s="858">
        <f t="shared" si="15"/>
        <v>0</v>
      </c>
      <c r="V46" s="858">
        <f t="shared" si="15"/>
        <v>0</v>
      </c>
      <c r="W46" s="858">
        <f t="shared" si="15"/>
        <v>0</v>
      </c>
      <c r="X46" s="858">
        <f t="shared" si="15"/>
        <v>0</v>
      </c>
      <c r="Y46" s="858">
        <f t="shared" si="15"/>
        <v>2331</v>
      </c>
      <c r="Z46" s="1052"/>
      <c r="AB46" s="2564" t="s">
        <v>1404</v>
      </c>
      <c r="AC46" s="2565"/>
      <c r="AD46" s="2565"/>
      <c r="AE46" s="1051"/>
      <c r="AF46" s="1051"/>
      <c r="AG46" s="1051"/>
      <c r="AH46" s="1051"/>
      <c r="AI46" s="1051"/>
      <c r="AJ46" s="1051"/>
      <c r="AK46" s="1051"/>
      <c r="AL46" s="1051"/>
      <c r="AM46" s="1051">
        <v>1</v>
      </c>
      <c r="AN46" s="1052"/>
    </row>
    <row r="47" spans="1:40" ht="17.100000000000001" customHeight="1">
      <c r="A47" s="2613"/>
      <c r="B47" s="2617" t="s">
        <v>1453</v>
      </c>
      <c r="C47" s="1130" t="str">
        <f>AB29</f>
        <v>리노삼봉산업단지</v>
      </c>
      <c r="D47" s="1237">
        <f>ROUND(IFERROR(INDEX(사회적유입!$AA$4:$AW$165,MATCH($C47,사회적유입!$AA$4:$AA$165,0)-2,2),0)*$Z47,0)</f>
        <v>0</v>
      </c>
      <c r="E47" s="1237">
        <f>ROUND(IFERROR(INDEX(사회적유입!$AA$4:$AW$165,MATCH($C47,사회적유입!$AA$4:$AA$165,0)-2,3),0)*$Z47,0)</f>
        <v>0</v>
      </c>
      <c r="F47" s="1237">
        <f>ROUND(IFERROR(INDEX(사회적유입!$AA$4:$AW$165,MATCH($C47,사회적유입!$AA$4:$AA$165,0)-2,4),0)*$Z47,0)</f>
        <v>0</v>
      </c>
      <c r="G47" s="1237">
        <f>ROUND(IFERROR(INDEX(사회적유입!$AA$4:$AW$165,MATCH($C47,사회적유입!$AA$4:$AA$165,0)-2,5),0)*$Z47,0)</f>
        <v>0</v>
      </c>
      <c r="H47" s="1237">
        <f>ROUND(IFERROR(INDEX(사회적유입!$AA$4:$AW$165,MATCH($C47,사회적유입!$AA$4:$AA$165,0)-2,6),0)*$Z47,0)</f>
        <v>3</v>
      </c>
      <c r="I47" s="1237">
        <f>ROUND(IFERROR(INDEX(사회적유입!$AA$4:$AW$165,MATCH($C47,사회적유입!$AA$4:$AA$165,0)-2,7),0)*$Z47,0)</f>
        <v>8</v>
      </c>
      <c r="J47" s="1237">
        <f>ROUND(IFERROR(INDEX(사회적유입!$AA$4:$AW$165,MATCH($C47,사회적유입!$AA$4:$AA$165,0)-2,8),0)*$Z47,0)</f>
        <v>14</v>
      </c>
      <c r="K47" s="1237">
        <f>ROUND(IFERROR(INDEX(사회적유입!$AA$4:$AW$165,MATCH($C47,사회적유입!$AA$4:$AA$165,0)-2,9),0)*$Z47,0)</f>
        <v>14</v>
      </c>
      <c r="L47" s="1237">
        <f>ROUND(IFERROR(INDEX(사회적유입!$AA$4:$AW$165,MATCH($C47,사회적유입!$AA$4:$AA$165,0)-2,10),0)*$Z47,0)</f>
        <v>14</v>
      </c>
      <c r="M47" s="1237">
        <f>ROUND(IFERROR(INDEX(사회적유입!$AA$4:$AW$165,MATCH($C47,사회적유입!$AA$4:$AA$165,0)-2,11),0)*$Z47,0)</f>
        <v>14</v>
      </c>
      <c r="N47" s="1237">
        <f>ROUND(IFERROR(INDEX(사회적유입!$AA$4:$AW$165,MATCH($C47,사회적유입!$AA$4:$AA$165,0)-2,12),0)*$Z47,0)</f>
        <v>14</v>
      </c>
      <c r="O47" s="1237">
        <f>ROUND(IFERROR(INDEX(사회적유입!$AA$4:$AW$165,MATCH($C47,사회적유입!$AA$4:$AA$165,0)-2,13),0)*$Z47,0)</f>
        <v>14</v>
      </c>
      <c r="P47" s="1237">
        <f>ROUND(IFERROR(INDEX(사회적유입!$AA$4:$AW$165,MATCH($C47,사회적유입!$AA$4:$AA$165,0)-2,14),0)*$Z47,0)</f>
        <v>14</v>
      </c>
      <c r="Q47" s="1237">
        <f>ROUND(IFERROR(INDEX(사회적유입!$AA$4:$AW$165,MATCH($C47,사회적유입!$AA$4:$AA$165,0)-2,15),0)*$Z47,0)</f>
        <v>14</v>
      </c>
      <c r="R47" s="1237">
        <f>ROUND(IFERROR(INDEX(사회적유입!$AA$4:$AW$165,MATCH($C47,사회적유입!$AA$4:$AA$165,0)-2,16),0)*$Z47,0)</f>
        <v>14</v>
      </c>
      <c r="S47" s="1237">
        <f>ROUND(IFERROR(INDEX(사회적유입!$AA$4:$AW$165,MATCH($C47,사회적유입!$AA$4:$AA$165,0)-2,17),0)*$Z47,0)</f>
        <v>14</v>
      </c>
      <c r="T47" s="1237">
        <f>ROUND(IFERROR(INDEX(사회적유입!$AA$4:$AW$165,MATCH($C47,사회적유입!$AA$4:$AA$165,0)-2,18),0)*$Z47,0)</f>
        <v>14</v>
      </c>
      <c r="U47" s="1237">
        <f>ROUND(IFERROR(INDEX(사회적유입!$AA$4:$AW$165,MATCH($C47,사회적유입!$AA$4:$AA$165,0)-2,19),0)*$Z47,0)</f>
        <v>14</v>
      </c>
      <c r="V47" s="1237">
        <f>ROUND(IFERROR(INDEX(사회적유입!$AA$4:$AW$165,MATCH($C47,사회적유입!$AA$4:$AA$165,0)-2,20),0)*$Z47,0)</f>
        <v>14</v>
      </c>
      <c r="W47" s="1237">
        <f>ROUND(IFERROR(INDEX(사회적유입!$AA$4:$AW$165,MATCH($C47,사회적유입!$AA$4:$AA$165,0)-2,21),0)*$Z47,0)</f>
        <v>14</v>
      </c>
      <c r="X47" s="1237">
        <f>ROUND(IFERROR(INDEX(사회적유입!$AA$4:$AW$165,MATCH($C47,사회적유입!$AA$4:$AA$165,0)-2,22),0)*$Z47,0)</f>
        <v>14</v>
      </c>
      <c r="Y47" s="1237">
        <f>ROUND(IFERROR(INDEX(사회적유입!$AA$4:$AW$165,MATCH($C47,사회적유입!$AA$4:$AA$165,0)-2,23),0)*$Z47,0)</f>
        <v>14</v>
      </c>
      <c r="Z47" s="1101">
        <f t="shared" ref="Z47:Z52" si="16">VLOOKUP(C47,$AB$5:$AN$58,8,FALSE)</f>
        <v>0.1</v>
      </c>
      <c r="AB47" s="2564" t="s">
        <v>1410</v>
      </c>
      <c r="AC47" s="2565"/>
      <c r="AD47" s="2565"/>
      <c r="AE47" s="1051"/>
      <c r="AF47" s="1051">
        <v>1</v>
      </c>
      <c r="AG47" s="1051"/>
      <c r="AH47" s="1051"/>
      <c r="AI47" s="1051"/>
      <c r="AJ47" s="1051"/>
      <c r="AK47" s="1051"/>
      <c r="AL47" s="1051"/>
      <c r="AM47" s="1051"/>
      <c r="AN47" s="1052"/>
    </row>
    <row r="48" spans="1:40" ht="17.100000000000001" customHeight="1">
      <c r="A48" s="2613"/>
      <c r="B48" s="2618"/>
      <c r="C48" s="1130" t="str">
        <f>AB32</f>
        <v>오선산업단지</v>
      </c>
      <c r="D48" s="1237">
        <f>ROUND(IFERROR(INDEX(사회적유입!$AA$4:$AW$165,MATCH($C48,사회적유입!$AA$4:$AA$165,0)-2,2),0)*$Z48,0)</f>
        <v>0</v>
      </c>
      <c r="E48" s="1237">
        <f>ROUND(IFERROR(INDEX(사회적유입!$AA$4:$AW$165,MATCH($C48,사회적유입!$AA$4:$AA$165,0)-2,3),0)*$Z48,0)</f>
        <v>0</v>
      </c>
      <c r="F48" s="1237">
        <f>ROUND(IFERROR(INDEX(사회적유입!$AA$4:$AW$165,MATCH($C48,사회적유입!$AA$4:$AA$165,0)-2,4),0)*$Z48,0)</f>
        <v>0</v>
      </c>
      <c r="G48" s="1237">
        <f>ROUND(IFERROR(INDEX(사회적유입!$AA$4:$AW$165,MATCH($C48,사회적유입!$AA$4:$AA$165,0)-2,5),0)*$Z48,0)</f>
        <v>0</v>
      </c>
      <c r="H48" s="1237">
        <f>ROUND(IFERROR(INDEX(사회적유입!$AA$4:$AW$165,MATCH($C48,사회적유입!$AA$4:$AA$165,0)-2,6),0)*$Z48,0)</f>
        <v>5</v>
      </c>
      <c r="I48" s="1237">
        <f>ROUND(IFERROR(INDEX(사회적유입!$AA$4:$AW$165,MATCH($C48,사회적유입!$AA$4:$AA$165,0)-2,7),0)*$Z48,0)</f>
        <v>14</v>
      </c>
      <c r="J48" s="1237">
        <f>ROUND(IFERROR(INDEX(사회적유입!$AA$4:$AW$165,MATCH($C48,사회적유입!$AA$4:$AA$165,0)-2,8),0)*$Z48,0)</f>
        <v>24</v>
      </c>
      <c r="K48" s="1237">
        <f>ROUND(IFERROR(INDEX(사회적유입!$AA$4:$AW$165,MATCH($C48,사회적유입!$AA$4:$AA$165,0)-2,9),0)*$Z48,0)</f>
        <v>24</v>
      </c>
      <c r="L48" s="1237">
        <f>ROUND(IFERROR(INDEX(사회적유입!$AA$4:$AW$165,MATCH($C48,사회적유입!$AA$4:$AA$165,0)-2,10),0)*$Z48,0)</f>
        <v>24</v>
      </c>
      <c r="M48" s="1237">
        <f>ROUND(IFERROR(INDEX(사회적유입!$AA$4:$AW$165,MATCH($C48,사회적유입!$AA$4:$AA$165,0)-2,11),0)*$Z48,0)</f>
        <v>24</v>
      </c>
      <c r="N48" s="1237">
        <f>ROUND(IFERROR(INDEX(사회적유입!$AA$4:$AW$165,MATCH($C48,사회적유입!$AA$4:$AA$165,0)-2,12),0)*$Z48,0)</f>
        <v>24</v>
      </c>
      <c r="O48" s="1237">
        <f>ROUND(IFERROR(INDEX(사회적유입!$AA$4:$AW$165,MATCH($C48,사회적유입!$AA$4:$AA$165,0)-2,13),0)*$Z48,0)</f>
        <v>24</v>
      </c>
      <c r="P48" s="1237">
        <f>ROUND(IFERROR(INDEX(사회적유입!$AA$4:$AW$165,MATCH($C48,사회적유입!$AA$4:$AA$165,0)-2,14),0)*$Z48,0)</f>
        <v>24</v>
      </c>
      <c r="Q48" s="1237">
        <f>ROUND(IFERROR(INDEX(사회적유입!$AA$4:$AW$165,MATCH($C48,사회적유입!$AA$4:$AA$165,0)-2,15),0)*$Z48,0)</f>
        <v>24</v>
      </c>
      <c r="R48" s="1237">
        <f>ROUND(IFERROR(INDEX(사회적유입!$AA$4:$AW$165,MATCH($C48,사회적유입!$AA$4:$AA$165,0)-2,16),0)*$Z48,0)</f>
        <v>24</v>
      </c>
      <c r="S48" s="1237">
        <f>ROUND(IFERROR(INDEX(사회적유입!$AA$4:$AW$165,MATCH($C48,사회적유입!$AA$4:$AA$165,0)-2,17),0)*$Z48,0)</f>
        <v>24</v>
      </c>
      <c r="T48" s="1237">
        <f>ROUND(IFERROR(INDEX(사회적유입!$AA$4:$AW$165,MATCH($C48,사회적유입!$AA$4:$AA$165,0)-2,18),0)*$Z48,0)</f>
        <v>24</v>
      </c>
      <c r="U48" s="1237">
        <f>ROUND(IFERROR(INDEX(사회적유입!$AA$4:$AW$165,MATCH($C48,사회적유입!$AA$4:$AA$165,0)-2,19),0)*$Z48,0)</f>
        <v>24</v>
      </c>
      <c r="V48" s="1237">
        <f>ROUND(IFERROR(INDEX(사회적유입!$AA$4:$AW$165,MATCH($C48,사회적유입!$AA$4:$AA$165,0)-2,20),0)*$Z48,0)</f>
        <v>24</v>
      </c>
      <c r="W48" s="1237">
        <f>ROUND(IFERROR(INDEX(사회적유입!$AA$4:$AW$165,MATCH($C48,사회적유입!$AA$4:$AA$165,0)-2,21),0)*$Z48,0)</f>
        <v>24</v>
      </c>
      <c r="X48" s="1237">
        <f>ROUND(IFERROR(INDEX(사회적유입!$AA$4:$AW$165,MATCH($C48,사회적유입!$AA$4:$AA$165,0)-2,22),0)*$Z48,0)</f>
        <v>24</v>
      </c>
      <c r="Y48" s="1237">
        <f>ROUND(IFERROR(INDEX(사회적유입!$AA$4:$AW$165,MATCH($C48,사회적유입!$AA$4:$AA$165,0)-2,23),0)*$Z48,0)</f>
        <v>24</v>
      </c>
      <c r="Z48" s="1101">
        <f t="shared" si="16"/>
        <v>0.05</v>
      </c>
      <c r="AB48" s="2564" t="s">
        <v>1407</v>
      </c>
      <c r="AC48" s="2565"/>
      <c r="AD48" s="2565"/>
      <c r="AE48" s="1051"/>
      <c r="AF48" s="1051">
        <v>1</v>
      </c>
      <c r="AG48" s="1051"/>
      <c r="AH48" s="1051"/>
      <c r="AI48" s="1051"/>
      <c r="AJ48" s="1051"/>
      <c r="AK48" s="1051"/>
      <c r="AL48" s="1051"/>
      <c r="AM48" s="1051"/>
      <c r="AN48" s="1052"/>
    </row>
    <row r="49" spans="1:40" ht="17.100000000000001" customHeight="1">
      <c r="A49" s="2613"/>
      <c r="B49" s="2618"/>
      <c r="C49" s="1130" t="str">
        <f>AB33</f>
        <v>유촌산업단지</v>
      </c>
      <c r="D49" s="1237">
        <f>ROUND(IFERROR(INDEX(사회적유입!$AA$4:$AW$165,MATCH($C49,사회적유입!$AA$4:$AA$165,0)-2,2),0)*$Z49,0)</f>
        <v>0</v>
      </c>
      <c r="E49" s="1237">
        <f>ROUND(IFERROR(INDEX(사회적유입!$AA$4:$AW$165,MATCH($C49,사회적유입!$AA$4:$AA$165,0)-2,3),0)*$Z49,0)</f>
        <v>0</v>
      </c>
      <c r="F49" s="1237">
        <f>ROUND(IFERROR(INDEX(사회적유입!$AA$4:$AW$165,MATCH($C49,사회적유입!$AA$4:$AA$165,0)-2,4),0)*$Z49,0)</f>
        <v>0</v>
      </c>
      <c r="G49" s="1237">
        <f>ROUND(IFERROR(INDEX(사회적유입!$AA$4:$AW$165,MATCH($C49,사회적유입!$AA$4:$AA$165,0)-2,5),0)*$Z49,0)</f>
        <v>0</v>
      </c>
      <c r="H49" s="1237">
        <f>ROUND(IFERROR(INDEX(사회적유입!$AA$4:$AW$165,MATCH($C49,사회적유입!$AA$4:$AA$165,0)-2,6),0)*$Z49,0)</f>
        <v>0</v>
      </c>
      <c r="I49" s="1237">
        <f>ROUND(IFERROR(INDEX(사회적유입!$AA$4:$AW$165,MATCH($C49,사회적유입!$AA$4:$AA$165,0)-2,7),0)*$Z49,0)</f>
        <v>16</v>
      </c>
      <c r="J49" s="1237">
        <f>ROUND(IFERROR(INDEX(사회적유입!$AA$4:$AW$165,MATCH($C49,사회적유입!$AA$4:$AA$165,0)-2,8),0)*$Z49,0)</f>
        <v>47</v>
      </c>
      <c r="K49" s="1237">
        <f>ROUND(IFERROR(INDEX(사회적유입!$AA$4:$AW$165,MATCH($C49,사회적유입!$AA$4:$AA$165,0)-2,9),0)*$Z49,0)</f>
        <v>79</v>
      </c>
      <c r="L49" s="1237">
        <f>ROUND(IFERROR(INDEX(사회적유입!$AA$4:$AW$165,MATCH($C49,사회적유입!$AA$4:$AA$165,0)-2,10),0)*$Z49,0)</f>
        <v>79</v>
      </c>
      <c r="M49" s="1237">
        <f>ROUND(IFERROR(INDEX(사회적유입!$AA$4:$AW$165,MATCH($C49,사회적유입!$AA$4:$AA$165,0)-2,11),0)*$Z49,0)</f>
        <v>79</v>
      </c>
      <c r="N49" s="1237">
        <f>ROUND(IFERROR(INDEX(사회적유입!$AA$4:$AW$165,MATCH($C49,사회적유입!$AA$4:$AA$165,0)-2,12),0)*$Z49,0)</f>
        <v>79</v>
      </c>
      <c r="O49" s="1237">
        <f>ROUND(IFERROR(INDEX(사회적유입!$AA$4:$AW$165,MATCH($C49,사회적유입!$AA$4:$AA$165,0)-2,13),0)*$Z49,0)</f>
        <v>79</v>
      </c>
      <c r="P49" s="1237">
        <f>ROUND(IFERROR(INDEX(사회적유입!$AA$4:$AW$165,MATCH($C49,사회적유입!$AA$4:$AA$165,0)-2,14),0)*$Z49,0)</f>
        <v>79</v>
      </c>
      <c r="Q49" s="1237">
        <f>ROUND(IFERROR(INDEX(사회적유입!$AA$4:$AW$165,MATCH($C49,사회적유입!$AA$4:$AA$165,0)-2,15),0)*$Z49,0)</f>
        <v>79</v>
      </c>
      <c r="R49" s="1237">
        <f>ROUND(IFERROR(INDEX(사회적유입!$AA$4:$AW$165,MATCH($C49,사회적유입!$AA$4:$AA$165,0)-2,16),0)*$Z49,0)</f>
        <v>79</v>
      </c>
      <c r="S49" s="1237">
        <f>ROUND(IFERROR(INDEX(사회적유입!$AA$4:$AW$165,MATCH($C49,사회적유입!$AA$4:$AA$165,0)-2,17),0)*$Z49,0)</f>
        <v>79</v>
      </c>
      <c r="T49" s="1237">
        <f>ROUND(IFERROR(INDEX(사회적유입!$AA$4:$AW$165,MATCH($C49,사회적유입!$AA$4:$AA$165,0)-2,18),0)*$Z49,0)</f>
        <v>79</v>
      </c>
      <c r="U49" s="1237">
        <f>ROUND(IFERROR(INDEX(사회적유입!$AA$4:$AW$165,MATCH($C49,사회적유입!$AA$4:$AA$165,0)-2,19),0)*$Z49,0)</f>
        <v>79</v>
      </c>
      <c r="V49" s="1237">
        <f>ROUND(IFERROR(INDEX(사회적유입!$AA$4:$AW$165,MATCH($C49,사회적유입!$AA$4:$AA$165,0)-2,20),0)*$Z49,0)</f>
        <v>79</v>
      </c>
      <c r="W49" s="1237">
        <f>ROUND(IFERROR(INDEX(사회적유입!$AA$4:$AW$165,MATCH($C49,사회적유입!$AA$4:$AA$165,0)-2,21),0)*$Z49,0)</f>
        <v>79</v>
      </c>
      <c r="X49" s="1237">
        <f>ROUND(IFERROR(INDEX(사회적유입!$AA$4:$AW$165,MATCH($C49,사회적유입!$AA$4:$AA$165,0)-2,22),0)*$Z49,0)</f>
        <v>79</v>
      </c>
      <c r="Y49" s="1237">
        <f>ROUND(IFERROR(INDEX(사회적유입!$AA$4:$AW$165,MATCH($C49,사회적유입!$AA$4:$AA$165,0)-2,23),0)*$Z49,0)</f>
        <v>79</v>
      </c>
      <c r="Z49" s="1101">
        <f t="shared" si="16"/>
        <v>0.1</v>
      </c>
      <c r="AB49" s="2564" t="s">
        <v>1413</v>
      </c>
      <c r="AC49" s="2565"/>
      <c r="AD49" s="2565"/>
      <c r="AE49" s="1051"/>
      <c r="AF49" s="1051"/>
      <c r="AG49" s="1051"/>
      <c r="AH49" s="1051"/>
      <c r="AI49" s="1051"/>
      <c r="AJ49" s="1051">
        <v>1</v>
      </c>
      <c r="AK49" s="1051"/>
      <c r="AL49" s="1051"/>
      <c r="AM49" s="1051"/>
      <c r="AN49" s="1052"/>
    </row>
    <row r="50" spans="1:40" ht="17.100000000000001" customHeight="1">
      <c r="A50" s="2613"/>
      <c r="B50" s="2618"/>
      <c r="C50" s="1130" t="str">
        <f>AB35</f>
        <v>성본산업단지</v>
      </c>
      <c r="D50" s="1237">
        <f>ROUND(IFERROR(INDEX(사회적유입!$AA$4:$AW$165,MATCH($C50,사회적유입!$AA$4:$AA$165,0)-2,2),0)*$Z50,0)</f>
        <v>0</v>
      </c>
      <c r="E50" s="1237">
        <f>ROUND(IFERROR(INDEX(사회적유입!$AA$4:$AW$165,MATCH($C50,사회적유입!$AA$4:$AA$165,0)-2,3),0)*$Z50,0)</f>
        <v>0</v>
      </c>
      <c r="F50" s="1237">
        <f>ROUND(IFERROR(INDEX(사회적유입!$AA$4:$AW$165,MATCH($C50,사회적유입!$AA$4:$AA$165,0)-2,4),0)*$Z50,0)</f>
        <v>0</v>
      </c>
      <c r="G50" s="1237">
        <f>ROUND(IFERROR(INDEX(사회적유입!$AA$4:$AW$165,MATCH($C50,사회적유입!$AA$4:$AA$165,0)-2,5),0)*$Z50,0)</f>
        <v>0</v>
      </c>
      <c r="H50" s="1237">
        <f>ROUND(IFERROR(INDEX(사회적유입!$AA$4:$AW$165,MATCH($C50,사회적유입!$AA$4:$AA$165,0)-2,6),0)*$Z50,0)</f>
        <v>0</v>
      </c>
      <c r="I50" s="1237">
        <f>ROUND(IFERROR(INDEX(사회적유입!$AA$4:$AW$165,MATCH($C50,사회적유입!$AA$4:$AA$165,0)-2,7),0)*$Z50,0)</f>
        <v>0</v>
      </c>
      <c r="J50" s="1237">
        <f>ROUND(IFERROR(INDEX(사회적유입!$AA$4:$AW$165,MATCH($C50,사회적유입!$AA$4:$AA$165,0)-2,8),0)*$Z50,0)</f>
        <v>0</v>
      </c>
      <c r="K50" s="1237">
        <f>ROUND(IFERROR(INDEX(사회적유입!$AA$4:$AW$165,MATCH($C50,사회적유입!$AA$4:$AA$165,0)-2,9),0)*$Z50,0)</f>
        <v>0</v>
      </c>
      <c r="L50" s="1237">
        <f>ROUND(IFERROR(INDEX(사회적유입!$AA$4:$AW$165,MATCH($C50,사회적유입!$AA$4:$AA$165,0)-2,10),0)*$Z50,0)</f>
        <v>0</v>
      </c>
      <c r="M50" s="1237">
        <f>ROUND(IFERROR(INDEX(사회적유입!$AA$4:$AW$165,MATCH($C50,사회적유입!$AA$4:$AA$165,0)-2,11),0)*$Z50,0)</f>
        <v>0</v>
      </c>
      <c r="N50" s="1237">
        <f>ROUND(IFERROR(INDEX(사회적유입!$AA$4:$AW$165,MATCH($C50,사회적유입!$AA$4:$AA$165,0)-2,12),0)*$Z50,0)</f>
        <v>0</v>
      </c>
      <c r="O50" s="1237">
        <f>ROUND(IFERROR(INDEX(사회적유입!$AA$4:$AW$165,MATCH($C50,사회적유입!$AA$4:$AA$165,0)-2,13),0)*$Z50,0)</f>
        <v>0</v>
      </c>
      <c r="P50" s="1237">
        <f>ROUND(IFERROR(INDEX(사회적유입!$AA$4:$AW$165,MATCH($C50,사회적유입!$AA$4:$AA$165,0)-2,14),0)*$Z50,0)</f>
        <v>0</v>
      </c>
      <c r="Q50" s="1237">
        <f>ROUND(IFERROR(INDEX(사회적유입!$AA$4:$AW$165,MATCH($C50,사회적유입!$AA$4:$AA$165,0)-2,15),0)*$Z50,0)</f>
        <v>0</v>
      </c>
      <c r="R50" s="1237">
        <f>ROUND(IFERROR(INDEX(사회적유입!$AA$4:$AW$165,MATCH($C50,사회적유입!$AA$4:$AA$165,0)-2,16),0)*$Z50,0)</f>
        <v>0</v>
      </c>
      <c r="S50" s="1237">
        <f>ROUND(IFERROR(INDEX(사회적유입!$AA$4:$AW$165,MATCH($C50,사회적유입!$AA$4:$AA$165,0)-2,17),0)*$Z50,0)</f>
        <v>0</v>
      </c>
      <c r="T50" s="1237">
        <f>ROUND(IFERROR(INDEX(사회적유입!$AA$4:$AW$165,MATCH($C50,사회적유입!$AA$4:$AA$165,0)-2,18),0)*$Z50,0)</f>
        <v>0</v>
      </c>
      <c r="U50" s="1237">
        <f>ROUND(IFERROR(INDEX(사회적유입!$AA$4:$AW$165,MATCH($C50,사회적유입!$AA$4:$AA$165,0)-2,19),0)*$Z50,0)</f>
        <v>0</v>
      </c>
      <c r="V50" s="1237">
        <f>ROUND(IFERROR(INDEX(사회적유입!$AA$4:$AW$165,MATCH($C50,사회적유입!$AA$4:$AA$165,0)-2,20),0)*$Z50,0)</f>
        <v>0</v>
      </c>
      <c r="W50" s="1237">
        <f>ROUND(IFERROR(INDEX(사회적유입!$AA$4:$AW$165,MATCH($C50,사회적유입!$AA$4:$AA$165,0)-2,21),0)*$Z50,0)</f>
        <v>0</v>
      </c>
      <c r="X50" s="1237">
        <f>ROUND(IFERROR(INDEX(사회적유입!$AA$4:$AW$165,MATCH($C50,사회적유입!$AA$4:$AA$165,0)-2,22),0)*$Z50,0)</f>
        <v>0</v>
      </c>
      <c r="Y50" s="1237">
        <f>ROUND(IFERROR(INDEX(사회적유입!$AA$4:$AW$165,MATCH($C50,사회적유입!$AA$4:$AA$165,0)-2,23),0)*$Z50,0)</f>
        <v>0</v>
      </c>
      <c r="Z50" s="1101">
        <f t="shared" si="16"/>
        <v>0</v>
      </c>
      <c r="AB50" s="2564" t="s">
        <v>1416</v>
      </c>
      <c r="AC50" s="2565"/>
      <c r="AD50" s="2565"/>
      <c r="AE50" s="1051"/>
      <c r="AF50" s="1051"/>
      <c r="AG50" s="1051"/>
      <c r="AH50" s="1051"/>
      <c r="AI50" s="1051"/>
      <c r="AJ50" s="1051"/>
      <c r="AK50" s="1051">
        <v>1</v>
      </c>
      <c r="AL50" s="1051"/>
      <c r="AM50" s="1051"/>
      <c r="AN50" s="1052"/>
    </row>
    <row r="51" spans="1:40" ht="17.100000000000001" customHeight="1">
      <c r="A51" s="2613"/>
      <c r="B51" s="2618"/>
      <c r="C51" s="1130" t="str">
        <f>AB36</f>
        <v>금왕테크노밸리</v>
      </c>
      <c r="D51" s="1237">
        <f>ROUND(IFERROR(INDEX(사회적유입!$AA$4:$AW$165,MATCH($C51,사회적유입!$AA$4:$AA$165,0)-2,2),0)*$Z51,0)</f>
        <v>0</v>
      </c>
      <c r="E51" s="1237">
        <f>ROUND(IFERROR(INDEX(사회적유입!$AA$4:$AW$165,MATCH($C51,사회적유입!$AA$4:$AA$165,0)-2,3),0)*$Z51,0)</f>
        <v>0</v>
      </c>
      <c r="F51" s="1237">
        <f>ROUND(IFERROR(INDEX(사회적유입!$AA$4:$AW$165,MATCH($C51,사회적유입!$AA$4:$AA$165,0)-2,4),0)*$Z51,0)</f>
        <v>0</v>
      </c>
      <c r="G51" s="1237">
        <f>ROUND(IFERROR(INDEX(사회적유입!$AA$4:$AW$165,MATCH($C51,사회적유입!$AA$4:$AA$165,0)-2,5),0)*$Z51,0)</f>
        <v>0</v>
      </c>
      <c r="H51" s="1237">
        <f>ROUND(IFERROR(INDEX(사회적유입!$AA$4:$AW$165,MATCH($C51,사회적유입!$AA$4:$AA$165,0)-2,6),0)*$Z51,0)</f>
        <v>0</v>
      </c>
      <c r="I51" s="1237">
        <f>ROUND(IFERROR(INDEX(사회적유입!$AA$4:$AW$165,MATCH($C51,사회적유입!$AA$4:$AA$165,0)-2,7),0)*$Z51,0)</f>
        <v>41</v>
      </c>
      <c r="J51" s="1237">
        <f>ROUND(IFERROR(INDEX(사회적유입!$AA$4:$AW$165,MATCH($C51,사회적유입!$AA$4:$AA$165,0)-2,8),0)*$Z51,0)</f>
        <v>123</v>
      </c>
      <c r="K51" s="1237">
        <f>ROUND(IFERROR(INDEX(사회적유입!$AA$4:$AW$165,MATCH($C51,사회적유입!$AA$4:$AA$165,0)-2,9),0)*$Z51,0)</f>
        <v>205</v>
      </c>
      <c r="L51" s="1237">
        <f>ROUND(IFERROR(INDEX(사회적유입!$AA$4:$AW$165,MATCH($C51,사회적유입!$AA$4:$AA$165,0)-2,10),0)*$Z51,0)</f>
        <v>205</v>
      </c>
      <c r="M51" s="1237">
        <f>ROUND(IFERROR(INDEX(사회적유입!$AA$4:$AW$165,MATCH($C51,사회적유입!$AA$4:$AA$165,0)-2,11),0)*$Z51,0)</f>
        <v>205</v>
      </c>
      <c r="N51" s="1237">
        <f>ROUND(IFERROR(INDEX(사회적유입!$AA$4:$AW$165,MATCH($C51,사회적유입!$AA$4:$AA$165,0)-2,12),0)*$Z51,0)</f>
        <v>205</v>
      </c>
      <c r="O51" s="1237">
        <f>ROUND(IFERROR(INDEX(사회적유입!$AA$4:$AW$165,MATCH($C51,사회적유입!$AA$4:$AA$165,0)-2,13),0)*$Z51,0)</f>
        <v>205</v>
      </c>
      <c r="P51" s="1237">
        <f>ROUND(IFERROR(INDEX(사회적유입!$AA$4:$AW$165,MATCH($C51,사회적유입!$AA$4:$AA$165,0)-2,14),0)*$Z51,0)</f>
        <v>205</v>
      </c>
      <c r="Q51" s="1237">
        <f>ROUND(IFERROR(INDEX(사회적유입!$AA$4:$AW$165,MATCH($C51,사회적유입!$AA$4:$AA$165,0)-2,15),0)*$Z51,0)</f>
        <v>205</v>
      </c>
      <c r="R51" s="1237">
        <f>ROUND(IFERROR(INDEX(사회적유입!$AA$4:$AW$165,MATCH($C51,사회적유입!$AA$4:$AA$165,0)-2,16),0)*$Z51,0)</f>
        <v>205</v>
      </c>
      <c r="S51" s="1237">
        <f>ROUND(IFERROR(INDEX(사회적유입!$AA$4:$AW$165,MATCH($C51,사회적유입!$AA$4:$AA$165,0)-2,17),0)*$Z51,0)</f>
        <v>205</v>
      </c>
      <c r="T51" s="1237">
        <f>ROUND(IFERROR(INDEX(사회적유입!$AA$4:$AW$165,MATCH($C51,사회적유입!$AA$4:$AA$165,0)-2,18),0)*$Z51,0)</f>
        <v>205</v>
      </c>
      <c r="U51" s="1237">
        <f>ROUND(IFERROR(INDEX(사회적유입!$AA$4:$AW$165,MATCH($C51,사회적유입!$AA$4:$AA$165,0)-2,19),0)*$Z51,0)</f>
        <v>205</v>
      </c>
      <c r="V51" s="1237">
        <f>ROUND(IFERROR(INDEX(사회적유입!$AA$4:$AW$165,MATCH($C51,사회적유입!$AA$4:$AA$165,0)-2,20),0)*$Z51,0)</f>
        <v>205</v>
      </c>
      <c r="W51" s="1237">
        <f>ROUND(IFERROR(INDEX(사회적유입!$AA$4:$AW$165,MATCH($C51,사회적유입!$AA$4:$AA$165,0)-2,21),0)*$Z51,0)</f>
        <v>205</v>
      </c>
      <c r="X51" s="1237">
        <f>ROUND(IFERROR(INDEX(사회적유입!$AA$4:$AW$165,MATCH($C51,사회적유입!$AA$4:$AA$165,0)-2,22),0)*$Z51,0)</f>
        <v>205</v>
      </c>
      <c r="Y51" s="1237">
        <f>ROUND(IFERROR(INDEX(사회적유입!$AA$4:$AW$165,MATCH($C51,사회적유입!$AA$4:$AA$165,0)-2,23),0)*$Z51,0)</f>
        <v>205</v>
      </c>
      <c r="Z51" s="1101">
        <f t="shared" si="16"/>
        <v>0.1</v>
      </c>
      <c r="AB51" s="2564" t="s">
        <v>1419</v>
      </c>
      <c r="AC51" s="2565"/>
      <c r="AD51" s="2565"/>
      <c r="AE51" s="1051"/>
      <c r="AF51" s="1051"/>
      <c r="AG51" s="1051"/>
      <c r="AH51" s="1051"/>
      <c r="AI51" s="1051"/>
      <c r="AJ51" s="1051"/>
      <c r="AK51" s="1051">
        <v>1</v>
      </c>
      <c r="AL51" s="1051"/>
      <c r="AM51" s="1051"/>
      <c r="AN51" s="1052"/>
    </row>
    <row r="52" spans="1:40" ht="17.100000000000001" customHeight="1">
      <c r="A52" s="2613"/>
      <c r="B52" s="2618"/>
      <c r="C52" s="1130" t="str">
        <f>AB37</f>
        <v>성안산업단지</v>
      </c>
      <c r="D52" s="1237">
        <f>ROUND(IFERROR(INDEX(사회적유입!$AA$4:$AW$165,MATCH($C52,사회적유입!$AA$4:$AA$165,0)-2,2),0)*$Z52,0)</f>
        <v>0</v>
      </c>
      <c r="E52" s="1237">
        <f>ROUND(IFERROR(INDEX(사회적유입!$AA$4:$AW$165,MATCH($C52,사회적유입!$AA$4:$AA$165,0)-2,3),0)*$Z52,0)</f>
        <v>0</v>
      </c>
      <c r="F52" s="1237">
        <f>ROUND(IFERROR(INDEX(사회적유입!$AA$4:$AW$165,MATCH($C52,사회적유입!$AA$4:$AA$165,0)-2,4),0)*$Z52,0)</f>
        <v>0</v>
      </c>
      <c r="G52" s="1237">
        <f>ROUND(IFERROR(INDEX(사회적유입!$AA$4:$AW$165,MATCH($C52,사회적유입!$AA$4:$AA$165,0)-2,5),0)*$Z52,0)</f>
        <v>0</v>
      </c>
      <c r="H52" s="1237">
        <f>ROUND(IFERROR(INDEX(사회적유입!$AA$4:$AW$165,MATCH($C52,사회적유입!$AA$4:$AA$165,0)-2,6),0)*$Z52,0)</f>
        <v>0</v>
      </c>
      <c r="I52" s="1237">
        <f>ROUND(IFERROR(INDEX(사회적유입!$AA$4:$AW$165,MATCH($C52,사회적유입!$AA$4:$AA$165,0)-2,7),0)*$Z52,0)</f>
        <v>1</v>
      </c>
      <c r="J52" s="1237">
        <f>ROUND(IFERROR(INDEX(사회적유입!$AA$4:$AW$165,MATCH($C52,사회적유입!$AA$4:$AA$165,0)-2,8),0)*$Z52,0)</f>
        <v>2</v>
      </c>
      <c r="K52" s="1237">
        <f>ROUND(IFERROR(INDEX(사회적유입!$AA$4:$AW$165,MATCH($C52,사회적유입!$AA$4:$AA$165,0)-2,9),0)*$Z52,0)</f>
        <v>3</v>
      </c>
      <c r="L52" s="1237">
        <f>ROUND(IFERROR(INDEX(사회적유입!$AA$4:$AW$165,MATCH($C52,사회적유입!$AA$4:$AA$165,0)-2,10),0)*$Z52,0)</f>
        <v>3</v>
      </c>
      <c r="M52" s="1237">
        <f>ROUND(IFERROR(INDEX(사회적유입!$AA$4:$AW$165,MATCH($C52,사회적유입!$AA$4:$AA$165,0)-2,11),0)*$Z52,0)</f>
        <v>3</v>
      </c>
      <c r="N52" s="1237">
        <f>ROUND(IFERROR(INDEX(사회적유입!$AA$4:$AW$165,MATCH($C52,사회적유입!$AA$4:$AA$165,0)-2,12),0)*$Z52,0)</f>
        <v>3</v>
      </c>
      <c r="O52" s="1237">
        <f>ROUND(IFERROR(INDEX(사회적유입!$AA$4:$AW$165,MATCH($C52,사회적유입!$AA$4:$AA$165,0)-2,13),0)*$Z52,0)</f>
        <v>3</v>
      </c>
      <c r="P52" s="1237">
        <f>ROUND(IFERROR(INDEX(사회적유입!$AA$4:$AW$165,MATCH($C52,사회적유입!$AA$4:$AA$165,0)-2,14),0)*$Z52,0)</f>
        <v>3</v>
      </c>
      <c r="Q52" s="1237">
        <f>ROUND(IFERROR(INDEX(사회적유입!$AA$4:$AW$165,MATCH($C52,사회적유입!$AA$4:$AA$165,0)-2,15),0)*$Z52,0)</f>
        <v>3</v>
      </c>
      <c r="R52" s="1237">
        <f>ROUND(IFERROR(INDEX(사회적유입!$AA$4:$AW$165,MATCH($C52,사회적유입!$AA$4:$AA$165,0)-2,16),0)*$Z52,0)</f>
        <v>3</v>
      </c>
      <c r="S52" s="1237">
        <f>ROUND(IFERROR(INDEX(사회적유입!$AA$4:$AW$165,MATCH($C52,사회적유입!$AA$4:$AA$165,0)-2,17),0)*$Z52,0)</f>
        <v>3</v>
      </c>
      <c r="T52" s="1237">
        <f>ROUND(IFERROR(INDEX(사회적유입!$AA$4:$AW$165,MATCH($C52,사회적유입!$AA$4:$AA$165,0)-2,18),0)*$Z52,0)</f>
        <v>3</v>
      </c>
      <c r="U52" s="1237">
        <f>ROUND(IFERROR(INDEX(사회적유입!$AA$4:$AW$165,MATCH($C52,사회적유입!$AA$4:$AA$165,0)-2,19),0)*$Z52,0)</f>
        <v>3</v>
      </c>
      <c r="V52" s="1237">
        <f>ROUND(IFERROR(INDEX(사회적유입!$AA$4:$AW$165,MATCH($C52,사회적유입!$AA$4:$AA$165,0)-2,20),0)*$Z52,0)</f>
        <v>3</v>
      </c>
      <c r="W52" s="1237">
        <f>ROUND(IFERROR(INDEX(사회적유입!$AA$4:$AW$165,MATCH($C52,사회적유입!$AA$4:$AA$165,0)-2,21),0)*$Z52,0)</f>
        <v>3</v>
      </c>
      <c r="X52" s="1237">
        <f>ROUND(IFERROR(INDEX(사회적유입!$AA$4:$AW$165,MATCH($C52,사회적유입!$AA$4:$AA$165,0)-2,22),0)*$Z52,0)</f>
        <v>3</v>
      </c>
      <c r="Y52" s="1237">
        <f>ROUND(IFERROR(INDEX(사회적유입!$AA$4:$AW$165,MATCH($C52,사회적유입!$AA$4:$AA$165,0)-2,23),0)*$Z52,0)</f>
        <v>3</v>
      </c>
      <c r="Z52" s="1101">
        <f t="shared" si="16"/>
        <v>0.05</v>
      </c>
      <c r="AB52" s="2564" t="s">
        <v>1421</v>
      </c>
      <c r="AC52" s="2565"/>
      <c r="AD52" s="2565"/>
      <c r="AE52" s="1051"/>
      <c r="AF52" s="1051"/>
      <c r="AG52" s="1051"/>
      <c r="AH52" s="1051"/>
      <c r="AI52" s="1051"/>
      <c r="AJ52" s="1051"/>
      <c r="AK52" s="1051">
        <v>1</v>
      </c>
      <c r="AL52" s="1051"/>
      <c r="AM52" s="1051"/>
      <c r="AN52" s="1052"/>
    </row>
    <row r="53" spans="1:40" ht="17.100000000000001" customHeight="1">
      <c r="A53" s="2613"/>
      <c r="B53" s="2615"/>
      <c r="C53" s="857" t="s">
        <v>72</v>
      </c>
      <c r="D53" s="858">
        <f>SUM(D47:D52)</f>
        <v>0</v>
      </c>
      <c r="E53" s="858">
        <f t="shared" ref="E53:Y53" si="17">SUM(E47:E52)</f>
        <v>0</v>
      </c>
      <c r="F53" s="858">
        <f t="shared" si="17"/>
        <v>0</v>
      </c>
      <c r="G53" s="858">
        <f t="shared" si="17"/>
        <v>0</v>
      </c>
      <c r="H53" s="858">
        <f t="shared" si="17"/>
        <v>8</v>
      </c>
      <c r="I53" s="858">
        <f t="shared" si="17"/>
        <v>80</v>
      </c>
      <c r="J53" s="858">
        <f t="shared" si="17"/>
        <v>210</v>
      </c>
      <c r="K53" s="858">
        <f t="shared" si="17"/>
        <v>325</v>
      </c>
      <c r="L53" s="858">
        <f t="shared" si="17"/>
        <v>325</v>
      </c>
      <c r="M53" s="858">
        <f t="shared" si="17"/>
        <v>325</v>
      </c>
      <c r="N53" s="858">
        <f t="shared" si="17"/>
        <v>325</v>
      </c>
      <c r="O53" s="858">
        <f t="shared" si="17"/>
        <v>325</v>
      </c>
      <c r="P53" s="858">
        <f t="shared" si="17"/>
        <v>325</v>
      </c>
      <c r="Q53" s="858">
        <f t="shared" si="17"/>
        <v>325</v>
      </c>
      <c r="R53" s="858">
        <f t="shared" si="17"/>
        <v>325</v>
      </c>
      <c r="S53" s="858">
        <f t="shared" si="17"/>
        <v>325</v>
      </c>
      <c r="T53" s="858">
        <f t="shared" si="17"/>
        <v>325</v>
      </c>
      <c r="U53" s="858">
        <f t="shared" si="17"/>
        <v>325</v>
      </c>
      <c r="V53" s="858">
        <f t="shared" si="17"/>
        <v>325</v>
      </c>
      <c r="W53" s="858">
        <f t="shared" si="17"/>
        <v>325</v>
      </c>
      <c r="X53" s="858">
        <f t="shared" si="17"/>
        <v>325</v>
      </c>
      <c r="Y53" s="858">
        <f t="shared" si="17"/>
        <v>325</v>
      </c>
      <c r="Z53" s="1052"/>
      <c r="AB53" s="2564" t="s">
        <v>1423</v>
      </c>
      <c r="AC53" s="2565"/>
      <c r="AD53" s="2565"/>
      <c r="AE53" s="1051">
        <v>0.5</v>
      </c>
      <c r="AF53" s="1051"/>
      <c r="AG53" s="1051">
        <v>0.5</v>
      </c>
      <c r="AH53" s="1051"/>
      <c r="AI53" s="1051"/>
      <c r="AJ53" s="1051"/>
      <c r="AK53" s="1051"/>
      <c r="AL53" s="1051"/>
      <c r="AM53" s="1051"/>
      <c r="AN53" s="1052"/>
    </row>
    <row r="54" spans="1:40" ht="17.100000000000001" customHeight="1">
      <c r="A54" s="2614"/>
      <c r="B54" s="2627" t="s">
        <v>7</v>
      </c>
      <c r="C54" s="2627"/>
      <c r="D54" s="1100">
        <f>SUM(D46,D53)</f>
        <v>0</v>
      </c>
      <c r="E54" s="1100">
        <f t="shared" ref="E54:Y54" si="18">SUM(E46,E53)</f>
        <v>0</v>
      </c>
      <c r="F54" s="1100">
        <f t="shared" si="18"/>
        <v>0</v>
      </c>
      <c r="G54" s="1100">
        <f t="shared" si="18"/>
        <v>0</v>
      </c>
      <c r="H54" s="1100">
        <f t="shared" si="18"/>
        <v>8</v>
      </c>
      <c r="I54" s="1100">
        <f t="shared" si="18"/>
        <v>80</v>
      </c>
      <c r="J54" s="1100">
        <f t="shared" si="18"/>
        <v>210</v>
      </c>
      <c r="K54" s="1100">
        <f t="shared" si="18"/>
        <v>325</v>
      </c>
      <c r="L54" s="1100">
        <f t="shared" si="18"/>
        <v>325</v>
      </c>
      <c r="M54" s="1100">
        <f t="shared" si="18"/>
        <v>325</v>
      </c>
      <c r="N54" s="1100">
        <f t="shared" si="18"/>
        <v>325</v>
      </c>
      <c r="O54" s="1100">
        <f t="shared" si="18"/>
        <v>325</v>
      </c>
      <c r="P54" s="1100">
        <f t="shared" si="18"/>
        <v>325</v>
      </c>
      <c r="Q54" s="1100">
        <f t="shared" si="18"/>
        <v>325</v>
      </c>
      <c r="R54" s="1100">
        <f t="shared" si="18"/>
        <v>325</v>
      </c>
      <c r="S54" s="1100">
        <f t="shared" si="18"/>
        <v>325</v>
      </c>
      <c r="T54" s="1100">
        <f t="shared" si="18"/>
        <v>325</v>
      </c>
      <c r="U54" s="1100">
        <f t="shared" si="18"/>
        <v>325</v>
      </c>
      <c r="V54" s="1100">
        <f t="shared" si="18"/>
        <v>325</v>
      </c>
      <c r="W54" s="1100">
        <f t="shared" si="18"/>
        <v>325</v>
      </c>
      <c r="X54" s="1100">
        <f t="shared" si="18"/>
        <v>325</v>
      </c>
      <c r="Y54" s="1100">
        <f t="shared" si="18"/>
        <v>2656</v>
      </c>
      <c r="Z54" s="1054"/>
      <c r="AB54" s="2564" t="s">
        <v>1426</v>
      </c>
      <c r="AC54" s="2565"/>
      <c r="AD54" s="2565"/>
      <c r="AE54" s="1051">
        <v>0.5</v>
      </c>
      <c r="AF54" s="1051"/>
      <c r="AG54" s="1051"/>
      <c r="AH54" s="1051">
        <v>0.5</v>
      </c>
      <c r="AI54" s="1051"/>
      <c r="AJ54" s="1051"/>
      <c r="AK54" s="1051"/>
      <c r="AL54" s="1051"/>
      <c r="AM54" s="1051"/>
      <c r="AN54" s="1052"/>
    </row>
    <row r="55" spans="1:40" ht="18.95" customHeight="1">
      <c r="A55" s="2624" t="s">
        <v>749</v>
      </c>
      <c r="B55" s="2615" t="s">
        <v>94</v>
      </c>
      <c r="C55" s="1096" t="str">
        <f>AB5</f>
        <v>대소 삼정지구</v>
      </c>
      <c r="D55" s="862">
        <f>ROUND(IFERROR(VLOOKUP($C55,사회적유입!$AA$5:$AW$167,2,FALSE),0)*$Z55,0)</f>
        <v>0</v>
      </c>
      <c r="E55" s="862">
        <f>ROUND(IFERROR(VLOOKUP($C55,사회적유입!$AA$5:$AW$167,3,FALSE),0)*$Z55,0)</f>
        <v>0</v>
      </c>
      <c r="F55" s="862">
        <f>ROUND(IFERROR(VLOOKUP($C55,사회적유입!$AA$5:$AW$167,4,FALSE),0)*$Z55,0)</f>
        <v>0</v>
      </c>
      <c r="G55" s="862">
        <f>ROUND(IFERROR(VLOOKUP($C55,사회적유입!$AA$5:$AW$167,5,FALSE),0)*$Z55,0)</f>
        <v>0</v>
      </c>
      <c r="H55" s="862">
        <f>ROUND(IFERROR(VLOOKUP($C55,사회적유입!$AA$5:$AW$167,6,FALSE),0)*$Z55,0)</f>
        <v>0</v>
      </c>
      <c r="I55" s="862">
        <f>ROUND(IFERROR(VLOOKUP($C55,사회적유입!$AA$5:$AW$167,7,FALSE),0)*$Z55,0)</f>
        <v>0</v>
      </c>
      <c r="J55" s="862">
        <f>ROUND(IFERROR(VLOOKUP($C55,사회적유입!$AA$5:$AW$167,8,FALSE),0)*$Z55,0)</f>
        <v>3346</v>
      </c>
      <c r="K55" s="862">
        <f>ROUND(IFERROR(VLOOKUP($C55,사회적유입!$AA$5:$AW$167,9,FALSE),0)*$Z55,0)</f>
        <v>3346</v>
      </c>
      <c r="L55" s="862">
        <f>ROUND(IFERROR(VLOOKUP($C55,사회적유입!$AA$5:$AW$167,10,FALSE),0)*$Z55,0)</f>
        <v>3346</v>
      </c>
      <c r="M55" s="862">
        <f>ROUND(IFERROR(VLOOKUP($C55,사회적유입!$AA$5:$AW$167,11,FALSE),0)*$Z55,0)</f>
        <v>3346</v>
      </c>
      <c r="N55" s="862">
        <f>ROUND(IFERROR(VLOOKUP($C55,사회적유입!$AA$5:$AW$167,12,FALSE),0)*$Z55,0)</f>
        <v>3346</v>
      </c>
      <c r="O55" s="862">
        <f>ROUND(IFERROR(VLOOKUP($C55,사회적유입!$AA$5:$AW$167,13,FALSE),0)*$Z55,0)</f>
        <v>3346</v>
      </c>
      <c r="P55" s="862">
        <f>ROUND(IFERROR(VLOOKUP($C55,사회적유입!$AA$5:$AW$167,14,FALSE),0)*$Z55,0)</f>
        <v>3346</v>
      </c>
      <c r="Q55" s="862">
        <f>ROUND(IFERROR(VLOOKUP($C55,사회적유입!$AA$5:$AW$167,15,FALSE),0)*$Z55,0)</f>
        <v>3346</v>
      </c>
      <c r="R55" s="862">
        <f>ROUND(IFERROR(VLOOKUP($C55,사회적유입!$AA$5:$AW$167,16,FALSE),0)*$Z55,0)</f>
        <v>3346</v>
      </c>
      <c r="S55" s="862">
        <f>ROUND(IFERROR(VLOOKUP($C55,사회적유입!$AA$5:$AW$167,17,FALSE),0)*$Z55,0)</f>
        <v>3346</v>
      </c>
      <c r="T55" s="862">
        <f>ROUND(IFERROR(VLOOKUP($C55,사회적유입!$AA$5:$AW$167,18,FALSE),0)*$Z55,0)</f>
        <v>3346</v>
      </c>
      <c r="U55" s="862">
        <f>ROUND(IFERROR(VLOOKUP($C55,사회적유입!$AA$5:$AW$167,19,FALSE),0)*$Z55,0)</f>
        <v>3346</v>
      </c>
      <c r="V55" s="862">
        <f>ROUND(IFERROR(VLOOKUP($C55,사회적유입!$AA$5:$AW$167,20,FALSE),0)*$Z55,0)</f>
        <v>3346</v>
      </c>
      <c r="W55" s="862">
        <f>ROUND(IFERROR(VLOOKUP($C55,사회적유입!$AA$5:$AW$167,21,FALSE),0)*$Z55,0)</f>
        <v>3346</v>
      </c>
      <c r="X55" s="862">
        <f>ROUND(IFERROR(VLOOKUP($C55,사회적유입!$AA$5:$AW$167,22,FALSE),0)*$Z55,0)</f>
        <v>3346</v>
      </c>
      <c r="Y55" s="862">
        <f>ROUND(IFERROR(VLOOKUP($C55,사회적유입!$AA$5:$AW$167,23,FALSE),0)*$Z55,0)</f>
        <v>3346</v>
      </c>
      <c r="Z55" s="1101">
        <f>VLOOKUP(C55,$AB$5:$AN$58,9,FALSE)</f>
        <v>1</v>
      </c>
      <c r="AB55" s="2564" t="s">
        <v>1429</v>
      </c>
      <c r="AC55" s="2565"/>
      <c r="AD55" s="2565"/>
      <c r="AE55" s="1051">
        <v>1</v>
      </c>
      <c r="AF55" s="1051"/>
      <c r="AG55" s="1051"/>
      <c r="AH55" s="1051"/>
      <c r="AI55" s="1051"/>
      <c r="AJ55" s="1051"/>
      <c r="AK55" s="1051"/>
      <c r="AL55" s="1051"/>
      <c r="AM55" s="1051"/>
      <c r="AN55" s="1052"/>
    </row>
    <row r="56" spans="1:40" ht="18" customHeight="1">
      <c r="A56" s="2621"/>
      <c r="B56" s="2616"/>
      <c r="C56" s="856" t="str">
        <f>AB41</f>
        <v>태성지구 도시개발사업</v>
      </c>
      <c r="D56" s="1237">
        <f>ROUND(IFERROR(VLOOKUP($C56,사회적유입!$AA$5:$AW$167,2,FALSE),0)*$Z56,0)</f>
        <v>0</v>
      </c>
      <c r="E56" s="1237">
        <f>ROUND(IFERROR(VLOOKUP($C56,사회적유입!$AA$5:$AW$167,3,FALSE),0)*$Z56,0)</f>
        <v>0</v>
      </c>
      <c r="F56" s="1237">
        <f>ROUND(IFERROR(VLOOKUP($C56,사회적유입!$AA$5:$AW$167,4,FALSE),0)*$Z56,0)</f>
        <v>0</v>
      </c>
      <c r="G56" s="1237">
        <f>ROUND(IFERROR(VLOOKUP($C56,사회적유입!$AA$5:$AW$167,5,FALSE),0)*$Z56,0)</f>
        <v>0</v>
      </c>
      <c r="H56" s="1237">
        <f>ROUND(IFERROR(VLOOKUP($C56,사회적유입!$AA$5:$AW$167,6,FALSE),0)*$Z56,0)</f>
        <v>0</v>
      </c>
      <c r="I56" s="1237">
        <f>ROUND(IFERROR(VLOOKUP($C56,사회적유입!$AA$5:$AW$167,7,FALSE),0)*$Z56,0)</f>
        <v>0</v>
      </c>
      <c r="J56" s="1237">
        <f>ROUND(IFERROR(VLOOKUP($C56,사회적유입!$AA$5:$AW$167,8,FALSE),0)*$Z56,0)</f>
        <v>0</v>
      </c>
      <c r="K56" s="1237">
        <f>ROUND(IFERROR(VLOOKUP($C56,사회적유입!$AA$5:$AW$167,9,FALSE),0)*$Z56,0)</f>
        <v>0</v>
      </c>
      <c r="L56" s="1237">
        <f>ROUND(IFERROR(VLOOKUP($C56,사회적유입!$AA$5:$AW$167,10,FALSE),0)*$Z56,0)</f>
        <v>0</v>
      </c>
      <c r="M56" s="1237">
        <f>ROUND(IFERROR(VLOOKUP($C56,사회적유입!$AA$5:$AW$167,11,FALSE),0)*$Z56,0)</f>
        <v>0</v>
      </c>
      <c r="N56" s="1237">
        <f>ROUND(IFERROR(VLOOKUP($C56,사회적유입!$AA$5:$AW$167,12,FALSE),0)*$Z56,0)</f>
        <v>0</v>
      </c>
      <c r="O56" s="1237">
        <f>ROUND(IFERROR(VLOOKUP($C56,사회적유입!$AA$5:$AW$167,13,FALSE),0)*$Z56,0)</f>
        <v>0</v>
      </c>
      <c r="P56" s="1237">
        <f>ROUND(IFERROR(VLOOKUP($C56,사회적유입!$AA$5:$AW$167,14,FALSE),0)*$Z56,0)</f>
        <v>0</v>
      </c>
      <c r="Q56" s="1237">
        <f>ROUND(IFERROR(VLOOKUP($C56,사회적유입!$AA$5:$AW$167,15,FALSE),0)*$Z56,0)</f>
        <v>0</v>
      </c>
      <c r="R56" s="1237">
        <f>ROUND(IFERROR(VLOOKUP($C56,사회적유입!$AA$5:$AW$167,16,FALSE),0)*$Z56,0)</f>
        <v>0</v>
      </c>
      <c r="S56" s="1237">
        <f>ROUND(IFERROR(VLOOKUP($C56,사회적유입!$AA$5:$AW$167,17,FALSE),0)*$Z56,0)</f>
        <v>0</v>
      </c>
      <c r="T56" s="1237">
        <f>ROUND(IFERROR(VLOOKUP($C56,사회적유입!$AA$5:$AW$167,18,FALSE),0)*$Z56,0)</f>
        <v>0</v>
      </c>
      <c r="U56" s="1237">
        <f>ROUND(IFERROR(VLOOKUP($C56,사회적유입!$AA$5:$AW$167,19,FALSE),0)*$Z56,0)</f>
        <v>0</v>
      </c>
      <c r="V56" s="1237">
        <f>ROUND(IFERROR(VLOOKUP($C56,사회적유입!$AA$5:$AW$167,20,FALSE),0)*$Z56,0)</f>
        <v>0</v>
      </c>
      <c r="W56" s="1237">
        <f>ROUND(IFERROR(VLOOKUP($C56,사회적유입!$AA$5:$AW$167,21,FALSE),0)*$Z56,0)</f>
        <v>0</v>
      </c>
      <c r="X56" s="1237">
        <f>ROUND(IFERROR(VLOOKUP($C56,사회적유입!$AA$5:$AW$167,22,FALSE),0)*$Z56,0)</f>
        <v>0</v>
      </c>
      <c r="Y56" s="1237">
        <f>ROUND(IFERROR(VLOOKUP($C56,사회적유입!$AA$5:$AW$167,23,FALSE),0)*$Z56,0)</f>
        <v>5369</v>
      </c>
      <c r="Z56" s="1098">
        <f>VLOOKUP(C56,$AB$5:$AN$58,9,FALSE)</f>
        <v>1</v>
      </c>
      <c r="AB56" s="2564" t="s">
        <v>1431</v>
      </c>
      <c r="AC56" s="2565"/>
      <c r="AD56" s="2565"/>
      <c r="AE56" s="1051">
        <v>1</v>
      </c>
      <c r="AF56" s="1051"/>
      <c r="AG56" s="1051"/>
      <c r="AH56" s="1051"/>
      <c r="AI56" s="1051"/>
      <c r="AJ56" s="1051"/>
      <c r="AK56" s="1051"/>
      <c r="AL56" s="1051"/>
      <c r="AM56" s="1051"/>
      <c r="AN56" s="1052"/>
    </row>
    <row r="57" spans="1:40" ht="18" customHeight="1">
      <c r="A57" s="2621"/>
      <c r="B57" s="2616"/>
      <c r="C57" s="857" t="s">
        <v>72</v>
      </c>
      <c r="D57" s="858">
        <f t="shared" ref="D57:X57" si="19">SUM(D55:D56)</f>
        <v>0</v>
      </c>
      <c r="E57" s="858">
        <f t="shared" si="19"/>
        <v>0</v>
      </c>
      <c r="F57" s="858">
        <f t="shared" si="19"/>
        <v>0</v>
      </c>
      <c r="G57" s="858">
        <f t="shared" si="19"/>
        <v>0</v>
      </c>
      <c r="H57" s="858">
        <f t="shared" si="19"/>
        <v>0</v>
      </c>
      <c r="I57" s="858">
        <f t="shared" si="19"/>
        <v>0</v>
      </c>
      <c r="J57" s="858">
        <f t="shared" si="19"/>
        <v>3346</v>
      </c>
      <c r="K57" s="858">
        <f t="shared" si="19"/>
        <v>3346</v>
      </c>
      <c r="L57" s="858">
        <f t="shared" si="19"/>
        <v>3346</v>
      </c>
      <c r="M57" s="858">
        <f t="shared" si="19"/>
        <v>3346</v>
      </c>
      <c r="N57" s="858">
        <f t="shared" si="19"/>
        <v>3346</v>
      </c>
      <c r="O57" s="858">
        <f t="shared" si="19"/>
        <v>3346</v>
      </c>
      <c r="P57" s="858">
        <f t="shared" si="19"/>
        <v>3346</v>
      </c>
      <c r="Q57" s="858">
        <f t="shared" si="19"/>
        <v>3346</v>
      </c>
      <c r="R57" s="858">
        <f t="shared" si="19"/>
        <v>3346</v>
      </c>
      <c r="S57" s="858">
        <f t="shared" si="19"/>
        <v>3346</v>
      </c>
      <c r="T57" s="858">
        <f t="shared" si="19"/>
        <v>3346</v>
      </c>
      <c r="U57" s="858">
        <f t="shared" si="19"/>
        <v>3346</v>
      </c>
      <c r="V57" s="858">
        <f t="shared" si="19"/>
        <v>3346</v>
      </c>
      <c r="W57" s="858">
        <f t="shared" si="19"/>
        <v>3346</v>
      </c>
      <c r="X57" s="858">
        <f t="shared" si="19"/>
        <v>3346</v>
      </c>
      <c r="Y57" s="858">
        <f>SUM(Y55:Y56)</f>
        <v>8715</v>
      </c>
      <c r="Z57" s="1052"/>
      <c r="AB57" s="2564" t="s">
        <v>1433</v>
      </c>
      <c r="AC57" s="2565"/>
      <c r="AD57" s="2565"/>
      <c r="AE57" s="1051">
        <v>1</v>
      </c>
      <c r="AF57" s="1051"/>
      <c r="AG57" s="1051"/>
      <c r="AH57" s="1051"/>
      <c r="AI57" s="1051"/>
      <c r="AJ57" s="1051"/>
      <c r="AK57" s="1051"/>
      <c r="AL57" s="1051"/>
      <c r="AM57" s="1051"/>
      <c r="AN57" s="1052"/>
    </row>
    <row r="58" spans="1:40" ht="18" customHeight="1">
      <c r="A58" s="2621"/>
      <c r="B58" s="2616" t="s">
        <v>432</v>
      </c>
      <c r="C58" s="856" t="str">
        <f>AB7</f>
        <v>부러운아파트</v>
      </c>
      <c r="D58" s="1237">
        <f>ROUND(IFERROR(VLOOKUP($C58,사회적유입!$AA$5:$AW$167,2,FALSE),0)*$Z58,0)</f>
        <v>0</v>
      </c>
      <c r="E58" s="1237">
        <f>ROUND(IFERROR(VLOOKUP($C58,사회적유입!$AA$5:$AW$167,3,FALSE),0)*$Z58,0)</f>
        <v>0</v>
      </c>
      <c r="F58" s="1237">
        <f>ROUND(IFERROR(VLOOKUP($C58,사회적유입!$AA$5:$AW$167,4,FALSE),0)*$Z58,0)</f>
        <v>0</v>
      </c>
      <c r="G58" s="1237">
        <f>ROUND(IFERROR(VLOOKUP($C58,사회적유입!$AA$5:$AW$167,5,FALSE),0)*$Z58,0)</f>
        <v>0</v>
      </c>
      <c r="H58" s="1237">
        <f>ROUND(IFERROR(VLOOKUP($C58,사회적유입!$AA$5:$AW$167,6,FALSE),0)*$Z58,0)</f>
        <v>0</v>
      </c>
      <c r="I58" s="1237">
        <f>ROUND(IFERROR(VLOOKUP($C58,사회적유입!$AA$5:$AW$167,7,FALSE),0)*$Z58,0)</f>
        <v>237</v>
      </c>
      <c r="J58" s="1237">
        <f>ROUND(IFERROR(VLOOKUP($C58,사회적유입!$AA$5:$AW$167,8,FALSE),0)*$Z58,0)</f>
        <v>237</v>
      </c>
      <c r="K58" s="1237">
        <f>ROUND(IFERROR(VLOOKUP($C58,사회적유입!$AA$5:$AW$167,9,FALSE),0)*$Z58,0)</f>
        <v>237</v>
      </c>
      <c r="L58" s="1237">
        <f>ROUND(IFERROR(VLOOKUP($C58,사회적유입!$AA$5:$AW$167,10,FALSE),0)*$Z58,0)</f>
        <v>237</v>
      </c>
      <c r="M58" s="1237">
        <f>ROUND(IFERROR(VLOOKUP($C58,사회적유입!$AA$5:$AW$167,11,FALSE),0)*$Z58,0)</f>
        <v>237</v>
      </c>
      <c r="N58" s="1237">
        <f>ROUND(IFERROR(VLOOKUP($C58,사회적유입!$AA$5:$AW$167,12,FALSE),0)*$Z58,0)</f>
        <v>237</v>
      </c>
      <c r="O58" s="1237">
        <f>ROUND(IFERROR(VLOOKUP($C58,사회적유입!$AA$5:$AW$167,13,FALSE),0)*$Z58,0)</f>
        <v>237</v>
      </c>
      <c r="P58" s="1237">
        <f>ROUND(IFERROR(VLOOKUP($C58,사회적유입!$AA$5:$AW$167,14,FALSE),0)*$Z58,0)</f>
        <v>237</v>
      </c>
      <c r="Q58" s="1237">
        <f>ROUND(IFERROR(VLOOKUP($C58,사회적유입!$AA$5:$AW$167,15,FALSE),0)*$Z58,0)</f>
        <v>237</v>
      </c>
      <c r="R58" s="1237">
        <f>ROUND(IFERROR(VLOOKUP($C58,사회적유입!$AA$5:$AW$167,16,FALSE),0)*$Z58,0)</f>
        <v>237</v>
      </c>
      <c r="S58" s="1237">
        <f>ROUND(IFERROR(VLOOKUP($C58,사회적유입!$AA$5:$AW$167,17,FALSE),0)*$Z58,0)</f>
        <v>237</v>
      </c>
      <c r="T58" s="1237">
        <f>ROUND(IFERROR(VLOOKUP($C58,사회적유입!$AA$5:$AW$167,18,FALSE),0)*$Z58,0)</f>
        <v>237</v>
      </c>
      <c r="U58" s="1237">
        <f>ROUND(IFERROR(VLOOKUP($C58,사회적유입!$AA$5:$AW$167,19,FALSE),0)*$Z58,0)</f>
        <v>237</v>
      </c>
      <c r="V58" s="1237">
        <f>ROUND(IFERROR(VLOOKUP($C58,사회적유입!$AA$5:$AW$167,20,FALSE),0)*$Z58,0)</f>
        <v>237</v>
      </c>
      <c r="W58" s="1237">
        <f>ROUND(IFERROR(VLOOKUP($C58,사회적유입!$AA$5:$AW$167,21,FALSE),0)*$Z58,0)</f>
        <v>237</v>
      </c>
      <c r="X58" s="1237">
        <f>ROUND(IFERROR(VLOOKUP($C58,사회적유입!$AA$5:$AW$167,22,FALSE),0)*$Z58,0)</f>
        <v>237</v>
      </c>
      <c r="Y58" s="1237">
        <f>ROUND(IFERROR(VLOOKUP($C58,사회적유입!$AA$5:$AW$167,23,FALSE),0)*$Z58,0)</f>
        <v>237</v>
      </c>
      <c r="Z58" s="1098">
        <f>VLOOKUP(C58,$AB$5:$AN$58,9,FALSE)</f>
        <v>1</v>
      </c>
      <c r="AB58" s="2588" t="s">
        <v>1435</v>
      </c>
      <c r="AC58" s="2589"/>
      <c r="AD58" s="2589"/>
      <c r="AE58" s="1053">
        <v>1</v>
      </c>
      <c r="AF58" s="1053"/>
      <c r="AG58" s="1053"/>
      <c r="AH58" s="1053"/>
      <c r="AI58" s="1053"/>
      <c r="AJ58" s="1053"/>
      <c r="AK58" s="1053"/>
      <c r="AL58" s="1053"/>
      <c r="AM58" s="1053"/>
      <c r="AN58" s="1054"/>
    </row>
    <row r="59" spans="1:40" ht="18" customHeight="1" thickBot="1">
      <c r="A59" s="2621"/>
      <c r="B59" s="2616"/>
      <c r="C59" s="856" t="str">
        <f>AB10</f>
        <v>웰메이드타운</v>
      </c>
      <c r="D59" s="1237">
        <f>ROUND(IFERROR(VLOOKUP($C59,사회적유입!$AA$5:$AW$167,2,FALSE),0)*$Z59,0)</f>
        <v>0</v>
      </c>
      <c r="E59" s="1237">
        <f>ROUND(IFERROR(VLOOKUP($C59,사회적유입!$AA$5:$AW$167,3,FALSE),0)*$Z59,0)</f>
        <v>0</v>
      </c>
      <c r="F59" s="1237">
        <f>ROUND(IFERROR(VLOOKUP($C59,사회적유입!$AA$5:$AW$167,4,FALSE),0)*$Z59,0)</f>
        <v>0</v>
      </c>
      <c r="G59" s="1237">
        <f>ROUND(IFERROR(VLOOKUP($C59,사회적유입!$AA$5:$AW$167,5,FALSE),0)*$Z59,0)</f>
        <v>0</v>
      </c>
      <c r="H59" s="1237">
        <f>ROUND(IFERROR(VLOOKUP($C59,사회적유입!$AA$5:$AW$167,6,FALSE),0)*$Z59,0)</f>
        <v>518</v>
      </c>
      <c r="I59" s="1237">
        <f>ROUND(IFERROR(VLOOKUP($C59,사회적유입!$AA$5:$AW$167,7,FALSE),0)*$Z59,0)</f>
        <v>518</v>
      </c>
      <c r="J59" s="1237">
        <f>ROUND(IFERROR(VLOOKUP($C59,사회적유입!$AA$5:$AW$167,8,FALSE),0)*$Z59,0)</f>
        <v>518</v>
      </c>
      <c r="K59" s="1237">
        <f>ROUND(IFERROR(VLOOKUP($C59,사회적유입!$AA$5:$AW$167,9,FALSE),0)*$Z59,0)</f>
        <v>518</v>
      </c>
      <c r="L59" s="1237">
        <f>ROUND(IFERROR(VLOOKUP($C59,사회적유입!$AA$5:$AW$167,10,FALSE),0)*$Z59,0)</f>
        <v>518</v>
      </c>
      <c r="M59" s="1237">
        <f>ROUND(IFERROR(VLOOKUP($C59,사회적유입!$AA$5:$AW$167,11,FALSE),0)*$Z59,0)</f>
        <v>518</v>
      </c>
      <c r="N59" s="1237">
        <f>ROUND(IFERROR(VLOOKUP($C59,사회적유입!$AA$5:$AW$167,12,FALSE),0)*$Z59,0)</f>
        <v>518</v>
      </c>
      <c r="O59" s="1237">
        <f>ROUND(IFERROR(VLOOKUP($C59,사회적유입!$AA$5:$AW$167,13,FALSE),0)*$Z59,0)</f>
        <v>518</v>
      </c>
      <c r="P59" s="1237">
        <f>ROUND(IFERROR(VLOOKUP($C59,사회적유입!$AA$5:$AW$167,14,FALSE),0)*$Z59,0)</f>
        <v>518</v>
      </c>
      <c r="Q59" s="1237">
        <f>ROUND(IFERROR(VLOOKUP($C59,사회적유입!$AA$5:$AW$167,15,FALSE),0)*$Z59,0)</f>
        <v>518</v>
      </c>
      <c r="R59" s="1237">
        <f>ROUND(IFERROR(VLOOKUP($C59,사회적유입!$AA$5:$AW$167,16,FALSE),0)*$Z59,0)</f>
        <v>518</v>
      </c>
      <c r="S59" s="1237">
        <f>ROUND(IFERROR(VLOOKUP($C59,사회적유입!$AA$5:$AW$167,17,FALSE),0)*$Z59,0)</f>
        <v>518</v>
      </c>
      <c r="T59" s="1237">
        <f>ROUND(IFERROR(VLOOKUP($C59,사회적유입!$AA$5:$AW$167,18,FALSE),0)*$Z59,0)</f>
        <v>518</v>
      </c>
      <c r="U59" s="1237">
        <f>ROUND(IFERROR(VLOOKUP($C59,사회적유입!$AA$5:$AW$167,19,FALSE),0)*$Z59,0)</f>
        <v>518</v>
      </c>
      <c r="V59" s="1237">
        <f>ROUND(IFERROR(VLOOKUP($C59,사회적유입!$AA$5:$AW$167,20,FALSE),0)*$Z59,0)</f>
        <v>518</v>
      </c>
      <c r="W59" s="1237">
        <f>ROUND(IFERROR(VLOOKUP($C59,사회적유입!$AA$5:$AW$167,21,FALSE),0)*$Z59,0)</f>
        <v>518</v>
      </c>
      <c r="X59" s="1237">
        <f>ROUND(IFERROR(VLOOKUP($C59,사회적유입!$AA$5:$AW$167,22,FALSE),0)*$Z59,0)</f>
        <v>518</v>
      </c>
      <c r="Y59" s="1237">
        <f>ROUND(IFERROR(VLOOKUP($C59,사회적유입!$AA$5:$AW$167,23,FALSE),0)*$Z59,0)</f>
        <v>518</v>
      </c>
      <c r="Z59" s="1098">
        <f>VLOOKUP(C59,$AB$5:$AN$58,9,FALSE)</f>
        <v>1</v>
      </c>
    </row>
    <row r="60" spans="1:40" ht="18" customHeight="1">
      <c r="A60" s="2621"/>
      <c r="B60" s="2616"/>
      <c r="C60" s="856" t="str">
        <f>AB16</f>
        <v>대소네오지역주택조합</v>
      </c>
      <c r="D60" s="1237">
        <f>ROUND(IFERROR(VLOOKUP($C60,사회적유입!$AA$5:$AW$167,2,FALSE),0)*$Z60,0)</f>
        <v>0</v>
      </c>
      <c r="E60" s="1237">
        <f>ROUND(IFERROR(VLOOKUP($C60,사회적유입!$AA$5:$AW$167,3,FALSE),0)*$Z60,0)</f>
        <v>0</v>
      </c>
      <c r="F60" s="1237">
        <f>ROUND(IFERROR(VLOOKUP($C60,사회적유입!$AA$5:$AW$167,4,FALSE),0)*$Z60,0)</f>
        <v>0</v>
      </c>
      <c r="G60" s="1237">
        <f>ROUND(IFERROR(VLOOKUP($C60,사회적유입!$AA$5:$AW$167,5,FALSE),0)*$Z60,0)</f>
        <v>0</v>
      </c>
      <c r="H60" s="1237">
        <f>ROUND(IFERROR(VLOOKUP($C60,사회적유입!$AA$5:$AW$167,6,FALSE),0)*$Z60,0)</f>
        <v>0</v>
      </c>
      <c r="I60" s="1237">
        <f>ROUND(IFERROR(VLOOKUP($C60,사회적유입!$AA$5:$AW$167,7,FALSE),0)*$Z60,0)</f>
        <v>0</v>
      </c>
      <c r="J60" s="1237">
        <f>ROUND(IFERROR(VLOOKUP($C60,사회적유입!$AA$5:$AW$167,8,FALSE),0)*$Z60,0)</f>
        <v>0</v>
      </c>
      <c r="K60" s="1237">
        <f>ROUND(IFERROR(VLOOKUP($C60,사회적유입!$AA$5:$AW$167,9,FALSE),0)*$Z60,0)</f>
        <v>0</v>
      </c>
      <c r="L60" s="1237">
        <f>ROUND(IFERROR(VLOOKUP($C60,사회적유입!$AA$5:$AW$167,10,FALSE),0)*$Z60,0)</f>
        <v>0</v>
      </c>
      <c r="M60" s="1237">
        <f>ROUND(IFERROR(VLOOKUP($C60,사회적유입!$AA$5:$AW$167,11,FALSE),0)*$Z60,0)</f>
        <v>0</v>
      </c>
      <c r="N60" s="1237">
        <f>ROUND(IFERROR(VLOOKUP($C60,사회적유입!$AA$5:$AW$167,12,FALSE),0)*$Z60,0)</f>
        <v>0</v>
      </c>
      <c r="O60" s="1237">
        <f>ROUND(IFERROR(VLOOKUP($C60,사회적유입!$AA$5:$AW$167,13,FALSE),0)*$Z60,0)</f>
        <v>0</v>
      </c>
      <c r="P60" s="1237">
        <f>ROUND(IFERROR(VLOOKUP($C60,사회적유입!$AA$5:$AW$167,14,FALSE),0)*$Z60,0)</f>
        <v>0</v>
      </c>
      <c r="Q60" s="1237">
        <f>ROUND(IFERROR(VLOOKUP($C60,사회적유입!$AA$5:$AW$167,15,FALSE),0)*$Z60,0)</f>
        <v>0</v>
      </c>
      <c r="R60" s="1237">
        <f>ROUND(IFERROR(VLOOKUP($C60,사회적유입!$AA$5:$AW$167,16,FALSE),0)*$Z60,0)</f>
        <v>0</v>
      </c>
      <c r="S60" s="1237">
        <f>ROUND(IFERROR(VLOOKUP($C60,사회적유입!$AA$5:$AW$167,17,FALSE),0)*$Z60,0)</f>
        <v>0</v>
      </c>
      <c r="T60" s="1237">
        <f>ROUND(IFERROR(VLOOKUP($C60,사회적유입!$AA$5:$AW$167,18,FALSE),0)*$Z60,0)</f>
        <v>0</v>
      </c>
      <c r="U60" s="1237">
        <f>ROUND(IFERROR(VLOOKUP($C60,사회적유입!$AA$5:$AW$167,19,FALSE),0)*$Z60,0)</f>
        <v>0</v>
      </c>
      <c r="V60" s="1237">
        <f>ROUND(IFERROR(VLOOKUP($C60,사회적유입!$AA$5:$AW$167,20,FALSE),0)*$Z60,0)</f>
        <v>0</v>
      </c>
      <c r="W60" s="1237">
        <f>ROUND(IFERROR(VLOOKUP($C60,사회적유입!$AA$5:$AW$167,21,FALSE),0)*$Z60,0)</f>
        <v>0</v>
      </c>
      <c r="X60" s="1237">
        <f>ROUND(IFERROR(VLOOKUP($C60,사회적유입!$AA$5:$AW$167,22,FALSE),0)*$Z60,0)</f>
        <v>0</v>
      </c>
      <c r="Y60" s="1237">
        <f>ROUND(IFERROR(VLOOKUP($C60,사회적유입!$AA$5:$AW$167,23,FALSE),0)*$Z60,0)</f>
        <v>0</v>
      </c>
      <c r="Z60" s="1098">
        <f>VLOOKUP(C60,$AB$5:$AN$58,9,FALSE)</f>
        <v>1</v>
      </c>
      <c r="AB60" s="2603" t="s">
        <v>131</v>
      </c>
      <c r="AC60" s="2604"/>
      <c r="AD60" s="1554" t="s">
        <v>690</v>
      </c>
      <c r="AE60" s="1554" t="s">
        <v>1052</v>
      </c>
      <c r="AF60" s="1554" t="s">
        <v>692</v>
      </c>
      <c r="AG60" s="1554" t="s">
        <v>1056</v>
      </c>
      <c r="AH60" s="1554" t="s">
        <v>1063</v>
      </c>
      <c r="AI60" s="1554" t="s">
        <v>1069</v>
      </c>
      <c r="AJ60" s="1554" t="s">
        <v>696</v>
      </c>
      <c r="AK60" s="1554" t="s">
        <v>1073</v>
      </c>
      <c r="AL60" s="1554" t="s">
        <v>1087</v>
      </c>
      <c r="AM60" s="1554" t="s">
        <v>1125</v>
      </c>
      <c r="AN60" s="116" t="s">
        <v>186</v>
      </c>
    </row>
    <row r="61" spans="1:40" ht="18" customHeight="1">
      <c r="A61" s="2621"/>
      <c r="B61" s="2616"/>
      <c r="C61" s="856" t="str">
        <f>AB17</f>
        <v>음성대소지역주택조합</v>
      </c>
      <c r="D61" s="1237"/>
      <c r="E61" s="1237"/>
      <c r="F61" s="1237"/>
      <c r="G61" s="1237"/>
      <c r="H61" s="1237"/>
      <c r="I61" s="1237"/>
      <c r="J61" s="1237"/>
      <c r="K61" s="1237"/>
      <c r="L61" s="1237"/>
      <c r="M61" s="1237"/>
      <c r="N61" s="1237"/>
      <c r="O61" s="1237"/>
      <c r="P61" s="1237"/>
      <c r="Q61" s="1237"/>
      <c r="R61" s="1237"/>
      <c r="S61" s="1237"/>
      <c r="T61" s="1237"/>
      <c r="U61" s="1237"/>
      <c r="V61" s="1237"/>
      <c r="W61" s="1237"/>
      <c r="X61" s="1237"/>
      <c r="Y61" s="1237"/>
      <c r="Z61" s="1098"/>
      <c r="AB61" s="2592" t="s">
        <v>130</v>
      </c>
      <c r="AC61" s="2593"/>
      <c r="AD61" s="850">
        <v>520.33000000000004</v>
      </c>
      <c r="AE61" s="850">
        <v>86.38</v>
      </c>
      <c r="AF61" s="850">
        <v>71.37</v>
      </c>
      <c r="AG61" s="850">
        <v>48.9</v>
      </c>
      <c r="AH61" s="850">
        <v>64.75</v>
      </c>
      <c r="AI61" s="850">
        <v>34.68</v>
      </c>
      <c r="AJ61" s="850">
        <f>38.17-AN61</f>
        <v>34.72</v>
      </c>
      <c r="AK61" s="850">
        <v>50.59</v>
      </c>
      <c r="AL61" s="850">
        <v>56.02</v>
      </c>
      <c r="AM61" s="850">
        <v>69.47</v>
      </c>
      <c r="AN61" s="851">
        <v>3.45</v>
      </c>
    </row>
    <row r="62" spans="1:40" ht="18" customHeight="1" thickBot="1">
      <c r="A62" s="2621"/>
      <c r="B62" s="2616"/>
      <c r="C62" s="856" t="str">
        <f>AB21</f>
        <v>프리즘환타</v>
      </c>
      <c r="D62" s="1237"/>
      <c r="E62" s="1237"/>
      <c r="F62" s="1237"/>
      <c r="G62" s="1237"/>
      <c r="H62" s="1237"/>
      <c r="I62" s="1237"/>
      <c r="J62" s="1237"/>
      <c r="K62" s="1237"/>
      <c r="L62" s="1237"/>
      <c r="M62" s="1237"/>
      <c r="N62" s="1237"/>
      <c r="O62" s="1237"/>
      <c r="P62" s="1237"/>
      <c r="Q62" s="1237"/>
      <c r="R62" s="1237"/>
      <c r="S62" s="1237"/>
      <c r="T62" s="1237"/>
      <c r="U62" s="1237"/>
      <c r="V62" s="1237"/>
      <c r="W62" s="1237"/>
      <c r="X62" s="1237"/>
      <c r="Y62" s="1237"/>
      <c r="Z62" s="1098"/>
      <c r="AB62" s="2605" t="s">
        <v>132</v>
      </c>
      <c r="AC62" s="2606"/>
      <c r="AD62" s="847">
        <f>SUM(AE62:AN62)</f>
        <v>100.19999999999999</v>
      </c>
      <c r="AE62" s="847">
        <f>ROUND(AE61/$AD$61*100,2)</f>
        <v>16.600000000000001</v>
      </c>
      <c r="AF62" s="847">
        <f>ROUND(AF61/$AD$61*100,2)</f>
        <v>13.72</v>
      </c>
      <c r="AG62" s="847">
        <f>ROUND(AG61/$AD$61*100,2)</f>
        <v>9.4</v>
      </c>
      <c r="AH62" s="847">
        <f>ROUND(AH61/$AD$61*100,2)+1</f>
        <v>13.44</v>
      </c>
      <c r="AI62" s="847">
        <f>ROUND(AI61/$AD$61*100,2)</f>
        <v>6.67</v>
      </c>
      <c r="AJ62" s="847">
        <f>ROUND(AJ61/$AD$61*100,2)-0.2</f>
        <v>6.47</v>
      </c>
      <c r="AK62" s="847">
        <f>ROUND(AK61/$AD$61*100,2)-0.2</f>
        <v>9.5200000000000014</v>
      </c>
      <c r="AL62" s="847">
        <f>ROUND(AL61/$AD$61*100,2)-0.2</f>
        <v>10.57</v>
      </c>
      <c r="AM62" s="847">
        <f>ROUND(AM61/$AD$61*100,2)-0.2</f>
        <v>13.15</v>
      </c>
      <c r="AN62" s="848">
        <f>ROUND(AN61/$AD$61*100,2)</f>
        <v>0.66</v>
      </c>
    </row>
    <row r="63" spans="1:40" ht="18" customHeight="1" thickBot="1">
      <c r="A63" s="2621"/>
      <c r="B63" s="2616"/>
      <c r="C63" s="856" t="str">
        <f>AB27</f>
        <v>소석리아파트(3단지)</v>
      </c>
      <c r="D63" s="1237">
        <f>ROUND(IFERROR(VLOOKUP($C63,사회적유입!$AA$5:$AW$167,2,FALSE),0)*$Z63,0)</f>
        <v>0</v>
      </c>
      <c r="E63" s="1237">
        <f>ROUND(IFERROR(VLOOKUP($C63,사회적유입!$AA$5:$AW$167,3,FALSE),0)*$Z63,0)</f>
        <v>0</v>
      </c>
      <c r="F63" s="1237">
        <f>ROUND(IFERROR(VLOOKUP($C63,사회적유입!$AA$5:$AW$167,4,FALSE),0)*$Z63,0)</f>
        <v>0</v>
      </c>
      <c r="G63" s="1237">
        <f>ROUND(IFERROR(VLOOKUP($C63,사회적유입!$AA$5:$AW$167,5,FALSE),0)*$Z63,0)</f>
        <v>0</v>
      </c>
      <c r="H63" s="1237">
        <f>ROUND(IFERROR(VLOOKUP($C63,사회적유입!$AA$5:$AW$167,6,FALSE),0)*$Z63,0)</f>
        <v>0</v>
      </c>
      <c r="I63" s="1237">
        <f>ROUND(IFERROR(VLOOKUP($C63,사회적유입!$AA$5:$AW$167,7,FALSE),0)*$Z63,0)</f>
        <v>0</v>
      </c>
      <c r="J63" s="1237">
        <f>ROUND(IFERROR(VLOOKUP($C63,사회적유입!$AA$5:$AW$167,8,FALSE),0)*$Z63,0)</f>
        <v>0</v>
      </c>
      <c r="K63" s="1237">
        <f>ROUND(IFERROR(VLOOKUP($C63,사회적유입!$AA$5:$AW$167,9,FALSE),0)*$Z63,0)</f>
        <v>0</v>
      </c>
      <c r="L63" s="1237">
        <f>ROUND(IFERROR(VLOOKUP($C63,사회적유입!$AA$5:$AW$167,10,FALSE),0)*$Z63,0)</f>
        <v>0</v>
      </c>
      <c r="M63" s="1237">
        <f>ROUND(IFERROR(VLOOKUP($C63,사회적유입!$AA$5:$AW$167,11,FALSE),0)*$Z63,0)</f>
        <v>0</v>
      </c>
      <c r="N63" s="1237">
        <f>ROUND(IFERROR(VLOOKUP($C63,사회적유입!$AA$5:$AW$167,12,FALSE),0)*$Z63,0)</f>
        <v>0</v>
      </c>
      <c r="O63" s="1237">
        <f>ROUND(IFERROR(VLOOKUP($C63,사회적유입!$AA$5:$AW$167,13,FALSE),0)*$Z63,0)</f>
        <v>822</v>
      </c>
      <c r="P63" s="1237">
        <f>ROUND(IFERROR(VLOOKUP($C63,사회적유입!$AA$5:$AW$167,14,FALSE),0)*$Z63,0)</f>
        <v>822</v>
      </c>
      <c r="Q63" s="1237">
        <f>ROUND(IFERROR(VLOOKUP($C63,사회적유입!$AA$5:$AW$167,15,FALSE),0)*$Z63,0)</f>
        <v>822</v>
      </c>
      <c r="R63" s="1237">
        <f>ROUND(IFERROR(VLOOKUP($C63,사회적유입!$AA$5:$AW$167,16,FALSE),0)*$Z63,0)</f>
        <v>822</v>
      </c>
      <c r="S63" s="1237">
        <f>ROUND(IFERROR(VLOOKUP($C63,사회적유입!$AA$5:$AW$167,17,FALSE),0)*$Z63,0)</f>
        <v>822</v>
      </c>
      <c r="T63" s="1237">
        <f>ROUND(IFERROR(VLOOKUP($C63,사회적유입!$AA$5:$AW$167,18,FALSE),0)*$Z63,0)</f>
        <v>822</v>
      </c>
      <c r="U63" s="1237">
        <f>ROUND(IFERROR(VLOOKUP($C63,사회적유입!$AA$5:$AW$167,19,FALSE),0)*$Z63,0)</f>
        <v>822</v>
      </c>
      <c r="V63" s="1237">
        <f>ROUND(IFERROR(VLOOKUP($C63,사회적유입!$AA$5:$AW$167,20,FALSE),0)*$Z63,0)</f>
        <v>822</v>
      </c>
      <c r="W63" s="1237">
        <f>ROUND(IFERROR(VLOOKUP($C63,사회적유입!$AA$5:$AW$167,21,FALSE),0)*$Z63,0)</f>
        <v>822</v>
      </c>
      <c r="X63" s="1237">
        <f>ROUND(IFERROR(VLOOKUP($C63,사회적유입!$AA$5:$AW$167,22,FALSE),0)*$Z63,0)</f>
        <v>822</v>
      </c>
      <c r="Y63" s="1237">
        <f>ROUND(IFERROR(VLOOKUP($C63,사회적유입!$AA$5:$AW$167,23,FALSE),0)*$Z63,0)</f>
        <v>822</v>
      </c>
      <c r="Z63" s="1098">
        <f>VLOOKUP(C63,$AB$5:$AN$58,9,FALSE)</f>
        <v>1</v>
      </c>
    </row>
    <row r="64" spans="1:40" ht="18" customHeight="1">
      <c r="A64" s="2621"/>
      <c r="B64" s="2616"/>
      <c r="C64" s="857" t="s">
        <v>72</v>
      </c>
      <c r="D64" s="858">
        <f t="shared" ref="D64:Y64" si="20">SUM(D58:D63)</f>
        <v>0</v>
      </c>
      <c r="E64" s="858">
        <f t="shared" si="20"/>
        <v>0</v>
      </c>
      <c r="F64" s="858">
        <f t="shared" si="20"/>
        <v>0</v>
      </c>
      <c r="G64" s="858">
        <f t="shared" si="20"/>
        <v>0</v>
      </c>
      <c r="H64" s="858">
        <f t="shared" si="20"/>
        <v>518</v>
      </c>
      <c r="I64" s="858">
        <f t="shared" si="20"/>
        <v>755</v>
      </c>
      <c r="J64" s="858">
        <f t="shared" si="20"/>
        <v>755</v>
      </c>
      <c r="K64" s="858">
        <f t="shared" si="20"/>
        <v>755</v>
      </c>
      <c r="L64" s="858">
        <f t="shared" si="20"/>
        <v>755</v>
      </c>
      <c r="M64" s="858">
        <f t="shared" si="20"/>
        <v>755</v>
      </c>
      <c r="N64" s="858">
        <f t="shared" si="20"/>
        <v>755</v>
      </c>
      <c r="O64" s="858">
        <f t="shared" si="20"/>
        <v>1577</v>
      </c>
      <c r="P64" s="858">
        <f t="shared" si="20"/>
        <v>1577</v>
      </c>
      <c r="Q64" s="858">
        <f t="shared" si="20"/>
        <v>1577</v>
      </c>
      <c r="R64" s="858">
        <f t="shared" si="20"/>
        <v>1577</v>
      </c>
      <c r="S64" s="858">
        <f t="shared" si="20"/>
        <v>1577</v>
      </c>
      <c r="T64" s="858">
        <f t="shared" si="20"/>
        <v>1577</v>
      </c>
      <c r="U64" s="858">
        <f t="shared" si="20"/>
        <v>1577</v>
      </c>
      <c r="V64" s="858">
        <f t="shared" si="20"/>
        <v>1577</v>
      </c>
      <c r="W64" s="858">
        <f t="shared" si="20"/>
        <v>1577</v>
      </c>
      <c r="X64" s="858">
        <f t="shared" si="20"/>
        <v>1577</v>
      </c>
      <c r="Y64" s="858">
        <f t="shared" si="20"/>
        <v>1577</v>
      </c>
      <c r="Z64" s="1052"/>
      <c r="AB64" s="2611" t="s">
        <v>131</v>
      </c>
      <c r="AC64" s="2612"/>
      <c r="AD64" s="1554" t="s">
        <v>690</v>
      </c>
      <c r="AE64" s="1554" t="s">
        <v>1052</v>
      </c>
      <c r="AF64" s="1554" t="s">
        <v>692</v>
      </c>
      <c r="AG64" s="1554" t="s">
        <v>1056</v>
      </c>
      <c r="AH64" s="1554" t="s">
        <v>1063</v>
      </c>
      <c r="AI64" s="1554" t="s">
        <v>1069</v>
      </c>
      <c r="AJ64" s="1554" t="s">
        <v>696</v>
      </c>
      <c r="AK64" s="1554" t="s">
        <v>1073</v>
      </c>
      <c r="AL64" s="1554" t="s">
        <v>1087</v>
      </c>
      <c r="AM64" s="1554" t="s">
        <v>1125</v>
      </c>
      <c r="AN64" s="116" t="s">
        <v>186</v>
      </c>
    </row>
    <row r="65" spans="1:40" ht="18" customHeight="1">
      <c r="A65" s="2621"/>
      <c r="B65" s="2616" t="s">
        <v>96</v>
      </c>
      <c r="C65" s="1130" t="str">
        <f>AB29</f>
        <v>리노삼봉산업단지</v>
      </c>
      <c r="D65" s="1237">
        <f>ROUND(IFERROR(INDEX(사회적유입!$AA$4:$AW$165,MATCH($C65,사회적유입!$AA$4:$AA$165,0)-2,2),0)*$Z65,0)</f>
        <v>0</v>
      </c>
      <c r="E65" s="1237">
        <f>ROUND(IFERROR(INDEX(사회적유입!$AA$4:$AW$165,MATCH($C65,사회적유입!$AA$4:$AA$165,0)-2,3),0)*$Z65,0)</f>
        <v>0</v>
      </c>
      <c r="F65" s="1237">
        <f>ROUND(IFERROR(INDEX(사회적유입!$AA$4:$AW$165,MATCH($C65,사회적유입!$AA$4:$AA$165,0)-2,4),0)*$Z65,0)</f>
        <v>0</v>
      </c>
      <c r="G65" s="1237">
        <f>ROUND(IFERROR(INDEX(사회적유입!$AA$4:$AW$165,MATCH($C65,사회적유입!$AA$4:$AA$165,0)-2,5),0)*$Z65,0)</f>
        <v>0</v>
      </c>
      <c r="H65" s="1237">
        <f>ROUND(IFERROR(INDEX(사회적유입!$AA$4:$AW$165,MATCH($C65,사회적유입!$AA$4:$AA$165,0)-2,6),0)*$Z65,0)</f>
        <v>11</v>
      </c>
      <c r="I65" s="1237">
        <f>ROUND(IFERROR(INDEX(사회적유입!$AA$4:$AW$165,MATCH($C65,사회적유입!$AA$4:$AA$165,0)-2,7),0)*$Z65,0)</f>
        <v>34</v>
      </c>
      <c r="J65" s="1237">
        <f>ROUND(IFERROR(INDEX(사회적유입!$AA$4:$AW$165,MATCH($C65,사회적유입!$AA$4:$AA$165,0)-2,8),0)*$Z65,0)</f>
        <v>56</v>
      </c>
      <c r="K65" s="1237">
        <f>ROUND(IFERROR(INDEX(사회적유입!$AA$4:$AW$165,MATCH($C65,사회적유입!$AA$4:$AA$165,0)-2,9),0)*$Z65,0)</f>
        <v>56</v>
      </c>
      <c r="L65" s="1237">
        <f>ROUND(IFERROR(INDEX(사회적유입!$AA$4:$AW$165,MATCH($C65,사회적유입!$AA$4:$AA$165,0)-2,10),0)*$Z65,0)</f>
        <v>56</v>
      </c>
      <c r="M65" s="1237">
        <f>ROUND(IFERROR(INDEX(사회적유입!$AA$4:$AW$165,MATCH($C65,사회적유입!$AA$4:$AA$165,0)-2,11),0)*$Z65,0)</f>
        <v>56</v>
      </c>
      <c r="N65" s="1237">
        <f>ROUND(IFERROR(INDEX(사회적유입!$AA$4:$AW$165,MATCH($C65,사회적유입!$AA$4:$AA$165,0)-2,12),0)*$Z65,0)</f>
        <v>56</v>
      </c>
      <c r="O65" s="1237">
        <f>ROUND(IFERROR(INDEX(사회적유입!$AA$4:$AW$165,MATCH($C65,사회적유입!$AA$4:$AA$165,0)-2,13),0)*$Z65,0)</f>
        <v>56</v>
      </c>
      <c r="P65" s="1237">
        <f>ROUND(IFERROR(INDEX(사회적유입!$AA$4:$AW$165,MATCH($C65,사회적유입!$AA$4:$AA$165,0)-2,14),0)*$Z65,0)</f>
        <v>56</v>
      </c>
      <c r="Q65" s="1237">
        <f>ROUND(IFERROR(INDEX(사회적유입!$AA$4:$AW$165,MATCH($C65,사회적유입!$AA$4:$AA$165,0)-2,15),0)*$Z65,0)</f>
        <v>56</v>
      </c>
      <c r="R65" s="1237">
        <f>ROUND(IFERROR(INDEX(사회적유입!$AA$4:$AW$165,MATCH($C65,사회적유입!$AA$4:$AA$165,0)-2,16),0)*$Z65,0)</f>
        <v>56</v>
      </c>
      <c r="S65" s="1237">
        <f>ROUND(IFERROR(INDEX(사회적유입!$AA$4:$AW$165,MATCH($C65,사회적유입!$AA$4:$AA$165,0)-2,17),0)*$Z65,0)</f>
        <v>56</v>
      </c>
      <c r="T65" s="1237">
        <f>ROUND(IFERROR(INDEX(사회적유입!$AA$4:$AW$165,MATCH($C65,사회적유입!$AA$4:$AA$165,0)-2,18),0)*$Z65,0)</f>
        <v>56</v>
      </c>
      <c r="U65" s="1237">
        <f>ROUND(IFERROR(INDEX(사회적유입!$AA$4:$AW$165,MATCH($C65,사회적유입!$AA$4:$AA$165,0)-2,19),0)*$Z65,0)</f>
        <v>56</v>
      </c>
      <c r="V65" s="1237">
        <f>ROUND(IFERROR(INDEX(사회적유입!$AA$4:$AW$165,MATCH($C65,사회적유입!$AA$4:$AA$165,0)-2,20),0)*$Z65,0)</f>
        <v>56</v>
      </c>
      <c r="W65" s="1237">
        <f>ROUND(IFERROR(INDEX(사회적유입!$AA$4:$AW$165,MATCH($C65,사회적유입!$AA$4:$AA$165,0)-2,21),0)*$Z65,0)</f>
        <v>56</v>
      </c>
      <c r="X65" s="1237">
        <f>ROUND(IFERROR(INDEX(사회적유입!$AA$4:$AW$165,MATCH($C65,사회적유입!$AA$4:$AA$165,0)-2,22),0)*$Z65,0)</f>
        <v>56</v>
      </c>
      <c r="Y65" s="1237">
        <f>ROUND(IFERROR(INDEX(사회적유입!$AA$4:$AW$165,MATCH($C65,사회적유입!$AA$4:$AA$165,0)-2,23),0)*$Z65,0)</f>
        <v>56</v>
      </c>
      <c r="Z65" s="1098">
        <f t="shared" ref="Z65:Z72" si="21">VLOOKUP(C65,$AB$5:$AN$58,9,FALSE)</f>
        <v>0.4</v>
      </c>
      <c r="AB65" s="2592" t="s">
        <v>134</v>
      </c>
      <c r="AC65" s="2593"/>
      <c r="AD65" s="1557">
        <f>SUM(AE65:AN65)</f>
        <v>102023</v>
      </c>
      <c r="AE65" s="1557">
        <v>18028</v>
      </c>
      <c r="AF65" s="1557">
        <v>23018</v>
      </c>
      <c r="AG65" s="1557">
        <v>3087</v>
      </c>
      <c r="AH65" s="1557">
        <v>3419</v>
      </c>
      <c r="AI65" s="1557">
        <f>9247-AN65</f>
        <v>4080</v>
      </c>
      <c r="AJ65" s="1557">
        <v>18938</v>
      </c>
      <c r="AK65" s="1557">
        <v>9249</v>
      </c>
      <c r="AL65" s="1557">
        <v>5193</v>
      </c>
      <c r="AM65" s="1557">
        <v>11844</v>
      </c>
      <c r="AN65" s="171">
        <v>5167</v>
      </c>
    </row>
    <row r="66" spans="1:40" ht="18" customHeight="1" thickBot="1">
      <c r="A66" s="2621"/>
      <c r="B66" s="2616"/>
      <c r="C66" s="1130" t="str">
        <f>AB32</f>
        <v>오선산업단지</v>
      </c>
      <c r="D66" s="1237">
        <f>ROUND(IFERROR(INDEX(사회적유입!$AA$4:$AW$165,MATCH($C66,사회적유입!$AA$4:$AA$165,0)-2,2),0)*$Z66,0)</f>
        <v>0</v>
      </c>
      <c r="E66" s="1237">
        <f>ROUND(IFERROR(INDEX(사회적유입!$AA$4:$AW$165,MATCH($C66,사회적유입!$AA$4:$AA$165,0)-2,3),0)*$Z66,0)</f>
        <v>0</v>
      </c>
      <c r="F66" s="1237">
        <f>ROUND(IFERROR(INDEX(사회적유입!$AA$4:$AW$165,MATCH($C66,사회적유입!$AA$4:$AA$165,0)-2,4),0)*$Z66,0)</f>
        <v>0</v>
      </c>
      <c r="G66" s="1237">
        <f>ROUND(IFERROR(INDEX(사회적유입!$AA$4:$AW$165,MATCH($C66,사회적유입!$AA$4:$AA$165,0)-2,5),0)*$Z66,0)</f>
        <v>0</v>
      </c>
      <c r="H66" s="1237">
        <f>ROUND(IFERROR(INDEX(사회적유입!$AA$4:$AW$165,MATCH($C66,사회적유입!$AA$4:$AA$165,0)-2,6),0)*$Z66,0)</f>
        <v>19</v>
      </c>
      <c r="I66" s="1237">
        <f>ROUND(IFERROR(INDEX(사회적유입!$AA$4:$AW$165,MATCH($C66,사회적유입!$AA$4:$AA$165,0)-2,7),0)*$Z66,0)</f>
        <v>57</v>
      </c>
      <c r="J66" s="1237">
        <f>ROUND(IFERROR(INDEX(사회적유입!$AA$4:$AW$165,MATCH($C66,사회적유입!$AA$4:$AA$165,0)-2,8),0)*$Z66,0)</f>
        <v>95</v>
      </c>
      <c r="K66" s="1237">
        <f>ROUND(IFERROR(INDEX(사회적유입!$AA$4:$AW$165,MATCH($C66,사회적유입!$AA$4:$AA$165,0)-2,9),0)*$Z66,0)</f>
        <v>95</v>
      </c>
      <c r="L66" s="1237">
        <f>ROUND(IFERROR(INDEX(사회적유입!$AA$4:$AW$165,MATCH($C66,사회적유입!$AA$4:$AA$165,0)-2,10),0)*$Z66,0)</f>
        <v>95</v>
      </c>
      <c r="M66" s="1237">
        <f>ROUND(IFERROR(INDEX(사회적유입!$AA$4:$AW$165,MATCH($C66,사회적유입!$AA$4:$AA$165,0)-2,11),0)*$Z66,0)</f>
        <v>95</v>
      </c>
      <c r="N66" s="1237">
        <f>ROUND(IFERROR(INDEX(사회적유입!$AA$4:$AW$165,MATCH($C66,사회적유입!$AA$4:$AA$165,0)-2,12),0)*$Z66,0)</f>
        <v>95</v>
      </c>
      <c r="O66" s="1237">
        <f>ROUND(IFERROR(INDEX(사회적유입!$AA$4:$AW$165,MATCH($C66,사회적유입!$AA$4:$AA$165,0)-2,13),0)*$Z66,0)</f>
        <v>95</v>
      </c>
      <c r="P66" s="1237">
        <f>ROUND(IFERROR(INDEX(사회적유입!$AA$4:$AW$165,MATCH($C66,사회적유입!$AA$4:$AA$165,0)-2,14),0)*$Z66,0)</f>
        <v>95</v>
      </c>
      <c r="Q66" s="1237">
        <f>ROUND(IFERROR(INDEX(사회적유입!$AA$4:$AW$165,MATCH($C66,사회적유입!$AA$4:$AA$165,0)-2,15),0)*$Z66,0)</f>
        <v>95</v>
      </c>
      <c r="R66" s="1237">
        <f>ROUND(IFERROR(INDEX(사회적유입!$AA$4:$AW$165,MATCH($C66,사회적유입!$AA$4:$AA$165,0)-2,16),0)*$Z66,0)</f>
        <v>95</v>
      </c>
      <c r="S66" s="1237">
        <f>ROUND(IFERROR(INDEX(사회적유입!$AA$4:$AW$165,MATCH($C66,사회적유입!$AA$4:$AA$165,0)-2,17),0)*$Z66,0)</f>
        <v>95</v>
      </c>
      <c r="T66" s="1237">
        <f>ROUND(IFERROR(INDEX(사회적유입!$AA$4:$AW$165,MATCH($C66,사회적유입!$AA$4:$AA$165,0)-2,18),0)*$Z66,0)</f>
        <v>95</v>
      </c>
      <c r="U66" s="1237">
        <f>ROUND(IFERROR(INDEX(사회적유입!$AA$4:$AW$165,MATCH($C66,사회적유입!$AA$4:$AA$165,0)-2,19),0)*$Z66,0)</f>
        <v>95</v>
      </c>
      <c r="V66" s="1237">
        <f>ROUND(IFERROR(INDEX(사회적유입!$AA$4:$AW$165,MATCH($C66,사회적유입!$AA$4:$AA$165,0)-2,20),0)*$Z66,0)</f>
        <v>95</v>
      </c>
      <c r="W66" s="1237">
        <f>ROUND(IFERROR(INDEX(사회적유입!$AA$4:$AW$165,MATCH($C66,사회적유입!$AA$4:$AA$165,0)-2,21),0)*$Z66,0)</f>
        <v>95</v>
      </c>
      <c r="X66" s="1237">
        <f>ROUND(IFERROR(INDEX(사회적유입!$AA$4:$AW$165,MATCH($C66,사회적유입!$AA$4:$AA$165,0)-2,22),0)*$Z66,0)</f>
        <v>95</v>
      </c>
      <c r="Y66" s="1237">
        <f>ROUND(IFERROR(INDEX(사회적유입!$AA$4:$AW$165,MATCH($C66,사회적유입!$AA$4:$AA$165,0)-2,23),0)*$Z66,0)</f>
        <v>95</v>
      </c>
      <c r="Z66" s="1098">
        <f t="shared" si="21"/>
        <v>0.2</v>
      </c>
      <c r="AB66" s="2605" t="s">
        <v>132</v>
      </c>
      <c r="AC66" s="2606"/>
      <c r="AD66" s="847">
        <f>SUM(AE66:AN66)</f>
        <v>100.00000000000001</v>
      </c>
      <c r="AE66" s="847">
        <f t="shared" ref="AE66:AM66" si="22">ROUND(AE65/$AD$65*100,2)</f>
        <v>17.670000000000002</v>
      </c>
      <c r="AF66" s="847">
        <f t="shared" si="22"/>
        <v>22.56</v>
      </c>
      <c r="AG66" s="847">
        <f t="shared" si="22"/>
        <v>3.03</v>
      </c>
      <c r="AH66" s="847">
        <f t="shared" si="22"/>
        <v>3.35</v>
      </c>
      <c r="AI66" s="847">
        <f t="shared" si="22"/>
        <v>4</v>
      </c>
      <c r="AJ66" s="847">
        <f t="shared" si="22"/>
        <v>18.559999999999999</v>
      </c>
      <c r="AK66" s="847">
        <f t="shared" si="22"/>
        <v>9.07</v>
      </c>
      <c r="AL66" s="847">
        <f t="shared" si="22"/>
        <v>5.09</v>
      </c>
      <c r="AM66" s="847">
        <f t="shared" si="22"/>
        <v>11.61</v>
      </c>
      <c r="AN66" s="848">
        <f>ROUND(AN65/$AD$65*100,2)</f>
        <v>5.0599999999999996</v>
      </c>
    </row>
    <row r="67" spans="1:40" ht="18" customHeight="1" thickBot="1">
      <c r="A67" s="2621"/>
      <c r="B67" s="2616"/>
      <c r="C67" s="1130" t="str">
        <f>AB33</f>
        <v>유촌산업단지</v>
      </c>
      <c r="D67" s="1237">
        <f>ROUND(IFERROR(INDEX(사회적유입!$AA$4:$AW$165,MATCH($C67,사회적유입!$AA$4:$AA$165,0)-2,2),0)*$Z67,0)</f>
        <v>0</v>
      </c>
      <c r="E67" s="1237">
        <f>ROUND(IFERROR(INDEX(사회적유입!$AA$4:$AW$165,MATCH($C67,사회적유입!$AA$4:$AA$165,0)-2,3),0)*$Z67,0)</f>
        <v>0</v>
      </c>
      <c r="F67" s="1237">
        <f>ROUND(IFERROR(INDEX(사회적유입!$AA$4:$AW$165,MATCH($C67,사회적유입!$AA$4:$AA$165,0)-2,4),0)*$Z67,0)</f>
        <v>0</v>
      </c>
      <c r="G67" s="1237">
        <f>ROUND(IFERROR(INDEX(사회적유입!$AA$4:$AW$165,MATCH($C67,사회적유입!$AA$4:$AA$165,0)-2,5),0)*$Z67,0)</f>
        <v>0</v>
      </c>
      <c r="H67" s="1237">
        <f>ROUND(IFERROR(INDEX(사회적유입!$AA$4:$AW$165,MATCH($C67,사회적유입!$AA$4:$AA$165,0)-2,6),0)*$Z67,0)</f>
        <v>0</v>
      </c>
      <c r="I67" s="1237">
        <f>ROUND(IFERROR(INDEX(사회적유입!$AA$4:$AW$165,MATCH($C67,사회적유입!$AA$4:$AA$165,0)-2,7),0)*$Z67,0)</f>
        <v>47</v>
      </c>
      <c r="J67" s="1237">
        <f>ROUND(IFERROR(INDEX(사회적유입!$AA$4:$AW$165,MATCH($C67,사회적유입!$AA$4:$AA$165,0)-2,8),0)*$Z67,0)</f>
        <v>142</v>
      </c>
      <c r="K67" s="1237">
        <f>ROUND(IFERROR(INDEX(사회적유입!$AA$4:$AW$165,MATCH($C67,사회적유입!$AA$4:$AA$165,0)-2,9),0)*$Z67,0)</f>
        <v>237</v>
      </c>
      <c r="L67" s="1237">
        <f>ROUND(IFERROR(INDEX(사회적유입!$AA$4:$AW$165,MATCH($C67,사회적유입!$AA$4:$AA$165,0)-2,10),0)*$Z67,0)</f>
        <v>237</v>
      </c>
      <c r="M67" s="1237">
        <f>ROUND(IFERROR(INDEX(사회적유입!$AA$4:$AW$165,MATCH($C67,사회적유입!$AA$4:$AA$165,0)-2,11),0)*$Z67,0)</f>
        <v>237</v>
      </c>
      <c r="N67" s="1237">
        <f>ROUND(IFERROR(INDEX(사회적유입!$AA$4:$AW$165,MATCH($C67,사회적유입!$AA$4:$AA$165,0)-2,12),0)*$Z67,0)</f>
        <v>237</v>
      </c>
      <c r="O67" s="1237">
        <f>ROUND(IFERROR(INDEX(사회적유입!$AA$4:$AW$165,MATCH($C67,사회적유입!$AA$4:$AA$165,0)-2,13),0)*$Z67,0)</f>
        <v>237</v>
      </c>
      <c r="P67" s="1237">
        <f>ROUND(IFERROR(INDEX(사회적유입!$AA$4:$AW$165,MATCH($C67,사회적유입!$AA$4:$AA$165,0)-2,14),0)*$Z67,0)</f>
        <v>237</v>
      </c>
      <c r="Q67" s="1237">
        <f>ROUND(IFERROR(INDEX(사회적유입!$AA$4:$AW$165,MATCH($C67,사회적유입!$AA$4:$AA$165,0)-2,15),0)*$Z67,0)</f>
        <v>237</v>
      </c>
      <c r="R67" s="1237">
        <f>ROUND(IFERROR(INDEX(사회적유입!$AA$4:$AW$165,MATCH($C67,사회적유입!$AA$4:$AA$165,0)-2,16),0)*$Z67,0)</f>
        <v>237</v>
      </c>
      <c r="S67" s="1237">
        <f>ROUND(IFERROR(INDEX(사회적유입!$AA$4:$AW$165,MATCH($C67,사회적유입!$AA$4:$AA$165,0)-2,17),0)*$Z67,0)</f>
        <v>237</v>
      </c>
      <c r="T67" s="1237">
        <f>ROUND(IFERROR(INDEX(사회적유입!$AA$4:$AW$165,MATCH($C67,사회적유입!$AA$4:$AA$165,0)-2,18),0)*$Z67,0)</f>
        <v>237</v>
      </c>
      <c r="U67" s="1237">
        <f>ROUND(IFERROR(INDEX(사회적유입!$AA$4:$AW$165,MATCH($C67,사회적유입!$AA$4:$AA$165,0)-2,19),0)*$Z67,0)</f>
        <v>237</v>
      </c>
      <c r="V67" s="1237">
        <f>ROUND(IFERROR(INDEX(사회적유입!$AA$4:$AW$165,MATCH($C67,사회적유입!$AA$4:$AA$165,0)-2,20),0)*$Z67,0)</f>
        <v>237</v>
      </c>
      <c r="W67" s="1237">
        <f>ROUND(IFERROR(INDEX(사회적유입!$AA$4:$AW$165,MATCH($C67,사회적유입!$AA$4:$AA$165,0)-2,21),0)*$Z67,0)</f>
        <v>237</v>
      </c>
      <c r="X67" s="1237">
        <f>ROUND(IFERROR(INDEX(사회적유입!$AA$4:$AW$165,MATCH($C67,사회적유입!$AA$4:$AA$165,0)-2,22),0)*$Z67,0)</f>
        <v>237</v>
      </c>
      <c r="Y67" s="1237">
        <f>ROUND(IFERROR(INDEX(사회적유입!$AA$4:$AW$165,MATCH($C67,사회적유입!$AA$4:$AA$165,0)-2,23),0)*$Z67,0)</f>
        <v>237</v>
      </c>
      <c r="Z67" s="1098">
        <f t="shared" si="21"/>
        <v>0.3</v>
      </c>
      <c r="AB67" s="46"/>
      <c r="AC67" s="46"/>
      <c r="AD67" s="46"/>
      <c r="AE67" s="46"/>
      <c r="AF67" s="46"/>
      <c r="AG67" s="46"/>
      <c r="AH67" s="46"/>
    </row>
    <row r="68" spans="1:40" ht="18" customHeight="1">
      <c r="A68" s="2621"/>
      <c r="B68" s="2616"/>
      <c r="C68" s="1130" t="str">
        <f>AB35</f>
        <v>성본산업단지</v>
      </c>
      <c r="D68" s="1237">
        <f>ROUND(IFERROR(INDEX(사회적유입!$AA$4:$AW$165,MATCH($C68,사회적유입!$AA$4:$AA$165,0)-2,2),0)*$Z68,0)</f>
        <v>0</v>
      </c>
      <c r="E68" s="1237">
        <f>ROUND(IFERROR(INDEX(사회적유입!$AA$4:$AW$165,MATCH($C68,사회적유입!$AA$4:$AA$165,0)-2,3),0)*$Z68,0)</f>
        <v>0</v>
      </c>
      <c r="F68" s="1237">
        <f>ROUND(IFERROR(INDEX(사회적유입!$AA$4:$AW$165,MATCH($C68,사회적유입!$AA$4:$AA$165,0)-2,4),0)*$Z68,0)</f>
        <v>0</v>
      </c>
      <c r="G68" s="1237">
        <f>ROUND(IFERROR(INDEX(사회적유입!$AA$4:$AW$165,MATCH($C68,사회적유입!$AA$4:$AA$165,0)-2,5),0)*$Z68,0)</f>
        <v>0</v>
      </c>
      <c r="H68" s="1237">
        <f>ROUND(IFERROR(INDEX(사회적유입!$AA$4:$AW$165,MATCH($C68,사회적유입!$AA$4:$AA$165,0)-2,6),0)*$Z68,0)</f>
        <v>0</v>
      </c>
      <c r="I68" s="1237">
        <f>ROUND(IFERROR(INDEX(사회적유입!$AA$4:$AW$165,MATCH($C68,사회적유입!$AA$4:$AA$165,0)-2,7),0)*$Z68,0)</f>
        <v>0</v>
      </c>
      <c r="J68" s="1237">
        <f>ROUND(IFERROR(INDEX(사회적유입!$AA$4:$AW$165,MATCH($C68,사회적유입!$AA$4:$AA$165,0)-2,8),0)*$Z68,0)</f>
        <v>0</v>
      </c>
      <c r="K68" s="1237">
        <f>ROUND(IFERROR(INDEX(사회적유입!$AA$4:$AW$165,MATCH($C68,사회적유입!$AA$4:$AA$165,0)-2,9),0)*$Z68,0)</f>
        <v>0</v>
      </c>
      <c r="L68" s="1237">
        <f>ROUND(IFERROR(INDEX(사회적유입!$AA$4:$AW$165,MATCH($C68,사회적유입!$AA$4:$AA$165,0)-2,10),0)*$Z68,0)</f>
        <v>0</v>
      </c>
      <c r="M68" s="1237">
        <f>ROUND(IFERROR(INDEX(사회적유입!$AA$4:$AW$165,MATCH($C68,사회적유입!$AA$4:$AA$165,0)-2,11),0)*$Z68,0)</f>
        <v>0</v>
      </c>
      <c r="N68" s="1237">
        <f>ROUND(IFERROR(INDEX(사회적유입!$AA$4:$AW$165,MATCH($C68,사회적유입!$AA$4:$AA$165,0)-2,12),0)*$Z68,0)</f>
        <v>0</v>
      </c>
      <c r="O68" s="1237">
        <f>ROUND(IFERROR(INDEX(사회적유입!$AA$4:$AW$165,MATCH($C68,사회적유입!$AA$4:$AA$165,0)-2,13),0)*$Z68,0)</f>
        <v>0</v>
      </c>
      <c r="P68" s="1237">
        <f>ROUND(IFERROR(INDEX(사회적유입!$AA$4:$AW$165,MATCH($C68,사회적유입!$AA$4:$AA$165,0)-2,14),0)*$Z68,0)</f>
        <v>0</v>
      </c>
      <c r="Q68" s="1237">
        <f>ROUND(IFERROR(INDEX(사회적유입!$AA$4:$AW$165,MATCH($C68,사회적유입!$AA$4:$AA$165,0)-2,15),0)*$Z68,0)</f>
        <v>0</v>
      </c>
      <c r="R68" s="1237">
        <f>ROUND(IFERROR(INDEX(사회적유입!$AA$4:$AW$165,MATCH($C68,사회적유입!$AA$4:$AA$165,0)-2,16),0)*$Z68,0)</f>
        <v>0</v>
      </c>
      <c r="S68" s="1237">
        <f>ROUND(IFERROR(INDEX(사회적유입!$AA$4:$AW$165,MATCH($C68,사회적유입!$AA$4:$AA$165,0)-2,17),0)*$Z68,0)</f>
        <v>0</v>
      </c>
      <c r="T68" s="1237">
        <f>ROUND(IFERROR(INDEX(사회적유입!$AA$4:$AW$165,MATCH($C68,사회적유입!$AA$4:$AA$165,0)-2,18),0)*$Z68,0)</f>
        <v>0</v>
      </c>
      <c r="U68" s="1237">
        <f>ROUND(IFERROR(INDEX(사회적유입!$AA$4:$AW$165,MATCH($C68,사회적유입!$AA$4:$AA$165,0)-2,19),0)*$Z68,0)</f>
        <v>0</v>
      </c>
      <c r="V68" s="1237">
        <f>ROUND(IFERROR(INDEX(사회적유입!$AA$4:$AW$165,MATCH($C68,사회적유입!$AA$4:$AA$165,0)-2,20),0)*$Z68,0)</f>
        <v>0</v>
      </c>
      <c r="W68" s="1237">
        <f>ROUND(IFERROR(INDEX(사회적유입!$AA$4:$AW$165,MATCH($C68,사회적유입!$AA$4:$AA$165,0)-2,21),0)*$Z68,0)</f>
        <v>0</v>
      </c>
      <c r="X68" s="1237">
        <f>ROUND(IFERROR(INDEX(사회적유입!$AA$4:$AW$165,MATCH($C68,사회적유입!$AA$4:$AA$165,0)-2,22),0)*$Z68,0)</f>
        <v>0</v>
      </c>
      <c r="Y68" s="1237">
        <f>ROUND(IFERROR(INDEX(사회적유입!$AA$4:$AW$165,MATCH($C68,사회적유입!$AA$4:$AA$165,0)-2,23),0)*$Z68,0)</f>
        <v>0</v>
      </c>
      <c r="Z68" s="1098">
        <f t="shared" si="21"/>
        <v>0</v>
      </c>
      <c r="AB68" s="2611" t="s">
        <v>131</v>
      </c>
      <c r="AC68" s="2612"/>
      <c r="AD68" s="1554" t="s">
        <v>690</v>
      </c>
      <c r="AE68" s="1554" t="s">
        <v>1052</v>
      </c>
      <c r="AF68" s="1554" t="s">
        <v>692</v>
      </c>
      <c r="AG68" s="1554" t="s">
        <v>1056</v>
      </c>
      <c r="AH68" s="1554" t="s">
        <v>1063</v>
      </c>
      <c r="AI68" s="1554" t="s">
        <v>1069</v>
      </c>
      <c r="AJ68" s="1554" t="s">
        <v>696</v>
      </c>
      <c r="AK68" s="1554" t="s">
        <v>1073</v>
      </c>
      <c r="AL68" s="1554" t="s">
        <v>1087</v>
      </c>
      <c r="AM68" s="1554" t="s">
        <v>1125</v>
      </c>
      <c r="AN68" s="116" t="s">
        <v>186</v>
      </c>
    </row>
    <row r="69" spans="1:40" ht="18" customHeight="1">
      <c r="A69" s="2621"/>
      <c r="B69" s="2616"/>
      <c r="C69" s="1130" t="str">
        <f>AB36</f>
        <v>금왕테크노밸리</v>
      </c>
      <c r="D69" s="1237">
        <f>ROUND(IFERROR(INDEX(사회적유입!$AA$4:$AW$165,MATCH($C69,사회적유입!$AA$4:$AA$165,0)-2,2),0)*$Z69,0)</f>
        <v>0</v>
      </c>
      <c r="E69" s="1237">
        <f>ROUND(IFERROR(INDEX(사회적유입!$AA$4:$AW$165,MATCH($C69,사회적유입!$AA$4:$AA$165,0)-2,3),0)*$Z69,0)</f>
        <v>0</v>
      </c>
      <c r="F69" s="1237">
        <f>ROUND(IFERROR(INDEX(사회적유입!$AA$4:$AW$165,MATCH($C69,사회적유입!$AA$4:$AA$165,0)-2,4),0)*$Z69,0)</f>
        <v>0</v>
      </c>
      <c r="G69" s="1237">
        <f>ROUND(IFERROR(INDEX(사회적유입!$AA$4:$AW$165,MATCH($C69,사회적유입!$AA$4:$AA$165,0)-2,5),0)*$Z69,0)</f>
        <v>0</v>
      </c>
      <c r="H69" s="1237">
        <f>ROUND(IFERROR(INDEX(사회적유입!$AA$4:$AW$165,MATCH($C69,사회적유입!$AA$4:$AA$165,0)-2,6),0)*$Z69,0)</f>
        <v>0</v>
      </c>
      <c r="I69" s="1237">
        <f>ROUND(IFERROR(INDEX(사회적유입!$AA$4:$AW$165,MATCH($C69,사회적유입!$AA$4:$AA$165,0)-2,7),0)*$Z69,0)</f>
        <v>123</v>
      </c>
      <c r="J69" s="1237">
        <f>ROUND(IFERROR(INDEX(사회적유입!$AA$4:$AW$165,MATCH($C69,사회적유입!$AA$4:$AA$165,0)-2,8),0)*$Z69,0)</f>
        <v>368</v>
      </c>
      <c r="K69" s="1237">
        <f>ROUND(IFERROR(INDEX(사회적유입!$AA$4:$AW$165,MATCH($C69,사회적유입!$AA$4:$AA$165,0)-2,9),0)*$Z69,0)</f>
        <v>614</v>
      </c>
      <c r="L69" s="1237">
        <f>ROUND(IFERROR(INDEX(사회적유입!$AA$4:$AW$165,MATCH($C69,사회적유입!$AA$4:$AA$165,0)-2,10),0)*$Z69,0)</f>
        <v>614</v>
      </c>
      <c r="M69" s="1237">
        <f>ROUND(IFERROR(INDEX(사회적유입!$AA$4:$AW$165,MATCH($C69,사회적유입!$AA$4:$AA$165,0)-2,11),0)*$Z69,0)</f>
        <v>614</v>
      </c>
      <c r="N69" s="1237">
        <f>ROUND(IFERROR(INDEX(사회적유입!$AA$4:$AW$165,MATCH($C69,사회적유입!$AA$4:$AA$165,0)-2,12),0)*$Z69,0)</f>
        <v>614</v>
      </c>
      <c r="O69" s="1237">
        <f>ROUND(IFERROR(INDEX(사회적유입!$AA$4:$AW$165,MATCH($C69,사회적유입!$AA$4:$AA$165,0)-2,13),0)*$Z69,0)</f>
        <v>614</v>
      </c>
      <c r="P69" s="1237">
        <f>ROUND(IFERROR(INDEX(사회적유입!$AA$4:$AW$165,MATCH($C69,사회적유입!$AA$4:$AA$165,0)-2,14),0)*$Z69,0)</f>
        <v>614</v>
      </c>
      <c r="Q69" s="1237">
        <f>ROUND(IFERROR(INDEX(사회적유입!$AA$4:$AW$165,MATCH($C69,사회적유입!$AA$4:$AA$165,0)-2,15),0)*$Z69,0)</f>
        <v>614</v>
      </c>
      <c r="R69" s="1237">
        <f>ROUND(IFERROR(INDEX(사회적유입!$AA$4:$AW$165,MATCH($C69,사회적유입!$AA$4:$AA$165,0)-2,16),0)*$Z69,0)</f>
        <v>614</v>
      </c>
      <c r="S69" s="1237">
        <f>ROUND(IFERROR(INDEX(사회적유입!$AA$4:$AW$165,MATCH($C69,사회적유입!$AA$4:$AA$165,0)-2,17),0)*$Z69,0)</f>
        <v>614</v>
      </c>
      <c r="T69" s="1237">
        <f>ROUND(IFERROR(INDEX(사회적유입!$AA$4:$AW$165,MATCH($C69,사회적유입!$AA$4:$AA$165,0)-2,18),0)*$Z69,0)</f>
        <v>614</v>
      </c>
      <c r="U69" s="1237">
        <f>ROUND(IFERROR(INDEX(사회적유입!$AA$4:$AW$165,MATCH($C69,사회적유입!$AA$4:$AA$165,0)-2,19),0)*$Z69,0)</f>
        <v>614</v>
      </c>
      <c r="V69" s="1237">
        <f>ROUND(IFERROR(INDEX(사회적유입!$AA$4:$AW$165,MATCH($C69,사회적유입!$AA$4:$AA$165,0)-2,20),0)*$Z69,0)</f>
        <v>614</v>
      </c>
      <c r="W69" s="1237">
        <f>ROUND(IFERROR(INDEX(사회적유입!$AA$4:$AW$165,MATCH($C69,사회적유입!$AA$4:$AA$165,0)-2,21),0)*$Z69,0)</f>
        <v>614</v>
      </c>
      <c r="X69" s="1237">
        <f>ROUND(IFERROR(INDEX(사회적유입!$AA$4:$AW$165,MATCH($C69,사회적유입!$AA$4:$AA$165,0)-2,22),0)*$Z69,0)</f>
        <v>614</v>
      </c>
      <c r="Y69" s="1237">
        <f>ROUND(IFERROR(INDEX(사회적유입!$AA$4:$AW$165,MATCH($C69,사회적유입!$AA$4:$AA$165,0)-2,23),0)*$Z69,0)</f>
        <v>614</v>
      </c>
      <c r="Z69" s="1098">
        <f t="shared" si="21"/>
        <v>0.3</v>
      </c>
      <c r="AB69" s="2597" t="str">
        <f t="shared" ref="AB69:AB77" si="23">AB29</f>
        <v>리노삼봉산업단지</v>
      </c>
      <c r="AC69" s="2598"/>
      <c r="AD69" s="1557">
        <f t="shared" ref="AD69:AD77" si="24">SUM(AE69:AN69)</f>
        <v>69231</v>
      </c>
      <c r="AE69" s="1557">
        <f>+AE65</f>
        <v>18028</v>
      </c>
      <c r="AF69" s="1557">
        <f>+AF65</f>
        <v>23018</v>
      </c>
      <c r="AG69" s="1557"/>
      <c r="AH69" s="1557"/>
      <c r="AI69" s="1557">
        <f>AI65</f>
        <v>4080</v>
      </c>
      <c r="AJ69" s="1557">
        <f>+AJ65</f>
        <v>18938</v>
      </c>
      <c r="AK69" s="1557"/>
      <c r="AL69" s="1557"/>
      <c r="AM69" s="1557"/>
      <c r="AN69" s="171">
        <f>AN65</f>
        <v>5167</v>
      </c>
    </row>
    <row r="70" spans="1:40" ht="18" customHeight="1">
      <c r="A70" s="2621"/>
      <c r="B70" s="2616"/>
      <c r="C70" s="1130" t="str">
        <f>AB37</f>
        <v>성안산업단지</v>
      </c>
      <c r="D70" s="1237">
        <f>ROUND(IFERROR(INDEX(사회적유입!$AA$4:$AW$165,MATCH($C70,사회적유입!$AA$4:$AA$165,0)-2,2),0)*$Z70,0)</f>
        <v>0</v>
      </c>
      <c r="E70" s="1237">
        <f>ROUND(IFERROR(INDEX(사회적유입!$AA$4:$AW$165,MATCH($C70,사회적유입!$AA$4:$AA$165,0)-2,3),0)*$Z70,0)</f>
        <v>0</v>
      </c>
      <c r="F70" s="1237">
        <f>ROUND(IFERROR(INDEX(사회적유입!$AA$4:$AW$165,MATCH($C70,사회적유입!$AA$4:$AA$165,0)-2,4),0)*$Z70,0)</f>
        <v>0</v>
      </c>
      <c r="G70" s="1237">
        <f>ROUND(IFERROR(INDEX(사회적유입!$AA$4:$AW$165,MATCH($C70,사회적유입!$AA$4:$AA$165,0)-2,5),0)*$Z70,0)</f>
        <v>0</v>
      </c>
      <c r="H70" s="1237">
        <f>ROUND(IFERROR(INDEX(사회적유입!$AA$4:$AW$165,MATCH($C70,사회적유입!$AA$4:$AA$165,0)-2,6),0)*$Z70,0)</f>
        <v>0</v>
      </c>
      <c r="I70" s="1237">
        <f>ROUND(IFERROR(INDEX(사회적유입!$AA$4:$AW$165,MATCH($C70,사회적유입!$AA$4:$AA$165,0)-2,7),0)*$Z70,0)</f>
        <v>3</v>
      </c>
      <c r="J70" s="1237">
        <f>ROUND(IFERROR(INDEX(사회적유입!$AA$4:$AW$165,MATCH($C70,사회적유입!$AA$4:$AA$165,0)-2,8),0)*$Z70,0)</f>
        <v>10</v>
      </c>
      <c r="K70" s="1237">
        <f>ROUND(IFERROR(INDEX(사회적유입!$AA$4:$AW$165,MATCH($C70,사회적유입!$AA$4:$AA$165,0)-2,9),0)*$Z70,0)</f>
        <v>16</v>
      </c>
      <c r="L70" s="1237">
        <f>ROUND(IFERROR(INDEX(사회적유입!$AA$4:$AW$165,MATCH($C70,사회적유입!$AA$4:$AA$165,0)-2,10),0)*$Z70,0)</f>
        <v>16</v>
      </c>
      <c r="M70" s="1237">
        <f>ROUND(IFERROR(INDEX(사회적유입!$AA$4:$AW$165,MATCH($C70,사회적유입!$AA$4:$AA$165,0)-2,11),0)*$Z70,0)</f>
        <v>16</v>
      </c>
      <c r="N70" s="1237">
        <f>ROUND(IFERROR(INDEX(사회적유입!$AA$4:$AW$165,MATCH($C70,사회적유입!$AA$4:$AA$165,0)-2,12),0)*$Z70,0)</f>
        <v>16</v>
      </c>
      <c r="O70" s="1237">
        <f>ROUND(IFERROR(INDEX(사회적유입!$AA$4:$AW$165,MATCH($C70,사회적유입!$AA$4:$AA$165,0)-2,13),0)*$Z70,0)</f>
        <v>16</v>
      </c>
      <c r="P70" s="1237">
        <f>ROUND(IFERROR(INDEX(사회적유입!$AA$4:$AW$165,MATCH($C70,사회적유입!$AA$4:$AA$165,0)-2,14),0)*$Z70,0)</f>
        <v>16</v>
      </c>
      <c r="Q70" s="1237">
        <f>ROUND(IFERROR(INDEX(사회적유입!$AA$4:$AW$165,MATCH($C70,사회적유입!$AA$4:$AA$165,0)-2,15),0)*$Z70,0)</f>
        <v>16</v>
      </c>
      <c r="R70" s="1237">
        <f>ROUND(IFERROR(INDEX(사회적유입!$AA$4:$AW$165,MATCH($C70,사회적유입!$AA$4:$AA$165,0)-2,16),0)*$Z70,0)</f>
        <v>16</v>
      </c>
      <c r="S70" s="1237">
        <f>ROUND(IFERROR(INDEX(사회적유입!$AA$4:$AW$165,MATCH($C70,사회적유입!$AA$4:$AA$165,0)-2,17),0)*$Z70,0)</f>
        <v>16</v>
      </c>
      <c r="T70" s="1237">
        <f>ROUND(IFERROR(INDEX(사회적유입!$AA$4:$AW$165,MATCH($C70,사회적유입!$AA$4:$AA$165,0)-2,18),0)*$Z70,0)</f>
        <v>16</v>
      </c>
      <c r="U70" s="1237">
        <f>ROUND(IFERROR(INDEX(사회적유입!$AA$4:$AW$165,MATCH($C70,사회적유입!$AA$4:$AA$165,0)-2,19),0)*$Z70,0)</f>
        <v>16</v>
      </c>
      <c r="V70" s="1237">
        <f>ROUND(IFERROR(INDEX(사회적유입!$AA$4:$AW$165,MATCH($C70,사회적유입!$AA$4:$AA$165,0)-2,20),0)*$Z70,0)</f>
        <v>16</v>
      </c>
      <c r="W70" s="1237">
        <f>ROUND(IFERROR(INDEX(사회적유입!$AA$4:$AW$165,MATCH($C70,사회적유입!$AA$4:$AA$165,0)-2,21),0)*$Z70,0)</f>
        <v>16</v>
      </c>
      <c r="X70" s="1237">
        <f>ROUND(IFERROR(INDEX(사회적유입!$AA$4:$AW$165,MATCH($C70,사회적유입!$AA$4:$AA$165,0)-2,22),0)*$Z70,0)</f>
        <v>16</v>
      </c>
      <c r="Y70" s="1237">
        <f>ROUND(IFERROR(INDEX(사회적유입!$AA$4:$AW$165,MATCH($C70,사회적유입!$AA$4:$AA$165,0)-2,23),0)*$Z70,0)</f>
        <v>16</v>
      </c>
      <c r="Z70" s="1098">
        <f t="shared" si="21"/>
        <v>0.3</v>
      </c>
      <c r="AB70" s="2597" t="str">
        <f t="shared" si="23"/>
        <v>상우산업단지</v>
      </c>
      <c r="AC70" s="2598"/>
      <c r="AD70" s="1557">
        <f t="shared" si="24"/>
        <v>17037</v>
      </c>
      <c r="AE70" s="61"/>
      <c r="AF70" s="61"/>
      <c r="AG70" s="61"/>
      <c r="AH70" s="61"/>
      <c r="AI70" s="1557"/>
      <c r="AJ70" s="1557"/>
      <c r="AK70" s="1557"/>
      <c r="AL70" s="61">
        <f>+AL65</f>
        <v>5193</v>
      </c>
      <c r="AM70" s="61">
        <f>+AM65</f>
        <v>11844</v>
      </c>
      <c r="AN70" s="171"/>
    </row>
    <row r="71" spans="1:40" ht="18" customHeight="1">
      <c r="A71" s="2621"/>
      <c r="B71" s="2616"/>
      <c r="C71" s="1130" t="str">
        <f>AB38</f>
        <v>중부산업단지</v>
      </c>
      <c r="D71" s="1237">
        <f>ROUND(IFERROR(INDEX(사회적유입!$AA$4:$AW$165,MATCH($C71,사회적유입!$AA$4:$AA$165,0)-2,2),0)*$Z71,0)</f>
        <v>0</v>
      </c>
      <c r="E71" s="1237">
        <f>ROUND(IFERROR(INDEX(사회적유입!$AA$4:$AW$165,MATCH($C71,사회적유입!$AA$4:$AA$165,0)-2,3),0)*$Z71,0)</f>
        <v>0</v>
      </c>
      <c r="F71" s="1237">
        <f>ROUND(IFERROR(INDEX(사회적유입!$AA$4:$AW$165,MATCH($C71,사회적유입!$AA$4:$AA$165,0)-2,4),0)*$Z71,0)</f>
        <v>0</v>
      </c>
      <c r="G71" s="1237">
        <f>ROUND(IFERROR(INDEX(사회적유입!$AA$4:$AW$165,MATCH($C71,사회적유입!$AA$4:$AA$165,0)-2,5),0)*$Z71,0)</f>
        <v>0</v>
      </c>
      <c r="H71" s="1237">
        <f>ROUND(IFERROR(INDEX(사회적유입!$AA$4:$AW$165,MATCH($C71,사회적유입!$AA$4:$AA$165,0)-2,6),0)*$Z71,0)</f>
        <v>20</v>
      </c>
      <c r="I71" s="1237">
        <f>ROUND(IFERROR(INDEX(사회적유입!$AA$4:$AW$165,MATCH($C71,사회적유입!$AA$4:$AA$165,0)-2,7),0)*$Z71,0)</f>
        <v>61</v>
      </c>
      <c r="J71" s="1237">
        <f>ROUND(IFERROR(INDEX(사회적유입!$AA$4:$AW$165,MATCH($C71,사회적유입!$AA$4:$AA$165,0)-2,8),0)*$Z71,0)</f>
        <v>102</v>
      </c>
      <c r="K71" s="1237">
        <f>ROUND(IFERROR(INDEX(사회적유입!$AA$4:$AW$165,MATCH($C71,사회적유입!$AA$4:$AA$165,0)-2,9),0)*$Z71,0)</f>
        <v>102</v>
      </c>
      <c r="L71" s="1237">
        <f>ROUND(IFERROR(INDEX(사회적유입!$AA$4:$AW$165,MATCH($C71,사회적유입!$AA$4:$AA$165,0)-2,10),0)*$Z71,0)</f>
        <v>102</v>
      </c>
      <c r="M71" s="1237">
        <f>ROUND(IFERROR(INDEX(사회적유입!$AA$4:$AW$165,MATCH($C71,사회적유입!$AA$4:$AA$165,0)-2,11),0)*$Z71,0)</f>
        <v>102</v>
      </c>
      <c r="N71" s="1237">
        <f>ROUND(IFERROR(INDEX(사회적유입!$AA$4:$AW$165,MATCH($C71,사회적유입!$AA$4:$AA$165,0)-2,12),0)*$Z71,0)</f>
        <v>102</v>
      </c>
      <c r="O71" s="1237">
        <f>ROUND(IFERROR(INDEX(사회적유입!$AA$4:$AW$165,MATCH($C71,사회적유입!$AA$4:$AA$165,0)-2,13),0)*$Z71,0)</f>
        <v>102</v>
      </c>
      <c r="P71" s="1237">
        <f>ROUND(IFERROR(INDEX(사회적유입!$AA$4:$AW$165,MATCH($C71,사회적유입!$AA$4:$AA$165,0)-2,14),0)*$Z71,0)</f>
        <v>102</v>
      </c>
      <c r="Q71" s="1237">
        <f>ROUND(IFERROR(INDEX(사회적유입!$AA$4:$AW$165,MATCH($C71,사회적유입!$AA$4:$AA$165,0)-2,15),0)*$Z71,0)</f>
        <v>102</v>
      </c>
      <c r="R71" s="1237">
        <f>ROUND(IFERROR(INDEX(사회적유입!$AA$4:$AW$165,MATCH($C71,사회적유입!$AA$4:$AA$165,0)-2,16),0)*$Z71,0)</f>
        <v>102</v>
      </c>
      <c r="S71" s="1237">
        <f>ROUND(IFERROR(INDEX(사회적유입!$AA$4:$AW$165,MATCH($C71,사회적유입!$AA$4:$AA$165,0)-2,17),0)*$Z71,0)</f>
        <v>102</v>
      </c>
      <c r="T71" s="1237">
        <f>ROUND(IFERROR(INDEX(사회적유입!$AA$4:$AW$165,MATCH($C71,사회적유입!$AA$4:$AA$165,0)-2,18),0)*$Z71,0)</f>
        <v>102</v>
      </c>
      <c r="U71" s="1237">
        <f>ROUND(IFERROR(INDEX(사회적유입!$AA$4:$AW$165,MATCH($C71,사회적유입!$AA$4:$AA$165,0)-2,19),0)*$Z71,0)</f>
        <v>102</v>
      </c>
      <c r="V71" s="1237">
        <f>ROUND(IFERROR(INDEX(사회적유입!$AA$4:$AW$165,MATCH($C71,사회적유입!$AA$4:$AA$165,0)-2,20),0)*$Z71,0)</f>
        <v>102</v>
      </c>
      <c r="W71" s="1237">
        <f>ROUND(IFERROR(INDEX(사회적유입!$AA$4:$AW$165,MATCH($C71,사회적유입!$AA$4:$AA$165,0)-2,21),0)*$Z71,0)</f>
        <v>102</v>
      </c>
      <c r="X71" s="1237">
        <f>ROUND(IFERROR(INDEX(사회적유입!$AA$4:$AW$165,MATCH($C71,사회적유입!$AA$4:$AA$165,0)-2,22),0)*$Z71,0)</f>
        <v>102</v>
      </c>
      <c r="Y71" s="1237">
        <f>ROUND(IFERROR(INDEX(사회적유입!$AA$4:$AW$165,MATCH($C71,사회적유입!$AA$4:$AA$165,0)-2,23),0)*$Z71,0)</f>
        <v>102</v>
      </c>
      <c r="Z71" s="1098">
        <f t="shared" si="21"/>
        <v>0.8</v>
      </c>
      <c r="AB71" s="2597" t="str">
        <f t="shared" si="23"/>
        <v>신천보부산업단지</v>
      </c>
      <c r="AC71" s="2598"/>
      <c r="AD71" s="1557">
        <f t="shared" si="24"/>
        <v>24534</v>
      </c>
      <c r="AE71" s="61">
        <f>AE65</f>
        <v>18028</v>
      </c>
      <c r="AF71" s="61"/>
      <c r="AG71" s="61">
        <f>AG65</f>
        <v>3087</v>
      </c>
      <c r="AH71" s="61">
        <f>AH65</f>
        <v>3419</v>
      </c>
      <c r="AI71" s="1557"/>
      <c r="AJ71" s="1557"/>
      <c r="AK71" s="1557"/>
      <c r="AL71" s="1557"/>
      <c r="AM71" s="1557"/>
      <c r="AN71" s="171"/>
    </row>
    <row r="72" spans="1:40" ht="18" customHeight="1">
      <c r="A72" s="2621"/>
      <c r="B72" s="2616"/>
      <c r="C72" s="1130" t="str">
        <f>AB49</f>
        <v>대소산업단지 확장</v>
      </c>
      <c r="D72" s="1237">
        <f>ROUND(IFERROR(INDEX(사회적유입!$AA$4:$AW$165,MATCH($C72,사회적유입!$AA$4:$AA$165,0)-2,2),0)*$Z72,0)</f>
        <v>0</v>
      </c>
      <c r="E72" s="1237">
        <f>ROUND(IFERROR(INDEX(사회적유입!$AA$4:$AW$165,MATCH($C72,사회적유입!$AA$4:$AA$165,0)-2,3),0)*$Z72,0)</f>
        <v>0</v>
      </c>
      <c r="F72" s="1237">
        <f>ROUND(IFERROR(INDEX(사회적유입!$AA$4:$AW$165,MATCH($C72,사회적유입!$AA$4:$AA$165,0)-2,4),0)*$Z72,0)</f>
        <v>0</v>
      </c>
      <c r="G72" s="1237">
        <f>ROUND(IFERROR(INDEX(사회적유입!$AA$4:$AW$165,MATCH($C72,사회적유입!$AA$4:$AA$165,0)-2,5),0)*$Z72,0)</f>
        <v>0</v>
      </c>
      <c r="H72" s="1237">
        <f>ROUND(IFERROR(INDEX(사회적유입!$AA$4:$AW$165,MATCH($C72,사회적유입!$AA$4:$AA$165,0)-2,6),0)*$Z72,0)</f>
        <v>0</v>
      </c>
      <c r="I72" s="1237">
        <f>ROUND(IFERROR(INDEX(사회적유입!$AA$4:$AW$165,MATCH($C72,사회적유입!$AA$4:$AA$165,0)-2,7),0)*$Z72,0)</f>
        <v>0</v>
      </c>
      <c r="J72" s="1237">
        <f>ROUND(IFERROR(INDEX(사회적유입!$AA$4:$AW$165,MATCH($C72,사회적유입!$AA$4:$AA$165,0)-2,8),0)*$Z72,0)</f>
        <v>0</v>
      </c>
      <c r="K72" s="1237">
        <f>ROUND(IFERROR(INDEX(사회적유입!$AA$4:$AW$165,MATCH($C72,사회적유입!$AA$4:$AA$165,0)-2,9),0)*$Z72,0)</f>
        <v>0</v>
      </c>
      <c r="L72" s="1237">
        <f>ROUND(IFERROR(INDEX(사회적유입!$AA$4:$AW$165,MATCH($C72,사회적유입!$AA$4:$AA$165,0)-2,10),0)*$Z72,0)</f>
        <v>0</v>
      </c>
      <c r="M72" s="1237">
        <f>ROUND(IFERROR(INDEX(사회적유입!$AA$4:$AW$165,MATCH($C72,사회적유입!$AA$4:$AA$165,0)-2,11),0)*$Z72,0)</f>
        <v>0</v>
      </c>
      <c r="N72" s="1237">
        <f>ROUND(IFERROR(INDEX(사회적유입!$AA$4:$AW$165,MATCH($C72,사회적유입!$AA$4:$AA$165,0)-2,12),0)*$Z72,0)</f>
        <v>0</v>
      </c>
      <c r="O72" s="1237">
        <f>ROUND(IFERROR(INDEX(사회적유입!$AA$4:$AW$165,MATCH($C72,사회적유입!$AA$4:$AA$165,0)-2,13),0)*$Z72,0)</f>
        <v>0</v>
      </c>
      <c r="P72" s="1237">
        <f>ROUND(IFERROR(INDEX(사회적유입!$AA$4:$AW$165,MATCH($C72,사회적유입!$AA$4:$AA$165,0)-2,14),0)*$Z72,0)</f>
        <v>0</v>
      </c>
      <c r="Q72" s="1237">
        <f>ROUND(IFERROR(INDEX(사회적유입!$AA$4:$AW$165,MATCH($C72,사회적유입!$AA$4:$AA$165,0)-2,15),0)*$Z72,0)</f>
        <v>0</v>
      </c>
      <c r="R72" s="1237">
        <f>ROUND(IFERROR(INDEX(사회적유입!$AA$4:$AW$165,MATCH($C72,사회적유입!$AA$4:$AA$165,0)-2,16),0)*$Z72,0)</f>
        <v>0</v>
      </c>
      <c r="S72" s="1237">
        <f>ROUND(IFERROR(INDEX(사회적유입!$AA$4:$AW$165,MATCH($C72,사회적유입!$AA$4:$AA$165,0)-2,17),0)*$Z72,0)</f>
        <v>0</v>
      </c>
      <c r="T72" s="1237">
        <f>ROUND(IFERROR(INDEX(사회적유입!$AA$4:$AW$165,MATCH($C72,사회적유입!$AA$4:$AA$165,0)-2,18),0)*$Z72,0)</f>
        <v>0</v>
      </c>
      <c r="U72" s="1237">
        <f>ROUND(IFERROR(INDEX(사회적유입!$AA$4:$AW$165,MATCH($C72,사회적유입!$AA$4:$AA$165,0)-2,19),0)*$Z72,0)</f>
        <v>0</v>
      </c>
      <c r="V72" s="1237">
        <f>ROUND(IFERROR(INDEX(사회적유입!$AA$4:$AW$165,MATCH($C72,사회적유입!$AA$4:$AA$165,0)-2,20),0)*$Z72,0)</f>
        <v>0</v>
      </c>
      <c r="W72" s="1237">
        <f>ROUND(IFERROR(INDEX(사회적유입!$AA$4:$AW$165,MATCH($C72,사회적유입!$AA$4:$AA$165,0)-2,21),0)*$Z72,0)</f>
        <v>0</v>
      </c>
      <c r="X72" s="1237">
        <f>ROUND(IFERROR(INDEX(사회적유입!$AA$4:$AW$165,MATCH($C72,사회적유입!$AA$4:$AA$165,0)-2,22),0)*$Z72,0)</f>
        <v>0</v>
      </c>
      <c r="Y72" s="1237">
        <f>ROUND(IFERROR(INDEX(사회적유입!$AA$4:$AW$165,MATCH($C72,사회적유입!$AA$4:$AA$165,0)-2,23),0)*$Z72,0)</f>
        <v>138</v>
      </c>
      <c r="Z72" s="1098">
        <f t="shared" si="21"/>
        <v>1</v>
      </c>
      <c r="AB72" s="2597" t="str">
        <f t="shared" si="23"/>
        <v>오선산업단지</v>
      </c>
      <c r="AC72" s="2598"/>
      <c r="AD72" s="1557">
        <f t="shared" si="24"/>
        <v>51203</v>
      </c>
      <c r="AE72" s="61"/>
      <c r="AF72" s="61">
        <f>AF65</f>
        <v>23018</v>
      </c>
      <c r="AG72" s="61"/>
      <c r="AH72" s="61"/>
      <c r="AI72" s="61">
        <f>AI65</f>
        <v>4080</v>
      </c>
      <c r="AJ72" s="61">
        <f>AJ65</f>
        <v>18938</v>
      </c>
      <c r="AK72" s="1557"/>
      <c r="AL72" s="1557"/>
      <c r="AM72" s="1557"/>
      <c r="AN72" s="852">
        <f>AN65</f>
        <v>5167</v>
      </c>
    </row>
    <row r="73" spans="1:40" ht="18" customHeight="1">
      <c r="A73" s="2621"/>
      <c r="B73" s="2616"/>
      <c r="C73" s="857" t="s">
        <v>72</v>
      </c>
      <c r="D73" s="858">
        <f>SUM(D65:D72)</f>
        <v>0</v>
      </c>
      <c r="E73" s="858">
        <f t="shared" ref="E73:Y73" si="25">SUM(E65:E72)</f>
        <v>0</v>
      </c>
      <c r="F73" s="858">
        <f t="shared" si="25"/>
        <v>0</v>
      </c>
      <c r="G73" s="858">
        <f t="shared" si="25"/>
        <v>0</v>
      </c>
      <c r="H73" s="858">
        <f t="shared" si="25"/>
        <v>50</v>
      </c>
      <c r="I73" s="858">
        <f t="shared" si="25"/>
        <v>325</v>
      </c>
      <c r="J73" s="858">
        <f t="shared" si="25"/>
        <v>773</v>
      </c>
      <c r="K73" s="858">
        <f t="shared" si="25"/>
        <v>1120</v>
      </c>
      <c r="L73" s="858">
        <f t="shared" si="25"/>
        <v>1120</v>
      </c>
      <c r="M73" s="858">
        <f t="shared" si="25"/>
        <v>1120</v>
      </c>
      <c r="N73" s="858">
        <f t="shared" si="25"/>
        <v>1120</v>
      </c>
      <c r="O73" s="858">
        <f t="shared" si="25"/>
        <v>1120</v>
      </c>
      <c r="P73" s="858">
        <f t="shared" si="25"/>
        <v>1120</v>
      </c>
      <c r="Q73" s="858">
        <f t="shared" si="25"/>
        <v>1120</v>
      </c>
      <c r="R73" s="858">
        <f t="shared" si="25"/>
        <v>1120</v>
      </c>
      <c r="S73" s="858">
        <f t="shared" si="25"/>
        <v>1120</v>
      </c>
      <c r="T73" s="858">
        <f t="shared" si="25"/>
        <v>1120</v>
      </c>
      <c r="U73" s="858">
        <f t="shared" si="25"/>
        <v>1120</v>
      </c>
      <c r="V73" s="858">
        <f t="shared" si="25"/>
        <v>1120</v>
      </c>
      <c r="W73" s="858">
        <f t="shared" si="25"/>
        <v>1120</v>
      </c>
      <c r="X73" s="858">
        <f t="shared" si="25"/>
        <v>1120</v>
      </c>
      <c r="Y73" s="858">
        <f t="shared" si="25"/>
        <v>1258</v>
      </c>
      <c r="Z73" s="1052"/>
      <c r="AB73" s="2597" t="str">
        <f t="shared" si="23"/>
        <v>유촌산업단지</v>
      </c>
      <c r="AC73" s="2598"/>
      <c r="AD73" s="1557">
        <f t="shared" si="24"/>
        <v>51203</v>
      </c>
      <c r="AE73" s="61"/>
      <c r="AF73" s="61">
        <f>AF65</f>
        <v>23018</v>
      </c>
      <c r="AG73" s="61"/>
      <c r="AH73" s="61"/>
      <c r="AI73" s="61">
        <f>AI65</f>
        <v>4080</v>
      </c>
      <c r="AJ73" s="61">
        <f>AJ65</f>
        <v>18938</v>
      </c>
      <c r="AK73" s="1557"/>
      <c r="AL73" s="1557"/>
      <c r="AM73" s="1557"/>
      <c r="AN73" s="852">
        <f>AN65</f>
        <v>5167</v>
      </c>
    </row>
    <row r="74" spans="1:40" ht="18" customHeight="1">
      <c r="A74" s="2625"/>
      <c r="B74" s="2627" t="s">
        <v>7</v>
      </c>
      <c r="C74" s="2627"/>
      <c r="D74" s="1100">
        <f>SUM(D64,D73,D57)</f>
        <v>0</v>
      </c>
      <c r="E74" s="1100">
        <f t="shared" ref="E74:Y74" si="26">SUM(E64,E73,E57)</f>
        <v>0</v>
      </c>
      <c r="F74" s="1100">
        <f t="shared" si="26"/>
        <v>0</v>
      </c>
      <c r="G74" s="1100">
        <f t="shared" si="26"/>
        <v>0</v>
      </c>
      <c r="H74" s="1100">
        <f t="shared" si="26"/>
        <v>568</v>
      </c>
      <c r="I74" s="1100">
        <f t="shared" si="26"/>
        <v>1080</v>
      </c>
      <c r="J74" s="1100">
        <f t="shared" si="26"/>
        <v>4874</v>
      </c>
      <c r="K74" s="1100">
        <f t="shared" si="26"/>
        <v>5221</v>
      </c>
      <c r="L74" s="1100">
        <f t="shared" si="26"/>
        <v>5221</v>
      </c>
      <c r="M74" s="1100">
        <f t="shared" si="26"/>
        <v>5221</v>
      </c>
      <c r="N74" s="1100">
        <f t="shared" si="26"/>
        <v>5221</v>
      </c>
      <c r="O74" s="1100">
        <f t="shared" si="26"/>
        <v>6043</v>
      </c>
      <c r="P74" s="1100">
        <f t="shared" si="26"/>
        <v>6043</v>
      </c>
      <c r="Q74" s="1100">
        <f t="shared" si="26"/>
        <v>6043</v>
      </c>
      <c r="R74" s="1100">
        <f t="shared" si="26"/>
        <v>6043</v>
      </c>
      <c r="S74" s="1100">
        <f t="shared" si="26"/>
        <v>6043</v>
      </c>
      <c r="T74" s="1100">
        <f t="shared" si="26"/>
        <v>6043</v>
      </c>
      <c r="U74" s="1100">
        <f t="shared" si="26"/>
        <v>6043</v>
      </c>
      <c r="V74" s="1100">
        <f t="shared" si="26"/>
        <v>6043</v>
      </c>
      <c r="W74" s="1100">
        <f t="shared" si="26"/>
        <v>6043</v>
      </c>
      <c r="X74" s="1100">
        <f t="shared" si="26"/>
        <v>6043</v>
      </c>
      <c r="Y74" s="1100">
        <f t="shared" si="26"/>
        <v>11550</v>
      </c>
      <c r="Z74" s="1054"/>
      <c r="AB74" s="2597" t="str">
        <f t="shared" si="23"/>
        <v>생극산업단지</v>
      </c>
      <c r="AC74" s="2598"/>
      <c r="AD74" s="1557">
        <f t="shared" si="24"/>
        <v>28211</v>
      </c>
      <c r="AE74" s="1557"/>
      <c r="AF74" s="1557">
        <f>AF65</f>
        <v>23018</v>
      </c>
      <c r="AG74" s="1557"/>
      <c r="AH74" s="1557"/>
      <c r="AI74" s="1557"/>
      <c r="AJ74" s="1557"/>
      <c r="AK74" s="1557"/>
      <c r="AL74" s="1557">
        <f>AL65</f>
        <v>5193</v>
      </c>
      <c r="AM74" s="1557"/>
      <c r="AN74" s="171"/>
    </row>
    <row r="75" spans="1:40" ht="18" customHeight="1">
      <c r="A75" s="2624" t="s">
        <v>755</v>
      </c>
      <c r="B75" s="2615" t="s">
        <v>94</v>
      </c>
      <c r="C75" s="1096" t="str">
        <f>AB43</f>
        <v>삼성택지지구</v>
      </c>
      <c r="D75" s="862">
        <f>ROUND(IFERROR(VLOOKUP($C75,사회적유입!$AA$5:$AW$167,2,FALSE),0)*$Z75,0)</f>
        <v>0</v>
      </c>
      <c r="E75" s="862">
        <f>ROUND(IFERROR(VLOOKUP($C75,사회적유입!$AA$5:$AW$167,3,FALSE),0)*$Z75,0)</f>
        <v>0</v>
      </c>
      <c r="F75" s="862">
        <f>ROUND(IFERROR(VLOOKUP($C75,사회적유입!$AA$5:$AW$167,4,FALSE),0)*$Z75,0)</f>
        <v>0</v>
      </c>
      <c r="G75" s="862">
        <f>ROUND(IFERROR(VLOOKUP($C75,사회적유입!$AA$5:$AW$167,5,FALSE),0)*$Z75,0)</f>
        <v>0</v>
      </c>
      <c r="H75" s="862">
        <f>ROUND(IFERROR(VLOOKUP($C75,사회적유입!$AA$5:$AW$167,6,FALSE),0)*$Z75,0)</f>
        <v>0</v>
      </c>
      <c r="I75" s="862">
        <f>ROUND(IFERROR(VLOOKUP($C75,사회적유입!$AA$5:$AW$167,7,FALSE),0)*$Z75,0)</f>
        <v>0</v>
      </c>
      <c r="J75" s="862">
        <f>ROUND(IFERROR(VLOOKUP($C75,사회적유입!$AA$5:$AW$167,8,FALSE),0)*$Z75,0)</f>
        <v>0</v>
      </c>
      <c r="K75" s="862">
        <f>ROUND(IFERROR(VLOOKUP($C75,사회적유입!$AA$5:$AW$167,9,FALSE),0)*$Z75,0)</f>
        <v>0</v>
      </c>
      <c r="L75" s="862">
        <f>ROUND(IFERROR(VLOOKUP($C75,사회적유입!$AA$5:$AW$167,10,FALSE),0)*$Z75,0)</f>
        <v>0</v>
      </c>
      <c r="M75" s="862">
        <f>ROUND(IFERROR(VLOOKUP($C75,사회적유입!$AA$5:$AW$167,11,FALSE),0)*$Z75,0)</f>
        <v>0</v>
      </c>
      <c r="N75" s="862">
        <f>ROUND(IFERROR(VLOOKUP($C75,사회적유입!$AA$5:$AW$167,12,FALSE),0)*$Z75,0)</f>
        <v>0</v>
      </c>
      <c r="O75" s="862">
        <f>ROUND(IFERROR(VLOOKUP($C75,사회적유입!$AA$5:$AW$167,13,FALSE),0)*$Z75,0)</f>
        <v>0</v>
      </c>
      <c r="P75" s="862">
        <f>ROUND(IFERROR(VLOOKUP($C75,사회적유입!$AA$5:$AW$167,14,FALSE),0)*$Z75,0)</f>
        <v>0</v>
      </c>
      <c r="Q75" s="862">
        <f>ROUND(IFERROR(VLOOKUP($C75,사회적유입!$AA$5:$AW$167,15,FALSE),0)*$Z75,0)</f>
        <v>0</v>
      </c>
      <c r="R75" s="862">
        <f>ROUND(IFERROR(VLOOKUP($C75,사회적유입!$AA$5:$AW$167,16,FALSE),0)*$Z75,0)</f>
        <v>0</v>
      </c>
      <c r="S75" s="862">
        <f>ROUND(IFERROR(VLOOKUP($C75,사회적유입!$AA$5:$AW$167,17,FALSE),0)*$Z75,0)</f>
        <v>0</v>
      </c>
      <c r="T75" s="862">
        <f>ROUND(IFERROR(VLOOKUP($C75,사회적유입!$AA$5:$AW$167,18,FALSE),0)*$Z75,0)</f>
        <v>0</v>
      </c>
      <c r="U75" s="862">
        <f>ROUND(IFERROR(VLOOKUP($C75,사회적유입!$AA$5:$AW$167,19,FALSE),0)*$Z75,0)</f>
        <v>0</v>
      </c>
      <c r="V75" s="862">
        <f>ROUND(IFERROR(VLOOKUP($C75,사회적유입!$AA$5:$AW$167,20,FALSE),0)*$Z75,0)</f>
        <v>0</v>
      </c>
      <c r="W75" s="862">
        <f>ROUND(IFERROR(VLOOKUP($C75,사회적유입!$AA$5:$AW$167,21,FALSE),0)*$Z75,0)</f>
        <v>0</v>
      </c>
      <c r="X75" s="862">
        <f>ROUND(IFERROR(VLOOKUP($C75,사회적유입!$AA$5:$AW$167,22,FALSE),0)*$Z75,0)</f>
        <v>0</v>
      </c>
      <c r="Y75" s="862">
        <f>ROUND(IFERROR(VLOOKUP($C75,사회적유입!$AA$5:$AW$167,23,FALSE),0)*$Z75,0)</f>
        <v>3108</v>
      </c>
      <c r="Z75" s="1101">
        <f>VLOOKUP(C75,$AB$5:$AN$58,10,FALSE)</f>
        <v>1</v>
      </c>
      <c r="AB75" s="2597" t="str">
        <f t="shared" si="23"/>
        <v>성본산업단지</v>
      </c>
      <c r="AC75" s="2598"/>
      <c r="AD75" s="1557">
        <f t="shared" si="24"/>
        <v>46036</v>
      </c>
      <c r="AE75" s="1557"/>
      <c r="AF75" s="1557">
        <f>AF65</f>
        <v>23018</v>
      </c>
      <c r="AG75" s="1557"/>
      <c r="AH75" s="1557"/>
      <c r="AI75" s="1557">
        <f>AI65</f>
        <v>4080</v>
      </c>
      <c r="AJ75" s="1557">
        <f>AJ65</f>
        <v>18938</v>
      </c>
      <c r="AK75" s="1557"/>
      <c r="AL75" s="1557"/>
      <c r="AM75" s="1557"/>
      <c r="AN75" s="171"/>
    </row>
    <row r="76" spans="1:40" ht="18" customHeight="1">
      <c r="A76" s="2621"/>
      <c r="B76" s="2616"/>
      <c r="C76" s="857" t="s">
        <v>72</v>
      </c>
      <c r="D76" s="858">
        <f t="shared" ref="D76:Y76" si="27">SUM(D75:D75)</f>
        <v>0</v>
      </c>
      <c r="E76" s="858">
        <f t="shared" si="27"/>
        <v>0</v>
      </c>
      <c r="F76" s="858">
        <f t="shared" si="27"/>
        <v>0</v>
      </c>
      <c r="G76" s="858">
        <f t="shared" si="27"/>
        <v>0</v>
      </c>
      <c r="H76" s="858">
        <f t="shared" si="27"/>
        <v>0</v>
      </c>
      <c r="I76" s="858">
        <f t="shared" si="27"/>
        <v>0</v>
      </c>
      <c r="J76" s="858">
        <f t="shared" si="27"/>
        <v>0</v>
      </c>
      <c r="K76" s="858">
        <f t="shared" si="27"/>
        <v>0</v>
      </c>
      <c r="L76" s="858">
        <f t="shared" si="27"/>
        <v>0</v>
      </c>
      <c r="M76" s="858">
        <f t="shared" si="27"/>
        <v>0</v>
      </c>
      <c r="N76" s="858">
        <f t="shared" si="27"/>
        <v>0</v>
      </c>
      <c r="O76" s="858">
        <f t="shared" si="27"/>
        <v>0</v>
      </c>
      <c r="P76" s="858">
        <f t="shared" si="27"/>
        <v>0</v>
      </c>
      <c r="Q76" s="858">
        <f t="shared" si="27"/>
        <v>0</v>
      </c>
      <c r="R76" s="858">
        <f t="shared" si="27"/>
        <v>0</v>
      </c>
      <c r="S76" s="858">
        <f t="shared" si="27"/>
        <v>0</v>
      </c>
      <c r="T76" s="858">
        <f t="shared" si="27"/>
        <v>0</v>
      </c>
      <c r="U76" s="858">
        <f t="shared" si="27"/>
        <v>0</v>
      </c>
      <c r="V76" s="858">
        <f t="shared" si="27"/>
        <v>0</v>
      </c>
      <c r="W76" s="858">
        <f t="shared" si="27"/>
        <v>0</v>
      </c>
      <c r="X76" s="858">
        <f t="shared" si="27"/>
        <v>0</v>
      </c>
      <c r="Y76" s="858">
        <f t="shared" si="27"/>
        <v>3108</v>
      </c>
      <c r="Z76" s="1052"/>
      <c r="AB76" s="2599" t="str">
        <f t="shared" si="23"/>
        <v>금왕테크노밸리</v>
      </c>
      <c r="AC76" s="2600"/>
      <c r="AD76" s="1557">
        <f t="shared" si="24"/>
        <v>51203</v>
      </c>
      <c r="AE76" s="1557"/>
      <c r="AF76" s="1557">
        <f>+AF65</f>
        <v>23018</v>
      </c>
      <c r="AG76" s="1557"/>
      <c r="AH76" s="1557"/>
      <c r="AI76" s="1557">
        <f>+AI65</f>
        <v>4080</v>
      </c>
      <c r="AJ76" s="1557">
        <f>+AJ65</f>
        <v>18938</v>
      </c>
      <c r="AK76" s="1557"/>
      <c r="AL76" s="1557"/>
      <c r="AM76" s="1557"/>
      <c r="AN76" s="171">
        <f>+AN65</f>
        <v>5167</v>
      </c>
    </row>
    <row r="77" spans="1:40" ht="18" customHeight="1" thickBot="1">
      <c r="A77" s="2621"/>
      <c r="B77" s="2616" t="s">
        <v>1227</v>
      </c>
      <c r="C77" s="856" t="str">
        <f>AB28</f>
        <v>덕정리 아파트</v>
      </c>
      <c r="D77" s="1237">
        <f>ROUND(IFERROR(VLOOKUP($C77,사회적유입!$AA$5:$AW$167,2,FALSE),0)*$Z77,0)</f>
        <v>0</v>
      </c>
      <c r="E77" s="1237">
        <f>ROUND(IFERROR(VLOOKUP($C77,사회적유입!$AA$5:$AW$167,3,FALSE),0)*$Z77,0)</f>
        <v>0</v>
      </c>
      <c r="F77" s="1237">
        <f>ROUND(IFERROR(VLOOKUP($C77,사회적유입!$AA$5:$AW$167,4,FALSE),0)*$Z77,0)</f>
        <v>0</v>
      </c>
      <c r="G77" s="1237">
        <f>ROUND(IFERROR(VLOOKUP($C77,사회적유입!$AA$5:$AW$167,5,FALSE),0)*$Z77,0)</f>
        <v>0</v>
      </c>
      <c r="H77" s="1237">
        <f>ROUND(IFERROR(VLOOKUP($C77,사회적유입!$AA$5:$AW$167,6,FALSE),0)*$Z77,0)</f>
        <v>0</v>
      </c>
      <c r="I77" s="1237">
        <f>ROUND(IFERROR(VLOOKUP($C77,사회적유입!$AA$5:$AW$167,7,FALSE),0)*$Z77,0)</f>
        <v>0</v>
      </c>
      <c r="J77" s="1237">
        <f>ROUND(IFERROR(VLOOKUP($C77,사회적유입!$AA$5:$AW$167,8,FALSE),0)*$Z77,0)</f>
        <v>0</v>
      </c>
      <c r="K77" s="1237">
        <f>ROUND(IFERROR(VLOOKUP($C77,사회적유입!$AA$5:$AW$167,9,FALSE),0)*$Z77,0)</f>
        <v>0</v>
      </c>
      <c r="L77" s="1237">
        <f>ROUND(IFERROR(VLOOKUP($C77,사회적유입!$AA$5:$AW$167,10,FALSE),0)*$Z77,0)</f>
        <v>0</v>
      </c>
      <c r="M77" s="1237">
        <f>ROUND(IFERROR(VLOOKUP($C77,사회적유입!$AA$5:$AW$167,11,FALSE),0)*$Z77,0)</f>
        <v>0</v>
      </c>
      <c r="N77" s="1237">
        <f>ROUND(IFERROR(VLOOKUP($C77,사회적유입!$AA$5:$AW$167,12,FALSE),0)*$Z77,0)</f>
        <v>0</v>
      </c>
      <c r="O77" s="1237">
        <f>ROUND(IFERROR(VLOOKUP($C77,사회적유입!$AA$5:$AW$167,13,FALSE),0)*$Z77,0)</f>
        <v>537</v>
      </c>
      <c r="P77" s="1237">
        <f>ROUND(IFERROR(VLOOKUP($C77,사회적유입!$AA$5:$AW$167,14,FALSE),0)*$Z77,0)</f>
        <v>537</v>
      </c>
      <c r="Q77" s="1237">
        <f>ROUND(IFERROR(VLOOKUP($C77,사회적유입!$AA$5:$AW$167,15,FALSE),0)*$Z77,0)</f>
        <v>537</v>
      </c>
      <c r="R77" s="1237">
        <f>ROUND(IFERROR(VLOOKUP($C77,사회적유입!$AA$5:$AW$167,16,FALSE),0)*$Z77,0)</f>
        <v>537</v>
      </c>
      <c r="S77" s="1237">
        <f>ROUND(IFERROR(VLOOKUP($C77,사회적유입!$AA$5:$AW$167,17,FALSE),0)*$Z77,0)</f>
        <v>537</v>
      </c>
      <c r="T77" s="1237">
        <f>ROUND(IFERROR(VLOOKUP($C77,사회적유입!$AA$5:$AW$167,18,FALSE),0)*$Z77,0)</f>
        <v>537</v>
      </c>
      <c r="U77" s="1237">
        <f>ROUND(IFERROR(VLOOKUP($C77,사회적유입!$AA$5:$AW$167,19,FALSE),0)*$Z77,0)</f>
        <v>537</v>
      </c>
      <c r="V77" s="1237">
        <f>ROUND(IFERROR(VLOOKUP($C77,사회적유입!$AA$5:$AW$167,20,FALSE),0)*$Z77,0)</f>
        <v>537</v>
      </c>
      <c r="W77" s="1237">
        <f>ROUND(IFERROR(VLOOKUP($C77,사회적유입!$AA$5:$AW$167,21,FALSE),0)*$Z77,0)</f>
        <v>537</v>
      </c>
      <c r="X77" s="1237">
        <f>ROUND(IFERROR(VLOOKUP($C77,사회적유입!$AA$5:$AW$167,22,FALSE),0)*$Z77,0)</f>
        <v>537</v>
      </c>
      <c r="Y77" s="1237">
        <f>ROUND(IFERROR(VLOOKUP($C77,사회적유입!$AA$5:$AW$167,23,FALSE),0)*$Z77,0)</f>
        <v>537</v>
      </c>
      <c r="Z77" s="1098">
        <f>VLOOKUP(C77,$AB$5:$AN$58,10,FALSE)</f>
        <v>1</v>
      </c>
      <c r="AA77" s="605" t="e">
        <f>+J106+J107</f>
        <v>#REF!</v>
      </c>
      <c r="AB77" s="2601" t="str">
        <f t="shared" si="23"/>
        <v>성안산업단지</v>
      </c>
      <c r="AC77" s="2602"/>
      <c r="AD77" s="1553">
        <f t="shared" si="24"/>
        <v>51203</v>
      </c>
      <c r="AE77" s="1553"/>
      <c r="AF77" s="1553">
        <f>+AF65</f>
        <v>23018</v>
      </c>
      <c r="AG77" s="1553"/>
      <c r="AH77" s="1553"/>
      <c r="AI77" s="1553">
        <f>+AI65</f>
        <v>4080</v>
      </c>
      <c r="AJ77" s="1553">
        <f>+AJ65</f>
        <v>18938</v>
      </c>
      <c r="AK77" s="1553"/>
      <c r="AL77" s="1553"/>
      <c r="AM77" s="1553"/>
      <c r="AN77" s="172">
        <f>+AN65</f>
        <v>5167</v>
      </c>
    </row>
    <row r="78" spans="1:40" ht="18" customHeight="1">
      <c r="A78" s="2621"/>
      <c r="B78" s="2616"/>
      <c r="C78" s="857" t="s">
        <v>72</v>
      </c>
      <c r="D78" s="858">
        <f t="shared" ref="D78:Y78" si="28">SUM(D77:D77)</f>
        <v>0</v>
      </c>
      <c r="E78" s="858">
        <f t="shared" si="28"/>
        <v>0</v>
      </c>
      <c r="F78" s="858">
        <f t="shared" si="28"/>
        <v>0</v>
      </c>
      <c r="G78" s="858">
        <f t="shared" si="28"/>
        <v>0</v>
      </c>
      <c r="H78" s="858">
        <f t="shared" si="28"/>
        <v>0</v>
      </c>
      <c r="I78" s="858">
        <f t="shared" si="28"/>
        <v>0</v>
      </c>
      <c r="J78" s="858">
        <f t="shared" si="28"/>
        <v>0</v>
      </c>
      <c r="K78" s="858">
        <f t="shared" si="28"/>
        <v>0</v>
      </c>
      <c r="L78" s="858">
        <f t="shared" si="28"/>
        <v>0</v>
      </c>
      <c r="M78" s="858">
        <f t="shared" si="28"/>
        <v>0</v>
      </c>
      <c r="N78" s="858">
        <f t="shared" si="28"/>
        <v>0</v>
      </c>
      <c r="O78" s="858">
        <f t="shared" si="28"/>
        <v>537</v>
      </c>
      <c r="P78" s="858">
        <f t="shared" si="28"/>
        <v>537</v>
      </c>
      <c r="Q78" s="858">
        <f t="shared" si="28"/>
        <v>537</v>
      </c>
      <c r="R78" s="858">
        <f t="shared" si="28"/>
        <v>537</v>
      </c>
      <c r="S78" s="858">
        <f t="shared" si="28"/>
        <v>537</v>
      </c>
      <c r="T78" s="858">
        <f t="shared" si="28"/>
        <v>537</v>
      </c>
      <c r="U78" s="858">
        <f t="shared" si="28"/>
        <v>537</v>
      </c>
      <c r="V78" s="858">
        <f t="shared" si="28"/>
        <v>537</v>
      </c>
      <c r="W78" s="858">
        <f t="shared" si="28"/>
        <v>537</v>
      </c>
      <c r="X78" s="858">
        <f t="shared" si="28"/>
        <v>537</v>
      </c>
      <c r="Y78" s="858">
        <f t="shared" si="28"/>
        <v>537</v>
      </c>
      <c r="Z78" s="1052"/>
      <c r="AA78" s="605">
        <f>+J108</f>
        <v>4731</v>
      </c>
    </row>
    <row r="79" spans="1:40" ht="18" customHeight="1">
      <c r="A79" s="2621"/>
      <c r="B79" s="2616" t="s">
        <v>96</v>
      </c>
      <c r="C79" s="1130" t="str">
        <f>AB50</f>
        <v>삼성준산업단지</v>
      </c>
      <c r="D79" s="1237">
        <f>ROUND(IFERROR(INDEX(사회적유입!$AA$4:$AW$165,MATCH($C79,사회적유입!$AA$4:$AA$165,0)-2,2),0)*$Z79,0)</f>
        <v>0</v>
      </c>
      <c r="E79" s="1237">
        <f>ROUND(IFERROR(INDEX(사회적유입!$AA$4:$AW$165,MATCH($C79,사회적유입!$AA$4:$AA$165,0)-2,3),0)*$Z79,0)</f>
        <v>0</v>
      </c>
      <c r="F79" s="1237">
        <f>ROUND(IFERROR(INDEX(사회적유입!$AA$4:$AW$165,MATCH($C79,사회적유입!$AA$4:$AA$165,0)-2,4),0)*$Z79,0)</f>
        <v>0</v>
      </c>
      <c r="G79" s="1237">
        <f>ROUND(IFERROR(INDEX(사회적유입!$AA$4:$AW$165,MATCH($C79,사회적유입!$AA$4:$AA$165,0)-2,5),0)*$Z79,0)</f>
        <v>0</v>
      </c>
      <c r="H79" s="1237">
        <f>ROUND(IFERROR(INDEX(사회적유입!$AA$4:$AW$165,MATCH($C79,사회적유입!$AA$4:$AA$165,0)-2,6),0)*$Z79,0)</f>
        <v>0</v>
      </c>
      <c r="I79" s="1237">
        <f>ROUND(IFERROR(INDEX(사회적유입!$AA$4:$AW$165,MATCH($C79,사회적유입!$AA$4:$AA$165,0)-2,7),0)*$Z79,0)</f>
        <v>0</v>
      </c>
      <c r="J79" s="1237">
        <f>ROUND(IFERROR(INDEX(사회적유입!$AA$4:$AW$165,MATCH($C79,사회적유입!$AA$4:$AA$165,0)-2,8),0)*$Z79,0)</f>
        <v>0</v>
      </c>
      <c r="K79" s="1237">
        <f>ROUND(IFERROR(INDEX(사회적유입!$AA$4:$AW$165,MATCH($C79,사회적유입!$AA$4:$AA$165,0)-2,9),0)*$Z79,0)</f>
        <v>0</v>
      </c>
      <c r="L79" s="1237">
        <f>ROUND(IFERROR(INDEX(사회적유입!$AA$4:$AW$165,MATCH($C79,사회적유입!$AA$4:$AA$165,0)-2,10),0)*$Z79,0)</f>
        <v>0</v>
      </c>
      <c r="M79" s="1237">
        <f>ROUND(IFERROR(INDEX(사회적유입!$AA$4:$AW$165,MATCH($C79,사회적유입!$AA$4:$AA$165,0)-2,11),0)*$Z79,0)</f>
        <v>0</v>
      </c>
      <c r="N79" s="1237">
        <f>ROUND(IFERROR(INDEX(사회적유입!$AA$4:$AW$165,MATCH($C79,사회적유입!$AA$4:$AA$165,0)-2,12),0)*$Z79,0)</f>
        <v>0</v>
      </c>
      <c r="O79" s="1237">
        <f>ROUND(IFERROR(INDEX(사회적유입!$AA$4:$AW$165,MATCH($C79,사회적유입!$AA$4:$AA$165,0)-2,13),0)*$Z79,0)</f>
        <v>0</v>
      </c>
      <c r="P79" s="1237">
        <f>ROUND(IFERROR(INDEX(사회적유입!$AA$4:$AW$165,MATCH($C79,사회적유입!$AA$4:$AA$165,0)-2,14),0)*$Z79,0)</f>
        <v>0</v>
      </c>
      <c r="Q79" s="1237">
        <f>ROUND(IFERROR(INDEX(사회적유입!$AA$4:$AW$165,MATCH($C79,사회적유입!$AA$4:$AA$165,0)-2,15),0)*$Z79,0)</f>
        <v>0</v>
      </c>
      <c r="R79" s="1237">
        <f>ROUND(IFERROR(INDEX(사회적유입!$AA$4:$AW$165,MATCH($C79,사회적유입!$AA$4:$AA$165,0)-2,16),0)*$Z79,0)</f>
        <v>0</v>
      </c>
      <c r="S79" s="1237">
        <f>ROUND(IFERROR(INDEX(사회적유입!$AA$4:$AW$165,MATCH($C79,사회적유입!$AA$4:$AA$165,0)-2,17),0)*$Z79,0)</f>
        <v>0</v>
      </c>
      <c r="T79" s="1237">
        <f>ROUND(IFERROR(INDEX(사회적유입!$AA$4:$AW$165,MATCH($C79,사회적유입!$AA$4:$AA$165,0)-2,18),0)*$Z79,0)</f>
        <v>0</v>
      </c>
      <c r="U79" s="1237">
        <f>ROUND(IFERROR(INDEX(사회적유입!$AA$4:$AW$165,MATCH($C79,사회적유입!$AA$4:$AA$165,0)-2,19),0)*$Z79,0)</f>
        <v>0</v>
      </c>
      <c r="V79" s="1237">
        <f>ROUND(IFERROR(INDEX(사회적유입!$AA$4:$AW$165,MATCH($C79,사회적유입!$AA$4:$AA$165,0)-2,20),0)*$Z79,0)</f>
        <v>0</v>
      </c>
      <c r="W79" s="1237">
        <f>ROUND(IFERROR(INDEX(사회적유입!$AA$4:$AW$165,MATCH($C79,사회적유입!$AA$4:$AA$165,0)-2,21),0)*$Z79,0)</f>
        <v>0</v>
      </c>
      <c r="X79" s="1237">
        <f>ROUND(IFERROR(INDEX(사회적유입!$AA$4:$AW$165,MATCH($C79,사회적유입!$AA$4:$AA$165,0)-2,22),0)*$Z79,0)</f>
        <v>0</v>
      </c>
      <c r="Y79" s="1237">
        <f>ROUND(IFERROR(INDEX(사회적유입!$AA$4:$AW$165,MATCH($C79,사회적유입!$AA$4:$AA$165,0)-2,23),0)*$Z79,0)</f>
        <v>319</v>
      </c>
      <c r="Z79" s="1098">
        <f>VLOOKUP(C79,$AB$5:$AN$58,10,FALSE)</f>
        <v>1</v>
      </c>
      <c r="AA79" s="605">
        <f>+J109</f>
        <v>2726</v>
      </c>
    </row>
    <row r="80" spans="1:40" ht="18" customHeight="1">
      <c r="A80" s="2621"/>
      <c r="B80" s="2616"/>
      <c r="C80" s="1130" t="str">
        <f>AB51</f>
        <v>태양금속공업 이전</v>
      </c>
      <c r="D80" s="1237">
        <f>ROUND(IFERROR(INDEX(사회적유입!$AA$4:$AW$165,MATCH($C80,사회적유입!$AA$4:$AA$165,0)-2,2),0)*$Z80,0)</f>
        <v>0</v>
      </c>
      <c r="E80" s="1237">
        <f>ROUND(IFERROR(INDEX(사회적유입!$AA$4:$AW$165,MATCH($C80,사회적유입!$AA$4:$AA$165,0)-2,3),0)*$Z80,0)</f>
        <v>0</v>
      </c>
      <c r="F80" s="1237">
        <f>ROUND(IFERROR(INDEX(사회적유입!$AA$4:$AW$165,MATCH($C80,사회적유입!$AA$4:$AA$165,0)-2,4),0)*$Z80,0)</f>
        <v>0</v>
      </c>
      <c r="G80" s="1237">
        <f>ROUND(IFERROR(INDEX(사회적유입!$AA$4:$AW$165,MATCH($C80,사회적유입!$AA$4:$AA$165,0)-2,5),0)*$Z80,0)</f>
        <v>0</v>
      </c>
      <c r="H80" s="1237">
        <f>ROUND(IFERROR(INDEX(사회적유입!$AA$4:$AW$165,MATCH($C80,사회적유입!$AA$4:$AA$165,0)-2,6),0)*$Z80,0)</f>
        <v>0</v>
      </c>
      <c r="I80" s="1237">
        <f>ROUND(IFERROR(INDEX(사회적유입!$AA$4:$AW$165,MATCH($C80,사회적유입!$AA$4:$AA$165,0)-2,7),0)*$Z80,0)</f>
        <v>0</v>
      </c>
      <c r="J80" s="1237">
        <f>ROUND(IFERROR(INDEX(사회적유입!$AA$4:$AW$165,MATCH($C80,사회적유입!$AA$4:$AA$165,0)-2,8),0)*$Z80,0)</f>
        <v>0</v>
      </c>
      <c r="K80" s="1237">
        <f>ROUND(IFERROR(INDEX(사회적유입!$AA$4:$AW$165,MATCH($C80,사회적유입!$AA$4:$AA$165,0)-2,9),0)*$Z80,0)</f>
        <v>0</v>
      </c>
      <c r="L80" s="1237">
        <f>ROUND(IFERROR(INDEX(사회적유입!$AA$4:$AW$165,MATCH($C80,사회적유입!$AA$4:$AA$165,0)-2,10),0)*$Z80,0)</f>
        <v>0</v>
      </c>
      <c r="M80" s="1237">
        <f>ROUND(IFERROR(INDEX(사회적유입!$AA$4:$AW$165,MATCH($C80,사회적유입!$AA$4:$AA$165,0)-2,11),0)*$Z80,0)</f>
        <v>0</v>
      </c>
      <c r="N80" s="1237">
        <f>ROUND(IFERROR(INDEX(사회적유입!$AA$4:$AW$165,MATCH($C80,사회적유입!$AA$4:$AA$165,0)-2,12),0)*$Z80,0)</f>
        <v>0</v>
      </c>
      <c r="O80" s="1237">
        <f>ROUND(IFERROR(INDEX(사회적유입!$AA$4:$AW$165,MATCH($C80,사회적유입!$AA$4:$AA$165,0)-2,13),0)*$Z80,0)</f>
        <v>0</v>
      </c>
      <c r="P80" s="1237">
        <f>ROUND(IFERROR(INDEX(사회적유입!$AA$4:$AW$165,MATCH($C80,사회적유입!$AA$4:$AA$165,0)-2,14),0)*$Z80,0)</f>
        <v>0</v>
      </c>
      <c r="Q80" s="1237">
        <f>ROUND(IFERROR(INDEX(사회적유입!$AA$4:$AW$165,MATCH($C80,사회적유입!$AA$4:$AA$165,0)-2,15),0)*$Z80,0)</f>
        <v>0</v>
      </c>
      <c r="R80" s="1237">
        <f>ROUND(IFERROR(INDEX(사회적유입!$AA$4:$AW$165,MATCH($C80,사회적유입!$AA$4:$AA$165,0)-2,16),0)*$Z80,0)</f>
        <v>0</v>
      </c>
      <c r="S80" s="1237">
        <f>ROUND(IFERROR(INDEX(사회적유입!$AA$4:$AW$165,MATCH($C80,사회적유입!$AA$4:$AA$165,0)-2,17),0)*$Z80,0)</f>
        <v>0</v>
      </c>
      <c r="T80" s="1237">
        <f>ROUND(IFERROR(INDEX(사회적유입!$AA$4:$AW$165,MATCH($C80,사회적유입!$AA$4:$AA$165,0)-2,18),0)*$Z80,0)</f>
        <v>0</v>
      </c>
      <c r="U80" s="1237">
        <f>ROUND(IFERROR(INDEX(사회적유입!$AA$4:$AW$165,MATCH($C80,사회적유입!$AA$4:$AA$165,0)-2,19),0)*$Z80,0)</f>
        <v>0</v>
      </c>
      <c r="V80" s="1237">
        <f>ROUND(IFERROR(INDEX(사회적유입!$AA$4:$AW$165,MATCH($C80,사회적유입!$AA$4:$AA$165,0)-2,20),0)*$Z80,0)</f>
        <v>0</v>
      </c>
      <c r="W80" s="1237">
        <f>ROUND(IFERROR(INDEX(사회적유입!$AA$4:$AW$165,MATCH($C80,사회적유입!$AA$4:$AA$165,0)-2,21),0)*$Z80,0)</f>
        <v>0</v>
      </c>
      <c r="X80" s="1237">
        <f>ROUND(IFERROR(INDEX(사회적유입!$AA$4:$AW$165,MATCH($C80,사회적유입!$AA$4:$AA$165,0)-2,22),0)*$Z80,0)</f>
        <v>0</v>
      </c>
      <c r="Y80" s="1237">
        <f>ROUND(IFERROR(INDEX(사회적유입!$AA$4:$AW$165,MATCH($C80,사회적유입!$AA$4:$AA$165,0)-2,23),0)*$Z80,0)</f>
        <v>280</v>
      </c>
      <c r="Z80" s="1098">
        <f>VLOOKUP(C80,$AB$5:$AN$58,10,FALSE)</f>
        <v>1</v>
      </c>
      <c r="AA80" s="605" t="e">
        <f>+J110</f>
        <v>#REF!</v>
      </c>
    </row>
    <row r="81" spans="1:40" ht="18" customHeight="1">
      <c r="A81" s="2621"/>
      <c r="B81" s="2616"/>
      <c r="C81" s="1130" t="str">
        <f>AB52</f>
        <v>상곡농공단지</v>
      </c>
      <c r="D81" s="1237">
        <f>ROUND(IFERROR(INDEX(사회적유입!$AA$4:$AW$165,MATCH($C81,사회적유입!$AA$4:$AA$165,0)-2,2),0)*$Z81,0)</f>
        <v>0</v>
      </c>
      <c r="E81" s="1237">
        <f>ROUND(IFERROR(INDEX(사회적유입!$AA$4:$AW$165,MATCH($C81,사회적유입!$AA$4:$AA$165,0)-2,3),0)*$Z81,0)</f>
        <v>0</v>
      </c>
      <c r="F81" s="1237">
        <f>ROUND(IFERROR(INDEX(사회적유입!$AA$4:$AW$165,MATCH($C81,사회적유입!$AA$4:$AA$165,0)-2,4),0)*$Z81,0)</f>
        <v>0</v>
      </c>
      <c r="G81" s="1237">
        <f>ROUND(IFERROR(INDEX(사회적유입!$AA$4:$AW$165,MATCH($C81,사회적유입!$AA$4:$AA$165,0)-2,5),0)*$Z81,0)</f>
        <v>0</v>
      </c>
      <c r="H81" s="1237">
        <f>ROUND(IFERROR(INDEX(사회적유입!$AA$4:$AW$165,MATCH($C81,사회적유입!$AA$4:$AA$165,0)-2,6),0)*$Z81,0)</f>
        <v>0</v>
      </c>
      <c r="I81" s="1237">
        <f>ROUND(IFERROR(INDEX(사회적유입!$AA$4:$AW$165,MATCH($C81,사회적유입!$AA$4:$AA$165,0)-2,7),0)*$Z81,0)</f>
        <v>0</v>
      </c>
      <c r="J81" s="1237">
        <f>ROUND(IFERROR(INDEX(사회적유입!$AA$4:$AW$165,MATCH($C81,사회적유입!$AA$4:$AA$165,0)-2,8),0)*$Z81,0)</f>
        <v>0</v>
      </c>
      <c r="K81" s="1237">
        <f>ROUND(IFERROR(INDEX(사회적유입!$AA$4:$AW$165,MATCH($C81,사회적유입!$AA$4:$AA$165,0)-2,9),0)*$Z81,0)</f>
        <v>0</v>
      </c>
      <c r="L81" s="1237">
        <f>ROUND(IFERROR(INDEX(사회적유입!$AA$4:$AW$165,MATCH($C81,사회적유입!$AA$4:$AA$165,0)-2,10),0)*$Z81,0)</f>
        <v>0</v>
      </c>
      <c r="M81" s="1237">
        <f>ROUND(IFERROR(INDEX(사회적유입!$AA$4:$AW$165,MATCH($C81,사회적유입!$AA$4:$AA$165,0)-2,11),0)*$Z81,0)</f>
        <v>0</v>
      </c>
      <c r="N81" s="1237">
        <f>ROUND(IFERROR(INDEX(사회적유입!$AA$4:$AW$165,MATCH($C81,사회적유입!$AA$4:$AA$165,0)-2,12),0)*$Z81,0)</f>
        <v>0</v>
      </c>
      <c r="O81" s="1237">
        <f>ROUND(IFERROR(INDEX(사회적유입!$AA$4:$AW$165,MATCH($C81,사회적유입!$AA$4:$AA$165,0)-2,13),0)*$Z81,0)</f>
        <v>0</v>
      </c>
      <c r="P81" s="1237">
        <f>ROUND(IFERROR(INDEX(사회적유입!$AA$4:$AW$165,MATCH($C81,사회적유입!$AA$4:$AA$165,0)-2,14),0)*$Z81,0)</f>
        <v>0</v>
      </c>
      <c r="Q81" s="1237">
        <f>ROUND(IFERROR(INDEX(사회적유입!$AA$4:$AW$165,MATCH($C81,사회적유입!$AA$4:$AA$165,0)-2,15),0)*$Z81,0)</f>
        <v>0</v>
      </c>
      <c r="R81" s="1237">
        <f>ROUND(IFERROR(INDEX(사회적유입!$AA$4:$AW$165,MATCH($C81,사회적유입!$AA$4:$AA$165,0)-2,16),0)*$Z81,0)</f>
        <v>0</v>
      </c>
      <c r="S81" s="1237">
        <f>ROUND(IFERROR(INDEX(사회적유입!$AA$4:$AW$165,MATCH($C81,사회적유입!$AA$4:$AA$165,0)-2,17),0)*$Z81,0)</f>
        <v>0</v>
      </c>
      <c r="T81" s="1237">
        <f>ROUND(IFERROR(INDEX(사회적유입!$AA$4:$AW$165,MATCH($C81,사회적유입!$AA$4:$AA$165,0)-2,18),0)*$Z81,0)</f>
        <v>0</v>
      </c>
      <c r="U81" s="1237">
        <f>ROUND(IFERROR(INDEX(사회적유입!$AA$4:$AW$165,MATCH($C81,사회적유입!$AA$4:$AA$165,0)-2,19),0)*$Z81,0)</f>
        <v>0</v>
      </c>
      <c r="V81" s="1237">
        <f>ROUND(IFERROR(INDEX(사회적유입!$AA$4:$AW$165,MATCH($C81,사회적유입!$AA$4:$AA$165,0)-2,20),0)*$Z81,0)</f>
        <v>0</v>
      </c>
      <c r="W81" s="1237">
        <f>ROUND(IFERROR(INDEX(사회적유입!$AA$4:$AW$165,MATCH($C81,사회적유입!$AA$4:$AA$165,0)-2,21),0)*$Z81,0)</f>
        <v>0</v>
      </c>
      <c r="X81" s="1237">
        <f>ROUND(IFERROR(INDEX(사회적유입!$AA$4:$AW$165,MATCH($C81,사회적유입!$AA$4:$AA$165,0)-2,22),0)*$Z81,0)</f>
        <v>0</v>
      </c>
      <c r="Y81" s="1237">
        <f>ROUND(IFERROR(INDEX(사회적유입!$AA$4:$AW$165,MATCH($C81,사회적유입!$AA$4:$AA$165,0)-2,23),0)*$Z81,0)</f>
        <v>210</v>
      </c>
      <c r="Z81" s="1098">
        <f>VLOOKUP(C81,$AB$5:$AN$58,10,FALSE)</f>
        <v>1</v>
      </c>
      <c r="AA81" s="605"/>
    </row>
    <row r="82" spans="1:40" ht="18" customHeight="1">
      <c r="A82" s="2621"/>
      <c r="B82" s="2616"/>
      <c r="C82" s="857" t="s">
        <v>72</v>
      </c>
      <c r="D82" s="858">
        <f>SUM(D79:D81)</f>
        <v>0</v>
      </c>
      <c r="E82" s="858">
        <f t="shared" ref="E82:Y82" si="29">SUM(E79:E81)</f>
        <v>0</v>
      </c>
      <c r="F82" s="858">
        <f t="shared" si="29"/>
        <v>0</v>
      </c>
      <c r="G82" s="858">
        <f t="shared" si="29"/>
        <v>0</v>
      </c>
      <c r="H82" s="858">
        <f t="shared" si="29"/>
        <v>0</v>
      </c>
      <c r="I82" s="858">
        <f t="shared" si="29"/>
        <v>0</v>
      </c>
      <c r="J82" s="858">
        <f t="shared" si="29"/>
        <v>0</v>
      </c>
      <c r="K82" s="858">
        <f t="shared" si="29"/>
        <v>0</v>
      </c>
      <c r="L82" s="858">
        <f t="shared" si="29"/>
        <v>0</v>
      </c>
      <c r="M82" s="858">
        <f t="shared" si="29"/>
        <v>0</v>
      </c>
      <c r="N82" s="858">
        <f t="shared" si="29"/>
        <v>0</v>
      </c>
      <c r="O82" s="858">
        <f t="shared" si="29"/>
        <v>0</v>
      </c>
      <c r="P82" s="858">
        <f t="shared" si="29"/>
        <v>0</v>
      </c>
      <c r="Q82" s="858">
        <f t="shared" si="29"/>
        <v>0</v>
      </c>
      <c r="R82" s="858">
        <f t="shared" si="29"/>
        <v>0</v>
      </c>
      <c r="S82" s="858">
        <f t="shared" si="29"/>
        <v>0</v>
      </c>
      <c r="T82" s="858">
        <f t="shared" si="29"/>
        <v>0</v>
      </c>
      <c r="U82" s="858">
        <f t="shared" si="29"/>
        <v>0</v>
      </c>
      <c r="V82" s="858">
        <f t="shared" si="29"/>
        <v>0</v>
      </c>
      <c r="W82" s="858">
        <f t="shared" si="29"/>
        <v>0</v>
      </c>
      <c r="X82" s="858">
        <f t="shared" si="29"/>
        <v>0</v>
      </c>
      <c r="Y82" s="858">
        <f t="shared" si="29"/>
        <v>809</v>
      </c>
      <c r="Z82" s="1052"/>
    </row>
    <row r="83" spans="1:40" ht="18" customHeight="1">
      <c r="A83" s="2622"/>
      <c r="B83" s="2629" t="s">
        <v>7</v>
      </c>
      <c r="C83" s="2629"/>
      <c r="D83" s="864">
        <f>SUM(D78,D82,D76)</f>
        <v>0</v>
      </c>
      <c r="E83" s="864">
        <f t="shared" ref="E83:Y83" si="30">SUM(E78,E82,E76)</f>
        <v>0</v>
      </c>
      <c r="F83" s="864">
        <f t="shared" si="30"/>
        <v>0</v>
      </c>
      <c r="G83" s="864">
        <f t="shared" si="30"/>
        <v>0</v>
      </c>
      <c r="H83" s="864">
        <f t="shared" si="30"/>
        <v>0</v>
      </c>
      <c r="I83" s="864">
        <f t="shared" si="30"/>
        <v>0</v>
      </c>
      <c r="J83" s="864">
        <f t="shared" si="30"/>
        <v>0</v>
      </c>
      <c r="K83" s="864">
        <f t="shared" si="30"/>
        <v>0</v>
      </c>
      <c r="L83" s="864">
        <f t="shared" si="30"/>
        <v>0</v>
      </c>
      <c r="M83" s="864">
        <f t="shared" si="30"/>
        <v>0</v>
      </c>
      <c r="N83" s="864">
        <f t="shared" si="30"/>
        <v>0</v>
      </c>
      <c r="O83" s="864">
        <f t="shared" si="30"/>
        <v>537</v>
      </c>
      <c r="P83" s="864">
        <f t="shared" si="30"/>
        <v>537</v>
      </c>
      <c r="Q83" s="864">
        <f t="shared" si="30"/>
        <v>537</v>
      </c>
      <c r="R83" s="864">
        <f t="shared" si="30"/>
        <v>537</v>
      </c>
      <c r="S83" s="864">
        <f t="shared" si="30"/>
        <v>537</v>
      </c>
      <c r="T83" s="864">
        <f t="shared" si="30"/>
        <v>537</v>
      </c>
      <c r="U83" s="864">
        <f t="shared" si="30"/>
        <v>537</v>
      </c>
      <c r="V83" s="864">
        <f t="shared" si="30"/>
        <v>537</v>
      </c>
      <c r="W83" s="864">
        <f t="shared" si="30"/>
        <v>537</v>
      </c>
      <c r="X83" s="864">
        <f t="shared" si="30"/>
        <v>537</v>
      </c>
      <c r="Y83" s="864">
        <f t="shared" si="30"/>
        <v>4454</v>
      </c>
      <c r="Z83" s="1099"/>
      <c r="AE83" s="604">
        <f t="shared" ref="AE83:AN84" si="31">+AE69/$AD69</f>
        <v>0.26040357643252299</v>
      </c>
      <c r="AF83" s="604">
        <f t="shared" si="31"/>
        <v>0.33248111395184238</v>
      </c>
      <c r="AG83" s="604">
        <f t="shared" si="31"/>
        <v>0</v>
      </c>
      <c r="AH83" s="604">
        <f t="shared" si="31"/>
        <v>0</v>
      </c>
      <c r="AI83" s="604">
        <f t="shared" si="31"/>
        <v>5.89331368895437E-2</v>
      </c>
      <c r="AJ83" s="604">
        <f t="shared" si="31"/>
        <v>0.27354797706229866</v>
      </c>
      <c r="AK83" s="604">
        <f t="shared" si="31"/>
        <v>0</v>
      </c>
      <c r="AL83" s="604">
        <f t="shared" si="31"/>
        <v>0</v>
      </c>
      <c r="AM83" s="604">
        <f t="shared" si="31"/>
        <v>0</v>
      </c>
      <c r="AN83" s="604">
        <f t="shared" si="31"/>
        <v>7.463419566379223E-2</v>
      </c>
    </row>
    <row r="84" spans="1:40" ht="18" customHeight="1">
      <c r="A84" s="2620" t="s">
        <v>754</v>
      </c>
      <c r="B84" s="2623" t="s">
        <v>94</v>
      </c>
      <c r="C84" s="853" t="str">
        <f>AB44</f>
        <v>생극택지지구</v>
      </c>
      <c r="D84" s="854">
        <f>ROUND(IFERROR(VLOOKUP($C84,사회적유입!$AA$5:$AW$167,2,FALSE),0)*$Z84,0)</f>
        <v>0</v>
      </c>
      <c r="E84" s="854">
        <f>ROUND(IFERROR(VLOOKUP($C84,사회적유입!$AA$5:$AW$167,3,FALSE),0)*$Z84,0)</f>
        <v>0</v>
      </c>
      <c r="F84" s="854">
        <f>ROUND(IFERROR(VLOOKUP($C84,사회적유입!$AA$5:$AW$167,4,FALSE),0)*$Z84,0)</f>
        <v>0</v>
      </c>
      <c r="G84" s="854">
        <f>ROUND(IFERROR(VLOOKUP($C84,사회적유입!$AA$5:$AW$167,5,FALSE),0)*$Z84,0)</f>
        <v>0</v>
      </c>
      <c r="H84" s="854">
        <f>ROUND(IFERROR(VLOOKUP($C84,사회적유입!$AA$5:$AW$167,6,FALSE),0)*$Z84,0)</f>
        <v>0</v>
      </c>
      <c r="I84" s="854">
        <f>ROUND(IFERROR(VLOOKUP($C84,사회적유입!$AA$5:$AW$167,7,FALSE),0)*$Z84,0)</f>
        <v>0</v>
      </c>
      <c r="J84" s="854">
        <f>ROUND(IFERROR(VLOOKUP($C84,사회적유입!$AA$5:$AW$167,8,FALSE),0)*$Z84,0)</f>
        <v>0</v>
      </c>
      <c r="K84" s="854">
        <f>ROUND(IFERROR(VLOOKUP($C84,사회적유입!$AA$5:$AW$167,9,FALSE),0)*$Z84,0)</f>
        <v>0</v>
      </c>
      <c r="L84" s="854">
        <f>ROUND(IFERROR(VLOOKUP($C84,사회적유입!$AA$5:$AW$167,10,FALSE),0)*$Z84,0)</f>
        <v>0</v>
      </c>
      <c r="M84" s="854">
        <f>ROUND(IFERROR(VLOOKUP($C84,사회적유입!$AA$5:$AW$167,11,FALSE),0)*$Z84,0)</f>
        <v>0</v>
      </c>
      <c r="N84" s="854">
        <f>ROUND(IFERROR(VLOOKUP($C84,사회적유입!$AA$5:$AW$167,12,FALSE),0)*$Z84,0)</f>
        <v>0</v>
      </c>
      <c r="O84" s="854">
        <f>ROUND(IFERROR(VLOOKUP($C84,사회적유입!$AA$5:$AW$167,13,FALSE),0)*$Z84,0)</f>
        <v>0</v>
      </c>
      <c r="P84" s="854">
        <f>ROUND(IFERROR(VLOOKUP($C84,사회적유입!$AA$5:$AW$167,14,FALSE),0)*$Z84,0)</f>
        <v>0</v>
      </c>
      <c r="Q84" s="854">
        <f>ROUND(IFERROR(VLOOKUP($C84,사회적유입!$AA$5:$AW$167,15,FALSE),0)*$Z84,0)</f>
        <v>0</v>
      </c>
      <c r="R84" s="854">
        <f>ROUND(IFERROR(VLOOKUP($C84,사회적유입!$AA$5:$AW$167,16,FALSE),0)*$Z84,0)</f>
        <v>0</v>
      </c>
      <c r="S84" s="854">
        <f>ROUND(IFERROR(VLOOKUP($C84,사회적유입!$AA$5:$AW$167,17,FALSE),0)*$Z84,0)</f>
        <v>0</v>
      </c>
      <c r="T84" s="854">
        <f>ROUND(IFERROR(VLOOKUP($C84,사회적유입!$AA$5:$AW$167,18,FALSE),0)*$Z84,0)</f>
        <v>0</v>
      </c>
      <c r="U84" s="854">
        <f>ROUND(IFERROR(VLOOKUP($C84,사회적유입!$AA$5:$AW$167,19,FALSE),0)*$Z84,0)</f>
        <v>0</v>
      </c>
      <c r="V84" s="854">
        <f>ROUND(IFERROR(VLOOKUP($C84,사회적유입!$AA$5:$AW$167,20,FALSE),0)*$Z84,0)</f>
        <v>0</v>
      </c>
      <c r="W84" s="854">
        <f>ROUND(IFERROR(VLOOKUP($C84,사회적유입!$AA$5:$AW$167,21,FALSE),0)*$Z84,0)</f>
        <v>0</v>
      </c>
      <c r="X84" s="854">
        <f>ROUND(IFERROR(VLOOKUP($C84,사회적유입!$AA$5:$AW$167,22,FALSE),0)*$Z84,0)</f>
        <v>0</v>
      </c>
      <c r="Y84" s="854">
        <f>ROUND(IFERROR(VLOOKUP($C84,사회적유입!$AA$5:$AW$167,23,FALSE),0)*$Z84,0)</f>
        <v>2331</v>
      </c>
      <c r="Z84" s="1097">
        <f>VLOOKUP(C84,$AB$5:$AN$58,11,FALSE)</f>
        <v>1</v>
      </c>
      <c r="AE84" s="604">
        <f t="shared" si="31"/>
        <v>0</v>
      </c>
      <c r="AF84" s="604">
        <f t="shared" si="31"/>
        <v>0</v>
      </c>
      <c r="AG84" s="604">
        <f t="shared" si="31"/>
        <v>0</v>
      </c>
      <c r="AH84" s="604">
        <f t="shared" si="31"/>
        <v>0</v>
      </c>
      <c r="AI84" s="604">
        <f t="shared" si="31"/>
        <v>0</v>
      </c>
      <c r="AJ84" s="604">
        <f t="shared" si="31"/>
        <v>0</v>
      </c>
      <c r="AK84" s="604">
        <f t="shared" si="31"/>
        <v>0</v>
      </c>
      <c r="AL84" s="604">
        <f t="shared" si="31"/>
        <v>0.30480718436344428</v>
      </c>
      <c r="AM84" s="604">
        <f t="shared" si="31"/>
        <v>0.69519281563655577</v>
      </c>
      <c r="AN84" s="604">
        <f t="shared" si="31"/>
        <v>0</v>
      </c>
    </row>
    <row r="85" spans="1:40" ht="18" customHeight="1">
      <c r="A85" s="2621"/>
      <c r="B85" s="2616"/>
      <c r="C85" s="857" t="s">
        <v>72</v>
      </c>
      <c r="D85" s="858">
        <f t="shared" ref="D85:Y85" si="32">SUM(D84:D84)</f>
        <v>0</v>
      </c>
      <c r="E85" s="858">
        <f t="shared" si="32"/>
        <v>0</v>
      </c>
      <c r="F85" s="858">
        <f t="shared" si="32"/>
        <v>0</v>
      </c>
      <c r="G85" s="858">
        <f t="shared" si="32"/>
        <v>0</v>
      </c>
      <c r="H85" s="858">
        <f t="shared" si="32"/>
        <v>0</v>
      </c>
      <c r="I85" s="858">
        <f t="shared" si="32"/>
        <v>0</v>
      </c>
      <c r="J85" s="858">
        <f t="shared" si="32"/>
        <v>0</v>
      </c>
      <c r="K85" s="858">
        <f t="shared" si="32"/>
        <v>0</v>
      </c>
      <c r="L85" s="858">
        <f t="shared" si="32"/>
        <v>0</v>
      </c>
      <c r="M85" s="858">
        <f t="shared" si="32"/>
        <v>0</v>
      </c>
      <c r="N85" s="858">
        <f t="shared" si="32"/>
        <v>0</v>
      </c>
      <c r="O85" s="858">
        <f t="shared" si="32"/>
        <v>0</v>
      </c>
      <c r="P85" s="858">
        <f t="shared" si="32"/>
        <v>0</v>
      </c>
      <c r="Q85" s="858">
        <f t="shared" si="32"/>
        <v>0</v>
      </c>
      <c r="R85" s="858">
        <f t="shared" si="32"/>
        <v>0</v>
      </c>
      <c r="S85" s="858">
        <f t="shared" si="32"/>
        <v>0</v>
      </c>
      <c r="T85" s="858">
        <f t="shared" si="32"/>
        <v>0</v>
      </c>
      <c r="U85" s="858">
        <f t="shared" si="32"/>
        <v>0</v>
      </c>
      <c r="V85" s="858">
        <f t="shared" si="32"/>
        <v>0</v>
      </c>
      <c r="W85" s="858">
        <f t="shared" si="32"/>
        <v>0</v>
      </c>
      <c r="X85" s="858">
        <f t="shared" si="32"/>
        <v>0</v>
      </c>
      <c r="Y85" s="858">
        <f t="shared" si="32"/>
        <v>2331</v>
      </c>
      <c r="Z85" s="1052"/>
      <c r="AE85" s="604">
        <f t="shared" ref="AE85:AM88" si="33">+AE74/$AD74</f>
        <v>0</v>
      </c>
      <c r="AF85" s="604">
        <f t="shared" si="33"/>
        <v>0.81592286696678595</v>
      </c>
      <c r="AG85" s="604">
        <f t="shared" si="33"/>
        <v>0</v>
      </c>
      <c r="AH85" s="604">
        <f t="shared" si="33"/>
        <v>0</v>
      </c>
      <c r="AI85" s="604">
        <f t="shared" si="33"/>
        <v>0</v>
      </c>
      <c r="AJ85" s="604">
        <f t="shared" si="33"/>
        <v>0</v>
      </c>
      <c r="AK85" s="604">
        <f t="shared" si="33"/>
        <v>0</v>
      </c>
      <c r="AL85" s="604">
        <f t="shared" si="33"/>
        <v>0.18407713303321399</v>
      </c>
      <c r="AM85" s="604">
        <f t="shared" si="33"/>
        <v>0</v>
      </c>
      <c r="AN85" s="604">
        <f>+AN74/$AD74</f>
        <v>0</v>
      </c>
    </row>
    <row r="86" spans="1:40" ht="18" customHeight="1">
      <c r="A86" s="2621"/>
      <c r="B86" s="2616" t="s">
        <v>433</v>
      </c>
      <c r="C86" s="856" t="str">
        <f>AB23</f>
        <v>태경에코그린</v>
      </c>
      <c r="D86" s="1237">
        <f>ROUND(IFERROR(VLOOKUP($C86,사회적유입!$AA$5:$AW$167,2,FALSE),0)*$Z86,0)</f>
        <v>0</v>
      </c>
      <c r="E86" s="1237">
        <f>ROUND(IFERROR(VLOOKUP($C86,사회적유입!$AA$5:$AW$167,3,FALSE),0)*$Z86,0)</f>
        <v>0</v>
      </c>
      <c r="F86" s="1237">
        <f>ROUND(IFERROR(VLOOKUP($C86,사회적유입!$AA$5:$AW$167,4,FALSE),0)*$Z86,0)</f>
        <v>0</v>
      </c>
      <c r="G86" s="1237">
        <f>ROUND(IFERROR(VLOOKUP($C86,사회적유입!$AA$5:$AW$167,5,FALSE),0)*$Z86,0)</f>
        <v>0</v>
      </c>
      <c r="H86" s="1237">
        <f>ROUND(IFERROR(VLOOKUP($C86,사회적유입!$AA$5:$AW$167,6,FALSE),0)*$Z86,0)</f>
        <v>0</v>
      </c>
      <c r="I86" s="1237">
        <f>ROUND(IFERROR(VLOOKUP($C86,사회적유입!$AA$5:$AW$167,7,FALSE),0)*$Z86,0)</f>
        <v>83</v>
      </c>
      <c r="J86" s="1237">
        <f>ROUND(IFERROR(VLOOKUP($C86,사회적유입!$AA$5:$AW$167,8,FALSE),0)*$Z86,0)</f>
        <v>83</v>
      </c>
      <c r="K86" s="1237">
        <f>ROUND(IFERROR(VLOOKUP($C86,사회적유입!$AA$5:$AW$167,9,FALSE),0)*$Z86,0)</f>
        <v>83</v>
      </c>
      <c r="L86" s="1237">
        <f>ROUND(IFERROR(VLOOKUP($C86,사회적유입!$AA$5:$AW$167,10,FALSE),0)*$Z86,0)</f>
        <v>83</v>
      </c>
      <c r="M86" s="1237">
        <f>ROUND(IFERROR(VLOOKUP($C86,사회적유입!$AA$5:$AW$167,11,FALSE),0)*$Z86,0)</f>
        <v>83</v>
      </c>
      <c r="N86" s="1237">
        <f>ROUND(IFERROR(VLOOKUP($C86,사회적유입!$AA$5:$AW$167,12,FALSE),0)*$Z86,0)</f>
        <v>83</v>
      </c>
      <c r="O86" s="1237">
        <f>ROUND(IFERROR(VLOOKUP($C86,사회적유입!$AA$5:$AW$167,13,FALSE),0)*$Z86,0)</f>
        <v>83</v>
      </c>
      <c r="P86" s="1237">
        <f>ROUND(IFERROR(VLOOKUP($C86,사회적유입!$AA$5:$AW$167,14,FALSE),0)*$Z86,0)</f>
        <v>83</v>
      </c>
      <c r="Q86" s="1237">
        <f>ROUND(IFERROR(VLOOKUP($C86,사회적유입!$AA$5:$AW$167,15,FALSE),0)*$Z86,0)</f>
        <v>83</v>
      </c>
      <c r="R86" s="1237">
        <f>ROUND(IFERROR(VLOOKUP($C86,사회적유입!$AA$5:$AW$167,16,FALSE),0)*$Z86,0)</f>
        <v>83</v>
      </c>
      <c r="S86" s="1237">
        <f>ROUND(IFERROR(VLOOKUP($C86,사회적유입!$AA$5:$AW$167,17,FALSE),0)*$Z86,0)</f>
        <v>83</v>
      </c>
      <c r="T86" s="1237">
        <f>ROUND(IFERROR(VLOOKUP($C86,사회적유입!$AA$5:$AW$167,18,FALSE),0)*$Z86,0)</f>
        <v>83</v>
      </c>
      <c r="U86" s="1237">
        <f>ROUND(IFERROR(VLOOKUP($C86,사회적유입!$AA$5:$AW$167,19,FALSE),0)*$Z86,0)</f>
        <v>83</v>
      </c>
      <c r="V86" s="1237">
        <f>ROUND(IFERROR(VLOOKUP($C86,사회적유입!$AA$5:$AW$167,20,FALSE),0)*$Z86,0)</f>
        <v>83</v>
      </c>
      <c r="W86" s="1237">
        <f>ROUND(IFERROR(VLOOKUP($C86,사회적유입!$AA$5:$AW$167,21,FALSE),0)*$Z86,0)</f>
        <v>83</v>
      </c>
      <c r="X86" s="1237">
        <f>ROUND(IFERROR(VLOOKUP($C86,사회적유입!$AA$5:$AW$167,22,FALSE),0)*$Z86,0)</f>
        <v>83</v>
      </c>
      <c r="Y86" s="1237">
        <f>ROUND(IFERROR(VLOOKUP($C86,사회적유입!$AA$5:$AW$167,23,FALSE),0)*$Z86,0)</f>
        <v>83</v>
      </c>
      <c r="Z86" s="1098">
        <f>VLOOKUP(C86,$AB$5:$AN$58,11,FALSE)</f>
        <v>1</v>
      </c>
      <c r="AA86" s="195"/>
      <c r="AE86" s="604">
        <f t="shared" si="33"/>
        <v>0</v>
      </c>
      <c r="AF86" s="604">
        <f t="shared" si="33"/>
        <v>0.5</v>
      </c>
      <c r="AG86" s="604">
        <f t="shared" si="33"/>
        <v>0</v>
      </c>
      <c r="AH86" s="604">
        <f t="shared" si="33"/>
        <v>0</v>
      </c>
      <c r="AI86" s="604">
        <f t="shared" si="33"/>
        <v>8.8626292466765136E-2</v>
      </c>
      <c r="AJ86" s="604">
        <f t="shared" si="33"/>
        <v>0.41137370753323488</v>
      </c>
      <c r="AK86" s="604">
        <f t="shared" si="33"/>
        <v>0</v>
      </c>
      <c r="AL86" s="604">
        <f t="shared" si="33"/>
        <v>0</v>
      </c>
      <c r="AM86" s="604">
        <f t="shared" si="33"/>
        <v>0</v>
      </c>
      <c r="AN86" s="604">
        <f>+AN75/$AD75</f>
        <v>0</v>
      </c>
    </row>
    <row r="87" spans="1:40" ht="18" customHeight="1">
      <c r="A87" s="2621"/>
      <c r="B87" s="2616"/>
      <c r="C87" s="857" t="s">
        <v>72</v>
      </c>
      <c r="D87" s="858">
        <f t="shared" ref="D87:Y87" si="34">SUM(D86:D86)</f>
        <v>0</v>
      </c>
      <c r="E87" s="858">
        <f t="shared" si="34"/>
        <v>0</v>
      </c>
      <c r="F87" s="858">
        <f t="shared" si="34"/>
        <v>0</v>
      </c>
      <c r="G87" s="858">
        <f t="shared" si="34"/>
        <v>0</v>
      </c>
      <c r="H87" s="858">
        <f t="shared" si="34"/>
        <v>0</v>
      </c>
      <c r="I87" s="858">
        <f t="shared" si="34"/>
        <v>83</v>
      </c>
      <c r="J87" s="858">
        <f t="shared" si="34"/>
        <v>83</v>
      </c>
      <c r="K87" s="858">
        <f t="shared" si="34"/>
        <v>83</v>
      </c>
      <c r="L87" s="858">
        <f t="shared" si="34"/>
        <v>83</v>
      </c>
      <c r="M87" s="858">
        <f t="shared" si="34"/>
        <v>83</v>
      </c>
      <c r="N87" s="858">
        <f t="shared" si="34"/>
        <v>83</v>
      </c>
      <c r="O87" s="858">
        <f t="shared" si="34"/>
        <v>83</v>
      </c>
      <c r="P87" s="858">
        <f t="shared" si="34"/>
        <v>83</v>
      </c>
      <c r="Q87" s="858">
        <f t="shared" si="34"/>
        <v>83</v>
      </c>
      <c r="R87" s="858">
        <f t="shared" si="34"/>
        <v>83</v>
      </c>
      <c r="S87" s="858">
        <f t="shared" si="34"/>
        <v>83</v>
      </c>
      <c r="T87" s="858">
        <f t="shared" si="34"/>
        <v>83</v>
      </c>
      <c r="U87" s="858">
        <f t="shared" si="34"/>
        <v>83</v>
      </c>
      <c r="V87" s="858">
        <f t="shared" si="34"/>
        <v>83</v>
      </c>
      <c r="W87" s="858">
        <f t="shared" si="34"/>
        <v>83</v>
      </c>
      <c r="X87" s="858">
        <f t="shared" si="34"/>
        <v>83</v>
      </c>
      <c r="Y87" s="858">
        <f t="shared" si="34"/>
        <v>83</v>
      </c>
      <c r="Z87" s="1052"/>
      <c r="AA87" s="619"/>
      <c r="AE87" s="604">
        <f>+AE76/$AD76</f>
        <v>0</v>
      </c>
      <c r="AF87" s="604">
        <f t="shared" si="33"/>
        <v>0.44954397203288871</v>
      </c>
      <c r="AG87" s="604">
        <f t="shared" si="33"/>
        <v>0</v>
      </c>
      <c r="AH87" s="604">
        <f t="shared" si="33"/>
        <v>0</v>
      </c>
      <c r="AI87" s="604">
        <f t="shared" si="33"/>
        <v>7.9682831084116168E-2</v>
      </c>
      <c r="AJ87" s="604">
        <f t="shared" si="33"/>
        <v>0.36986114094877254</v>
      </c>
      <c r="AK87" s="604">
        <f t="shared" si="33"/>
        <v>0</v>
      </c>
      <c r="AL87" s="604">
        <f t="shared" si="33"/>
        <v>0</v>
      </c>
      <c r="AM87" s="604">
        <f t="shared" si="33"/>
        <v>0</v>
      </c>
      <c r="AN87" s="604">
        <f>+AN76/$AD76</f>
        <v>0.1009120559342226</v>
      </c>
    </row>
    <row r="88" spans="1:40" ht="18" customHeight="1">
      <c r="A88" s="2621"/>
      <c r="B88" s="2616" t="s">
        <v>96</v>
      </c>
      <c r="C88" s="1130" t="str">
        <f>AB34</f>
        <v>생극산업단지</v>
      </c>
      <c r="D88" s="1237">
        <f>ROUND(IFERROR(INDEX(사회적유입!$AA$4:$AW$165,MATCH($C88,사회적유입!$AA$4:$AA$165,0)-2,2),0)*$Z88,0)</f>
        <v>0</v>
      </c>
      <c r="E88" s="1237">
        <f>ROUND(IFERROR(INDEX(사회적유입!$AA$4:$AW$165,MATCH($C88,사회적유입!$AA$4:$AA$165,0)-2,3),0)*$Z88,0)</f>
        <v>0</v>
      </c>
      <c r="F88" s="1237">
        <f>ROUND(IFERROR(INDEX(사회적유입!$AA$4:$AW$165,MATCH($C88,사회적유입!$AA$4:$AA$165,0)-2,4),0)*$Z88,0)</f>
        <v>0</v>
      </c>
      <c r="G88" s="1237">
        <f>ROUND(IFERROR(INDEX(사회적유입!$AA$4:$AW$165,MATCH($C88,사회적유입!$AA$4:$AA$165,0)-2,5),0)*$Z88,0)</f>
        <v>0</v>
      </c>
      <c r="H88" s="1237">
        <f>ROUND(IFERROR(INDEX(사회적유입!$AA$4:$AW$165,MATCH($C88,사회적유입!$AA$4:$AA$165,0)-2,6),0)*$Z88,0)</f>
        <v>89</v>
      </c>
      <c r="I88" s="1237">
        <f>ROUND(IFERROR(INDEX(사회적유입!$AA$4:$AW$165,MATCH($C88,사회적유입!$AA$4:$AA$165,0)-2,7),0)*$Z88,0)</f>
        <v>267</v>
      </c>
      <c r="J88" s="1237">
        <f>ROUND(IFERROR(INDEX(사회적유입!$AA$4:$AW$165,MATCH($C88,사회적유입!$AA$4:$AA$165,0)-2,8),0)*$Z88,0)</f>
        <v>445</v>
      </c>
      <c r="K88" s="1237">
        <f>ROUND(IFERROR(INDEX(사회적유입!$AA$4:$AW$165,MATCH($C88,사회적유입!$AA$4:$AA$165,0)-2,9),0)*$Z88,0)</f>
        <v>445</v>
      </c>
      <c r="L88" s="1237">
        <f>ROUND(IFERROR(INDEX(사회적유입!$AA$4:$AW$165,MATCH($C88,사회적유입!$AA$4:$AA$165,0)-2,10),0)*$Z88,0)</f>
        <v>445</v>
      </c>
      <c r="M88" s="1237">
        <f>ROUND(IFERROR(INDEX(사회적유입!$AA$4:$AW$165,MATCH($C88,사회적유입!$AA$4:$AA$165,0)-2,11),0)*$Z88,0)</f>
        <v>445</v>
      </c>
      <c r="N88" s="1237">
        <f>ROUND(IFERROR(INDEX(사회적유입!$AA$4:$AW$165,MATCH($C88,사회적유입!$AA$4:$AA$165,0)-2,12),0)*$Z88,0)</f>
        <v>445</v>
      </c>
      <c r="O88" s="1237">
        <f>ROUND(IFERROR(INDEX(사회적유입!$AA$4:$AW$165,MATCH($C88,사회적유입!$AA$4:$AA$165,0)-2,13),0)*$Z88,0)</f>
        <v>445</v>
      </c>
      <c r="P88" s="1237">
        <f>ROUND(IFERROR(INDEX(사회적유입!$AA$4:$AW$165,MATCH($C88,사회적유입!$AA$4:$AA$165,0)-2,14),0)*$Z88,0)</f>
        <v>445</v>
      </c>
      <c r="Q88" s="1237">
        <f>ROUND(IFERROR(INDEX(사회적유입!$AA$4:$AW$165,MATCH($C88,사회적유입!$AA$4:$AA$165,0)-2,15),0)*$Z88,0)</f>
        <v>445</v>
      </c>
      <c r="R88" s="1237">
        <f>ROUND(IFERROR(INDEX(사회적유입!$AA$4:$AW$165,MATCH($C88,사회적유입!$AA$4:$AA$165,0)-2,16),0)*$Z88,0)</f>
        <v>445</v>
      </c>
      <c r="S88" s="1237">
        <f>ROUND(IFERROR(INDEX(사회적유입!$AA$4:$AW$165,MATCH($C88,사회적유입!$AA$4:$AA$165,0)-2,17),0)*$Z88,0)</f>
        <v>445</v>
      </c>
      <c r="T88" s="1237">
        <f>ROUND(IFERROR(INDEX(사회적유입!$AA$4:$AW$165,MATCH($C88,사회적유입!$AA$4:$AA$165,0)-2,18),0)*$Z88,0)</f>
        <v>445</v>
      </c>
      <c r="U88" s="1237">
        <f>ROUND(IFERROR(INDEX(사회적유입!$AA$4:$AW$165,MATCH($C88,사회적유입!$AA$4:$AA$165,0)-2,19),0)*$Z88,0)</f>
        <v>445</v>
      </c>
      <c r="V88" s="1237">
        <f>ROUND(IFERROR(INDEX(사회적유입!$AA$4:$AW$165,MATCH($C88,사회적유입!$AA$4:$AA$165,0)-2,20),0)*$Z88,0)</f>
        <v>445</v>
      </c>
      <c r="W88" s="1237">
        <f>ROUND(IFERROR(INDEX(사회적유입!$AA$4:$AW$165,MATCH($C88,사회적유입!$AA$4:$AA$165,0)-2,21),0)*$Z88,0)</f>
        <v>445</v>
      </c>
      <c r="X88" s="1237">
        <f>ROUND(IFERROR(INDEX(사회적유입!$AA$4:$AW$165,MATCH($C88,사회적유입!$AA$4:$AA$165,0)-2,22),0)*$Z88,0)</f>
        <v>445</v>
      </c>
      <c r="Y88" s="1237">
        <f>ROUND(IFERROR(INDEX(사회적유입!$AA$4:$AW$165,MATCH($C88,사회적유입!$AA$4:$AA$165,0)-2,23),0)*$Z88,0)</f>
        <v>445</v>
      </c>
      <c r="Z88" s="1098">
        <f>VLOOKUP(C88,$AB$5:$AN$58,11,FALSE)</f>
        <v>0.6</v>
      </c>
      <c r="AA88" s="619"/>
      <c r="AE88" s="604">
        <f>+AE77/$AD77</f>
        <v>0</v>
      </c>
      <c r="AF88" s="604">
        <f t="shared" si="33"/>
        <v>0.44954397203288871</v>
      </c>
      <c r="AG88" s="604">
        <f t="shared" si="33"/>
        <v>0</v>
      </c>
      <c r="AH88" s="604">
        <f t="shared" si="33"/>
        <v>0</v>
      </c>
      <c r="AI88" s="604">
        <f t="shared" si="33"/>
        <v>7.9682831084116168E-2</v>
      </c>
      <c r="AJ88" s="604">
        <f t="shared" si="33"/>
        <v>0.36986114094877254</v>
      </c>
      <c r="AK88" s="604">
        <f t="shared" si="33"/>
        <v>0</v>
      </c>
      <c r="AL88" s="604">
        <f t="shared" si="33"/>
        <v>0</v>
      </c>
      <c r="AM88" s="604">
        <f t="shared" si="33"/>
        <v>0</v>
      </c>
      <c r="AN88" s="604">
        <f>+AN77/$AD77</f>
        <v>0.1009120559342226</v>
      </c>
    </row>
    <row r="89" spans="1:40" ht="18" customHeight="1">
      <c r="A89" s="2621"/>
      <c r="B89" s="2616"/>
      <c r="C89" s="1130" t="str">
        <f>AB39</f>
        <v>육령일반산업단지</v>
      </c>
      <c r="D89" s="1237">
        <f>ROUND(IFERROR(INDEX(사회적유입!$AA$4:$AW$165,MATCH($C89,사회적유입!$AA$4:$AA$165,0)-2,2),0)*$Z89,0)</f>
        <v>0</v>
      </c>
      <c r="E89" s="1237">
        <f>ROUND(IFERROR(INDEX(사회적유입!$AA$4:$AW$165,MATCH($C89,사회적유입!$AA$4:$AA$165,0)-2,3),0)*$Z89,0)</f>
        <v>0</v>
      </c>
      <c r="F89" s="1237">
        <f>ROUND(IFERROR(INDEX(사회적유입!$AA$4:$AW$165,MATCH($C89,사회적유입!$AA$4:$AA$165,0)-2,4),0)*$Z89,0)</f>
        <v>0</v>
      </c>
      <c r="G89" s="1237">
        <f>ROUND(IFERROR(INDEX(사회적유입!$AA$4:$AW$165,MATCH($C89,사회적유입!$AA$4:$AA$165,0)-2,5),0)*$Z89,0)</f>
        <v>0</v>
      </c>
      <c r="H89" s="1237">
        <f>ROUND(IFERROR(INDEX(사회적유입!$AA$4:$AW$165,MATCH($C89,사회적유입!$AA$4:$AA$165,0)-2,6),0)*$Z89,0)</f>
        <v>0</v>
      </c>
      <c r="I89" s="1237">
        <f>ROUND(IFERROR(INDEX(사회적유입!$AA$4:$AW$165,MATCH($C89,사회적유입!$AA$4:$AA$165,0)-2,7),0)*$Z89,0)</f>
        <v>0</v>
      </c>
      <c r="J89" s="1237">
        <f>ROUND(IFERROR(INDEX(사회적유입!$AA$4:$AW$165,MATCH($C89,사회적유입!$AA$4:$AA$165,0)-2,8),0)*$Z89,0)</f>
        <v>1</v>
      </c>
      <c r="K89" s="1237">
        <f>ROUND(IFERROR(INDEX(사회적유입!$AA$4:$AW$165,MATCH($C89,사회적유입!$AA$4:$AA$165,0)-2,9),0)*$Z89,0)</f>
        <v>3</v>
      </c>
      <c r="L89" s="1237">
        <f>ROUND(IFERROR(INDEX(사회적유입!$AA$4:$AW$165,MATCH($C89,사회적유입!$AA$4:$AA$165,0)-2,10),0)*$Z89,0)</f>
        <v>5</v>
      </c>
      <c r="M89" s="1237">
        <f>ROUND(IFERROR(INDEX(사회적유입!$AA$4:$AW$165,MATCH($C89,사회적유입!$AA$4:$AA$165,0)-2,11),0)*$Z89,0)</f>
        <v>5</v>
      </c>
      <c r="N89" s="1237">
        <f>ROUND(IFERROR(INDEX(사회적유입!$AA$4:$AW$165,MATCH($C89,사회적유입!$AA$4:$AA$165,0)-2,12),0)*$Z89,0)</f>
        <v>5</v>
      </c>
      <c r="O89" s="1237">
        <f>ROUND(IFERROR(INDEX(사회적유입!$AA$4:$AW$165,MATCH($C89,사회적유입!$AA$4:$AA$165,0)-2,13),0)*$Z89,0)</f>
        <v>5</v>
      </c>
      <c r="P89" s="1237">
        <f>ROUND(IFERROR(INDEX(사회적유입!$AA$4:$AW$165,MATCH($C89,사회적유입!$AA$4:$AA$165,0)-2,14),0)*$Z89,0)</f>
        <v>5</v>
      </c>
      <c r="Q89" s="1237">
        <f>ROUND(IFERROR(INDEX(사회적유입!$AA$4:$AW$165,MATCH($C89,사회적유입!$AA$4:$AA$165,0)-2,15),0)*$Z89,0)</f>
        <v>5</v>
      </c>
      <c r="R89" s="1237">
        <f>ROUND(IFERROR(INDEX(사회적유입!$AA$4:$AW$165,MATCH($C89,사회적유입!$AA$4:$AA$165,0)-2,16),0)*$Z89,0)</f>
        <v>5</v>
      </c>
      <c r="S89" s="1237">
        <f>ROUND(IFERROR(INDEX(사회적유입!$AA$4:$AW$165,MATCH($C89,사회적유입!$AA$4:$AA$165,0)-2,17),0)*$Z89,0)</f>
        <v>5</v>
      </c>
      <c r="T89" s="1237">
        <f>ROUND(IFERROR(INDEX(사회적유입!$AA$4:$AW$165,MATCH($C89,사회적유입!$AA$4:$AA$165,0)-2,18),0)*$Z89,0)</f>
        <v>5</v>
      </c>
      <c r="U89" s="1237">
        <f>ROUND(IFERROR(INDEX(사회적유입!$AA$4:$AW$165,MATCH($C89,사회적유입!$AA$4:$AA$165,0)-2,19),0)*$Z89,0)</f>
        <v>5</v>
      </c>
      <c r="V89" s="1237">
        <f>ROUND(IFERROR(INDEX(사회적유입!$AA$4:$AW$165,MATCH($C89,사회적유입!$AA$4:$AA$165,0)-2,20),0)*$Z89,0)</f>
        <v>5</v>
      </c>
      <c r="W89" s="1237">
        <f>ROUND(IFERROR(INDEX(사회적유입!$AA$4:$AW$165,MATCH($C89,사회적유입!$AA$4:$AA$165,0)-2,21),0)*$Z89,0)</f>
        <v>5</v>
      </c>
      <c r="X89" s="1237">
        <f>ROUND(IFERROR(INDEX(사회적유입!$AA$4:$AW$165,MATCH($C89,사회적유입!$AA$4:$AA$165,0)-2,22),0)*$Z89,0)</f>
        <v>5</v>
      </c>
      <c r="Y89" s="1237">
        <f>ROUND(IFERROR(INDEX(사회적유입!$AA$4:$AW$165,MATCH($C89,사회적유입!$AA$4:$AA$165,0)-2,23),0)*$Z89,0)</f>
        <v>5</v>
      </c>
      <c r="Z89" s="1098">
        <f>VLOOKUP(C89,$AB$5:$AN$58,11,FALSE)</f>
        <v>0.2</v>
      </c>
      <c r="AA89" s="619"/>
    </row>
    <row r="90" spans="1:40" ht="18" customHeight="1">
      <c r="A90" s="2621"/>
      <c r="B90" s="2616"/>
      <c r="C90" s="857" t="s">
        <v>72</v>
      </c>
      <c r="D90" s="858">
        <f>SUM(D88:D89)</f>
        <v>0</v>
      </c>
      <c r="E90" s="858">
        <f t="shared" ref="E90:Y90" si="35">SUM(E88:E89)</f>
        <v>0</v>
      </c>
      <c r="F90" s="858">
        <f t="shared" si="35"/>
        <v>0</v>
      </c>
      <c r="G90" s="858">
        <f t="shared" si="35"/>
        <v>0</v>
      </c>
      <c r="H90" s="858">
        <f t="shared" si="35"/>
        <v>89</v>
      </c>
      <c r="I90" s="858">
        <f t="shared" si="35"/>
        <v>267</v>
      </c>
      <c r="J90" s="858">
        <f t="shared" si="35"/>
        <v>446</v>
      </c>
      <c r="K90" s="858">
        <f t="shared" si="35"/>
        <v>448</v>
      </c>
      <c r="L90" s="858">
        <f t="shared" si="35"/>
        <v>450</v>
      </c>
      <c r="M90" s="858">
        <f t="shared" si="35"/>
        <v>450</v>
      </c>
      <c r="N90" s="858">
        <f t="shared" si="35"/>
        <v>450</v>
      </c>
      <c r="O90" s="858">
        <f t="shared" si="35"/>
        <v>450</v>
      </c>
      <c r="P90" s="858">
        <f t="shared" si="35"/>
        <v>450</v>
      </c>
      <c r="Q90" s="858">
        <f t="shared" si="35"/>
        <v>450</v>
      </c>
      <c r="R90" s="858">
        <f t="shared" si="35"/>
        <v>450</v>
      </c>
      <c r="S90" s="858">
        <f t="shared" si="35"/>
        <v>450</v>
      </c>
      <c r="T90" s="858">
        <f t="shared" si="35"/>
        <v>450</v>
      </c>
      <c r="U90" s="858">
        <f t="shared" si="35"/>
        <v>450</v>
      </c>
      <c r="V90" s="858">
        <f t="shared" si="35"/>
        <v>450</v>
      </c>
      <c r="W90" s="858">
        <f t="shared" si="35"/>
        <v>450</v>
      </c>
      <c r="X90" s="858">
        <f t="shared" si="35"/>
        <v>450</v>
      </c>
      <c r="Y90" s="858">
        <f t="shared" si="35"/>
        <v>450</v>
      </c>
      <c r="Z90" s="1052"/>
      <c r="AA90" s="619"/>
    </row>
    <row r="91" spans="1:40" ht="18" customHeight="1">
      <c r="A91" s="2625"/>
      <c r="B91" s="2633" t="s">
        <v>7</v>
      </c>
      <c r="C91" s="2633"/>
      <c r="D91" s="1100">
        <f>SUM(D87,D90,D85)</f>
        <v>0</v>
      </c>
      <c r="E91" s="1100">
        <f t="shared" ref="E91:Y91" si="36">SUM(E87,E90,E85)</f>
        <v>0</v>
      </c>
      <c r="F91" s="1100">
        <f t="shared" si="36"/>
        <v>0</v>
      </c>
      <c r="G91" s="1100">
        <f t="shared" si="36"/>
        <v>0</v>
      </c>
      <c r="H91" s="1100">
        <f t="shared" si="36"/>
        <v>89</v>
      </c>
      <c r="I91" s="1100">
        <f t="shared" si="36"/>
        <v>350</v>
      </c>
      <c r="J91" s="1100">
        <f t="shared" si="36"/>
        <v>529</v>
      </c>
      <c r="K91" s="1100">
        <f t="shared" si="36"/>
        <v>531</v>
      </c>
      <c r="L91" s="1100">
        <f t="shared" si="36"/>
        <v>533</v>
      </c>
      <c r="M91" s="1100">
        <f t="shared" si="36"/>
        <v>533</v>
      </c>
      <c r="N91" s="1100">
        <f t="shared" si="36"/>
        <v>533</v>
      </c>
      <c r="O91" s="1100">
        <f t="shared" si="36"/>
        <v>533</v>
      </c>
      <c r="P91" s="1100">
        <f t="shared" si="36"/>
        <v>533</v>
      </c>
      <c r="Q91" s="1100">
        <f t="shared" si="36"/>
        <v>533</v>
      </c>
      <c r="R91" s="1100">
        <f t="shared" si="36"/>
        <v>533</v>
      </c>
      <c r="S91" s="1100">
        <f t="shared" si="36"/>
        <v>533</v>
      </c>
      <c r="T91" s="1100">
        <f t="shared" si="36"/>
        <v>533</v>
      </c>
      <c r="U91" s="1100">
        <f t="shared" si="36"/>
        <v>533</v>
      </c>
      <c r="V91" s="1100">
        <f t="shared" si="36"/>
        <v>533</v>
      </c>
      <c r="W91" s="1100">
        <f t="shared" si="36"/>
        <v>533</v>
      </c>
      <c r="X91" s="1100">
        <f t="shared" si="36"/>
        <v>533</v>
      </c>
      <c r="Y91" s="1100">
        <f t="shared" si="36"/>
        <v>2864</v>
      </c>
      <c r="Z91" s="1054"/>
    </row>
    <row r="92" spans="1:40" ht="18" customHeight="1">
      <c r="A92" s="2624" t="s">
        <v>753</v>
      </c>
      <c r="B92" s="2615" t="s">
        <v>433</v>
      </c>
      <c r="C92" s="1096" t="str">
        <f>AB20</f>
        <v>포그니아파트</v>
      </c>
      <c r="D92" s="862">
        <f>ROUND(IFERROR(VLOOKUP($C92,사회적유입!$AA$5:$AW$167,2,FALSE),0)*$Z92,0)</f>
        <v>0</v>
      </c>
      <c r="E92" s="862">
        <f>ROUND(IFERROR(VLOOKUP($C92,사회적유입!$AA$5:$AW$167,3,FALSE),0)*$Z92,0)</f>
        <v>0</v>
      </c>
      <c r="F92" s="862">
        <f>ROUND(IFERROR(VLOOKUP($C92,사회적유입!$AA$5:$AW$167,4,FALSE),0)*$Z92,0)</f>
        <v>0</v>
      </c>
      <c r="G92" s="862">
        <f>ROUND(IFERROR(VLOOKUP($C92,사회적유입!$AA$5:$AW$167,5,FALSE),0)*$Z92,0)</f>
        <v>0</v>
      </c>
      <c r="H92" s="862">
        <f>ROUND(IFERROR(VLOOKUP($C92,사회적유입!$AA$5:$AW$167,6,FALSE),0)*$Z92,0)</f>
        <v>231</v>
      </c>
      <c r="I92" s="862">
        <f>ROUND(IFERROR(VLOOKUP($C92,사회적유입!$AA$5:$AW$167,7,FALSE),0)*$Z92,0)</f>
        <v>231</v>
      </c>
      <c r="J92" s="862">
        <f>ROUND(IFERROR(VLOOKUP($C92,사회적유입!$AA$5:$AW$167,8,FALSE),0)*$Z92,0)</f>
        <v>231</v>
      </c>
      <c r="K92" s="862">
        <f>ROUND(IFERROR(VLOOKUP($C92,사회적유입!$AA$5:$AW$167,9,FALSE),0)*$Z92,0)</f>
        <v>231</v>
      </c>
      <c r="L92" s="862">
        <f>ROUND(IFERROR(VLOOKUP($C92,사회적유입!$AA$5:$AW$167,10,FALSE),0)*$Z92,0)</f>
        <v>231</v>
      </c>
      <c r="M92" s="862">
        <f>ROUND(IFERROR(VLOOKUP($C92,사회적유입!$AA$5:$AW$167,11,FALSE),0)*$Z92,0)</f>
        <v>231</v>
      </c>
      <c r="N92" s="862">
        <f>ROUND(IFERROR(VLOOKUP($C92,사회적유입!$AA$5:$AW$167,12,FALSE),0)*$Z92,0)</f>
        <v>231</v>
      </c>
      <c r="O92" s="862">
        <f>ROUND(IFERROR(VLOOKUP($C92,사회적유입!$AA$5:$AW$167,13,FALSE),0)*$Z92,0)</f>
        <v>231</v>
      </c>
      <c r="P92" s="862">
        <f>ROUND(IFERROR(VLOOKUP($C92,사회적유입!$AA$5:$AW$167,14,FALSE),0)*$Z92,0)</f>
        <v>231</v>
      </c>
      <c r="Q92" s="862">
        <f>ROUND(IFERROR(VLOOKUP($C92,사회적유입!$AA$5:$AW$167,15,FALSE),0)*$Z92,0)</f>
        <v>231</v>
      </c>
      <c r="R92" s="862">
        <f>ROUND(IFERROR(VLOOKUP($C92,사회적유입!$AA$5:$AW$167,16,FALSE),0)*$Z92,0)</f>
        <v>231</v>
      </c>
      <c r="S92" s="862">
        <f>ROUND(IFERROR(VLOOKUP($C92,사회적유입!$AA$5:$AW$167,17,FALSE),0)*$Z92,0)</f>
        <v>231</v>
      </c>
      <c r="T92" s="862">
        <f>ROUND(IFERROR(VLOOKUP($C92,사회적유입!$AA$5:$AW$167,18,FALSE),0)*$Z92,0)</f>
        <v>231</v>
      </c>
      <c r="U92" s="862">
        <f>ROUND(IFERROR(VLOOKUP($C92,사회적유입!$AA$5:$AW$167,19,FALSE),0)*$Z92,0)</f>
        <v>231</v>
      </c>
      <c r="V92" s="862">
        <f>ROUND(IFERROR(VLOOKUP($C92,사회적유입!$AA$5:$AW$167,20,FALSE),0)*$Z92,0)</f>
        <v>231</v>
      </c>
      <c r="W92" s="862">
        <f>ROUND(IFERROR(VLOOKUP($C92,사회적유입!$AA$5:$AW$167,21,FALSE),0)*$Z92,0)</f>
        <v>231</v>
      </c>
      <c r="X92" s="862">
        <f>ROUND(IFERROR(VLOOKUP($C92,사회적유입!$AA$5:$AW$167,22,FALSE),0)*$Z92,0)</f>
        <v>231</v>
      </c>
      <c r="Y92" s="862">
        <f>ROUND(IFERROR(VLOOKUP($C92,사회적유입!$AA$5:$AW$167,23,FALSE),0)*$Z92,0)</f>
        <v>231</v>
      </c>
      <c r="Z92" s="1101">
        <f>VLOOKUP(C92,$AB$5:$AN$58,12,FALSE)</f>
        <v>1</v>
      </c>
    </row>
    <row r="93" spans="1:40" ht="18" customHeight="1">
      <c r="A93" s="2621"/>
      <c r="B93" s="2616"/>
      <c r="C93" s="856" t="str">
        <f>AB22</f>
        <v>대신리치빌</v>
      </c>
      <c r="D93" s="1237">
        <f>ROUND(IFERROR(VLOOKUP($C93,사회적유입!$AA$5:$AW$167,2,FALSE),0)*$Z93,0)</f>
        <v>0</v>
      </c>
      <c r="E93" s="1237">
        <f>ROUND(IFERROR(VLOOKUP($C93,사회적유입!$AA$5:$AW$167,3,FALSE),0)*$Z93,0)</f>
        <v>0</v>
      </c>
      <c r="F93" s="1237">
        <f>ROUND(IFERROR(VLOOKUP($C93,사회적유입!$AA$5:$AW$167,4,FALSE),0)*$Z93,0)</f>
        <v>0</v>
      </c>
      <c r="G93" s="1237">
        <f>ROUND(IFERROR(VLOOKUP($C93,사회적유입!$AA$5:$AW$167,5,FALSE),0)*$Z93,0)</f>
        <v>0</v>
      </c>
      <c r="H93" s="1237">
        <f>ROUND(IFERROR(VLOOKUP($C93,사회적유입!$AA$5:$AW$167,6,FALSE),0)*$Z93,0)</f>
        <v>113</v>
      </c>
      <c r="I93" s="1237">
        <f>ROUND(IFERROR(VLOOKUP($C93,사회적유입!$AA$5:$AW$167,7,FALSE),0)*$Z93,0)</f>
        <v>113</v>
      </c>
      <c r="J93" s="1237">
        <f>ROUND(IFERROR(VLOOKUP($C93,사회적유입!$AA$5:$AW$167,8,FALSE),0)*$Z93,0)</f>
        <v>113</v>
      </c>
      <c r="K93" s="1237">
        <f>ROUND(IFERROR(VLOOKUP($C93,사회적유입!$AA$5:$AW$167,9,FALSE),0)*$Z93,0)</f>
        <v>113</v>
      </c>
      <c r="L93" s="1237">
        <f>ROUND(IFERROR(VLOOKUP($C93,사회적유입!$AA$5:$AW$167,10,FALSE),0)*$Z93,0)</f>
        <v>113</v>
      </c>
      <c r="M93" s="1237">
        <f>ROUND(IFERROR(VLOOKUP($C93,사회적유입!$AA$5:$AW$167,11,FALSE),0)*$Z93,0)</f>
        <v>113</v>
      </c>
      <c r="N93" s="1237">
        <f>ROUND(IFERROR(VLOOKUP($C93,사회적유입!$AA$5:$AW$167,12,FALSE),0)*$Z93,0)</f>
        <v>113</v>
      </c>
      <c r="O93" s="1237">
        <f>ROUND(IFERROR(VLOOKUP($C93,사회적유입!$AA$5:$AW$167,13,FALSE),0)*$Z93,0)</f>
        <v>113</v>
      </c>
      <c r="P93" s="1237">
        <f>ROUND(IFERROR(VLOOKUP($C93,사회적유입!$AA$5:$AW$167,14,FALSE),0)*$Z93,0)</f>
        <v>113</v>
      </c>
      <c r="Q93" s="1237">
        <f>ROUND(IFERROR(VLOOKUP($C93,사회적유입!$AA$5:$AW$167,15,FALSE),0)*$Z93,0)</f>
        <v>113</v>
      </c>
      <c r="R93" s="1237">
        <f>ROUND(IFERROR(VLOOKUP($C93,사회적유입!$AA$5:$AW$167,16,FALSE),0)*$Z93,0)</f>
        <v>113</v>
      </c>
      <c r="S93" s="1237">
        <f>ROUND(IFERROR(VLOOKUP($C93,사회적유입!$AA$5:$AW$167,17,FALSE),0)*$Z93,0)</f>
        <v>113</v>
      </c>
      <c r="T93" s="1237">
        <f>ROUND(IFERROR(VLOOKUP($C93,사회적유입!$AA$5:$AW$167,18,FALSE),0)*$Z93,0)</f>
        <v>113</v>
      </c>
      <c r="U93" s="1237">
        <f>ROUND(IFERROR(VLOOKUP($C93,사회적유입!$AA$5:$AW$167,19,FALSE),0)*$Z93,0)</f>
        <v>113</v>
      </c>
      <c r="V93" s="1237">
        <f>ROUND(IFERROR(VLOOKUP($C93,사회적유입!$AA$5:$AW$167,20,FALSE),0)*$Z93,0)</f>
        <v>113</v>
      </c>
      <c r="W93" s="1237">
        <f>ROUND(IFERROR(VLOOKUP($C93,사회적유입!$AA$5:$AW$167,21,FALSE),0)*$Z93,0)</f>
        <v>113</v>
      </c>
      <c r="X93" s="1237">
        <f>ROUND(IFERROR(VLOOKUP($C93,사회적유입!$AA$5:$AW$167,22,FALSE),0)*$Z93,0)</f>
        <v>113</v>
      </c>
      <c r="Y93" s="1237">
        <f>ROUND(IFERROR(VLOOKUP($C93,사회적유입!$AA$5:$AW$167,23,FALSE),0)*$Z93,0)</f>
        <v>113</v>
      </c>
      <c r="Z93" s="1098">
        <f>VLOOKUP(C93,$AB$5:$AN$58,12,FALSE)</f>
        <v>1</v>
      </c>
    </row>
    <row r="94" spans="1:40" ht="18" customHeight="1">
      <c r="A94" s="2621"/>
      <c r="B94" s="2616"/>
      <c r="C94" s="856" t="str">
        <f>AB25</f>
        <v>감곡 우시장근처</v>
      </c>
      <c r="D94" s="1237">
        <f>ROUND(IFERROR(VLOOKUP($C94,사회적유입!$AA$5:$AW$167,2,FALSE),0)*$Z94,0)</f>
        <v>0</v>
      </c>
      <c r="E94" s="1237">
        <f>ROUND(IFERROR(VLOOKUP($C94,사회적유입!$AA$5:$AW$167,3,FALSE),0)*$Z94,0)</f>
        <v>0</v>
      </c>
      <c r="F94" s="1237">
        <f>ROUND(IFERROR(VLOOKUP($C94,사회적유입!$AA$5:$AW$167,4,FALSE),0)*$Z94,0)</f>
        <v>0</v>
      </c>
      <c r="G94" s="1237">
        <f>ROUND(IFERROR(VLOOKUP($C94,사회적유입!$AA$5:$AW$167,5,FALSE),0)*$Z94,0)</f>
        <v>0</v>
      </c>
      <c r="H94" s="1237">
        <f>ROUND(IFERROR(VLOOKUP($C94,사회적유입!$AA$5:$AW$167,6,FALSE),0)*$Z94,0)</f>
        <v>0</v>
      </c>
      <c r="I94" s="1237">
        <f>ROUND(IFERROR(VLOOKUP($C94,사회적유입!$AA$5:$AW$167,7,FALSE),0)*$Z94,0)</f>
        <v>0</v>
      </c>
      <c r="J94" s="1237">
        <f>ROUND(IFERROR(VLOOKUP($C94,사회적유입!$AA$5:$AW$167,8,FALSE),0)*$Z94,0)</f>
        <v>0</v>
      </c>
      <c r="K94" s="1237">
        <f>ROUND(IFERROR(VLOOKUP($C94,사회적유입!$AA$5:$AW$167,9,FALSE),0)*$Z94,0)</f>
        <v>0</v>
      </c>
      <c r="L94" s="1237">
        <f>ROUND(IFERROR(VLOOKUP($C94,사회적유입!$AA$5:$AW$167,10,FALSE),0)*$Z94,0)</f>
        <v>0</v>
      </c>
      <c r="M94" s="1237">
        <f>ROUND(IFERROR(VLOOKUP($C94,사회적유입!$AA$5:$AW$167,11,FALSE),0)*$Z94,0)</f>
        <v>0</v>
      </c>
      <c r="N94" s="1237">
        <f>ROUND(IFERROR(VLOOKUP($C94,사회적유입!$AA$5:$AW$167,12,FALSE),0)*$Z94,0)</f>
        <v>0</v>
      </c>
      <c r="O94" s="1237">
        <f>ROUND(IFERROR(VLOOKUP($C94,사회적유입!$AA$5:$AW$167,13,FALSE),0)*$Z94,0)</f>
        <v>0</v>
      </c>
      <c r="P94" s="1237">
        <f>ROUND(IFERROR(VLOOKUP($C94,사회적유입!$AA$5:$AW$167,14,FALSE),0)*$Z94,0)</f>
        <v>0</v>
      </c>
      <c r="Q94" s="1237">
        <f>ROUND(IFERROR(VLOOKUP($C94,사회적유입!$AA$5:$AW$167,15,FALSE),0)*$Z94,0)</f>
        <v>0</v>
      </c>
      <c r="R94" s="1237">
        <f>ROUND(IFERROR(VLOOKUP($C94,사회적유입!$AA$5:$AW$167,16,FALSE),0)*$Z94,0)</f>
        <v>0</v>
      </c>
      <c r="S94" s="1237">
        <f>ROUND(IFERROR(VLOOKUP($C94,사회적유입!$AA$5:$AW$167,17,FALSE),0)*$Z94,0)</f>
        <v>0</v>
      </c>
      <c r="T94" s="1237">
        <f>ROUND(IFERROR(VLOOKUP($C94,사회적유입!$AA$5:$AW$167,18,FALSE),0)*$Z94,0)</f>
        <v>0</v>
      </c>
      <c r="U94" s="1237">
        <f>ROUND(IFERROR(VLOOKUP($C94,사회적유입!$AA$5:$AW$167,19,FALSE),0)*$Z94,0)</f>
        <v>0</v>
      </c>
      <c r="V94" s="1237">
        <f>ROUND(IFERROR(VLOOKUP($C94,사회적유입!$AA$5:$AW$167,20,FALSE),0)*$Z94,0)</f>
        <v>0</v>
      </c>
      <c r="W94" s="1237">
        <f>ROUND(IFERROR(VLOOKUP($C94,사회적유입!$AA$5:$AW$167,21,FALSE),0)*$Z94,0)</f>
        <v>0</v>
      </c>
      <c r="X94" s="1237">
        <f>ROUND(IFERROR(VLOOKUP($C94,사회적유입!$AA$5:$AW$167,22,FALSE),0)*$Z94,0)</f>
        <v>0</v>
      </c>
      <c r="Y94" s="1237">
        <f>ROUND(IFERROR(VLOOKUP($C94,사회적유입!$AA$5:$AW$167,23,FALSE),0)*$Z94,0)</f>
        <v>0</v>
      </c>
      <c r="Z94" s="1098">
        <f>VLOOKUP(C94,$AB$5:$AN$58,12,FALSE)</f>
        <v>1</v>
      </c>
    </row>
    <row r="95" spans="1:40" ht="18" customHeight="1">
      <c r="A95" s="2621"/>
      <c r="B95" s="2616"/>
      <c r="C95" s="856" t="str">
        <f>AB26</f>
        <v>감곡 오향리 아파트</v>
      </c>
      <c r="D95" s="1237">
        <f>ROUND(IFERROR(VLOOKUP($C95,사회적유입!$AA$5:$AW$167,2,FALSE),0)*$Z95,0)</f>
        <v>0</v>
      </c>
      <c r="E95" s="1237">
        <f>ROUND(IFERROR(VLOOKUP($C95,사회적유입!$AA$5:$AW$167,3,FALSE),0)*$Z95,0)</f>
        <v>0</v>
      </c>
      <c r="F95" s="1237">
        <f>ROUND(IFERROR(VLOOKUP($C95,사회적유입!$AA$5:$AW$167,4,FALSE),0)*$Z95,0)</f>
        <v>0</v>
      </c>
      <c r="G95" s="1237">
        <f>ROUND(IFERROR(VLOOKUP($C95,사회적유입!$AA$5:$AW$167,5,FALSE),0)*$Z95,0)</f>
        <v>0</v>
      </c>
      <c r="H95" s="1237">
        <f>ROUND(IFERROR(VLOOKUP($C95,사회적유입!$AA$5:$AW$167,6,FALSE),0)*$Z95,0)</f>
        <v>0</v>
      </c>
      <c r="I95" s="1237">
        <f>ROUND(IFERROR(VLOOKUP($C95,사회적유입!$AA$5:$AW$167,7,FALSE),0)*$Z95,0)</f>
        <v>0</v>
      </c>
      <c r="J95" s="1237">
        <f>ROUND(IFERROR(VLOOKUP($C95,사회적유입!$AA$5:$AW$167,8,FALSE),0)*$Z95,0)</f>
        <v>0</v>
      </c>
      <c r="K95" s="1237">
        <f>ROUND(IFERROR(VLOOKUP($C95,사회적유입!$AA$5:$AW$167,9,FALSE),0)*$Z95,0)</f>
        <v>0</v>
      </c>
      <c r="L95" s="1237">
        <f>ROUND(IFERROR(VLOOKUP($C95,사회적유입!$AA$5:$AW$167,10,FALSE),0)*$Z95,0)</f>
        <v>0</v>
      </c>
      <c r="M95" s="1237">
        <f>ROUND(IFERROR(VLOOKUP($C95,사회적유입!$AA$5:$AW$167,11,FALSE),0)*$Z95,0)</f>
        <v>0</v>
      </c>
      <c r="N95" s="1237">
        <f>ROUND(IFERROR(VLOOKUP($C95,사회적유입!$AA$5:$AW$167,12,FALSE),0)*$Z95,0)</f>
        <v>0</v>
      </c>
      <c r="O95" s="1237">
        <f>ROUND(IFERROR(VLOOKUP($C95,사회적유입!$AA$5:$AW$167,13,FALSE),0)*$Z95,0)</f>
        <v>549</v>
      </c>
      <c r="P95" s="1237">
        <f>ROUND(IFERROR(VLOOKUP($C95,사회적유입!$AA$5:$AW$167,14,FALSE),0)*$Z95,0)</f>
        <v>549</v>
      </c>
      <c r="Q95" s="1237">
        <f>ROUND(IFERROR(VLOOKUP($C95,사회적유입!$AA$5:$AW$167,15,FALSE),0)*$Z95,0)</f>
        <v>549</v>
      </c>
      <c r="R95" s="1237">
        <f>ROUND(IFERROR(VLOOKUP($C95,사회적유입!$AA$5:$AW$167,16,FALSE),0)*$Z95,0)</f>
        <v>549</v>
      </c>
      <c r="S95" s="1237">
        <f>ROUND(IFERROR(VLOOKUP($C95,사회적유입!$AA$5:$AW$167,17,FALSE),0)*$Z95,0)</f>
        <v>549</v>
      </c>
      <c r="T95" s="1237">
        <f>ROUND(IFERROR(VLOOKUP($C95,사회적유입!$AA$5:$AW$167,18,FALSE),0)*$Z95,0)</f>
        <v>549</v>
      </c>
      <c r="U95" s="1237">
        <f>ROUND(IFERROR(VLOOKUP($C95,사회적유입!$AA$5:$AW$167,19,FALSE),0)*$Z95,0)</f>
        <v>549</v>
      </c>
      <c r="V95" s="1237">
        <f>ROUND(IFERROR(VLOOKUP($C95,사회적유입!$AA$5:$AW$167,20,FALSE),0)*$Z95,0)</f>
        <v>549</v>
      </c>
      <c r="W95" s="1237">
        <f>ROUND(IFERROR(VLOOKUP($C95,사회적유입!$AA$5:$AW$167,21,FALSE),0)*$Z95,0)</f>
        <v>549</v>
      </c>
      <c r="X95" s="1237">
        <f>ROUND(IFERROR(VLOOKUP($C95,사회적유입!$AA$5:$AW$167,22,FALSE),0)*$Z95,0)</f>
        <v>549</v>
      </c>
      <c r="Y95" s="1237">
        <f>ROUND(IFERROR(VLOOKUP($C95,사회적유입!$AA$5:$AW$167,23,FALSE),0)*$Z95,0)</f>
        <v>549</v>
      </c>
      <c r="Z95" s="1098">
        <f>VLOOKUP(C95,$AB$5:$AN$58,12,FALSE)</f>
        <v>1</v>
      </c>
    </row>
    <row r="96" spans="1:40" ht="18" customHeight="1">
      <c r="A96" s="2621"/>
      <c r="B96" s="2616"/>
      <c r="C96" s="857" t="s">
        <v>72</v>
      </c>
      <c r="D96" s="858">
        <f>SUM(D92:D95)</f>
        <v>0</v>
      </c>
      <c r="E96" s="858">
        <f t="shared" ref="E96:Y96" si="37">SUM(E92:E95)</f>
        <v>0</v>
      </c>
      <c r="F96" s="858">
        <f t="shared" si="37"/>
        <v>0</v>
      </c>
      <c r="G96" s="858">
        <f t="shared" si="37"/>
        <v>0</v>
      </c>
      <c r="H96" s="858">
        <f t="shared" si="37"/>
        <v>344</v>
      </c>
      <c r="I96" s="858">
        <f t="shared" si="37"/>
        <v>344</v>
      </c>
      <c r="J96" s="858">
        <f t="shared" si="37"/>
        <v>344</v>
      </c>
      <c r="K96" s="858">
        <f t="shared" si="37"/>
        <v>344</v>
      </c>
      <c r="L96" s="858">
        <f t="shared" si="37"/>
        <v>344</v>
      </c>
      <c r="M96" s="858">
        <f t="shared" si="37"/>
        <v>344</v>
      </c>
      <c r="N96" s="858">
        <f t="shared" si="37"/>
        <v>344</v>
      </c>
      <c r="O96" s="858">
        <f t="shared" si="37"/>
        <v>893</v>
      </c>
      <c r="P96" s="858">
        <f t="shared" si="37"/>
        <v>893</v>
      </c>
      <c r="Q96" s="858">
        <f t="shared" si="37"/>
        <v>893</v>
      </c>
      <c r="R96" s="858">
        <f t="shared" si="37"/>
        <v>893</v>
      </c>
      <c r="S96" s="858">
        <f t="shared" si="37"/>
        <v>893</v>
      </c>
      <c r="T96" s="858">
        <f t="shared" si="37"/>
        <v>893</v>
      </c>
      <c r="U96" s="858">
        <f t="shared" si="37"/>
        <v>893</v>
      </c>
      <c r="V96" s="858">
        <f t="shared" si="37"/>
        <v>893</v>
      </c>
      <c r="W96" s="858">
        <f t="shared" si="37"/>
        <v>893</v>
      </c>
      <c r="X96" s="858">
        <f t="shared" si="37"/>
        <v>893</v>
      </c>
      <c r="Y96" s="858">
        <f t="shared" si="37"/>
        <v>893</v>
      </c>
      <c r="Z96" s="1052"/>
    </row>
    <row r="97" spans="1:32" ht="18" customHeight="1">
      <c r="A97" s="2621"/>
      <c r="B97" s="2616" t="s">
        <v>96</v>
      </c>
      <c r="C97" s="1130" t="str">
        <f>AB30</f>
        <v>상우산업단지</v>
      </c>
      <c r="D97" s="1237">
        <f>ROUND(IFERROR(INDEX(사회적유입!$AA$4:$AW$165,MATCH($C97,사회적유입!$AA$4:$AA$165,0)-2,2),0)*$Z97,0)</f>
        <v>0</v>
      </c>
      <c r="E97" s="1237">
        <f>ROUND(IFERROR(INDEX(사회적유입!$AA$4:$AW$165,MATCH($C97,사회적유입!$AA$4:$AA$165,0)-2,3),0)*$Z97,0)</f>
        <v>0</v>
      </c>
      <c r="F97" s="1237">
        <f>ROUND(IFERROR(INDEX(사회적유입!$AA$4:$AW$165,MATCH($C97,사회적유입!$AA$4:$AA$165,0)-2,4),0)*$Z97,0)</f>
        <v>0</v>
      </c>
      <c r="G97" s="1237">
        <f>ROUND(IFERROR(INDEX(사회적유입!$AA$4:$AW$165,MATCH($C97,사회적유입!$AA$4:$AA$165,0)-2,5),0)*$Z97,0)</f>
        <v>0</v>
      </c>
      <c r="H97" s="1237">
        <f>ROUND(IFERROR(INDEX(사회적유입!$AA$4:$AW$165,MATCH($C97,사회적유입!$AA$4:$AA$165,0)-2,6),0)*$Z97,0)</f>
        <v>0</v>
      </c>
      <c r="I97" s="1237">
        <f>ROUND(IFERROR(INDEX(사회적유입!$AA$4:$AW$165,MATCH($C97,사회적유입!$AA$4:$AA$165,0)-2,7),0)*$Z97,0)</f>
        <v>0</v>
      </c>
      <c r="J97" s="1237">
        <f>ROUND(IFERROR(INDEX(사회적유입!$AA$4:$AW$165,MATCH($C97,사회적유입!$AA$4:$AA$165,0)-2,8),0)*$Z97,0)</f>
        <v>202</v>
      </c>
      <c r="K97" s="1237">
        <f>ROUND(IFERROR(INDEX(사회적유입!$AA$4:$AW$165,MATCH($C97,사회적유입!$AA$4:$AA$165,0)-2,9),0)*$Z97,0)</f>
        <v>607</v>
      </c>
      <c r="L97" s="1237">
        <f>ROUND(IFERROR(INDEX(사회적유입!$AA$4:$AW$165,MATCH($C97,사회적유입!$AA$4:$AA$165,0)-2,10),0)*$Z97,0)</f>
        <v>1012</v>
      </c>
      <c r="M97" s="1237">
        <f>ROUND(IFERROR(INDEX(사회적유입!$AA$4:$AW$165,MATCH($C97,사회적유입!$AA$4:$AA$165,0)-2,11),0)*$Z97,0)</f>
        <v>1012</v>
      </c>
      <c r="N97" s="1237">
        <f>ROUND(IFERROR(INDEX(사회적유입!$AA$4:$AW$165,MATCH($C97,사회적유입!$AA$4:$AA$165,0)-2,12),0)*$Z97,0)</f>
        <v>1012</v>
      </c>
      <c r="O97" s="1237">
        <f>ROUND(IFERROR(INDEX(사회적유입!$AA$4:$AW$165,MATCH($C97,사회적유입!$AA$4:$AA$165,0)-2,13),0)*$Z97,0)</f>
        <v>1012</v>
      </c>
      <c r="P97" s="1237">
        <f>ROUND(IFERROR(INDEX(사회적유입!$AA$4:$AW$165,MATCH($C97,사회적유입!$AA$4:$AA$165,0)-2,14),0)*$Z97,0)</f>
        <v>1012</v>
      </c>
      <c r="Q97" s="1237">
        <f>ROUND(IFERROR(INDEX(사회적유입!$AA$4:$AW$165,MATCH($C97,사회적유입!$AA$4:$AA$165,0)-2,15),0)*$Z97,0)</f>
        <v>1012</v>
      </c>
      <c r="R97" s="1237">
        <f>ROUND(IFERROR(INDEX(사회적유입!$AA$4:$AW$165,MATCH($C97,사회적유입!$AA$4:$AA$165,0)-2,16),0)*$Z97,0)</f>
        <v>1012</v>
      </c>
      <c r="S97" s="1237">
        <f>ROUND(IFERROR(INDEX(사회적유입!$AA$4:$AW$165,MATCH($C97,사회적유입!$AA$4:$AA$165,0)-2,17),0)*$Z97,0)</f>
        <v>1012</v>
      </c>
      <c r="T97" s="1237">
        <f>ROUND(IFERROR(INDEX(사회적유입!$AA$4:$AW$165,MATCH($C97,사회적유입!$AA$4:$AA$165,0)-2,18),0)*$Z97,0)</f>
        <v>1012</v>
      </c>
      <c r="U97" s="1237">
        <f>ROUND(IFERROR(INDEX(사회적유입!$AA$4:$AW$165,MATCH($C97,사회적유입!$AA$4:$AA$165,0)-2,19),0)*$Z97,0)</f>
        <v>1012</v>
      </c>
      <c r="V97" s="1237">
        <f>ROUND(IFERROR(INDEX(사회적유입!$AA$4:$AW$165,MATCH($C97,사회적유입!$AA$4:$AA$165,0)-2,20),0)*$Z97,0)</f>
        <v>1012</v>
      </c>
      <c r="W97" s="1237">
        <f>ROUND(IFERROR(INDEX(사회적유입!$AA$4:$AW$165,MATCH($C97,사회적유입!$AA$4:$AA$165,0)-2,21),0)*$Z97,0)</f>
        <v>1012</v>
      </c>
      <c r="X97" s="1237">
        <f>ROUND(IFERROR(INDEX(사회적유입!$AA$4:$AW$165,MATCH($C97,사회적유입!$AA$4:$AA$165,0)-2,22),0)*$Z97,0)</f>
        <v>1012</v>
      </c>
      <c r="Y97" s="1237">
        <f>ROUND(IFERROR(INDEX(사회적유입!$AA$4:$AW$165,MATCH($C97,사회적유입!$AA$4:$AA$165,0)-2,23),0)*$Z97,0)</f>
        <v>1012</v>
      </c>
      <c r="Z97" s="1098">
        <f>VLOOKUP(C97,$AB$5:$AN$58,12,FALSE)</f>
        <v>1</v>
      </c>
    </row>
    <row r="98" spans="1:32" ht="18" customHeight="1">
      <c r="A98" s="2621"/>
      <c r="B98" s="2616"/>
      <c r="C98" s="1130" t="str">
        <f>AB45</f>
        <v>사곡산업단지</v>
      </c>
      <c r="D98" s="1237">
        <f>ROUND(IFERROR(INDEX(사회적유입!$AA$4:$AW$165,MATCH($C98,사회적유입!$AA$4:$AA$165,0)-2,2),0)*$Z98,0)</f>
        <v>0</v>
      </c>
      <c r="E98" s="1237">
        <f>ROUND(IFERROR(INDEX(사회적유입!$AA$4:$AW$165,MATCH($C98,사회적유입!$AA$4:$AA$165,0)-2,3),0)*$Z98,0)</f>
        <v>0</v>
      </c>
      <c r="F98" s="1237">
        <f>ROUND(IFERROR(INDEX(사회적유입!$AA$4:$AW$165,MATCH($C98,사회적유입!$AA$4:$AA$165,0)-2,4),0)*$Z98,0)</f>
        <v>0</v>
      </c>
      <c r="G98" s="1237">
        <f>ROUND(IFERROR(INDEX(사회적유입!$AA$4:$AW$165,MATCH($C98,사회적유입!$AA$4:$AA$165,0)-2,5),0)*$Z98,0)</f>
        <v>0</v>
      </c>
      <c r="H98" s="1237">
        <f>ROUND(IFERROR(INDEX(사회적유입!$AA$4:$AW$165,MATCH($C98,사회적유입!$AA$4:$AA$165,0)-2,6),0)*$Z98,0)</f>
        <v>0</v>
      </c>
      <c r="I98" s="1237">
        <f>ROUND(IFERROR(INDEX(사회적유입!$AA$4:$AW$165,MATCH($C98,사회적유입!$AA$4:$AA$165,0)-2,7),0)*$Z98,0)</f>
        <v>0</v>
      </c>
      <c r="J98" s="1237">
        <f>ROUND(IFERROR(INDEX(사회적유입!$AA$4:$AW$165,MATCH($C98,사회적유입!$AA$4:$AA$165,0)-2,8),0)*$Z98,0)</f>
        <v>0</v>
      </c>
      <c r="K98" s="1237">
        <f>ROUND(IFERROR(INDEX(사회적유입!$AA$4:$AW$165,MATCH($C98,사회적유입!$AA$4:$AA$165,0)-2,9),0)*$Z98,0)</f>
        <v>0</v>
      </c>
      <c r="L98" s="1237">
        <f>ROUND(IFERROR(INDEX(사회적유입!$AA$4:$AW$165,MATCH($C98,사회적유입!$AA$4:$AA$165,0)-2,10),0)*$Z98,0)</f>
        <v>0</v>
      </c>
      <c r="M98" s="1237">
        <f>ROUND(IFERROR(INDEX(사회적유입!$AA$4:$AW$165,MATCH($C98,사회적유입!$AA$4:$AA$165,0)-2,11),0)*$Z98,0)</f>
        <v>0</v>
      </c>
      <c r="N98" s="1237">
        <f>ROUND(IFERROR(INDEX(사회적유입!$AA$4:$AW$165,MATCH($C98,사회적유입!$AA$4:$AA$165,0)-2,12),0)*$Z98,0)</f>
        <v>0</v>
      </c>
      <c r="O98" s="1237">
        <f>ROUND(IFERROR(INDEX(사회적유입!$AA$4:$AW$165,MATCH($C98,사회적유입!$AA$4:$AA$165,0)-2,13),0)*$Z98,0)</f>
        <v>0</v>
      </c>
      <c r="P98" s="1237">
        <f>ROUND(IFERROR(INDEX(사회적유입!$AA$4:$AW$165,MATCH($C98,사회적유입!$AA$4:$AA$165,0)-2,14),0)*$Z98,0)</f>
        <v>0</v>
      </c>
      <c r="Q98" s="1237">
        <f>ROUND(IFERROR(INDEX(사회적유입!$AA$4:$AW$165,MATCH($C98,사회적유입!$AA$4:$AA$165,0)-2,15),0)*$Z98,0)</f>
        <v>0</v>
      </c>
      <c r="R98" s="1237">
        <f>ROUND(IFERROR(INDEX(사회적유입!$AA$4:$AW$165,MATCH($C98,사회적유입!$AA$4:$AA$165,0)-2,16),0)*$Z98,0)</f>
        <v>0</v>
      </c>
      <c r="S98" s="1237">
        <f>ROUND(IFERROR(INDEX(사회적유입!$AA$4:$AW$165,MATCH($C98,사회적유입!$AA$4:$AA$165,0)-2,17),0)*$Z98,0)</f>
        <v>0</v>
      </c>
      <c r="T98" s="1237">
        <f>ROUND(IFERROR(INDEX(사회적유입!$AA$4:$AW$165,MATCH($C98,사회적유입!$AA$4:$AA$165,0)-2,18),0)*$Z98,0)</f>
        <v>0</v>
      </c>
      <c r="U98" s="1237">
        <f>ROUND(IFERROR(INDEX(사회적유입!$AA$4:$AW$165,MATCH($C98,사회적유입!$AA$4:$AA$165,0)-2,19),0)*$Z98,0)</f>
        <v>0</v>
      </c>
      <c r="V98" s="1237">
        <f>ROUND(IFERROR(INDEX(사회적유입!$AA$4:$AW$165,MATCH($C98,사회적유입!$AA$4:$AA$165,0)-2,20),0)*$Z98,0)</f>
        <v>0</v>
      </c>
      <c r="W98" s="1237">
        <f>ROUND(IFERROR(INDEX(사회적유입!$AA$4:$AW$165,MATCH($C98,사회적유입!$AA$4:$AA$165,0)-2,21),0)*$Z98,0)</f>
        <v>0</v>
      </c>
      <c r="X98" s="1237">
        <f>ROUND(IFERROR(INDEX(사회적유입!$AA$4:$AW$165,MATCH($C98,사회적유입!$AA$4:$AA$165,0)-2,22),0)*$Z98,0)</f>
        <v>0</v>
      </c>
      <c r="Y98" s="1237">
        <f>ROUND(IFERROR(INDEX(사회적유입!$AA$4:$AW$165,MATCH($C98,사회적유입!$AA$4:$AA$165,0)-2,23),0)*$Z98,0)</f>
        <v>2228</v>
      </c>
      <c r="Z98" s="1098">
        <f>VLOOKUP(C98,$AB$5:$AN$58,12,FALSE)</f>
        <v>1</v>
      </c>
      <c r="AC98" s="195"/>
      <c r="AD98" s="195"/>
      <c r="AE98" s="195"/>
      <c r="AF98" s="195"/>
    </row>
    <row r="99" spans="1:32" ht="18" customHeight="1">
      <c r="A99" s="2621"/>
      <c r="B99" s="2616"/>
      <c r="C99" s="1130" t="str">
        <f>AB46</f>
        <v>원당산업단지</v>
      </c>
      <c r="D99" s="1237">
        <f>ROUND(IFERROR(INDEX(사회적유입!$AA$4:$AW$165,MATCH($C99,사회적유입!$AA$4:$AA$165,0)-2,2),0)*$Z99,0)</f>
        <v>0</v>
      </c>
      <c r="E99" s="1237">
        <f>ROUND(IFERROR(INDEX(사회적유입!$AA$4:$AW$165,MATCH($C99,사회적유입!$AA$4:$AA$165,0)-2,3),0)*$Z99,0)</f>
        <v>0</v>
      </c>
      <c r="F99" s="1237">
        <f>ROUND(IFERROR(INDEX(사회적유입!$AA$4:$AW$165,MATCH($C99,사회적유입!$AA$4:$AA$165,0)-2,4),0)*$Z99,0)</f>
        <v>0</v>
      </c>
      <c r="G99" s="1237">
        <f>ROUND(IFERROR(INDEX(사회적유입!$AA$4:$AW$165,MATCH($C99,사회적유입!$AA$4:$AA$165,0)-2,5),0)*$Z99,0)</f>
        <v>0</v>
      </c>
      <c r="H99" s="1237">
        <f>ROUND(IFERROR(INDEX(사회적유입!$AA$4:$AW$165,MATCH($C99,사회적유입!$AA$4:$AA$165,0)-2,6),0)*$Z99,0)</f>
        <v>0</v>
      </c>
      <c r="I99" s="1237">
        <f>ROUND(IFERROR(INDEX(사회적유입!$AA$4:$AW$165,MATCH($C99,사회적유입!$AA$4:$AA$165,0)-2,7),0)*$Z99,0)</f>
        <v>0</v>
      </c>
      <c r="J99" s="1237">
        <f>ROUND(IFERROR(INDEX(사회적유입!$AA$4:$AW$165,MATCH($C99,사회적유입!$AA$4:$AA$165,0)-2,8),0)*$Z99,0)</f>
        <v>0</v>
      </c>
      <c r="K99" s="1237">
        <f>ROUND(IFERROR(INDEX(사회적유입!$AA$4:$AW$165,MATCH($C99,사회적유입!$AA$4:$AA$165,0)-2,9),0)*$Z99,0)</f>
        <v>0</v>
      </c>
      <c r="L99" s="1237">
        <f>ROUND(IFERROR(INDEX(사회적유입!$AA$4:$AW$165,MATCH($C99,사회적유입!$AA$4:$AA$165,0)-2,10),0)*$Z99,0)</f>
        <v>0</v>
      </c>
      <c r="M99" s="1237">
        <f>ROUND(IFERROR(INDEX(사회적유입!$AA$4:$AW$165,MATCH($C99,사회적유입!$AA$4:$AA$165,0)-2,11),0)*$Z99,0)</f>
        <v>0</v>
      </c>
      <c r="N99" s="1237">
        <f>ROUND(IFERROR(INDEX(사회적유입!$AA$4:$AW$165,MATCH($C99,사회적유입!$AA$4:$AA$165,0)-2,12),0)*$Z99,0)</f>
        <v>0</v>
      </c>
      <c r="O99" s="1237">
        <f>ROUND(IFERROR(INDEX(사회적유입!$AA$4:$AW$165,MATCH($C99,사회적유입!$AA$4:$AA$165,0)-2,13),0)*$Z99,0)</f>
        <v>0</v>
      </c>
      <c r="P99" s="1237">
        <f>ROUND(IFERROR(INDEX(사회적유입!$AA$4:$AW$165,MATCH($C99,사회적유입!$AA$4:$AA$165,0)-2,14),0)*$Z99,0)</f>
        <v>0</v>
      </c>
      <c r="Q99" s="1237">
        <f>ROUND(IFERROR(INDEX(사회적유입!$AA$4:$AW$165,MATCH($C99,사회적유입!$AA$4:$AA$165,0)-2,15),0)*$Z99,0)</f>
        <v>0</v>
      </c>
      <c r="R99" s="1237">
        <f>ROUND(IFERROR(INDEX(사회적유입!$AA$4:$AW$165,MATCH($C99,사회적유입!$AA$4:$AA$165,0)-2,16),0)*$Z99,0)</f>
        <v>0</v>
      </c>
      <c r="S99" s="1237">
        <f>ROUND(IFERROR(INDEX(사회적유입!$AA$4:$AW$165,MATCH($C99,사회적유입!$AA$4:$AA$165,0)-2,17),0)*$Z99,0)</f>
        <v>0</v>
      </c>
      <c r="T99" s="1237">
        <f>ROUND(IFERROR(INDEX(사회적유입!$AA$4:$AW$165,MATCH($C99,사회적유입!$AA$4:$AA$165,0)-2,18),0)*$Z99,0)</f>
        <v>0</v>
      </c>
      <c r="U99" s="1237">
        <f>ROUND(IFERROR(INDEX(사회적유입!$AA$4:$AW$165,MATCH($C99,사회적유입!$AA$4:$AA$165,0)-2,19),0)*$Z99,0)</f>
        <v>0</v>
      </c>
      <c r="V99" s="1237">
        <f>ROUND(IFERROR(INDEX(사회적유입!$AA$4:$AW$165,MATCH($C99,사회적유입!$AA$4:$AA$165,0)-2,20),0)*$Z99,0)</f>
        <v>0</v>
      </c>
      <c r="W99" s="1237">
        <f>ROUND(IFERROR(INDEX(사회적유입!$AA$4:$AW$165,MATCH($C99,사회적유입!$AA$4:$AA$165,0)-2,21),0)*$Z99,0)</f>
        <v>0</v>
      </c>
      <c r="X99" s="1237">
        <f>ROUND(IFERROR(INDEX(사회적유입!$AA$4:$AW$165,MATCH($C99,사회적유입!$AA$4:$AA$165,0)-2,22),0)*$Z99,0)</f>
        <v>0</v>
      </c>
      <c r="Y99" s="1237">
        <f>ROUND(IFERROR(INDEX(사회적유입!$AA$4:$AW$165,MATCH($C99,사회적유입!$AA$4:$AA$165,0)-2,23),0)*$Z99,0)</f>
        <v>476</v>
      </c>
      <c r="Z99" s="1098">
        <f>VLOOKUP(C99,$AB$5:$AN$58,12,FALSE)</f>
        <v>1</v>
      </c>
      <c r="AC99" s="195"/>
      <c r="AD99" s="195"/>
      <c r="AE99" s="195"/>
      <c r="AF99" s="195"/>
    </row>
    <row r="100" spans="1:32" ht="18" customHeight="1">
      <c r="A100" s="2621"/>
      <c r="B100" s="2616"/>
      <c r="C100" s="857" t="s">
        <v>72</v>
      </c>
      <c r="D100" s="858">
        <f>SUM(D97:D99)</f>
        <v>0</v>
      </c>
      <c r="E100" s="858">
        <f t="shared" ref="E100:Y100" si="38">SUM(E97:E99)</f>
        <v>0</v>
      </c>
      <c r="F100" s="858">
        <f t="shared" si="38"/>
        <v>0</v>
      </c>
      <c r="G100" s="858">
        <f t="shared" si="38"/>
        <v>0</v>
      </c>
      <c r="H100" s="858">
        <f t="shared" si="38"/>
        <v>0</v>
      </c>
      <c r="I100" s="858">
        <f t="shared" si="38"/>
        <v>0</v>
      </c>
      <c r="J100" s="858">
        <f t="shared" si="38"/>
        <v>202</v>
      </c>
      <c r="K100" s="858">
        <f t="shared" si="38"/>
        <v>607</v>
      </c>
      <c r="L100" s="858">
        <f t="shared" si="38"/>
        <v>1012</v>
      </c>
      <c r="M100" s="858">
        <f t="shared" si="38"/>
        <v>1012</v>
      </c>
      <c r="N100" s="858">
        <f t="shared" si="38"/>
        <v>1012</v>
      </c>
      <c r="O100" s="858">
        <f t="shared" si="38"/>
        <v>1012</v>
      </c>
      <c r="P100" s="858">
        <f t="shared" si="38"/>
        <v>1012</v>
      </c>
      <c r="Q100" s="858">
        <f t="shared" si="38"/>
        <v>1012</v>
      </c>
      <c r="R100" s="858">
        <f t="shared" si="38"/>
        <v>1012</v>
      </c>
      <c r="S100" s="858">
        <f t="shared" si="38"/>
        <v>1012</v>
      </c>
      <c r="T100" s="858">
        <f t="shared" si="38"/>
        <v>1012</v>
      </c>
      <c r="U100" s="858">
        <f t="shared" si="38"/>
        <v>1012</v>
      </c>
      <c r="V100" s="858">
        <f t="shared" si="38"/>
        <v>1012</v>
      </c>
      <c r="W100" s="858">
        <f t="shared" si="38"/>
        <v>1012</v>
      </c>
      <c r="X100" s="858">
        <f t="shared" si="38"/>
        <v>1012</v>
      </c>
      <c r="Y100" s="858">
        <f t="shared" si="38"/>
        <v>3716</v>
      </c>
      <c r="Z100" s="1052"/>
      <c r="AC100" s="195"/>
      <c r="AD100" s="195"/>
      <c r="AE100" s="195"/>
      <c r="AF100" s="195"/>
    </row>
    <row r="101" spans="1:32" ht="18" customHeight="1">
      <c r="A101" s="2625"/>
      <c r="B101" s="2633" t="s">
        <v>7</v>
      </c>
      <c r="C101" s="2633"/>
      <c r="D101" s="1100">
        <f t="shared" ref="D101:Y101" si="39">SUM(D96,D100)</f>
        <v>0</v>
      </c>
      <c r="E101" s="1100">
        <f t="shared" si="39"/>
        <v>0</v>
      </c>
      <c r="F101" s="1100">
        <f t="shared" si="39"/>
        <v>0</v>
      </c>
      <c r="G101" s="1100">
        <f t="shared" si="39"/>
        <v>0</v>
      </c>
      <c r="H101" s="1100">
        <f t="shared" si="39"/>
        <v>344</v>
      </c>
      <c r="I101" s="1100">
        <f t="shared" si="39"/>
        <v>344</v>
      </c>
      <c r="J101" s="1100">
        <f t="shared" si="39"/>
        <v>546</v>
      </c>
      <c r="K101" s="1100">
        <f t="shared" si="39"/>
        <v>951</v>
      </c>
      <c r="L101" s="1100">
        <f t="shared" si="39"/>
        <v>1356</v>
      </c>
      <c r="M101" s="1100">
        <f t="shared" si="39"/>
        <v>1356</v>
      </c>
      <c r="N101" s="1100">
        <f t="shared" si="39"/>
        <v>1356</v>
      </c>
      <c r="O101" s="1100">
        <f t="shared" si="39"/>
        <v>1905</v>
      </c>
      <c r="P101" s="1100">
        <f t="shared" si="39"/>
        <v>1905</v>
      </c>
      <c r="Q101" s="1100">
        <f t="shared" si="39"/>
        <v>1905</v>
      </c>
      <c r="R101" s="1100">
        <f t="shared" si="39"/>
        <v>1905</v>
      </c>
      <c r="S101" s="1100">
        <f t="shared" si="39"/>
        <v>1905</v>
      </c>
      <c r="T101" s="1100">
        <f t="shared" si="39"/>
        <v>1905</v>
      </c>
      <c r="U101" s="1100">
        <f t="shared" si="39"/>
        <v>1905</v>
      </c>
      <c r="V101" s="1100">
        <f t="shared" si="39"/>
        <v>1905</v>
      </c>
      <c r="W101" s="1100">
        <f t="shared" si="39"/>
        <v>1905</v>
      </c>
      <c r="X101" s="1100">
        <f t="shared" si="39"/>
        <v>1905</v>
      </c>
      <c r="Y101" s="1100">
        <f t="shared" si="39"/>
        <v>4609</v>
      </c>
      <c r="Z101" s="1054"/>
      <c r="AC101" s="195"/>
      <c r="AD101" s="195"/>
      <c r="AE101" s="195"/>
      <c r="AF101" s="195"/>
    </row>
    <row r="102" spans="1:32" ht="18" customHeight="1">
      <c r="A102" s="2630" t="s">
        <v>136</v>
      </c>
      <c r="B102" s="2615" t="s">
        <v>431</v>
      </c>
      <c r="C102" s="1129" t="str">
        <f>AB6</f>
        <v>충북혁신도시</v>
      </c>
      <c r="D102" s="862">
        <f>ROUND(IFERROR(VLOOKUP($C102,사회적유입!$AA$5:$AW$167,2,FALSE),0)*$Z102,0)</f>
        <v>0</v>
      </c>
      <c r="E102" s="862">
        <f>ROUND(IFERROR(VLOOKUP($C102,사회적유입!$AA$5:$AW$167,3,FALSE),0)*$Z102,0)</f>
        <v>0</v>
      </c>
      <c r="F102" s="862">
        <f>ROUND(IFERROR(VLOOKUP($C102,사회적유입!$AA$5:$AW$167,4,FALSE),0)*$Z102,0)</f>
        <v>7477</v>
      </c>
      <c r="G102" s="862">
        <f>ROUND(IFERROR(VLOOKUP($C102,사회적유입!$AA$5:$AW$167,5,FALSE),0)*$Z102,0)</f>
        <v>8665</v>
      </c>
      <c r="H102" s="862">
        <f>ROUND(IFERROR(VLOOKUP($C102,사회적유입!$AA$5:$AW$167,6,FALSE),0)*$Z102,0)</f>
        <v>9853</v>
      </c>
      <c r="I102" s="862">
        <f>ROUND(IFERROR(VLOOKUP($C102,사회적유입!$AA$5:$AW$167,7,FALSE),0)*$Z102,0)</f>
        <v>11041</v>
      </c>
      <c r="J102" s="862">
        <f>ROUND(IFERROR(VLOOKUP($C102,사회적유입!$AA$5:$AW$167,8,FALSE),0)*$Z102,0)</f>
        <v>12230</v>
      </c>
      <c r="K102" s="862">
        <f>ROUND(IFERROR(VLOOKUP($C102,사회적유입!$AA$5:$AW$167,9,FALSE),0)*$Z102,0)</f>
        <v>12230</v>
      </c>
      <c r="L102" s="862">
        <f>ROUND(IFERROR(VLOOKUP($C102,사회적유입!$AA$5:$AW$167,10,FALSE),0)*$Z102,0)</f>
        <v>12230</v>
      </c>
      <c r="M102" s="862">
        <f>ROUND(IFERROR(VLOOKUP($C102,사회적유입!$AA$5:$AW$167,11,FALSE),0)*$Z102,0)</f>
        <v>12230</v>
      </c>
      <c r="N102" s="862">
        <f>ROUND(IFERROR(VLOOKUP($C102,사회적유입!$AA$5:$AW$167,12,FALSE),0)*$Z102,0)</f>
        <v>12230</v>
      </c>
      <c r="O102" s="862">
        <f>ROUND(IFERROR(VLOOKUP($C102,사회적유입!$AA$5:$AW$167,13,FALSE),0)*$Z102,0)</f>
        <v>12230</v>
      </c>
      <c r="P102" s="862">
        <f>ROUND(IFERROR(VLOOKUP($C102,사회적유입!$AA$5:$AW$167,14,FALSE),0)*$Z102,0)</f>
        <v>12230</v>
      </c>
      <c r="Q102" s="862">
        <f>ROUND(IFERROR(VLOOKUP($C102,사회적유입!$AA$5:$AW$167,15,FALSE),0)*$Z102,0)</f>
        <v>12230</v>
      </c>
      <c r="R102" s="862">
        <f>ROUND(IFERROR(VLOOKUP($C102,사회적유입!$AA$5:$AW$167,16,FALSE),0)*$Z102,0)</f>
        <v>12230</v>
      </c>
      <c r="S102" s="862">
        <f>ROUND(IFERROR(VLOOKUP($C102,사회적유입!$AA$5:$AW$167,17,FALSE),0)*$Z102,0)</f>
        <v>12230</v>
      </c>
      <c r="T102" s="862">
        <f>ROUND(IFERROR(VLOOKUP($C102,사회적유입!$AA$5:$AW$167,18,FALSE),0)*$Z102,0)</f>
        <v>12230</v>
      </c>
      <c r="U102" s="862">
        <f>ROUND(IFERROR(VLOOKUP($C102,사회적유입!$AA$5:$AW$167,19,FALSE),0)*$Z102,0)</f>
        <v>12230</v>
      </c>
      <c r="V102" s="862">
        <f>ROUND(IFERROR(VLOOKUP($C102,사회적유입!$AA$5:$AW$167,20,FALSE),0)*$Z102,0)</f>
        <v>12230</v>
      </c>
      <c r="W102" s="862">
        <f>ROUND(IFERROR(VLOOKUP($C102,사회적유입!$AA$5:$AW$167,21,FALSE),0)*$Z102,0)</f>
        <v>12230</v>
      </c>
      <c r="X102" s="862">
        <f>ROUND(IFERROR(VLOOKUP($C102,사회적유입!$AA$5:$AW$167,22,FALSE),0)*$Z102,0)</f>
        <v>12230</v>
      </c>
      <c r="Y102" s="862">
        <f>ROUND(IFERROR(VLOOKUP($C102,사회적유입!$AA$5:$AW$167,23,FALSE),0)*$Z102,0)</f>
        <v>12230</v>
      </c>
      <c r="Z102" s="1101">
        <f>VLOOKUP(C102,$AB$5:$AN$58,13,FALSE)</f>
        <v>1</v>
      </c>
    </row>
    <row r="103" spans="1:32" ht="18" customHeight="1">
      <c r="A103" s="2631"/>
      <c r="B103" s="2616"/>
      <c r="C103" s="857" t="s">
        <v>72</v>
      </c>
      <c r="D103" s="858">
        <f t="shared" ref="D103:Y103" si="40">SUM(D102:D102)</f>
        <v>0</v>
      </c>
      <c r="E103" s="858">
        <f t="shared" si="40"/>
        <v>0</v>
      </c>
      <c r="F103" s="858">
        <f t="shared" si="40"/>
        <v>7477</v>
      </c>
      <c r="G103" s="858">
        <f t="shared" si="40"/>
        <v>8665</v>
      </c>
      <c r="H103" s="858">
        <f t="shared" si="40"/>
        <v>9853</v>
      </c>
      <c r="I103" s="858">
        <f t="shared" si="40"/>
        <v>11041</v>
      </c>
      <c r="J103" s="858">
        <f t="shared" si="40"/>
        <v>12230</v>
      </c>
      <c r="K103" s="858">
        <f t="shared" si="40"/>
        <v>12230</v>
      </c>
      <c r="L103" s="858">
        <f t="shared" si="40"/>
        <v>12230</v>
      </c>
      <c r="M103" s="858">
        <f t="shared" si="40"/>
        <v>12230</v>
      </c>
      <c r="N103" s="858">
        <f t="shared" si="40"/>
        <v>12230</v>
      </c>
      <c r="O103" s="858">
        <f t="shared" si="40"/>
        <v>12230</v>
      </c>
      <c r="P103" s="858">
        <f t="shared" si="40"/>
        <v>12230</v>
      </c>
      <c r="Q103" s="858">
        <f t="shared" si="40"/>
        <v>12230</v>
      </c>
      <c r="R103" s="858">
        <f t="shared" si="40"/>
        <v>12230</v>
      </c>
      <c r="S103" s="858">
        <f t="shared" si="40"/>
        <v>12230</v>
      </c>
      <c r="T103" s="858">
        <f t="shared" si="40"/>
        <v>12230</v>
      </c>
      <c r="U103" s="858">
        <f t="shared" si="40"/>
        <v>12230</v>
      </c>
      <c r="V103" s="858">
        <f t="shared" si="40"/>
        <v>12230</v>
      </c>
      <c r="W103" s="858">
        <f t="shared" si="40"/>
        <v>12230</v>
      </c>
      <c r="X103" s="858">
        <f t="shared" si="40"/>
        <v>12230</v>
      </c>
      <c r="Y103" s="858">
        <f t="shared" si="40"/>
        <v>12230</v>
      </c>
      <c r="Z103" s="1052"/>
    </row>
    <row r="104" spans="1:32" ht="18" customHeight="1">
      <c r="A104" s="2632"/>
      <c r="B104" s="2633" t="s">
        <v>7</v>
      </c>
      <c r="C104" s="2633"/>
      <c r="D104" s="1100">
        <f>SUM(D96,D103)</f>
        <v>0</v>
      </c>
      <c r="E104" s="1100">
        <f>SUM(E103)</f>
        <v>0</v>
      </c>
      <c r="F104" s="1100">
        <f t="shared" ref="F104:Y104" si="41">SUM(F103)</f>
        <v>7477</v>
      </c>
      <c r="G104" s="1100">
        <f t="shared" si="41"/>
        <v>8665</v>
      </c>
      <c r="H104" s="1100">
        <f t="shared" si="41"/>
        <v>9853</v>
      </c>
      <c r="I104" s="1100">
        <f t="shared" si="41"/>
        <v>11041</v>
      </c>
      <c r="J104" s="1100">
        <f t="shared" si="41"/>
        <v>12230</v>
      </c>
      <c r="K104" s="1100">
        <f t="shared" si="41"/>
        <v>12230</v>
      </c>
      <c r="L104" s="1100">
        <f t="shared" si="41"/>
        <v>12230</v>
      </c>
      <c r="M104" s="1100">
        <f t="shared" si="41"/>
        <v>12230</v>
      </c>
      <c r="N104" s="1100">
        <f t="shared" si="41"/>
        <v>12230</v>
      </c>
      <c r="O104" s="1100">
        <f t="shared" si="41"/>
        <v>12230</v>
      </c>
      <c r="P104" s="1100">
        <f t="shared" si="41"/>
        <v>12230</v>
      </c>
      <c r="Q104" s="1100">
        <f t="shared" si="41"/>
        <v>12230</v>
      </c>
      <c r="R104" s="1100">
        <f t="shared" si="41"/>
        <v>12230</v>
      </c>
      <c r="S104" s="1100">
        <f t="shared" si="41"/>
        <v>12230</v>
      </c>
      <c r="T104" s="1100">
        <f t="shared" si="41"/>
        <v>12230</v>
      </c>
      <c r="U104" s="1100">
        <f t="shared" si="41"/>
        <v>12230</v>
      </c>
      <c r="V104" s="1100">
        <f t="shared" si="41"/>
        <v>12230</v>
      </c>
      <c r="W104" s="1100">
        <f t="shared" si="41"/>
        <v>12230</v>
      </c>
      <c r="X104" s="1100">
        <f t="shared" si="41"/>
        <v>12230</v>
      </c>
      <c r="Y104" s="1100">
        <f t="shared" si="41"/>
        <v>12230</v>
      </c>
      <c r="Z104" s="1054"/>
    </row>
    <row r="105" spans="1:32" ht="18" customHeight="1"/>
    <row r="106" spans="1:32" ht="18.95" customHeight="1">
      <c r="D106" s="37" t="s">
        <v>428</v>
      </c>
      <c r="J106" s="605" t="e">
        <f>+#REF!+J104+J57</f>
        <v>#REF!</v>
      </c>
      <c r="K106" s="605" t="e">
        <f>+#REF!+K104+K57</f>
        <v>#REF!</v>
      </c>
      <c r="L106" s="605" t="e">
        <f>+#REF!+L104+L57</f>
        <v>#REF!</v>
      </c>
      <c r="M106" s="605" t="e">
        <f>+#REF!+M104+M57</f>
        <v>#REF!</v>
      </c>
      <c r="N106" s="605" t="e">
        <f>+#REF!+N104+N57</f>
        <v>#REF!</v>
      </c>
      <c r="O106" s="605" t="e">
        <f>+#REF!+O104+O57</f>
        <v>#REF!</v>
      </c>
      <c r="P106" s="605" t="e">
        <f>+#REF!+P104+P57</f>
        <v>#REF!</v>
      </c>
      <c r="Q106" s="605" t="e">
        <f>+#REF!+Q104+Q57</f>
        <v>#REF!</v>
      </c>
      <c r="R106" s="605" t="e">
        <f>+#REF!+R104+R57</f>
        <v>#REF!</v>
      </c>
      <c r="S106" s="605" t="e">
        <f>+#REF!+S104+S57</f>
        <v>#REF!</v>
      </c>
      <c r="T106" s="605" t="e">
        <f>+#REF!+T104+T57</f>
        <v>#REF!</v>
      </c>
      <c r="U106" s="605" t="e">
        <f>+#REF!+U104+U57</f>
        <v>#REF!</v>
      </c>
      <c r="V106" s="605" t="e">
        <f>+#REF!+V104+V57</f>
        <v>#REF!</v>
      </c>
      <c r="W106" s="605" t="e">
        <f>+#REF!+W104+W57</f>
        <v>#REF!</v>
      </c>
      <c r="X106" s="605" t="e">
        <f>+#REF!+X104+X57</f>
        <v>#REF!</v>
      </c>
      <c r="Y106" s="605" t="e">
        <f>+#REF!+Y104+Y57</f>
        <v>#REF!</v>
      </c>
    </row>
    <row r="107" spans="1:32" ht="18.95" customHeight="1">
      <c r="D107" s="37"/>
      <c r="J107" s="605"/>
      <c r="K107" s="605"/>
      <c r="L107" s="605"/>
      <c r="M107" s="605"/>
      <c r="N107" s="605"/>
      <c r="O107" s="605"/>
      <c r="P107" s="605"/>
      <c r="Q107" s="605"/>
      <c r="R107" s="605"/>
      <c r="S107" s="605"/>
      <c r="T107" s="605"/>
      <c r="U107" s="605"/>
      <c r="V107" s="605"/>
      <c r="W107" s="605"/>
      <c r="X107" s="605"/>
      <c r="Y107" s="605"/>
    </row>
    <row r="108" spans="1:32" ht="18.95" customHeight="1">
      <c r="D108" s="37" t="s">
        <v>429</v>
      </c>
      <c r="J108" s="605">
        <f>+J10++J96+J25+J64</f>
        <v>4731</v>
      </c>
      <c r="K108" s="605">
        <f>+K10+K25+K64</f>
        <v>4387</v>
      </c>
      <c r="L108" s="605">
        <f>+L10+L25+L64</f>
        <v>4387</v>
      </c>
      <c r="M108" s="605">
        <f>+M10+M25+M64</f>
        <v>4387</v>
      </c>
      <c r="N108" s="605">
        <f>+N10+N25+N64</f>
        <v>4387</v>
      </c>
      <c r="O108" s="605">
        <f>+O10++O96+O25+O64</f>
        <v>6548</v>
      </c>
      <c r="P108" s="605">
        <f>+P10+P25+P64</f>
        <v>5655</v>
      </c>
      <c r="Q108" s="605">
        <f>+Q10+Q25+Q64</f>
        <v>5655</v>
      </c>
      <c r="R108" s="605">
        <f>+R10+R25+R64</f>
        <v>5655</v>
      </c>
      <c r="S108" s="605">
        <f>+S10+S25+S64</f>
        <v>5655</v>
      </c>
      <c r="T108" s="605">
        <f>+T10++T96+T25+T64</f>
        <v>6548</v>
      </c>
      <c r="U108" s="605">
        <f>+U10+U25+U64</f>
        <v>5655</v>
      </c>
      <c r="V108" s="605">
        <f>+V10+V25+V64</f>
        <v>5655</v>
      </c>
      <c r="W108" s="605">
        <f>+W10+W25+W64</f>
        <v>5655</v>
      </c>
      <c r="X108" s="605">
        <f>+X10+X25+X64</f>
        <v>5655</v>
      </c>
      <c r="Y108" s="605">
        <f>+Y10++Y96+Y25+Y64</f>
        <v>6548</v>
      </c>
    </row>
    <row r="109" spans="1:32" ht="18.95" customHeight="1">
      <c r="D109" s="37" t="s">
        <v>430</v>
      </c>
      <c r="J109" s="605">
        <f>+J18+J37+J73+J100</f>
        <v>2726</v>
      </c>
      <c r="K109" s="605">
        <f>+K18+K73+K100</f>
        <v>1894</v>
      </c>
      <c r="L109" s="605">
        <f>+L18+L73+L100</f>
        <v>2299</v>
      </c>
      <c r="M109" s="605">
        <f>+M18+M73+M100</f>
        <v>2299</v>
      </c>
      <c r="N109" s="605">
        <f>+N18+N73+N100</f>
        <v>2299</v>
      </c>
      <c r="O109" s="605">
        <f>+O18+O37+O73+O100</f>
        <v>4478</v>
      </c>
      <c r="P109" s="605">
        <f>+P18+P73+P100</f>
        <v>2299</v>
      </c>
      <c r="Q109" s="605">
        <f>+Q18+Q73+Q100</f>
        <v>2299</v>
      </c>
      <c r="R109" s="605">
        <f>+R18+R73+R100</f>
        <v>2299</v>
      </c>
      <c r="S109" s="605">
        <f>+S18+S73+S100</f>
        <v>2299</v>
      </c>
      <c r="T109" s="605">
        <f>+T18+T37+T73+T100</f>
        <v>4478</v>
      </c>
      <c r="U109" s="605">
        <f>+U18+U73+U100</f>
        <v>2299</v>
      </c>
      <c r="V109" s="605">
        <f>+V18+V73+V100</f>
        <v>2299</v>
      </c>
      <c r="W109" s="605">
        <f>+W18+W73+W100</f>
        <v>2299</v>
      </c>
      <c r="X109" s="605">
        <f>+X18+X73+X100</f>
        <v>2299</v>
      </c>
      <c r="Y109" s="605">
        <f>+Y18+Y37+Y73+Y100</f>
        <v>14798</v>
      </c>
    </row>
    <row r="110" spans="1:32" ht="18.95" customHeight="1">
      <c r="J110" s="605" t="e">
        <f>SUM(J106:J109)</f>
        <v>#REF!</v>
      </c>
      <c r="K110" s="605" t="e">
        <f t="shared" ref="K110:Y110" si="42">SUM(K106:K109)</f>
        <v>#REF!</v>
      </c>
      <c r="L110" s="605" t="e">
        <f t="shared" si="42"/>
        <v>#REF!</v>
      </c>
      <c r="M110" s="605" t="e">
        <f t="shared" si="42"/>
        <v>#REF!</v>
      </c>
      <c r="N110" s="605" t="e">
        <f t="shared" si="42"/>
        <v>#REF!</v>
      </c>
      <c r="O110" s="605" t="e">
        <f t="shared" si="42"/>
        <v>#REF!</v>
      </c>
      <c r="P110" s="605" t="e">
        <f t="shared" si="42"/>
        <v>#REF!</v>
      </c>
      <c r="Q110" s="605" t="e">
        <f t="shared" si="42"/>
        <v>#REF!</v>
      </c>
      <c r="R110" s="605" t="e">
        <f t="shared" si="42"/>
        <v>#REF!</v>
      </c>
      <c r="S110" s="605" t="e">
        <f t="shared" si="42"/>
        <v>#REF!</v>
      </c>
      <c r="T110" s="605" t="e">
        <f t="shared" si="42"/>
        <v>#REF!</v>
      </c>
      <c r="U110" s="605" t="e">
        <f t="shared" si="42"/>
        <v>#REF!</v>
      </c>
      <c r="V110" s="605" t="e">
        <f t="shared" si="42"/>
        <v>#REF!</v>
      </c>
      <c r="W110" s="605" t="e">
        <f t="shared" si="42"/>
        <v>#REF!</v>
      </c>
      <c r="X110" s="605" t="e">
        <f t="shared" si="42"/>
        <v>#REF!</v>
      </c>
      <c r="Y110" s="605" t="e">
        <f t="shared" si="42"/>
        <v>#REF!</v>
      </c>
    </row>
    <row r="111" spans="1:32" ht="18.95" customHeight="1">
      <c r="AB111" s="605" t="e">
        <f>+O106+O107</f>
        <v>#REF!</v>
      </c>
      <c r="AC111" s="605" t="e">
        <f>+T106+T107</f>
        <v>#REF!</v>
      </c>
      <c r="AD111" s="605" t="e">
        <f>+Y106+Y107</f>
        <v>#REF!</v>
      </c>
    </row>
    <row r="112" spans="1:32" ht="18.95" customHeight="1">
      <c r="AB112" s="605">
        <f>+O108</f>
        <v>6548</v>
      </c>
      <c r="AC112" s="605">
        <f>+T108</f>
        <v>6548</v>
      </c>
      <c r="AD112" s="605">
        <f>+Y108</f>
        <v>6548</v>
      </c>
    </row>
    <row r="113" spans="4:31" ht="18.95" customHeight="1">
      <c r="AB113" s="605">
        <f>+O109</f>
        <v>4478</v>
      </c>
      <c r="AC113" s="605">
        <f>+T109</f>
        <v>4478</v>
      </c>
      <c r="AD113" s="605">
        <f>+Y109</f>
        <v>14798</v>
      </c>
    </row>
    <row r="114" spans="4:31" ht="18.95" customHeight="1">
      <c r="D114" s="38" t="s">
        <v>613</v>
      </c>
      <c r="J114" s="605" t="e">
        <f>+#REF!+J57</f>
        <v>#REF!</v>
      </c>
      <c r="K114" s="605" t="e">
        <f>+#REF!+K57</f>
        <v>#REF!</v>
      </c>
      <c r="L114" s="605" t="e">
        <f>+#REF!+L57</f>
        <v>#REF!</v>
      </c>
      <c r="M114" s="605" t="e">
        <f>+#REF!+M57</f>
        <v>#REF!</v>
      </c>
      <c r="N114" s="605" t="e">
        <f>+#REF!+N57</f>
        <v>#REF!</v>
      </c>
      <c r="O114" s="605" t="e">
        <f>+#REF!+O57</f>
        <v>#REF!</v>
      </c>
      <c r="P114" s="605" t="e">
        <f>+#REF!+P57</f>
        <v>#REF!</v>
      </c>
      <c r="Q114" s="605" t="e">
        <f>+#REF!+Q57</f>
        <v>#REF!</v>
      </c>
      <c r="R114" s="605" t="e">
        <f>+#REF!+R57</f>
        <v>#REF!</v>
      </c>
      <c r="S114" s="605" t="e">
        <f>+#REF!+S57</f>
        <v>#REF!</v>
      </c>
      <c r="T114" s="605" t="e">
        <f>+#REF!+T57</f>
        <v>#REF!</v>
      </c>
      <c r="U114" s="605" t="e">
        <f>+#REF!+U57</f>
        <v>#REF!</v>
      </c>
      <c r="V114" s="605" t="e">
        <f>+#REF!+V57</f>
        <v>#REF!</v>
      </c>
      <c r="W114" s="605" t="e">
        <f>+#REF!+W57</f>
        <v>#REF!</v>
      </c>
      <c r="X114" s="605" t="e">
        <f>+#REF!+X57</f>
        <v>#REF!</v>
      </c>
      <c r="Y114" s="605" t="e">
        <f>+#REF!+Y57</f>
        <v>#REF!</v>
      </c>
      <c r="AB114" s="605" t="e">
        <f>+O110</f>
        <v>#REF!</v>
      </c>
      <c r="AC114" s="605" t="e">
        <f>+T110</f>
        <v>#REF!</v>
      </c>
      <c r="AD114" s="605" t="e">
        <f>+Y110</f>
        <v>#REF!</v>
      </c>
      <c r="AE114" s="195"/>
    </row>
    <row r="115" spans="4:31" ht="18.95" customHeight="1">
      <c r="D115" s="38" t="s">
        <v>614</v>
      </c>
      <c r="J115" s="605">
        <f t="shared" ref="J115:Y115" si="43">+J10++J96+J25+J64</f>
        <v>4731</v>
      </c>
      <c r="K115" s="605">
        <f t="shared" si="43"/>
        <v>4731</v>
      </c>
      <c r="L115" s="605">
        <f t="shared" si="43"/>
        <v>4731</v>
      </c>
      <c r="M115" s="605">
        <f t="shared" si="43"/>
        <v>4731</v>
      </c>
      <c r="N115" s="605">
        <f t="shared" si="43"/>
        <v>4731</v>
      </c>
      <c r="O115" s="605">
        <f t="shared" si="43"/>
        <v>6548</v>
      </c>
      <c r="P115" s="605">
        <f t="shared" si="43"/>
        <v>6548</v>
      </c>
      <c r="Q115" s="605">
        <f t="shared" si="43"/>
        <v>6548</v>
      </c>
      <c r="R115" s="605">
        <f t="shared" si="43"/>
        <v>6548</v>
      </c>
      <c r="S115" s="605">
        <f t="shared" si="43"/>
        <v>6548</v>
      </c>
      <c r="T115" s="605">
        <f t="shared" si="43"/>
        <v>6548</v>
      </c>
      <c r="U115" s="605">
        <f t="shared" si="43"/>
        <v>6548</v>
      </c>
      <c r="V115" s="605">
        <f t="shared" si="43"/>
        <v>6548</v>
      </c>
      <c r="W115" s="605">
        <f t="shared" si="43"/>
        <v>6548</v>
      </c>
      <c r="X115" s="605">
        <f t="shared" si="43"/>
        <v>6548</v>
      </c>
      <c r="Y115" s="605">
        <f t="shared" si="43"/>
        <v>6548</v>
      </c>
      <c r="AB115" s="605"/>
      <c r="AC115" s="605"/>
      <c r="AD115" s="605"/>
      <c r="AE115" s="195"/>
    </row>
    <row r="116" spans="4:31" ht="18.95" customHeight="1">
      <c r="D116" s="38" t="s">
        <v>615</v>
      </c>
      <c r="J116" s="605">
        <f t="shared" ref="J116:Y116" si="44">+J18+J37+J73+J100</f>
        <v>2726</v>
      </c>
      <c r="K116" s="605">
        <f t="shared" si="44"/>
        <v>4066</v>
      </c>
      <c r="L116" s="605">
        <f t="shared" si="44"/>
        <v>4478</v>
      </c>
      <c r="M116" s="605">
        <f t="shared" si="44"/>
        <v>4478</v>
      </c>
      <c r="N116" s="605">
        <f t="shared" si="44"/>
        <v>4478</v>
      </c>
      <c r="O116" s="605">
        <f t="shared" si="44"/>
        <v>4478</v>
      </c>
      <c r="P116" s="605">
        <f t="shared" si="44"/>
        <v>4478</v>
      </c>
      <c r="Q116" s="605">
        <f t="shared" si="44"/>
        <v>4478</v>
      </c>
      <c r="R116" s="605">
        <f t="shared" si="44"/>
        <v>4478</v>
      </c>
      <c r="S116" s="605">
        <f t="shared" si="44"/>
        <v>4478</v>
      </c>
      <c r="T116" s="605">
        <f t="shared" si="44"/>
        <v>4478</v>
      </c>
      <c r="U116" s="605">
        <f t="shared" si="44"/>
        <v>4478</v>
      </c>
      <c r="V116" s="605">
        <f t="shared" si="44"/>
        <v>4478</v>
      </c>
      <c r="W116" s="605">
        <f t="shared" si="44"/>
        <v>4478</v>
      </c>
      <c r="X116" s="605">
        <f t="shared" si="44"/>
        <v>4478</v>
      </c>
      <c r="Y116" s="605">
        <f t="shared" si="44"/>
        <v>14798</v>
      </c>
      <c r="AE116" s="195"/>
    </row>
    <row r="117" spans="4:31" ht="18.95" customHeight="1">
      <c r="D117" s="38" t="s">
        <v>616</v>
      </c>
      <c r="J117" s="605">
        <f>+J102</f>
        <v>12230</v>
      </c>
      <c r="K117" s="605">
        <f t="shared" ref="K117:Y117" si="45">+K102</f>
        <v>12230</v>
      </c>
      <c r="L117" s="605">
        <f t="shared" si="45"/>
        <v>12230</v>
      </c>
      <c r="M117" s="605">
        <f t="shared" si="45"/>
        <v>12230</v>
      </c>
      <c r="N117" s="605">
        <f t="shared" si="45"/>
        <v>12230</v>
      </c>
      <c r="O117" s="605">
        <f t="shared" si="45"/>
        <v>12230</v>
      </c>
      <c r="P117" s="605">
        <f t="shared" si="45"/>
        <v>12230</v>
      </c>
      <c r="Q117" s="605">
        <f t="shared" si="45"/>
        <v>12230</v>
      </c>
      <c r="R117" s="605">
        <f t="shared" si="45"/>
        <v>12230</v>
      </c>
      <c r="S117" s="605">
        <f t="shared" si="45"/>
        <v>12230</v>
      </c>
      <c r="T117" s="605">
        <f t="shared" si="45"/>
        <v>12230</v>
      </c>
      <c r="U117" s="605">
        <f t="shared" si="45"/>
        <v>12230</v>
      </c>
      <c r="V117" s="605">
        <f t="shared" si="45"/>
        <v>12230</v>
      </c>
      <c r="W117" s="605">
        <f t="shared" si="45"/>
        <v>12230</v>
      </c>
      <c r="X117" s="605">
        <f t="shared" si="45"/>
        <v>12230</v>
      </c>
      <c r="Y117" s="605">
        <f t="shared" si="45"/>
        <v>12230</v>
      </c>
      <c r="AE117" s="195"/>
    </row>
    <row r="118" spans="4:31" ht="18.95" customHeight="1">
      <c r="J118" s="605"/>
      <c r="K118" s="605"/>
      <c r="L118" s="605"/>
      <c r="M118" s="605"/>
      <c r="N118" s="605"/>
      <c r="O118" s="605"/>
      <c r="P118" s="605"/>
      <c r="Q118" s="605"/>
      <c r="R118" s="605"/>
      <c r="S118" s="605"/>
      <c r="T118" s="605"/>
      <c r="U118" s="605"/>
      <c r="V118" s="605"/>
      <c r="W118" s="605"/>
      <c r="X118" s="605"/>
      <c r="Y118" s="605"/>
      <c r="AE118" s="195"/>
    </row>
    <row r="119" spans="4:31" ht="18.95" customHeight="1">
      <c r="J119" s="605" t="e">
        <f>+J114+J115+J116+J117</f>
        <v>#REF!</v>
      </c>
      <c r="K119" s="605" t="e">
        <f t="shared" ref="K119:Y119" si="46">+K114+K115+K116+K117</f>
        <v>#REF!</v>
      </c>
      <c r="L119" s="605" t="e">
        <f t="shared" si="46"/>
        <v>#REF!</v>
      </c>
      <c r="M119" s="605" t="e">
        <f t="shared" si="46"/>
        <v>#REF!</v>
      </c>
      <c r="N119" s="605" t="e">
        <f t="shared" si="46"/>
        <v>#REF!</v>
      </c>
      <c r="O119" s="605" t="e">
        <f t="shared" si="46"/>
        <v>#REF!</v>
      </c>
      <c r="P119" s="605" t="e">
        <f t="shared" si="46"/>
        <v>#REF!</v>
      </c>
      <c r="Q119" s="605" t="e">
        <f t="shared" si="46"/>
        <v>#REF!</v>
      </c>
      <c r="R119" s="605" t="e">
        <f t="shared" si="46"/>
        <v>#REF!</v>
      </c>
      <c r="S119" s="605" t="e">
        <f t="shared" si="46"/>
        <v>#REF!</v>
      </c>
      <c r="T119" s="605" t="e">
        <f t="shared" si="46"/>
        <v>#REF!</v>
      </c>
      <c r="U119" s="605" t="e">
        <f t="shared" si="46"/>
        <v>#REF!</v>
      </c>
      <c r="V119" s="605" t="e">
        <f t="shared" si="46"/>
        <v>#REF!</v>
      </c>
      <c r="W119" s="605" t="e">
        <f t="shared" si="46"/>
        <v>#REF!</v>
      </c>
      <c r="X119" s="605" t="e">
        <f t="shared" si="46"/>
        <v>#REF!</v>
      </c>
      <c r="Y119" s="605" t="e">
        <f t="shared" si="46"/>
        <v>#REF!</v>
      </c>
      <c r="AE119" s="639"/>
    </row>
    <row r="120" spans="4:31" ht="18.95" customHeight="1">
      <c r="J120" s="605"/>
      <c r="K120" s="605"/>
      <c r="L120" s="605"/>
      <c r="M120" s="605"/>
      <c r="N120" s="605"/>
      <c r="O120" s="605"/>
      <c r="P120" s="605"/>
      <c r="Q120" s="605"/>
      <c r="R120" s="605"/>
      <c r="S120" s="605"/>
      <c r="T120" s="605"/>
      <c r="U120" s="605"/>
      <c r="V120" s="605"/>
      <c r="W120" s="605"/>
      <c r="X120" s="605"/>
      <c r="Y120" s="605"/>
      <c r="AB120" s="195"/>
      <c r="AC120" s="195"/>
      <c r="AD120" s="195"/>
    </row>
    <row r="121" spans="4:31" ht="18.95" customHeight="1">
      <c r="J121" s="605"/>
      <c r="K121" s="605"/>
      <c r="L121" s="605"/>
      <c r="M121" s="605"/>
      <c r="N121" s="605"/>
      <c r="O121" s="605"/>
      <c r="P121" s="605"/>
      <c r="Q121" s="605"/>
      <c r="R121" s="605"/>
      <c r="S121" s="605"/>
      <c r="T121" s="605"/>
      <c r="U121" s="605"/>
      <c r="V121" s="605"/>
      <c r="W121" s="605"/>
      <c r="X121" s="605"/>
      <c r="Y121" s="605"/>
      <c r="AB121" s="195"/>
      <c r="AC121" s="195"/>
      <c r="AD121" s="195"/>
    </row>
    <row r="122" spans="4:31" ht="18.95" customHeight="1">
      <c r="AB122" s="195"/>
      <c r="AC122" s="195"/>
      <c r="AD122" s="195"/>
    </row>
    <row r="123" spans="4:31" ht="18.95" customHeight="1">
      <c r="Y123" s="605" t="e">
        <f>++#REF!+Y10+Y25+Y64+#REF!+Y96</f>
        <v>#REF!</v>
      </c>
      <c r="AB123" s="195"/>
      <c r="AC123" s="195"/>
      <c r="AD123" s="195"/>
    </row>
    <row r="124" spans="4:31" ht="18.95" customHeight="1">
      <c r="AB124" s="195"/>
      <c r="AC124" s="195"/>
      <c r="AD124" s="195"/>
    </row>
    <row r="125" spans="4:31" ht="18.95" customHeight="1">
      <c r="AB125" s="639"/>
      <c r="AC125" s="639"/>
      <c r="AD125" s="639"/>
    </row>
    <row r="126" spans="4:31" ht="18.95" customHeight="1">
      <c r="J126" s="605">
        <f t="shared" ref="J126:Y126" si="47">+J104+J74+J38+J19+J101</f>
        <v>23033</v>
      </c>
      <c r="K126" s="605">
        <f t="shared" si="47"/>
        <v>24373</v>
      </c>
      <c r="L126" s="605">
        <f t="shared" si="47"/>
        <v>24785</v>
      </c>
      <c r="M126" s="605">
        <f t="shared" si="47"/>
        <v>24785</v>
      </c>
      <c r="N126" s="605">
        <f t="shared" si="47"/>
        <v>24785</v>
      </c>
      <c r="O126" s="605">
        <f t="shared" si="47"/>
        <v>26602</v>
      </c>
      <c r="P126" s="605">
        <f t="shared" si="47"/>
        <v>26602</v>
      </c>
      <c r="Q126" s="605">
        <f t="shared" si="47"/>
        <v>26602</v>
      </c>
      <c r="R126" s="605">
        <f t="shared" si="47"/>
        <v>26602</v>
      </c>
      <c r="S126" s="605">
        <f t="shared" si="47"/>
        <v>26602</v>
      </c>
      <c r="T126" s="605">
        <f t="shared" si="47"/>
        <v>26602</v>
      </c>
      <c r="U126" s="605">
        <f t="shared" si="47"/>
        <v>26602</v>
      </c>
      <c r="V126" s="605">
        <f t="shared" si="47"/>
        <v>26602</v>
      </c>
      <c r="W126" s="605">
        <f t="shared" si="47"/>
        <v>26602</v>
      </c>
      <c r="X126" s="605">
        <f t="shared" si="47"/>
        <v>26602</v>
      </c>
      <c r="Y126" s="605">
        <f t="shared" si="47"/>
        <v>43845</v>
      </c>
      <c r="Z126" s="605"/>
    </row>
    <row r="129" spans="10:25" ht="18.95" customHeight="1">
      <c r="J129" s="605">
        <f t="shared" ref="J129:Y129" si="48">+J101+J74+J38+J19</f>
        <v>10803</v>
      </c>
      <c r="K129" s="605">
        <f t="shared" si="48"/>
        <v>12143</v>
      </c>
      <c r="L129" s="605">
        <f t="shared" si="48"/>
        <v>12555</v>
      </c>
      <c r="M129" s="605">
        <f t="shared" si="48"/>
        <v>12555</v>
      </c>
      <c r="N129" s="605">
        <f t="shared" si="48"/>
        <v>12555</v>
      </c>
      <c r="O129" s="605">
        <f t="shared" si="48"/>
        <v>14372</v>
      </c>
      <c r="P129" s="605">
        <f t="shared" si="48"/>
        <v>14372</v>
      </c>
      <c r="Q129" s="605">
        <f t="shared" si="48"/>
        <v>14372</v>
      </c>
      <c r="R129" s="605">
        <f t="shared" si="48"/>
        <v>14372</v>
      </c>
      <c r="S129" s="605">
        <f t="shared" si="48"/>
        <v>14372</v>
      </c>
      <c r="T129" s="605">
        <f t="shared" si="48"/>
        <v>14372</v>
      </c>
      <c r="U129" s="605">
        <f t="shared" si="48"/>
        <v>14372</v>
      </c>
      <c r="V129" s="605">
        <f t="shared" si="48"/>
        <v>14372</v>
      </c>
      <c r="W129" s="605">
        <f t="shared" si="48"/>
        <v>14372</v>
      </c>
      <c r="X129" s="605">
        <f t="shared" si="48"/>
        <v>14372</v>
      </c>
      <c r="Y129" s="605">
        <f t="shared" si="48"/>
        <v>31615</v>
      </c>
    </row>
    <row r="201" spans="5:26" ht="18.95" customHeight="1"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</row>
    <row r="203" spans="5:26" ht="18.95" customHeight="1"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</row>
  </sheetData>
  <mergeCells count="113">
    <mergeCell ref="A102:A104"/>
    <mergeCell ref="B102:B103"/>
    <mergeCell ref="B104:C104"/>
    <mergeCell ref="A84:A91"/>
    <mergeCell ref="B84:B85"/>
    <mergeCell ref="B86:B87"/>
    <mergeCell ref="B88:B90"/>
    <mergeCell ref="B91:C91"/>
    <mergeCell ref="A92:A101"/>
    <mergeCell ref="B92:B96"/>
    <mergeCell ref="B97:B100"/>
    <mergeCell ref="B101:C101"/>
    <mergeCell ref="AB64:AC64"/>
    <mergeCell ref="B65:B73"/>
    <mergeCell ref="AB65:AC65"/>
    <mergeCell ref="AB66:AC66"/>
    <mergeCell ref="AB68:AC68"/>
    <mergeCell ref="AB69:AC69"/>
    <mergeCell ref="A75:A83"/>
    <mergeCell ref="B75:B76"/>
    <mergeCell ref="AB75:AC75"/>
    <mergeCell ref="AB76:AC76"/>
    <mergeCell ref="B77:B78"/>
    <mergeCell ref="AB77:AC77"/>
    <mergeCell ref="B79:B82"/>
    <mergeCell ref="B83:C83"/>
    <mergeCell ref="AB70:AC70"/>
    <mergeCell ref="AB71:AC71"/>
    <mergeCell ref="AB72:AC72"/>
    <mergeCell ref="AB73:AC73"/>
    <mergeCell ref="B74:C74"/>
    <mergeCell ref="AB74:AC74"/>
    <mergeCell ref="AB52:AD52"/>
    <mergeCell ref="AB53:AD53"/>
    <mergeCell ref="B54:C54"/>
    <mergeCell ref="AB54:AD54"/>
    <mergeCell ref="A55:A74"/>
    <mergeCell ref="B55:B57"/>
    <mergeCell ref="AB55:AD55"/>
    <mergeCell ref="AB56:AD56"/>
    <mergeCell ref="AB57:AD57"/>
    <mergeCell ref="B58:B64"/>
    <mergeCell ref="A45:A54"/>
    <mergeCell ref="B45:B46"/>
    <mergeCell ref="AB45:AD45"/>
    <mergeCell ref="AB46:AD46"/>
    <mergeCell ref="B47:B53"/>
    <mergeCell ref="AB47:AD47"/>
    <mergeCell ref="AB48:AD48"/>
    <mergeCell ref="AB49:AD49"/>
    <mergeCell ref="AB50:AD50"/>
    <mergeCell ref="AB51:AD51"/>
    <mergeCell ref="AB58:AD58"/>
    <mergeCell ref="AB60:AC60"/>
    <mergeCell ref="AB61:AC61"/>
    <mergeCell ref="AB62:AC62"/>
    <mergeCell ref="A42:A44"/>
    <mergeCell ref="B42:B43"/>
    <mergeCell ref="AB42:AD42"/>
    <mergeCell ref="AB43:AD43"/>
    <mergeCell ref="B44:C44"/>
    <mergeCell ref="AB44:AD44"/>
    <mergeCell ref="A39:A41"/>
    <mergeCell ref="B39:B40"/>
    <mergeCell ref="AB39:AD39"/>
    <mergeCell ref="AB40:AD40"/>
    <mergeCell ref="B41:C41"/>
    <mergeCell ref="AB41:AD41"/>
    <mergeCell ref="A20:A38"/>
    <mergeCell ref="B20:B21"/>
    <mergeCell ref="AB20:AD20"/>
    <mergeCell ref="AB21:AD21"/>
    <mergeCell ref="B22:B25"/>
    <mergeCell ref="AB22:AD22"/>
    <mergeCell ref="AB23:AD23"/>
    <mergeCell ref="AB24:AD24"/>
    <mergeCell ref="AB34:AD34"/>
    <mergeCell ref="AB35:AD35"/>
    <mergeCell ref="AB36:AD36"/>
    <mergeCell ref="AB37:AD37"/>
    <mergeCell ref="B38:C38"/>
    <mergeCell ref="AB38:AD38"/>
    <mergeCell ref="AB25:AD25"/>
    <mergeCell ref="B26:B37"/>
    <mergeCell ref="AB26:AD26"/>
    <mergeCell ref="AB27:AD27"/>
    <mergeCell ref="AB28:AD28"/>
    <mergeCell ref="AB29:AD29"/>
    <mergeCell ref="AB30:AD30"/>
    <mergeCell ref="AB31:AD31"/>
    <mergeCell ref="AB32:AD32"/>
    <mergeCell ref="AB33:AD33"/>
    <mergeCell ref="B3:C3"/>
    <mergeCell ref="A4:A19"/>
    <mergeCell ref="B4:B10"/>
    <mergeCell ref="AB4:AD4"/>
    <mergeCell ref="AB5:AD5"/>
    <mergeCell ref="AB6:AD6"/>
    <mergeCell ref="AB7:AD7"/>
    <mergeCell ref="AB8:AD8"/>
    <mergeCell ref="AB9:AD9"/>
    <mergeCell ref="AB10:AD10"/>
    <mergeCell ref="B11:B18"/>
    <mergeCell ref="AB11:AD11"/>
    <mergeCell ref="AB12:AD12"/>
    <mergeCell ref="AB13:AD13"/>
    <mergeCell ref="AB14:AD14"/>
    <mergeCell ref="AB15:AD15"/>
    <mergeCell ref="AB16:AD16"/>
    <mergeCell ref="AB17:AD17"/>
    <mergeCell ref="AB18:AD18"/>
    <mergeCell ref="B19:C19"/>
    <mergeCell ref="AB19:AD19"/>
  </mergeCells>
  <phoneticPr fontId="3" type="noConversion"/>
  <printOptions horizontalCentered="1"/>
  <pageMargins left="0.59055118110236227" right="0.59055118110236227" top="0.78740157480314965" bottom="0.78740157480314965" header="0.39370078740157483" footer="0.39370078740157483"/>
  <pageSetup paperSize="9" scale="76" orientation="portrait" r:id="rId1"/>
  <headerFooter alignWithMargins="0"/>
  <rowBreaks count="2" manualBreakCount="2">
    <brk id="44" max="25" man="1"/>
    <brk id="91" max="25" man="1"/>
  </row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AV298"/>
  <sheetViews>
    <sheetView tabSelected="1" view="pageBreakPreview" topLeftCell="A184" zoomScaleNormal="100" zoomScaleSheetLayoutView="100" workbookViewId="0">
      <selection activeCell="J196" sqref="J196"/>
    </sheetView>
  </sheetViews>
  <sheetFormatPr defaultRowHeight="13.5" outlineLevelRow="1"/>
  <cols>
    <col min="1" max="1" width="5.625" style="711" customWidth="1"/>
    <col min="2" max="2" width="9" style="711" customWidth="1"/>
    <col min="3" max="3" width="10.75" style="711" customWidth="1"/>
    <col min="4" max="4" width="13" style="711" customWidth="1"/>
    <col min="5" max="5" width="14" style="711" customWidth="1"/>
    <col min="6" max="6" width="12.625" style="1" customWidth="1"/>
    <col min="7" max="10" width="12.625" style="2" customWidth="1"/>
    <col min="11" max="11" width="13.375" style="1078" customWidth="1" collapsed="1"/>
    <col min="12" max="18" width="12.625" style="9" customWidth="1"/>
    <col min="19" max="19" width="9" style="9" customWidth="1"/>
    <col min="20" max="20" width="10" style="9" customWidth="1"/>
    <col min="21" max="26" width="9" style="9" customWidth="1"/>
    <col min="27" max="28" width="9" style="2" customWidth="1"/>
    <col min="29" max="30" width="9" style="2"/>
    <col min="31" max="31" width="9.875" style="2" customWidth="1"/>
    <col min="32" max="36" width="10.5" style="2" customWidth="1"/>
    <col min="37" max="39" width="9" style="2"/>
    <col min="40" max="40" width="12.25" style="2" customWidth="1"/>
    <col min="41" max="45" width="10.25" style="2" customWidth="1"/>
    <col min="46" max="179" width="9" style="2"/>
    <col min="180" max="180" width="5.625" style="2" customWidth="1"/>
    <col min="181" max="181" width="9" style="2" customWidth="1"/>
    <col min="182" max="182" width="10.75" style="2" customWidth="1"/>
    <col min="183" max="183" width="13" style="2" customWidth="1"/>
    <col min="184" max="184" width="14" style="2" customWidth="1"/>
    <col min="185" max="189" width="11.125" style="2" customWidth="1"/>
    <col min="190" max="190" width="7.5" style="2" customWidth="1"/>
    <col min="191" max="435" width="9" style="2"/>
    <col min="436" max="436" width="5.625" style="2" customWidth="1"/>
    <col min="437" max="437" width="9" style="2" customWidth="1"/>
    <col min="438" max="438" width="10.75" style="2" customWidth="1"/>
    <col min="439" max="439" width="13" style="2" customWidth="1"/>
    <col min="440" max="440" width="14" style="2" customWidth="1"/>
    <col min="441" max="445" width="11.125" style="2" customWidth="1"/>
    <col min="446" max="446" width="7.5" style="2" customWidth="1"/>
    <col min="447" max="691" width="9" style="2"/>
    <col min="692" max="692" width="5.625" style="2" customWidth="1"/>
    <col min="693" max="693" width="9" style="2" customWidth="1"/>
    <col min="694" max="694" width="10.75" style="2" customWidth="1"/>
    <col min="695" max="695" width="13" style="2" customWidth="1"/>
    <col min="696" max="696" width="14" style="2" customWidth="1"/>
    <col min="697" max="701" width="11.125" style="2" customWidth="1"/>
    <col min="702" max="702" width="7.5" style="2" customWidth="1"/>
    <col min="703" max="947" width="9" style="2"/>
    <col min="948" max="948" width="5.625" style="2" customWidth="1"/>
    <col min="949" max="949" width="9" style="2" customWidth="1"/>
    <col min="950" max="950" width="10.75" style="2" customWidth="1"/>
    <col min="951" max="951" width="13" style="2" customWidth="1"/>
    <col min="952" max="952" width="14" style="2" customWidth="1"/>
    <col min="953" max="957" width="11.125" style="2" customWidth="1"/>
    <col min="958" max="958" width="7.5" style="2" customWidth="1"/>
    <col min="959" max="1203" width="9" style="2"/>
    <col min="1204" max="1204" width="5.625" style="2" customWidth="1"/>
    <col min="1205" max="1205" width="9" style="2" customWidth="1"/>
    <col min="1206" max="1206" width="10.75" style="2" customWidth="1"/>
    <col min="1207" max="1207" width="13" style="2" customWidth="1"/>
    <col min="1208" max="1208" width="14" style="2" customWidth="1"/>
    <col min="1209" max="1213" width="11.125" style="2" customWidth="1"/>
    <col min="1214" max="1214" width="7.5" style="2" customWidth="1"/>
    <col min="1215" max="1459" width="9" style="2"/>
    <col min="1460" max="1460" width="5.625" style="2" customWidth="1"/>
    <col min="1461" max="1461" width="9" style="2" customWidth="1"/>
    <col min="1462" max="1462" width="10.75" style="2" customWidth="1"/>
    <col min="1463" max="1463" width="13" style="2" customWidth="1"/>
    <col min="1464" max="1464" width="14" style="2" customWidth="1"/>
    <col min="1465" max="1469" width="11.125" style="2" customWidth="1"/>
    <col min="1470" max="1470" width="7.5" style="2" customWidth="1"/>
    <col min="1471" max="1715" width="9" style="2"/>
    <col min="1716" max="1716" width="5.625" style="2" customWidth="1"/>
    <col min="1717" max="1717" width="9" style="2" customWidth="1"/>
    <col min="1718" max="1718" width="10.75" style="2" customWidth="1"/>
    <col min="1719" max="1719" width="13" style="2" customWidth="1"/>
    <col min="1720" max="1720" width="14" style="2" customWidth="1"/>
    <col min="1721" max="1725" width="11.125" style="2" customWidth="1"/>
    <col min="1726" max="1726" width="7.5" style="2" customWidth="1"/>
    <col min="1727" max="1971" width="9" style="2"/>
    <col min="1972" max="1972" width="5.625" style="2" customWidth="1"/>
    <col min="1973" max="1973" width="9" style="2" customWidth="1"/>
    <col min="1974" max="1974" width="10.75" style="2" customWidth="1"/>
    <col min="1975" max="1975" width="13" style="2" customWidth="1"/>
    <col min="1976" max="1976" width="14" style="2" customWidth="1"/>
    <col min="1977" max="1981" width="11.125" style="2" customWidth="1"/>
    <col min="1982" max="1982" width="7.5" style="2" customWidth="1"/>
    <col min="1983" max="2227" width="9" style="2"/>
    <col min="2228" max="2228" width="5.625" style="2" customWidth="1"/>
    <col min="2229" max="2229" width="9" style="2" customWidth="1"/>
    <col min="2230" max="2230" width="10.75" style="2" customWidth="1"/>
    <col min="2231" max="2231" width="13" style="2" customWidth="1"/>
    <col min="2232" max="2232" width="14" style="2" customWidth="1"/>
    <col min="2233" max="2237" width="11.125" style="2" customWidth="1"/>
    <col min="2238" max="2238" width="7.5" style="2" customWidth="1"/>
    <col min="2239" max="2483" width="9" style="2"/>
    <col min="2484" max="2484" width="5.625" style="2" customWidth="1"/>
    <col min="2485" max="2485" width="9" style="2" customWidth="1"/>
    <col min="2486" max="2486" width="10.75" style="2" customWidth="1"/>
    <col min="2487" max="2487" width="13" style="2" customWidth="1"/>
    <col min="2488" max="2488" width="14" style="2" customWidth="1"/>
    <col min="2489" max="2493" width="11.125" style="2" customWidth="1"/>
    <col min="2494" max="2494" width="7.5" style="2" customWidth="1"/>
    <col min="2495" max="2739" width="9" style="2"/>
    <col min="2740" max="2740" width="5.625" style="2" customWidth="1"/>
    <col min="2741" max="2741" width="9" style="2" customWidth="1"/>
    <col min="2742" max="2742" width="10.75" style="2" customWidth="1"/>
    <col min="2743" max="2743" width="13" style="2" customWidth="1"/>
    <col min="2744" max="2744" width="14" style="2" customWidth="1"/>
    <col min="2745" max="2749" width="11.125" style="2" customWidth="1"/>
    <col min="2750" max="2750" width="7.5" style="2" customWidth="1"/>
    <col min="2751" max="2995" width="9" style="2"/>
    <col min="2996" max="2996" width="5.625" style="2" customWidth="1"/>
    <col min="2997" max="2997" width="9" style="2" customWidth="1"/>
    <col min="2998" max="2998" width="10.75" style="2" customWidth="1"/>
    <col min="2999" max="2999" width="13" style="2" customWidth="1"/>
    <col min="3000" max="3000" width="14" style="2" customWidth="1"/>
    <col min="3001" max="3005" width="11.125" style="2" customWidth="1"/>
    <col min="3006" max="3006" width="7.5" style="2" customWidth="1"/>
    <col min="3007" max="3251" width="9" style="2"/>
    <col min="3252" max="3252" width="5.625" style="2" customWidth="1"/>
    <col min="3253" max="3253" width="9" style="2" customWidth="1"/>
    <col min="3254" max="3254" width="10.75" style="2" customWidth="1"/>
    <col min="3255" max="3255" width="13" style="2" customWidth="1"/>
    <col min="3256" max="3256" width="14" style="2" customWidth="1"/>
    <col min="3257" max="3261" width="11.125" style="2" customWidth="1"/>
    <col min="3262" max="3262" width="7.5" style="2" customWidth="1"/>
    <col min="3263" max="3507" width="9" style="2"/>
    <col min="3508" max="3508" width="5.625" style="2" customWidth="1"/>
    <col min="3509" max="3509" width="9" style="2" customWidth="1"/>
    <col min="3510" max="3510" width="10.75" style="2" customWidth="1"/>
    <col min="3511" max="3511" width="13" style="2" customWidth="1"/>
    <col min="3512" max="3512" width="14" style="2" customWidth="1"/>
    <col min="3513" max="3517" width="11.125" style="2" customWidth="1"/>
    <col min="3518" max="3518" width="7.5" style="2" customWidth="1"/>
    <col min="3519" max="3763" width="9" style="2"/>
    <col min="3764" max="3764" width="5.625" style="2" customWidth="1"/>
    <col min="3765" max="3765" width="9" style="2" customWidth="1"/>
    <col min="3766" max="3766" width="10.75" style="2" customWidth="1"/>
    <col min="3767" max="3767" width="13" style="2" customWidth="1"/>
    <col min="3768" max="3768" width="14" style="2" customWidth="1"/>
    <col min="3769" max="3773" width="11.125" style="2" customWidth="1"/>
    <col min="3774" max="3774" width="7.5" style="2" customWidth="1"/>
    <col min="3775" max="4019" width="9" style="2"/>
    <col min="4020" max="4020" width="5.625" style="2" customWidth="1"/>
    <col min="4021" max="4021" width="9" style="2" customWidth="1"/>
    <col min="4022" max="4022" width="10.75" style="2" customWidth="1"/>
    <col min="4023" max="4023" width="13" style="2" customWidth="1"/>
    <col min="4024" max="4024" width="14" style="2" customWidth="1"/>
    <col min="4025" max="4029" width="11.125" style="2" customWidth="1"/>
    <col min="4030" max="4030" width="7.5" style="2" customWidth="1"/>
    <col min="4031" max="4275" width="9" style="2"/>
    <col min="4276" max="4276" width="5.625" style="2" customWidth="1"/>
    <col min="4277" max="4277" width="9" style="2" customWidth="1"/>
    <col min="4278" max="4278" width="10.75" style="2" customWidth="1"/>
    <col min="4279" max="4279" width="13" style="2" customWidth="1"/>
    <col min="4280" max="4280" width="14" style="2" customWidth="1"/>
    <col min="4281" max="4285" width="11.125" style="2" customWidth="1"/>
    <col min="4286" max="4286" width="7.5" style="2" customWidth="1"/>
    <col min="4287" max="4531" width="9" style="2"/>
    <col min="4532" max="4532" width="5.625" style="2" customWidth="1"/>
    <col min="4533" max="4533" width="9" style="2" customWidth="1"/>
    <col min="4534" max="4534" width="10.75" style="2" customWidth="1"/>
    <col min="4535" max="4535" width="13" style="2" customWidth="1"/>
    <col min="4536" max="4536" width="14" style="2" customWidth="1"/>
    <col min="4537" max="4541" width="11.125" style="2" customWidth="1"/>
    <col min="4542" max="4542" width="7.5" style="2" customWidth="1"/>
    <col min="4543" max="4787" width="9" style="2"/>
    <col min="4788" max="4788" width="5.625" style="2" customWidth="1"/>
    <col min="4789" max="4789" width="9" style="2" customWidth="1"/>
    <col min="4790" max="4790" width="10.75" style="2" customWidth="1"/>
    <col min="4791" max="4791" width="13" style="2" customWidth="1"/>
    <col min="4792" max="4792" width="14" style="2" customWidth="1"/>
    <col min="4793" max="4797" width="11.125" style="2" customWidth="1"/>
    <col min="4798" max="4798" width="7.5" style="2" customWidth="1"/>
    <col min="4799" max="5043" width="9" style="2"/>
    <col min="5044" max="5044" width="5.625" style="2" customWidth="1"/>
    <col min="5045" max="5045" width="9" style="2" customWidth="1"/>
    <col min="5046" max="5046" width="10.75" style="2" customWidth="1"/>
    <col min="5047" max="5047" width="13" style="2" customWidth="1"/>
    <col min="5048" max="5048" width="14" style="2" customWidth="1"/>
    <col min="5049" max="5053" width="11.125" style="2" customWidth="1"/>
    <col min="5054" max="5054" width="7.5" style="2" customWidth="1"/>
    <col min="5055" max="5299" width="9" style="2"/>
    <col min="5300" max="5300" width="5.625" style="2" customWidth="1"/>
    <col min="5301" max="5301" width="9" style="2" customWidth="1"/>
    <col min="5302" max="5302" width="10.75" style="2" customWidth="1"/>
    <col min="5303" max="5303" width="13" style="2" customWidth="1"/>
    <col min="5304" max="5304" width="14" style="2" customWidth="1"/>
    <col min="5305" max="5309" width="11.125" style="2" customWidth="1"/>
    <col min="5310" max="5310" width="7.5" style="2" customWidth="1"/>
    <col min="5311" max="5555" width="9" style="2"/>
    <col min="5556" max="5556" width="5.625" style="2" customWidth="1"/>
    <col min="5557" max="5557" width="9" style="2" customWidth="1"/>
    <col min="5558" max="5558" width="10.75" style="2" customWidth="1"/>
    <col min="5559" max="5559" width="13" style="2" customWidth="1"/>
    <col min="5560" max="5560" width="14" style="2" customWidth="1"/>
    <col min="5561" max="5565" width="11.125" style="2" customWidth="1"/>
    <col min="5566" max="5566" width="7.5" style="2" customWidth="1"/>
    <col min="5567" max="5811" width="9" style="2"/>
    <col min="5812" max="5812" width="5.625" style="2" customWidth="1"/>
    <col min="5813" max="5813" width="9" style="2" customWidth="1"/>
    <col min="5814" max="5814" width="10.75" style="2" customWidth="1"/>
    <col min="5815" max="5815" width="13" style="2" customWidth="1"/>
    <col min="5816" max="5816" width="14" style="2" customWidth="1"/>
    <col min="5817" max="5821" width="11.125" style="2" customWidth="1"/>
    <col min="5822" max="5822" width="7.5" style="2" customWidth="1"/>
    <col min="5823" max="6067" width="9" style="2"/>
    <col min="6068" max="6068" width="5.625" style="2" customWidth="1"/>
    <col min="6069" max="6069" width="9" style="2" customWidth="1"/>
    <col min="6070" max="6070" width="10.75" style="2" customWidth="1"/>
    <col min="6071" max="6071" width="13" style="2" customWidth="1"/>
    <col min="6072" max="6072" width="14" style="2" customWidth="1"/>
    <col min="6073" max="6077" width="11.125" style="2" customWidth="1"/>
    <col min="6078" max="6078" width="7.5" style="2" customWidth="1"/>
    <col min="6079" max="6323" width="9" style="2"/>
    <col min="6324" max="6324" width="5.625" style="2" customWidth="1"/>
    <col min="6325" max="6325" width="9" style="2" customWidth="1"/>
    <col min="6326" max="6326" width="10.75" style="2" customWidth="1"/>
    <col min="6327" max="6327" width="13" style="2" customWidth="1"/>
    <col min="6328" max="6328" width="14" style="2" customWidth="1"/>
    <col min="6329" max="6333" width="11.125" style="2" customWidth="1"/>
    <col min="6334" max="6334" width="7.5" style="2" customWidth="1"/>
    <col min="6335" max="6579" width="9" style="2"/>
    <col min="6580" max="6580" width="5.625" style="2" customWidth="1"/>
    <col min="6581" max="6581" width="9" style="2" customWidth="1"/>
    <col min="6582" max="6582" width="10.75" style="2" customWidth="1"/>
    <col min="6583" max="6583" width="13" style="2" customWidth="1"/>
    <col min="6584" max="6584" width="14" style="2" customWidth="1"/>
    <col min="6585" max="6589" width="11.125" style="2" customWidth="1"/>
    <col min="6590" max="6590" width="7.5" style="2" customWidth="1"/>
    <col min="6591" max="6835" width="9" style="2"/>
    <col min="6836" max="6836" width="5.625" style="2" customWidth="1"/>
    <col min="6837" max="6837" width="9" style="2" customWidth="1"/>
    <col min="6838" max="6838" width="10.75" style="2" customWidth="1"/>
    <col min="6839" max="6839" width="13" style="2" customWidth="1"/>
    <col min="6840" max="6840" width="14" style="2" customWidth="1"/>
    <col min="6841" max="6845" width="11.125" style="2" customWidth="1"/>
    <col min="6846" max="6846" width="7.5" style="2" customWidth="1"/>
    <col min="6847" max="7091" width="9" style="2"/>
    <col min="7092" max="7092" width="5.625" style="2" customWidth="1"/>
    <col min="7093" max="7093" width="9" style="2" customWidth="1"/>
    <col min="7094" max="7094" width="10.75" style="2" customWidth="1"/>
    <col min="7095" max="7095" width="13" style="2" customWidth="1"/>
    <col min="7096" max="7096" width="14" style="2" customWidth="1"/>
    <col min="7097" max="7101" width="11.125" style="2" customWidth="1"/>
    <col min="7102" max="7102" width="7.5" style="2" customWidth="1"/>
    <col min="7103" max="7347" width="9" style="2"/>
    <col min="7348" max="7348" width="5.625" style="2" customWidth="1"/>
    <col min="7349" max="7349" width="9" style="2" customWidth="1"/>
    <col min="7350" max="7350" width="10.75" style="2" customWidth="1"/>
    <col min="7351" max="7351" width="13" style="2" customWidth="1"/>
    <col min="7352" max="7352" width="14" style="2" customWidth="1"/>
    <col min="7353" max="7357" width="11.125" style="2" customWidth="1"/>
    <col min="7358" max="7358" width="7.5" style="2" customWidth="1"/>
    <col min="7359" max="7603" width="9" style="2"/>
    <col min="7604" max="7604" width="5.625" style="2" customWidth="1"/>
    <col min="7605" max="7605" width="9" style="2" customWidth="1"/>
    <col min="7606" max="7606" width="10.75" style="2" customWidth="1"/>
    <col min="7607" max="7607" width="13" style="2" customWidth="1"/>
    <col min="7608" max="7608" width="14" style="2" customWidth="1"/>
    <col min="7609" max="7613" width="11.125" style="2" customWidth="1"/>
    <col min="7614" max="7614" width="7.5" style="2" customWidth="1"/>
    <col min="7615" max="7859" width="9" style="2"/>
    <col min="7860" max="7860" width="5.625" style="2" customWidth="1"/>
    <col min="7861" max="7861" width="9" style="2" customWidth="1"/>
    <col min="7862" max="7862" width="10.75" style="2" customWidth="1"/>
    <col min="7863" max="7863" width="13" style="2" customWidth="1"/>
    <col min="7864" max="7864" width="14" style="2" customWidth="1"/>
    <col min="7865" max="7869" width="11.125" style="2" customWidth="1"/>
    <col min="7870" max="7870" width="7.5" style="2" customWidth="1"/>
    <col min="7871" max="8115" width="9" style="2"/>
    <col min="8116" max="8116" width="5.625" style="2" customWidth="1"/>
    <col min="8117" max="8117" width="9" style="2" customWidth="1"/>
    <col min="8118" max="8118" width="10.75" style="2" customWidth="1"/>
    <col min="8119" max="8119" width="13" style="2" customWidth="1"/>
    <col min="8120" max="8120" width="14" style="2" customWidth="1"/>
    <col min="8121" max="8125" width="11.125" style="2" customWidth="1"/>
    <col min="8126" max="8126" width="7.5" style="2" customWidth="1"/>
    <col min="8127" max="8371" width="9" style="2"/>
    <col min="8372" max="8372" width="5.625" style="2" customWidth="1"/>
    <col min="8373" max="8373" width="9" style="2" customWidth="1"/>
    <col min="8374" max="8374" width="10.75" style="2" customWidth="1"/>
    <col min="8375" max="8375" width="13" style="2" customWidth="1"/>
    <col min="8376" max="8376" width="14" style="2" customWidth="1"/>
    <col min="8377" max="8381" width="11.125" style="2" customWidth="1"/>
    <col min="8382" max="8382" width="7.5" style="2" customWidth="1"/>
    <col min="8383" max="8627" width="9" style="2"/>
    <col min="8628" max="8628" width="5.625" style="2" customWidth="1"/>
    <col min="8629" max="8629" width="9" style="2" customWidth="1"/>
    <col min="8630" max="8630" width="10.75" style="2" customWidth="1"/>
    <col min="8631" max="8631" width="13" style="2" customWidth="1"/>
    <col min="8632" max="8632" width="14" style="2" customWidth="1"/>
    <col min="8633" max="8637" width="11.125" style="2" customWidth="1"/>
    <col min="8638" max="8638" width="7.5" style="2" customWidth="1"/>
    <col min="8639" max="8883" width="9" style="2"/>
    <col min="8884" max="8884" width="5.625" style="2" customWidth="1"/>
    <col min="8885" max="8885" width="9" style="2" customWidth="1"/>
    <col min="8886" max="8886" width="10.75" style="2" customWidth="1"/>
    <col min="8887" max="8887" width="13" style="2" customWidth="1"/>
    <col min="8888" max="8888" width="14" style="2" customWidth="1"/>
    <col min="8889" max="8893" width="11.125" style="2" customWidth="1"/>
    <col min="8894" max="8894" width="7.5" style="2" customWidth="1"/>
    <col min="8895" max="9139" width="9" style="2"/>
    <col min="9140" max="9140" width="5.625" style="2" customWidth="1"/>
    <col min="9141" max="9141" width="9" style="2" customWidth="1"/>
    <col min="9142" max="9142" width="10.75" style="2" customWidth="1"/>
    <col min="9143" max="9143" width="13" style="2" customWidth="1"/>
    <col min="9144" max="9144" width="14" style="2" customWidth="1"/>
    <col min="9145" max="9149" width="11.125" style="2" customWidth="1"/>
    <col min="9150" max="9150" width="7.5" style="2" customWidth="1"/>
    <col min="9151" max="9395" width="9" style="2"/>
    <col min="9396" max="9396" width="5.625" style="2" customWidth="1"/>
    <col min="9397" max="9397" width="9" style="2" customWidth="1"/>
    <col min="9398" max="9398" width="10.75" style="2" customWidth="1"/>
    <col min="9399" max="9399" width="13" style="2" customWidth="1"/>
    <col min="9400" max="9400" width="14" style="2" customWidth="1"/>
    <col min="9401" max="9405" width="11.125" style="2" customWidth="1"/>
    <col min="9406" max="9406" width="7.5" style="2" customWidth="1"/>
    <col min="9407" max="9651" width="9" style="2"/>
    <col min="9652" max="9652" width="5.625" style="2" customWidth="1"/>
    <col min="9653" max="9653" width="9" style="2" customWidth="1"/>
    <col min="9654" max="9654" width="10.75" style="2" customWidth="1"/>
    <col min="9655" max="9655" width="13" style="2" customWidth="1"/>
    <col min="9656" max="9656" width="14" style="2" customWidth="1"/>
    <col min="9657" max="9661" width="11.125" style="2" customWidth="1"/>
    <col min="9662" max="9662" width="7.5" style="2" customWidth="1"/>
    <col min="9663" max="9907" width="9" style="2"/>
    <col min="9908" max="9908" width="5.625" style="2" customWidth="1"/>
    <col min="9909" max="9909" width="9" style="2" customWidth="1"/>
    <col min="9910" max="9910" width="10.75" style="2" customWidth="1"/>
    <col min="9911" max="9911" width="13" style="2" customWidth="1"/>
    <col min="9912" max="9912" width="14" style="2" customWidth="1"/>
    <col min="9913" max="9917" width="11.125" style="2" customWidth="1"/>
    <col min="9918" max="9918" width="7.5" style="2" customWidth="1"/>
    <col min="9919" max="10163" width="9" style="2"/>
    <col min="10164" max="10164" width="5.625" style="2" customWidth="1"/>
    <col min="10165" max="10165" width="9" style="2" customWidth="1"/>
    <col min="10166" max="10166" width="10.75" style="2" customWidth="1"/>
    <col min="10167" max="10167" width="13" style="2" customWidth="1"/>
    <col min="10168" max="10168" width="14" style="2" customWidth="1"/>
    <col min="10169" max="10173" width="11.125" style="2" customWidth="1"/>
    <col min="10174" max="10174" width="7.5" style="2" customWidth="1"/>
    <col min="10175" max="10419" width="9" style="2"/>
    <col min="10420" max="10420" width="5.625" style="2" customWidth="1"/>
    <col min="10421" max="10421" width="9" style="2" customWidth="1"/>
    <col min="10422" max="10422" width="10.75" style="2" customWidth="1"/>
    <col min="10423" max="10423" width="13" style="2" customWidth="1"/>
    <col min="10424" max="10424" width="14" style="2" customWidth="1"/>
    <col min="10425" max="10429" width="11.125" style="2" customWidth="1"/>
    <col min="10430" max="10430" width="7.5" style="2" customWidth="1"/>
    <col min="10431" max="10675" width="9" style="2"/>
    <col min="10676" max="10676" width="5.625" style="2" customWidth="1"/>
    <col min="10677" max="10677" width="9" style="2" customWidth="1"/>
    <col min="10678" max="10678" width="10.75" style="2" customWidth="1"/>
    <col min="10679" max="10679" width="13" style="2" customWidth="1"/>
    <col min="10680" max="10680" width="14" style="2" customWidth="1"/>
    <col min="10681" max="10685" width="11.125" style="2" customWidth="1"/>
    <col min="10686" max="10686" width="7.5" style="2" customWidth="1"/>
    <col min="10687" max="10931" width="9" style="2"/>
    <col min="10932" max="10932" width="5.625" style="2" customWidth="1"/>
    <col min="10933" max="10933" width="9" style="2" customWidth="1"/>
    <col min="10934" max="10934" width="10.75" style="2" customWidth="1"/>
    <col min="10935" max="10935" width="13" style="2" customWidth="1"/>
    <col min="10936" max="10936" width="14" style="2" customWidth="1"/>
    <col min="10937" max="10941" width="11.125" style="2" customWidth="1"/>
    <col min="10942" max="10942" width="7.5" style="2" customWidth="1"/>
    <col min="10943" max="11187" width="9" style="2"/>
    <col min="11188" max="11188" width="5.625" style="2" customWidth="1"/>
    <col min="11189" max="11189" width="9" style="2" customWidth="1"/>
    <col min="11190" max="11190" width="10.75" style="2" customWidth="1"/>
    <col min="11191" max="11191" width="13" style="2" customWidth="1"/>
    <col min="11192" max="11192" width="14" style="2" customWidth="1"/>
    <col min="11193" max="11197" width="11.125" style="2" customWidth="1"/>
    <col min="11198" max="11198" width="7.5" style="2" customWidth="1"/>
    <col min="11199" max="11443" width="9" style="2"/>
    <col min="11444" max="11444" width="5.625" style="2" customWidth="1"/>
    <col min="11445" max="11445" width="9" style="2" customWidth="1"/>
    <col min="11446" max="11446" width="10.75" style="2" customWidth="1"/>
    <col min="11447" max="11447" width="13" style="2" customWidth="1"/>
    <col min="11448" max="11448" width="14" style="2" customWidth="1"/>
    <col min="11449" max="11453" width="11.125" style="2" customWidth="1"/>
    <col min="11454" max="11454" width="7.5" style="2" customWidth="1"/>
    <col min="11455" max="11699" width="9" style="2"/>
    <col min="11700" max="11700" width="5.625" style="2" customWidth="1"/>
    <col min="11701" max="11701" width="9" style="2" customWidth="1"/>
    <col min="11702" max="11702" width="10.75" style="2" customWidth="1"/>
    <col min="11703" max="11703" width="13" style="2" customWidth="1"/>
    <col min="11704" max="11704" width="14" style="2" customWidth="1"/>
    <col min="11705" max="11709" width="11.125" style="2" customWidth="1"/>
    <col min="11710" max="11710" width="7.5" style="2" customWidth="1"/>
    <col min="11711" max="11955" width="9" style="2"/>
    <col min="11956" max="11956" width="5.625" style="2" customWidth="1"/>
    <col min="11957" max="11957" width="9" style="2" customWidth="1"/>
    <col min="11958" max="11958" width="10.75" style="2" customWidth="1"/>
    <col min="11959" max="11959" width="13" style="2" customWidth="1"/>
    <col min="11960" max="11960" width="14" style="2" customWidth="1"/>
    <col min="11961" max="11965" width="11.125" style="2" customWidth="1"/>
    <col min="11966" max="11966" width="7.5" style="2" customWidth="1"/>
    <col min="11967" max="12211" width="9" style="2"/>
    <col min="12212" max="12212" width="5.625" style="2" customWidth="1"/>
    <col min="12213" max="12213" width="9" style="2" customWidth="1"/>
    <col min="12214" max="12214" width="10.75" style="2" customWidth="1"/>
    <col min="12215" max="12215" width="13" style="2" customWidth="1"/>
    <col min="12216" max="12216" width="14" style="2" customWidth="1"/>
    <col min="12217" max="12221" width="11.125" style="2" customWidth="1"/>
    <col min="12222" max="12222" width="7.5" style="2" customWidth="1"/>
    <col min="12223" max="12467" width="9" style="2"/>
    <col min="12468" max="12468" width="5.625" style="2" customWidth="1"/>
    <col min="12469" max="12469" width="9" style="2" customWidth="1"/>
    <col min="12470" max="12470" width="10.75" style="2" customWidth="1"/>
    <col min="12471" max="12471" width="13" style="2" customWidth="1"/>
    <col min="12472" max="12472" width="14" style="2" customWidth="1"/>
    <col min="12473" max="12477" width="11.125" style="2" customWidth="1"/>
    <col min="12478" max="12478" width="7.5" style="2" customWidth="1"/>
    <col min="12479" max="12723" width="9" style="2"/>
    <col min="12724" max="12724" width="5.625" style="2" customWidth="1"/>
    <col min="12725" max="12725" width="9" style="2" customWidth="1"/>
    <col min="12726" max="12726" width="10.75" style="2" customWidth="1"/>
    <col min="12727" max="12727" width="13" style="2" customWidth="1"/>
    <col min="12728" max="12728" width="14" style="2" customWidth="1"/>
    <col min="12729" max="12733" width="11.125" style="2" customWidth="1"/>
    <col min="12734" max="12734" width="7.5" style="2" customWidth="1"/>
    <col min="12735" max="12979" width="9" style="2"/>
    <col min="12980" max="12980" width="5.625" style="2" customWidth="1"/>
    <col min="12981" max="12981" width="9" style="2" customWidth="1"/>
    <col min="12982" max="12982" width="10.75" style="2" customWidth="1"/>
    <col min="12983" max="12983" width="13" style="2" customWidth="1"/>
    <col min="12984" max="12984" width="14" style="2" customWidth="1"/>
    <col min="12985" max="12989" width="11.125" style="2" customWidth="1"/>
    <col min="12990" max="12990" width="7.5" style="2" customWidth="1"/>
    <col min="12991" max="13235" width="9" style="2"/>
    <col min="13236" max="13236" width="5.625" style="2" customWidth="1"/>
    <col min="13237" max="13237" width="9" style="2" customWidth="1"/>
    <col min="13238" max="13238" width="10.75" style="2" customWidth="1"/>
    <col min="13239" max="13239" width="13" style="2" customWidth="1"/>
    <col min="13240" max="13240" width="14" style="2" customWidth="1"/>
    <col min="13241" max="13245" width="11.125" style="2" customWidth="1"/>
    <col min="13246" max="13246" width="7.5" style="2" customWidth="1"/>
    <col min="13247" max="13491" width="9" style="2"/>
    <col min="13492" max="13492" width="5.625" style="2" customWidth="1"/>
    <col min="13493" max="13493" width="9" style="2" customWidth="1"/>
    <col min="13494" max="13494" width="10.75" style="2" customWidth="1"/>
    <col min="13495" max="13495" width="13" style="2" customWidth="1"/>
    <col min="13496" max="13496" width="14" style="2" customWidth="1"/>
    <col min="13497" max="13501" width="11.125" style="2" customWidth="1"/>
    <col min="13502" max="13502" width="7.5" style="2" customWidth="1"/>
    <col min="13503" max="13747" width="9" style="2"/>
    <col min="13748" max="13748" width="5.625" style="2" customWidth="1"/>
    <col min="13749" max="13749" width="9" style="2" customWidth="1"/>
    <col min="13750" max="13750" width="10.75" style="2" customWidth="1"/>
    <col min="13751" max="13751" width="13" style="2" customWidth="1"/>
    <col min="13752" max="13752" width="14" style="2" customWidth="1"/>
    <col min="13753" max="13757" width="11.125" style="2" customWidth="1"/>
    <col min="13758" max="13758" width="7.5" style="2" customWidth="1"/>
    <col min="13759" max="14003" width="9" style="2"/>
    <col min="14004" max="14004" width="5.625" style="2" customWidth="1"/>
    <col min="14005" max="14005" width="9" style="2" customWidth="1"/>
    <col min="14006" max="14006" width="10.75" style="2" customWidth="1"/>
    <col min="14007" max="14007" width="13" style="2" customWidth="1"/>
    <col min="14008" max="14008" width="14" style="2" customWidth="1"/>
    <col min="14009" max="14013" width="11.125" style="2" customWidth="1"/>
    <col min="14014" max="14014" width="7.5" style="2" customWidth="1"/>
    <col min="14015" max="14259" width="9" style="2"/>
    <col min="14260" max="14260" width="5.625" style="2" customWidth="1"/>
    <col min="14261" max="14261" width="9" style="2" customWidth="1"/>
    <col min="14262" max="14262" width="10.75" style="2" customWidth="1"/>
    <col min="14263" max="14263" width="13" style="2" customWidth="1"/>
    <col min="14264" max="14264" width="14" style="2" customWidth="1"/>
    <col min="14265" max="14269" width="11.125" style="2" customWidth="1"/>
    <col min="14270" max="14270" width="7.5" style="2" customWidth="1"/>
    <col min="14271" max="14515" width="9" style="2"/>
    <col min="14516" max="14516" width="5.625" style="2" customWidth="1"/>
    <col min="14517" max="14517" width="9" style="2" customWidth="1"/>
    <col min="14518" max="14518" width="10.75" style="2" customWidth="1"/>
    <col min="14519" max="14519" width="13" style="2" customWidth="1"/>
    <col min="14520" max="14520" width="14" style="2" customWidth="1"/>
    <col min="14521" max="14525" width="11.125" style="2" customWidth="1"/>
    <col min="14526" max="14526" width="7.5" style="2" customWidth="1"/>
    <col min="14527" max="14771" width="9" style="2"/>
    <col min="14772" max="14772" width="5.625" style="2" customWidth="1"/>
    <col min="14773" max="14773" width="9" style="2" customWidth="1"/>
    <col min="14774" max="14774" width="10.75" style="2" customWidth="1"/>
    <col min="14775" max="14775" width="13" style="2" customWidth="1"/>
    <col min="14776" max="14776" width="14" style="2" customWidth="1"/>
    <col min="14777" max="14781" width="11.125" style="2" customWidth="1"/>
    <col min="14782" max="14782" width="7.5" style="2" customWidth="1"/>
    <col min="14783" max="15027" width="9" style="2"/>
    <col min="15028" max="15028" width="5.625" style="2" customWidth="1"/>
    <col min="15029" max="15029" width="9" style="2" customWidth="1"/>
    <col min="15030" max="15030" width="10.75" style="2" customWidth="1"/>
    <col min="15031" max="15031" width="13" style="2" customWidth="1"/>
    <col min="15032" max="15032" width="14" style="2" customWidth="1"/>
    <col min="15033" max="15037" width="11.125" style="2" customWidth="1"/>
    <col min="15038" max="15038" width="7.5" style="2" customWidth="1"/>
    <col min="15039" max="15283" width="9" style="2"/>
    <col min="15284" max="15284" width="5.625" style="2" customWidth="1"/>
    <col min="15285" max="15285" width="9" style="2" customWidth="1"/>
    <col min="15286" max="15286" width="10.75" style="2" customWidth="1"/>
    <col min="15287" max="15287" width="13" style="2" customWidth="1"/>
    <col min="15288" max="15288" width="14" style="2" customWidth="1"/>
    <col min="15289" max="15293" width="11.125" style="2" customWidth="1"/>
    <col min="15294" max="15294" width="7.5" style="2" customWidth="1"/>
    <col min="15295" max="15539" width="9" style="2"/>
    <col min="15540" max="15540" width="5.625" style="2" customWidth="1"/>
    <col min="15541" max="15541" width="9" style="2" customWidth="1"/>
    <col min="15542" max="15542" width="10.75" style="2" customWidth="1"/>
    <col min="15543" max="15543" width="13" style="2" customWidth="1"/>
    <col min="15544" max="15544" width="14" style="2" customWidth="1"/>
    <col min="15545" max="15549" width="11.125" style="2" customWidth="1"/>
    <col min="15550" max="15550" width="7.5" style="2" customWidth="1"/>
    <col min="15551" max="15795" width="9" style="2"/>
    <col min="15796" max="15796" width="5.625" style="2" customWidth="1"/>
    <col min="15797" max="15797" width="9" style="2" customWidth="1"/>
    <col min="15798" max="15798" width="10.75" style="2" customWidth="1"/>
    <col min="15799" max="15799" width="13" style="2" customWidth="1"/>
    <col min="15800" max="15800" width="14" style="2" customWidth="1"/>
    <col min="15801" max="15805" width="11.125" style="2" customWidth="1"/>
    <col min="15806" max="15806" width="7.5" style="2" customWidth="1"/>
    <col min="15807" max="16051" width="9" style="2"/>
    <col min="16052" max="16052" width="5.625" style="2" customWidth="1"/>
    <col min="16053" max="16053" width="9" style="2" customWidth="1"/>
    <col min="16054" max="16054" width="10.75" style="2" customWidth="1"/>
    <col min="16055" max="16055" width="13" style="2" customWidth="1"/>
    <col min="16056" max="16056" width="14" style="2" customWidth="1"/>
    <col min="16057" max="16061" width="11.125" style="2" customWidth="1"/>
    <col min="16062" max="16062" width="7.5" style="2" customWidth="1"/>
    <col min="16063" max="16384" width="9" style="2"/>
  </cols>
  <sheetData>
    <row r="1" spans="1:48" ht="21" customHeight="1">
      <c r="A1" s="2648" t="s">
        <v>17</v>
      </c>
      <c r="B1" s="2648"/>
      <c r="C1" s="2648"/>
      <c r="D1" s="2648"/>
      <c r="E1" s="2648"/>
    </row>
    <row r="2" spans="1:48" ht="24" customHeight="1">
      <c r="A2" s="2638" t="s">
        <v>1085</v>
      </c>
      <c r="B2" s="2638"/>
      <c r="C2" s="2638"/>
      <c r="D2" s="2638"/>
      <c r="E2" s="2638"/>
      <c r="F2" s="32"/>
      <c r="M2" s="9" t="s">
        <v>1141</v>
      </c>
      <c r="AC2" s="2359" t="s">
        <v>437</v>
      </c>
      <c r="AD2" s="2359" t="s">
        <v>438</v>
      </c>
      <c r="AE2" s="2359" t="s">
        <v>439</v>
      </c>
      <c r="AF2" s="610" t="s">
        <v>440</v>
      </c>
      <c r="AG2" s="611" t="s">
        <v>441</v>
      </c>
      <c r="AH2" s="611" t="s">
        <v>443</v>
      </c>
      <c r="AI2" s="611" t="s">
        <v>445</v>
      </c>
      <c r="AJ2" s="611" t="s">
        <v>447</v>
      </c>
      <c r="AK2" s="2359" t="s">
        <v>449</v>
      </c>
    </row>
    <row r="3" spans="1:48" ht="39.950000000000003" customHeight="1">
      <c r="A3" s="736" t="s">
        <v>0</v>
      </c>
      <c r="B3" s="736" t="s">
        <v>1</v>
      </c>
      <c r="C3" s="737" t="s">
        <v>2</v>
      </c>
      <c r="D3" s="737" t="s">
        <v>3</v>
      </c>
      <c r="E3" s="737" t="s">
        <v>4</v>
      </c>
      <c r="F3" s="736" t="s">
        <v>1222</v>
      </c>
      <c r="G3" s="736" t="s">
        <v>156</v>
      </c>
      <c r="H3" s="736" t="s">
        <v>157</v>
      </c>
      <c r="I3" s="736" t="s">
        <v>158</v>
      </c>
      <c r="J3" s="736" t="s">
        <v>159</v>
      </c>
      <c r="K3" s="1079" t="s">
        <v>139</v>
      </c>
      <c r="L3" s="2023"/>
      <c r="M3" s="910" t="s">
        <v>1223</v>
      </c>
      <c r="N3" s="910" t="s">
        <v>153</v>
      </c>
      <c r="O3" s="910" t="s">
        <v>152</v>
      </c>
      <c r="P3" s="910" t="s">
        <v>154</v>
      </c>
      <c r="Q3" s="910" t="s">
        <v>155</v>
      </c>
      <c r="R3" s="911" t="s">
        <v>160</v>
      </c>
      <c r="S3" s="2024"/>
      <c r="T3" s="2024"/>
      <c r="U3" s="2024"/>
      <c r="V3" s="2024"/>
      <c r="W3" s="2024"/>
      <c r="X3" s="2024"/>
      <c r="Y3" s="2025"/>
      <c r="AC3" s="2359"/>
      <c r="AD3" s="2359"/>
      <c r="AE3" s="2359"/>
      <c r="AF3" s="611" t="s">
        <v>632</v>
      </c>
      <c r="AG3" s="611" t="s">
        <v>442</v>
      </c>
      <c r="AH3" s="611" t="s">
        <v>444</v>
      </c>
      <c r="AI3" s="611" t="s">
        <v>446</v>
      </c>
      <c r="AJ3" s="611" t="s">
        <v>448</v>
      </c>
      <c r="AK3" s="2359"/>
    </row>
    <row r="4" spans="1:48" ht="21.6" customHeight="1">
      <c r="A4" s="2659" t="s">
        <v>760</v>
      </c>
      <c r="B4" s="1963" t="s">
        <v>6</v>
      </c>
      <c r="C4" s="1963"/>
      <c r="D4" s="1963"/>
      <c r="E4" s="1963"/>
      <c r="F4" s="715">
        <f>SUM(F5,F22)</f>
        <v>15712</v>
      </c>
      <c r="G4" s="715">
        <f>SUM(G5,G22)</f>
        <v>15588</v>
      </c>
      <c r="H4" s="715">
        <f>SUM(H5,H22)</f>
        <v>16074</v>
      </c>
      <c r="I4" s="715">
        <f>SUM(I5,I22)</f>
        <v>15959</v>
      </c>
      <c r="J4" s="715">
        <f>SUM(J5,J22)</f>
        <v>19730</v>
      </c>
      <c r="K4" s="1080"/>
      <c r="L4" s="17"/>
      <c r="M4" s="173"/>
      <c r="N4" s="103"/>
      <c r="O4" s="103"/>
      <c r="P4" s="103"/>
      <c r="Q4" s="103"/>
      <c r="R4" s="103"/>
      <c r="S4" s="17"/>
      <c r="T4" s="908">
        <f>+J4-F4</f>
        <v>4018</v>
      </c>
      <c r="U4" s="908">
        <f>+'사회적유입인구의 처리구역별 배분(적용)'!Y19</f>
        <v>4877</v>
      </c>
      <c r="V4" s="17">
        <f>SUM(R4:R229)</f>
        <v>0</v>
      </c>
      <c r="W4" s="17"/>
      <c r="X4" s="908">
        <f>+T4-U4-V4</f>
        <v>-859</v>
      </c>
      <c r="Y4" s="2026"/>
      <c r="AC4" s="2643" t="s">
        <v>483</v>
      </c>
      <c r="AD4" s="2643"/>
      <c r="AE4" s="2643"/>
      <c r="AF4" s="612" t="e">
        <f>+AF56+AF74+AF79+AF82+AF84+AF117+AF130+AF136</f>
        <v>#REF!</v>
      </c>
      <c r="AG4" s="612" t="e">
        <f>+AG56+AG74+AG79+AG82+AG84+AG117+AG130+AG136</f>
        <v>#REF!</v>
      </c>
      <c r="AH4" s="612" t="e">
        <f>+AH56+AH74+AH79+AH82+AH84+AH117+AH130+AH136</f>
        <v>#REF!</v>
      </c>
      <c r="AI4" s="612" t="e">
        <f>+AI56+AI74+AI79+AI82+AI84+AI117+AI130+AI136</f>
        <v>#REF!</v>
      </c>
      <c r="AJ4" s="612" t="e">
        <f>+AJ56+AJ74+AJ79+AJ82+AJ84+AJ117+AJ130+AJ136</f>
        <v>#REF!</v>
      </c>
      <c r="AK4" s="613"/>
      <c r="AN4" s="2" t="s">
        <v>543</v>
      </c>
    </row>
    <row r="5" spans="1:48" ht="21.6" customHeight="1">
      <c r="A5" s="2659"/>
      <c r="B5" s="2663" t="s">
        <v>761</v>
      </c>
      <c r="C5" s="2649" t="s">
        <v>7</v>
      </c>
      <c r="D5" s="2649"/>
      <c r="E5" s="2649"/>
      <c r="F5" s="715">
        <f>SUM(F6:F21)</f>
        <v>7263</v>
      </c>
      <c r="G5" s="715">
        <f>SUM(G6:G21)</f>
        <v>7451</v>
      </c>
      <c r="H5" s="715">
        <f>SUM(H6:H21)</f>
        <v>7879</v>
      </c>
      <c r="I5" s="715">
        <f>SUM(I6:I21)</f>
        <v>7825</v>
      </c>
      <c r="J5" s="715">
        <f>SUM(J6:J21)</f>
        <v>9521</v>
      </c>
      <c r="K5" s="1080"/>
      <c r="L5" s="17"/>
      <c r="M5" s="103"/>
      <c r="N5" s="103"/>
      <c r="O5" s="103"/>
      <c r="P5" s="103"/>
      <c r="Q5" s="103"/>
      <c r="R5" s="103"/>
      <c r="S5" s="17"/>
      <c r="T5" s="17"/>
      <c r="U5" s="17"/>
      <c r="V5" s="17"/>
      <c r="W5" s="17"/>
      <c r="X5" s="17"/>
      <c r="Y5" s="2026"/>
      <c r="AC5" s="642" t="s">
        <v>450</v>
      </c>
      <c r="AD5" s="646" t="s">
        <v>481</v>
      </c>
      <c r="AE5" s="31" t="s">
        <v>451</v>
      </c>
      <c r="AF5" s="614">
        <f>+F5</f>
        <v>7263</v>
      </c>
      <c r="AG5" s="614">
        <f t="shared" ref="AG5:AJ5" si="0">+G5</f>
        <v>7451</v>
      </c>
      <c r="AH5" s="614">
        <f t="shared" si="0"/>
        <v>7879</v>
      </c>
      <c r="AI5" s="614">
        <f t="shared" si="0"/>
        <v>7825</v>
      </c>
      <c r="AJ5" s="614">
        <f t="shared" si="0"/>
        <v>9521</v>
      </c>
      <c r="AK5" s="613"/>
      <c r="AN5" s="31" t="s">
        <v>539</v>
      </c>
      <c r="AO5" s="95" t="e">
        <f>SUM(AO6:AO16)</f>
        <v>#VALUE!</v>
      </c>
      <c r="AP5" s="95" t="e">
        <f t="shared" ref="AP5:AS5" si="1">SUM(AP6:AP16)</f>
        <v>#VALUE!</v>
      </c>
      <c r="AQ5" s="95" t="e">
        <f t="shared" si="1"/>
        <v>#VALUE!</v>
      </c>
      <c r="AR5" s="95" t="e">
        <f t="shared" si="1"/>
        <v>#VALUE!</v>
      </c>
      <c r="AS5" s="95" t="e">
        <f t="shared" si="1"/>
        <v>#VALUE!</v>
      </c>
    </row>
    <row r="6" spans="1:48" ht="21.6" customHeight="1">
      <c r="A6" s="2659"/>
      <c r="B6" s="2663"/>
      <c r="C6" s="2666" t="s">
        <v>691</v>
      </c>
      <c r="D6" s="2656" t="s">
        <v>763</v>
      </c>
      <c r="E6" s="1964" t="s">
        <v>786</v>
      </c>
      <c r="F6" s="1964">
        <f>+'계획처리구역 인구배분(출력x)'!H6-M6</f>
        <v>1901</v>
      </c>
      <c r="G6" s="1964">
        <f>+'계획처리구역 인구배분(출력x)'!L6-N6</f>
        <v>1796</v>
      </c>
      <c r="H6" s="1964">
        <f>+'계획처리구역 인구배분(출력x)'!Q6-O6</f>
        <v>1794</v>
      </c>
      <c r="I6" s="1964">
        <f>+'계획처리구역 인구배분(출력x)'!V6-P6</f>
        <v>1780</v>
      </c>
      <c r="J6" s="1964">
        <f>+'계획처리구역 인구배분(출력x)'!AA6-Q6</f>
        <v>2240</v>
      </c>
      <c r="K6" s="1080"/>
      <c r="L6" s="17"/>
      <c r="M6" s="103"/>
      <c r="N6" s="103"/>
      <c r="O6" s="103"/>
      <c r="P6" s="103"/>
      <c r="Q6" s="103"/>
      <c r="R6" s="103"/>
      <c r="S6" s="17"/>
      <c r="T6" s="17"/>
      <c r="U6" s="17"/>
      <c r="V6" s="17"/>
      <c r="W6" s="17"/>
      <c r="X6" s="17"/>
      <c r="Y6" s="2026"/>
      <c r="AC6" s="643"/>
      <c r="AD6" s="647"/>
      <c r="AE6" s="31" t="s">
        <v>596</v>
      </c>
      <c r="AF6" s="614">
        <v>0</v>
      </c>
      <c r="AG6" s="614">
        <v>0</v>
      </c>
      <c r="AH6" s="614">
        <v>0</v>
      </c>
      <c r="AI6" s="614">
        <v>0</v>
      </c>
      <c r="AJ6" s="614">
        <v>0</v>
      </c>
      <c r="AK6" s="650"/>
      <c r="AN6" s="31" t="s">
        <v>540</v>
      </c>
      <c r="AO6" s="95" t="e">
        <f>+F5+F16+F19+F27+F40-F68+F69+F71+F74-F75+F79+F81+F83+F85+F87-F92+F94+F99+F109+#REF!+#REF!</f>
        <v>#VALUE!</v>
      </c>
      <c r="AP6" s="714" t="e">
        <f>+G5+G16+G19+G27+G40-G68+G69+G71+G74-G75+G79+G81+G83+G85+G87-G92+G94+G99+G109+#REF!+#REF!</f>
        <v>#VALUE!</v>
      </c>
      <c r="AQ6" s="714" t="e">
        <f>+H5+H16+H19+H27+H40-H68+H69+H71+H74-H75+H79+H81+H83+H85+H87-H92+H94+H99+H109+#REF!+#REF!</f>
        <v>#VALUE!</v>
      </c>
      <c r="AR6" s="714" t="e">
        <f>+I5+I16+I19+I27+I40-I68+I69+I71+I74-I75+I79+I81+I83+I85+I87-I92+I94+I99+I109+#REF!+#REF!</f>
        <v>#VALUE!</v>
      </c>
      <c r="AS6" s="714" t="e">
        <f>+J5+J16+J19+J27+J40-J68+J69+J71+J74-J75+J79+J81+J83+J85+J87-J92+J94+J99+J109+#REF!+#REF!</f>
        <v>#VALUE!</v>
      </c>
    </row>
    <row r="7" spans="1:48" ht="21.6" customHeight="1">
      <c r="A7" s="2659"/>
      <c r="B7" s="2663"/>
      <c r="C7" s="2667"/>
      <c r="D7" s="2658"/>
      <c r="E7" s="1964" t="s">
        <v>765</v>
      </c>
      <c r="F7" s="1964">
        <f>+'계획처리구역 인구배분(출력x)'!H7-M7</f>
        <v>1894</v>
      </c>
      <c r="G7" s="1964">
        <f>+'계획처리구역 인구배분(출력x)'!L7-N7</f>
        <v>1790</v>
      </c>
      <c r="H7" s="1964">
        <f>+'계획처리구역 인구배분(출력x)'!Q7-O7</f>
        <v>1788</v>
      </c>
      <c r="I7" s="1964">
        <f>+'계획처리구역 인구배분(출력x)'!V7-P7</f>
        <v>1774</v>
      </c>
      <c r="J7" s="1964">
        <f>+'계획처리구역 인구배분(출력x)'!AA7-Q7</f>
        <v>2232</v>
      </c>
      <c r="K7" s="1080"/>
      <c r="L7" s="17"/>
      <c r="M7" s="103"/>
      <c r="N7" s="103"/>
      <c r="O7" s="103"/>
      <c r="P7" s="103"/>
      <c r="Q7" s="103"/>
      <c r="R7" s="103"/>
      <c r="S7" s="17"/>
      <c r="T7" s="17"/>
      <c r="U7" s="17"/>
      <c r="V7" s="17"/>
      <c r="W7" s="17"/>
      <c r="X7" s="17"/>
      <c r="Y7" s="2026"/>
      <c r="AC7" s="643"/>
      <c r="AD7" s="647"/>
      <c r="AE7" s="31" t="s">
        <v>452</v>
      </c>
      <c r="AF7" s="614">
        <f>+F16</f>
        <v>254</v>
      </c>
      <c r="AG7" s="614">
        <f>+G16</f>
        <v>240</v>
      </c>
      <c r="AH7" s="614">
        <f>+H16</f>
        <v>240</v>
      </c>
      <c r="AI7" s="614">
        <f>+I16</f>
        <v>238</v>
      </c>
      <c r="AJ7" s="614">
        <f>+J16</f>
        <v>299</v>
      </c>
      <c r="AK7" s="613"/>
      <c r="AN7" s="31" t="s">
        <v>486</v>
      </c>
      <c r="AO7" s="95" t="e">
        <f>+F200+#REF!</f>
        <v>#REF!</v>
      </c>
      <c r="AP7" s="714" t="e">
        <f>+G200+#REF!</f>
        <v>#REF!</v>
      </c>
      <c r="AQ7" s="714" t="e">
        <f>+H200+#REF!</f>
        <v>#REF!</v>
      </c>
      <c r="AR7" s="714" t="e">
        <f>+I200+#REF!</f>
        <v>#REF!</v>
      </c>
      <c r="AS7" s="714" t="e">
        <f>+J200+#REF!</f>
        <v>#REF!</v>
      </c>
      <c r="AT7" s="95"/>
      <c r="AV7" s="2" t="s">
        <v>619</v>
      </c>
    </row>
    <row r="8" spans="1:48" ht="21.6" customHeight="1">
      <c r="A8" s="2659"/>
      <c r="B8" s="2663"/>
      <c r="C8" s="2667"/>
      <c r="D8" s="2658"/>
      <c r="E8" s="1964" t="s">
        <v>767</v>
      </c>
      <c r="F8" s="1964">
        <f>+'계획처리구역 인구배분(출력x)'!H8-M8</f>
        <v>1144</v>
      </c>
      <c r="G8" s="1964">
        <f>+'계획처리구역 인구배분(출력x)'!L8-N8</f>
        <v>1081</v>
      </c>
      <c r="H8" s="1964">
        <f>+'계획처리구역 인구배분(출력x)'!Q8-O8</f>
        <v>1080</v>
      </c>
      <c r="I8" s="1964">
        <f>+'계획처리구역 인구배분(출력x)'!V8-P8</f>
        <v>1071</v>
      </c>
      <c r="J8" s="1964">
        <f>+'계획처리구역 인구배분(출력x)'!AA8-Q8</f>
        <v>1348</v>
      </c>
      <c r="K8" s="1080"/>
      <c r="L8" s="17"/>
      <c r="M8" s="103"/>
      <c r="N8" s="103"/>
      <c r="O8" s="103"/>
      <c r="P8" s="103"/>
      <c r="Q8" s="103"/>
      <c r="R8" s="103"/>
      <c r="S8" s="17"/>
      <c r="T8" s="17"/>
      <c r="U8" s="17"/>
      <c r="V8" s="17"/>
      <c r="W8" s="17"/>
      <c r="X8" s="17"/>
      <c r="Y8" s="2026"/>
      <c r="AC8" s="643"/>
      <c r="AD8" s="647"/>
      <c r="AE8" s="31" t="s">
        <v>453</v>
      </c>
      <c r="AF8" s="614">
        <f>+F19</f>
        <v>0</v>
      </c>
      <c r="AG8" s="614">
        <f>+G19</f>
        <v>0</v>
      </c>
      <c r="AH8" s="614">
        <f>+H19</f>
        <v>168</v>
      </c>
      <c r="AI8" s="614">
        <f>+I19</f>
        <v>168</v>
      </c>
      <c r="AJ8" s="614">
        <f>+J19</f>
        <v>163</v>
      </c>
      <c r="AK8" s="613"/>
      <c r="AN8" s="31" t="s">
        <v>487</v>
      </c>
      <c r="AO8" s="95" t="e">
        <f>+F92+F128+F134+F136+F139+F144+F146+F148+F150+F152+F164+F167+#REF!+#REF!+#REF!+#REF!</f>
        <v>#VALUE!</v>
      </c>
      <c r="AP8" s="714" t="e">
        <f>+G92+G128+G134+G136+G139+G144+G146+G148+G150+G152+G164+G167+#REF!+#REF!+#REF!+#REF!</f>
        <v>#VALUE!</v>
      </c>
      <c r="AQ8" s="714" t="e">
        <f>+H92+H128+H134+H136+H139+H144+H146+H148+H150+H152+H164+H167+#REF!+#REF!+#REF!+#REF!</f>
        <v>#VALUE!</v>
      </c>
      <c r="AR8" s="714" t="e">
        <f>+I92+I128+I134+I136+I139+I144+I146+I148+I150+I152+I164+I167+#REF!+#REF!+#REF!+#REF!</f>
        <v>#VALUE!</v>
      </c>
      <c r="AS8" s="714" t="e">
        <f>+J92+J128+J134+J136+J139+J144+J146+J148+J150+J152+J164+J167+#REF!+#REF!+#REF!+#REF!</f>
        <v>#VALUE!</v>
      </c>
    </row>
    <row r="9" spans="1:48" ht="21.6" customHeight="1">
      <c r="A9" s="2659"/>
      <c r="B9" s="2663"/>
      <c r="C9" s="2667"/>
      <c r="D9" s="2658"/>
      <c r="E9" s="1964" t="s">
        <v>769</v>
      </c>
      <c r="F9" s="1964">
        <f>+'계획처리구역 인구배분(출력x)'!H9-M9</f>
        <v>913</v>
      </c>
      <c r="G9" s="1964">
        <f>+'계획처리구역 인구배분(출력x)'!L9-N9</f>
        <v>863</v>
      </c>
      <c r="H9" s="1964">
        <f>+'계획처리구역 인구배분(출력x)'!Q9-O9</f>
        <v>862</v>
      </c>
      <c r="I9" s="1964">
        <f>+'계획처리구역 인구배분(출력x)'!V9-P9</f>
        <v>855</v>
      </c>
      <c r="J9" s="1964">
        <f>+'계획처리구역 인구배분(출력x)'!AA9-Q9</f>
        <v>1076</v>
      </c>
      <c r="K9" s="1080" t="s">
        <v>1300</v>
      </c>
      <c r="L9" s="17"/>
      <c r="M9" s="103"/>
      <c r="N9" s="103"/>
      <c r="O9" s="103"/>
      <c r="P9" s="103"/>
      <c r="Q9" s="103"/>
      <c r="R9" s="103"/>
      <c r="S9" s="17"/>
      <c r="T9" s="17"/>
      <c r="U9" s="17"/>
      <c r="V9" s="17"/>
      <c r="W9" s="17"/>
      <c r="X9" s="17"/>
      <c r="Y9" s="2026"/>
      <c r="AC9" s="643"/>
      <c r="AD9" s="647"/>
      <c r="AE9" s="31" t="s">
        <v>454</v>
      </c>
      <c r="AF9" s="614">
        <f>+F27</f>
        <v>785</v>
      </c>
      <c r="AG9" s="614">
        <f>+G27</f>
        <v>742</v>
      </c>
      <c r="AH9" s="614">
        <f>+H27</f>
        <v>741</v>
      </c>
      <c r="AI9" s="614">
        <f>+I27</f>
        <v>735</v>
      </c>
      <c r="AJ9" s="614">
        <f>+J27</f>
        <v>925</v>
      </c>
      <c r="AK9" s="613"/>
      <c r="AN9" s="31" t="s">
        <v>488</v>
      </c>
      <c r="AO9" s="95" t="e">
        <f>+F68+F112+F114+F121+F123+#REF!+#REF!</f>
        <v>#REF!</v>
      </c>
      <c r="AP9" s="714" t="e">
        <f>+G68+G112+G114+G121+G123+#REF!+#REF!</f>
        <v>#REF!</v>
      </c>
      <c r="AQ9" s="714" t="e">
        <f>+H68+H112+H114+H121+H123+#REF!+#REF!</f>
        <v>#REF!</v>
      </c>
      <c r="AR9" s="714" t="e">
        <f>+I68+I112+I114+I121+I123+#REF!+#REF!</f>
        <v>#REF!</v>
      </c>
      <c r="AS9" s="714" t="e">
        <f>+J68+J112+J114+J121+J123+#REF!+#REF!</f>
        <v>#REF!</v>
      </c>
    </row>
    <row r="10" spans="1:48" s="712" customFormat="1" ht="21.6" customHeight="1">
      <c r="A10" s="2659"/>
      <c r="B10" s="2663"/>
      <c r="C10" s="2667"/>
      <c r="D10" s="2658"/>
      <c r="E10" s="1964" t="s">
        <v>1268</v>
      </c>
      <c r="F10" s="1964">
        <f>+'계획처리구역 인구배분(출력x)'!H10-M10</f>
        <v>0</v>
      </c>
      <c r="G10" s="1964">
        <f>+'계획처리구역 인구배분(출력x)'!L10-N10</f>
        <v>144</v>
      </c>
      <c r="H10" s="1964">
        <f>+'계획처리구역 인구배분(출력x)'!Q10-O10</f>
        <v>144</v>
      </c>
      <c r="I10" s="1964">
        <f>+'계획처리구역 인구배분(출력x)'!V10-P10</f>
        <v>144</v>
      </c>
      <c r="J10" s="1964">
        <f>+'계획처리구역 인구배분(출력x)'!AA10-Q10</f>
        <v>144</v>
      </c>
      <c r="K10" s="1080" t="str">
        <f>'계획처리구역 인구배분(출력x)'!AD10</f>
        <v>㈜송정건설</v>
      </c>
      <c r="L10" s="17" t="s">
        <v>768</v>
      </c>
      <c r="M10" s="103"/>
      <c r="N10" s="103"/>
      <c r="O10" s="103"/>
      <c r="P10" s="103"/>
      <c r="Q10" s="103"/>
      <c r="R10" s="103"/>
      <c r="S10" s="17"/>
      <c r="T10" s="17"/>
      <c r="U10" s="17"/>
      <c r="V10" s="17"/>
      <c r="W10" s="17"/>
      <c r="X10" s="17"/>
      <c r="Y10" s="2026"/>
      <c r="Z10" s="9"/>
      <c r="AC10" s="643"/>
      <c r="AD10" s="647"/>
      <c r="AE10" s="713"/>
      <c r="AF10" s="614"/>
      <c r="AG10" s="614"/>
      <c r="AH10" s="614"/>
      <c r="AI10" s="614"/>
      <c r="AJ10" s="614"/>
      <c r="AK10" s="1032"/>
      <c r="AN10" s="713"/>
      <c r="AO10" s="714"/>
      <c r="AP10" s="714"/>
      <c r="AQ10" s="714"/>
      <c r="AR10" s="714"/>
      <c r="AS10" s="714"/>
    </row>
    <row r="11" spans="1:48" s="712" customFormat="1" ht="21.6" customHeight="1">
      <c r="A11" s="2659"/>
      <c r="B11" s="2663"/>
      <c r="C11" s="2667"/>
      <c r="D11" s="2658"/>
      <c r="E11" s="1964" t="s">
        <v>1268</v>
      </c>
      <c r="F11" s="1964">
        <f>+'계획처리구역 인구배분(출력x)'!H11-M11</f>
        <v>0</v>
      </c>
      <c r="G11" s="1964">
        <f>+'계획처리구역 인구배분(출력x)'!L11-N11</f>
        <v>46</v>
      </c>
      <c r="H11" s="1964">
        <f>+'계획처리구역 인구배분(출력x)'!Q11-O11</f>
        <v>46</v>
      </c>
      <c r="I11" s="1964">
        <f>+'계획처리구역 인구배분(출력x)'!V11-P11</f>
        <v>46</v>
      </c>
      <c r="J11" s="1964">
        <f>+'계획처리구역 인구배분(출력x)'!AA11-Q11</f>
        <v>46</v>
      </c>
      <c r="K11" s="1080" t="str">
        <f>'계획처리구역 인구배분(출력x)'!AD11</f>
        <v>미소건설</v>
      </c>
      <c r="L11" s="17" t="s">
        <v>768</v>
      </c>
      <c r="M11" s="103"/>
      <c r="N11" s="103"/>
      <c r="O11" s="103"/>
      <c r="P11" s="103"/>
      <c r="Q11" s="103"/>
      <c r="R11" s="103"/>
      <c r="S11" s="17"/>
      <c r="T11" s="17"/>
      <c r="U11" s="17"/>
      <c r="V11" s="17"/>
      <c r="W11" s="17"/>
      <c r="X11" s="17"/>
      <c r="Y11" s="2026"/>
      <c r="Z11" s="9"/>
      <c r="AC11" s="643"/>
      <c r="AD11" s="647"/>
      <c r="AE11" s="713"/>
      <c r="AF11" s="614"/>
      <c r="AG11" s="614"/>
      <c r="AH11" s="614"/>
      <c r="AI11" s="614"/>
      <c r="AJ11" s="614"/>
      <c r="AK11" s="1032"/>
      <c r="AN11" s="713"/>
      <c r="AO11" s="714"/>
      <c r="AP11" s="714"/>
      <c r="AQ11" s="714"/>
      <c r="AR11" s="714"/>
      <c r="AS11" s="714"/>
    </row>
    <row r="12" spans="1:48" s="712" customFormat="1" ht="21.6" customHeight="1">
      <c r="A12" s="2659"/>
      <c r="B12" s="2663"/>
      <c r="C12" s="2667"/>
      <c r="D12" s="2657"/>
      <c r="E12" s="1964" t="s">
        <v>1268</v>
      </c>
      <c r="F12" s="1964">
        <f>+'계획처리구역 인구배분(출력x)'!H12-M12</f>
        <v>0</v>
      </c>
      <c r="G12" s="1964">
        <f>+'계획처리구역 인구배분(출력x)'!L12-N12</f>
        <v>15</v>
      </c>
      <c r="H12" s="1964">
        <f>+'계획처리구역 인구배분(출력x)'!Q12-O12</f>
        <v>15</v>
      </c>
      <c r="I12" s="1964">
        <f>+'계획처리구역 인구배분(출력x)'!V12-P12</f>
        <v>15</v>
      </c>
      <c r="J12" s="1964">
        <f>+'계획처리구역 인구배분(출력x)'!AA12-Q12</f>
        <v>15</v>
      </c>
      <c r="K12" s="1080" t="str">
        <f>'계획처리구역 인구배분(출력x)'!AD12</f>
        <v>신 부영아파트</v>
      </c>
      <c r="L12" s="17" t="s">
        <v>764</v>
      </c>
      <c r="M12" s="103"/>
      <c r="N12" s="103"/>
      <c r="O12" s="103"/>
      <c r="P12" s="103"/>
      <c r="Q12" s="103"/>
      <c r="R12" s="103"/>
      <c r="S12" s="17"/>
      <c r="T12" s="17"/>
      <c r="U12" s="17"/>
      <c r="V12" s="17"/>
      <c r="W12" s="17"/>
      <c r="X12" s="17"/>
      <c r="Y12" s="2026"/>
      <c r="Z12" s="9"/>
      <c r="AC12" s="643"/>
      <c r="AD12" s="647"/>
      <c r="AE12" s="713"/>
      <c r="AF12" s="614"/>
      <c r="AG12" s="614"/>
      <c r="AH12" s="614"/>
      <c r="AI12" s="614"/>
      <c r="AJ12" s="614"/>
      <c r="AK12" s="1032"/>
      <c r="AN12" s="713"/>
      <c r="AO12" s="714"/>
      <c r="AP12" s="714"/>
      <c r="AQ12" s="714"/>
      <c r="AR12" s="714"/>
      <c r="AS12" s="714"/>
    </row>
    <row r="13" spans="1:48" ht="21.6" customHeight="1">
      <c r="A13" s="2659"/>
      <c r="B13" s="2663"/>
      <c r="C13" s="2667"/>
      <c r="D13" s="2656" t="s">
        <v>770</v>
      </c>
      <c r="E13" s="1964" t="s">
        <v>772</v>
      </c>
      <c r="F13" s="1964">
        <f>+'계획처리구역 인구배분(출력x)'!H13-M13</f>
        <v>227</v>
      </c>
      <c r="G13" s="1964">
        <f>+'계획처리구역 인구배분(출력x)'!L13-N13</f>
        <v>215</v>
      </c>
      <c r="H13" s="1964">
        <f>+'계획처리구역 인구배분(출력x)'!Q13-O13</f>
        <v>214</v>
      </c>
      <c r="I13" s="1964">
        <f>+'계획처리구역 인구배분(출력x)'!V13-P13</f>
        <v>213</v>
      </c>
      <c r="J13" s="1964">
        <f>+'계획처리구역 인구배분(출력x)'!AA13-Q13</f>
        <v>267</v>
      </c>
      <c r="K13" s="1080"/>
      <c r="L13" s="17"/>
      <c r="M13" s="103"/>
      <c r="N13" s="103"/>
      <c r="O13" s="103"/>
      <c r="P13" s="103"/>
      <c r="Q13" s="103"/>
      <c r="R13" s="103"/>
      <c r="S13" s="17"/>
      <c r="T13" s="17"/>
      <c r="U13" s="17"/>
      <c r="V13" s="17"/>
      <c r="W13" s="17"/>
      <c r="X13" s="17"/>
      <c r="Y13" s="2026"/>
      <c r="AC13" s="643"/>
      <c r="AD13" s="647"/>
      <c r="AE13" s="31" t="s">
        <v>455</v>
      </c>
      <c r="AF13" s="614" t="str">
        <f>+F40</f>
        <v>현재
（2016）</v>
      </c>
      <c r="AG13" s="614" t="str">
        <f>+G40</f>
        <v>１단계
（2020）</v>
      </c>
      <c r="AH13" s="614" t="str">
        <f>+H40</f>
        <v>２단계
（2025）</v>
      </c>
      <c r="AI13" s="614" t="str">
        <f>+I40</f>
        <v>３단계
（2030）</v>
      </c>
      <c r="AJ13" s="614" t="str">
        <f>+J40</f>
        <v>４단계
（2035）</v>
      </c>
      <c r="AK13" s="613"/>
      <c r="AN13" s="31" t="s">
        <v>489</v>
      </c>
      <c r="AO13" s="95" t="e">
        <f>+#REF!</f>
        <v>#REF!</v>
      </c>
      <c r="AP13" s="714" t="e">
        <f>+#REF!</f>
        <v>#REF!</v>
      </c>
      <c r="AQ13" s="714" t="e">
        <f>+#REF!</f>
        <v>#REF!</v>
      </c>
      <c r="AR13" s="714" t="e">
        <f>+#REF!</f>
        <v>#REF!</v>
      </c>
      <c r="AS13" s="714" t="e">
        <f>+#REF!</f>
        <v>#REF!</v>
      </c>
    </row>
    <row r="14" spans="1:48" ht="21.6" customHeight="1">
      <c r="A14" s="2659"/>
      <c r="B14" s="2663"/>
      <c r="C14" s="2662"/>
      <c r="D14" s="2657"/>
      <c r="E14" s="1964" t="s">
        <v>780</v>
      </c>
      <c r="F14" s="1964">
        <f>+'계획처리구역 인구배분(출력x)'!H14-M14</f>
        <v>92</v>
      </c>
      <c r="G14" s="1964">
        <f>+'계획처리구역 인구배분(출력x)'!L14-N14</f>
        <v>87</v>
      </c>
      <c r="H14" s="1964">
        <f>+'계획처리구역 인구배분(출력x)'!Q14-O14</f>
        <v>87</v>
      </c>
      <c r="I14" s="1964">
        <f>+'계획처리구역 인구배분(출력x)'!V14-P14</f>
        <v>86</v>
      </c>
      <c r="J14" s="1964">
        <f>+'계획처리구역 인구배분(출력x)'!AA14-Q14</f>
        <v>108</v>
      </c>
      <c r="K14" s="1080"/>
      <c r="L14" s="2027"/>
      <c r="M14" s="2028"/>
      <c r="N14" s="2028"/>
      <c r="O14" s="2028"/>
      <c r="P14" s="2028"/>
      <c r="Q14" s="2028"/>
      <c r="R14" s="2028"/>
      <c r="S14" s="2027"/>
      <c r="T14" s="2027"/>
      <c r="U14" s="2027"/>
      <c r="V14" s="2027"/>
      <c r="W14" s="2027"/>
      <c r="X14" s="2027"/>
      <c r="Y14" s="2029"/>
      <c r="AC14" s="643"/>
      <c r="AD14" s="647"/>
      <c r="AE14" s="31" t="s">
        <v>456</v>
      </c>
      <c r="AF14" s="614">
        <f>+F69</f>
        <v>86</v>
      </c>
      <c r="AG14" s="614">
        <f>+G69</f>
        <v>84</v>
      </c>
      <c r="AH14" s="614">
        <f>+H69</f>
        <v>85</v>
      </c>
      <c r="AI14" s="614">
        <f>+I69</f>
        <v>86</v>
      </c>
      <c r="AJ14" s="614">
        <f>+J69</f>
        <v>102</v>
      </c>
      <c r="AK14" s="613"/>
      <c r="AN14" s="31" t="s">
        <v>490</v>
      </c>
      <c r="AO14" s="95" t="e">
        <f>+F75+F233-#REF!-#REF!+#REF!+#REF!+#REF!+#REF!+#REF!</f>
        <v>#REF!</v>
      </c>
      <c r="AP14" s="714" t="e">
        <f>+G75+G233-#REF!-#REF!+#REF!+#REF!+#REF!+#REF!+#REF!</f>
        <v>#REF!</v>
      </c>
      <c r="AQ14" s="714" t="e">
        <f>+H75+H233-#REF!-#REF!+#REF!+#REF!+#REF!+#REF!+#REF!</f>
        <v>#REF!</v>
      </c>
      <c r="AR14" s="714" t="e">
        <f>+I75+I233-#REF!-#REF!+#REF!+#REF!+#REF!+#REF!+#REF!</f>
        <v>#REF!</v>
      </c>
      <c r="AS14" s="714" t="e">
        <f>+J75+J233-#REF!-#REF!+#REF!+#REF!+#REF!+#REF!+#REF!</f>
        <v>#REF!</v>
      </c>
    </row>
    <row r="15" spans="1:48" ht="21.6" customHeight="1">
      <c r="A15" s="2660"/>
      <c r="B15" s="2664"/>
      <c r="C15" s="2667"/>
      <c r="D15" s="2658"/>
      <c r="E15" s="1988" t="s">
        <v>774</v>
      </c>
      <c r="F15" s="1966">
        <f>+'계획처리구역 인구배분(출력x)'!H15-M15</f>
        <v>281</v>
      </c>
      <c r="G15" s="1966">
        <f>+'계획처리구역 인구배분(출력x)'!L15-N15</f>
        <v>266</v>
      </c>
      <c r="H15" s="1966">
        <f>+'계획처리구역 인구배분(출력x)'!Q15-O15</f>
        <v>265</v>
      </c>
      <c r="I15" s="1966">
        <f>+'계획처리구역 인구배분(출력x)'!V15-P15</f>
        <v>263</v>
      </c>
      <c r="J15" s="1966">
        <f>+'계획처리구역 인구배분(출력x)'!AA15-Q15</f>
        <v>331</v>
      </c>
      <c r="K15" s="1989"/>
      <c r="L15" s="17"/>
      <c r="M15" s="1990"/>
      <c r="N15" s="1990"/>
      <c r="O15" s="1990"/>
      <c r="P15" s="1990"/>
      <c r="Q15" s="1990"/>
      <c r="R15" s="1990"/>
      <c r="AC15" s="643"/>
      <c r="AD15" s="647"/>
      <c r="AE15" s="31" t="s">
        <v>590</v>
      </c>
      <c r="AF15" s="614">
        <v>0</v>
      </c>
      <c r="AG15" s="614">
        <v>0</v>
      </c>
      <c r="AH15" s="614">
        <v>0</v>
      </c>
      <c r="AI15" s="614">
        <v>0</v>
      </c>
      <c r="AJ15" s="614">
        <v>0</v>
      </c>
      <c r="AK15" s="650"/>
      <c r="AN15" s="31" t="s">
        <v>541</v>
      </c>
      <c r="AO15" s="95" t="e">
        <f>+#REF!+#REF!+#REF!+#REF!</f>
        <v>#REF!</v>
      </c>
      <c r="AP15" s="714" t="e">
        <f>+#REF!+#REF!+#REF!+#REF!</f>
        <v>#REF!</v>
      </c>
      <c r="AQ15" s="714" t="e">
        <f>+#REF!+#REF!+#REF!+#REF!</f>
        <v>#REF!</v>
      </c>
      <c r="AR15" s="714" t="e">
        <f>+#REF!+#REF!+#REF!+#REF!</f>
        <v>#REF!</v>
      </c>
      <c r="AS15" s="714" t="e">
        <f>+#REF!+#REF!+#REF!+#REF!</f>
        <v>#REF!</v>
      </c>
    </row>
    <row r="16" spans="1:48" ht="21.6" customHeight="1">
      <c r="A16" s="2661"/>
      <c r="B16" s="2665"/>
      <c r="C16" s="2667"/>
      <c r="D16" s="2658"/>
      <c r="E16" s="2096" t="s">
        <v>776</v>
      </c>
      <c r="F16" s="1965">
        <f>+'계획처리구역 인구배분(출력x)'!H16-M16</f>
        <v>254</v>
      </c>
      <c r="G16" s="1965">
        <f>+'계획처리구역 인구배분(출력x)'!L16-N16</f>
        <v>240</v>
      </c>
      <c r="H16" s="1965">
        <f>+'계획처리구역 인구배분(출력x)'!Q16-O16</f>
        <v>240</v>
      </c>
      <c r="I16" s="1965">
        <f>+'계획처리구역 인구배분(출력x)'!V16-P16</f>
        <v>238</v>
      </c>
      <c r="J16" s="1965">
        <f>+'계획처리구역 인구배분(출력x)'!AA16-Q16</f>
        <v>299</v>
      </c>
      <c r="K16" s="2097"/>
      <c r="L16" s="17"/>
      <c r="M16" s="2098"/>
      <c r="N16" s="2098"/>
      <c r="O16" s="2098"/>
      <c r="P16" s="2098"/>
      <c r="Q16" s="2098"/>
      <c r="R16" s="2098"/>
      <c r="AC16" s="643"/>
      <c r="AD16" s="647"/>
      <c r="AE16" s="31" t="s">
        <v>457</v>
      </c>
      <c r="AF16" s="614">
        <f>+F71</f>
        <v>0</v>
      </c>
      <c r="AG16" s="614">
        <f>+G71</f>
        <v>87</v>
      </c>
      <c r="AH16" s="614">
        <f>+H71</f>
        <v>88</v>
      </c>
      <c r="AI16" s="614">
        <f>+I71</f>
        <v>89</v>
      </c>
      <c r="AJ16" s="614">
        <f>+J71</f>
        <v>106</v>
      </c>
      <c r="AK16" s="613"/>
      <c r="AN16" s="31" t="s">
        <v>542</v>
      </c>
      <c r="AO16" s="95" t="e">
        <f>+AF136</f>
        <v>#REF!</v>
      </c>
      <c r="AP16" s="95" t="e">
        <f t="shared" ref="AP16:AS16" si="2">+AG136</f>
        <v>#REF!</v>
      </c>
      <c r="AQ16" s="95" t="e">
        <f t="shared" si="2"/>
        <v>#REF!</v>
      </c>
      <c r="AR16" s="95" t="e">
        <f t="shared" si="2"/>
        <v>#REF!</v>
      </c>
      <c r="AS16" s="95" t="e">
        <f t="shared" si="2"/>
        <v>#REF!</v>
      </c>
    </row>
    <row r="17" spans="1:37" ht="21.6" customHeight="1">
      <c r="A17" s="2659"/>
      <c r="B17" s="2663"/>
      <c r="C17" s="2666"/>
      <c r="D17" s="2656"/>
      <c r="E17" s="1964" t="s">
        <v>778</v>
      </c>
      <c r="F17" s="1964">
        <f>+'계획처리구역 인구배분(출력x)'!H17-M17</f>
        <v>374</v>
      </c>
      <c r="G17" s="1964">
        <f>+'계획처리구역 인구배분(출력x)'!L17-N17</f>
        <v>353</v>
      </c>
      <c r="H17" s="1964">
        <f>+'계획처리구역 인구배분(출력x)'!Q17-O18</f>
        <v>353</v>
      </c>
      <c r="I17" s="1964">
        <f>+'계획처리구역 인구배분(출력x)'!V17-P17</f>
        <v>350</v>
      </c>
      <c r="J17" s="1964">
        <f>+'계획처리구역 인구배분(출력x)'!AA17-Q17</f>
        <v>441</v>
      </c>
      <c r="K17" s="1080" t="s">
        <v>1303</v>
      </c>
      <c r="L17" s="2024"/>
      <c r="M17" s="2140"/>
      <c r="N17" s="2140"/>
      <c r="O17" s="2024"/>
      <c r="P17" s="2140"/>
      <c r="Q17" s="2140"/>
      <c r="R17" s="2140"/>
      <c r="S17" s="2024"/>
      <c r="T17" s="2024"/>
      <c r="U17" s="2024"/>
      <c r="V17" s="2024"/>
      <c r="W17" s="2024"/>
      <c r="X17" s="2024"/>
      <c r="Y17" s="2025"/>
      <c r="AC17" s="643"/>
      <c r="AD17" s="647"/>
      <c r="AE17" s="31" t="s">
        <v>458</v>
      </c>
      <c r="AF17" s="614">
        <f>+F74</f>
        <v>0</v>
      </c>
      <c r="AG17" s="614">
        <f>+G74</f>
        <v>0</v>
      </c>
      <c r="AH17" s="614">
        <f>+H74</f>
        <v>0</v>
      </c>
      <c r="AI17" s="614">
        <f>+I74</f>
        <v>0</v>
      </c>
      <c r="AJ17" s="614">
        <f>+J74</f>
        <v>0</v>
      </c>
      <c r="AK17" s="613"/>
    </row>
    <row r="18" spans="1:37" s="712" customFormat="1" ht="21.6" customHeight="1">
      <c r="A18" s="2659"/>
      <c r="B18" s="2663"/>
      <c r="C18" s="2667"/>
      <c r="D18" s="2657"/>
      <c r="E18" s="1964" t="s">
        <v>1268</v>
      </c>
      <c r="F18" s="1964">
        <f>+'계획처리구역 인구배분(출력x)'!H18-M18</f>
        <v>0</v>
      </c>
      <c r="G18" s="1964">
        <f>+'계획처리구역 인구배분(출력x)'!L18-N18</f>
        <v>376</v>
      </c>
      <c r="H18" s="1964">
        <f>+'계획처리구역 인구배분(출력x)'!Q18-O18</f>
        <v>376</v>
      </c>
      <c r="I18" s="1964">
        <f>+'계획처리구역 인구배분(출력x)'!V18-P18</f>
        <v>376</v>
      </c>
      <c r="J18" s="1964">
        <f>+'계획처리구역 인구배분(출력x)'!AA18-Q18</f>
        <v>376</v>
      </c>
      <c r="K18" s="1080" t="str">
        <f>'계획처리구역 인구배분(출력x)'!AD18</f>
        <v>음성지역주택조합</v>
      </c>
      <c r="L18" s="17" t="s">
        <v>773</v>
      </c>
      <c r="M18" s="103"/>
      <c r="N18" s="103"/>
      <c r="O18" s="103"/>
      <c r="P18" s="103"/>
      <c r="Q18" s="103"/>
      <c r="R18" s="103"/>
      <c r="S18" s="17"/>
      <c r="T18" s="17"/>
      <c r="U18" s="17"/>
      <c r="V18" s="17"/>
      <c r="W18" s="17"/>
      <c r="X18" s="17"/>
      <c r="Y18" s="2026"/>
      <c r="Z18" s="9"/>
      <c r="AC18" s="643"/>
      <c r="AD18" s="647"/>
      <c r="AE18" s="713"/>
      <c r="AF18" s="614"/>
      <c r="AG18" s="614"/>
      <c r="AH18" s="614"/>
      <c r="AI18" s="614"/>
      <c r="AJ18" s="614"/>
      <c r="AK18" s="1032"/>
    </row>
    <row r="19" spans="1:37" ht="21.6" customHeight="1">
      <c r="A19" s="2659"/>
      <c r="B19" s="2663"/>
      <c r="C19" s="2667"/>
      <c r="D19" s="2656" t="s">
        <v>935</v>
      </c>
      <c r="E19" s="1964" t="s">
        <v>2227</v>
      </c>
      <c r="F19" s="1964">
        <f>+'계획처리구역 인구배분(출력x)'!H19-M19</f>
        <v>0</v>
      </c>
      <c r="G19" s="1964">
        <f>+'계획처리구역 인구배분(출력x)'!I19-N19</f>
        <v>0</v>
      </c>
      <c r="H19" s="1964">
        <f>+'계획처리구역 인구배분(출력x)'!J19-O19</f>
        <v>168</v>
      </c>
      <c r="I19" s="1964">
        <f>+'계획처리구역 인구배분(출력x)'!K19-P19</f>
        <v>168</v>
      </c>
      <c r="J19" s="1964">
        <f>+'계획처리구역 인구배분(출력x)'!L19-Q19</f>
        <v>163</v>
      </c>
      <c r="K19" s="1080"/>
      <c r="L19" s="17"/>
      <c r="M19" s="103">
        <v>173</v>
      </c>
      <c r="N19" s="103">
        <v>170</v>
      </c>
      <c r="O19" s="103"/>
      <c r="P19" s="103"/>
      <c r="Q19" s="103"/>
      <c r="R19" s="103"/>
      <c r="S19" s="17"/>
      <c r="T19" s="17"/>
      <c r="U19" s="17"/>
      <c r="V19" s="17"/>
      <c r="W19" s="17"/>
      <c r="X19" s="17"/>
      <c r="Y19" s="2026"/>
      <c r="AC19" s="643"/>
      <c r="AD19" s="647"/>
      <c r="AE19" s="31" t="s">
        <v>459</v>
      </c>
      <c r="AF19" s="614">
        <f>+F79</f>
        <v>693</v>
      </c>
      <c r="AG19" s="614">
        <f>+G79</f>
        <v>683</v>
      </c>
      <c r="AH19" s="614">
        <f>+H79</f>
        <v>699</v>
      </c>
      <c r="AI19" s="614">
        <f>+I79</f>
        <v>716</v>
      </c>
      <c r="AJ19" s="614">
        <f>+J79</f>
        <v>722</v>
      </c>
      <c r="AK19" s="613"/>
    </row>
    <row r="20" spans="1:37" s="712" customFormat="1" ht="21.6" customHeight="1">
      <c r="A20" s="2659"/>
      <c r="B20" s="2663"/>
      <c r="C20" s="2667"/>
      <c r="D20" s="2658"/>
      <c r="E20" s="1964" t="s">
        <v>934</v>
      </c>
      <c r="F20" s="1964">
        <f>+'계획처리구역 인구배분(출력x)'!H20-M20</f>
        <v>183</v>
      </c>
      <c r="G20" s="1964">
        <f>+'계획처리구역 인구배분(출력x)'!I20-N20</f>
        <v>179</v>
      </c>
      <c r="H20" s="1964">
        <f>+'계획처리구역 인구배분(출력x)'!J20-O20</f>
        <v>248</v>
      </c>
      <c r="I20" s="1964">
        <f>+'계획처리구역 인구배분(출력x)'!K20-P20</f>
        <v>247</v>
      </c>
      <c r="J20" s="1964">
        <f>+'계획처리구역 인구배분(출력x)'!L20-Q20</f>
        <v>241</v>
      </c>
      <c r="K20" s="1080"/>
      <c r="L20" s="17"/>
      <c r="M20" s="103">
        <f>30*2.4</f>
        <v>72</v>
      </c>
      <c r="N20" s="103">
        <f>30*2.4</f>
        <v>72</v>
      </c>
      <c r="O20" s="103"/>
      <c r="P20" s="103"/>
      <c r="Q20" s="103"/>
      <c r="R20" s="103"/>
      <c r="S20" s="17"/>
      <c r="T20" s="17"/>
      <c r="U20" s="17"/>
      <c r="V20" s="17"/>
      <c r="W20" s="17"/>
      <c r="X20" s="17"/>
      <c r="Y20" s="2026"/>
      <c r="Z20" s="9"/>
      <c r="AC20" s="643"/>
      <c r="AD20" s="647"/>
      <c r="AE20" s="713"/>
      <c r="AF20" s="614"/>
      <c r="AG20" s="614"/>
      <c r="AH20" s="614"/>
      <c r="AI20" s="614"/>
      <c r="AJ20" s="614"/>
      <c r="AK20" s="1815"/>
    </row>
    <row r="21" spans="1:37" s="712" customFormat="1" ht="21.6" customHeight="1">
      <c r="A21" s="2659"/>
      <c r="B21" s="2663"/>
      <c r="C21" s="2667"/>
      <c r="D21" s="2657"/>
      <c r="E21" s="1964" t="s">
        <v>1345</v>
      </c>
      <c r="F21" s="1964">
        <f>+'계획처리구역 인구배분(출력x)'!H21-M21</f>
        <v>0</v>
      </c>
      <c r="G21" s="1964">
        <f>+'계획처리구역 인구배분(출력x)'!I21-N21</f>
        <v>0</v>
      </c>
      <c r="H21" s="1964">
        <f>+'계획처리구역 인구배분(출력x)'!J21-O21</f>
        <v>199</v>
      </c>
      <c r="I21" s="1964">
        <f>+'계획처리구역 인구배분(출력x)'!K21-P21</f>
        <v>199</v>
      </c>
      <c r="J21" s="1964">
        <f>+'계획처리구역 인구배분(출력x)'!L21-Q21</f>
        <v>194</v>
      </c>
      <c r="K21" s="1080"/>
      <c r="L21" s="17"/>
      <c r="M21" s="103">
        <v>205</v>
      </c>
      <c r="N21" s="103">
        <v>202</v>
      </c>
      <c r="O21" s="103"/>
      <c r="P21" s="103"/>
      <c r="Q21" s="103"/>
      <c r="R21" s="103"/>
      <c r="S21" s="17"/>
      <c r="T21" s="17"/>
      <c r="U21" s="17"/>
      <c r="V21" s="17"/>
      <c r="W21" s="17"/>
      <c r="X21" s="17"/>
      <c r="Y21" s="2026"/>
      <c r="Z21" s="9"/>
      <c r="AC21" s="643"/>
      <c r="AD21" s="647"/>
      <c r="AE21" s="713"/>
      <c r="AF21" s="614"/>
      <c r="AG21" s="614"/>
      <c r="AH21" s="614"/>
      <c r="AI21" s="614"/>
      <c r="AJ21" s="614"/>
      <c r="AK21" s="1120"/>
    </row>
    <row r="22" spans="1:37" ht="21.6" customHeight="1">
      <c r="A22" s="2659"/>
      <c r="B22" s="2649" t="s">
        <v>781</v>
      </c>
      <c r="C22" s="2649" t="s">
        <v>7</v>
      </c>
      <c r="D22" s="2649"/>
      <c r="E22" s="2649"/>
      <c r="F22" s="715">
        <f>SUM(F23:F37)</f>
        <v>8449</v>
      </c>
      <c r="G22" s="715">
        <f>SUM(G23:G37)</f>
        <v>8137</v>
      </c>
      <c r="H22" s="715">
        <f>SUM(H23:H37)</f>
        <v>8195</v>
      </c>
      <c r="I22" s="715">
        <f>SUM(I23:I37)</f>
        <v>8134</v>
      </c>
      <c r="J22" s="715">
        <f>SUM(J23:J37)</f>
        <v>10209</v>
      </c>
      <c r="K22" s="1080"/>
      <c r="L22" s="17"/>
      <c r="M22" s="103"/>
      <c r="N22" s="103"/>
      <c r="O22" s="103"/>
      <c r="P22" s="103"/>
      <c r="Q22" s="103"/>
      <c r="R22" s="103"/>
      <c r="S22" s="17"/>
      <c r="T22" s="17"/>
      <c r="U22" s="17"/>
      <c r="V22" s="17"/>
      <c r="W22" s="17"/>
      <c r="X22" s="17"/>
      <c r="Y22" s="2026"/>
      <c r="AC22" s="643"/>
      <c r="AD22" s="647"/>
      <c r="AE22" s="31" t="s">
        <v>460</v>
      </c>
      <c r="AF22" s="614">
        <f>+F81</f>
        <v>592</v>
      </c>
      <c r="AG22" s="614">
        <f>+G81</f>
        <v>584</v>
      </c>
      <c r="AH22" s="614">
        <f>+H81</f>
        <v>598</v>
      </c>
      <c r="AI22" s="614">
        <f>+I81</f>
        <v>612</v>
      </c>
      <c r="AJ22" s="614">
        <f>+J81</f>
        <v>617</v>
      </c>
      <c r="AK22" s="613"/>
    </row>
    <row r="23" spans="1:37" ht="21.6" customHeight="1">
      <c r="A23" s="2659"/>
      <c r="B23" s="2649"/>
      <c r="C23" s="2649" t="s">
        <v>636</v>
      </c>
      <c r="D23" s="2656" t="s">
        <v>784</v>
      </c>
      <c r="E23" s="1964" t="s">
        <v>939</v>
      </c>
      <c r="F23" s="1964">
        <f>+'계획처리구역 인구배분(출력x)'!H23-M23</f>
        <v>742</v>
      </c>
      <c r="G23" s="1964">
        <f>+'계획처리구역 인구배분(출력x)'!L23-N23</f>
        <v>701</v>
      </c>
      <c r="H23" s="1964">
        <f>+'계획처리구역 인구배분(출력x)'!Q23-O23</f>
        <v>700</v>
      </c>
      <c r="I23" s="1964">
        <f>+'계획처리구역 인구배분(출력x)'!V23-P23</f>
        <v>695</v>
      </c>
      <c r="J23" s="1964">
        <f>+'계획처리구역 인구배분(출력x)'!AA23-Q23</f>
        <v>874</v>
      </c>
      <c r="K23" s="1080"/>
      <c r="L23" s="17"/>
      <c r="M23" s="103"/>
      <c r="N23" s="103"/>
      <c r="O23" s="103"/>
      <c r="P23" s="103"/>
      <c r="Q23" s="103"/>
      <c r="R23" s="103"/>
      <c r="S23" s="17"/>
      <c r="T23" s="17"/>
      <c r="U23" s="17"/>
      <c r="V23" s="17"/>
      <c r="W23" s="17"/>
      <c r="X23" s="17"/>
      <c r="Y23" s="2026"/>
      <c r="AC23" s="643"/>
      <c r="AD23" s="647"/>
      <c r="AE23" s="31" t="s">
        <v>591</v>
      </c>
      <c r="AF23" s="614">
        <f>+F83</f>
        <v>575</v>
      </c>
      <c r="AG23" s="614">
        <f>+G83</f>
        <v>567</v>
      </c>
      <c r="AH23" s="614">
        <f>+H83</f>
        <v>580</v>
      </c>
      <c r="AI23" s="614">
        <f>+I83</f>
        <v>594</v>
      </c>
      <c r="AJ23" s="614">
        <f>+J83</f>
        <v>599</v>
      </c>
      <c r="AK23" s="613"/>
    </row>
    <row r="24" spans="1:37" ht="21.6" customHeight="1">
      <c r="A24" s="2659"/>
      <c r="B24" s="2649"/>
      <c r="C24" s="2649"/>
      <c r="D24" s="2658"/>
      <c r="E24" s="1964" t="s">
        <v>940</v>
      </c>
      <c r="F24" s="1964">
        <f>+'계획처리구역 인구배분(출력x)'!H24-M24</f>
        <v>787</v>
      </c>
      <c r="G24" s="1964">
        <f>+'계획처리구역 인구배분(출력x)'!L24-N24</f>
        <v>744</v>
      </c>
      <c r="H24" s="1964">
        <f>+'계획처리구역 인구배분(출력x)'!Q24-O24</f>
        <v>743</v>
      </c>
      <c r="I24" s="1964">
        <f>+'계획처리구역 인구배분(출력x)'!V24-P24</f>
        <v>737</v>
      </c>
      <c r="J24" s="1964">
        <f>+'계획처리구역 인구배분(출력x)'!AA24-Q24</f>
        <v>927</v>
      </c>
      <c r="K24" s="1080"/>
      <c r="L24" s="17"/>
      <c r="M24" s="103"/>
      <c r="N24" s="103"/>
      <c r="O24" s="103"/>
      <c r="P24" s="103"/>
      <c r="Q24" s="103"/>
      <c r="R24" s="103"/>
      <c r="S24" s="17"/>
      <c r="T24" s="17"/>
      <c r="U24" s="17"/>
      <c r="V24" s="17"/>
      <c r="W24" s="17"/>
      <c r="X24" s="17"/>
      <c r="Y24" s="2026"/>
      <c r="AC24" s="643"/>
      <c r="AD24" s="647"/>
      <c r="AE24" s="31" t="s">
        <v>461</v>
      </c>
      <c r="AF24" s="614">
        <f>+F85</f>
        <v>192</v>
      </c>
      <c r="AG24" s="614">
        <f>+G85</f>
        <v>189</v>
      </c>
      <c r="AH24" s="614">
        <f>+H85</f>
        <v>194</v>
      </c>
      <c r="AI24" s="614">
        <f>+I85</f>
        <v>198</v>
      </c>
      <c r="AJ24" s="614">
        <f>+J85</f>
        <v>200</v>
      </c>
      <c r="AK24" s="613"/>
    </row>
    <row r="25" spans="1:37" ht="21.6" customHeight="1">
      <c r="A25" s="2659"/>
      <c r="B25" s="2649"/>
      <c r="C25" s="2649"/>
      <c r="D25" s="2658"/>
      <c r="E25" s="1964" t="s">
        <v>941</v>
      </c>
      <c r="F25" s="1964">
        <f>+'계획처리구역 인구배분(출력x)'!H25-M25</f>
        <v>636</v>
      </c>
      <c r="G25" s="1964">
        <f>+'계획처리구역 인구배분(출력x)'!L25-N25</f>
        <v>601</v>
      </c>
      <c r="H25" s="1964">
        <f>+'계획처리구역 인구배분(출력x)'!Q25-O25</f>
        <v>600</v>
      </c>
      <c r="I25" s="1964">
        <f>+'계획처리구역 인구배분(출력x)'!V25-P25</f>
        <v>596</v>
      </c>
      <c r="J25" s="1964">
        <f>+'계획처리구역 인구배분(출력x)'!AA25-Q25</f>
        <v>749</v>
      </c>
      <c r="K25" s="1080"/>
      <c r="L25" s="17"/>
      <c r="M25" s="103"/>
      <c r="N25" s="103"/>
      <c r="O25" s="103"/>
      <c r="P25" s="103"/>
      <c r="Q25" s="103"/>
      <c r="R25" s="103"/>
      <c r="S25" s="17"/>
      <c r="T25" s="17"/>
      <c r="U25" s="17"/>
      <c r="V25" s="17"/>
      <c r="W25" s="17"/>
      <c r="X25" s="17"/>
      <c r="Y25" s="2026"/>
      <c r="AC25" s="643"/>
      <c r="AD25" s="647"/>
      <c r="AE25" s="31" t="s">
        <v>462</v>
      </c>
      <c r="AF25" s="614">
        <f>+F87</f>
        <v>668</v>
      </c>
      <c r="AG25" s="614">
        <f>+G87</f>
        <v>658</v>
      </c>
      <c r="AH25" s="614">
        <f>+H87</f>
        <v>674</v>
      </c>
      <c r="AI25" s="614">
        <f>+I87</f>
        <v>691</v>
      </c>
      <c r="AJ25" s="614">
        <f>+J87</f>
        <v>696</v>
      </c>
      <c r="AK25" s="613"/>
    </row>
    <row r="26" spans="1:37" ht="21.6" customHeight="1">
      <c r="A26" s="2659"/>
      <c r="B26" s="2649"/>
      <c r="C26" s="2649"/>
      <c r="D26" s="2657"/>
      <c r="E26" s="1964" t="s">
        <v>942</v>
      </c>
      <c r="F26" s="1964">
        <f>+'계획처리구역 인구배분(출력x)'!H26-M26</f>
        <v>1517</v>
      </c>
      <c r="G26" s="1964">
        <f>+'계획처리구역 인구배분(출력x)'!L26-N26</f>
        <v>1433</v>
      </c>
      <c r="H26" s="1964">
        <f>+'계획처리구역 인구배분(출력x)'!Q26-O26</f>
        <v>1432</v>
      </c>
      <c r="I26" s="1964">
        <f>+'계획처리구역 인구배분(출력x)'!V26-P26</f>
        <v>1421</v>
      </c>
      <c r="J26" s="1964">
        <f>+'계획처리구역 인구배분(출력x)'!AA26-Q26</f>
        <v>1787</v>
      </c>
      <c r="K26" s="1080" t="s">
        <v>1301</v>
      </c>
      <c r="L26" s="2027"/>
      <c r="M26" s="2028"/>
      <c r="N26" s="2028"/>
      <c r="O26" s="2028"/>
      <c r="P26" s="2028"/>
      <c r="Q26" s="2028"/>
      <c r="R26" s="2028"/>
      <c r="S26" s="2027"/>
      <c r="T26" s="2027"/>
      <c r="U26" s="2027"/>
      <c r="V26" s="2027"/>
      <c r="W26" s="2027"/>
      <c r="X26" s="2027"/>
      <c r="Y26" s="2029"/>
      <c r="AC26" s="643"/>
      <c r="AD26" s="647"/>
      <c r="AE26" s="31" t="s">
        <v>463</v>
      </c>
      <c r="AF26" s="614">
        <f>+F94</f>
        <v>0</v>
      </c>
      <c r="AG26" s="614">
        <f>+G94</f>
        <v>0</v>
      </c>
      <c r="AH26" s="614">
        <f>+H94</f>
        <v>263</v>
      </c>
      <c r="AI26" s="614">
        <f>+I94</f>
        <v>270</v>
      </c>
      <c r="AJ26" s="614">
        <f>+J94</f>
        <v>341</v>
      </c>
      <c r="AK26" s="613"/>
    </row>
    <row r="27" spans="1:37" ht="21.6" customHeight="1">
      <c r="A27" s="2660"/>
      <c r="B27" s="2662"/>
      <c r="C27" s="2662"/>
      <c r="D27" s="2658"/>
      <c r="E27" s="1966" t="s">
        <v>943</v>
      </c>
      <c r="F27" s="1966">
        <f>+'계획처리구역 인구배분(출력x)'!H27-M27</f>
        <v>785</v>
      </c>
      <c r="G27" s="1966">
        <f>+'계획처리구역 인구배분(출력x)'!L27-N27</f>
        <v>742</v>
      </c>
      <c r="H27" s="1966">
        <f>+'계획처리구역 인구배분(출력x)'!Q27-O27</f>
        <v>741</v>
      </c>
      <c r="I27" s="1966">
        <f>+'계획처리구역 인구배분(출력x)'!V27-P27</f>
        <v>735</v>
      </c>
      <c r="J27" s="1966">
        <f>+'계획처리구역 인구배분(출력x)'!AA27-Q27</f>
        <v>925</v>
      </c>
      <c r="K27" s="1989" t="s">
        <v>1302</v>
      </c>
      <c r="L27" s="17"/>
      <c r="M27" s="1990"/>
      <c r="N27" s="1990"/>
      <c r="O27" s="1990"/>
      <c r="P27" s="1990"/>
      <c r="Q27" s="1990"/>
      <c r="R27" s="1990"/>
      <c r="AC27" s="643"/>
      <c r="AD27" s="647"/>
      <c r="AE27" s="31" t="s">
        <v>464</v>
      </c>
      <c r="AF27" s="614">
        <f>+F99</f>
        <v>0</v>
      </c>
      <c r="AG27" s="614">
        <f>+G99</f>
        <v>292</v>
      </c>
      <c r="AH27" s="614">
        <f>+H99</f>
        <v>299</v>
      </c>
      <c r="AI27" s="614">
        <f>+I99</f>
        <v>306</v>
      </c>
      <c r="AJ27" s="614">
        <f>+J99</f>
        <v>308</v>
      </c>
      <c r="AK27" s="613"/>
    </row>
    <row r="28" spans="1:37" s="712" customFormat="1" ht="21.6" customHeight="1">
      <c r="A28" s="2659"/>
      <c r="B28" s="2649"/>
      <c r="C28" s="2649"/>
      <c r="D28" s="2658"/>
      <c r="E28" s="1033" t="s">
        <v>1268</v>
      </c>
      <c r="F28" s="1033">
        <f>+'계획처리구역 인구배분(출력x)'!H28-M28</f>
        <v>0</v>
      </c>
      <c r="G28" s="1033">
        <f>+'계획처리구역 인구배분(출력x)'!L28-N28</f>
        <v>125</v>
      </c>
      <c r="H28" s="1033">
        <f>+'계획처리구역 인구배분(출력x)'!Q28-O28</f>
        <v>125</v>
      </c>
      <c r="I28" s="1033">
        <f>+'계획처리구역 인구배분(출력x)'!V28-P28</f>
        <v>125</v>
      </c>
      <c r="J28" s="1033">
        <f>+'계획처리구역 인구배분(출력x)'!AA28-Q28</f>
        <v>125</v>
      </c>
      <c r="K28" s="1080" t="str">
        <f>'계획처리구역 인구배분(출력x)'!AD28</f>
        <v>지평더웰2차</v>
      </c>
      <c r="L28" s="17" t="s">
        <v>941</v>
      </c>
      <c r="M28" s="103"/>
      <c r="N28" s="103"/>
      <c r="O28" s="103"/>
      <c r="P28" s="103"/>
      <c r="Q28" s="103"/>
      <c r="R28" s="103"/>
      <c r="S28" s="9"/>
      <c r="T28" s="9"/>
      <c r="U28" s="9"/>
      <c r="V28" s="9"/>
      <c r="W28" s="9"/>
      <c r="X28" s="9"/>
      <c r="Y28" s="9"/>
      <c r="Z28" s="9"/>
      <c r="AC28" s="643"/>
      <c r="AD28" s="647"/>
      <c r="AE28" s="713"/>
      <c r="AF28" s="614"/>
      <c r="AG28" s="614"/>
      <c r="AH28" s="614"/>
      <c r="AI28" s="614"/>
      <c r="AJ28" s="614"/>
      <c r="AK28" s="1032"/>
    </row>
    <row r="29" spans="1:37" s="712" customFormat="1" ht="21.6" customHeight="1">
      <c r="A29" s="2659"/>
      <c r="B29" s="2649"/>
      <c r="C29" s="2649"/>
      <c r="D29" s="2657"/>
      <c r="E29" s="1033" t="s">
        <v>1268</v>
      </c>
      <c r="F29" s="1033">
        <f>+'계획처리구역 인구배분(출력x)'!H29-M29</f>
        <v>0</v>
      </c>
      <c r="G29" s="1033">
        <f>+'계획처리구역 인구배분(출력x)'!L29-N29</f>
        <v>27</v>
      </c>
      <c r="H29" s="1033">
        <f>+'계획처리구역 인구배분(출력x)'!Q29-O29</f>
        <v>27</v>
      </c>
      <c r="I29" s="1033">
        <f>+'계획처리구역 인구배분(출력x)'!V29-P29</f>
        <v>27</v>
      </c>
      <c r="J29" s="1033">
        <f>+'계획처리구역 인구배분(출력x)'!AA29-Q29</f>
        <v>27</v>
      </c>
      <c r="K29" s="1080" t="str">
        <f>'계획처리구역 인구배분(출력x)'!AD29</f>
        <v>㈜씨제이산업개발</v>
      </c>
      <c r="L29" s="17" t="s">
        <v>940</v>
      </c>
      <c r="M29" s="103"/>
      <c r="N29" s="103"/>
      <c r="O29" s="103"/>
      <c r="P29" s="103"/>
      <c r="Q29" s="103"/>
      <c r="R29" s="103"/>
      <c r="S29" s="9"/>
      <c r="T29" s="9"/>
      <c r="U29" s="9"/>
      <c r="V29" s="9"/>
      <c r="W29" s="9"/>
      <c r="X29" s="9"/>
      <c r="Y29" s="9"/>
      <c r="Z29" s="9"/>
      <c r="AC29" s="643"/>
      <c r="AD29" s="647"/>
      <c r="AE29" s="713"/>
      <c r="AF29" s="614"/>
      <c r="AG29" s="614"/>
      <c r="AH29" s="614"/>
      <c r="AI29" s="614"/>
      <c r="AJ29" s="614"/>
      <c r="AK29" s="1032"/>
    </row>
    <row r="30" spans="1:37" ht="21.6" customHeight="1">
      <c r="A30" s="2659"/>
      <c r="B30" s="2649"/>
      <c r="C30" s="2649"/>
      <c r="D30" s="2680" t="s">
        <v>792</v>
      </c>
      <c r="E30" s="705" t="s">
        <v>944</v>
      </c>
      <c r="F30" s="705">
        <f>+'계획처리구역 인구배분(출력x)'!H30-M30</f>
        <v>224</v>
      </c>
      <c r="G30" s="705">
        <f>+'계획처리구역 인구배분(출력x)'!L30-N30</f>
        <v>212</v>
      </c>
      <c r="H30" s="705">
        <f>+'계획처리구역 인구배분(출력x)'!Q30-O30</f>
        <v>211</v>
      </c>
      <c r="I30" s="705">
        <f>+'계획처리구역 인구배분(출력x)'!V30-P30</f>
        <v>210</v>
      </c>
      <c r="J30" s="705">
        <f>+'계획처리구역 인구배분(출력x)'!AA30-Q30</f>
        <v>264</v>
      </c>
      <c r="K30" s="1080"/>
      <c r="L30" s="17"/>
      <c r="M30" s="103"/>
      <c r="N30" s="103"/>
      <c r="O30" s="103"/>
      <c r="P30" s="103"/>
      <c r="Q30" s="103"/>
      <c r="R30" s="103"/>
      <c r="AC30" s="643"/>
      <c r="AD30" s="647"/>
      <c r="AE30" s="31" t="s">
        <v>465</v>
      </c>
      <c r="AF30" s="614">
        <f>+F109</f>
        <v>262</v>
      </c>
      <c r="AG30" s="614">
        <f>+G109</f>
        <v>258</v>
      </c>
      <c r="AH30" s="614">
        <f>+H109</f>
        <v>264</v>
      </c>
      <c r="AI30" s="614">
        <f>+I109</f>
        <v>271</v>
      </c>
      <c r="AJ30" s="614">
        <f>+J109</f>
        <v>273</v>
      </c>
      <c r="AK30" s="613"/>
    </row>
    <row r="31" spans="1:37" ht="21.6" customHeight="1">
      <c r="A31" s="2659"/>
      <c r="B31" s="2649"/>
      <c r="C31" s="2649"/>
      <c r="D31" s="2680"/>
      <c r="E31" s="705" t="s">
        <v>945</v>
      </c>
      <c r="F31" s="705">
        <f>+'계획처리구역 인구배분(출력x)'!H31-M31</f>
        <v>184</v>
      </c>
      <c r="G31" s="705">
        <f>+'계획처리구역 인구배분(출력x)'!L31-N31</f>
        <v>174</v>
      </c>
      <c r="H31" s="705">
        <f>+'계획처리구역 인구배분(출력x)'!Q31-O31</f>
        <v>174</v>
      </c>
      <c r="I31" s="705">
        <f>+'계획처리구역 인구배분(출력x)'!V31-P31</f>
        <v>172</v>
      </c>
      <c r="J31" s="705">
        <f>+'계획처리구역 인구배분(출력x)'!AA31-Q31</f>
        <v>217</v>
      </c>
      <c r="K31" s="1080"/>
      <c r="L31" s="17"/>
      <c r="M31" s="103"/>
      <c r="N31" s="103"/>
      <c r="O31" s="103"/>
      <c r="P31" s="103"/>
      <c r="Q31" s="103"/>
      <c r="R31" s="103"/>
      <c r="AC31" s="643"/>
      <c r="AD31" s="647"/>
      <c r="AE31" s="31" t="s">
        <v>592</v>
      </c>
      <c r="AF31" s="614">
        <v>0</v>
      </c>
      <c r="AG31" s="614">
        <v>0</v>
      </c>
      <c r="AH31" s="614">
        <v>0</v>
      </c>
      <c r="AI31" s="614">
        <v>0</v>
      </c>
      <c r="AJ31" s="614">
        <v>0</v>
      </c>
      <c r="AK31" s="650"/>
    </row>
    <row r="32" spans="1:37" ht="21.6" customHeight="1">
      <c r="A32" s="2659"/>
      <c r="B32" s="2649"/>
      <c r="C32" s="2649"/>
      <c r="D32" s="2680"/>
      <c r="E32" s="705" t="s">
        <v>795</v>
      </c>
      <c r="F32" s="705">
        <f>+'계획처리구역 인구배분(출력x)'!H32-M32</f>
        <v>202</v>
      </c>
      <c r="G32" s="705">
        <f>+'계획처리구역 인구배분(출력x)'!L32-N32</f>
        <v>191</v>
      </c>
      <c r="H32" s="705">
        <f>+'계획처리구역 인구배분(출력x)'!Q32-O32</f>
        <v>191</v>
      </c>
      <c r="I32" s="705">
        <f>+'계획처리구역 인구배분(출력x)'!V32-P32</f>
        <v>189</v>
      </c>
      <c r="J32" s="705">
        <f>+'계획처리구역 인구배분(출력x)'!AA32-Q32</f>
        <v>238</v>
      </c>
      <c r="K32" s="1080"/>
      <c r="L32" s="17"/>
      <c r="M32" s="103"/>
      <c r="N32" s="103"/>
      <c r="O32" s="103"/>
      <c r="P32" s="103"/>
      <c r="Q32" s="103"/>
      <c r="R32" s="103"/>
      <c r="AC32" s="643"/>
      <c r="AD32" s="647"/>
      <c r="AE32" s="31" t="s">
        <v>466</v>
      </c>
      <c r="AF32" s="614">
        <f>+F112</f>
        <v>0</v>
      </c>
      <c r="AG32" s="614">
        <f>+G112</f>
        <v>178</v>
      </c>
      <c r="AH32" s="614">
        <f>+H112</f>
        <v>183</v>
      </c>
      <c r="AI32" s="614">
        <f>+I112</f>
        <v>187</v>
      </c>
      <c r="AJ32" s="614">
        <f>+J112</f>
        <v>189</v>
      </c>
      <c r="AK32" s="613"/>
    </row>
    <row r="33" spans="1:37" ht="21.6" customHeight="1">
      <c r="A33" s="2659"/>
      <c r="B33" s="2649"/>
      <c r="C33" s="2649"/>
      <c r="D33" s="2680"/>
      <c r="E33" s="705" t="s">
        <v>796</v>
      </c>
      <c r="F33" s="705">
        <f>+'계획처리구역 인구배분(출력x)'!H33-M33</f>
        <v>565</v>
      </c>
      <c r="G33" s="705">
        <f>+'계획처리구역 인구배분(출력x)'!L33-N33</f>
        <v>534</v>
      </c>
      <c r="H33" s="705">
        <f>+'계획처리구역 인구배분(출력x)'!Q33-O33</f>
        <v>533</v>
      </c>
      <c r="I33" s="705">
        <f>+'계획처리구역 인구배분(출력x)'!V33-P33</f>
        <v>529</v>
      </c>
      <c r="J33" s="705">
        <f>+'계획처리구역 인구배분(출력x)'!AA33-Q33</f>
        <v>666</v>
      </c>
      <c r="K33" s="1080"/>
      <c r="L33" s="17"/>
      <c r="M33" s="103"/>
      <c r="N33" s="103"/>
      <c r="O33" s="103"/>
      <c r="P33" s="103"/>
      <c r="Q33" s="103"/>
      <c r="R33" s="103"/>
      <c r="AC33" s="643"/>
      <c r="AD33" s="647"/>
      <c r="AE33" s="31" t="s">
        <v>467</v>
      </c>
      <c r="AF33" s="614">
        <f>+F114</f>
        <v>304</v>
      </c>
      <c r="AG33" s="614">
        <f>+G114</f>
        <v>300</v>
      </c>
      <c r="AH33" s="614">
        <f>+H114</f>
        <v>307</v>
      </c>
      <c r="AI33" s="614">
        <f>+I114</f>
        <v>314</v>
      </c>
      <c r="AJ33" s="614">
        <f>+J114</f>
        <v>317</v>
      </c>
      <c r="AK33" s="613"/>
    </row>
    <row r="34" spans="1:37" ht="21.6" customHeight="1">
      <c r="A34" s="2659"/>
      <c r="B34" s="2649"/>
      <c r="C34" s="2649"/>
      <c r="D34" s="2680"/>
      <c r="E34" s="705" t="s">
        <v>797</v>
      </c>
      <c r="F34" s="705">
        <f>+'계획처리구역 인구배분(출력x)'!H34-M34</f>
        <v>181</v>
      </c>
      <c r="G34" s="705">
        <f>+'계획처리구역 인구배분(출력x)'!L34-N34</f>
        <v>171</v>
      </c>
      <c r="H34" s="705">
        <f>+'계획처리구역 인구배분(출력x)'!Q34-O34</f>
        <v>171</v>
      </c>
      <c r="I34" s="705">
        <f>+'계획처리구역 인구배분(출력x)'!V34-P34</f>
        <v>170</v>
      </c>
      <c r="J34" s="705">
        <f>+'계획처리구역 인구배분(출력x)'!AA34-Q34</f>
        <v>213</v>
      </c>
      <c r="K34" s="1080"/>
      <c r="L34" s="17"/>
      <c r="M34" s="103"/>
      <c r="N34" s="103"/>
      <c r="O34" s="103"/>
      <c r="P34" s="103"/>
      <c r="Q34" s="103"/>
      <c r="R34" s="103"/>
      <c r="AC34" s="643"/>
      <c r="AD34" s="647"/>
      <c r="AE34" s="31" t="s">
        <v>468</v>
      </c>
      <c r="AF34" s="614">
        <f>+F121</f>
        <v>5219</v>
      </c>
      <c r="AG34" s="614">
        <f>+G121</f>
        <v>6243</v>
      </c>
      <c r="AH34" s="614">
        <f>+H121</f>
        <v>7024</v>
      </c>
      <c r="AI34" s="614">
        <f>+I121</f>
        <v>6911</v>
      </c>
      <c r="AJ34" s="614">
        <f>+J121</f>
        <v>9555</v>
      </c>
      <c r="AK34" s="613"/>
    </row>
    <row r="35" spans="1:37" ht="21.6" customHeight="1">
      <c r="A35" s="2659"/>
      <c r="B35" s="2649"/>
      <c r="C35" s="2649"/>
      <c r="D35" s="2680"/>
      <c r="E35" s="705" t="s">
        <v>798</v>
      </c>
      <c r="F35" s="705">
        <f>+'계획처리구역 인구배분(출력x)'!H35-M35</f>
        <v>1547</v>
      </c>
      <c r="G35" s="705">
        <f>+'계획처리구역 인구배분(출력x)'!L35-N35</f>
        <v>1462</v>
      </c>
      <c r="H35" s="705">
        <f>+'계획처리구역 인구배분(출력x)'!Q35-O35</f>
        <v>1460</v>
      </c>
      <c r="I35" s="705">
        <f>+'계획처리구역 인구배분(출력x)'!V35-P35</f>
        <v>1449</v>
      </c>
      <c r="J35" s="705">
        <f>+'계획처리구역 인구배분(출력x)'!AA35-Q35</f>
        <v>1823</v>
      </c>
      <c r="K35" s="1080" t="s">
        <v>1304</v>
      </c>
      <c r="L35" s="17"/>
      <c r="M35" s="103"/>
      <c r="N35" s="103"/>
      <c r="O35" s="103"/>
      <c r="P35" s="103"/>
      <c r="Q35" s="103"/>
      <c r="R35" s="103"/>
      <c r="AC35" s="643"/>
      <c r="AD35" s="647"/>
      <c r="AE35" s="31" t="s">
        <v>469</v>
      </c>
      <c r="AF35" s="614">
        <f>+F123</f>
        <v>280</v>
      </c>
      <c r="AG35" s="614">
        <f>+G123</f>
        <v>269</v>
      </c>
      <c r="AH35" s="614">
        <f>+H123</f>
        <v>265</v>
      </c>
      <c r="AI35" s="614">
        <f>+I123</f>
        <v>258</v>
      </c>
      <c r="AJ35" s="614">
        <f>+J123</f>
        <v>231</v>
      </c>
      <c r="AK35" s="613"/>
    </row>
    <row r="36" spans="1:37" ht="21.6" customHeight="1">
      <c r="A36" s="2659"/>
      <c r="B36" s="2649"/>
      <c r="C36" s="2649"/>
      <c r="D36" s="2680"/>
      <c r="E36" s="705" t="s">
        <v>799</v>
      </c>
      <c r="F36" s="705">
        <f>+'계획처리구역 인구배분(출력x)'!H36-M36</f>
        <v>1079</v>
      </c>
      <c r="G36" s="705">
        <f>+'계획처리구역 인구배분(출력x)'!L36-N36</f>
        <v>1020</v>
      </c>
      <c r="H36" s="705">
        <f>+'계획처리구역 인구배분(출력x)'!Q36-O36</f>
        <v>1018</v>
      </c>
      <c r="I36" s="705">
        <f>+'계획처리구역 인구배분(출력x)'!V36-P36</f>
        <v>1011</v>
      </c>
      <c r="J36" s="705">
        <f>+'계획처리구역 인구배분(출력x)'!AA36-Q36</f>
        <v>1271</v>
      </c>
      <c r="K36" s="1080" t="s">
        <v>1305</v>
      </c>
      <c r="L36" s="17"/>
      <c r="M36" s="103"/>
      <c r="N36" s="103"/>
      <c r="O36" s="103"/>
      <c r="P36" s="103"/>
      <c r="Q36" s="103"/>
      <c r="R36" s="103"/>
      <c r="AC36" s="643"/>
      <c r="AD36" s="647"/>
      <c r="AE36" s="31" t="s">
        <v>470</v>
      </c>
      <c r="AF36" s="614">
        <f>+F128</f>
        <v>84</v>
      </c>
      <c r="AG36" s="614">
        <f>+G128</f>
        <v>92</v>
      </c>
      <c r="AH36" s="614">
        <f>+H128</f>
        <v>90</v>
      </c>
      <c r="AI36" s="614">
        <f>+I128</f>
        <v>89</v>
      </c>
      <c r="AJ36" s="614">
        <f>+J128</f>
        <v>83</v>
      </c>
      <c r="AK36" s="613"/>
    </row>
    <row r="37" spans="1:37" ht="21.6" customHeight="1">
      <c r="A37" s="2659"/>
      <c r="B37" s="2649"/>
      <c r="C37" s="2649"/>
      <c r="D37" s="705" t="s">
        <v>800</v>
      </c>
      <c r="E37" s="705" t="s">
        <v>946</v>
      </c>
      <c r="F37" s="705">
        <f>+'계획처리구역 인구배분(출력x)'!H37-M37</f>
        <v>0</v>
      </c>
      <c r="G37" s="705">
        <f>+'계획처리구역 인구배분(출력x)'!L37-N37</f>
        <v>0</v>
      </c>
      <c r="H37" s="705">
        <f>+'계획처리구역 인구배분(출력x)'!Q37-O37</f>
        <v>69</v>
      </c>
      <c r="I37" s="705">
        <f>+'계획처리구역 인구배분(출력x)'!V37-P37</f>
        <v>68</v>
      </c>
      <c r="J37" s="705">
        <f>+'계획처리구역 인구배분(출력x)'!AA37-Q37</f>
        <v>103</v>
      </c>
      <c r="K37" s="1080"/>
      <c r="L37" s="17"/>
      <c r="M37" s="103">
        <v>147</v>
      </c>
      <c r="N37" s="103">
        <v>139</v>
      </c>
      <c r="O37" s="103">
        <v>70</v>
      </c>
      <c r="P37" s="103">
        <v>70</v>
      </c>
      <c r="Q37" s="103">
        <v>70</v>
      </c>
      <c r="R37" s="103"/>
      <c r="AC37" s="643"/>
      <c r="AD37" s="647"/>
      <c r="AE37" s="31" t="s">
        <v>471</v>
      </c>
      <c r="AF37" s="614">
        <f>+F134</f>
        <v>0</v>
      </c>
      <c r="AG37" s="614">
        <f>+G134</f>
        <v>178</v>
      </c>
      <c r="AH37" s="614">
        <f>+H134</f>
        <v>176</v>
      </c>
      <c r="AI37" s="614">
        <f>+I134</f>
        <v>173</v>
      </c>
      <c r="AJ37" s="614">
        <f>+J134</f>
        <v>161</v>
      </c>
      <c r="AK37" s="613"/>
    </row>
    <row r="38" spans="1:37" ht="21.6" customHeight="1">
      <c r="F38" s="176"/>
      <c r="G38" s="69"/>
      <c r="H38" s="69"/>
      <c r="I38" s="69"/>
      <c r="J38" s="69"/>
      <c r="K38" s="1081"/>
      <c r="L38" s="904"/>
      <c r="M38" s="103"/>
      <c r="N38" s="103"/>
      <c r="O38" s="103"/>
      <c r="P38" s="103"/>
      <c r="Q38" s="103"/>
      <c r="R38" s="103"/>
      <c r="AC38" s="643"/>
      <c r="AD38" s="647"/>
      <c r="AE38" s="31" t="s">
        <v>472</v>
      </c>
      <c r="AF38" s="614">
        <f>+F136</f>
        <v>0</v>
      </c>
      <c r="AG38" s="614">
        <f>+G136</f>
        <v>237</v>
      </c>
      <c r="AH38" s="614">
        <f>+H136</f>
        <v>234</v>
      </c>
      <c r="AI38" s="614">
        <f>+I136</f>
        <v>230</v>
      </c>
      <c r="AJ38" s="614">
        <f>+J136</f>
        <v>214</v>
      </c>
      <c r="AK38" s="613"/>
    </row>
    <row r="39" spans="1:37" ht="21.6" customHeight="1">
      <c r="A39" s="2638" t="s">
        <v>1137</v>
      </c>
      <c r="B39" s="2638"/>
      <c r="C39" s="2638"/>
      <c r="D39" s="2638"/>
      <c r="E39" s="2638"/>
      <c r="F39" s="903"/>
      <c r="G39" s="903"/>
      <c r="H39" s="903"/>
      <c r="I39" s="903"/>
      <c r="J39" s="903"/>
      <c r="K39" s="1082"/>
      <c r="L39" s="904"/>
      <c r="M39" s="103"/>
      <c r="N39" s="103"/>
      <c r="O39" s="103"/>
      <c r="P39" s="103"/>
      <c r="Q39" s="103"/>
      <c r="R39" s="103"/>
      <c r="AC39" s="643"/>
      <c r="AD39" s="647"/>
      <c r="AE39" s="31" t="s">
        <v>473</v>
      </c>
      <c r="AF39" s="614">
        <f>+F139</f>
        <v>200</v>
      </c>
      <c r="AG39" s="614">
        <f>+G139</f>
        <v>195</v>
      </c>
      <c r="AH39" s="614">
        <f>+H139</f>
        <v>193</v>
      </c>
      <c r="AI39" s="614">
        <f>+I139</f>
        <v>189</v>
      </c>
      <c r="AJ39" s="614">
        <f>+J139</f>
        <v>176</v>
      </c>
      <c r="AK39" s="613"/>
    </row>
    <row r="40" spans="1:37" ht="39.950000000000003" customHeight="1">
      <c r="A40" s="98" t="s">
        <v>0</v>
      </c>
      <c r="B40" s="736" t="s">
        <v>1</v>
      </c>
      <c r="C40" s="737" t="s">
        <v>2</v>
      </c>
      <c r="D40" s="737" t="s">
        <v>3</v>
      </c>
      <c r="E40" s="737" t="s">
        <v>4</v>
      </c>
      <c r="F40" s="736" t="s">
        <v>1222</v>
      </c>
      <c r="G40" s="98" t="s">
        <v>156</v>
      </c>
      <c r="H40" s="98" t="s">
        <v>157</v>
      </c>
      <c r="I40" s="98" t="s">
        <v>158</v>
      </c>
      <c r="J40" s="98" t="s">
        <v>159</v>
      </c>
      <c r="K40" s="1083" t="s">
        <v>139</v>
      </c>
      <c r="L40" s="17"/>
      <c r="M40" s="103"/>
      <c r="N40" s="103"/>
      <c r="O40" s="103"/>
      <c r="P40" s="103"/>
      <c r="Q40" s="103"/>
      <c r="R40" s="103"/>
      <c r="AC40" s="643"/>
      <c r="AD40" s="647"/>
      <c r="AE40" s="31" t="s">
        <v>474</v>
      </c>
      <c r="AF40" s="614">
        <f>+F144</f>
        <v>0</v>
      </c>
      <c r="AG40" s="614">
        <f>+G144</f>
        <v>0</v>
      </c>
      <c r="AH40" s="614">
        <f>+H144</f>
        <v>0</v>
      </c>
      <c r="AI40" s="614">
        <f>+I144</f>
        <v>0</v>
      </c>
      <c r="AJ40" s="614">
        <f>+J144</f>
        <v>0</v>
      </c>
      <c r="AK40" s="613"/>
    </row>
    <row r="41" spans="1:37" ht="24.95" customHeight="1">
      <c r="A41" s="2639" t="s">
        <v>950</v>
      </c>
      <c r="B41" s="2636" t="s">
        <v>6</v>
      </c>
      <c r="C41" s="2636"/>
      <c r="D41" s="2636"/>
      <c r="E41" s="2636"/>
      <c r="F41" s="907">
        <f>SUM(F42,F56,)</f>
        <v>16965</v>
      </c>
      <c r="G41" s="907">
        <f t="shared" ref="G41:J41" si="3">SUM(G42,G56,)</f>
        <v>21089</v>
      </c>
      <c r="H41" s="907">
        <f t="shared" si="3"/>
        <v>21730</v>
      </c>
      <c r="I41" s="907">
        <f t="shared" si="3"/>
        <v>21891</v>
      </c>
      <c r="J41" s="907">
        <f t="shared" si="3"/>
        <v>26891</v>
      </c>
      <c r="K41" s="1080"/>
      <c r="L41" s="17"/>
      <c r="M41" s="1077"/>
      <c r="N41" s="1077"/>
      <c r="O41" s="1077"/>
      <c r="P41" s="103"/>
      <c r="Q41" s="103"/>
      <c r="R41" s="103"/>
      <c r="AC41" s="643"/>
      <c r="AD41" s="647"/>
      <c r="AE41" s="31" t="s">
        <v>475</v>
      </c>
      <c r="AF41" s="614" t="str">
        <f>+F146</f>
        <v>현재
（2016）</v>
      </c>
      <c r="AG41" s="614" t="str">
        <f>+G146</f>
        <v>１단계
（2020）</v>
      </c>
      <c r="AH41" s="614" t="str">
        <f>+H146</f>
        <v>２단계
（2025）</v>
      </c>
      <c r="AI41" s="614" t="str">
        <f>+I146</f>
        <v>３단계
（2030）</v>
      </c>
      <c r="AJ41" s="614" t="str">
        <f>+J146</f>
        <v>４단계
（2035）</v>
      </c>
      <c r="AK41" s="613"/>
    </row>
    <row r="42" spans="1:37" ht="24.95" customHeight="1">
      <c r="A42" s="2640"/>
      <c r="B42" s="2677" t="s">
        <v>951</v>
      </c>
      <c r="C42" s="2634" t="s">
        <v>24</v>
      </c>
      <c r="D42" s="2634"/>
      <c r="E42" s="2634"/>
      <c r="F42" s="907">
        <f>SUM(F43:F55)</f>
        <v>6767</v>
      </c>
      <c r="G42" s="907">
        <f t="shared" ref="G42:J42" si="4">SUM(G43:G55)</f>
        <v>7722</v>
      </c>
      <c r="H42" s="907">
        <f t="shared" si="4"/>
        <v>8234</v>
      </c>
      <c r="I42" s="907">
        <f t="shared" si="4"/>
        <v>8283</v>
      </c>
      <c r="J42" s="907">
        <f t="shared" si="4"/>
        <v>9571</v>
      </c>
      <c r="K42" s="1080"/>
      <c r="L42" s="17"/>
      <c r="M42" s="103"/>
      <c r="N42" s="103"/>
      <c r="O42" s="103"/>
      <c r="P42" s="103"/>
      <c r="Q42" s="103"/>
      <c r="R42" s="103"/>
      <c r="AC42" s="643"/>
      <c r="AD42" s="647"/>
      <c r="AE42" s="31" t="s">
        <v>476</v>
      </c>
      <c r="AF42" s="614">
        <f>+F148</f>
        <v>5333</v>
      </c>
      <c r="AG42" s="614">
        <f>+G148</f>
        <v>5884</v>
      </c>
      <c r="AH42" s="614">
        <f>+H148</f>
        <v>6857</v>
      </c>
      <c r="AI42" s="614">
        <f>+I148</f>
        <v>6822</v>
      </c>
      <c r="AJ42" s="614">
        <f>+J148</f>
        <v>8614</v>
      </c>
      <c r="AK42" s="613"/>
    </row>
    <row r="43" spans="1:37" ht="24.95" customHeight="1">
      <c r="A43" s="2640"/>
      <c r="B43" s="2678"/>
      <c r="C43" s="2636" t="s">
        <v>667</v>
      </c>
      <c r="D43" s="2681" t="s">
        <v>956</v>
      </c>
      <c r="E43" s="771" t="s">
        <v>958</v>
      </c>
      <c r="F43" s="705">
        <f>+'계획처리구역 인구배분(출력x)'!H43-M43</f>
        <v>967</v>
      </c>
      <c r="G43" s="705">
        <f>+'계획처리구역 인구배분(출력x)'!L43-N43</f>
        <v>945</v>
      </c>
      <c r="H43" s="705">
        <f>+'계획처리구역 인구배분(출력x)'!Q43-O43</f>
        <v>956</v>
      </c>
      <c r="I43" s="705">
        <f>+'계획처리구역 인구배분(출력x)'!V43-P43</f>
        <v>965</v>
      </c>
      <c r="J43" s="705">
        <f>+'계획처리구역 인구배분(출력x)'!AA43-Q43</f>
        <v>1149</v>
      </c>
      <c r="K43" s="1080"/>
      <c r="L43" s="17"/>
      <c r="M43" s="103"/>
      <c r="N43" s="103"/>
      <c r="O43" s="103"/>
      <c r="P43" s="103"/>
      <c r="Q43" s="103"/>
      <c r="R43" s="103"/>
      <c r="AC43" s="643"/>
      <c r="AD43" s="647"/>
      <c r="AE43" s="31" t="s">
        <v>477</v>
      </c>
      <c r="AF43" s="614">
        <f>+F150</f>
        <v>561</v>
      </c>
      <c r="AG43" s="614">
        <f>+G150</f>
        <v>562</v>
      </c>
      <c r="AH43" s="614">
        <f>+H150</f>
        <v>605</v>
      </c>
      <c r="AI43" s="614">
        <f>+I150</f>
        <v>601</v>
      </c>
      <c r="AJ43" s="614">
        <f>+J150</f>
        <v>784</v>
      </c>
      <c r="AK43" s="613"/>
    </row>
    <row r="44" spans="1:37" ht="24.95" customHeight="1">
      <c r="A44" s="2640"/>
      <c r="B44" s="2678"/>
      <c r="C44" s="2636"/>
      <c r="D44" s="2682"/>
      <c r="E44" s="771" t="s">
        <v>957</v>
      </c>
      <c r="F44" s="705">
        <f>+'계획처리구역 인구배분(출력x)'!H44-M44</f>
        <v>520</v>
      </c>
      <c r="G44" s="705">
        <f>+'계획처리구역 인구배분(출력x)'!L44-N44</f>
        <v>508</v>
      </c>
      <c r="H44" s="705">
        <f>+'계획처리구역 인구배분(출력x)'!Q44-O44</f>
        <v>514</v>
      </c>
      <c r="I44" s="705">
        <f>+'계획처리구역 인구배분(출력x)'!V44-P44</f>
        <v>519</v>
      </c>
      <c r="J44" s="705">
        <f>+'계획처리구역 인구배분(출력x)'!AA44-Q44</f>
        <v>618</v>
      </c>
      <c r="K44" s="1080"/>
      <c r="L44" s="17"/>
      <c r="M44" s="103"/>
      <c r="N44" s="103"/>
      <c r="O44" s="103"/>
      <c r="P44" s="103"/>
      <c r="Q44" s="103"/>
      <c r="R44" s="103"/>
      <c r="AC44" s="643"/>
      <c r="AD44" s="647"/>
      <c r="AE44" s="31" t="s">
        <v>478</v>
      </c>
      <c r="AF44" s="614">
        <f>+F152</f>
        <v>590</v>
      </c>
      <c r="AG44" s="614">
        <f>+G152</f>
        <v>591</v>
      </c>
      <c r="AH44" s="614">
        <f>+H152</f>
        <v>636</v>
      </c>
      <c r="AI44" s="614">
        <f>+I152</f>
        <v>632</v>
      </c>
      <c r="AJ44" s="614">
        <f>+J152</f>
        <v>825</v>
      </c>
      <c r="AK44" s="613"/>
    </row>
    <row r="45" spans="1:37" ht="24.95" customHeight="1">
      <c r="A45" s="2640"/>
      <c r="B45" s="2678"/>
      <c r="C45" s="2636"/>
      <c r="D45" s="2682"/>
      <c r="E45" s="771" t="s">
        <v>959</v>
      </c>
      <c r="F45" s="705">
        <f>+'계획처리구역 인구배분(출력x)'!H45-M45</f>
        <v>439</v>
      </c>
      <c r="G45" s="705">
        <f>+'계획처리구역 인구배분(출력x)'!L45-N45</f>
        <v>429</v>
      </c>
      <c r="H45" s="705">
        <f>+'계획처리구역 인구배분(출력x)'!Q45-O45</f>
        <v>434</v>
      </c>
      <c r="I45" s="705">
        <f>+'계획처리구역 인구배분(출력x)'!V45-P45</f>
        <v>438</v>
      </c>
      <c r="J45" s="705">
        <f>+'계획처리구역 인구배분(출력x)'!AA45-Q45</f>
        <v>522</v>
      </c>
      <c r="K45" s="1080" t="s">
        <v>1312</v>
      </c>
      <c r="L45" s="17"/>
      <c r="M45" s="103"/>
      <c r="N45" s="103"/>
      <c r="O45" s="103"/>
      <c r="P45" s="103"/>
      <c r="Q45" s="103"/>
      <c r="R45" s="103"/>
      <c r="AC45" s="643"/>
      <c r="AD45" s="647"/>
      <c r="AE45" s="31" t="s">
        <v>479</v>
      </c>
      <c r="AF45" s="614">
        <f>+F164</f>
        <v>387</v>
      </c>
      <c r="AG45" s="614">
        <f>+G164</f>
        <v>387</v>
      </c>
      <c r="AH45" s="614">
        <f>+H164</f>
        <v>417</v>
      </c>
      <c r="AI45" s="614">
        <f>+I164</f>
        <v>415</v>
      </c>
      <c r="AJ45" s="614">
        <f>+J164</f>
        <v>541</v>
      </c>
      <c r="AK45" s="613"/>
    </row>
    <row r="46" spans="1:37" s="712" customFormat="1" ht="24.95" customHeight="1">
      <c r="A46" s="2640"/>
      <c r="B46" s="2678"/>
      <c r="C46" s="2636"/>
      <c r="D46" s="2682"/>
      <c r="E46" s="1016" t="s">
        <v>1260</v>
      </c>
      <c r="F46" s="1019">
        <f>+'계획처리구역 인구배분(출력x)'!H46-M46</f>
        <v>1608</v>
      </c>
      <c r="G46" s="1019">
        <f>+'계획처리구역 인구배분(출력x)'!L46-N46</f>
        <v>1571</v>
      </c>
      <c r="H46" s="1019">
        <f>+'계획처리구역 인구배분(출력x)'!Q46-O46</f>
        <v>1589</v>
      </c>
      <c r="I46" s="1019">
        <f>+'계획처리구역 인구배분(출력x)'!V46-P46</f>
        <v>1605</v>
      </c>
      <c r="J46" s="1019">
        <f>+'계획처리구역 인구배분(출력x)'!AA46-Q46</f>
        <v>1911</v>
      </c>
      <c r="K46" s="1080" t="s">
        <v>1313</v>
      </c>
      <c r="L46" s="17"/>
      <c r="M46" s="103"/>
      <c r="N46" s="103"/>
      <c r="O46" s="103"/>
      <c r="P46" s="103"/>
      <c r="Q46" s="103"/>
      <c r="R46" s="103"/>
      <c r="S46" s="9"/>
      <c r="T46" s="9"/>
      <c r="U46" s="9"/>
      <c r="V46" s="9"/>
      <c r="W46" s="9"/>
      <c r="X46" s="9"/>
      <c r="Y46" s="9"/>
      <c r="Z46" s="9"/>
      <c r="AC46" s="643"/>
      <c r="AD46" s="647"/>
      <c r="AE46" s="713"/>
      <c r="AF46" s="614"/>
      <c r="AG46" s="614"/>
      <c r="AH46" s="614"/>
      <c r="AI46" s="614"/>
      <c r="AJ46" s="614"/>
      <c r="AK46" s="1018"/>
    </row>
    <row r="47" spans="1:37" s="712" customFormat="1" ht="24.95" customHeight="1">
      <c r="A47" s="2640"/>
      <c r="B47" s="2678"/>
      <c r="C47" s="2636"/>
      <c r="D47" s="2682"/>
      <c r="E47" s="1033" t="s">
        <v>1268</v>
      </c>
      <c r="F47" s="1033">
        <f>+'계획처리구역 인구배분(출력x)'!H47-M47</f>
        <v>0</v>
      </c>
      <c r="G47" s="1033">
        <f>+'계획처리구역 인구배분(출력x)'!L47-N47</f>
        <v>593</v>
      </c>
      <c r="H47" s="1033">
        <f>+'계획처리구역 인구배분(출력x)'!Q47-O47</f>
        <v>593</v>
      </c>
      <c r="I47" s="1033">
        <f>+'계획처리구역 인구배분(출력x)'!V47-P47</f>
        <v>593</v>
      </c>
      <c r="J47" s="1033">
        <f>+'계획처리구역 인구배분(출력x)'!AA47-Q47</f>
        <v>593</v>
      </c>
      <c r="K47" s="1080" t="str">
        <f>'계획처리구역 인구배분(출력x)'!AD47</f>
        <v>시티프라디움</v>
      </c>
      <c r="L47" s="711" t="s">
        <v>958</v>
      </c>
      <c r="M47" s="103"/>
      <c r="N47" s="103"/>
      <c r="O47" s="103"/>
      <c r="P47" s="103"/>
      <c r="Q47" s="103"/>
      <c r="R47" s="103"/>
      <c r="S47" s="9"/>
      <c r="T47" s="9"/>
      <c r="U47" s="9"/>
      <c r="V47" s="9"/>
      <c r="W47" s="9"/>
      <c r="X47" s="9"/>
      <c r="Y47" s="9"/>
      <c r="Z47" s="9"/>
      <c r="AC47" s="643"/>
      <c r="AD47" s="647"/>
      <c r="AE47" s="713"/>
      <c r="AF47" s="614"/>
      <c r="AG47" s="614"/>
      <c r="AH47" s="614"/>
      <c r="AI47" s="614"/>
      <c r="AJ47" s="614"/>
      <c r="AK47" s="1032"/>
    </row>
    <row r="48" spans="1:37" s="712" customFormat="1" ht="24.95" customHeight="1">
      <c r="A48" s="2640"/>
      <c r="B48" s="2678"/>
      <c r="C48" s="2636"/>
      <c r="D48" s="2683"/>
      <c r="E48" s="1106" t="s">
        <v>149</v>
      </c>
      <c r="F48" s="1106">
        <f>+'계획처리구역 인구배분(출력x)'!H48-M48</f>
        <v>0</v>
      </c>
      <c r="G48" s="1106">
        <f>+'계획처리구역 인구배분(출력x)'!L48-N48</f>
        <v>0</v>
      </c>
      <c r="H48" s="1106">
        <f>+'계획처리구역 인구배분(출력x)'!Q48-O48</f>
        <v>446</v>
      </c>
      <c r="I48" s="1106">
        <f>+'계획처리구역 인구배분(출력x)'!V48-P48</f>
        <v>446</v>
      </c>
      <c r="J48" s="1106">
        <f>+'계획처리구역 인구배분(출력x)'!AA48-Q48</f>
        <v>446</v>
      </c>
      <c r="K48" s="1080" t="s">
        <v>1335</v>
      </c>
      <c r="L48" s="711" t="s">
        <v>958</v>
      </c>
      <c r="M48" s="103"/>
      <c r="N48" s="103"/>
      <c r="O48" s="103"/>
      <c r="P48" s="103"/>
      <c r="Q48" s="103"/>
      <c r="R48" s="103"/>
      <c r="S48" s="9"/>
      <c r="T48" s="9"/>
      <c r="U48" s="9"/>
      <c r="V48" s="9"/>
      <c r="W48" s="9"/>
      <c r="X48" s="9"/>
      <c r="Y48" s="9"/>
      <c r="Z48" s="9"/>
      <c r="AC48" s="643"/>
      <c r="AD48" s="647"/>
      <c r="AE48" s="713"/>
      <c r="AF48" s="614"/>
      <c r="AG48" s="614"/>
      <c r="AH48" s="614"/>
      <c r="AI48" s="614"/>
      <c r="AJ48" s="614"/>
      <c r="AK48" s="1107"/>
    </row>
    <row r="49" spans="1:37" ht="24.95" customHeight="1">
      <c r="A49" s="2640"/>
      <c r="B49" s="2678"/>
      <c r="C49" s="2636"/>
      <c r="D49" s="2681" t="s">
        <v>961</v>
      </c>
      <c r="E49" s="771" t="s">
        <v>1497</v>
      </c>
      <c r="F49" s="705">
        <f>+'계획처리구역 인구배분(출력x)'!H49-M49</f>
        <v>658</v>
      </c>
      <c r="G49" s="705">
        <f>+'계획처리구역 인구배분(출력x)'!L49-N49</f>
        <v>643</v>
      </c>
      <c r="H49" s="705">
        <f>+'계획처리구역 인구배분(출력x)'!Q49-O49</f>
        <v>650</v>
      </c>
      <c r="I49" s="705">
        <f>+'계획처리구역 인구배분(출력x)'!V49-P49</f>
        <v>657</v>
      </c>
      <c r="J49" s="705">
        <f>+'계획처리구역 인구배분(출력x)'!AA49-Q49</f>
        <v>782</v>
      </c>
      <c r="K49" s="1080"/>
      <c r="L49" s="711"/>
      <c r="M49" s="103"/>
      <c r="N49" s="103"/>
      <c r="O49" s="103"/>
      <c r="P49" s="103"/>
      <c r="Q49" s="103"/>
      <c r="R49" s="103"/>
      <c r="AC49" s="643"/>
      <c r="AD49" s="647"/>
      <c r="AE49" s="31" t="s">
        <v>480</v>
      </c>
      <c r="AF49" s="614">
        <f>+F167</f>
        <v>135</v>
      </c>
      <c r="AG49" s="614">
        <f>+G167</f>
        <v>135</v>
      </c>
      <c r="AH49" s="614">
        <f>+H167</f>
        <v>146</v>
      </c>
      <c r="AI49" s="614">
        <f>+I167</f>
        <v>145</v>
      </c>
      <c r="AJ49" s="614">
        <f>+J167</f>
        <v>189</v>
      </c>
      <c r="AK49" s="613"/>
    </row>
    <row r="50" spans="1:37" ht="24.95" customHeight="1">
      <c r="A50" s="2640"/>
      <c r="B50" s="2678"/>
      <c r="C50" s="2636"/>
      <c r="D50" s="2682"/>
      <c r="E50" s="771" t="s">
        <v>963</v>
      </c>
      <c r="F50" s="705">
        <f>+'계획처리구역 인구배분(출력x)'!H50-M50</f>
        <v>792</v>
      </c>
      <c r="G50" s="705">
        <f>+'계획처리구역 인구배분(출력x)'!L50-N50</f>
        <v>774</v>
      </c>
      <c r="H50" s="705">
        <f>+'계획처리구역 인구배분(출력x)'!Q50-O50</f>
        <v>783</v>
      </c>
      <c r="I50" s="705">
        <f>+'계획처리구역 인구배분(출력x)'!V50-P50</f>
        <v>790</v>
      </c>
      <c r="J50" s="705">
        <f>+'계획처리구역 인구배분(출력x)'!AA50-Q50</f>
        <v>941</v>
      </c>
      <c r="K50" s="1080"/>
      <c r="L50" s="711"/>
      <c r="M50" s="103"/>
      <c r="N50" s="103"/>
      <c r="O50" s="103"/>
      <c r="P50" s="103"/>
      <c r="Q50" s="103"/>
      <c r="R50" s="103"/>
      <c r="AC50" s="643"/>
      <c r="AD50" s="648"/>
      <c r="AE50" s="31" t="s">
        <v>482</v>
      </c>
      <c r="AF50" s="614">
        <f>SUM(AF5:AF49)</f>
        <v>24463</v>
      </c>
      <c r="AG50" s="614">
        <f>SUM(AG5:AG49)</f>
        <v>27086</v>
      </c>
      <c r="AH50" s="614">
        <f>SUM(AH5:AH49)</f>
        <v>29905</v>
      </c>
      <c r="AI50" s="614">
        <f>SUM(AI5:AI49)</f>
        <v>29765</v>
      </c>
      <c r="AJ50" s="614">
        <f>SUM(AJ5:AJ49)</f>
        <v>36751</v>
      </c>
      <c r="AK50" s="31"/>
    </row>
    <row r="51" spans="1:37" s="712" customFormat="1" ht="24.95" customHeight="1">
      <c r="A51" s="2640"/>
      <c r="B51" s="2678"/>
      <c r="C51" s="2636"/>
      <c r="D51" s="2683"/>
      <c r="E51" s="953" t="s">
        <v>1158</v>
      </c>
      <c r="F51" s="954">
        <f>+'계획처리구역 인구배분(출력x)'!H51-M51</f>
        <v>1651</v>
      </c>
      <c r="G51" s="954">
        <f>+'계획처리구역 인구배분(출력x)'!L51-N51</f>
        <v>1613</v>
      </c>
      <c r="H51" s="954">
        <f>+'계획처리구역 인구배분(출력x)'!Q51-O51</f>
        <v>1632</v>
      </c>
      <c r="I51" s="954">
        <f>+'계획처리구역 인구배분(출력x)'!V51-P51</f>
        <v>1648</v>
      </c>
      <c r="J51" s="954">
        <f>+'계획처리구역 인구배분(출력x)'!AA51-Q51</f>
        <v>1962</v>
      </c>
      <c r="K51" s="1080" t="s">
        <v>1282</v>
      </c>
      <c r="L51" s="711"/>
      <c r="M51" s="103"/>
      <c r="N51" s="103"/>
      <c r="O51" s="103"/>
      <c r="P51" s="103"/>
      <c r="Q51" s="103"/>
      <c r="R51" s="103"/>
      <c r="S51" s="9"/>
      <c r="T51" s="9"/>
      <c r="U51" s="9"/>
      <c r="V51" s="9"/>
      <c r="W51" s="9"/>
      <c r="X51" s="9"/>
      <c r="Y51" s="9"/>
      <c r="Z51" s="9"/>
      <c r="AC51" s="643"/>
      <c r="AD51" s="955"/>
      <c r="AE51" s="956"/>
      <c r="AF51" s="614"/>
      <c r="AG51" s="614"/>
      <c r="AH51" s="614"/>
      <c r="AI51" s="614"/>
      <c r="AJ51" s="614"/>
      <c r="AK51" s="713"/>
    </row>
    <row r="52" spans="1:37" ht="24.95" customHeight="1">
      <c r="A52" s="2640"/>
      <c r="B52" s="2678"/>
      <c r="C52" s="2636"/>
      <c r="D52" s="771" t="s">
        <v>954</v>
      </c>
      <c r="E52" s="771" t="s">
        <v>955</v>
      </c>
      <c r="F52" s="705">
        <f>+'계획처리구역 인구배분(출력x)'!H52-M52</f>
        <v>132</v>
      </c>
      <c r="G52" s="705">
        <f>+'계획처리구역 인구배분(출력x)'!L52-N52</f>
        <v>270</v>
      </c>
      <c r="H52" s="705">
        <f>+'계획처리구역 인구배분(출력x)'!Q52-O52</f>
        <v>273</v>
      </c>
      <c r="I52" s="705">
        <f>+'계획처리구역 인구배분(출력x)'!V52-P52</f>
        <v>275</v>
      </c>
      <c r="J52" s="705">
        <f>+'계획처리구역 인구배분(출력x)'!AA52-Q52</f>
        <v>328</v>
      </c>
      <c r="K52" s="1080"/>
      <c r="L52" s="711"/>
      <c r="M52" s="103">
        <v>144</v>
      </c>
      <c r="N52" s="103"/>
      <c r="O52" s="103"/>
      <c r="P52" s="103"/>
      <c r="Q52" s="103"/>
      <c r="R52" s="103"/>
      <c r="AC52" s="643"/>
      <c r="AD52" s="2646" t="s">
        <v>586</v>
      </c>
      <c r="AE52" s="2647"/>
      <c r="AF52" s="614" t="e">
        <f>+#REF!</f>
        <v>#REF!</v>
      </c>
      <c r="AG52" s="614" t="e">
        <f>+#REF!</f>
        <v>#REF!</v>
      </c>
      <c r="AH52" s="614" t="e">
        <f>+#REF!</f>
        <v>#REF!</v>
      </c>
      <c r="AI52" s="614" t="e">
        <f>+#REF!</f>
        <v>#REF!</v>
      </c>
      <c r="AJ52" s="614" t="e">
        <f>+#REF!</f>
        <v>#REF!</v>
      </c>
      <c r="AK52" s="31"/>
    </row>
    <row r="53" spans="1:37" ht="24.95" customHeight="1">
      <c r="A53" s="2640"/>
      <c r="B53" s="2678"/>
      <c r="C53" s="2677" t="s">
        <v>643</v>
      </c>
      <c r="D53" s="1176" t="s">
        <v>965</v>
      </c>
      <c r="E53" s="1176" t="s">
        <v>965</v>
      </c>
      <c r="F53" s="705">
        <f>+'계획처리구역 인구배분(출력x)'!H53-M53</f>
        <v>0</v>
      </c>
      <c r="G53" s="705">
        <f>+'계획처리구역 인구배분(출력x)'!L53-N53</f>
        <v>159</v>
      </c>
      <c r="H53" s="705">
        <f>+'계획처리구역 인구배분(출력x)'!Q53-O53</f>
        <v>154</v>
      </c>
      <c r="I53" s="705">
        <f>+'계획처리구역 인구배분(출력x)'!V53-P53</f>
        <v>147</v>
      </c>
      <c r="J53" s="705">
        <f>+'계획처리구역 인구배분(출력x)'!AA53-Q53</f>
        <v>135</v>
      </c>
      <c r="K53" s="1080"/>
      <c r="L53" s="711"/>
      <c r="M53" s="103">
        <v>182</v>
      </c>
      <c r="N53" s="103"/>
      <c r="O53" s="103"/>
      <c r="P53" s="103"/>
      <c r="Q53" s="103"/>
      <c r="R53" s="103"/>
      <c r="AC53" s="643"/>
      <c r="AD53" s="2642" t="s">
        <v>484</v>
      </c>
      <c r="AE53" s="2642"/>
      <c r="AF53" s="614" t="e">
        <f>+#REF!</f>
        <v>#REF!</v>
      </c>
      <c r="AG53" s="614" t="e">
        <f>+#REF!</f>
        <v>#REF!</v>
      </c>
      <c r="AH53" s="614" t="e">
        <f>+#REF!</f>
        <v>#REF!</v>
      </c>
      <c r="AI53" s="614" t="e">
        <f>+#REF!</f>
        <v>#REF!</v>
      </c>
      <c r="AJ53" s="614" t="e">
        <f>+#REF!</f>
        <v>#REF!</v>
      </c>
      <c r="AK53" s="649" t="s">
        <v>580</v>
      </c>
    </row>
    <row r="54" spans="1:37" s="712" customFormat="1" ht="24.95" customHeight="1">
      <c r="A54" s="2640"/>
      <c r="B54" s="2678"/>
      <c r="C54" s="2678"/>
      <c r="D54" s="1176" t="s">
        <v>1489</v>
      </c>
      <c r="E54" s="1176" t="s">
        <v>1487</v>
      </c>
      <c r="F54" s="1118">
        <f>+'계획처리구역 인구배분(출력x)'!H54-M54</f>
        <v>0</v>
      </c>
      <c r="G54" s="1730">
        <f>+'계획처리구역 인구배분(출력x)'!L54-N54</f>
        <v>153</v>
      </c>
      <c r="H54" s="1730">
        <f>+'계획처리구역 인구배분(출력x)'!Q54-O54</f>
        <v>148</v>
      </c>
      <c r="I54" s="1730">
        <f>+'계획처리구역 인구배분(출력x)'!V54-P54</f>
        <v>141</v>
      </c>
      <c r="J54" s="1730">
        <f>+'계획처리구역 인구배분(출력x)'!AA54-Q54</f>
        <v>130</v>
      </c>
      <c r="K54" s="1080"/>
      <c r="L54" s="711"/>
      <c r="M54" s="103">
        <v>175</v>
      </c>
      <c r="N54" s="103"/>
      <c r="O54" s="103"/>
      <c r="P54" s="103"/>
      <c r="Q54" s="103"/>
      <c r="R54" s="103"/>
      <c r="S54" s="9"/>
      <c r="T54" s="9"/>
      <c r="U54" s="9"/>
      <c r="V54" s="9"/>
      <c r="W54" s="9"/>
      <c r="X54" s="9"/>
      <c r="Y54" s="9"/>
      <c r="Z54" s="9"/>
      <c r="AC54" s="643"/>
      <c r="AD54" s="1119"/>
      <c r="AE54" s="1119"/>
      <c r="AF54" s="614"/>
      <c r="AG54" s="614"/>
      <c r="AH54" s="614"/>
      <c r="AI54" s="614"/>
      <c r="AJ54" s="614"/>
      <c r="AK54" s="649"/>
    </row>
    <row r="55" spans="1:37" s="712" customFormat="1" ht="24.95" customHeight="1">
      <c r="A55" s="2640"/>
      <c r="B55" s="2679"/>
      <c r="C55" s="2679"/>
      <c r="D55" s="1176" t="s">
        <v>1490</v>
      </c>
      <c r="E55" s="1176" t="s">
        <v>1485</v>
      </c>
      <c r="F55" s="1178">
        <f>+'계획처리구역 인구배분(출력x)'!H55-M55</f>
        <v>0</v>
      </c>
      <c r="G55" s="1730">
        <f>+'계획처리구역 인구배분(출력x)'!L55-N55</f>
        <v>64</v>
      </c>
      <c r="H55" s="1730">
        <f>+'계획처리구역 인구배분(출력x)'!Q55-O55</f>
        <v>62</v>
      </c>
      <c r="I55" s="1730">
        <f>+'계획처리구역 인구배분(출력x)'!V55-P55</f>
        <v>59</v>
      </c>
      <c r="J55" s="1730">
        <f>+'계획처리구역 인구배분(출력x)'!AA55-Q55</f>
        <v>54</v>
      </c>
      <c r="K55" s="1080"/>
      <c r="L55" s="711"/>
      <c r="M55" s="103">
        <v>73</v>
      </c>
      <c r="N55" s="103"/>
      <c r="O55" s="103"/>
      <c r="P55" s="103"/>
      <c r="Q55" s="103"/>
      <c r="R55" s="103"/>
      <c r="S55" s="9"/>
      <c r="T55" s="9"/>
      <c r="U55" s="9"/>
      <c r="V55" s="9"/>
      <c r="W55" s="9"/>
      <c r="X55" s="9"/>
      <c r="Y55" s="9"/>
      <c r="Z55" s="9"/>
      <c r="AC55" s="643"/>
      <c r="AD55" s="1179"/>
      <c r="AE55" s="1179"/>
      <c r="AF55" s="614"/>
      <c r="AG55" s="614"/>
      <c r="AH55" s="614"/>
      <c r="AI55" s="614"/>
      <c r="AJ55" s="614"/>
      <c r="AK55" s="649"/>
    </row>
    <row r="56" spans="1:37" ht="24.95" customHeight="1">
      <c r="A56" s="2640"/>
      <c r="B56" s="2677" t="s">
        <v>952</v>
      </c>
      <c r="C56" s="2635" t="s">
        <v>7</v>
      </c>
      <c r="D56" s="2635"/>
      <c r="E56" s="2635"/>
      <c r="F56" s="907">
        <f>SUM(F57:F73)</f>
        <v>10198</v>
      </c>
      <c r="G56" s="907">
        <f>SUM(G57:G73)</f>
        <v>13367</v>
      </c>
      <c r="H56" s="907">
        <f>SUM(H57:H73)</f>
        <v>13496</v>
      </c>
      <c r="I56" s="907">
        <f>SUM(I57:I73)</f>
        <v>13608</v>
      </c>
      <c r="J56" s="907">
        <f>SUM(J57:J73)</f>
        <v>17320</v>
      </c>
      <c r="K56" s="1080"/>
      <c r="L56" s="711"/>
      <c r="M56" s="103"/>
      <c r="N56" s="103"/>
      <c r="O56" s="103"/>
      <c r="P56" s="103"/>
      <c r="Q56" s="103"/>
      <c r="R56" s="103"/>
      <c r="AC56" s="644"/>
      <c r="AD56" s="2642" t="s">
        <v>485</v>
      </c>
      <c r="AE56" s="2642"/>
      <c r="AF56" s="614" t="e">
        <f>SUM(AF50:AF53)</f>
        <v>#REF!</v>
      </c>
      <c r="AG56" s="614" t="e">
        <f>SUM(AG50:AG53)</f>
        <v>#REF!</v>
      </c>
      <c r="AH56" s="614" t="e">
        <f>SUM(AH50:AH53)</f>
        <v>#REF!</v>
      </c>
      <c r="AI56" s="614" t="e">
        <f>SUM(AI50:AI53)</f>
        <v>#REF!</v>
      </c>
      <c r="AJ56" s="614" t="e">
        <f>SUM(AJ50:AJ53)</f>
        <v>#REF!</v>
      </c>
      <c r="AK56" s="31"/>
    </row>
    <row r="57" spans="1:37" ht="24.95" customHeight="1">
      <c r="A57" s="2640"/>
      <c r="B57" s="2678"/>
      <c r="C57" s="2684" t="s">
        <v>637</v>
      </c>
      <c r="D57" s="2684" t="s">
        <v>961</v>
      </c>
      <c r="E57" s="774" t="s">
        <v>970</v>
      </c>
      <c r="F57" s="705">
        <f>+'계획처리구역 인구배분(출력x)'!H57-M57</f>
        <v>939</v>
      </c>
      <c r="G57" s="1538">
        <f>+'계획처리구역 인구배분(출력x)'!L57-N57</f>
        <v>917</v>
      </c>
      <c r="H57" s="705">
        <f>+'계획처리구역 인구배분(출력x)'!Q57-O57</f>
        <v>928</v>
      </c>
      <c r="I57" s="705">
        <f>+'계획처리구역 인구배분(출력x)'!V57-P57</f>
        <v>937</v>
      </c>
      <c r="J57" s="705">
        <f>+'계획처리구역 인구배분(출력x)'!AA57-Q57</f>
        <v>1116</v>
      </c>
      <c r="K57" s="1080"/>
      <c r="L57" s="711"/>
      <c r="M57" s="103"/>
      <c r="N57" s="103"/>
      <c r="O57" s="103"/>
      <c r="P57" s="103"/>
      <c r="Q57" s="103"/>
      <c r="R57" s="103"/>
      <c r="AC57" s="642" t="s">
        <v>486</v>
      </c>
      <c r="AD57" s="646" t="s">
        <v>513</v>
      </c>
      <c r="AE57" s="615" t="s">
        <v>499</v>
      </c>
      <c r="AF57" s="614">
        <f>+F201</f>
        <v>0</v>
      </c>
      <c r="AG57" s="614">
        <f>+G201</f>
        <v>0</v>
      </c>
      <c r="AH57" s="614">
        <f>+H201</f>
        <v>0</v>
      </c>
      <c r="AI57" s="614">
        <f>+I201</f>
        <v>0</v>
      </c>
      <c r="AJ57" s="614">
        <f>+J201</f>
        <v>0</v>
      </c>
      <c r="AK57" s="31"/>
    </row>
    <row r="58" spans="1:37" ht="24.95" customHeight="1">
      <c r="A58" s="2640"/>
      <c r="B58" s="2678"/>
      <c r="C58" s="2685"/>
      <c r="D58" s="2685"/>
      <c r="E58" s="774" t="s">
        <v>971</v>
      </c>
      <c r="F58" s="705">
        <f>+'계획처리구역 인구배분(출력x)'!H58-M58</f>
        <v>1423</v>
      </c>
      <c r="G58" s="705">
        <f>+'계획처리구역 인구배분(출력x)'!L58-N58</f>
        <v>1390</v>
      </c>
      <c r="H58" s="705">
        <f>+'계획처리구역 인구배분(출력x)'!Q58-O58</f>
        <v>1406</v>
      </c>
      <c r="I58" s="705">
        <f>+'계획처리구역 인구배분(출력x)'!V58-P58</f>
        <v>1420</v>
      </c>
      <c r="J58" s="705">
        <f>+'계획처리구역 인구배분(출력x)'!AA58-Q58</f>
        <v>1691</v>
      </c>
      <c r="K58" s="1080"/>
      <c r="L58" s="711"/>
      <c r="M58" s="103"/>
      <c r="N58" s="103"/>
      <c r="O58" s="103"/>
      <c r="P58" s="103"/>
      <c r="Q58" s="103"/>
      <c r="R58" s="103"/>
      <c r="AC58" s="643"/>
      <c r="AD58" s="647"/>
      <c r="AE58" s="615" t="s">
        <v>500</v>
      </c>
      <c r="AF58" s="614">
        <f>+F210</f>
        <v>0</v>
      </c>
      <c r="AG58" s="614">
        <f>+G210</f>
        <v>269</v>
      </c>
      <c r="AH58" s="614">
        <f>+H210</f>
        <v>250</v>
      </c>
      <c r="AI58" s="614">
        <f>+I210</f>
        <v>231</v>
      </c>
      <c r="AJ58" s="614">
        <f>+J210</f>
        <v>224</v>
      </c>
      <c r="AK58" s="31"/>
    </row>
    <row r="59" spans="1:37" ht="24.95" customHeight="1">
      <c r="A59" s="2640"/>
      <c r="B59" s="2678"/>
      <c r="C59" s="2685"/>
      <c r="D59" s="2685"/>
      <c r="E59" s="774" t="s">
        <v>972</v>
      </c>
      <c r="F59" s="705">
        <f>+'계획처리구역 인구배분(출력x)'!H59-M59</f>
        <v>386</v>
      </c>
      <c r="G59" s="705">
        <f>+'계획처리구역 인구배분(출력x)'!L59-N59</f>
        <v>377</v>
      </c>
      <c r="H59" s="705">
        <f>+'계획처리구역 인구배분(출력x)'!Q59-O59</f>
        <v>381</v>
      </c>
      <c r="I59" s="705">
        <f>+'계획처리구역 인구배분(출력x)'!V59-P59</f>
        <v>385</v>
      </c>
      <c r="J59" s="705">
        <f>+'계획처리구역 인구배분(출력x)'!AA59-Q59</f>
        <v>459</v>
      </c>
      <c r="K59" s="1080" t="s">
        <v>1306</v>
      </c>
      <c r="L59" s="711"/>
      <c r="M59" s="103"/>
      <c r="N59" s="103"/>
      <c r="O59" s="103"/>
      <c r="P59" s="103"/>
      <c r="Q59" s="103"/>
      <c r="R59" s="103"/>
      <c r="AC59" s="643"/>
      <c r="AD59" s="647"/>
      <c r="AE59" s="615" t="s">
        <v>501</v>
      </c>
      <c r="AF59" s="614">
        <f>+F212</f>
        <v>0</v>
      </c>
      <c r="AG59" s="614">
        <f>+G212</f>
        <v>73</v>
      </c>
      <c r="AH59" s="614">
        <f>+H212</f>
        <v>68</v>
      </c>
      <c r="AI59" s="614">
        <f>+I212</f>
        <v>63</v>
      </c>
      <c r="AJ59" s="614">
        <f>+J212</f>
        <v>53</v>
      </c>
      <c r="AK59" s="31"/>
    </row>
    <row r="60" spans="1:37" ht="24.95" customHeight="1">
      <c r="A60" s="2640"/>
      <c r="B60" s="2678"/>
      <c r="C60" s="2685"/>
      <c r="D60" s="2685"/>
      <c r="E60" s="774" t="s">
        <v>973</v>
      </c>
      <c r="F60" s="705">
        <f>+'계획처리구역 인구배분(출력x)'!H60-M60</f>
        <v>1932</v>
      </c>
      <c r="G60" s="705">
        <f>+'계획처리구역 인구배분(출력x)'!L60-N60</f>
        <v>1887</v>
      </c>
      <c r="H60" s="705">
        <f>+'계획처리구역 인구배분(출력x)'!Q60-O60</f>
        <v>1909</v>
      </c>
      <c r="I60" s="705">
        <f>+'계획처리구역 인구배분(출력x)'!V60-P60</f>
        <v>1928</v>
      </c>
      <c r="J60" s="705">
        <f>+'계획처리구역 인구배분(출력x)'!AA60-Q60</f>
        <v>2296</v>
      </c>
      <c r="K60" s="1080" t="s">
        <v>1307</v>
      </c>
      <c r="L60" s="711"/>
      <c r="M60" s="103"/>
      <c r="N60" s="103"/>
      <c r="O60" s="103"/>
      <c r="P60" s="103"/>
      <c r="Q60" s="103"/>
      <c r="R60" s="103"/>
      <c r="AC60" s="643"/>
      <c r="AD60" s="647"/>
      <c r="AE60" s="615" t="s">
        <v>502</v>
      </c>
      <c r="AF60" s="614">
        <f>+F191</f>
        <v>0</v>
      </c>
      <c r="AG60" s="614">
        <f>+G191</f>
        <v>1225</v>
      </c>
      <c r="AH60" s="614">
        <f>+H191</f>
        <v>1270</v>
      </c>
      <c r="AI60" s="614">
        <f>+I191</f>
        <v>1281</v>
      </c>
      <c r="AJ60" s="614">
        <f>+J191</f>
        <v>3574</v>
      </c>
      <c r="AK60" s="31"/>
    </row>
    <row r="61" spans="1:37" ht="24.95" customHeight="1">
      <c r="A61" s="2640"/>
      <c r="B61" s="2678"/>
      <c r="C61" s="2685"/>
      <c r="D61" s="2685"/>
      <c r="E61" s="774" t="s">
        <v>974</v>
      </c>
      <c r="F61" s="705">
        <f>+'계획처리구역 인구배분(출력x)'!H61-M61</f>
        <v>1039</v>
      </c>
      <c r="G61" s="705">
        <f>+'계획처리구역 인구배분(출력x)'!L61-N61</f>
        <v>1015</v>
      </c>
      <c r="H61" s="705">
        <f>+'계획처리구역 인구배분(출력x)'!Q61-O61</f>
        <v>1027</v>
      </c>
      <c r="I61" s="705">
        <f>+'계획처리구역 인구배분(출력x)'!V61-P61</f>
        <v>1037</v>
      </c>
      <c r="J61" s="705">
        <f>+'계획처리구역 인구배분(출력x)'!AA61-Q61</f>
        <v>1235</v>
      </c>
      <c r="K61" s="1080" t="s">
        <v>1308</v>
      </c>
      <c r="L61" s="711"/>
      <c r="M61" s="103"/>
      <c r="N61" s="103"/>
      <c r="O61" s="103"/>
      <c r="P61" s="103"/>
      <c r="Q61" s="103"/>
      <c r="R61" s="103"/>
      <c r="AC61" s="643"/>
      <c r="AD61" s="647"/>
      <c r="AE61" s="615" t="s">
        <v>503</v>
      </c>
      <c r="AF61" s="614">
        <f>+F193</f>
        <v>0</v>
      </c>
      <c r="AG61" s="614">
        <f>+G193</f>
        <v>97</v>
      </c>
      <c r="AH61" s="614">
        <f>+H193</f>
        <v>100</v>
      </c>
      <c r="AI61" s="614">
        <f>+I193</f>
        <v>101</v>
      </c>
      <c r="AJ61" s="614">
        <f>+J193</f>
        <v>98</v>
      </c>
      <c r="AK61" s="31"/>
    </row>
    <row r="62" spans="1:37" ht="24.95" customHeight="1">
      <c r="A62" s="2640"/>
      <c r="B62" s="2678"/>
      <c r="C62" s="2685"/>
      <c r="D62" s="2685"/>
      <c r="E62" s="774" t="s">
        <v>975</v>
      </c>
      <c r="F62" s="705">
        <f>+'계획처리구역 인구배분(출력x)'!H62-M62</f>
        <v>824</v>
      </c>
      <c r="G62" s="705">
        <f>+'계획처리구역 인구배분(출력x)'!L62-N62</f>
        <v>805</v>
      </c>
      <c r="H62" s="705">
        <f>+'계획처리구역 인구배분(출력x)'!Q62-O62</f>
        <v>814</v>
      </c>
      <c r="I62" s="705">
        <f>+'계획처리구역 인구배분(출력x)'!V62-P62</f>
        <v>822</v>
      </c>
      <c r="J62" s="705">
        <f>+'계획처리구역 인구배분(출력x)'!AA62-Q62</f>
        <v>979</v>
      </c>
      <c r="K62" s="1080" t="s">
        <v>1309</v>
      </c>
      <c r="L62" s="711"/>
      <c r="M62" s="103"/>
      <c r="N62" s="103"/>
      <c r="O62" s="103"/>
      <c r="P62" s="103"/>
      <c r="Q62" s="103"/>
      <c r="R62" s="103"/>
      <c r="AC62" s="643"/>
      <c r="AD62" s="647"/>
      <c r="AE62" s="615" t="s">
        <v>504</v>
      </c>
      <c r="AF62" s="614" t="e">
        <f>+#REF!</f>
        <v>#REF!</v>
      </c>
      <c r="AG62" s="614" t="e">
        <f>+#REF!</f>
        <v>#REF!</v>
      </c>
      <c r="AH62" s="614" t="e">
        <f>+#REF!</f>
        <v>#REF!</v>
      </c>
      <c r="AI62" s="614" t="e">
        <f>+#REF!</f>
        <v>#REF!</v>
      </c>
      <c r="AJ62" s="614" t="e">
        <f>+#REF!</f>
        <v>#REF!</v>
      </c>
      <c r="AK62" s="31"/>
    </row>
    <row r="63" spans="1:37" ht="24.95" customHeight="1">
      <c r="A63" s="2640"/>
      <c r="B63" s="2678"/>
      <c r="C63" s="2685"/>
      <c r="D63" s="2685"/>
      <c r="E63" s="774" t="s">
        <v>976</v>
      </c>
      <c r="F63" s="705">
        <f>+'계획처리구역 인구배분(출력x)'!H63-M63</f>
        <v>1222</v>
      </c>
      <c r="G63" s="705">
        <f>+'계획처리구역 인구배분(출력x)'!L63-N63</f>
        <v>1194</v>
      </c>
      <c r="H63" s="705">
        <f>+'계획처리구역 인구배분(출력x)'!Q63-O63</f>
        <v>1208</v>
      </c>
      <c r="I63" s="705">
        <f>+'계획처리구역 인구배분(출력x)'!V63-P63</f>
        <v>1220</v>
      </c>
      <c r="J63" s="705">
        <f>+'계획처리구역 인구배분(출력x)'!AA63-Q63</f>
        <v>1453</v>
      </c>
      <c r="K63" s="1080" t="s">
        <v>1310</v>
      </c>
      <c r="L63" s="711"/>
      <c r="M63" s="103"/>
      <c r="N63" s="103"/>
      <c r="O63" s="103"/>
      <c r="P63" s="103"/>
      <c r="Q63" s="103"/>
      <c r="R63" s="103"/>
      <c r="AC63" s="643"/>
      <c r="AD63" s="647"/>
      <c r="AE63" s="615" t="s">
        <v>505</v>
      </c>
      <c r="AF63" s="614">
        <f>+F214</f>
        <v>0</v>
      </c>
      <c r="AG63" s="614">
        <f>+G214</f>
        <v>290</v>
      </c>
      <c r="AH63" s="614">
        <f>+H214</f>
        <v>294</v>
      </c>
      <c r="AI63" s="614">
        <f>+I214</f>
        <v>298</v>
      </c>
      <c r="AJ63" s="614">
        <f>+J214</f>
        <v>300</v>
      </c>
      <c r="AK63" s="31"/>
    </row>
    <row r="64" spans="1:37" ht="24.95" customHeight="1">
      <c r="A64" s="2640"/>
      <c r="B64" s="2678"/>
      <c r="C64" s="2685"/>
      <c r="D64" s="2685"/>
      <c r="E64" s="774" t="s">
        <v>977</v>
      </c>
      <c r="F64" s="705">
        <f>+'계획처리구역 인구배분(출력x)'!H64-M64</f>
        <v>814</v>
      </c>
      <c r="G64" s="705">
        <f>+'계획처리구역 인구배분(출력x)'!L64-N64</f>
        <v>795</v>
      </c>
      <c r="H64" s="705">
        <f>+'계획처리구역 인구배분(출력x)'!Q64-O64</f>
        <v>804</v>
      </c>
      <c r="I64" s="705">
        <f>+'계획처리구역 인구배분(출력x)'!V64-P64</f>
        <v>812</v>
      </c>
      <c r="J64" s="705">
        <f>+'계획처리구역 인구배분(출력x)'!AA64-Q64</f>
        <v>968</v>
      </c>
      <c r="K64" s="1080" t="s">
        <v>1311</v>
      </c>
      <c r="L64" s="711"/>
      <c r="M64" s="103"/>
      <c r="N64" s="103"/>
      <c r="O64" s="103"/>
      <c r="P64" s="103"/>
      <c r="Q64" s="103"/>
      <c r="R64" s="103"/>
      <c r="AC64" s="643"/>
      <c r="AD64" s="647"/>
      <c r="AE64" s="615" t="s">
        <v>506</v>
      </c>
      <c r="AF64" s="614">
        <f>+F220</f>
        <v>0</v>
      </c>
      <c r="AG64" s="614">
        <f>+G220</f>
        <v>232</v>
      </c>
      <c r="AH64" s="614">
        <f>+H220</f>
        <v>224</v>
      </c>
      <c r="AI64" s="614">
        <f>+I220</f>
        <v>223</v>
      </c>
      <c r="AJ64" s="614">
        <f>+J220</f>
        <v>223</v>
      </c>
      <c r="AK64" s="31"/>
    </row>
    <row r="65" spans="1:37" s="712" customFormat="1" ht="24.95" customHeight="1">
      <c r="A65" s="2640"/>
      <c r="B65" s="2678"/>
      <c r="C65" s="2685"/>
      <c r="D65" s="2685"/>
      <c r="E65" s="1033" t="s">
        <v>1268</v>
      </c>
      <c r="F65" s="1033">
        <f>+'계획처리구역 인구배분(출력x)'!H65-M65</f>
        <v>0</v>
      </c>
      <c r="G65" s="1033">
        <f>+'계획처리구역 인구배분(출력x)'!L65-N65</f>
        <v>2306</v>
      </c>
      <c r="H65" s="1033">
        <f>+'계획처리구역 인구배분(출력x)'!Q65-O65</f>
        <v>2306</v>
      </c>
      <c r="I65" s="1033">
        <f>+'계획처리구역 인구배분(출력x)'!V65-P65</f>
        <v>2306</v>
      </c>
      <c r="J65" s="1033">
        <f>+'계획처리구역 인구배분(출력x)'!AA65-Q65</f>
        <v>2306</v>
      </c>
      <c r="K65" s="1080" t="str">
        <f>'계획처리구역 인구배분(출력x)'!AD65</f>
        <v>우신아파트</v>
      </c>
      <c r="L65" s="711" t="s">
        <v>970</v>
      </c>
      <c r="M65" s="103"/>
      <c r="N65" s="103"/>
      <c r="O65" s="103"/>
      <c r="P65" s="103"/>
      <c r="Q65" s="103"/>
      <c r="R65" s="103"/>
      <c r="S65" s="9"/>
      <c r="T65" s="9"/>
      <c r="U65" s="9"/>
      <c r="V65" s="9"/>
      <c r="W65" s="9"/>
      <c r="X65" s="9"/>
      <c r="Y65" s="9"/>
      <c r="Z65" s="9"/>
      <c r="AC65" s="643"/>
      <c r="AD65" s="647"/>
      <c r="AE65" s="1031"/>
      <c r="AF65" s="614"/>
      <c r="AG65" s="614"/>
      <c r="AH65" s="614"/>
      <c r="AI65" s="614"/>
      <c r="AJ65" s="614"/>
      <c r="AK65" s="713"/>
    </row>
    <row r="66" spans="1:37" s="712" customFormat="1" ht="24.95" customHeight="1">
      <c r="A66" s="2640"/>
      <c r="B66" s="2678"/>
      <c r="C66" s="2685"/>
      <c r="D66" s="2686"/>
      <c r="E66" s="1244" t="s">
        <v>149</v>
      </c>
      <c r="F66" s="1244">
        <f>+'계획처리구역 인구배분(출력x)'!H66-M66</f>
        <v>0</v>
      </c>
      <c r="G66" s="1244">
        <f>+'계획처리구역 인구배분(출력x)'!L66-N66</f>
        <v>0</v>
      </c>
      <c r="H66" s="1244">
        <f>+'계획처리구역 인구배분(출력x)'!Q66-O66</f>
        <v>0</v>
      </c>
      <c r="I66" s="1244">
        <f>+'계획처리구역 인구배분(출력x)'!V66-P66</f>
        <v>0</v>
      </c>
      <c r="J66" s="1244">
        <f>+'계획처리구역 인구배분(출력x)'!AA66-Q66</f>
        <v>1554</v>
      </c>
      <c r="K66" s="1080" t="str">
        <f>'계획처리구역 인구배분(출력x)'!AD66</f>
        <v>무극지구
도시개발사업</v>
      </c>
      <c r="L66" s="17"/>
      <c r="M66" s="103"/>
      <c r="N66" s="103"/>
      <c r="O66" s="103"/>
      <c r="P66" s="103"/>
      <c r="Q66" s="103"/>
      <c r="R66" s="103"/>
      <c r="S66" s="9"/>
      <c r="T66" s="9"/>
      <c r="U66" s="9"/>
      <c r="V66" s="9"/>
      <c r="W66" s="9"/>
      <c r="X66" s="9"/>
      <c r="Y66" s="9"/>
      <c r="Z66" s="9"/>
      <c r="AC66" s="643"/>
      <c r="AD66" s="647"/>
      <c r="AE66" s="1245"/>
      <c r="AF66" s="614"/>
      <c r="AG66" s="614"/>
      <c r="AH66" s="614"/>
      <c r="AI66" s="614"/>
      <c r="AJ66" s="614"/>
      <c r="AK66" s="713"/>
    </row>
    <row r="67" spans="1:37" s="712" customFormat="1" ht="24.95" customHeight="1">
      <c r="A67" s="2640"/>
      <c r="B67" s="2678"/>
      <c r="C67" s="2685"/>
      <c r="D67" s="1020" t="s">
        <v>1261</v>
      </c>
      <c r="E67" s="1015" t="s">
        <v>1262</v>
      </c>
      <c r="F67" s="1019">
        <f>+'계획처리구역 인구배분(출력x)'!H67-M67</f>
        <v>1232</v>
      </c>
      <c r="G67" s="1019">
        <f>+'계획처리구역 인구배분(출력x)'!L67-N67</f>
        <v>1203</v>
      </c>
      <c r="H67" s="1019">
        <f>+'계획처리구역 인구배분(출력x)'!Q67-O67</f>
        <v>1218</v>
      </c>
      <c r="I67" s="1019">
        <f>+'계획처리구역 인구배분(출력x)'!V67-P67</f>
        <v>1230</v>
      </c>
      <c r="J67" s="1019">
        <f>+'계획처리구역 인구배분(출력x)'!AA67-Q67</f>
        <v>1464</v>
      </c>
      <c r="K67" s="1080" t="s">
        <v>1283</v>
      </c>
      <c r="L67" s="17"/>
      <c r="M67" s="103"/>
      <c r="N67" s="103"/>
      <c r="O67" s="103"/>
      <c r="P67" s="103"/>
      <c r="Q67" s="103"/>
      <c r="R67" s="103"/>
      <c r="S67" s="9"/>
      <c r="T67" s="9"/>
      <c r="U67" s="9"/>
      <c r="V67" s="9"/>
      <c r="W67" s="9"/>
      <c r="X67" s="9"/>
      <c r="Y67" s="9"/>
      <c r="Z67" s="9"/>
      <c r="AC67" s="643"/>
      <c r="AD67" s="647"/>
      <c r="AE67" s="1017"/>
      <c r="AF67" s="614"/>
      <c r="AG67" s="614"/>
      <c r="AH67" s="614"/>
      <c r="AI67" s="614"/>
      <c r="AJ67" s="614"/>
      <c r="AK67" s="713"/>
    </row>
    <row r="68" spans="1:37" ht="24.95" customHeight="1">
      <c r="A68" s="2640"/>
      <c r="B68" s="2678"/>
      <c r="C68" s="2685"/>
      <c r="D68" s="2634" t="s">
        <v>978</v>
      </c>
      <c r="E68" s="774" t="s">
        <v>979</v>
      </c>
      <c r="F68" s="705">
        <f>+'계획처리구역 인구배분(출력x)'!H68-M68</f>
        <v>301</v>
      </c>
      <c r="G68" s="705">
        <f>+'계획처리구역 인구배분(출력x)'!L68-N68</f>
        <v>294</v>
      </c>
      <c r="H68" s="705">
        <f>+'계획처리구역 인구배분(출력x)'!Q68-O68</f>
        <v>297</v>
      </c>
      <c r="I68" s="705">
        <f>+'계획처리구역 인구배분(출력x)'!V68-P68</f>
        <v>300</v>
      </c>
      <c r="J68" s="705">
        <f>+'계획처리구역 인구배분(출력x)'!AA68-Q68</f>
        <v>358</v>
      </c>
      <c r="K68" s="1080"/>
      <c r="L68" s="17"/>
      <c r="M68" s="103"/>
      <c r="N68" s="103"/>
      <c r="O68" s="103"/>
      <c r="P68" s="103"/>
      <c r="Q68" s="103"/>
      <c r="R68" s="103"/>
      <c r="AC68" s="643"/>
      <c r="AD68" s="647"/>
      <c r="AE68" s="615" t="s">
        <v>507</v>
      </c>
      <c r="AF68" s="614">
        <f>+F174</f>
        <v>253</v>
      </c>
      <c r="AG68" s="614">
        <f>+G174</f>
        <v>247</v>
      </c>
      <c r="AH68" s="614">
        <f>+H174</f>
        <v>241</v>
      </c>
      <c r="AI68" s="614">
        <f>+I174</f>
        <v>231</v>
      </c>
      <c r="AJ68" s="614">
        <f>+J174</f>
        <v>215</v>
      </c>
      <c r="AK68" s="31"/>
    </row>
    <row r="69" spans="1:37" ht="24.95" customHeight="1">
      <c r="A69" s="2640"/>
      <c r="B69" s="2678"/>
      <c r="C69" s="2685"/>
      <c r="D69" s="2634"/>
      <c r="E69" s="774" t="s">
        <v>980</v>
      </c>
      <c r="F69" s="705">
        <f>+'계획처리구역 인구배분(출력x)'!H69-M69</f>
        <v>86</v>
      </c>
      <c r="G69" s="705">
        <f>+'계획처리구역 인구배분(출력x)'!L69-N69</f>
        <v>84</v>
      </c>
      <c r="H69" s="705">
        <f>+'계획처리구역 인구배분(출력x)'!Q69-O69</f>
        <v>85</v>
      </c>
      <c r="I69" s="705">
        <f>+'계획처리구역 인구배분(출력x)'!V69-P69</f>
        <v>86</v>
      </c>
      <c r="J69" s="705">
        <f>+'계획처리구역 인구배분(출력x)'!AA69-Q69</f>
        <v>102</v>
      </c>
      <c r="K69" s="1080"/>
      <c r="L69" s="17"/>
      <c r="M69" s="103"/>
      <c r="N69" s="103"/>
      <c r="O69" s="103"/>
      <c r="P69" s="103"/>
      <c r="Q69" s="103"/>
      <c r="R69" s="103"/>
      <c r="AC69" s="643"/>
      <c r="AD69" s="647"/>
      <c r="AE69" s="615" t="s">
        <v>508</v>
      </c>
      <c r="AF69" s="614">
        <f>+F178</f>
        <v>335</v>
      </c>
      <c r="AG69" s="614">
        <f>+G178</f>
        <v>327</v>
      </c>
      <c r="AH69" s="614">
        <f>+H178</f>
        <v>319</v>
      </c>
      <c r="AI69" s="614">
        <f>+I178</f>
        <v>306</v>
      </c>
      <c r="AJ69" s="614">
        <f>+J178</f>
        <v>284</v>
      </c>
      <c r="AK69" s="31"/>
    </row>
    <row r="70" spans="1:37" ht="24.95" customHeight="1">
      <c r="A70" s="2640"/>
      <c r="B70" s="2678"/>
      <c r="C70" s="2685"/>
      <c r="D70" s="2634" t="s">
        <v>981</v>
      </c>
      <c r="E70" s="774" t="s">
        <v>982</v>
      </c>
      <c r="F70" s="705">
        <f>+'계획처리구역 인구배분(출력x)'!H70-M70</f>
        <v>0</v>
      </c>
      <c r="G70" s="705">
        <f>+'계획처리구역 인구배분(출력x)'!L70-N70</f>
        <v>635</v>
      </c>
      <c r="H70" s="705">
        <f>+'계획처리구역 인구배분(출력x)'!Q70-O70</f>
        <v>642</v>
      </c>
      <c r="I70" s="705">
        <f>+'계획처리구역 인구배분(출력x)'!V70-P70</f>
        <v>649</v>
      </c>
      <c r="J70" s="705">
        <f>+'계획처리구역 인구배분(출력x)'!AA70-Q70</f>
        <v>773</v>
      </c>
      <c r="K70" s="1080"/>
      <c r="L70" s="17"/>
      <c r="M70" s="103">
        <v>650</v>
      </c>
      <c r="N70" s="103"/>
      <c r="O70" s="103"/>
      <c r="P70" s="103"/>
      <c r="Q70" s="103"/>
      <c r="R70" s="103"/>
      <c r="AC70" s="643"/>
      <c r="AD70" s="647"/>
      <c r="AE70" s="615" t="s">
        <v>509</v>
      </c>
      <c r="AF70" s="614">
        <f>+F182</f>
        <v>0</v>
      </c>
      <c r="AG70" s="614">
        <f>+G182</f>
        <v>158</v>
      </c>
      <c r="AH70" s="614">
        <f>+H182</f>
        <v>153</v>
      </c>
      <c r="AI70" s="614">
        <f>+I182</f>
        <v>147</v>
      </c>
      <c r="AJ70" s="614">
        <f>+J182</f>
        <v>135</v>
      </c>
      <c r="AK70" s="31"/>
    </row>
    <row r="71" spans="1:37" ht="24.95" customHeight="1">
      <c r="A71" s="2640"/>
      <c r="B71" s="2678"/>
      <c r="C71" s="2685"/>
      <c r="D71" s="2634"/>
      <c r="E71" s="774" t="s">
        <v>983</v>
      </c>
      <c r="F71" s="705">
        <f>+'계획처리구역 인구배분(출력x)'!H71-M71</f>
        <v>0</v>
      </c>
      <c r="G71" s="705">
        <f>+'계획처리구역 인구배분(출력x)'!L71-N71</f>
        <v>87</v>
      </c>
      <c r="H71" s="705">
        <f>+'계획처리구역 인구배분(출력x)'!Q71-O71</f>
        <v>88</v>
      </c>
      <c r="I71" s="705">
        <f>+'계획처리구역 인구배분(출력x)'!V71-P71</f>
        <v>89</v>
      </c>
      <c r="J71" s="705">
        <f>+'계획처리구역 인구배분(출력x)'!AA71-Q71</f>
        <v>106</v>
      </c>
      <c r="K71" s="1080"/>
      <c r="L71" s="17"/>
      <c r="M71" s="103">
        <v>89</v>
      </c>
      <c r="N71" s="103"/>
      <c r="O71" s="103"/>
      <c r="P71" s="103"/>
      <c r="Q71" s="103"/>
      <c r="R71" s="103"/>
      <c r="AC71" s="643"/>
      <c r="AD71" s="647"/>
      <c r="AE71" s="615" t="s">
        <v>510</v>
      </c>
      <c r="AF71" s="614">
        <f>+F224</f>
        <v>325</v>
      </c>
      <c r="AG71" s="614">
        <f>+G224</f>
        <v>274</v>
      </c>
      <c r="AH71" s="614">
        <f>+H224</f>
        <v>276</v>
      </c>
      <c r="AI71" s="614">
        <f>+I224</f>
        <v>260</v>
      </c>
      <c r="AJ71" s="614">
        <f>+J224</f>
        <v>251</v>
      </c>
      <c r="AK71" s="31"/>
    </row>
    <row r="72" spans="1:37" ht="24.95" customHeight="1">
      <c r="A72" s="2640"/>
      <c r="B72" s="2678"/>
      <c r="C72" s="2685"/>
      <c r="D72" s="2634"/>
      <c r="E72" s="774" t="s">
        <v>984</v>
      </c>
      <c r="F72" s="705">
        <f>+'계획처리구역 인구배분(출력x)'!H72-M72</f>
        <v>0</v>
      </c>
      <c r="G72" s="705">
        <f>+'계획처리구역 인구배분(출력x)'!L72-N72</f>
        <v>192</v>
      </c>
      <c r="H72" s="705">
        <f>+'계획처리구역 인구배분(출력x)'!Q72-O72</f>
        <v>195</v>
      </c>
      <c r="I72" s="705">
        <f>+'계획처리구역 인구배분(출력x)'!V72-P72</f>
        <v>197</v>
      </c>
      <c r="J72" s="705">
        <f>+'계획처리구역 인구배분(출력x)'!AA72-Q72</f>
        <v>234</v>
      </c>
      <c r="K72" s="1080" t="s">
        <v>1284</v>
      </c>
      <c r="L72" s="17"/>
      <c r="M72" s="103">
        <v>197</v>
      </c>
      <c r="N72" s="103"/>
      <c r="O72" s="103"/>
      <c r="P72" s="103"/>
      <c r="Q72" s="103"/>
      <c r="R72" s="103"/>
      <c r="AC72" s="643"/>
      <c r="AD72" s="647"/>
      <c r="AE72" s="615" t="s">
        <v>511</v>
      </c>
      <c r="AF72" s="614">
        <f>+F226</f>
        <v>0</v>
      </c>
      <c r="AG72" s="614">
        <f>+G226</f>
        <v>0</v>
      </c>
      <c r="AH72" s="614">
        <f>+H226</f>
        <v>0</v>
      </c>
      <c r="AI72" s="614">
        <f>+I226</f>
        <v>0</v>
      </c>
      <c r="AJ72" s="614">
        <f>+J226</f>
        <v>0</v>
      </c>
      <c r="AK72" s="31"/>
    </row>
    <row r="73" spans="1:37" ht="24.95" customHeight="1">
      <c r="A73" s="2641"/>
      <c r="B73" s="2679"/>
      <c r="C73" s="2686"/>
      <c r="D73" s="774" t="s">
        <v>989</v>
      </c>
      <c r="E73" s="774" t="s">
        <v>991</v>
      </c>
      <c r="F73" s="705">
        <f>+'계획처리구역 인구배분(출력x)'!H73-M73</f>
        <v>0</v>
      </c>
      <c r="G73" s="705">
        <f>+'계획처리구역 인구배분(출력x)'!L73-N73</f>
        <v>186</v>
      </c>
      <c r="H73" s="705">
        <f>+'계획처리구역 인구배분(출력x)'!Q73-O73</f>
        <v>188</v>
      </c>
      <c r="I73" s="705">
        <f>+'계획처리구역 인구배분(출력x)'!V73-P73</f>
        <v>190</v>
      </c>
      <c r="J73" s="705">
        <f>+'계획처리구역 인구배분(출력x)'!AA73-Q73</f>
        <v>226</v>
      </c>
      <c r="K73" s="1080"/>
      <c r="L73" s="17"/>
      <c r="M73" s="912">
        <v>190</v>
      </c>
      <c r="N73" s="912"/>
      <c r="O73" s="103"/>
      <c r="P73" s="103"/>
      <c r="Q73" s="103"/>
      <c r="R73" s="103"/>
      <c r="AC73" s="643"/>
      <c r="AD73" s="647"/>
      <c r="AE73" s="615" t="s">
        <v>512</v>
      </c>
      <c r="AF73" s="614">
        <f>+F228</f>
        <v>153</v>
      </c>
      <c r="AG73" s="614">
        <f>+G228</f>
        <v>139</v>
      </c>
      <c r="AH73" s="614">
        <f>+H228</f>
        <v>143</v>
      </c>
      <c r="AI73" s="614">
        <f>+I228</f>
        <v>143</v>
      </c>
      <c r="AJ73" s="614">
        <f>+J228</f>
        <v>137</v>
      </c>
      <c r="AK73" s="31"/>
    </row>
    <row r="74" spans="1:37" ht="24.95" customHeight="1">
      <c r="A74" s="17"/>
      <c r="B74" s="17"/>
      <c r="C74" s="17"/>
      <c r="D74" s="17"/>
      <c r="E74" s="17"/>
      <c r="F74" s="908"/>
      <c r="G74" s="908"/>
      <c r="H74" s="908"/>
      <c r="I74" s="908"/>
      <c r="J74" s="908"/>
      <c r="K74" s="1084"/>
      <c r="L74" s="904"/>
      <c r="M74" s="912"/>
      <c r="N74" s="912"/>
      <c r="O74" s="103"/>
      <c r="P74" s="103"/>
      <c r="Q74" s="103"/>
      <c r="R74" s="103"/>
      <c r="AC74" s="644"/>
      <c r="AD74" s="2642" t="s">
        <v>485</v>
      </c>
      <c r="AE74" s="2642"/>
      <c r="AF74" s="614" t="e">
        <f>SUM(#REF!)</f>
        <v>#REF!</v>
      </c>
      <c r="AG74" s="614" t="e">
        <f>SUM(#REF!)</f>
        <v>#REF!</v>
      </c>
      <c r="AH74" s="614" t="e">
        <f>SUM(#REF!)</f>
        <v>#REF!</v>
      </c>
      <c r="AI74" s="614" t="e">
        <f>SUM(#REF!)</f>
        <v>#REF!</v>
      </c>
      <c r="AJ74" s="614" t="e">
        <f>SUM(#REF!)</f>
        <v>#REF!</v>
      </c>
      <c r="AK74" s="31"/>
    </row>
    <row r="75" spans="1:37" ht="22.5" customHeight="1">
      <c r="A75" s="2638" t="s">
        <v>844</v>
      </c>
      <c r="B75" s="2638"/>
      <c r="C75" s="2638"/>
      <c r="D75" s="2638"/>
      <c r="E75" s="2638"/>
      <c r="F75" s="902"/>
      <c r="G75" s="905"/>
      <c r="H75" s="905"/>
      <c r="I75" s="905"/>
      <c r="J75" s="905"/>
      <c r="K75" s="1085"/>
      <c r="L75" s="904"/>
      <c r="M75" s="103"/>
      <c r="N75" s="103"/>
      <c r="O75" s="103"/>
      <c r="P75" s="103"/>
      <c r="Q75" s="103"/>
      <c r="R75" s="103"/>
      <c r="AC75" s="642" t="s">
        <v>487</v>
      </c>
      <c r="AD75" s="2644" t="s">
        <v>583</v>
      </c>
      <c r="AE75" s="2645"/>
      <c r="AF75" s="614" t="e">
        <f>+#REF!</f>
        <v>#REF!</v>
      </c>
      <c r="AG75" s="614" t="e">
        <f>+#REF!</f>
        <v>#REF!</v>
      </c>
      <c r="AH75" s="614" t="e">
        <f>+#REF!</f>
        <v>#REF!</v>
      </c>
      <c r="AI75" s="614" t="e">
        <f>+#REF!</f>
        <v>#REF!</v>
      </c>
      <c r="AJ75" s="614" t="e">
        <f>+#REF!</f>
        <v>#REF!</v>
      </c>
      <c r="AK75" s="31" t="s">
        <v>581</v>
      </c>
    </row>
    <row r="76" spans="1:37" ht="39.950000000000003" customHeight="1">
      <c r="A76" s="98" t="s">
        <v>0</v>
      </c>
      <c r="B76" s="736" t="s">
        <v>1</v>
      </c>
      <c r="C76" s="737" t="s">
        <v>2</v>
      </c>
      <c r="D76" s="737" t="s">
        <v>3</v>
      </c>
      <c r="E76" s="737" t="s">
        <v>4</v>
      </c>
      <c r="F76" s="98" t="s">
        <v>1248</v>
      </c>
      <c r="G76" s="98" t="s">
        <v>156</v>
      </c>
      <c r="H76" s="98" t="s">
        <v>157</v>
      </c>
      <c r="I76" s="98" t="s">
        <v>158</v>
      </c>
      <c r="J76" s="98" t="s">
        <v>159</v>
      </c>
      <c r="K76" s="1083" t="s">
        <v>139</v>
      </c>
      <c r="L76" s="17"/>
      <c r="M76" s="103"/>
      <c r="N76" s="103"/>
      <c r="O76" s="103"/>
      <c r="P76" s="103"/>
      <c r="Q76" s="103"/>
      <c r="R76" s="103"/>
      <c r="AC76" s="643"/>
      <c r="AD76" s="2644" t="s">
        <v>584</v>
      </c>
      <c r="AE76" s="2645"/>
      <c r="AF76" s="614" t="e">
        <f>+#REF!</f>
        <v>#REF!</v>
      </c>
      <c r="AG76" s="614" t="e">
        <f>+#REF!</f>
        <v>#REF!</v>
      </c>
      <c r="AH76" s="614" t="e">
        <f>+#REF!</f>
        <v>#REF!</v>
      </c>
      <c r="AI76" s="614" t="e">
        <f>+#REF!</f>
        <v>#REF!</v>
      </c>
      <c r="AJ76" s="614" t="e">
        <f>+#REF!</f>
        <v>#REF!</v>
      </c>
      <c r="AK76" s="31" t="s">
        <v>581</v>
      </c>
    </row>
    <row r="77" spans="1:37" ht="16.5" customHeight="1">
      <c r="A77" s="2700" t="s">
        <v>888</v>
      </c>
      <c r="B77" s="2636" t="s">
        <v>6</v>
      </c>
      <c r="C77" s="2636"/>
      <c r="D77" s="2636"/>
      <c r="E77" s="2636"/>
      <c r="F77" s="1249">
        <f>SUM(F78,F108,F121)</f>
        <v>16551</v>
      </c>
      <c r="G77" s="907">
        <f t="shared" ref="G77:J77" si="5">SUM(G78,G108,G121)</f>
        <v>24875</v>
      </c>
      <c r="H77" s="907">
        <f t="shared" si="5"/>
        <v>27298</v>
      </c>
      <c r="I77" s="907">
        <f t="shared" si="5"/>
        <v>27554</v>
      </c>
      <c r="J77" s="907">
        <f t="shared" si="5"/>
        <v>35754</v>
      </c>
      <c r="K77" s="1080"/>
      <c r="L77" s="17"/>
      <c r="M77" s="103"/>
      <c r="N77" s="103"/>
      <c r="O77" s="103"/>
      <c r="P77" s="103"/>
      <c r="Q77" s="103"/>
      <c r="R77" s="103"/>
      <c r="AC77" s="643"/>
      <c r="AD77" s="2642" t="s">
        <v>582</v>
      </c>
      <c r="AE77" s="2642"/>
      <c r="AF77" s="614" t="e">
        <f>+#REF!</f>
        <v>#REF!</v>
      </c>
      <c r="AG77" s="614" t="e">
        <f>+#REF!</f>
        <v>#REF!</v>
      </c>
      <c r="AH77" s="614" t="e">
        <f>+#REF!</f>
        <v>#REF!</v>
      </c>
      <c r="AI77" s="614" t="e">
        <f>+#REF!</f>
        <v>#REF!</v>
      </c>
      <c r="AJ77" s="614" t="e">
        <f>+#REF!</f>
        <v>#REF!</v>
      </c>
      <c r="AK77" s="31"/>
    </row>
    <row r="78" spans="1:37" ht="16.5" customHeight="1">
      <c r="A78" s="2700"/>
      <c r="B78" s="2636" t="s">
        <v>845</v>
      </c>
      <c r="C78" s="2635" t="s">
        <v>7</v>
      </c>
      <c r="D78" s="2635"/>
      <c r="E78" s="2635"/>
      <c r="F78" s="1249">
        <f>SUM(F79:F107)</f>
        <v>9985</v>
      </c>
      <c r="G78" s="907">
        <f t="shared" ref="G78:J78" si="6">SUM(G79:G107)</f>
        <v>14542</v>
      </c>
      <c r="H78" s="907">
        <f t="shared" si="6"/>
        <v>15899</v>
      </c>
      <c r="I78" s="907">
        <f t="shared" si="6"/>
        <v>16172</v>
      </c>
      <c r="J78" s="907">
        <f t="shared" si="6"/>
        <v>21696</v>
      </c>
      <c r="K78" s="1080"/>
      <c r="L78" s="17"/>
      <c r="M78" s="103"/>
      <c r="N78" s="103"/>
      <c r="O78" s="103"/>
      <c r="P78" s="103"/>
      <c r="Q78" s="103"/>
      <c r="R78" s="103"/>
      <c r="AC78" s="643"/>
      <c r="AD78" s="2642" t="s">
        <v>585</v>
      </c>
      <c r="AE78" s="2642"/>
      <c r="AF78" s="614" t="e">
        <f>+#REF!</f>
        <v>#REF!</v>
      </c>
      <c r="AG78" s="614" t="e">
        <f>+#REF!</f>
        <v>#REF!</v>
      </c>
      <c r="AH78" s="614" t="e">
        <f>+#REF!</f>
        <v>#REF!</v>
      </c>
      <c r="AI78" s="614" t="e">
        <f>+#REF!</f>
        <v>#REF!</v>
      </c>
      <c r="AJ78" s="614" t="e">
        <f>+#REF!</f>
        <v>#REF!</v>
      </c>
      <c r="AK78" s="31"/>
    </row>
    <row r="79" spans="1:37" ht="16.5" customHeight="1">
      <c r="A79" s="2700"/>
      <c r="B79" s="2636"/>
      <c r="C79" s="2636" t="s">
        <v>641</v>
      </c>
      <c r="D79" s="2637" t="s">
        <v>847</v>
      </c>
      <c r="E79" s="1243" t="s">
        <v>853</v>
      </c>
      <c r="F79" s="1250">
        <f>+'계획처리구역 인구배분(출력x)'!H79-M79</f>
        <v>693</v>
      </c>
      <c r="G79" s="705">
        <f>+'계획처리구역 인구배분(출력x)'!L79-N79</f>
        <v>683</v>
      </c>
      <c r="H79" s="705">
        <f>+'계획처리구역 인구배분(출력x)'!Q79-O79</f>
        <v>699</v>
      </c>
      <c r="I79" s="705">
        <f>+'계획처리구역 인구배분(출력x)'!V79-P79</f>
        <v>716</v>
      </c>
      <c r="J79" s="705">
        <f>+'계획처리구역 인구배분(출력x)'!AA79-Q79</f>
        <v>722</v>
      </c>
      <c r="K79" s="1080"/>
      <c r="L79" s="17"/>
      <c r="M79" s="103"/>
      <c r="N79" s="103"/>
      <c r="O79" s="103"/>
      <c r="P79" s="103"/>
      <c r="Q79" s="103"/>
      <c r="R79" s="103"/>
      <c r="AC79" s="644"/>
      <c r="AD79" s="2642" t="s">
        <v>485</v>
      </c>
      <c r="AE79" s="2642"/>
      <c r="AF79" s="614" t="e">
        <f>SUM(AF75:AF78)</f>
        <v>#REF!</v>
      </c>
      <c r="AG79" s="614" t="e">
        <f>SUM(AG75:AG78)</f>
        <v>#REF!</v>
      </c>
      <c r="AH79" s="614" t="e">
        <f>SUM(AH75:AH78)</f>
        <v>#REF!</v>
      </c>
      <c r="AI79" s="614" t="e">
        <f>SUM(AI75:AI78)</f>
        <v>#REF!</v>
      </c>
      <c r="AJ79" s="614" t="e">
        <f>SUM(AJ75:AJ78)</f>
        <v>#REF!</v>
      </c>
      <c r="AK79" s="31"/>
    </row>
    <row r="80" spans="1:37" ht="16.5" customHeight="1">
      <c r="A80" s="2700"/>
      <c r="B80" s="2636"/>
      <c r="C80" s="2636"/>
      <c r="D80" s="2637"/>
      <c r="E80" s="1243" t="s">
        <v>854</v>
      </c>
      <c r="F80" s="1250">
        <f>+'계획처리구역 인구배분(출력x)'!H80-M80</f>
        <v>553</v>
      </c>
      <c r="G80" s="705">
        <f>+'계획처리구역 인구배분(출력x)'!L80-N80</f>
        <v>545</v>
      </c>
      <c r="H80" s="705">
        <f>+'계획처리구역 인구배분(출력x)'!Q80-O80</f>
        <v>558</v>
      </c>
      <c r="I80" s="705">
        <f>+'계획처리구역 인구배분(출력x)'!V80-P80</f>
        <v>572</v>
      </c>
      <c r="J80" s="705">
        <f>+'계획처리구역 인구배분(출력x)'!AA80-Q80</f>
        <v>576</v>
      </c>
      <c r="K80" s="1080"/>
      <c r="L80" s="17"/>
      <c r="M80" s="103"/>
      <c r="N80" s="103"/>
      <c r="O80" s="103"/>
      <c r="P80" s="103"/>
      <c r="Q80" s="103"/>
      <c r="R80" s="103"/>
      <c r="AC80" s="642" t="s">
        <v>488</v>
      </c>
      <c r="AD80" s="2642" t="s">
        <v>492</v>
      </c>
      <c r="AE80" s="2642"/>
      <c r="AF80" s="614" t="e">
        <f>+#REF!</f>
        <v>#REF!</v>
      </c>
      <c r="AG80" s="614" t="e">
        <f>+#REF!</f>
        <v>#REF!</v>
      </c>
      <c r="AH80" s="614" t="e">
        <f>+#REF!</f>
        <v>#REF!</v>
      </c>
      <c r="AI80" s="614" t="e">
        <f>+#REF!</f>
        <v>#REF!</v>
      </c>
      <c r="AJ80" s="614" t="e">
        <f>+#REF!</f>
        <v>#REF!</v>
      </c>
      <c r="AK80" s="31" t="s">
        <v>538</v>
      </c>
    </row>
    <row r="81" spans="1:37" ht="16.5" customHeight="1">
      <c r="A81" s="2700"/>
      <c r="B81" s="2636"/>
      <c r="C81" s="2636"/>
      <c r="D81" s="2637"/>
      <c r="E81" s="1243" t="s">
        <v>855</v>
      </c>
      <c r="F81" s="1250">
        <f>+'계획처리구역 인구배분(출력x)'!H81-M81</f>
        <v>592</v>
      </c>
      <c r="G81" s="705">
        <f>+'계획처리구역 인구배분(출력x)'!L81-N81</f>
        <v>584</v>
      </c>
      <c r="H81" s="705">
        <f>+'계획처리구역 인구배분(출력x)'!Q81-O81</f>
        <v>598</v>
      </c>
      <c r="I81" s="705">
        <f>+'계획처리구역 인구배분(출력x)'!V81-P81</f>
        <v>612</v>
      </c>
      <c r="J81" s="705">
        <f>+'계획처리구역 인구배분(출력x)'!AA81-Q81</f>
        <v>617</v>
      </c>
      <c r="K81" s="1080" t="s">
        <v>1287</v>
      </c>
      <c r="L81" s="17"/>
      <c r="M81" s="103"/>
      <c r="N81" s="103"/>
      <c r="O81" s="103"/>
      <c r="P81" s="103"/>
      <c r="Q81" s="103"/>
      <c r="R81" s="103"/>
      <c r="AC81" s="643"/>
      <c r="AD81" s="2642" t="s">
        <v>493</v>
      </c>
      <c r="AE81" s="2642"/>
      <c r="AF81" s="614" t="e">
        <f>+#REF!</f>
        <v>#REF!</v>
      </c>
      <c r="AG81" s="614" t="e">
        <f>+#REF!</f>
        <v>#REF!</v>
      </c>
      <c r="AH81" s="614" t="e">
        <f>+#REF!</f>
        <v>#REF!</v>
      </c>
      <c r="AI81" s="614" t="e">
        <f>+#REF!</f>
        <v>#REF!</v>
      </c>
      <c r="AJ81" s="614" t="e">
        <f>+#REF!</f>
        <v>#REF!</v>
      </c>
      <c r="AK81" s="31" t="s">
        <v>538</v>
      </c>
    </row>
    <row r="82" spans="1:37" ht="16.5" customHeight="1">
      <c r="A82" s="2700"/>
      <c r="B82" s="2636"/>
      <c r="C82" s="2636"/>
      <c r="D82" s="2637"/>
      <c r="E82" s="1243" t="s">
        <v>852</v>
      </c>
      <c r="F82" s="1250">
        <f>+'계획처리구역 인구배분(출력x)'!H82-M82</f>
        <v>1277</v>
      </c>
      <c r="G82" s="705">
        <f>+'계획처리구역 인구배분(출력x)'!L82-N82</f>
        <v>1259</v>
      </c>
      <c r="H82" s="705">
        <f>+'계획처리구역 인구배분(출력x)'!Q82-O82</f>
        <v>1289</v>
      </c>
      <c r="I82" s="705">
        <f>+'계획처리구역 인구배분(출력x)'!V82-P82</f>
        <v>1320</v>
      </c>
      <c r="J82" s="705">
        <f>+'계획처리구역 인구배분(출력x)'!AA82-Q82</f>
        <v>1330</v>
      </c>
      <c r="K82" s="1080" t="s">
        <v>1288</v>
      </c>
      <c r="L82" s="17"/>
      <c r="M82" s="103"/>
      <c r="N82" s="103"/>
      <c r="O82" s="103"/>
      <c r="P82" s="103"/>
      <c r="Q82" s="103"/>
      <c r="R82" s="103"/>
      <c r="AC82" s="644"/>
      <c r="AD82" s="2642" t="s">
        <v>494</v>
      </c>
      <c r="AE82" s="2642"/>
      <c r="AF82" s="616" t="e">
        <f>SUM(AF80:AF81)</f>
        <v>#REF!</v>
      </c>
      <c r="AG82" s="616" t="e">
        <f>SUM(AG80:AG81)</f>
        <v>#REF!</v>
      </c>
      <c r="AH82" s="616" t="e">
        <f>SUM(AH80:AH81)</f>
        <v>#REF!</v>
      </c>
      <c r="AI82" s="616" t="e">
        <f>SUM(AI80:AI81)</f>
        <v>#REF!</v>
      </c>
      <c r="AJ82" s="616" t="e">
        <f>SUM(AJ80:AJ81)</f>
        <v>#REF!</v>
      </c>
      <c r="AK82" s="31"/>
    </row>
    <row r="83" spans="1:37" ht="16.5" customHeight="1">
      <c r="A83" s="2700"/>
      <c r="B83" s="2636"/>
      <c r="C83" s="2636"/>
      <c r="D83" s="2637" t="s">
        <v>848</v>
      </c>
      <c r="E83" s="1243" t="s">
        <v>851</v>
      </c>
      <c r="F83" s="1250">
        <f>+'계획처리구역 인구배분(출력x)'!H83-M83</f>
        <v>575</v>
      </c>
      <c r="G83" s="705">
        <f>+'계획처리구역 인구배분(출력x)'!L83-N83</f>
        <v>567</v>
      </c>
      <c r="H83" s="705">
        <f>+'계획처리구역 인구배분(출력x)'!Q83-O83</f>
        <v>580</v>
      </c>
      <c r="I83" s="705">
        <f>+'계획처리구역 인구배분(출력x)'!V83-P83</f>
        <v>594</v>
      </c>
      <c r="J83" s="705">
        <f>+'계획처리구역 인구배분(출력x)'!AA83-Q83</f>
        <v>599</v>
      </c>
      <c r="K83" s="1080"/>
      <c r="L83" s="17"/>
      <c r="M83" s="103"/>
      <c r="N83" s="103"/>
      <c r="O83" s="103"/>
      <c r="P83" s="103"/>
      <c r="Q83" s="103"/>
      <c r="R83" s="103"/>
      <c r="AC83" s="642" t="s">
        <v>489</v>
      </c>
      <c r="AD83" s="2642" t="s">
        <v>495</v>
      </c>
      <c r="AE83" s="2642"/>
      <c r="AF83" s="614" t="e">
        <f>+#REF!</f>
        <v>#REF!</v>
      </c>
      <c r="AG83" s="614" t="e">
        <f>+#REF!</f>
        <v>#REF!</v>
      </c>
      <c r="AH83" s="614" t="e">
        <f>+#REF!</f>
        <v>#REF!</v>
      </c>
      <c r="AI83" s="614" t="e">
        <f>+#REF!</f>
        <v>#REF!</v>
      </c>
      <c r="AJ83" s="614" t="e">
        <f>+#REF!</f>
        <v>#REF!</v>
      </c>
      <c r="AK83" s="31" t="s">
        <v>538</v>
      </c>
    </row>
    <row r="84" spans="1:37" ht="16.5" customHeight="1">
      <c r="A84" s="2700"/>
      <c r="B84" s="2636"/>
      <c r="C84" s="2636"/>
      <c r="D84" s="2637"/>
      <c r="E84" s="1243" t="s">
        <v>849</v>
      </c>
      <c r="F84" s="1250">
        <f>+'계획처리구역 인구배분(출력x)'!H84-M84</f>
        <v>198</v>
      </c>
      <c r="G84" s="705">
        <f>+'계획처리구역 인구배분(출력x)'!L84-N84</f>
        <v>195</v>
      </c>
      <c r="H84" s="705">
        <f>+'계획처리구역 인구배분(출력x)'!Q84-O84</f>
        <v>215</v>
      </c>
      <c r="I84" s="705">
        <f>+'계획처리구역 인구배분(출력x)'!V84-P84</f>
        <v>220</v>
      </c>
      <c r="J84" s="705">
        <f>+'계획처리구역 인구배분(출력x)'!AA84-Q84</f>
        <v>222</v>
      </c>
      <c r="K84" s="1080"/>
      <c r="L84" s="17"/>
      <c r="M84" s="103">
        <v>15</v>
      </c>
      <c r="N84" s="103">
        <v>15</v>
      </c>
      <c r="O84" s="103"/>
      <c r="P84" s="103"/>
      <c r="Q84" s="103"/>
      <c r="R84" s="103"/>
      <c r="AC84" s="644"/>
      <c r="AD84" s="2642" t="s">
        <v>494</v>
      </c>
      <c r="AE84" s="2642"/>
      <c r="AF84" s="614" t="e">
        <f>SUM(AF83:AF83)</f>
        <v>#REF!</v>
      </c>
      <c r="AG84" s="614" t="e">
        <f>SUM(AG83:AG83)</f>
        <v>#REF!</v>
      </c>
      <c r="AH84" s="614" t="e">
        <f>SUM(AH83:AH83)</f>
        <v>#REF!</v>
      </c>
      <c r="AI84" s="614" t="e">
        <f>SUM(AI83:AI83)</f>
        <v>#REF!</v>
      </c>
      <c r="AJ84" s="614" t="e">
        <f>SUM(AJ83:AJ83)</f>
        <v>#REF!</v>
      </c>
      <c r="AK84" s="31"/>
    </row>
    <row r="85" spans="1:37" ht="16.5" customHeight="1">
      <c r="A85" s="2700"/>
      <c r="B85" s="2636"/>
      <c r="C85" s="2636"/>
      <c r="D85" s="2637"/>
      <c r="E85" s="1243" t="s">
        <v>850</v>
      </c>
      <c r="F85" s="1250">
        <f>+'계획처리구역 인구배분(출력x)'!H85-M85</f>
        <v>192</v>
      </c>
      <c r="G85" s="705">
        <f>+'계획처리구역 인구배분(출력x)'!L85-N85</f>
        <v>189</v>
      </c>
      <c r="H85" s="705">
        <f>+'계획처리구역 인구배분(출력x)'!Q85-O85</f>
        <v>194</v>
      </c>
      <c r="I85" s="705">
        <f>+'계획처리구역 인구배분(출력x)'!V85-P85</f>
        <v>198</v>
      </c>
      <c r="J85" s="705">
        <f>+'계획처리구역 인구배분(출력x)'!AA85-Q85</f>
        <v>200</v>
      </c>
      <c r="K85" s="1080"/>
      <c r="L85" s="17"/>
      <c r="M85" s="103"/>
      <c r="N85" s="103"/>
      <c r="O85" s="103"/>
      <c r="P85" s="103"/>
      <c r="Q85" s="103"/>
      <c r="R85" s="103"/>
      <c r="AC85" s="642" t="s">
        <v>490</v>
      </c>
      <c r="AD85" s="646" t="s">
        <v>529</v>
      </c>
      <c r="AE85" s="615" t="s">
        <v>514</v>
      </c>
      <c r="AF85" s="614">
        <f>+F234</f>
        <v>297</v>
      </c>
      <c r="AG85" s="614">
        <f>+G234</f>
        <v>299</v>
      </c>
      <c r="AH85" s="614">
        <f>+H234</f>
        <v>327</v>
      </c>
      <c r="AI85" s="614">
        <f>+I234</f>
        <v>324</v>
      </c>
      <c r="AJ85" s="614">
        <f>+J234</f>
        <v>417</v>
      </c>
      <c r="AK85" s="31"/>
    </row>
    <row r="86" spans="1:37" ht="16.5" customHeight="1">
      <c r="A86" s="2700"/>
      <c r="B86" s="2636"/>
      <c r="C86" s="2636"/>
      <c r="D86" s="2637"/>
      <c r="E86" s="1243" t="s">
        <v>870</v>
      </c>
      <c r="F86" s="1250">
        <f>+'계획처리구역 인구배분(출력x)'!H86-M86</f>
        <v>524</v>
      </c>
      <c r="G86" s="705">
        <f>+'계획처리구역 인구배분(출력x)'!L86-N86</f>
        <v>516</v>
      </c>
      <c r="H86" s="705">
        <f>+'계획처리구역 인구배분(출력x)'!Q86-O86</f>
        <v>529</v>
      </c>
      <c r="I86" s="705">
        <f>+'계획처리구역 인구배분(출력x)'!V86-P86</f>
        <v>542</v>
      </c>
      <c r="J86" s="705">
        <f>+'계획처리구역 인구배분(출력x)'!AA86-Q86</f>
        <v>546</v>
      </c>
      <c r="K86" s="1080" t="s">
        <v>1289</v>
      </c>
      <c r="L86" s="17"/>
      <c r="M86" s="103"/>
      <c r="N86" s="103"/>
      <c r="O86" s="103"/>
      <c r="P86" s="103"/>
      <c r="Q86" s="103"/>
      <c r="R86" s="103"/>
      <c r="AC86" s="643"/>
      <c r="AD86" s="647"/>
      <c r="AE86" s="615" t="s">
        <v>515</v>
      </c>
      <c r="AF86" s="614" t="e">
        <f>+#REF!</f>
        <v>#REF!</v>
      </c>
      <c r="AG86" s="614" t="e">
        <f>+#REF!</f>
        <v>#REF!</v>
      </c>
      <c r="AH86" s="614" t="e">
        <f>+#REF!</f>
        <v>#REF!</v>
      </c>
      <c r="AI86" s="614" t="e">
        <f>+#REF!</f>
        <v>#REF!</v>
      </c>
      <c r="AJ86" s="614" t="e">
        <f>+#REF!</f>
        <v>#REF!</v>
      </c>
      <c r="AK86" s="31"/>
    </row>
    <row r="87" spans="1:37" ht="16.5" customHeight="1">
      <c r="A87" s="2700"/>
      <c r="B87" s="2636"/>
      <c r="C87" s="2636"/>
      <c r="D87" s="2637"/>
      <c r="E87" s="1243" t="s">
        <v>871</v>
      </c>
      <c r="F87" s="1250">
        <f>+'계획처리구역 인구배분(출력x)'!H87-M87</f>
        <v>668</v>
      </c>
      <c r="G87" s="705">
        <f>+'계획처리구역 인구배분(출력x)'!L87-N87</f>
        <v>658</v>
      </c>
      <c r="H87" s="705">
        <f>+'계획처리구역 인구배분(출력x)'!Q87-O87</f>
        <v>674</v>
      </c>
      <c r="I87" s="705">
        <f>+'계획처리구역 인구배분(출력x)'!V87-P87</f>
        <v>691</v>
      </c>
      <c r="J87" s="705">
        <f>+'계획처리구역 인구배분(출력x)'!AA87-Q87</f>
        <v>696</v>
      </c>
      <c r="K87" s="1080" t="s">
        <v>1290</v>
      </c>
      <c r="L87" s="17"/>
      <c r="M87" s="103"/>
      <c r="N87" s="103"/>
      <c r="O87" s="103"/>
      <c r="P87" s="103"/>
      <c r="Q87" s="103"/>
      <c r="R87" s="103"/>
      <c r="AC87" s="643"/>
      <c r="AD87" s="647"/>
      <c r="AE87" s="615" t="s">
        <v>516</v>
      </c>
      <c r="AF87" s="614" t="e">
        <f>+#REF!</f>
        <v>#REF!</v>
      </c>
      <c r="AG87" s="614" t="e">
        <f>+#REF!</f>
        <v>#REF!</v>
      </c>
      <c r="AH87" s="614" t="e">
        <f>+#REF!</f>
        <v>#REF!</v>
      </c>
      <c r="AI87" s="614" t="e">
        <f>+#REF!</f>
        <v>#REF!</v>
      </c>
      <c r="AJ87" s="614" t="e">
        <f>+#REF!</f>
        <v>#REF!</v>
      </c>
      <c r="AK87" s="31"/>
    </row>
    <row r="88" spans="1:37" ht="16.5" customHeight="1">
      <c r="A88" s="2700"/>
      <c r="B88" s="2636"/>
      <c r="C88" s="2636"/>
      <c r="D88" s="2637"/>
      <c r="E88" s="1243" t="s">
        <v>872</v>
      </c>
      <c r="F88" s="1250">
        <f>+'계획처리구역 인구배분(출력x)'!H88-M88</f>
        <v>557</v>
      </c>
      <c r="G88" s="705">
        <f>+'계획처리구역 인구배분(출력x)'!L88-N88</f>
        <v>549</v>
      </c>
      <c r="H88" s="705">
        <f>+'계획처리구역 인구배분(출력x)'!Q88-O88</f>
        <v>562</v>
      </c>
      <c r="I88" s="705">
        <f>+'계획처리구역 인구배분(출력x)'!V88-P88</f>
        <v>576</v>
      </c>
      <c r="J88" s="705">
        <f>+'계획처리구역 인구배분(출력x)'!AA88-Q88</f>
        <v>580</v>
      </c>
      <c r="K88" s="1080" t="s">
        <v>1291</v>
      </c>
      <c r="L88" s="17"/>
      <c r="M88" s="103"/>
      <c r="N88" s="103"/>
      <c r="O88" s="103"/>
      <c r="P88" s="103"/>
      <c r="Q88" s="103"/>
      <c r="R88" s="103"/>
      <c r="AC88" s="643"/>
      <c r="AD88" s="647"/>
      <c r="AE88" s="615" t="s">
        <v>517</v>
      </c>
      <c r="AF88" s="614" t="e">
        <f>+#REF!</f>
        <v>#REF!</v>
      </c>
      <c r="AG88" s="614" t="e">
        <f>+#REF!</f>
        <v>#REF!</v>
      </c>
      <c r="AH88" s="614" t="e">
        <f>+#REF!</f>
        <v>#REF!</v>
      </c>
      <c r="AI88" s="614" t="e">
        <f>+#REF!</f>
        <v>#REF!</v>
      </c>
      <c r="AJ88" s="614" t="e">
        <f>+#REF!</f>
        <v>#REF!</v>
      </c>
      <c r="AK88" s="31"/>
    </row>
    <row r="89" spans="1:37" ht="16.5" customHeight="1">
      <c r="A89" s="2700"/>
      <c r="B89" s="2636"/>
      <c r="C89" s="2636"/>
      <c r="D89" s="2637"/>
      <c r="E89" s="1243" t="s">
        <v>873</v>
      </c>
      <c r="F89" s="1250">
        <f>+'계획처리구역 인구배분(출력x)'!H89-M89</f>
        <v>727</v>
      </c>
      <c r="G89" s="705">
        <f>+'계획처리구역 인구배분(출력x)'!L89-N89</f>
        <v>717</v>
      </c>
      <c r="H89" s="705">
        <f>+'계획처리구역 인구배분(출력x)'!Q89-O89</f>
        <v>734</v>
      </c>
      <c r="I89" s="705">
        <f>+'계획처리구역 인구배분(출력x)'!V89-P89</f>
        <v>752</v>
      </c>
      <c r="J89" s="705">
        <f>+'계획처리구역 인구배분(출력x)'!AA89-Q89</f>
        <v>757</v>
      </c>
      <c r="K89" s="1080" t="s">
        <v>1292</v>
      </c>
      <c r="L89" s="17"/>
      <c r="M89" s="103"/>
      <c r="N89" s="103"/>
      <c r="O89" s="103"/>
      <c r="P89" s="103"/>
      <c r="Q89" s="103"/>
      <c r="R89" s="103"/>
      <c r="AC89" s="643"/>
      <c r="AD89" s="647"/>
      <c r="AE89" s="615" t="s">
        <v>518</v>
      </c>
      <c r="AF89" s="614" t="e">
        <f>+#REF!</f>
        <v>#REF!</v>
      </c>
      <c r="AG89" s="614" t="e">
        <f>+#REF!</f>
        <v>#REF!</v>
      </c>
      <c r="AH89" s="614" t="e">
        <f>+#REF!</f>
        <v>#REF!</v>
      </c>
      <c r="AI89" s="614" t="e">
        <f>+#REF!</f>
        <v>#REF!</v>
      </c>
      <c r="AJ89" s="614" t="e">
        <f>+#REF!</f>
        <v>#REF!</v>
      </c>
      <c r="AK89" s="31"/>
    </row>
    <row r="90" spans="1:37" ht="16.5" customHeight="1">
      <c r="A90" s="2700"/>
      <c r="B90" s="2636"/>
      <c r="C90" s="2636"/>
      <c r="D90" s="2637"/>
      <c r="E90" s="1243" t="s">
        <v>874</v>
      </c>
      <c r="F90" s="1250">
        <f>+'계획처리구역 인구배분(출력x)'!H90-M90</f>
        <v>343</v>
      </c>
      <c r="G90" s="705">
        <f>+'계획처리구역 인구배분(출력x)'!L90-N90</f>
        <v>338</v>
      </c>
      <c r="H90" s="705">
        <f>+'계획처리구역 인구배분(출력x)'!Q90-O90</f>
        <v>346</v>
      </c>
      <c r="I90" s="705">
        <f>+'계획처리구역 인구배분(출력x)'!V90-P90</f>
        <v>355</v>
      </c>
      <c r="J90" s="705">
        <f>+'계획처리구역 인구배분(출력x)'!AA90-Q90</f>
        <v>357</v>
      </c>
      <c r="K90" s="1080" t="s">
        <v>1293</v>
      </c>
      <c r="L90" s="17"/>
      <c r="M90" s="103"/>
      <c r="N90" s="103"/>
      <c r="O90" s="103"/>
      <c r="P90" s="103"/>
      <c r="Q90" s="103"/>
      <c r="R90" s="103"/>
      <c r="AC90" s="643"/>
      <c r="AD90" s="647"/>
      <c r="AE90" s="615" t="s">
        <v>519</v>
      </c>
      <c r="AF90" s="614" t="e">
        <f>+#REF!</f>
        <v>#REF!</v>
      </c>
      <c r="AG90" s="614" t="e">
        <f>+#REF!</f>
        <v>#REF!</v>
      </c>
      <c r="AH90" s="614" t="e">
        <f>+#REF!</f>
        <v>#REF!</v>
      </c>
      <c r="AI90" s="614" t="e">
        <f>+#REF!</f>
        <v>#REF!</v>
      </c>
      <c r="AJ90" s="614" t="e">
        <f>+#REF!</f>
        <v>#REF!</v>
      </c>
      <c r="AK90" s="31"/>
    </row>
    <row r="91" spans="1:37" ht="16.5" customHeight="1">
      <c r="A91" s="2700"/>
      <c r="B91" s="2636"/>
      <c r="C91" s="2636"/>
      <c r="D91" s="2637"/>
      <c r="E91" s="1243" t="s">
        <v>875</v>
      </c>
      <c r="F91" s="1250">
        <f>+'계획처리구역 인구배분(출력x)'!H91-M91</f>
        <v>391</v>
      </c>
      <c r="G91" s="705">
        <f>+'계획처리구역 인구배분(출력x)'!L91-N91</f>
        <v>385</v>
      </c>
      <c r="H91" s="705">
        <f>+'계획처리구역 인구배분(출력x)'!Q91-O91</f>
        <v>395</v>
      </c>
      <c r="I91" s="705">
        <f>+'계획처리구역 인구배분(출력x)'!V91-P91</f>
        <v>404</v>
      </c>
      <c r="J91" s="705">
        <f>+'계획처리구역 인구배분(출력x)'!AA91-Q91</f>
        <v>407</v>
      </c>
      <c r="K91" s="1080"/>
      <c r="L91" s="17"/>
      <c r="M91" s="103"/>
      <c r="N91" s="103"/>
      <c r="O91" s="103"/>
      <c r="P91" s="103"/>
      <c r="Q91" s="103"/>
      <c r="R91" s="103"/>
      <c r="AC91" s="643"/>
      <c r="AD91" s="647"/>
      <c r="AE91" s="615" t="s">
        <v>520</v>
      </c>
      <c r="AF91" s="614" t="e">
        <f>+#REF!</f>
        <v>#REF!</v>
      </c>
      <c r="AG91" s="614" t="e">
        <f>+#REF!</f>
        <v>#REF!</v>
      </c>
      <c r="AH91" s="614" t="e">
        <f>+#REF!</f>
        <v>#REF!</v>
      </c>
      <c r="AI91" s="614" t="e">
        <f>+#REF!</f>
        <v>#REF!</v>
      </c>
      <c r="AJ91" s="614" t="e">
        <f>+#REF!</f>
        <v>#REF!</v>
      </c>
      <c r="AK91" s="31"/>
    </row>
    <row r="92" spans="1:37" ht="16.5" customHeight="1">
      <c r="A92" s="2700"/>
      <c r="B92" s="2636"/>
      <c r="C92" s="2636"/>
      <c r="D92" s="2637"/>
      <c r="E92" s="1243" t="s">
        <v>880</v>
      </c>
      <c r="F92" s="1250">
        <f>+'계획처리구역 인구배분(출력x)'!H92-M92</f>
        <v>1249</v>
      </c>
      <c r="G92" s="705">
        <f>+'계획처리구역 인구배분(출력x)'!L92-N92</f>
        <v>1231</v>
      </c>
      <c r="H92" s="705">
        <f>+'계획처리구역 인구배분(출력x)'!Q92-O92</f>
        <v>1261</v>
      </c>
      <c r="I92" s="705">
        <f>+'계획처리구역 인구배분(출력x)'!V92-P92</f>
        <v>1291</v>
      </c>
      <c r="J92" s="705">
        <f>+'계획처리구역 인구배분(출력x)'!AA92-Q92</f>
        <v>1301</v>
      </c>
      <c r="K92" s="1080" t="s">
        <v>1294</v>
      </c>
      <c r="L92" s="17"/>
      <c r="M92" s="103"/>
      <c r="N92" s="103"/>
      <c r="O92" s="103"/>
      <c r="P92" s="103"/>
      <c r="Q92" s="103"/>
      <c r="R92" s="103"/>
      <c r="AC92" s="643"/>
      <c r="AD92" s="647"/>
      <c r="AE92" s="615" t="s">
        <v>521</v>
      </c>
      <c r="AF92" s="614" t="e">
        <f>+#REF!</f>
        <v>#REF!</v>
      </c>
      <c r="AG92" s="614" t="e">
        <f>+#REF!</f>
        <v>#REF!</v>
      </c>
      <c r="AH92" s="614" t="e">
        <f>+#REF!</f>
        <v>#REF!</v>
      </c>
      <c r="AI92" s="614" t="e">
        <f>+#REF!</f>
        <v>#REF!</v>
      </c>
      <c r="AJ92" s="614" t="e">
        <f>+#REF!</f>
        <v>#REF!</v>
      </c>
      <c r="AK92" s="31"/>
    </row>
    <row r="93" spans="1:37" s="712" customFormat="1" ht="16.5" customHeight="1">
      <c r="A93" s="2700"/>
      <c r="B93" s="2636"/>
      <c r="C93" s="2636"/>
      <c r="D93" s="2637"/>
      <c r="E93" s="1244" t="s">
        <v>1268</v>
      </c>
      <c r="F93" s="1250">
        <f>+'계획처리구역 인구배분(출력x)'!H93-M93</f>
        <v>0</v>
      </c>
      <c r="G93" s="1033">
        <f>+'계획처리구역 인구배분(출력x)'!L93-N93</f>
        <v>518</v>
      </c>
      <c r="H93" s="1033">
        <f>+'계획처리구역 인구배분(출력x)'!Q93-O93</f>
        <v>518</v>
      </c>
      <c r="I93" s="1033">
        <f>+'계획처리구역 인구배분(출력x)'!V93-P93</f>
        <v>518</v>
      </c>
      <c r="J93" s="1033">
        <f>+'계획처리구역 인구배분(출력x)'!AA93-Q93</f>
        <v>518</v>
      </c>
      <c r="K93" s="1080" t="str">
        <f>'계획처리구역 인구배분(출력x)'!AD93</f>
        <v>웰메이드타운</v>
      </c>
      <c r="L93" s="711" t="s">
        <v>871</v>
      </c>
      <c r="M93" s="103"/>
      <c r="N93" s="103"/>
      <c r="O93" s="103"/>
      <c r="P93" s="103"/>
      <c r="Q93" s="103"/>
      <c r="R93" s="103"/>
      <c r="S93" s="9"/>
      <c r="T93" s="9"/>
      <c r="U93" s="9"/>
      <c r="V93" s="9"/>
      <c r="W93" s="9"/>
      <c r="X93" s="9"/>
      <c r="Y93" s="9"/>
      <c r="Z93" s="9"/>
      <c r="AC93" s="643"/>
      <c r="AD93" s="647"/>
      <c r="AE93" s="1031"/>
      <c r="AF93" s="614"/>
      <c r="AG93" s="614"/>
      <c r="AH93" s="614"/>
      <c r="AI93" s="614"/>
      <c r="AJ93" s="614"/>
      <c r="AK93" s="713"/>
    </row>
    <row r="94" spans="1:37" ht="16.5" customHeight="1">
      <c r="A94" s="2700"/>
      <c r="B94" s="2636"/>
      <c r="C94" s="2636"/>
      <c r="D94" s="2637" t="s">
        <v>856</v>
      </c>
      <c r="E94" s="1243" t="s">
        <v>857</v>
      </c>
      <c r="F94" s="1250">
        <f>+'계획처리구역 인구배분(출력x)'!H94-M94</f>
        <v>0</v>
      </c>
      <c r="G94" s="705">
        <f>+'계획처리구역 인구배분(출력x)'!L94-N94</f>
        <v>0</v>
      </c>
      <c r="H94" s="705">
        <f>+'계획처리구역 인구배분(출력x)'!Q94-O94</f>
        <v>263</v>
      </c>
      <c r="I94" s="705">
        <f>+'계획처리구역 인구배분(출력x)'!V94-P94</f>
        <v>270</v>
      </c>
      <c r="J94" s="705">
        <f>+'계획처리구역 인구배분(출력x)'!AA94-Q94</f>
        <v>341</v>
      </c>
      <c r="K94" s="1080"/>
      <c r="L94" s="711"/>
      <c r="M94" s="103">
        <v>261</v>
      </c>
      <c r="N94" s="103">
        <v>257</v>
      </c>
      <c r="O94" s="103"/>
      <c r="P94" s="103"/>
      <c r="Q94" s="103"/>
      <c r="R94" s="103"/>
      <c r="AC94" s="643"/>
      <c r="AD94" s="647"/>
      <c r="AE94" s="615" t="s">
        <v>522</v>
      </c>
      <c r="AF94" s="614" t="e">
        <f>+#REF!</f>
        <v>#REF!</v>
      </c>
      <c r="AG94" s="614" t="e">
        <f>+#REF!</f>
        <v>#REF!</v>
      </c>
      <c r="AH94" s="614" t="e">
        <f>+#REF!</f>
        <v>#REF!</v>
      </c>
      <c r="AI94" s="614" t="e">
        <f>+#REF!</f>
        <v>#REF!</v>
      </c>
      <c r="AJ94" s="614" t="e">
        <f>+#REF!</f>
        <v>#REF!</v>
      </c>
      <c r="AK94" s="31"/>
    </row>
    <row r="95" spans="1:37" s="712" customFormat="1" ht="16.5" hidden="1" customHeight="1" outlineLevel="1">
      <c r="A95" s="2700"/>
      <c r="B95" s="2636"/>
      <c r="C95" s="2636"/>
      <c r="D95" s="2637"/>
      <c r="E95" s="1244" t="s">
        <v>1268</v>
      </c>
      <c r="F95" s="1250">
        <f>+'계획처리구역 인구배분(출력x)'!H95-M95</f>
        <v>0</v>
      </c>
      <c r="G95" s="1033">
        <f>+'계획처리구역 인구배분(출력x)'!L95-N95</f>
        <v>0</v>
      </c>
      <c r="H95" s="1033">
        <f>+'계획처리구역 인구배분(출력x)'!Q95-O95</f>
        <v>0</v>
      </c>
      <c r="I95" s="1033">
        <f>+'계획처리구역 인구배분(출력x)'!V95-P95</f>
        <v>0</v>
      </c>
      <c r="J95" s="1033">
        <f>+'계획처리구역 인구배분(출력x)'!AA95-Q95</f>
        <v>0</v>
      </c>
      <c r="K95" s="1080" t="str">
        <f>'계획처리구역 인구배분(출력x)'!AD95</f>
        <v>음성대소지역주택조합</v>
      </c>
      <c r="L95" s="711" t="s">
        <v>857</v>
      </c>
      <c r="M95" s="103"/>
      <c r="N95" s="103"/>
      <c r="O95" s="103"/>
      <c r="P95" s="103">
        <v>823</v>
      </c>
      <c r="Q95" s="103">
        <v>823</v>
      </c>
      <c r="R95" s="103"/>
      <c r="S95" s="9"/>
      <c r="T95" s="9"/>
      <c r="U95" s="9"/>
      <c r="V95" s="9"/>
      <c r="W95" s="9"/>
      <c r="X95" s="9"/>
      <c r="Y95" s="9"/>
      <c r="Z95" s="9"/>
      <c r="AC95" s="643"/>
      <c r="AD95" s="647"/>
      <c r="AE95" s="1031"/>
      <c r="AF95" s="614"/>
      <c r="AG95" s="614"/>
      <c r="AH95" s="614"/>
      <c r="AI95" s="614"/>
      <c r="AJ95" s="614"/>
      <c r="AK95" s="713"/>
    </row>
    <row r="96" spans="1:37" s="712" customFormat="1" ht="16.5" hidden="1" customHeight="1" outlineLevel="1">
      <c r="A96" s="2700"/>
      <c r="B96" s="2636"/>
      <c r="C96" s="2636"/>
      <c r="D96" s="2637"/>
      <c r="E96" s="1244" t="s">
        <v>1268</v>
      </c>
      <c r="F96" s="1250">
        <f>+'계획처리구역 인구배분(출력x)'!H96-M96</f>
        <v>0</v>
      </c>
      <c r="G96" s="1033">
        <f>+'계획처리구역 인구배분(출력x)'!L96-N96</f>
        <v>0</v>
      </c>
      <c r="H96" s="1033">
        <f>+'계획처리구역 인구배분(출력x)'!Q96-O96</f>
        <v>0</v>
      </c>
      <c r="I96" s="1033">
        <f>+'계획처리구역 인구배분(출력x)'!V96-P96</f>
        <v>0</v>
      </c>
      <c r="J96" s="1033">
        <f>+'계획처리구역 인구배분(출력x)'!AA96-Q96</f>
        <v>0</v>
      </c>
      <c r="K96" s="1080" t="str">
        <f>'계획처리구역 인구배분(출력x)'!AD96</f>
        <v>프리즘환타</v>
      </c>
      <c r="L96" s="711" t="s">
        <v>857</v>
      </c>
      <c r="M96" s="103"/>
      <c r="N96" s="103"/>
      <c r="O96" s="103"/>
      <c r="P96" s="103">
        <v>818</v>
      </c>
      <c r="Q96" s="103">
        <v>818</v>
      </c>
      <c r="R96" s="103"/>
      <c r="S96" s="9"/>
      <c r="T96" s="9"/>
      <c r="U96" s="9"/>
      <c r="V96" s="9"/>
      <c r="W96" s="9"/>
      <c r="X96" s="9"/>
      <c r="Y96" s="9"/>
      <c r="Z96" s="9"/>
      <c r="AC96" s="643"/>
      <c r="AD96" s="647"/>
      <c r="AE96" s="1031"/>
      <c r="AF96" s="614"/>
      <c r="AG96" s="614"/>
      <c r="AH96" s="614"/>
      <c r="AI96" s="614"/>
      <c r="AJ96" s="614"/>
      <c r="AK96" s="713"/>
    </row>
    <row r="97" spans="1:37" s="712" customFormat="1" ht="16.5" customHeight="1" collapsed="1">
      <c r="A97" s="2700"/>
      <c r="B97" s="2636"/>
      <c r="C97" s="2636"/>
      <c r="D97" s="2637"/>
      <c r="E97" s="1244" t="s">
        <v>1268</v>
      </c>
      <c r="F97" s="1250">
        <f>+'계획처리구역 인구배분(출력x)'!H97-M97</f>
        <v>0</v>
      </c>
      <c r="G97" s="1033">
        <f>+'계획처리구역 인구배분(출력x)'!L97-N97</f>
        <v>0</v>
      </c>
      <c r="H97" s="1033">
        <f>+'계획처리구역 인구배분(출력x)'!Q97-O97</f>
        <v>822</v>
      </c>
      <c r="I97" s="1033">
        <f>+'계획처리구역 인구배분(출력x)'!V97-P97</f>
        <v>822</v>
      </c>
      <c r="J97" s="1033">
        <f>+'계획처리구역 인구배분(출력x)'!AA97-Q97</f>
        <v>822</v>
      </c>
      <c r="K97" s="1080" t="str">
        <f>'계획처리구역 인구배분(출력x)'!AD97</f>
        <v>소석리아파트(3단지)</v>
      </c>
      <c r="L97" s="711" t="s">
        <v>857</v>
      </c>
      <c r="M97" s="103"/>
      <c r="N97" s="103"/>
      <c r="O97" s="103"/>
      <c r="P97" s="103"/>
      <c r="Q97" s="103"/>
      <c r="R97" s="103"/>
      <c r="S97" s="9"/>
      <c r="T97" s="9"/>
      <c r="U97" s="9"/>
      <c r="V97" s="9"/>
      <c r="W97" s="9"/>
      <c r="X97" s="9"/>
      <c r="Y97" s="9"/>
      <c r="Z97" s="9"/>
      <c r="AC97" s="643"/>
      <c r="AD97" s="647"/>
      <c r="AE97" s="1031"/>
      <c r="AF97" s="614"/>
      <c r="AG97" s="614"/>
      <c r="AH97" s="614"/>
      <c r="AI97" s="614"/>
      <c r="AJ97" s="614"/>
      <c r="AK97" s="713"/>
    </row>
    <row r="98" spans="1:37" ht="16.5" customHeight="1">
      <c r="A98" s="2700"/>
      <c r="B98" s="2636"/>
      <c r="C98" s="2636"/>
      <c r="D98" s="2637" t="s">
        <v>863</v>
      </c>
      <c r="E98" s="1243" t="s">
        <v>864</v>
      </c>
      <c r="F98" s="1250">
        <f>+'계획처리구역 인구배분(출력x)'!H98-M98</f>
        <v>256</v>
      </c>
      <c r="G98" s="705">
        <f>+'계획처리구역 인구배분(출력x)'!L98-N98</f>
        <v>252</v>
      </c>
      <c r="H98" s="705">
        <f>+'계획처리구역 인구배분(출력x)'!Q98-O98</f>
        <v>258</v>
      </c>
      <c r="I98" s="705">
        <f>+'계획처리구역 인구배분(출력x)'!V98-P98</f>
        <v>265</v>
      </c>
      <c r="J98" s="705">
        <f>+'계획처리구역 인구배분(출력x)'!AA98-Q98</f>
        <v>267</v>
      </c>
      <c r="K98" s="1080"/>
      <c r="L98" s="711"/>
      <c r="M98" s="103"/>
      <c r="N98" s="103"/>
      <c r="O98" s="103"/>
      <c r="P98" s="103"/>
      <c r="Q98" s="103"/>
      <c r="R98" s="103"/>
      <c r="AC98" s="643"/>
      <c r="AD98" s="647"/>
      <c r="AE98" s="615" t="s">
        <v>523</v>
      </c>
      <c r="AF98" s="614" t="e">
        <f>+#REF!</f>
        <v>#REF!</v>
      </c>
      <c r="AG98" s="614" t="e">
        <f>+#REF!</f>
        <v>#REF!</v>
      </c>
      <c r="AH98" s="614" t="e">
        <f>+#REF!</f>
        <v>#REF!</v>
      </c>
      <c r="AI98" s="614" t="e">
        <f>+#REF!</f>
        <v>#REF!</v>
      </c>
      <c r="AJ98" s="614" t="e">
        <f>+#REF!</f>
        <v>#REF!</v>
      </c>
      <c r="AK98" s="31"/>
    </row>
    <row r="99" spans="1:37" ht="16.5" customHeight="1">
      <c r="A99" s="2700"/>
      <c r="B99" s="2636"/>
      <c r="C99" s="2636"/>
      <c r="D99" s="2637"/>
      <c r="E99" s="1243" t="s">
        <v>868</v>
      </c>
      <c r="F99" s="1250">
        <f>+'계획처리구역 인구배분(출력x)'!H99-M99</f>
        <v>0</v>
      </c>
      <c r="G99" s="705">
        <f>+'계획처리구역 인구배분(출력x)'!L99-N99</f>
        <v>292</v>
      </c>
      <c r="H99" s="705">
        <f>+'계획처리구역 인구배분(출력x)'!Q99-O99</f>
        <v>299</v>
      </c>
      <c r="I99" s="705">
        <f>+'계획처리구역 인구배분(출력x)'!V99-P99</f>
        <v>306</v>
      </c>
      <c r="J99" s="705">
        <f>+'계획처리구역 인구배분(출력x)'!AA99-Q99</f>
        <v>308</v>
      </c>
      <c r="K99" s="1086"/>
      <c r="L99" s="711"/>
      <c r="M99" s="103">
        <v>296</v>
      </c>
      <c r="N99" s="103"/>
      <c r="O99" s="103"/>
      <c r="P99" s="103"/>
      <c r="Q99" s="103"/>
      <c r="R99" s="103"/>
      <c r="AC99" s="643"/>
      <c r="AD99" s="647"/>
      <c r="AE99" s="615" t="s">
        <v>524</v>
      </c>
      <c r="AF99" s="614" t="e">
        <f>+#REF!</f>
        <v>#REF!</v>
      </c>
      <c r="AG99" s="614" t="e">
        <f>+#REF!</f>
        <v>#REF!</v>
      </c>
      <c r="AH99" s="614" t="e">
        <f>+#REF!</f>
        <v>#REF!</v>
      </c>
      <c r="AI99" s="614" t="e">
        <f>+#REF!</f>
        <v>#REF!</v>
      </c>
      <c r="AJ99" s="614" t="e">
        <f>+#REF!</f>
        <v>#REF!</v>
      </c>
      <c r="AK99" s="31"/>
    </row>
    <row r="100" spans="1:37" ht="16.5" customHeight="1">
      <c r="A100" s="2700"/>
      <c r="B100" s="2636"/>
      <c r="C100" s="2636"/>
      <c r="D100" s="2637"/>
      <c r="E100" s="1243" t="s">
        <v>866</v>
      </c>
      <c r="F100" s="1250">
        <f>+'계획처리구역 인구배분(출력x)'!H100-M100</f>
        <v>455</v>
      </c>
      <c r="G100" s="705">
        <f>+'계획처리구역 인구배분(출력x)'!L100-N100</f>
        <v>448</v>
      </c>
      <c r="H100" s="705">
        <f>+'계획처리구역 인구배분(출력x)'!Q100-O100</f>
        <v>459</v>
      </c>
      <c r="I100" s="705">
        <f>+'계획처리구역 인구배분(출력x)'!V100-P100</f>
        <v>470</v>
      </c>
      <c r="J100" s="705">
        <f>+'계획처리구역 인구배분(출력x)'!AA100-Q100</f>
        <v>474</v>
      </c>
      <c r="K100" s="1080" t="s">
        <v>1295</v>
      </c>
      <c r="L100" s="711"/>
      <c r="M100" s="103"/>
      <c r="N100" s="103"/>
      <c r="O100" s="103"/>
      <c r="P100" s="103"/>
      <c r="Q100" s="103"/>
      <c r="R100" s="103"/>
      <c r="AC100" s="643"/>
      <c r="AD100" s="647"/>
      <c r="AE100" s="615" t="s">
        <v>525</v>
      </c>
      <c r="AF100" s="614" t="e">
        <f>+#REF!</f>
        <v>#REF!</v>
      </c>
      <c r="AG100" s="614" t="e">
        <f>+#REF!</f>
        <v>#REF!</v>
      </c>
      <c r="AH100" s="614" t="e">
        <f>+#REF!</f>
        <v>#REF!</v>
      </c>
      <c r="AI100" s="614" t="e">
        <f>+#REF!</f>
        <v>#REF!</v>
      </c>
      <c r="AJ100" s="614" t="e">
        <f>+#REF!</f>
        <v>#REF!</v>
      </c>
      <c r="AK100" s="31"/>
    </row>
    <row r="101" spans="1:37" s="712" customFormat="1" ht="16.5" customHeight="1">
      <c r="A101" s="2700"/>
      <c r="B101" s="2636"/>
      <c r="C101" s="2636"/>
      <c r="D101" s="2637" t="s">
        <v>876</v>
      </c>
      <c r="E101" s="1243" t="s">
        <v>1224</v>
      </c>
      <c r="F101" s="1250">
        <f>+'계획처리구역 인구배분(출력x)'!H101-M101</f>
        <v>0</v>
      </c>
      <c r="G101" s="1001">
        <f>+'계획처리구역 인구배분(출력x)'!L101-N101</f>
        <v>141</v>
      </c>
      <c r="H101" s="1001">
        <f>+'계획처리구역 인구배분(출력x)'!Q101-O101</f>
        <v>144</v>
      </c>
      <c r="I101" s="1001">
        <f>+'계획처리구역 인구배분(출력x)'!V101-P101</f>
        <v>148</v>
      </c>
      <c r="J101" s="1001">
        <f>+'계획처리구역 인구배분(출력x)'!AA101-Q101</f>
        <v>149</v>
      </c>
      <c r="K101" s="1080"/>
      <c r="L101" s="711"/>
      <c r="M101" s="103">
        <v>143</v>
      </c>
      <c r="N101" s="103"/>
      <c r="O101" s="103"/>
      <c r="P101" s="103"/>
      <c r="Q101" s="103"/>
      <c r="R101" s="103"/>
      <c r="S101" s="9"/>
      <c r="T101" s="9"/>
      <c r="U101" s="9"/>
      <c r="V101" s="9"/>
      <c r="W101" s="9"/>
      <c r="X101" s="9"/>
      <c r="Y101" s="9"/>
      <c r="Z101" s="9"/>
      <c r="AC101" s="643"/>
      <c r="AD101" s="647"/>
      <c r="AE101" s="1000"/>
      <c r="AF101" s="614"/>
      <c r="AG101" s="614"/>
      <c r="AH101" s="614"/>
      <c r="AI101" s="614"/>
      <c r="AJ101" s="614"/>
      <c r="AK101" s="713"/>
    </row>
    <row r="102" spans="1:37" ht="16.5" customHeight="1">
      <c r="A102" s="2700"/>
      <c r="B102" s="2636"/>
      <c r="C102" s="2636"/>
      <c r="D102" s="2637"/>
      <c r="E102" s="1243" t="s">
        <v>877</v>
      </c>
      <c r="F102" s="1250">
        <f>+'계획처리구역 인구배분(출력x)'!H102-M102</f>
        <v>727</v>
      </c>
      <c r="G102" s="705">
        <f>+'계획처리구역 인구배분(출력x)'!L102-N102</f>
        <v>717</v>
      </c>
      <c r="H102" s="705">
        <f>+'계획처리구역 인구배분(출력x)'!Q102-O102</f>
        <v>734</v>
      </c>
      <c r="I102" s="705">
        <f>+'계획처리구역 인구배분(출력x)'!V102-P102</f>
        <v>752</v>
      </c>
      <c r="J102" s="705">
        <f>+'계획처리구역 인구배분(출력x)'!AA102-Q102</f>
        <v>757</v>
      </c>
      <c r="K102" s="1080" t="s">
        <v>1296</v>
      </c>
      <c r="L102" s="711"/>
      <c r="M102" s="103"/>
      <c r="N102" s="103"/>
      <c r="O102" s="103"/>
      <c r="P102" s="103"/>
      <c r="Q102" s="103"/>
      <c r="R102" s="103"/>
      <c r="AC102" s="643"/>
      <c r="AD102" s="647"/>
      <c r="AE102" s="615" t="s">
        <v>526</v>
      </c>
      <c r="AF102" s="614" t="e">
        <f>+#REF!</f>
        <v>#REF!</v>
      </c>
      <c r="AG102" s="614" t="e">
        <f>+#REF!</f>
        <v>#REF!</v>
      </c>
      <c r="AH102" s="614" t="e">
        <f>+#REF!</f>
        <v>#REF!</v>
      </c>
      <c r="AI102" s="614" t="e">
        <f>+#REF!</f>
        <v>#REF!</v>
      </c>
      <c r="AJ102" s="614" t="e">
        <f>+#REF!</f>
        <v>#REF!</v>
      </c>
      <c r="AK102" s="31"/>
    </row>
    <row r="103" spans="1:37" ht="16.5" customHeight="1">
      <c r="A103" s="2700"/>
      <c r="B103" s="2636"/>
      <c r="C103" s="2636"/>
      <c r="D103" s="2637"/>
      <c r="E103" s="1243" t="s">
        <v>878</v>
      </c>
      <c r="F103" s="1250">
        <f>+'계획처리구역 인구배분(출력x)'!H103-M103</f>
        <v>0</v>
      </c>
      <c r="G103" s="705">
        <f>+'계획처리구역 인구배분(출력x)'!L103-N103</f>
        <v>286</v>
      </c>
      <c r="H103" s="705">
        <f>+'계획처리구역 인구배분(출력x)'!Q103-O103</f>
        <v>293</v>
      </c>
      <c r="I103" s="705">
        <f>+'계획처리구역 인구배분(출력x)'!V103-P103</f>
        <v>300</v>
      </c>
      <c r="J103" s="705">
        <f>+'계획처리구역 인구배분(출력x)'!AA103-Q103</f>
        <v>302</v>
      </c>
      <c r="K103" s="1080"/>
      <c r="L103" s="711"/>
      <c r="M103" s="103">
        <v>290</v>
      </c>
      <c r="N103" s="103"/>
      <c r="O103" s="103"/>
      <c r="P103" s="103"/>
      <c r="Q103" s="103"/>
      <c r="R103" s="103"/>
      <c r="AC103" s="643"/>
      <c r="AD103" s="647"/>
      <c r="AE103" s="615" t="s">
        <v>527</v>
      </c>
      <c r="AF103" s="614" t="e">
        <f>+#REF!</f>
        <v>#REF!</v>
      </c>
      <c r="AG103" s="614" t="e">
        <f>+#REF!</f>
        <v>#REF!</v>
      </c>
      <c r="AH103" s="614" t="e">
        <f>+#REF!</f>
        <v>#REF!</v>
      </c>
      <c r="AI103" s="614" t="e">
        <f>+#REF!</f>
        <v>#REF!</v>
      </c>
      <c r="AJ103" s="614" t="e">
        <f>+#REF!</f>
        <v>#REF!</v>
      </c>
      <c r="AK103" s="31"/>
    </row>
    <row r="104" spans="1:37" ht="16.5" customHeight="1">
      <c r="A104" s="2700"/>
      <c r="B104" s="2636"/>
      <c r="C104" s="2636"/>
      <c r="D104" s="2637"/>
      <c r="E104" s="1243" t="s">
        <v>879</v>
      </c>
      <c r="F104" s="1250">
        <f>+'계획처리구역 인구배분(출력x)'!H104-M104</f>
        <v>0</v>
      </c>
      <c r="G104" s="705">
        <f>+'계획처리구역 인구배분(출력x)'!L104-N104</f>
        <v>118</v>
      </c>
      <c r="H104" s="705">
        <f>+'계획처리구역 인구배분(출력x)'!Q104-O104</f>
        <v>121</v>
      </c>
      <c r="I104" s="705">
        <f>+'계획처리구역 인구배분(출력x)'!V104-P104</f>
        <v>124</v>
      </c>
      <c r="J104" s="705">
        <f>+'계획처리구역 인구배분(출력x)'!AA104-Q104</f>
        <v>125</v>
      </c>
      <c r="K104" s="1080"/>
      <c r="L104" s="711"/>
      <c r="M104" s="103">
        <v>120</v>
      </c>
      <c r="N104" s="103"/>
      <c r="O104" s="103"/>
      <c r="P104" s="103"/>
      <c r="Q104" s="103"/>
      <c r="R104" s="103"/>
      <c r="AC104" s="643"/>
      <c r="AD104" s="647"/>
      <c r="AE104" s="615" t="s">
        <v>528</v>
      </c>
      <c r="AF104" s="614" t="e">
        <f>+#REF!</f>
        <v>#REF!</v>
      </c>
      <c r="AG104" s="614" t="e">
        <f>+#REF!</f>
        <v>#REF!</v>
      </c>
      <c r="AH104" s="614" t="e">
        <f>+#REF!</f>
        <v>#REF!</v>
      </c>
      <c r="AI104" s="614" t="e">
        <f>+#REF!</f>
        <v>#REF!</v>
      </c>
      <c r="AJ104" s="614" t="e">
        <f>+#REF!</f>
        <v>#REF!</v>
      </c>
      <c r="AK104" s="31"/>
    </row>
    <row r="105" spans="1:37" s="712" customFormat="1" ht="16.5" customHeight="1">
      <c r="A105" s="2700"/>
      <c r="B105" s="2636"/>
      <c r="C105" s="2636"/>
      <c r="D105" s="2637"/>
      <c r="E105" s="1244" t="s">
        <v>1268</v>
      </c>
      <c r="F105" s="1250">
        <f>+'계획처리구역 인구배분(출력x)'!H105-M105</f>
        <v>0</v>
      </c>
      <c r="G105" s="1033">
        <f>+'계획처리구역 인구배분(출력x)'!L105-N105</f>
        <v>3346</v>
      </c>
      <c r="H105" s="1033">
        <f>+'계획처리구역 인구배분(출력x)'!Q105-O105</f>
        <v>3346</v>
      </c>
      <c r="I105" s="1033">
        <f>+'계획처리구역 인구배분(출력x)'!V105-P105</f>
        <v>3346</v>
      </c>
      <c r="J105" s="1033">
        <f>+'계획처리구역 인구배분(출력x)'!AA105-Q105</f>
        <v>3346</v>
      </c>
      <c r="K105" s="1080" t="str">
        <f>'계획처리구역 인구배분(출력x)'!AD105</f>
        <v>대소 삼정지구</v>
      </c>
      <c r="L105" s="711"/>
      <c r="M105" s="103"/>
      <c r="N105" s="103"/>
      <c r="O105" s="103"/>
      <c r="P105" s="103"/>
      <c r="Q105" s="103"/>
      <c r="R105" s="103"/>
      <c r="S105" s="9"/>
      <c r="T105" s="9"/>
      <c r="U105" s="9"/>
      <c r="V105" s="9"/>
      <c r="W105" s="9"/>
      <c r="X105" s="9"/>
      <c r="Y105" s="9"/>
      <c r="Z105" s="9"/>
      <c r="AC105" s="643"/>
      <c r="AD105" s="647"/>
      <c r="AE105" s="1031"/>
      <c r="AF105" s="614"/>
      <c r="AG105" s="614"/>
      <c r="AH105" s="614"/>
      <c r="AI105" s="614"/>
      <c r="AJ105" s="614"/>
      <c r="AK105" s="713"/>
    </row>
    <row r="106" spans="1:37" s="712" customFormat="1" ht="16.5" customHeight="1">
      <c r="A106" s="2700"/>
      <c r="B106" s="2636"/>
      <c r="C106" s="2636"/>
      <c r="D106" s="2681" t="s">
        <v>1225</v>
      </c>
      <c r="E106" s="1243" t="s">
        <v>1226</v>
      </c>
      <c r="F106" s="1250">
        <f>+'계획처리구역 인구배분(출력x)'!H106-M106</f>
        <v>8</v>
      </c>
      <c r="G106" s="1001">
        <f>+'계획처리구역 인구배분(출력x)'!L106-N106</f>
        <v>8</v>
      </c>
      <c r="H106" s="1001">
        <f>+'계획처리구역 인구배분(출력x)'!Q106-O106</f>
        <v>8</v>
      </c>
      <c r="I106" s="1001">
        <f>+'계획처리구역 인구배분(출력x)'!V106-P106</f>
        <v>8</v>
      </c>
      <c r="J106" s="1001">
        <f>+'계획처리구역 인구배분(출력x)'!AA106-Q106</f>
        <v>8</v>
      </c>
      <c r="K106" s="1080"/>
      <c r="L106" s="711"/>
      <c r="M106" s="103">
        <v>134</v>
      </c>
      <c r="N106" s="103">
        <v>132</v>
      </c>
      <c r="O106" s="103">
        <v>135</v>
      </c>
      <c r="P106" s="103">
        <v>139</v>
      </c>
      <c r="Q106" s="103">
        <v>140</v>
      </c>
      <c r="R106" s="103"/>
      <c r="S106" s="9"/>
      <c r="T106" s="9"/>
      <c r="U106" s="9"/>
      <c r="V106" s="9"/>
      <c r="W106" s="9"/>
      <c r="X106" s="9"/>
      <c r="Y106" s="9"/>
      <c r="Z106" s="9"/>
      <c r="AC106" s="643"/>
      <c r="AD106" s="647"/>
      <c r="AE106" s="1000"/>
      <c r="AF106" s="614"/>
      <c r="AG106" s="614"/>
      <c r="AH106" s="614"/>
      <c r="AI106" s="614"/>
      <c r="AJ106" s="614"/>
      <c r="AK106" s="713"/>
    </row>
    <row r="107" spans="1:37" s="712" customFormat="1" ht="16.5" customHeight="1">
      <c r="A107" s="2700"/>
      <c r="B107" s="2636"/>
      <c r="C107" s="2636"/>
      <c r="D107" s="2683"/>
      <c r="E107" s="1244" t="s">
        <v>149</v>
      </c>
      <c r="F107" s="1250">
        <f>+'계획처리구역 인구배분(출력x)'!H107-M107</f>
        <v>0</v>
      </c>
      <c r="G107" s="1244">
        <f>+'계획처리구역 인구배분(출력x)'!L107-N107</f>
        <v>0</v>
      </c>
      <c r="H107" s="1244">
        <f>+'계획처리구역 인구배분(출력x)'!Q107-O107</f>
        <v>0</v>
      </c>
      <c r="I107" s="1244">
        <f>+'계획처리구역 인구배분(출력x)'!V107-P107</f>
        <v>0</v>
      </c>
      <c r="J107" s="1244">
        <f>+'계획처리구역 인구배분(출력x)'!AA107-Q107</f>
        <v>5369</v>
      </c>
      <c r="K107" s="1080" t="str">
        <f>'계획처리구역 인구배분(출력x)'!AD107</f>
        <v>태성지구</v>
      </c>
      <c r="L107" s="711"/>
      <c r="M107" s="103"/>
      <c r="N107" s="103"/>
      <c r="O107" s="103"/>
      <c r="P107" s="103"/>
      <c r="Q107" s="103"/>
      <c r="R107" s="103"/>
      <c r="S107" s="9"/>
      <c r="T107" s="9"/>
      <c r="U107" s="9"/>
      <c r="V107" s="9"/>
      <c r="W107" s="9"/>
      <c r="X107" s="9"/>
      <c r="Y107" s="9"/>
      <c r="Z107" s="9"/>
      <c r="AC107" s="643"/>
      <c r="AD107" s="647"/>
      <c r="AE107" s="1245"/>
      <c r="AF107" s="614"/>
      <c r="AG107" s="614"/>
      <c r="AH107" s="614"/>
      <c r="AI107" s="614"/>
      <c r="AJ107" s="614"/>
      <c r="AK107" s="713"/>
    </row>
    <row r="108" spans="1:37" ht="16.5" customHeight="1">
      <c r="A108" s="2700"/>
      <c r="B108" s="2636" t="s">
        <v>816</v>
      </c>
      <c r="C108" s="2635" t="s">
        <v>7</v>
      </c>
      <c r="D108" s="2635"/>
      <c r="E108" s="2635"/>
      <c r="F108" s="1249">
        <f t="shared" ref="F108" si="7">SUM(F109:F120)</f>
        <v>1347</v>
      </c>
      <c r="G108" s="907">
        <f t="shared" ref="G108" si="8">SUM(G109:G120)</f>
        <v>4090</v>
      </c>
      <c r="H108" s="907">
        <f t="shared" ref="H108" si="9">SUM(H109:H120)</f>
        <v>4375</v>
      </c>
      <c r="I108" s="907">
        <f t="shared" ref="I108" si="10">SUM(I109:I120)</f>
        <v>4471</v>
      </c>
      <c r="J108" s="907">
        <f t="shared" ref="J108" si="11">SUM(J109:J120)</f>
        <v>4503</v>
      </c>
      <c r="K108" s="1080"/>
      <c r="L108" s="711"/>
      <c r="M108" s="103"/>
      <c r="N108" s="103"/>
      <c r="O108" s="103"/>
      <c r="P108" s="103"/>
      <c r="Q108" s="103"/>
      <c r="R108" s="103"/>
      <c r="AC108" s="643"/>
      <c r="AD108" s="647"/>
      <c r="AE108" s="706" t="s">
        <v>631</v>
      </c>
      <c r="AF108" s="614" t="e">
        <f>+#REF!</f>
        <v>#REF!</v>
      </c>
      <c r="AG108" s="614" t="e">
        <f>+#REF!</f>
        <v>#REF!</v>
      </c>
      <c r="AH108" s="614" t="e">
        <f>+#REF!</f>
        <v>#REF!</v>
      </c>
      <c r="AI108" s="614" t="e">
        <f>+#REF!</f>
        <v>#REF!</v>
      </c>
      <c r="AJ108" s="614" t="e">
        <f>+#REF!</f>
        <v>#REF!</v>
      </c>
      <c r="AK108" s="31"/>
    </row>
    <row r="109" spans="1:37" ht="16.5" customHeight="1">
      <c r="A109" s="2700"/>
      <c r="B109" s="2636"/>
      <c r="C109" s="2636" t="s">
        <v>641</v>
      </c>
      <c r="D109" s="2635" t="s">
        <v>859</v>
      </c>
      <c r="E109" s="1238" t="s">
        <v>860</v>
      </c>
      <c r="F109" s="1250">
        <f>+'계획처리구역 인구배분(출력x)'!H109-M109</f>
        <v>262</v>
      </c>
      <c r="G109" s="705">
        <f>+'계획처리구역 인구배분(출력x)'!L109-N109</f>
        <v>258</v>
      </c>
      <c r="H109" s="705">
        <f>+'계획처리구역 인구배분(출력x)'!Q109-O109</f>
        <v>264</v>
      </c>
      <c r="I109" s="705">
        <f>+'계획처리구역 인구배분(출력x)'!V109-P109</f>
        <v>271</v>
      </c>
      <c r="J109" s="705">
        <f>+'계획처리구역 인구배분(출력x)'!AA109-Q109</f>
        <v>273</v>
      </c>
      <c r="K109" s="1080"/>
      <c r="L109" s="711"/>
      <c r="M109" s="103"/>
      <c r="N109" s="103"/>
      <c r="O109" s="103"/>
      <c r="P109" s="103"/>
      <c r="Q109" s="103"/>
      <c r="R109" s="103"/>
      <c r="AC109" s="643"/>
      <c r="AD109" s="648"/>
      <c r="AE109" s="615" t="s">
        <v>536</v>
      </c>
      <c r="AF109" s="614" t="e">
        <f>SUM(AF85:AF108)</f>
        <v>#REF!</v>
      </c>
      <c r="AG109" s="614" t="e">
        <f t="shared" ref="AG109:AJ109" si="12">SUM(AG85:AG108)</f>
        <v>#REF!</v>
      </c>
      <c r="AH109" s="614" t="e">
        <f t="shared" si="12"/>
        <v>#REF!</v>
      </c>
      <c r="AI109" s="614" t="e">
        <f t="shared" si="12"/>
        <v>#REF!</v>
      </c>
      <c r="AJ109" s="614" t="e">
        <f t="shared" si="12"/>
        <v>#REF!</v>
      </c>
      <c r="AK109" s="31"/>
    </row>
    <row r="110" spans="1:37" ht="16.5" customHeight="1">
      <c r="A110" s="2700"/>
      <c r="B110" s="2636"/>
      <c r="C110" s="2636"/>
      <c r="D110" s="2635"/>
      <c r="E110" s="1238" t="s">
        <v>861</v>
      </c>
      <c r="F110" s="1250">
        <f>+'계획처리구역 인구배분(출력x)'!H110-M110</f>
        <v>158</v>
      </c>
      <c r="G110" s="705">
        <f>+'계획처리구역 인구배분(출력x)'!L110-N110</f>
        <v>156</v>
      </c>
      <c r="H110" s="705">
        <f>+'계획처리구역 인구배분(출력x)'!Q110-O110</f>
        <v>159</v>
      </c>
      <c r="I110" s="705">
        <f>+'계획처리구역 인구배분(출력x)'!V110-P110</f>
        <v>163</v>
      </c>
      <c r="J110" s="705">
        <f>+'계획처리구역 인구배분(출력x)'!AA110-Q110</f>
        <v>165</v>
      </c>
      <c r="K110" s="1080"/>
      <c r="L110" s="711"/>
      <c r="M110" s="103"/>
      <c r="N110" s="103"/>
      <c r="O110" s="103"/>
      <c r="P110" s="103"/>
      <c r="Q110" s="103"/>
      <c r="R110" s="103"/>
      <c r="AC110" s="643"/>
      <c r="AD110" s="2646" t="s">
        <v>587</v>
      </c>
      <c r="AE110" s="2647"/>
      <c r="AF110" s="614" t="e">
        <f>+#REF!</f>
        <v>#REF!</v>
      </c>
      <c r="AG110" s="614" t="e">
        <f>+#REF!</f>
        <v>#REF!</v>
      </c>
      <c r="AH110" s="614" t="e">
        <f>+#REF!</f>
        <v>#REF!</v>
      </c>
      <c r="AI110" s="614" t="e">
        <f>+#REF!</f>
        <v>#REF!</v>
      </c>
      <c r="AJ110" s="614" t="e">
        <f>+#REF!</f>
        <v>#REF!</v>
      </c>
      <c r="AK110" s="31"/>
    </row>
    <row r="111" spans="1:37" ht="16.5" customHeight="1">
      <c r="A111" s="2700"/>
      <c r="B111" s="2636"/>
      <c r="C111" s="2636"/>
      <c r="D111" s="2635"/>
      <c r="E111" s="1238" t="s">
        <v>862</v>
      </c>
      <c r="F111" s="1250">
        <f>+'계획처리구역 인구배분(출력x)'!H111-M111</f>
        <v>134</v>
      </c>
      <c r="G111" s="705">
        <f>+'계획처리구역 인구배분(출력x)'!L111-N111</f>
        <v>132</v>
      </c>
      <c r="H111" s="705">
        <f>+'계획처리구역 인구배분(출력x)'!Q111-O111</f>
        <v>135</v>
      </c>
      <c r="I111" s="705">
        <f>+'계획처리구역 인구배분(출력x)'!V111-P111</f>
        <v>139</v>
      </c>
      <c r="J111" s="705">
        <f>+'계획처리구역 인구배분(출력x)'!AA111-Q111</f>
        <v>140</v>
      </c>
      <c r="K111" s="1080"/>
      <c r="L111" s="711"/>
      <c r="M111" s="103"/>
      <c r="N111" s="103"/>
      <c r="O111" s="103"/>
      <c r="P111" s="103"/>
      <c r="Q111" s="103"/>
      <c r="R111" s="103"/>
      <c r="AC111" s="643"/>
      <c r="AD111" s="2646" t="s">
        <v>588</v>
      </c>
      <c r="AE111" s="2647"/>
      <c r="AF111" s="614" t="e">
        <f>+#REF!</f>
        <v>#REF!</v>
      </c>
      <c r="AG111" s="614" t="e">
        <f>+#REF!</f>
        <v>#REF!</v>
      </c>
      <c r="AH111" s="614" t="e">
        <f>+#REF!</f>
        <v>#REF!</v>
      </c>
      <c r="AI111" s="614" t="e">
        <f>+#REF!</f>
        <v>#REF!</v>
      </c>
      <c r="AJ111" s="614" t="e">
        <f>+#REF!</f>
        <v>#REF!</v>
      </c>
      <c r="AK111" s="31"/>
    </row>
    <row r="112" spans="1:37" ht="16.5" customHeight="1">
      <c r="A112" s="2700"/>
      <c r="B112" s="2636"/>
      <c r="C112" s="2636"/>
      <c r="D112" s="2635" t="s">
        <v>863</v>
      </c>
      <c r="E112" s="1238" t="s">
        <v>869</v>
      </c>
      <c r="F112" s="1250">
        <f>+'계획처리구역 인구배분(출력x)'!H112-M112</f>
        <v>0</v>
      </c>
      <c r="G112" s="705">
        <f>+'계획처리구역 인구배분(출력x)'!L112-N112</f>
        <v>178</v>
      </c>
      <c r="H112" s="705">
        <f>+'계획처리구역 인구배분(출력x)'!Q112-O112</f>
        <v>183</v>
      </c>
      <c r="I112" s="705">
        <f>+'계획처리구역 인구배분(출력x)'!V112-P112</f>
        <v>187</v>
      </c>
      <c r="J112" s="705">
        <f>+'계획처리구역 인구배분(출력x)'!AA112-Q112</f>
        <v>189</v>
      </c>
      <c r="K112" s="1080"/>
      <c r="L112" s="711"/>
      <c r="M112" s="103">
        <v>181</v>
      </c>
      <c r="N112" s="103"/>
      <c r="O112" s="103"/>
      <c r="P112" s="103"/>
      <c r="Q112" s="103"/>
      <c r="R112" s="103"/>
      <c r="AC112" s="643"/>
      <c r="AD112" s="2646" t="s">
        <v>589</v>
      </c>
      <c r="AE112" s="2647"/>
      <c r="AF112" s="614" t="e">
        <f>+#REF!</f>
        <v>#REF!</v>
      </c>
      <c r="AG112" s="614" t="e">
        <f>+#REF!</f>
        <v>#REF!</v>
      </c>
      <c r="AH112" s="614" t="e">
        <f>+#REF!</f>
        <v>#REF!</v>
      </c>
      <c r="AI112" s="614" t="e">
        <f>+#REF!</f>
        <v>#REF!</v>
      </c>
      <c r="AJ112" s="614" t="e">
        <f>+#REF!</f>
        <v>#REF!</v>
      </c>
      <c r="AK112" s="31"/>
    </row>
    <row r="113" spans="1:37" ht="16.5" customHeight="1">
      <c r="A113" s="2700"/>
      <c r="B113" s="2636"/>
      <c r="C113" s="2636"/>
      <c r="D113" s="2635"/>
      <c r="E113" s="1238" t="s">
        <v>867</v>
      </c>
      <c r="F113" s="1250">
        <f>+'계획처리구역 인구배분(출력x)'!H113-M113</f>
        <v>479</v>
      </c>
      <c r="G113" s="705">
        <f>+'계획처리구역 인구배분(출력x)'!L113-N113</f>
        <v>472</v>
      </c>
      <c r="H113" s="705">
        <f>+'계획처리구역 인구배분(출력x)'!Q113-O113</f>
        <v>483</v>
      </c>
      <c r="I113" s="705">
        <f>+'계획처리구역 인구배분(출력x)'!V113-P113</f>
        <v>495</v>
      </c>
      <c r="J113" s="705">
        <f>+'계획처리구역 인구배분(출력x)'!AA113-Q113</f>
        <v>499</v>
      </c>
      <c r="K113" s="1080"/>
      <c r="L113" s="711"/>
      <c r="M113" s="103"/>
      <c r="N113" s="103"/>
      <c r="O113" s="103"/>
      <c r="P113" s="103"/>
      <c r="Q113" s="103"/>
      <c r="R113" s="103"/>
      <c r="AC113" s="643"/>
      <c r="AD113" s="2642" t="s">
        <v>568</v>
      </c>
      <c r="AE113" s="2642"/>
      <c r="AF113" s="614" t="e">
        <f>+#REF!</f>
        <v>#REF!</v>
      </c>
      <c r="AG113" s="614" t="e">
        <f>+#REF!</f>
        <v>#REF!</v>
      </c>
      <c r="AH113" s="614" t="e">
        <f>+#REF!</f>
        <v>#REF!</v>
      </c>
      <c r="AI113" s="614" t="e">
        <f>+#REF!</f>
        <v>#REF!</v>
      </c>
      <c r="AJ113" s="614" t="e">
        <f>+#REF!</f>
        <v>#REF!</v>
      </c>
      <c r="AK113" s="713" t="s">
        <v>538</v>
      </c>
    </row>
    <row r="114" spans="1:37" ht="16.5" customHeight="1">
      <c r="A114" s="2700"/>
      <c r="B114" s="2636"/>
      <c r="C114" s="2636"/>
      <c r="D114" s="2635"/>
      <c r="E114" s="1238" t="s">
        <v>865</v>
      </c>
      <c r="F114" s="1250">
        <f>+'계획처리구역 인구배분(출력x)'!H114-M114</f>
        <v>304</v>
      </c>
      <c r="G114" s="705">
        <f>+'계획처리구역 인구배분(출력x)'!L114-N114</f>
        <v>300</v>
      </c>
      <c r="H114" s="705">
        <f>+'계획처리구역 인구배분(출력x)'!Q114-O114</f>
        <v>307</v>
      </c>
      <c r="I114" s="705">
        <f>+'계획처리구역 인구배분(출력x)'!V114-P114</f>
        <v>314</v>
      </c>
      <c r="J114" s="705">
        <f>+'계획처리구역 인구배분(출력x)'!AA114-Q114</f>
        <v>317</v>
      </c>
      <c r="K114" s="1080" t="s">
        <v>1297</v>
      </c>
      <c r="L114" s="711"/>
      <c r="M114" s="103"/>
      <c r="N114" s="103"/>
      <c r="O114" s="103"/>
      <c r="P114" s="103"/>
      <c r="Q114" s="103"/>
      <c r="R114" s="103"/>
      <c r="AC114" s="643"/>
      <c r="AD114" s="2642" t="s">
        <v>496</v>
      </c>
      <c r="AE114" s="2642"/>
      <c r="AF114" s="614" t="e">
        <f>+#REF!</f>
        <v>#REF!</v>
      </c>
      <c r="AG114" s="614" t="e">
        <f>+#REF!</f>
        <v>#REF!</v>
      </c>
      <c r="AH114" s="614" t="e">
        <f>+#REF!</f>
        <v>#REF!</v>
      </c>
      <c r="AI114" s="614" t="e">
        <f>+#REF!</f>
        <v>#REF!</v>
      </c>
      <c r="AJ114" s="614" t="e">
        <f>+#REF!</f>
        <v>#REF!</v>
      </c>
      <c r="AK114" s="31" t="s">
        <v>538</v>
      </c>
    </row>
    <row r="115" spans="1:37" s="712" customFormat="1" ht="16.5" customHeight="1">
      <c r="A115" s="2700"/>
      <c r="B115" s="2636"/>
      <c r="C115" s="2636"/>
      <c r="D115" s="2635"/>
      <c r="E115" s="1244" t="s">
        <v>1268</v>
      </c>
      <c r="F115" s="1250">
        <f>+'계획처리구역 인구배분(출력x)'!H115-M115</f>
        <v>0</v>
      </c>
      <c r="G115" s="1033">
        <f>+'계획처리구역 인구배분(출력x)'!L115-N115</f>
        <v>237</v>
      </c>
      <c r="H115" s="1033">
        <f>+'계획처리구역 인구배분(출력x)'!Q115-O115</f>
        <v>237</v>
      </c>
      <c r="I115" s="1033">
        <f>+'계획처리구역 인구배분(출력x)'!V115-P115</f>
        <v>237</v>
      </c>
      <c r="J115" s="1033">
        <f>+'계획처리구역 인구배분(출력x)'!AA115-Q115</f>
        <v>237</v>
      </c>
      <c r="K115" s="1080" t="str">
        <f>'계획처리구역 인구배분(출력x)'!AD115</f>
        <v>부러운아파트</v>
      </c>
      <c r="L115" s="711" t="s">
        <v>867</v>
      </c>
      <c r="M115" s="103"/>
      <c r="N115" s="103"/>
      <c r="O115" s="103"/>
      <c r="P115" s="103"/>
      <c r="Q115" s="103"/>
      <c r="R115" s="103"/>
      <c r="S115" s="9"/>
      <c r="T115" s="9"/>
      <c r="U115" s="9"/>
      <c r="V115" s="9"/>
      <c r="W115" s="9"/>
      <c r="X115" s="9"/>
      <c r="Y115" s="9"/>
      <c r="Z115" s="9"/>
      <c r="AC115" s="643"/>
      <c r="AD115" s="1031"/>
      <c r="AE115" s="1031"/>
      <c r="AF115" s="614"/>
      <c r="AG115" s="614"/>
      <c r="AH115" s="614"/>
      <c r="AI115" s="614"/>
      <c r="AJ115" s="614"/>
      <c r="AK115" s="713"/>
    </row>
    <row r="116" spans="1:37" s="712" customFormat="1" ht="16.5" customHeight="1">
      <c r="A116" s="2700"/>
      <c r="B116" s="2636"/>
      <c r="C116" s="2636"/>
      <c r="D116" s="2635"/>
      <c r="E116" s="1244" t="s">
        <v>1268</v>
      </c>
      <c r="F116" s="1250">
        <f>+'계획처리구역 인구배분(출력x)'!H116-M116</f>
        <v>0</v>
      </c>
      <c r="G116" s="1033">
        <f>+'계획처리구역 인구배분(출력x)'!L116-N116</f>
        <v>0</v>
      </c>
      <c r="H116" s="1033">
        <f>+'계획처리구역 인구배분(출력x)'!Q116-O116</f>
        <v>195</v>
      </c>
      <c r="I116" s="1033">
        <f>+'계획처리구역 인구배분(출력x)'!V116-P116</f>
        <v>195</v>
      </c>
      <c r="J116" s="1033">
        <f>+'계획처리구역 인구배분(출력x)'!AA116-Q116</f>
        <v>195</v>
      </c>
      <c r="K116" s="1080" t="str">
        <f>'계획처리구역 인구배분(출력x)'!AD116</f>
        <v>대소지역주택조합</v>
      </c>
      <c r="L116" s="711" t="s">
        <v>867</v>
      </c>
      <c r="M116" s="103"/>
      <c r="N116" s="103"/>
      <c r="O116" s="103"/>
      <c r="P116" s="103"/>
      <c r="Q116" s="103"/>
      <c r="R116" s="103"/>
      <c r="S116" s="9"/>
      <c r="T116" s="9"/>
      <c r="U116" s="9"/>
      <c r="V116" s="9"/>
      <c r="W116" s="9"/>
      <c r="X116" s="9"/>
      <c r="Y116" s="9"/>
      <c r="Z116" s="9"/>
      <c r="AC116" s="643"/>
      <c r="AD116" s="1031"/>
      <c r="AE116" s="1031"/>
      <c r="AF116" s="614"/>
      <c r="AG116" s="614"/>
      <c r="AH116" s="614"/>
      <c r="AI116" s="614"/>
      <c r="AJ116" s="614"/>
      <c r="AK116" s="713"/>
    </row>
    <row r="117" spans="1:37" ht="16.5" customHeight="1">
      <c r="A117" s="2700"/>
      <c r="B117" s="2636"/>
      <c r="C117" s="2636"/>
      <c r="D117" s="2635" t="s">
        <v>881</v>
      </c>
      <c r="E117" s="1238" t="s">
        <v>882</v>
      </c>
      <c r="F117" s="1250">
        <f>+'계획처리구역 인구배분(출력x)'!H117-M117</f>
        <v>0</v>
      </c>
      <c r="G117" s="705">
        <f>+'계획처리구역 인구배분(출력x)'!L117-N117</f>
        <v>294</v>
      </c>
      <c r="H117" s="705">
        <f>+'계획처리구역 인구배분(출력x)'!Q117-O117</f>
        <v>301</v>
      </c>
      <c r="I117" s="705">
        <f>+'계획처리구역 인구배분(출력x)'!V117-P117</f>
        <v>308</v>
      </c>
      <c r="J117" s="705">
        <f>+'계획처리구역 인구배분(출력x)'!AA117-Q117</f>
        <v>310</v>
      </c>
      <c r="K117" s="1080"/>
      <c r="L117" s="17"/>
      <c r="M117" s="103">
        <v>298</v>
      </c>
      <c r="N117" s="103"/>
      <c r="O117" s="103"/>
      <c r="P117" s="103"/>
      <c r="Q117" s="103"/>
      <c r="R117" s="103"/>
      <c r="AC117" s="644"/>
      <c r="AD117" s="2642" t="s">
        <v>494</v>
      </c>
      <c r="AE117" s="2642"/>
      <c r="AF117" s="614" t="e">
        <f>SUM(AF109:AF114)</f>
        <v>#REF!</v>
      </c>
      <c r="AG117" s="614" t="e">
        <f>SUM(AG109:AG114)</f>
        <v>#REF!</v>
      </c>
      <c r="AH117" s="614" t="e">
        <f>SUM(AH109:AH114)</f>
        <v>#REF!</v>
      </c>
      <c r="AI117" s="614" t="e">
        <f>SUM(AI109:AI114)</f>
        <v>#REF!</v>
      </c>
      <c r="AJ117" s="614" t="e">
        <f>SUM(AJ109:AJ114)</f>
        <v>#REF!</v>
      </c>
      <c r="AK117" s="31"/>
    </row>
    <row r="118" spans="1:37" ht="16.5" customHeight="1">
      <c r="A118" s="2700"/>
      <c r="B118" s="2636"/>
      <c r="C118" s="2636"/>
      <c r="D118" s="2635"/>
      <c r="E118" s="1238" t="s">
        <v>883</v>
      </c>
      <c r="F118" s="1250">
        <f>+'계획처리구역 인구배분(출력x)'!H118-M118</f>
        <v>10</v>
      </c>
      <c r="G118" s="705">
        <f>+'계획처리구역 인구배분(출력x)'!L118-N118</f>
        <v>10</v>
      </c>
      <c r="H118" s="705">
        <f>+'계획처리구역 인구배분(출력x)'!Q118-O118</f>
        <v>10</v>
      </c>
      <c r="I118" s="705">
        <f>+'계획처리구역 인구배분(출력x)'!V118-P118</f>
        <v>10</v>
      </c>
      <c r="J118" s="705">
        <f>+'계획처리구역 인구배분(출력x)'!AA118-Q118</f>
        <v>9</v>
      </c>
      <c r="K118" s="1080"/>
      <c r="L118" s="17"/>
      <c r="M118" s="103">
        <v>71</v>
      </c>
      <c r="N118" s="103">
        <v>70</v>
      </c>
      <c r="O118" s="103">
        <v>72</v>
      </c>
      <c r="P118" s="103">
        <v>74</v>
      </c>
      <c r="Q118" s="103">
        <v>75</v>
      </c>
      <c r="R118" s="103"/>
      <c r="AC118" s="642" t="s">
        <v>491</v>
      </c>
      <c r="AD118" s="646" t="s">
        <v>537</v>
      </c>
      <c r="AE118" s="617" t="s">
        <v>530</v>
      </c>
      <c r="AF118" s="614" t="e">
        <f>+#REF!</f>
        <v>#REF!</v>
      </c>
      <c r="AG118" s="614" t="e">
        <f>+#REF!</f>
        <v>#REF!</v>
      </c>
      <c r="AH118" s="614" t="e">
        <f>+#REF!</f>
        <v>#REF!</v>
      </c>
      <c r="AI118" s="614" t="e">
        <f>+#REF!</f>
        <v>#REF!</v>
      </c>
      <c r="AJ118" s="614" t="e">
        <f>+#REF!</f>
        <v>#REF!</v>
      </c>
      <c r="AK118" s="31"/>
    </row>
    <row r="119" spans="1:37" ht="16.5" customHeight="1">
      <c r="A119" s="2700"/>
      <c r="B119" s="2636"/>
      <c r="C119" s="2636"/>
      <c r="D119" s="2635"/>
      <c r="E119" s="1238" t="s">
        <v>884</v>
      </c>
      <c r="F119" s="1250">
        <f>+'계획처리구역 인구배분(출력x)'!H119-M119</f>
        <v>0</v>
      </c>
      <c r="G119" s="705">
        <f>+'계획처리구역 인구배분(출력x)'!L119-N119</f>
        <v>854</v>
      </c>
      <c r="H119" s="705">
        <f>+'계획처리구역 인구배분(출력x)'!Q119-O119</f>
        <v>874</v>
      </c>
      <c r="I119" s="705">
        <f>+'계획처리구역 인구배분(출력x)'!V119-P119</f>
        <v>895</v>
      </c>
      <c r="J119" s="705">
        <f>+'계획처리구역 인구배분(출력x)'!AA119-Q119</f>
        <v>902</v>
      </c>
      <c r="K119" s="1080" t="s">
        <v>1298</v>
      </c>
      <c r="L119" s="17"/>
      <c r="M119" s="103">
        <v>866</v>
      </c>
      <c r="N119" s="103"/>
      <c r="O119" s="103"/>
      <c r="P119" s="103"/>
      <c r="Q119" s="103"/>
      <c r="R119" s="103"/>
      <c r="AC119" s="643"/>
      <c r="AD119" s="647"/>
      <c r="AE119" s="617" t="s">
        <v>531</v>
      </c>
      <c r="AF119" s="614" t="e">
        <f>+#REF!</f>
        <v>#REF!</v>
      </c>
      <c r="AG119" s="614" t="e">
        <f>+#REF!</f>
        <v>#REF!</v>
      </c>
      <c r="AH119" s="614" t="e">
        <f>+#REF!</f>
        <v>#REF!</v>
      </c>
      <c r="AI119" s="614" t="e">
        <f>+#REF!</f>
        <v>#REF!</v>
      </c>
      <c r="AJ119" s="614" t="e">
        <f>+#REF!</f>
        <v>#REF!</v>
      </c>
      <c r="AK119" s="31"/>
    </row>
    <row r="120" spans="1:37" ht="16.5" customHeight="1">
      <c r="A120" s="2700"/>
      <c r="B120" s="2636"/>
      <c r="C120" s="2636"/>
      <c r="D120" s="2635"/>
      <c r="E120" s="1243" t="s">
        <v>885</v>
      </c>
      <c r="F120" s="1250">
        <f>+'계획처리구역 인구배분(출력x)'!H120-M120</f>
        <v>0</v>
      </c>
      <c r="G120" s="705">
        <f>+'계획처리구역 인구배분(출력x)'!L120-N120</f>
        <v>1199</v>
      </c>
      <c r="H120" s="705">
        <f>+'계획처리구역 인구배분(출력x)'!Q120-O120</f>
        <v>1227</v>
      </c>
      <c r="I120" s="705">
        <f>+'계획처리구역 인구배분(출력x)'!V120-P120</f>
        <v>1257</v>
      </c>
      <c r="J120" s="705">
        <f>+'계획처리구역 인구배분(출력x)'!AA120-Q120</f>
        <v>1267</v>
      </c>
      <c r="K120" s="1080" t="s">
        <v>1299</v>
      </c>
      <c r="L120" s="17"/>
      <c r="M120" s="103">
        <v>1216</v>
      </c>
      <c r="N120" s="103"/>
      <c r="O120" s="103"/>
      <c r="P120" s="103"/>
      <c r="Q120" s="103"/>
      <c r="R120" s="103"/>
      <c r="AC120" s="643"/>
      <c r="AD120" s="647"/>
      <c r="AE120" s="617" t="s">
        <v>532</v>
      </c>
      <c r="AF120" s="614" t="e">
        <f>+#REF!</f>
        <v>#REF!</v>
      </c>
      <c r="AG120" s="614" t="e">
        <f>+#REF!</f>
        <v>#REF!</v>
      </c>
      <c r="AH120" s="614" t="e">
        <f>+#REF!</f>
        <v>#REF!</v>
      </c>
      <c r="AI120" s="614" t="e">
        <f>+#REF!</f>
        <v>#REF!</v>
      </c>
      <c r="AJ120" s="614" t="e">
        <f>+#REF!</f>
        <v>#REF!</v>
      </c>
      <c r="AK120" s="31"/>
    </row>
    <row r="121" spans="1:37" ht="16.5" customHeight="1">
      <c r="A121" s="2700"/>
      <c r="B121" s="2635" t="s">
        <v>755</v>
      </c>
      <c r="C121" s="2635" t="s">
        <v>32</v>
      </c>
      <c r="D121" s="2635"/>
      <c r="E121" s="2635"/>
      <c r="F121" s="1249">
        <f>SUM(F122:F143)</f>
        <v>5219</v>
      </c>
      <c r="G121" s="1249">
        <f t="shared" ref="G121:J121" si="13">SUM(G122:G143)</f>
        <v>6243</v>
      </c>
      <c r="H121" s="1249">
        <f t="shared" si="13"/>
        <v>7024</v>
      </c>
      <c r="I121" s="1249">
        <f t="shared" si="13"/>
        <v>6911</v>
      </c>
      <c r="J121" s="1249">
        <f t="shared" si="13"/>
        <v>9555</v>
      </c>
      <c r="K121" s="1080"/>
      <c r="L121" s="17"/>
      <c r="M121" s="103"/>
      <c r="N121" s="103"/>
      <c r="O121" s="103"/>
      <c r="P121" s="103"/>
      <c r="Q121" s="103"/>
      <c r="R121" s="103"/>
      <c r="AC121" s="643"/>
      <c r="AD121" s="647"/>
      <c r="AE121" s="617" t="s">
        <v>533</v>
      </c>
      <c r="AF121" s="614" t="e">
        <f>+#REF!</f>
        <v>#REF!</v>
      </c>
      <c r="AG121" s="614" t="e">
        <f>+#REF!</f>
        <v>#REF!</v>
      </c>
      <c r="AH121" s="614" t="e">
        <f>+#REF!</f>
        <v>#REF!</v>
      </c>
      <c r="AI121" s="614" t="e">
        <f>+#REF!</f>
        <v>#REF!</v>
      </c>
      <c r="AJ121" s="614" t="e">
        <f>+#REF!</f>
        <v>#REF!</v>
      </c>
      <c r="AK121" s="31"/>
    </row>
    <row r="122" spans="1:37" ht="16.5" customHeight="1">
      <c r="A122" s="2700"/>
      <c r="B122" s="2635"/>
      <c r="C122" s="2635" t="s">
        <v>642</v>
      </c>
      <c r="D122" s="2635" t="s">
        <v>889</v>
      </c>
      <c r="E122" s="1238" t="s">
        <v>896</v>
      </c>
      <c r="F122" s="1250">
        <f>+'계획처리구역 인구배분(출력x)'!H122-M122</f>
        <v>1033</v>
      </c>
      <c r="G122" s="705">
        <f>+'계획처리구역 인구배분(출력x)'!L122-N122</f>
        <v>1006</v>
      </c>
      <c r="H122" s="705">
        <f>+'계획처리구역 인구배분(출력x)'!Q122-O122</f>
        <v>994</v>
      </c>
      <c r="I122" s="705">
        <f>+'계획처리구역 인구배분(출력x)'!V122-P122</f>
        <v>978</v>
      </c>
      <c r="J122" s="705">
        <f>+'계획처리구역 인구배분(출력x)'!AA122-Q122</f>
        <v>908</v>
      </c>
      <c r="K122" s="1080"/>
      <c r="L122" s="17"/>
      <c r="M122" s="103"/>
      <c r="N122" s="103"/>
      <c r="O122" s="103"/>
      <c r="P122" s="103"/>
      <c r="Q122" s="103"/>
      <c r="R122" s="103"/>
      <c r="AC122" s="643"/>
      <c r="AD122" s="647"/>
      <c r="AE122" s="617" t="s">
        <v>534</v>
      </c>
      <c r="AF122" s="614" t="e">
        <f>+#REF!</f>
        <v>#REF!</v>
      </c>
      <c r="AG122" s="614" t="e">
        <f>+#REF!</f>
        <v>#REF!</v>
      </c>
      <c r="AH122" s="614" t="e">
        <f>+#REF!</f>
        <v>#REF!</v>
      </c>
      <c r="AI122" s="614" t="e">
        <f>+#REF!</f>
        <v>#REF!</v>
      </c>
      <c r="AJ122" s="614" t="e">
        <f>+#REF!</f>
        <v>#REF!</v>
      </c>
      <c r="AK122" s="31"/>
    </row>
    <row r="123" spans="1:37" ht="16.5" customHeight="1">
      <c r="A123" s="2700"/>
      <c r="B123" s="2635"/>
      <c r="C123" s="2635"/>
      <c r="D123" s="2635"/>
      <c r="E123" s="1238" t="s">
        <v>890</v>
      </c>
      <c r="F123" s="1250">
        <f>+'계획처리구역 인구배분(출력x)'!H123-M123</f>
        <v>280</v>
      </c>
      <c r="G123" s="705">
        <f>+'계획처리구역 인구배분(출력x)'!L123-N123</f>
        <v>269</v>
      </c>
      <c r="H123" s="705">
        <f>+'계획처리구역 인구배분(출력x)'!Q123-O123</f>
        <v>265</v>
      </c>
      <c r="I123" s="705">
        <f>+'계획처리구역 인구배분(출력x)'!V123-P123</f>
        <v>258</v>
      </c>
      <c r="J123" s="705">
        <f>+'계획처리구역 인구배분(출력x)'!AA123-Q123</f>
        <v>231</v>
      </c>
      <c r="K123" s="1080"/>
      <c r="L123" s="17"/>
      <c r="M123" s="103">
        <v>127</v>
      </c>
      <c r="N123" s="103">
        <v>127</v>
      </c>
      <c r="O123" s="103">
        <v>127</v>
      </c>
      <c r="P123" s="103">
        <v>127</v>
      </c>
      <c r="Q123" s="103">
        <v>127</v>
      </c>
      <c r="R123" s="103"/>
      <c r="AC123" s="643"/>
      <c r="AD123" s="647"/>
      <c r="AE123" s="617" t="s">
        <v>535</v>
      </c>
      <c r="AF123" s="614" t="e">
        <f>+#REF!</f>
        <v>#REF!</v>
      </c>
      <c r="AG123" s="614" t="e">
        <f>+#REF!</f>
        <v>#REF!</v>
      </c>
      <c r="AH123" s="614" t="e">
        <f>+#REF!</f>
        <v>#REF!</v>
      </c>
      <c r="AI123" s="614" t="e">
        <f>+#REF!</f>
        <v>#REF!</v>
      </c>
      <c r="AJ123" s="614" t="e">
        <f>+#REF!</f>
        <v>#REF!</v>
      </c>
      <c r="AK123" s="31"/>
    </row>
    <row r="124" spans="1:37" ht="16.5" customHeight="1">
      <c r="A124" s="2700"/>
      <c r="B124" s="2635"/>
      <c r="C124" s="2635"/>
      <c r="D124" s="2635"/>
      <c r="E124" s="1238" t="s">
        <v>891</v>
      </c>
      <c r="F124" s="1250">
        <f>+'계획처리구역 인구배분(출력x)'!H124-M124</f>
        <v>275</v>
      </c>
      <c r="G124" s="705">
        <f>+'계획처리구역 인구배분(출력x)'!L124-N124</f>
        <v>268</v>
      </c>
      <c r="H124" s="705">
        <f>+'계획처리구역 인구배분(출력x)'!Q124-O124</f>
        <v>265</v>
      </c>
      <c r="I124" s="705">
        <f>+'계획처리구역 인구배분(출력x)'!V124-P124</f>
        <v>260</v>
      </c>
      <c r="J124" s="705">
        <f>+'계획처리구역 인구배분(출력x)'!AA124-Q124</f>
        <v>242</v>
      </c>
      <c r="K124" s="1080"/>
      <c r="L124" s="17"/>
      <c r="M124" s="103"/>
      <c r="N124" s="103"/>
      <c r="O124" s="103"/>
      <c r="P124" s="103"/>
      <c r="Q124" s="103"/>
      <c r="R124" s="103"/>
      <c r="AC124" s="643"/>
      <c r="AD124" s="647"/>
      <c r="AE124" s="651" t="s">
        <v>593</v>
      </c>
      <c r="AF124" s="614">
        <v>0</v>
      </c>
      <c r="AG124" s="614">
        <v>0</v>
      </c>
      <c r="AH124" s="614">
        <v>0</v>
      </c>
      <c r="AI124" s="614">
        <v>0</v>
      </c>
      <c r="AJ124" s="614">
        <v>0</v>
      </c>
      <c r="AK124" s="31"/>
    </row>
    <row r="125" spans="1:37" ht="16.5" customHeight="1">
      <c r="A125" s="2700"/>
      <c r="B125" s="2635"/>
      <c r="C125" s="2635"/>
      <c r="D125" s="2635"/>
      <c r="E125" s="1238" t="s">
        <v>892</v>
      </c>
      <c r="F125" s="1250">
        <f>+'계획처리구역 인구배분(출력x)'!H125-M125</f>
        <v>366</v>
      </c>
      <c r="G125" s="705">
        <f>+'계획처리구역 인구배분(출력x)'!L125-N125</f>
        <v>356</v>
      </c>
      <c r="H125" s="705">
        <f>+'계획처리구역 인구배분(출력x)'!Q125-O125</f>
        <v>352</v>
      </c>
      <c r="I125" s="705">
        <f>+'계획처리구역 인구배분(출력x)'!V125-P125</f>
        <v>346</v>
      </c>
      <c r="J125" s="705">
        <f>+'계획처리구역 인구배분(출력x)'!AA125-Q125</f>
        <v>322</v>
      </c>
      <c r="K125" s="1080"/>
      <c r="L125" s="17"/>
      <c r="M125" s="103"/>
      <c r="N125" s="103"/>
      <c r="O125" s="103"/>
      <c r="P125" s="103"/>
      <c r="Q125" s="103"/>
      <c r="R125" s="103"/>
      <c r="AC125" s="643"/>
      <c r="AD125" s="647"/>
      <c r="AE125" s="654" t="s">
        <v>594</v>
      </c>
      <c r="AF125" s="614">
        <v>0</v>
      </c>
      <c r="AG125" s="614">
        <v>0</v>
      </c>
      <c r="AH125" s="614">
        <v>0</v>
      </c>
      <c r="AI125" s="614">
        <v>0</v>
      </c>
      <c r="AJ125" s="614">
        <v>0</v>
      </c>
      <c r="AK125" s="31"/>
    </row>
    <row r="126" spans="1:37" ht="16.5" customHeight="1">
      <c r="A126" s="2700"/>
      <c r="B126" s="2635"/>
      <c r="C126" s="2635"/>
      <c r="D126" s="2635"/>
      <c r="E126" s="1238" t="s">
        <v>893</v>
      </c>
      <c r="F126" s="1250">
        <f>+'계획처리구역 인구배분(출력x)'!H126-M126</f>
        <v>480</v>
      </c>
      <c r="G126" s="705">
        <f>+'계획처리구역 인구배분(출력x)'!L126-N126</f>
        <v>466</v>
      </c>
      <c r="H126" s="705">
        <f>+'계획처리구역 인구배분(출력x)'!Q126-O126</f>
        <v>501</v>
      </c>
      <c r="I126" s="705">
        <f>+'계획처리구역 인구배분(출력x)'!V126-P126</f>
        <v>492</v>
      </c>
      <c r="J126" s="705">
        <f>+'계획처리구역 인구배분(출력x)'!AA126-Q126</f>
        <v>457</v>
      </c>
      <c r="K126" s="1080"/>
      <c r="L126" s="17"/>
      <c r="M126" s="103">
        <v>40</v>
      </c>
      <c r="N126" s="103">
        <v>40</v>
      </c>
      <c r="O126" s="103"/>
      <c r="P126" s="103"/>
      <c r="Q126" s="103"/>
      <c r="R126" s="103"/>
      <c r="AC126" s="643"/>
      <c r="AD126" s="647"/>
      <c r="AE126" s="654" t="s">
        <v>595</v>
      </c>
      <c r="AF126" s="614">
        <v>0</v>
      </c>
      <c r="AG126" s="614">
        <v>0</v>
      </c>
      <c r="AH126" s="614">
        <v>0</v>
      </c>
      <c r="AI126" s="614">
        <v>0</v>
      </c>
      <c r="AJ126" s="614">
        <v>0</v>
      </c>
      <c r="AK126" s="31"/>
    </row>
    <row r="127" spans="1:37" ht="16.5" customHeight="1">
      <c r="A127" s="2700"/>
      <c r="B127" s="2635"/>
      <c r="C127" s="2635"/>
      <c r="D127" s="2635"/>
      <c r="E127" s="1238" t="s">
        <v>894</v>
      </c>
      <c r="F127" s="1250">
        <f>+'계획처리구역 인구배분(출력x)'!H127-M127</f>
        <v>278</v>
      </c>
      <c r="G127" s="705">
        <f>+'계획처리구역 인구배분(출력x)'!L127-N127</f>
        <v>271</v>
      </c>
      <c r="H127" s="705">
        <f>+'계획처리구역 인구배분(출력x)'!Q127-O127</f>
        <v>268</v>
      </c>
      <c r="I127" s="705">
        <f>+'계획처리구역 인구배분(출력x)'!V127-P127</f>
        <v>263</v>
      </c>
      <c r="J127" s="705">
        <f>+'계획처리구역 인구배분(출력x)'!AA127-Q127</f>
        <v>244</v>
      </c>
      <c r="K127" s="1080"/>
      <c r="L127" s="17"/>
      <c r="M127" s="103"/>
      <c r="N127" s="103"/>
      <c r="O127" s="103"/>
      <c r="P127" s="103"/>
      <c r="Q127" s="103"/>
      <c r="R127" s="103"/>
      <c r="AC127" s="643"/>
      <c r="AD127" s="648"/>
      <c r="AE127" s="618" t="s">
        <v>536</v>
      </c>
      <c r="AF127" s="614" t="e">
        <f>SUM(AF118:AF126)</f>
        <v>#REF!</v>
      </c>
      <c r="AG127" s="614" t="e">
        <f t="shared" ref="AG127:AJ127" si="14">SUM(AG118:AG126)</f>
        <v>#REF!</v>
      </c>
      <c r="AH127" s="614" t="e">
        <f t="shared" si="14"/>
        <v>#REF!</v>
      </c>
      <c r="AI127" s="614" t="e">
        <f t="shared" si="14"/>
        <v>#REF!</v>
      </c>
      <c r="AJ127" s="614" t="e">
        <f t="shared" si="14"/>
        <v>#REF!</v>
      </c>
      <c r="AK127" s="31"/>
    </row>
    <row r="128" spans="1:37" ht="16.5" customHeight="1">
      <c r="A128" s="2700"/>
      <c r="B128" s="2635"/>
      <c r="C128" s="2635"/>
      <c r="D128" s="2635"/>
      <c r="E128" s="1238" t="s">
        <v>895</v>
      </c>
      <c r="F128" s="1250">
        <f>+'계획처리구역 인구배분(출력x)'!H128-M128</f>
        <v>84</v>
      </c>
      <c r="G128" s="705">
        <f>+'계획처리구역 인구배분(출력x)'!L128-N128</f>
        <v>92</v>
      </c>
      <c r="H128" s="705">
        <f>+'계획처리구역 인구배분(출력x)'!Q128-O128</f>
        <v>90</v>
      </c>
      <c r="I128" s="1041">
        <f>+'계획처리구역 인구배분(출력x)'!V128-P128</f>
        <v>89</v>
      </c>
      <c r="J128" s="705">
        <f>+'계획처리구역 인구배분(출력x)'!AA128-Q128</f>
        <v>83</v>
      </c>
      <c r="K128" s="1080"/>
      <c r="L128" s="17"/>
      <c r="M128" s="103">
        <v>10</v>
      </c>
      <c r="N128" s="103"/>
      <c r="O128" s="103"/>
      <c r="P128" s="103"/>
      <c r="Q128" s="103"/>
      <c r="R128" s="103"/>
      <c r="AC128" s="643"/>
      <c r="AD128" s="2642" t="s">
        <v>497</v>
      </c>
      <c r="AE128" s="2642"/>
      <c r="AF128" s="614" t="e">
        <f>+#REF!</f>
        <v>#REF!</v>
      </c>
      <c r="AG128" s="614" t="e">
        <f>+#REF!</f>
        <v>#REF!</v>
      </c>
      <c r="AH128" s="614" t="e">
        <f>+#REF!</f>
        <v>#REF!</v>
      </c>
      <c r="AI128" s="614" t="e">
        <f>+#REF!</f>
        <v>#REF!</v>
      </c>
      <c r="AJ128" s="614" t="e">
        <f>+#REF!</f>
        <v>#REF!</v>
      </c>
      <c r="AK128" s="31"/>
    </row>
    <row r="129" spans="1:39" s="712" customFormat="1" ht="16.5" customHeight="1">
      <c r="A129" s="2700"/>
      <c r="B129" s="2635"/>
      <c r="C129" s="2635"/>
      <c r="D129" s="2635"/>
      <c r="E129" s="1238" t="s">
        <v>1272</v>
      </c>
      <c r="F129" s="1250">
        <f>+'계획처리구역 인구배분(출력x)'!H129-M129</f>
        <v>341</v>
      </c>
      <c r="G129" s="1041">
        <f>+'계획처리구역 인구배분(출력x)'!L129-N129</f>
        <v>332</v>
      </c>
      <c r="H129" s="1041">
        <f>+'계획처리구역 인구배분(출력x)'!Q129-O129</f>
        <v>328</v>
      </c>
      <c r="I129" s="1041">
        <f>+'계획처리구역 인구배분(출력x)'!V129-P129</f>
        <v>323</v>
      </c>
      <c r="J129" s="1041">
        <f>+'계획처리구역 인구배분(출력x)'!AA129-Q129</f>
        <v>300</v>
      </c>
      <c r="K129" s="1080"/>
      <c r="L129" s="17"/>
      <c r="M129" s="103"/>
      <c r="N129" s="103"/>
      <c r="O129" s="103"/>
      <c r="P129" s="103"/>
      <c r="Q129" s="103"/>
      <c r="R129" s="103"/>
      <c r="S129" s="9"/>
      <c r="T129" s="9"/>
      <c r="U129" s="9"/>
      <c r="V129" s="9"/>
      <c r="W129" s="9"/>
      <c r="X129" s="9"/>
      <c r="Y129" s="9"/>
      <c r="Z129" s="9"/>
      <c r="AC129" s="643"/>
      <c r="AD129" s="1042"/>
      <c r="AE129" s="1042"/>
      <c r="AF129" s="614"/>
      <c r="AG129" s="614"/>
      <c r="AH129" s="614"/>
      <c r="AI129" s="614"/>
      <c r="AJ129" s="614"/>
      <c r="AK129" s="713"/>
    </row>
    <row r="130" spans="1:39" ht="16.5" customHeight="1">
      <c r="A130" s="2700"/>
      <c r="B130" s="2635"/>
      <c r="C130" s="2635"/>
      <c r="D130" s="2635"/>
      <c r="E130" s="1238" t="s">
        <v>897</v>
      </c>
      <c r="F130" s="1250">
        <f>+'계획처리구역 인구배분(출력x)'!H130-M130</f>
        <v>394</v>
      </c>
      <c r="G130" s="705">
        <f>+'계획처리구역 인구배분(출력x)'!L130-N130</f>
        <v>384</v>
      </c>
      <c r="H130" s="705">
        <f>+'계획처리구역 인구배분(출력x)'!Q130-O130</f>
        <v>379</v>
      </c>
      <c r="I130" s="705">
        <f>+'계획처리구역 인구배분(출력x)'!V130-P130</f>
        <v>373</v>
      </c>
      <c r="J130" s="705">
        <f>+'계획처리구역 인구배분(출력x)'!AA130-Q130</f>
        <v>346</v>
      </c>
      <c r="K130" s="1080"/>
      <c r="L130" s="17"/>
      <c r="M130" s="103"/>
      <c r="N130" s="103"/>
      <c r="O130" s="103"/>
      <c r="P130" s="103"/>
      <c r="Q130" s="103"/>
      <c r="R130" s="103"/>
      <c r="AC130" s="644"/>
      <c r="AD130" s="2642" t="s">
        <v>494</v>
      </c>
      <c r="AE130" s="2642"/>
      <c r="AF130" s="614" t="e">
        <f>SUM(AF127:AF128)</f>
        <v>#REF!</v>
      </c>
      <c r="AG130" s="614" t="e">
        <f>SUM(AG127:AG128)</f>
        <v>#REF!</v>
      </c>
      <c r="AH130" s="614" t="e">
        <f>SUM(AH127:AH128)</f>
        <v>#REF!</v>
      </c>
      <c r="AI130" s="614" t="e">
        <f>SUM(AI127:AI128)</f>
        <v>#REF!</v>
      </c>
      <c r="AJ130" s="614" t="e">
        <f>SUM(AJ127:AJ128)</f>
        <v>#REF!</v>
      </c>
      <c r="AK130" s="31"/>
    </row>
    <row r="131" spans="1:39" s="712" customFormat="1" ht="16.5" customHeight="1">
      <c r="A131" s="2700"/>
      <c r="B131" s="2635"/>
      <c r="C131" s="2635"/>
      <c r="D131" s="2635"/>
      <c r="E131" s="1238" t="s">
        <v>1273</v>
      </c>
      <c r="F131" s="1250">
        <f>+'계획처리구역 인구배분(출력x)'!H131-M131</f>
        <v>1029</v>
      </c>
      <c r="G131" s="1041">
        <f>+'계획처리구역 인구배분(출력x)'!L131-N131</f>
        <v>1002</v>
      </c>
      <c r="H131" s="1041">
        <f>+'계획처리구역 인구배분(출력x)'!Q131-O131</f>
        <v>991</v>
      </c>
      <c r="I131" s="1041">
        <f>+'계획처리구역 인구배분(출력x)'!V131-P131</f>
        <v>974</v>
      </c>
      <c r="J131" s="1041">
        <f>+'계획처리구역 인구배분(출력x)'!AA131-Q131</f>
        <v>905</v>
      </c>
      <c r="K131" s="1080"/>
      <c r="L131" s="17"/>
      <c r="M131" s="103"/>
      <c r="N131" s="103"/>
      <c r="O131" s="103"/>
      <c r="P131" s="103"/>
      <c r="Q131" s="103"/>
      <c r="R131" s="103"/>
      <c r="S131" s="9"/>
      <c r="T131" s="9"/>
      <c r="U131" s="9"/>
      <c r="V131" s="9"/>
      <c r="W131" s="9"/>
      <c r="X131" s="9"/>
      <c r="Y131" s="9"/>
      <c r="Z131" s="9"/>
      <c r="AC131" s="643"/>
      <c r="AD131" s="1042"/>
      <c r="AE131" s="1042"/>
      <c r="AF131" s="614"/>
      <c r="AG131" s="614"/>
      <c r="AH131" s="614"/>
      <c r="AI131" s="614"/>
      <c r="AJ131" s="614"/>
      <c r="AK131" s="713"/>
    </row>
    <row r="132" spans="1:39" s="712" customFormat="1" ht="16.5" customHeight="1">
      <c r="A132" s="2700"/>
      <c r="B132" s="2635"/>
      <c r="C132" s="2635"/>
      <c r="D132" s="2635"/>
      <c r="E132" s="1244" t="s">
        <v>1268</v>
      </c>
      <c r="F132" s="1250">
        <f>+'계획처리구역 인구배분(출력x)'!H132-M132</f>
        <v>0</v>
      </c>
      <c r="G132" s="1033">
        <f>+'계획처리구역 인구배분(출력x)'!L132-N132</f>
        <v>0</v>
      </c>
      <c r="H132" s="1033">
        <f>+'계획처리구역 인구배분(출력x)'!Q132-O132</f>
        <v>537</v>
      </c>
      <c r="I132" s="1033">
        <f>+'계획처리구역 인구배분(출력x)'!V132-P132</f>
        <v>537</v>
      </c>
      <c r="J132" s="1033">
        <f>+'계획처리구역 인구배분(출력x)'!AA132-Q132</f>
        <v>537</v>
      </c>
      <c r="K132" s="1080" t="str">
        <f>'계획처리구역 인구배분(출력x)'!AD132</f>
        <v>덕정리 아파트</v>
      </c>
      <c r="L132" s="711" t="s">
        <v>1574</v>
      </c>
      <c r="M132" s="103"/>
      <c r="N132" s="103"/>
      <c r="O132" s="103"/>
      <c r="P132" s="103"/>
      <c r="Q132" s="103"/>
      <c r="R132" s="103"/>
      <c r="S132" s="9"/>
      <c r="T132" s="9"/>
      <c r="U132" s="9"/>
      <c r="V132" s="9"/>
      <c r="W132" s="9"/>
      <c r="X132" s="9"/>
      <c r="Y132" s="9"/>
      <c r="Z132" s="9"/>
      <c r="AC132" s="643"/>
      <c r="AD132" s="1031"/>
      <c r="AE132" s="1031"/>
      <c r="AF132" s="614"/>
      <c r="AG132" s="614"/>
      <c r="AH132" s="614"/>
      <c r="AI132" s="614"/>
      <c r="AJ132" s="614"/>
      <c r="AK132" s="713"/>
    </row>
    <row r="133" spans="1:39" s="712" customFormat="1" ht="16.5" customHeight="1">
      <c r="A133" s="2700"/>
      <c r="B133" s="2635"/>
      <c r="C133" s="2635"/>
      <c r="D133" s="2668" t="s">
        <v>898</v>
      </c>
      <c r="E133" s="1756" t="s">
        <v>2125</v>
      </c>
      <c r="F133" s="1250">
        <f>+'계획처리구역 인구배분(출력x)'!H133-M133</f>
        <v>0</v>
      </c>
      <c r="G133" s="1816">
        <f>+'계획처리구역 인구배분(출력x)'!L133-N133</f>
        <v>0</v>
      </c>
      <c r="H133" s="1816">
        <f>+'계획처리구역 인구배분(출력x)'!Q133-O133</f>
        <v>280</v>
      </c>
      <c r="I133" s="1816">
        <f>+'계획처리구역 인구배분(출력x)'!V133-P133</f>
        <v>275</v>
      </c>
      <c r="J133" s="1816">
        <f>+'계획처리구역 인구배분(출력x)'!AA133-Q133</f>
        <v>256</v>
      </c>
      <c r="K133" s="1080"/>
      <c r="L133" s="711"/>
      <c r="M133" s="103">
        <v>291</v>
      </c>
      <c r="N133" s="103">
        <v>283</v>
      </c>
      <c r="O133" s="103"/>
      <c r="P133" s="103"/>
      <c r="Q133" s="103"/>
      <c r="R133" s="103"/>
      <c r="S133" s="9"/>
      <c r="T133" s="9"/>
      <c r="U133" s="9"/>
      <c r="V133" s="9"/>
      <c r="W133" s="9"/>
      <c r="X133" s="9"/>
      <c r="Y133" s="9"/>
      <c r="Z133" s="9"/>
      <c r="AC133" s="643"/>
      <c r="AD133" s="1757"/>
      <c r="AE133" s="1757"/>
      <c r="AF133" s="614"/>
      <c r="AG133" s="614"/>
      <c r="AH133" s="614"/>
      <c r="AI133" s="614"/>
      <c r="AJ133" s="614"/>
      <c r="AK133" s="713"/>
    </row>
    <row r="134" spans="1:39" ht="16.5" customHeight="1">
      <c r="A134" s="2700"/>
      <c r="B134" s="2635"/>
      <c r="C134" s="2635"/>
      <c r="D134" s="2670"/>
      <c r="E134" s="1238" t="s">
        <v>899</v>
      </c>
      <c r="F134" s="1250">
        <f>+'계획처리구역 인구배분(출력x)'!H134-M134</f>
        <v>0</v>
      </c>
      <c r="G134" s="705">
        <f>+'계획처리구역 인구배분(출력x)'!L134-N134</f>
        <v>178</v>
      </c>
      <c r="H134" s="705">
        <f>+'계획처리구역 인구배분(출력x)'!Q134-O134</f>
        <v>176</v>
      </c>
      <c r="I134" s="705">
        <f>+'계획처리구역 인구배분(출력x)'!V134-P134</f>
        <v>173</v>
      </c>
      <c r="J134" s="705">
        <f>+'계획처리구역 인구배분(출력x)'!AA134-Q134</f>
        <v>161</v>
      </c>
      <c r="K134" s="1080"/>
      <c r="L134" s="17"/>
      <c r="M134" s="103">
        <v>183</v>
      </c>
      <c r="N134" s="103"/>
      <c r="O134" s="103"/>
      <c r="P134" s="103"/>
      <c r="Q134" s="103"/>
      <c r="R134" s="103"/>
      <c r="AC134" s="2650" t="s">
        <v>598</v>
      </c>
      <c r="AD134" s="2642" t="s">
        <v>498</v>
      </c>
      <c r="AE134" s="2642"/>
      <c r="AF134" s="614" t="e">
        <f>+#REF!</f>
        <v>#REF!</v>
      </c>
      <c r="AG134" s="614" t="e">
        <f>+#REF!</f>
        <v>#REF!</v>
      </c>
      <c r="AH134" s="614" t="e">
        <f>+#REF!</f>
        <v>#REF!</v>
      </c>
      <c r="AI134" s="614" t="e">
        <f>+#REF!</f>
        <v>#REF!</v>
      </c>
      <c r="AJ134" s="614" t="e">
        <f>+#REF!</f>
        <v>#REF!</v>
      </c>
      <c r="AK134" s="31"/>
    </row>
    <row r="135" spans="1:39" ht="16.5" customHeight="1">
      <c r="A135" s="2700"/>
      <c r="B135" s="2635"/>
      <c r="C135" s="2635"/>
      <c r="D135" s="2635" t="s">
        <v>900</v>
      </c>
      <c r="E135" s="1238" t="s">
        <v>901</v>
      </c>
      <c r="F135" s="1250">
        <f>+'계획처리구역 인구배분(출력x)'!H135-M135</f>
        <v>0</v>
      </c>
      <c r="G135" s="705">
        <f>+'계획처리구역 인구배분(출력x)'!L135-N135</f>
        <v>211</v>
      </c>
      <c r="H135" s="705">
        <f>+'계획처리구역 인구배분(출력x)'!Q135-O135</f>
        <v>208</v>
      </c>
      <c r="I135" s="705">
        <f>+'계획처리구역 인구배분(출력x)'!V135-P135</f>
        <v>203</v>
      </c>
      <c r="J135" s="705">
        <f>+'계획처리구역 인구배분(출력x)'!AA135-Q135</f>
        <v>183</v>
      </c>
      <c r="K135" s="1080"/>
      <c r="L135" s="17"/>
      <c r="M135" s="103">
        <v>294</v>
      </c>
      <c r="N135" s="103">
        <v>75</v>
      </c>
      <c r="O135" s="103">
        <v>75</v>
      </c>
      <c r="P135" s="103">
        <v>75</v>
      </c>
      <c r="Q135" s="103">
        <v>75</v>
      </c>
      <c r="R135" s="103"/>
      <c r="AC135" s="2651"/>
      <c r="AD135" s="2644" t="s">
        <v>597</v>
      </c>
      <c r="AE135" s="2645"/>
      <c r="AF135" s="614">
        <v>0</v>
      </c>
      <c r="AG135" s="614">
        <v>0</v>
      </c>
      <c r="AH135" s="614">
        <v>0</v>
      </c>
      <c r="AI135" s="614">
        <v>0</v>
      </c>
      <c r="AJ135" s="614">
        <v>0</v>
      </c>
      <c r="AK135" s="31"/>
    </row>
    <row r="136" spans="1:39" ht="16.5" customHeight="1">
      <c r="A136" s="2700"/>
      <c r="B136" s="2635"/>
      <c r="C136" s="2635"/>
      <c r="D136" s="2635"/>
      <c r="E136" s="1238" t="s">
        <v>902</v>
      </c>
      <c r="F136" s="1250">
        <f>+'계획처리구역 인구배분(출력x)'!H136-M136</f>
        <v>0</v>
      </c>
      <c r="G136" s="705">
        <f>+'계획처리구역 인구배분(출력x)'!L136-N136</f>
        <v>237</v>
      </c>
      <c r="H136" s="705">
        <f>+'계획처리구역 인구배분(출력x)'!Q136-O136</f>
        <v>234</v>
      </c>
      <c r="I136" s="705">
        <f>+'계획처리구역 인구배분(출력x)'!V136-P136</f>
        <v>230</v>
      </c>
      <c r="J136" s="705">
        <f>+'계획처리구역 인구배분(출력x)'!AA136-Q136</f>
        <v>214</v>
      </c>
      <c r="K136" s="1080"/>
      <c r="L136" s="17"/>
      <c r="M136" s="103">
        <v>243</v>
      </c>
      <c r="N136" s="103"/>
      <c r="O136" s="103"/>
      <c r="P136" s="103"/>
      <c r="Q136" s="103"/>
      <c r="R136" s="103"/>
      <c r="AC136" s="2652"/>
      <c r="AD136" s="2642" t="s">
        <v>494</v>
      </c>
      <c r="AE136" s="2642"/>
      <c r="AF136" s="614" t="e">
        <f>SUM(AF134:AF135)</f>
        <v>#REF!</v>
      </c>
      <c r="AG136" s="614" t="e">
        <f t="shared" ref="AG136:AJ136" si="15">SUM(AG134:AG135)</f>
        <v>#REF!</v>
      </c>
      <c r="AH136" s="614" t="e">
        <f t="shared" si="15"/>
        <v>#REF!</v>
      </c>
      <c r="AI136" s="614" t="e">
        <f t="shared" si="15"/>
        <v>#REF!</v>
      </c>
      <c r="AJ136" s="614" t="e">
        <f t="shared" si="15"/>
        <v>#REF!</v>
      </c>
      <c r="AK136" s="31"/>
    </row>
    <row r="137" spans="1:39" s="712" customFormat="1" ht="16.5" customHeight="1">
      <c r="A137" s="2700"/>
      <c r="B137" s="2635"/>
      <c r="C137" s="2635"/>
      <c r="D137" s="2635" t="s">
        <v>903</v>
      </c>
      <c r="E137" s="1238" t="s">
        <v>1274</v>
      </c>
      <c r="F137" s="1250">
        <f>+'계획처리구역 인구배분(출력x)'!H137-M137</f>
        <v>0</v>
      </c>
      <c r="G137" s="1041">
        <f>+'계획처리구역 인구배분(출력x)'!L137-N137</f>
        <v>253</v>
      </c>
      <c r="H137" s="1041">
        <f>+'계획처리구역 인구배분(출력x)'!Q137-O137</f>
        <v>250</v>
      </c>
      <c r="I137" s="1041">
        <f>+'계획처리구역 인구배분(출력x)'!V137-P137</f>
        <v>246</v>
      </c>
      <c r="J137" s="1041">
        <f>+'계획처리구역 인구배분(출력x)'!AA137-Q137</f>
        <v>229</v>
      </c>
      <c r="K137" s="1080"/>
      <c r="L137" s="17"/>
      <c r="M137" s="103">
        <v>260</v>
      </c>
      <c r="N137" s="103"/>
      <c r="O137" s="103"/>
      <c r="P137" s="103"/>
      <c r="Q137" s="103"/>
      <c r="R137" s="103"/>
      <c r="S137" s="9"/>
      <c r="T137" s="9"/>
      <c r="U137" s="9"/>
      <c r="V137" s="9"/>
      <c r="W137" s="9"/>
      <c r="X137" s="9"/>
      <c r="Y137" s="9"/>
      <c r="Z137" s="9"/>
      <c r="AC137" s="1093"/>
      <c r="AD137" s="1094"/>
      <c r="AE137" s="1094"/>
      <c r="AF137" s="1095"/>
      <c r="AG137" s="1095"/>
      <c r="AH137" s="1095"/>
      <c r="AI137" s="1095"/>
      <c r="AJ137" s="1095"/>
      <c r="AK137" s="711"/>
    </row>
    <row r="138" spans="1:39" ht="16.5" customHeight="1">
      <c r="A138" s="2700"/>
      <c r="B138" s="2635"/>
      <c r="C138" s="2635"/>
      <c r="D138" s="2635"/>
      <c r="E138" s="1238" t="s">
        <v>904</v>
      </c>
      <c r="F138" s="1250">
        <f>+'계획처리구역 인구배분(출력x)'!H138-M138</f>
        <v>0</v>
      </c>
      <c r="G138" s="705">
        <f>+'계획처리구역 인구배분(출력x)'!L138-N138</f>
        <v>276</v>
      </c>
      <c r="H138" s="705">
        <f>+'계획처리구역 인구배분(출력x)'!Q138-O138</f>
        <v>272</v>
      </c>
      <c r="I138" s="705">
        <f>+'계획처리구역 인구배분(출력x)'!V138-P138</f>
        <v>268</v>
      </c>
      <c r="J138" s="705">
        <f>+'계획처리구역 인구배분(출력x)'!AA138-Q138</f>
        <v>249</v>
      </c>
      <c r="K138" s="1080"/>
      <c r="L138" s="17"/>
      <c r="M138" s="103">
        <v>283</v>
      </c>
      <c r="N138" s="103"/>
      <c r="O138" s="103"/>
      <c r="P138" s="103"/>
      <c r="Q138" s="103"/>
      <c r="R138" s="103"/>
      <c r="AC138" s="609"/>
    </row>
    <row r="139" spans="1:39" ht="16.5" customHeight="1">
      <c r="A139" s="2700"/>
      <c r="B139" s="2635"/>
      <c r="C139" s="2635"/>
      <c r="D139" s="2635" t="s">
        <v>905</v>
      </c>
      <c r="E139" s="1238" t="s">
        <v>906</v>
      </c>
      <c r="F139" s="1250">
        <f>+'계획처리구역 인구배분(출력x)'!H139-M139</f>
        <v>200</v>
      </c>
      <c r="G139" s="705">
        <f>+'계획처리구역 인구배분(출력x)'!L139-N139</f>
        <v>195</v>
      </c>
      <c r="H139" s="705">
        <f>+'계획처리구역 인구배분(출력x)'!Q139-O139</f>
        <v>193</v>
      </c>
      <c r="I139" s="705">
        <f>+'계획처리구역 인구배분(출력x)'!V139-P139</f>
        <v>189</v>
      </c>
      <c r="J139" s="705">
        <f>+'계획처리구역 인구배분(출력x)'!AA139-Q139</f>
        <v>176</v>
      </c>
      <c r="K139" s="1080"/>
      <c r="L139" s="17"/>
      <c r="M139" s="103"/>
      <c r="N139" s="103"/>
      <c r="O139" s="103"/>
      <c r="P139" s="103"/>
      <c r="Q139" s="103"/>
      <c r="R139" s="103"/>
      <c r="AA139"/>
      <c r="AB139"/>
      <c r="AD139" s="599"/>
      <c r="AE139" s="599"/>
      <c r="AF139" s="635"/>
      <c r="AG139" s="635"/>
      <c r="AH139" s="635"/>
      <c r="AI139" s="635"/>
      <c r="AJ139" s="635"/>
      <c r="AM139"/>
    </row>
    <row r="140" spans="1:39" s="712" customFormat="1" ht="16.5" customHeight="1">
      <c r="A140" s="2700"/>
      <c r="B140" s="2635"/>
      <c r="C140" s="2635"/>
      <c r="D140" s="2635"/>
      <c r="E140" s="1238" t="s">
        <v>1275</v>
      </c>
      <c r="F140" s="1250">
        <f>+'계획처리구역 인구배분(출력x)'!H140-M140</f>
        <v>68</v>
      </c>
      <c r="G140" s="1041">
        <f>+'계획처리구역 인구배분(출력x)'!L140-N140</f>
        <v>66</v>
      </c>
      <c r="H140" s="1041">
        <f>+'계획처리구역 인구배분(출력x)'!Q140-O140</f>
        <v>65</v>
      </c>
      <c r="I140" s="1041">
        <f>+'계획처리구역 인구배분(출력x)'!V140-P140</f>
        <v>64</v>
      </c>
      <c r="J140" s="1041">
        <f>+'계획처리구역 인구배분(출력x)'!AA140-Q140</f>
        <v>60</v>
      </c>
      <c r="K140" s="1080"/>
      <c r="L140" s="17"/>
      <c r="M140" s="103"/>
      <c r="N140" s="103"/>
      <c r="O140" s="103"/>
      <c r="P140" s="103"/>
      <c r="Q140" s="103"/>
      <c r="R140" s="103"/>
      <c r="S140" s="9"/>
      <c r="T140" s="9"/>
      <c r="U140" s="9"/>
      <c r="V140" s="9"/>
      <c r="W140" s="9"/>
      <c r="X140" s="9"/>
      <c r="Y140" s="9"/>
      <c r="Z140" s="9"/>
      <c r="AA140" s="599"/>
      <c r="AB140" s="599"/>
      <c r="AD140" s="599"/>
      <c r="AE140" s="599"/>
      <c r="AF140" s="635"/>
      <c r="AG140" s="635"/>
      <c r="AH140" s="635"/>
      <c r="AI140" s="635"/>
      <c r="AJ140" s="635"/>
      <c r="AM140" s="599"/>
    </row>
    <row r="141" spans="1:39" s="712" customFormat="1" ht="16.5" customHeight="1">
      <c r="A141" s="2700"/>
      <c r="B141" s="2635"/>
      <c r="C141" s="2635"/>
      <c r="D141" s="2635" t="s">
        <v>907</v>
      </c>
      <c r="E141" s="1238" t="s">
        <v>1277</v>
      </c>
      <c r="F141" s="1250">
        <f>+'계획처리구역 인구배분(출력x)'!H141-M141</f>
        <v>284</v>
      </c>
      <c r="G141" s="1041">
        <f>+'계획처리구역 인구배분(출력x)'!L141-N141</f>
        <v>277</v>
      </c>
      <c r="H141" s="1041">
        <f>+'계획처리구역 인구배분(출력x)'!Q141-O141</f>
        <v>273</v>
      </c>
      <c r="I141" s="1041">
        <f>+'계획처리구역 인구배분(출력x)'!V141-P141</f>
        <v>269</v>
      </c>
      <c r="J141" s="1041">
        <f>+'계획처리구역 인구배분(출력x)'!AA141-Q141</f>
        <v>250</v>
      </c>
      <c r="K141" s="1080"/>
      <c r="L141" s="17"/>
      <c r="M141" s="103"/>
      <c r="N141" s="103"/>
      <c r="O141" s="103"/>
      <c r="P141" s="103"/>
      <c r="Q141" s="103"/>
      <c r="R141" s="103"/>
      <c r="S141" s="9"/>
      <c r="T141" s="9"/>
      <c r="U141" s="9"/>
      <c r="V141" s="9"/>
      <c r="W141" s="9"/>
      <c r="X141" s="9"/>
      <c r="Y141" s="9"/>
      <c r="Z141" s="9"/>
      <c r="AA141" s="599"/>
      <c r="AB141" s="599"/>
      <c r="AD141" s="599"/>
      <c r="AE141" s="599"/>
      <c r="AF141" s="635"/>
      <c r="AG141" s="635"/>
      <c r="AH141" s="635"/>
      <c r="AI141" s="635"/>
      <c r="AJ141" s="635"/>
      <c r="AM141" s="599"/>
    </row>
    <row r="142" spans="1:39" ht="16.5" customHeight="1">
      <c r="A142" s="2700"/>
      <c r="B142" s="2635"/>
      <c r="C142" s="2635"/>
      <c r="D142" s="2635"/>
      <c r="E142" s="1238" t="s">
        <v>1276</v>
      </c>
      <c r="F142" s="1250">
        <f>+'계획처리구역 인구배분(출력x)'!H142-M142</f>
        <v>107</v>
      </c>
      <c r="G142" s="705">
        <f>+'계획처리구역 인구배분(출력x)'!L142-N142</f>
        <v>104</v>
      </c>
      <c r="H142" s="705">
        <f>+'계획처리구역 인구배분(출력x)'!Q142-O142</f>
        <v>103</v>
      </c>
      <c r="I142" s="705">
        <f>+'계획처리구역 인구배분(출력x)'!V142-P142</f>
        <v>101</v>
      </c>
      <c r="J142" s="705">
        <f>+'계획처리구역 인구배분(출력x)'!AA142-Q142</f>
        <v>94</v>
      </c>
      <c r="K142" s="1080"/>
      <c r="L142" s="17"/>
      <c r="M142" s="103"/>
      <c r="N142" s="103"/>
      <c r="O142" s="103"/>
      <c r="P142" s="103"/>
      <c r="Q142" s="103"/>
      <c r="R142" s="103"/>
      <c r="AA142"/>
      <c r="AB142"/>
      <c r="AD142" s="599"/>
      <c r="AE142" s="599"/>
      <c r="AF142" s="635"/>
      <c r="AG142" s="635"/>
      <c r="AH142" s="635"/>
      <c r="AI142" s="635"/>
      <c r="AJ142" s="635"/>
      <c r="AL142"/>
      <c r="AM142"/>
    </row>
    <row r="143" spans="1:39" s="712" customFormat="1" ht="16.5" customHeight="1">
      <c r="A143" s="2700"/>
      <c r="B143" s="2635"/>
      <c r="C143" s="2635"/>
      <c r="D143" s="1238"/>
      <c r="E143" s="1244" t="s">
        <v>149</v>
      </c>
      <c r="F143" s="1250">
        <f>+'계획처리구역 인구배분(출력x)'!H143-M143</f>
        <v>0</v>
      </c>
      <c r="G143" s="1244">
        <f>+'계획처리구역 인구배분(출력x)'!L143-N143</f>
        <v>0</v>
      </c>
      <c r="H143" s="1244">
        <f>+'계획처리구역 인구배분(출력x)'!Q143-O143</f>
        <v>0</v>
      </c>
      <c r="I143" s="1244">
        <f>+'계획처리구역 인구배분(출력x)'!V143-P143</f>
        <v>0</v>
      </c>
      <c r="J143" s="1244">
        <f>+'계획처리구역 인구배분(출력x)'!AA143-Q143</f>
        <v>3108</v>
      </c>
      <c r="K143" s="1080" t="str">
        <f>'계획처리구역 인구배분(출력x)'!AD143</f>
        <v>삼성택지지구</v>
      </c>
      <c r="L143" s="17"/>
      <c r="M143" s="103"/>
      <c r="N143" s="103"/>
      <c r="O143" s="103"/>
      <c r="P143" s="103"/>
      <c r="Q143" s="103"/>
      <c r="R143" s="103"/>
      <c r="S143" s="9"/>
      <c r="T143" s="9"/>
      <c r="U143" s="9"/>
      <c r="V143" s="9"/>
      <c r="W143" s="9"/>
      <c r="X143" s="9"/>
      <c r="Y143" s="9"/>
      <c r="Z143" s="9"/>
      <c r="AA143" s="599"/>
      <c r="AB143" s="599"/>
      <c r="AD143" s="599"/>
      <c r="AE143" s="599"/>
      <c r="AF143" s="635"/>
      <c r="AG143" s="635"/>
      <c r="AH143" s="635"/>
      <c r="AI143" s="635"/>
      <c r="AJ143" s="635"/>
      <c r="AL143" s="599"/>
      <c r="AM143" s="599"/>
    </row>
    <row r="144" spans="1:39" customFormat="1" ht="16.5" customHeight="1">
      <c r="A144" s="17"/>
      <c r="B144" s="17"/>
      <c r="C144" s="17"/>
      <c r="D144" s="17"/>
      <c r="E144" s="17"/>
      <c r="F144" s="908"/>
      <c r="G144" s="908"/>
      <c r="H144" s="908"/>
      <c r="I144" s="908"/>
      <c r="J144" s="908"/>
      <c r="K144" s="1087"/>
      <c r="L144" s="906"/>
      <c r="M144" s="913"/>
      <c r="N144" s="913"/>
      <c r="O144" s="913"/>
      <c r="P144" s="913"/>
      <c r="Q144" s="913"/>
      <c r="R144" s="913"/>
      <c r="S144" s="108"/>
      <c r="T144" s="108"/>
      <c r="U144" s="108"/>
      <c r="V144" s="108"/>
      <c r="W144" s="108"/>
      <c r="X144" s="108"/>
      <c r="Y144" s="108"/>
      <c r="Z144" s="108"/>
      <c r="AC144" s="2"/>
      <c r="AD144" s="599"/>
      <c r="AE144" s="599"/>
      <c r="AF144" s="635"/>
      <c r="AG144" s="635"/>
      <c r="AH144" s="635"/>
      <c r="AI144" s="635"/>
      <c r="AJ144" s="635"/>
      <c r="AK144" s="2"/>
    </row>
    <row r="145" spans="1:39" customFormat="1" ht="22.5" customHeight="1">
      <c r="A145" s="2638" t="s">
        <v>994</v>
      </c>
      <c r="B145" s="2638"/>
      <c r="C145" s="2638"/>
      <c r="D145" s="2638"/>
      <c r="E145" s="2638"/>
      <c r="F145" s="902"/>
      <c r="G145" s="905"/>
      <c r="H145" s="905"/>
      <c r="I145" s="905"/>
      <c r="J145" s="905"/>
      <c r="K145" s="1088"/>
      <c r="L145" s="906"/>
      <c r="M145" s="913">
        <v>184</v>
      </c>
      <c r="N145" s="913"/>
      <c r="O145" s="913"/>
      <c r="P145" s="913"/>
      <c r="Q145" s="913"/>
      <c r="R145" s="913"/>
      <c r="S145" s="108"/>
      <c r="T145" s="108"/>
      <c r="U145" s="108"/>
      <c r="V145" s="108"/>
      <c r="W145" s="108"/>
      <c r="X145" s="108"/>
      <c r="Y145" s="108"/>
      <c r="Z145" s="108"/>
      <c r="AC145" s="2"/>
      <c r="AD145" s="97" t="s">
        <v>575</v>
      </c>
      <c r="AE145" s="97"/>
      <c r="AF145" s="704" t="e">
        <f>SUM(AF146:AF151)</f>
        <v>#REF!</v>
      </c>
      <c r="AG145" s="704" t="e">
        <f>SUM(AG146:AG151)</f>
        <v>#REF!</v>
      </c>
      <c r="AH145" s="704" t="e">
        <f>SUM(AH146:AH151)</f>
        <v>#REF!</v>
      </c>
      <c r="AI145" s="704" t="e">
        <f>SUM(AI146:AI151)</f>
        <v>#REF!</v>
      </c>
      <c r="AJ145" s="704" t="e">
        <f>SUM(AJ146:AJ151)</f>
        <v>#REF!</v>
      </c>
      <c r="AK145" s="2"/>
    </row>
    <row r="146" spans="1:39" customFormat="1" ht="39.950000000000003" customHeight="1">
      <c r="A146" s="98" t="s">
        <v>0</v>
      </c>
      <c r="B146" s="98" t="s">
        <v>1</v>
      </c>
      <c r="C146" s="99" t="s">
        <v>2</v>
      </c>
      <c r="D146" s="99" t="s">
        <v>3</v>
      </c>
      <c r="E146" s="99" t="s">
        <v>4</v>
      </c>
      <c r="F146" s="736" t="s">
        <v>1222</v>
      </c>
      <c r="G146" s="98" t="s">
        <v>156</v>
      </c>
      <c r="H146" s="98" t="s">
        <v>157</v>
      </c>
      <c r="I146" s="98" t="s">
        <v>158</v>
      </c>
      <c r="J146" s="98" t="s">
        <v>159</v>
      </c>
      <c r="K146" s="1083" t="s">
        <v>139</v>
      </c>
      <c r="L146" s="109"/>
      <c r="M146" s="913"/>
      <c r="N146" s="913"/>
      <c r="O146" s="913"/>
      <c r="P146" s="913"/>
      <c r="Q146" s="913"/>
      <c r="R146" s="913"/>
      <c r="S146" s="108"/>
      <c r="T146" s="108"/>
      <c r="U146" s="108"/>
      <c r="V146" s="108"/>
      <c r="W146" s="108"/>
      <c r="X146" s="108"/>
      <c r="Y146" s="108"/>
      <c r="Z146" s="108"/>
      <c r="AA146" s="2"/>
      <c r="AB146" s="2"/>
      <c r="AC146" s="2"/>
      <c r="AD146" s="97" t="s">
        <v>569</v>
      </c>
      <c r="AE146" s="97"/>
      <c r="AF146" s="704">
        <f>+AF50</f>
        <v>24463</v>
      </c>
      <c r="AG146" s="704">
        <f>+AG50</f>
        <v>27086</v>
      </c>
      <c r="AH146" s="704">
        <f>+AH50</f>
        <v>29905</v>
      </c>
      <c r="AI146" s="704">
        <f>+AI50</f>
        <v>29765</v>
      </c>
      <c r="AJ146" s="704">
        <f>+AJ50</f>
        <v>36751</v>
      </c>
      <c r="AK146" s="2"/>
      <c r="AM146" s="2"/>
    </row>
    <row r="147" spans="1:39" customFormat="1" ht="22.5" customHeight="1">
      <c r="A147" s="2635" t="s">
        <v>1094</v>
      </c>
      <c r="B147" s="2636" t="s">
        <v>6</v>
      </c>
      <c r="C147" s="2636"/>
      <c r="D147" s="2636"/>
      <c r="E147" s="2636"/>
      <c r="F147" s="907">
        <f>SUM(F148,F161)</f>
        <v>7319</v>
      </c>
      <c r="G147" s="907">
        <f>SUM(G148,G161)</f>
        <v>7950</v>
      </c>
      <c r="H147" s="907">
        <f>SUM(H148,H161)</f>
        <v>9090</v>
      </c>
      <c r="I147" s="907">
        <f>SUM(I148,I161)</f>
        <v>9042</v>
      </c>
      <c r="J147" s="907">
        <f>SUM(J148,J161)</f>
        <v>11526</v>
      </c>
      <c r="K147" s="1089"/>
      <c r="L147" s="109"/>
      <c r="M147" s="913">
        <v>179</v>
      </c>
      <c r="N147" s="913"/>
      <c r="O147" s="913"/>
      <c r="P147" s="913"/>
      <c r="Q147" s="913"/>
      <c r="R147" s="913"/>
      <c r="S147" s="108"/>
      <c r="T147" s="108"/>
      <c r="U147" s="108"/>
      <c r="V147" s="108"/>
      <c r="W147" s="108"/>
      <c r="X147" s="108"/>
      <c r="Y147" s="108"/>
      <c r="Z147" s="108"/>
      <c r="AA147" s="2"/>
      <c r="AB147" s="2"/>
      <c r="AC147" s="2"/>
      <c r="AD147" s="97" t="s">
        <v>570</v>
      </c>
      <c r="AE147" s="97"/>
      <c r="AF147" s="704" t="e">
        <f>+#REF!</f>
        <v>#REF!</v>
      </c>
      <c r="AG147" s="704" t="e">
        <f>+#REF!</f>
        <v>#REF!</v>
      </c>
      <c r="AH147" s="704" t="e">
        <f>+#REF!</f>
        <v>#REF!</v>
      </c>
      <c r="AI147" s="704" t="e">
        <f>+#REF!</f>
        <v>#REF!</v>
      </c>
      <c r="AJ147" s="704" t="e">
        <f>+#REF!</f>
        <v>#REF!</v>
      </c>
      <c r="AK147" s="2"/>
      <c r="AL147" s="2"/>
      <c r="AM147" s="2"/>
    </row>
    <row r="148" spans="1:39" ht="22.5" customHeight="1">
      <c r="A148" s="2635"/>
      <c r="B148" s="2635" t="s">
        <v>996</v>
      </c>
      <c r="C148" s="2635" t="s">
        <v>7</v>
      </c>
      <c r="D148" s="2635"/>
      <c r="E148" s="2635"/>
      <c r="F148" s="907">
        <f>SUM(F149:F160)</f>
        <v>5333</v>
      </c>
      <c r="G148" s="907">
        <f>SUM(G149:G160)</f>
        <v>5884</v>
      </c>
      <c r="H148" s="907">
        <f>SUM(H149:H160)</f>
        <v>6857</v>
      </c>
      <c r="I148" s="907">
        <f>SUM(I149:I160)</f>
        <v>6822</v>
      </c>
      <c r="J148" s="907">
        <f>SUM(J149:J160)</f>
        <v>8614</v>
      </c>
      <c r="K148" s="1080"/>
      <c r="L148" s="17"/>
      <c r="M148" s="103"/>
      <c r="N148" s="103"/>
      <c r="O148" s="103"/>
      <c r="P148" s="103"/>
      <c r="Q148" s="103"/>
      <c r="R148" s="103"/>
      <c r="AD148" s="97" t="s">
        <v>571</v>
      </c>
      <c r="AE148" s="97"/>
      <c r="AF148" s="704" t="e">
        <f>+AF109</f>
        <v>#REF!</v>
      </c>
      <c r="AG148" s="704" t="e">
        <f>+AG109</f>
        <v>#REF!</v>
      </c>
      <c r="AH148" s="704" t="e">
        <f>+AH109</f>
        <v>#REF!</v>
      </c>
      <c r="AI148" s="704" t="e">
        <f>+AI109</f>
        <v>#REF!</v>
      </c>
      <c r="AJ148" s="704" t="e">
        <f>+AJ109</f>
        <v>#REF!</v>
      </c>
    </row>
    <row r="149" spans="1:39" ht="22.5" customHeight="1">
      <c r="A149" s="2635"/>
      <c r="B149" s="2635"/>
      <c r="C149" s="2635" t="s">
        <v>644</v>
      </c>
      <c r="D149" s="2653" t="s">
        <v>998</v>
      </c>
      <c r="E149" s="772" t="s">
        <v>999</v>
      </c>
      <c r="F149" s="705">
        <f>+'계획처리구역 인구배분(출력x)'!H149-M149</f>
        <v>698</v>
      </c>
      <c r="G149" s="705">
        <f>+'계획처리구역 인구배분(출력x)'!L149-N149</f>
        <v>900</v>
      </c>
      <c r="H149" s="705">
        <f>+'계획처리구역 인구배분(출력x)'!Q149-O149</f>
        <v>969</v>
      </c>
      <c r="I149" s="705">
        <f>+'계획처리구역 인구배분(출력x)'!V149-P149</f>
        <v>964</v>
      </c>
      <c r="J149" s="705">
        <f>+'계획처리구역 인구배분(출력x)'!AA149-Q149</f>
        <v>1256</v>
      </c>
      <c r="K149" s="1080"/>
      <c r="L149" s="17"/>
      <c r="M149" s="103">
        <v>201</v>
      </c>
      <c r="N149" s="103"/>
      <c r="O149" s="103"/>
      <c r="P149" s="103"/>
      <c r="Q149" s="103"/>
      <c r="R149" s="103"/>
      <c r="AD149" s="97" t="s">
        <v>572</v>
      </c>
      <c r="AE149" s="97"/>
      <c r="AF149" s="704" t="e">
        <f>+AF127</f>
        <v>#REF!</v>
      </c>
      <c r="AG149" s="704" t="e">
        <f>+AG127</f>
        <v>#REF!</v>
      </c>
      <c r="AH149" s="704" t="e">
        <f>+AH127</f>
        <v>#REF!</v>
      </c>
      <c r="AI149" s="704" t="e">
        <f>+AI127</f>
        <v>#REF!</v>
      </c>
      <c r="AJ149" s="704" t="e">
        <f>+AJ127</f>
        <v>#REF!</v>
      </c>
    </row>
    <row r="150" spans="1:39" ht="24" customHeight="1">
      <c r="A150" s="2635"/>
      <c r="B150" s="2635"/>
      <c r="C150" s="2635"/>
      <c r="D150" s="2654"/>
      <c r="E150" s="772" t="s">
        <v>1000</v>
      </c>
      <c r="F150" s="705">
        <f>+'계획처리구역 인구배분(출력x)'!H150-M150</f>
        <v>561</v>
      </c>
      <c r="G150" s="705">
        <f>+'계획처리구역 인구배분(출력x)'!L150-N150</f>
        <v>562</v>
      </c>
      <c r="H150" s="705">
        <f>+'계획처리구역 인구배분(출력x)'!Q150-O150</f>
        <v>605</v>
      </c>
      <c r="I150" s="705">
        <f>+'계획처리구역 인구배분(출력x)'!V150-P150</f>
        <v>601</v>
      </c>
      <c r="J150" s="705">
        <f>+'계획처리구역 인구배분(출력x)'!AA150-Q150</f>
        <v>784</v>
      </c>
      <c r="K150" s="1080"/>
      <c r="L150" s="17"/>
      <c r="M150" s="103"/>
      <c r="N150" s="103"/>
      <c r="O150" s="103"/>
      <c r="P150" s="103"/>
      <c r="Q150" s="103"/>
      <c r="R150" s="103"/>
      <c r="AD150" s="97" t="s">
        <v>573</v>
      </c>
      <c r="AE150" s="97"/>
      <c r="AF150" s="704" t="e">
        <f>+AF136</f>
        <v>#REF!</v>
      </c>
      <c r="AG150" s="704" t="e">
        <f t="shared" ref="AG150:AJ150" si="16">+AG136</f>
        <v>#REF!</v>
      </c>
      <c r="AH150" s="704" t="e">
        <f t="shared" si="16"/>
        <v>#REF!</v>
      </c>
      <c r="AI150" s="704" t="e">
        <f t="shared" si="16"/>
        <v>#REF!</v>
      </c>
      <c r="AJ150" s="704" t="e">
        <f t="shared" si="16"/>
        <v>#REF!</v>
      </c>
    </row>
    <row r="151" spans="1:39" ht="24" customHeight="1">
      <c r="A151" s="2635"/>
      <c r="B151" s="2635"/>
      <c r="C151" s="2635"/>
      <c r="D151" s="2654"/>
      <c r="E151" s="772" t="s">
        <v>1001</v>
      </c>
      <c r="F151" s="705">
        <f>+'계획처리구역 인구배분(출력x)'!H151-M151</f>
        <v>224</v>
      </c>
      <c r="G151" s="705">
        <f>+'계획처리구역 인구배분(출력x)'!L151-N151</f>
        <v>224</v>
      </c>
      <c r="H151" s="705">
        <f>+'계획처리구역 인구배분(출력x)'!Q151-O151</f>
        <v>242</v>
      </c>
      <c r="I151" s="705">
        <f>+'계획처리구역 인구배분(출력x)'!V151-P151</f>
        <v>240</v>
      </c>
      <c r="J151" s="705">
        <f>+'계획처리구역 인구배분(출력x)'!AA151-Q151</f>
        <v>313</v>
      </c>
      <c r="K151" s="1080"/>
      <c r="L151" s="17"/>
      <c r="M151" s="103"/>
      <c r="N151" s="103"/>
      <c r="O151" s="103"/>
      <c r="P151" s="103"/>
      <c r="Q151" s="103"/>
      <c r="R151" s="103"/>
      <c r="AD151" s="97" t="s">
        <v>574</v>
      </c>
      <c r="AE151" s="97"/>
      <c r="AF151" s="704" t="e">
        <f>+AF75+AF76+AF53+AF77+AF78+AF80+AF81+AF83+AF113+AF114+AF128+AF110+AF111+AF112+AF52+#REF!</f>
        <v>#REF!</v>
      </c>
      <c r="AG151" s="704" t="e">
        <f>+AG53+AG77+AG78+AG80+AG81+AG83+AG113+AG114+AG128+AG110+AG111+AG112+AG52+#REF!</f>
        <v>#REF!</v>
      </c>
      <c r="AH151" s="704" t="e">
        <f>+AH53+AH77+AH78+AH80+AH81+AH83+AH113+AH114+AH128+AH110+AH111+AH112+AH52+#REF!</f>
        <v>#REF!</v>
      </c>
      <c r="AI151" s="704" t="e">
        <f>+AI53+AI77+AI78+AI80+AI81+AI83+AI113+AI114+AI128+AI110+AI111+AI112+AI52+#REF!</f>
        <v>#REF!</v>
      </c>
      <c r="AJ151" s="704" t="e">
        <f>+AJ53+AJ77+AJ78+AJ80+AJ81+AJ83+AJ113+AJ114+AJ128+AJ110+AJ111+AJ112+AJ52+#REF!</f>
        <v>#REF!</v>
      </c>
    </row>
    <row r="152" spans="1:39" ht="24" customHeight="1">
      <c r="A152" s="2635"/>
      <c r="B152" s="2635"/>
      <c r="C152" s="2635"/>
      <c r="D152" s="2654"/>
      <c r="E152" s="772" t="s">
        <v>1002</v>
      </c>
      <c r="F152" s="705">
        <f>+'계획처리구역 인구배분(출력x)'!H152-M152</f>
        <v>590</v>
      </c>
      <c r="G152" s="705">
        <f>+'계획처리구역 인구배분(출력x)'!L152-N152</f>
        <v>591</v>
      </c>
      <c r="H152" s="705">
        <f>+'계획처리구역 인구배분(출력x)'!Q152-O152</f>
        <v>636</v>
      </c>
      <c r="I152" s="705">
        <f>+'계획처리구역 인구배분(출력x)'!V152-P152</f>
        <v>632</v>
      </c>
      <c r="J152" s="705">
        <f>+'계획처리구역 인구배분(출력x)'!AA152-Q152</f>
        <v>825</v>
      </c>
      <c r="K152" s="1080"/>
      <c r="L152" s="17"/>
      <c r="M152" s="103"/>
      <c r="N152" s="103"/>
      <c r="O152" s="103"/>
      <c r="P152" s="103"/>
      <c r="Q152" s="103"/>
      <c r="R152" s="103"/>
    </row>
    <row r="153" spans="1:39" s="712" customFormat="1" ht="24" customHeight="1">
      <c r="A153" s="2635"/>
      <c r="B153" s="2635"/>
      <c r="C153" s="2635"/>
      <c r="D153" s="2654"/>
      <c r="E153" s="1011" t="s">
        <v>1249</v>
      </c>
      <c r="F153" s="1012">
        <f>+'계획처리구역 인구배분(출력x)'!H153-M153</f>
        <v>528</v>
      </c>
      <c r="G153" s="1012">
        <f>+'계획처리구역 인구배분(출력x)'!L153-N153</f>
        <v>529</v>
      </c>
      <c r="H153" s="1012">
        <f>+'계획처리구역 인구배분(출력x)'!Q153-O153</f>
        <v>569</v>
      </c>
      <c r="I153" s="1012">
        <f>+'계획처리구역 인구배분(출력x)'!V153-P153</f>
        <v>566</v>
      </c>
      <c r="J153" s="1012">
        <f>+'계획처리구역 인구배분(출력x)'!AA153-Q153</f>
        <v>738</v>
      </c>
      <c r="K153" s="1080" t="s">
        <v>1314</v>
      </c>
      <c r="L153" s="17"/>
      <c r="M153" s="103"/>
      <c r="N153" s="103"/>
      <c r="O153" s="103"/>
      <c r="P153" s="103"/>
      <c r="Q153" s="103"/>
      <c r="R153" s="103"/>
      <c r="S153" s="9"/>
      <c r="T153" s="9"/>
      <c r="U153" s="9"/>
      <c r="V153" s="9"/>
      <c r="W153" s="9"/>
      <c r="X153" s="9"/>
      <c r="Y153" s="9"/>
      <c r="Z153" s="9"/>
    </row>
    <row r="154" spans="1:39" s="712" customFormat="1" ht="24" customHeight="1">
      <c r="A154" s="2635"/>
      <c r="B154" s="2635"/>
      <c r="C154" s="2635"/>
      <c r="D154" s="2654"/>
      <c r="E154" s="1011" t="s">
        <v>1251</v>
      </c>
      <c r="F154" s="1012">
        <f>+'계획처리구역 인구배분(출력x)'!H154-M154</f>
        <v>284</v>
      </c>
      <c r="G154" s="1012">
        <f>+'계획처리구역 인구배분(출력x)'!L154-N154</f>
        <v>284</v>
      </c>
      <c r="H154" s="1012">
        <f>+'계획처리구역 인구배분(출력x)'!Q154-O154</f>
        <v>306</v>
      </c>
      <c r="I154" s="1012">
        <f>+'계획처리구역 인구배분(출력x)'!V154-P154</f>
        <v>304</v>
      </c>
      <c r="J154" s="1012">
        <f>+'계획처리구역 인구배분(출력x)'!AA154-Q154</f>
        <v>397</v>
      </c>
      <c r="K154" s="1080" t="s">
        <v>1315</v>
      </c>
      <c r="L154" s="17"/>
      <c r="M154" s="103"/>
      <c r="N154" s="103"/>
      <c r="O154" s="103"/>
      <c r="P154" s="103"/>
      <c r="Q154" s="103"/>
      <c r="R154" s="103"/>
      <c r="S154" s="9"/>
      <c r="T154" s="9"/>
      <c r="U154" s="9"/>
      <c r="V154" s="9"/>
      <c r="W154" s="9"/>
      <c r="X154" s="9"/>
      <c r="Y154" s="9"/>
      <c r="Z154" s="9"/>
    </row>
    <row r="155" spans="1:39" s="712" customFormat="1" ht="24" customHeight="1">
      <c r="A155" s="2635"/>
      <c r="B155" s="2635"/>
      <c r="C155" s="2635"/>
      <c r="D155" s="2654"/>
      <c r="E155" s="1011" t="s">
        <v>1253</v>
      </c>
      <c r="F155" s="1012">
        <f>+'계획처리구역 인구배분(출력x)'!H155-M155</f>
        <v>1225</v>
      </c>
      <c r="G155" s="1012">
        <f>+'계획처리구역 인구배분(출력x)'!L155-N155</f>
        <v>1226</v>
      </c>
      <c r="H155" s="1012">
        <f>+'계획처리구역 인구배분(출력x)'!Q155-O155</f>
        <v>1321</v>
      </c>
      <c r="I155" s="1012">
        <f>+'계획처리구역 인구배분(출력x)'!V155-P155</f>
        <v>1313</v>
      </c>
      <c r="J155" s="1012">
        <f>+'계획처리구역 인구배분(출력x)'!AA155-Q155</f>
        <v>1712</v>
      </c>
      <c r="K155" s="1080" t="s">
        <v>1316</v>
      </c>
      <c r="L155" s="17"/>
      <c r="M155" s="103"/>
      <c r="N155" s="103"/>
      <c r="O155" s="103"/>
      <c r="P155" s="103"/>
      <c r="Q155" s="103"/>
      <c r="R155" s="103"/>
      <c r="S155" s="9"/>
      <c r="T155" s="9"/>
      <c r="U155" s="9"/>
      <c r="V155" s="9"/>
      <c r="W155" s="9"/>
      <c r="X155" s="9"/>
      <c r="Y155" s="9"/>
      <c r="Z155" s="9"/>
    </row>
    <row r="156" spans="1:39" s="712" customFormat="1" ht="24" customHeight="1">
      <c r="A156" s="2635"/>
      <c r="B156" s="2635"/>
      <c r="C156" s="2635"/>
      <c r="D156" s="2654"/>
      <c r="E156" s="1011" t="s">
        <v>1255</v>
      </c>
      <c r="F156" s="1012">
        <f>+'계획처리구역 인구배분(출력x)'!H156-M156</f>
        <v>1191</v>
      </c>
      <c r="G156" s="1012">
        <f>+'계획처리구역 인구배분(출력x)'!L156-N156</f>
        <v>1192</v>
      </c>
      <c r="H156" s="1012">
        <f>+'계획처리구역 인구배분(출력x)'!Q156-O156</f>
        <v>1284</v>
      </c>
      <c r="I156" s="1012">
        <f>+'계획처리구역 인구배분(출력x)'!V156-P156</f>
        <v>1277</v>
      </c>
      <c r="J156" s="1012">
        <f>+'계획처리구역 인구배분(출력x)'!AA156-Q156</f>
        <v>1664</v>
      </c>
      <c r="K156" s="1080" t="s">
        <v>1317</v>
      </c>
      <c r="L156" s="17"/>
      <c r="M156" s="103"/>
      <c r="N156" s="103"/>
      <c r="O156" s="103"/>
      <c r="P156" s="103"/>
      <c r="Q156" s="103"/>
      <c r="R156" s="103"/>
      <c r="S156" s="9"/>
      <c r="T156" s="9"/>
      <c r="U156" s="9"/>
      <c r="V156" s="9"/>
      <c r="W156" s="9"/>
      <c r="X156" s="9"/>
      <c r="Y156" s="9"/>
      <c r="Z156" s="9"/>
    </row>
    <row r="157" spans="1:39" s="712" customFormat="1" ht="24" customHeight="1">
      <c r="A157" s="2635"/>
      <c r="B157" s="2635"/>
      <c r="C157" s="2635"/>
      <c r="D157" s="2654"/>
      <c r="E157" s="1033" t="s">
        <v>1268</v>
      </c>
      <c r="F157" s="1033">
        <f>+'계획처리구역 인구배분(출력x)'!H157-M157</f>
        <v>0</v>
      </c>
      <c r="G157" s="1033">
        <f>+'계획처리구역 인구배분(출력x)'!L157-N157</f>
        <v>231</v>
      </c>
      <c r="H157" s="1033">
        <f>+'계획처리구역 인구배분(출력x)'!Q157-O157</f>
        <v>231</v>
      </c>
      <c r="I157" s="1033">
        <f>+'계획처리구역 인구배분(출력x)'!V157-P157</f>
        <v>231</v>
      </c>
      <c r="J157" s="1033">
        <f>+'계획처리구역 인구배분(출력x)'!AA157-Q157</f>
        <v>231</v>
      </c>
      <c r="K157" s="1080" t="str">
        <f>'계획처리구역 인구배분(출력x)'!AD157</f>
        <v>포그니아파트</v>
      </c>
      <c r="L157" s="711" t="s">
        <v>1000</v>
      </c>
      <c r="M157" s="103"/>
      <c r="N157" s="103"/>
      <c r="O157" s="103"/>
      <c r="P157" s="103"/>
      <c r="Q157" s="103"/>
      <c r="R157" s="103"/>
      <c r="S157" s="9"/>
      <c r="T157" s="9"/>
      <c r="U157" s="9"/>
      <c r="V157" s="9"/>
      <c r="W157" s="9"/>
      <c r="X157" s="9"/>
      <c r="Y157" s="9"/>
      <c r="Z157" s="9"/>
    </row>
    <row r="158" spans="1:39" s="712" customFormat="1" ht="24" customHeight="1">
      <c r="A158" s="2635"/>
      <c r="B158" s="2635"/>
      <c r="C158" s="2635"/>
      <c r="D158" s="2655"/>
      <c r="E158" s="1033" t="s">
        <v>1268</v>
      </c>
      <c r="F158" s="1033">
        <f>+'계획처리구역 인구배분(출력x)'!H158-M158</f>
        <v>0</v>
      </c>
      <c r="G158" s="1033">
        <f>+'계획처리구역 인구배분(출력x)'!L158-N158</f>
        <v>113</v>
      </c>
      <c r="H158" s="1033">
        <f>+'계획처리구역 인구배분(출력x)'!Q158-O158</f>
        <v>113</v>
      </c>
      <c r="I158" s="1033">
        <f>+'계획처리구역 인구배분(출력x)'!V158-P158</f>
        <v>113</v>
      </c>
      <c r="J158" s="1033">
        <f>+'계획처리구역 인구배분(출력x)'!AA158-Q158</f>
        <v>113</v>
      </c>
      <c r="K158" s="1080" t="str">
        <f>'계획처리구역 인구배분(출력x)'!AD158</f>
        <v>대신리치빌</v>
      </c>
      <c r="L158" s="711" t="s">
        <v>1000</v>
      </c>
      <c r="M158" s="103"/>
      <c r="N158" s="103"/>
      <c r="O158" s="103"/>
      <c r="P158" s="103"/>
      <c r="Q158" s="103"/>
      <c r="R158" s="103"/>
      <c r="S158" s="9"/>
      <c r="T158" s="9"/>
      <c r="U158" s="9"/>
      <c r="V158" s="9"/>
      <c r="W158" s="9"/>
      <c r="X158" s="9"/>
      <c r="Y158" s="9"/>
      <c r="Z158" s="9"/>
    </row>
    <row r="159" spans="1:39" s="712" customFormat="1" ht="24" customHeight="1">
      <c r="A159" s="2635"/>
      <c r="B159" s="2635"/>
      <c r="C159" s="2635"/>
      <c r="D159" s="1034" t="s">
        <v>1270</v>
      </c>
      <c r="E159" s="1033" t="s">
        <v>1268</v>
      </c>
      <c r="F159" s="1033">
        <f>+'계획처리구역 인구배분(출력x)'!H159-M159</f>
        <v>0</v>
      </c>
      <c r="G159" s="1033">
        <f>+'계획처리구역 인구배분(출력x)'!L159-N159</f>
        <v>0</v>
      </c>
      <c r="H159" s="1033">
        <f>+'계획처리구역 인구배분(출력x)'!Q159-O159</f>
        <v>549</v>
      </c>
      <c r="I159" s="1033">
        <f>+'계획처리구역 인구배분(출력x)'!V159-P159</f>
        <v>549</v>
      </c>
      <c r="J159" s="1033">
        <f>+'계획처리구역 인구배분(출력x)'!AA159-Q159</f>
        <v>549</v>
      </c>
      <c r="K159" s="1080" t="str">
        <f>'계획처리구역 인구배분(출력x)'!AD159</f>
        <v>감곡 오향리 아파트</v>
      </c>
      <c r="L159" s="711" t="s">
        <v>999</v>
      </c>
      <c r="M159" s="103"/>
      <c r="N159" s="103"/>
      <c r="O159" s="103"/>
      <c r="P159" s="103"/>
      <c r="Q159" s="103"/>
      <c r="R159" s="103"/>
      <c r="S159" s="9"/>
      <c r="T159" s="9"/>
      <c r="U159" s="9"/>
      <c r="V159" s="9"/>
      <c r="W159" s="9"/>
      <c r="X159" s="9"/>
      <c r="Y159" s="9"/>
      <c r="Z159" s="9"/>
    </row>
    <row r="160" spans="1:39" ht="24" customHeight="1">
      <c r="A160" s="2635"/>
      <c r="B160" s="2635"/>
      <c r="C160" s="2635"/>
      <c r="D160" s="772" t="s">
        <v>1015</v>
      </c>
      <c r="E160" s="772" t="s">
        <v>1016</v>
      </c>
      <c r="F160" s="705">
        <f>+'계획처리구역 인구배분(출력x)'!H160-M160</f>
        <v>32</v>
      </c>
      <c r="G160" s="705">
        <f>+'계획처리구역 인구배분(출력x)'!L160-N160</f>
        <v>32</v>
      </c>
      <c r="H160" s="705">
        <f>+'계획처리구역 인구배분(출력x)'!Q160-O160</f>
        <v>32</v>
      </c>
      <c r="I160" s="705">
        <f>+'계획처리구역 인구배분(출력x)'!V160-P160</f>
        <v>32</v>
      </c>
      <c r="J160" s="705">
        <f>+'계획처리구역 인구배분(출력x)'!AA160-Q160</f>
        <v>32</v>
      </c>
      <c r="K160" s="1080"/>
      <c r="L160" s="17"/>
      <c r="M160" s="103">
        <v>375</v>
      </c>
      <c r="N160" s="103">
        <v>375</v>
      </c>
      <c r="O160" s="103">
        <v>407</v>
      </c>
      <c r="P160" s="103">
        <v>404</v>
      </c>
      <c r="Q160" s="103">
        <v>537</v>
      </c>
      <c r="R160" s="103"/>
    </row>
    <row r="161" spans="1:36" ht="24" customHeight="1">
      <c r="A161" s="2635"/>
      <c r="B161" s="2635" t="s">
        <v>822</v>
      </c>
      <c r="C161" s="2635" t="s">
        <v>7</v>
      </c>
      <c r="D161" s="2635"/>
      <c r="E161" s="2635"/>
      <c r="F161" s="907">
        <f>SUM(F162:F168)</f>
        <v>1986</v>
      </c>
      <c r="G161" s="907">
        <f>SUM(G162:G168)</f>
        <v>2066</v>
      </c>
      <c r="H161" s="907">
        <f>SUM(H162:H168)</f>
        <v>2233</v>
      </c>
      <c r="I161" s="907">
        <f>SUM(I162:I168)</f>
        <v>2220</v>
      </c>
      <c r="J161" s="907">
        <f>SUM(J162:J168)</f>
        <v>2912</v>
      </c>
      <c r="K161" s="1080"/>
      <c r="L161" s="17"/>
      <c r="M161" s="103"/>
      <c r="N161" s="103"/>
      <c r="O161" s="103"/>
      <c r="P161" s="103"/>
      <c r="Q161" s="103"/>
      <c r="R161" s="103"/>
    </row>
    <row r="162" spans="1:36" ht="24" customHeight="1">
      <c r="A162" s="2635"/>
      <c r="B162" s="2635"/>
      <c r="C162" s="2635" t="s">
        <v>644</v>
      </c>
      <c r="D162" s="2635" t="s">
        <v>1004</v>
      </c>
      <c r="E162" s="770" t="s">
        <v>1005</v>
      </c>
      <c r="F162" s="705">
        <f>+'계획처리구역 인구배분(출력x)'!H162-M162</f>
        <v>257</v>
      </c>
      <c r="G162" s="705">
        <f>+'계획처리구역 인구배분(출력x)'!L162-N162</f>
        <v>257</v>
      </c>
      <c r="H162" s="705">
        <f>+'계획처리구역 인구배분(출력x)'!Q162-O162</f>
        <v>282</v>
      </c>
      <c r="I162" s="705">
        <f>+'계획처리구역 인구배분(출력x)'!V162-P162</f>
        <v>280</v>
      </c>
      <c r="J162" s="705">
        <f>+'계획처리구역 인구배분(출력x)'!AA162-Q162</f>
        <v>384</v>
      </c>
      <c r="K162" s="1080"/>
      <c r="L162" s="17"/>
      <c r="M162" s="103">
        <v>62</v>
      </c>
      <c r="N162" s="103">
        <v>62</v>
      </c>
      <c r="O162" s="103">
        <v>62</v>
      </c>
      <c r="P162" s="103">
        <v>62</v>
      </c>
      <c r="Q162" s="103">
        <v>62</v>
      </c>
      <c r="R162" s="103"/>
    </row>
    <row r="163" spans="1:36" ht="24" customHeight="1">
      <c r="A163" s="2635"/>
      <c r="B163" s="2635"/>
      <c r="C163" s="2635"/>
      <c r="D163" s="2635"/>
      <c r="E163" s="770" t="s">
        <v>1008</v>
      </c>
      <c r="F163" s="705">
        <f>+'계획처리구역 인구배분(출력x)'!H163-M163</f>
        <v>380</v>
      </c>
      <c r="G163" s="705">
        <f>+'계획처리구역 인구배분(출력x)'!L163-N163</f>
        <v>380</v>
      </c>
      <c r="H163" s="705">
        <f>+'계획처리구역 인구배분(출력x)'!Q163-O163</f>
        <v>410</v>
      </c>
      <c r="I163" s="705">
        <f>+'계획처리구역 인구배분(출력x)'!V163-P163</f>
        <v>407</v>
      </c>
      <c r="J163" s="705">
        <f>+'계획처리구역 인구배분(출력x)'!AA163-Q163</f>
        <v>531</v>
      </c>
      <c r="K163" s="1080"/>
      <c r="L163" s="17"/>
      <c r="M163" s="103"/>
      <c r="N163" s="103"/>
      <c r="O163" s="103"/>
      <c r="P163" s="103"/>
      <c r="Q163" s="103"/>
      <c r="R163" s="103"/>
    </row>
    <row r="164" spans="1:36" ht="24" customHeight="1">
      <c r="A164" s="2635"/>
      <c r="B164" s="2635"/>
      <c r="C164" s="2635"/>
      <c r="D164" s="2635"/>
      <c r="E164" s="770" t="s">
        <v>1006</v>
      </c>
      <c r="F164" s="705">
        <f>+'계획처리구역 인구배분(출력x)'!H164-M164</f>
        <v>387</v>
      </c>
      <c r="G164" s="705">
        <f>+'계획처리구역 인구배분(출력x)'!L164-N164</f>
        <v>387</v>
      </c>
      <c r="H164" s="705">
        <f>+'계획처리구역 인구배분(출력x)'!Q164-O164</f>
        <v>417</v>
      </c>
      <c r="I164" s="705">
        <f>+'계획처리구역 인구배분(출력x)'!V164-P164</f>
        <v>415</v>
      </c>
      <c r="J164" s="705">
        <f>+'계획처리구역 인구배분(출력x)'!AA164-Q164</f>
        <v>541</v>
      </c>
      <c r="K164" s="1080"/>
      <c r="L164" s="17"/>
      <c r="M164" s="103"/>
      <c r="N164" s="103"/>
      <c r="O164" s="103"/>
      <c r="P164" s="103"/>
      <c r="Q164" s="103"/>
      <c r="R164" s="103"/>
    </row>
    <row r="165" spans="1:36" ht="24" customHeight="1">
      <c r="A165" s="2635"/>
      <c r="B165" s="2635"/>
      <c r="C165" s="2635"/>
      <c r="D165" s="2635"/>
      <c r="E165" s="770" t="s">
        <v>1007</v>
      </c>
      <c r="F165" s="705">
        <f>+'계획처리구역 인구배분(출력x)'!H165-M165</f>
        <v>386</v>
      </c>
      <c r="G165" s="705">
        <f>+'계획처리구역 인구배분(출력x)'!L165-N165</f>
        <v>386</v>
      </c>
      <c r="H165" s="705">
        <f>+'계획처리구역 인구배분(출력x)'!Q165-O165</f>
        <v>416</v>
      </c>
      <c r="I165" s="705">
        <f>+'계획처리구역 인구배분(출력x)'!V165-P165</f>
        <v>414</v>
      </c>
      <c r="J165" s="705">
        <f>+'계획처리구역 인구배분(출력x)'!AA165-Q165</f>
        <v>539</v>
      </c>
      <c r="K165" s="1080"/>
      <c r="L165" s="17"/>
      <c r="M165" s="103"/>
      <c r="N165" s="103"/>
      <c r="O165" s="103"/>
      <c r="P165" s="103"/>
      <c r="Q165" s="103"/>
      <c r="R165" s="103"/>
    </row>
    <row r="166" spans="1:36" ht="24" customHeight="1">
      <c r="A166" s="2635"/>
      <c r="B166" s="2635"/>
      <c r="C166" s="2635"/>
      <c r="D166" s="2635"/>
      <c r="E166" s="770" t="s">
        <v>1009</v>
      </c>
      <c r="F166" s="705">
        <f>+'계획처리구역 인구배분(출력x)'!H166-M166</f>
        <v>205</v>
      </c>
      <c r="G166" s="705">
        <f>+'계획처리구역 인구배분(출력x)'!L166-N166</f>
        <v>205</v>
      </c>
      <c r="H166" s="705">
        <f>+'계획처리구역 인구배분(출력x)'!Q166-O166</f>
        <v>221</v>
      </c>
      <c r="I166" s="705">
        <f>+'계획처리구역 인구배분(출력x)'!V166-P166</f>
        <v>220</v>
      </c>
      <c r="J166" s="705">
        <f>+'계획처리구역 인구배분(출력x)'!AA166-Q166</f>
        <v>286</v>
      </c>
      <c r="K166" s="1080"/>
      <c r="L166" s="17"/>
      <c r="M166" s="103"/>
      <c r="N166" s="103"/>
      <c r="O166" s="103"/>
      <c r="P166" s="103"/>
      <c r="Q166" s="103"/>
      <c r="R166" s="103"/>
    </row>
    <row r="167" spans="1:36" ht="24" customHeight="1">
      <c r="A167" s="2635"/>
      <c r="B167" s="2635"/>
      <c r="C167" s="2635"/>
      <c r="D167" s="770" t="s">
        <v>1010</v>
      </c>
      <c r="E167" s="770" t="s">
        <v>1011</v>
      </c>
      <c r="F167" s="705">
        <f>+'계획처리구역 인구배분(출력x)'!H167-M167</f>
        <v>135</v>
      </c>
      <c r="G167" s="705">
        <f>+'계획처리구역 인구배분(출력x)'!L167-N167</f>
        <v>135</v>
      </c>
      <c r="H167" s="705">
        <f>+'계획처리구역 인구배분(출력x)'!Q167-O167</f>
        <v>146</v>
      </c>
      <c r="I167" s="705">
        <f>+'계획처리구역 인구배분(출력x)'!V167-P167</f>
        <v>145</v>
      </c>
      <c r="J167" s="705">
        <f>+'계획처리구역 인구배분(출력x)'!AA167-Q167</f>
        <v>189</v>
      </c>
      <c r="K167" s="1080"/>
      <c r="L167" s="17"/>
      <c r="M167" s="103"/>
      <c r="N167" s="103"/>
      <c r="O167" s="103"/>
      <c r="P167" s="103"/>
      <c r="Q167" s="103"/>
      <c r="R167" s="103"/>
    </row>
    <row r="168" spans="1:36" ht="24" customHeight="1">
      <c r="A168" s="2635"/>
      <c r="B168" s="2635"/>
      <c r="C168" s="2635"/>
      <c r="D168" s="1105" t="s">
        <v>1013</v>
      </c>
      <c r="E168" s="770" t="s">
        <v>1017</v>
      </c>
      <c r="F168" s="705">
        <f>+'계획처리구역 인구배분(출력x)'!H168-M168</f>
        <v>236</v>
      </c>
      <c r="G168" s="705">
        <f>+'계획처리구역 인구배분(출력x)'!L168-N168</f>
        <v>316</v>
      </c>
      <c r="H168" s="705">
        <f>+'계획처리구역 인구배분(출력x)'!Q168-O168</f>
        <v>341</v>
      </c>
      <c r="I168" s="705">
        <f>+'계획처리구역 인구배분(출력x)'!V168-P168</f>
        <v>339</v>
      </c>
      <c r="J168" s="705">
        <f>+'계획처리구역 인구배분(출력x)'!AA168-Q168</f>
        <v>442</v>
      </c>
      <c r="K168" s="1080"/>
      <c r="L168" s="17"/>
      <c r="M168" s="103">
        <v>80</v>
      </c>
      <c r="N168" s="103"/>
      <c r="O168" s="103"/>
      <c r="P168" s="103"/>
      <c r="Q168" s="103"/>
      <c r="R168" s="103"/>
    </row>
    <row r="169" spans="1:36" s="712" customFormat="1" ht="24" customHeight="1">
      <c r="A169" s="65"/>
      <c r="B169" s="65"/>
      <c r="C169" s="65"/>
      <c r="D169" s="65"/>
      <c r="E169" s="67"/>
      <c r="F169" s="176"/>
      <c r="G169" s="176"/>
      <c r="H169" s="176"/>
      <c r="I169" s="176"/>
      <c r="J169" s="176"/>
      <c r="K169" s="1081"/>
      <c r="L169" s="17"/>
      <c r="M169" s="103"/>
      <c r="N169" s="103"/>
      <c r="O169" s="103"/>
      <c r="P169" s="103"/>
      <c r="Q169" s="103"/>
      <c r="R169" s="103"/>
      <c r="S169" s="9"/>
      <c r="T169" s="9"/>
      <c r="U169" s="9"/>
      <c r="V169" s="9"/>
      <c r="W169" s="9"/>
      <c r="X169" s="9"/>
      <c r="Y169" s="9"/>
      <c r="Z169" s="9"/>
    </row>
    <row r="170" spans="1:36" s="712" customFormat="1" ht="21.6" customHeight="1">
      <c r="A170" s="2638" t="s">
        <v>2255</v>
      </c>
      <c r="B170" s="2638"/>
      <c r="C170" s="2638"/>
      <c r="D170" s="2638"/>
      <c r="E170" s="2638"/>
      <c r="F170" s="908"/>
      <c r="G170" s="908"/>
      <c r="H170" s="908"/>
      <c r="I170" s="908"/>
      <c r="J170" s="908"/>
      <c r="K170" s="1084"/>
      <c r="L170" s="17"/>
      <c r="M170" s="103"/>
      <c r="N170" s="103"/>
      <c r="O170" s="103"/>
      <c r="P170" s="103"/>
      <c r="Q170" s="103"/>
      <c r="R170" s="103"/>
      <c r="S170" s="9"/>
      <c r="T170" s="9"/>
      <c r="U170" s="9"/>
      <c r="V170" s="9"/>
      <c r="W170" s="9"/>
      <c r="X170" s="9"/>
      <c r="Y170" s="9"/>
      <c r="Z170" s="9"/>
    </row>
    <row r="171" spans="1:36" s="712" customFormat="1" ht="39.950000000000003" customHeight="1">
      <c r="A171" s="98" t="s">
        <v>0</v>
      </c>
      <c r="B171" s="98" t="s">
        <v>1</v>
      </c>
      <c r="C171" s="99" t="s">
        <v>2</v>
      </c>
      <c r="D171" s="99" t="s">
        <v>3</v>
      </c>
      <c r="E171" s="99" t="s">
        <v>4</v>
      </c>
      <c r="F171" s="736" t="s">
        <v>1222</v>
      </c>
      <c r="G171" s="98" t="s">
        <v>156</v>
      </c>
      <c r="H171" s="98" t="s">
        <v>157</v>
      </c>
      <c r="I171" s="98" t="s">
        <v>158</v>
      </c>
      <c r="J171" s="98" t="s">
        <v>159</v>
      </c>
      <c r="K171" s="1083" t="s">
        <v>139</v>
      </c>
      <c r="L171" s="17"/>
      <c r="M171" s="103"/>
      <c r="N171" s="103"/>
      <c r="O171" s="103"/>
      <c r="P171" s="103"/>
      <c r="Q171" s="103"/>
      <c r="R171" s="103"/>
      <c r="S171" s="9"/>
      <c r="T171" s="9"/>
      <c r="U171" s="9"/>
      <c r="V171" s="9"/>
      <c r="W171" s="9"/>
      <c r="X171" s="9"/>
      <c r="Y171" s="9"/>
      <c r="Z171" s="9"/>
    </row>
    <row r="172" spans="1:36" ht="20.100000000000001" customHeight="1">
      <c r="A172" s="2671" t="s">
        <v>1018</v>
      </c>
      <c r="B172" s="2672"/>
      <c r="C172" s="2636" t="s">
        <v>7</v>
      </c>
      <c r="D172" s="2636"/>
      <c r="E172" s="2636"/>
      <c r="F172" s="922">
        <f>SUM(F173:F187)</f>
        <v>1811</v>
      </c>
      <c r="G172" s="922">
        <f t="shared" ref="G172:J172" si="17">SUM(G173:G187)</f>
        <v>2631</v>
      </c>
      <c r="H172" s="922">
        <f t="shared" si="17"/>
        <v>2688</v>
      </c>
      <c r="I172" s="922">
        <f t="shared" si="17"/>
        <v>2931</v>
      </c>
      <c r="J172" s="922">
        <f t="shared" si="17"/>
        <v>5053</v>
      </c>
      <c r="K172" s="1091">
        <f t="shared" ref="K172:Z172" si="18">SUM(K173:K184)</f>
        <v>0</v>
      </c>
      <c r="L172" s="929">
        <f t="shared" si="18"/>
        <v>0</v>
      </c>
      <c r="M172" s="895">
        <f t="shared" si="18"/>
        <v>1310</v>
      </c>
      <c r="N172" s="895">
        <f t="shared" si="18"/>
        <v>535</v>
      </c>
      <c r="O172" s="895">
        <f t="shared" si="18"/>
        <v>399</v>
      </c>
      <c r="P172" s="895">
        <f t="shared" si="18"/>
        <v>39</v>
      </c>
      <c r="Q172" s="895">
        <f t="shared" si="18"/>
        <v>39</v>
      </c>
      <c r="R172" s="895">
        <f t="shared" si="18"/>
        <v>0</v>
      </c>
      <c r="S172" s="895">
        <f t="shared" si="18"/>
        <v>0</v>
      </c>
      <c r="T172" s="895">
        <f t="shared" si="18"/>
        <v>0</v>
      </c>
      <c r="U172" s="895">
        <f t="shared" si="18"/>
        <v>0</v>
      </c>
      <c r="V172" s="895">
        <f t="shared" si="18"/>
        <v>0</v>
      </c>
      <c r="W172" s="895">
        <f t="shared" si="18"/>
        <v>0</v>
      </c>
      <c r="X172" s="895">
        <f t="shared" si="18"/>
        <v>0</v>
      </c>
      <c r="Y172" s="895">
        <f t="shared" si="18"/>
        <v>0</v>
      </c>
      <c r="Z172" s="895">
        <f t="shared" si="18"/>
        <v>0</v>
      </c>
    </row>
    <row r="173" spans="1:36" ht="20.100000000000001" customHeight="1">
      <c r="A173" s="2673"/>
      <c r="B173" s="2674"/>
      <c r="C173" s="2677" t="s">
        <v>673</v>
      </c>
      <c r="D173" s="2668" t="s">
        <v>1020</v>
      </c>
      <c r="E173" s="770" t="s">
        <v>1021</v>
      </c>
      <c r="F173" s="705">
        <f>+'계획처리구역 인구배분(출력x)'!H173-M173</f>
        <v>625</v>
      </c>
      <c r="G173" s="705">
        <f>+'계획처리구역 인구배분(출력x)'!L173-N173</f>
        <v>610</v>
      </c>
      <c r="H173" s="705">
        <f>+'계획처리구역 인구배분(출력x)'!Q173-O173</f>
        <v>595</v>
      </c>
      <c r="I173" s="705">
        <f>+'계획처리구역 인구배분(출력x)'!V173-P173</f>
        <v>572</v>
      </c>
      <c r="J173" s="705">
        <f>+'계획처리구역 인구배분(출력x)'!AA173-Q173</f>
        <v>530</v>
      </c>
      <c r="K173" s="1086"/>
      <c r="L173" s="17"/>
      <c r="M173" s="103"/>
      <c r="N173" s="103"/>
      <c r="O173" s="103"/>
      <c r="P173" s="103"/>
      <c r="Q173" s="103"/>
      <c r="R173" s="103"/>
    </row>
    <row r="174" spans="1:36" ht="20.100000000000001" customHeight="1">
      <c r="A174" s="2673"/>
      <c r="B174" s="2674"/>
      <c r="C174" s="2678"/>
      <c r="D174" s="2669"/>
      <c r="E174" s="770" t="s">
        <v>1022</v>
      </c>
      <c r="F174" s="705">
        <f>+'계획처리구역 인구배분(출력x)'!H174-M174</f>
        <v>253</v>
      </c>
      <c r="G174" s="705">
        <f>+'계획처리구역 인구배분(출력x)'!L174-N174</f>
        <v>247</v>
      </c>
      <c r="H174" s="705">
        <f>+'계획처리구역 인구배분(출력x)'!Q174-O174</f>
        <v>241</v>
      </c>
      <c r="I174" s="705">
        <f>+'계획처리구역 인구배분(출력x)'!V174-P174</f>
        <v>231</v>
      </c>
      <c r="J174" s="705">
        <f>+'계획처리구역 인구배분(출력x)'!AA174-Q174</f>
        <v>215</v>
      </c>
      <c r="K174" s="1086"/>
      <c r="L174" s="17"/>
      <c r="M174" s="103"/>
      <c r="N174" s="103"/>
      <c r="O174" s="103"/>
      <c r="P174" s="103"/>
      <c r="Q174" s="103"/>
      <c r="R174" s="103"/>
    </row>
    <row r="175" spans="1:36" ht="20.100000000000001" customHeight="1">
      <c r="A175" s="2673"/>
      <c r="B175" s="2674"/>
      <c r="C175" s="2678"/>
      <c r="D175" s="2669"/>
      <c r="E175" s="770" t="s">
        <v>1023</v>
      </c>
      <c r="F175" s="705">
        <f>+'계획처리구역 인구배분(출력x)'!H175-M175</f>
        <v>441</v>
      </c>
      <c r="G175" s="705">
        <f>+'계획처리구역 인구배분(출력x)'!L175-N175</f>
        <v>431</v>
      </c>
      <c r="H175" s="705">
        <f>+'계획처리구역 인구배분(출력x)'!Q175-O175</f>
        <v>420</v>
      </c>
      <c r="I175" s="705">
        <f>+'계획처리구역 인구배분(출력x)'!V175-P175</f>
        <v>403</v>
      </c>
      <c r="J175" s="705">
        <f>+'계획처리구역 인구배분(출력x)'!AA175-Q175</f>
        <v>374</v>
      </c>
      <c r="K175" s="1086"/>
      <c r="L175" s="17"/>
      <c r="M175" s="103"/>
      <c r="N175" s="103"/>
      <c r="O175" s="103"/>
      <c r="P175" s="103"/>
      <c r="Q175" s="103"/>
      <c r="R175" s="103"/>
      <c r="AC175"/>
      <c r="AD175"/>
      <c r="AE175"/>
      <c r="AF175"/>
      <c r="AG175"/>
      <c r="AH175"/>
      <c r="AI175"/>
      <c r="AJ175"/>
    </row>
    <row r="176" spans="1:36" ht="20.100000000000001" customHeight="1">
      <c r="A176" s="2673"/>
      <c r="B176" s="2674"/>
      <c r="C176" s="2678"/>
      <c r="D176" s="2669"/>
      <c r="E176" s="771" t="s">
        <v>1024</v>
      </c>
      <c r="F176" s="705">
        <f>+'계획처리구역 인구배분(출력x)'!H176-M176</f>
        <v>157</v>
      </c>
      <c r="G176" s="705">
        <f>+'계획처리구역 인구배분(출력x)'!L176-N176</f>
        <v>153</v>
      </c>
      <c r="H176" s="705">
        <f>+'계획처리구역 인구배분(출력x)'!Q176-O176</f>
        <v>149</v>
      </c>
      <c r="I176" s="705">
        <f>+'계획처리구역 인구배분(출력x)'!V176-P176</f>
        <v>144</v>
      </c>
      <c r="J176" s="705">
        <f>+'계획처리구역 인구배분(출력x)'!AA176-Q176</f>
        <v>133</v>
      </c>
      <c r="K176" s="1086"/>
      <c r="L176" s="17"/>
      <c r="M176" s="103"/>
      <c r="N176" s="103"/>
      <c r="O176" s="103"/>
      <c r="P176" s="103"/>
      <c r="Q176" s="103"/>
      <c r="R176" s="103"/>
      <c r="AC176"/>
      <c r="AD176"/>
      <c r="AE176"/>
      <c r="AF176"/>
      <c r="AG176"/>
      <c r="AH176"/>
      <c r="AI176"/>
      <c r="AJ176"/>
    </row>
    <row r="177" spans="1:36" s="712" customFormat="1" ht="20.100000000000001" customHeight="1">
      <c r="A177" s="2673"/>
      <c r="B177" s="2674"/>
      <c r="C177" s="2678"/>
      <c r="D177" s="2670"/>
      <c r="E177" s="1033" t="s">
        <v>1268</v>
      </c>
      <c r="F177" s="1033">
        <f>+'계획처리구역 인구배분(출력x)'!H177-M177</f>
        <v>0</v>
      </c>
      <c r="G177" s="1033">
        <f>+'계획처리구역 인구배분(출력x)'!L177-N177</f>
        <v>83</v>
      </c>
      <c r="H177" s="1033">
        <f>+'계획처리구역 인구배분(출력x)'!Q177-O177</f>
        <v>83</v>
      </c>
      <c r="I177" s="1033">
        <f>+'계획처리구역 인구배분(출력x)'!V177-P177</f>
        <v>83</v>
      </c>
      <c r="J177" s="1033">
        <f>+'계획처리구역 인구배분(출력x)'!AA177-Q177</f>
        <v>83</v>
      </c>
      <c r="K177" s="1086" t="str">
        <f>'계획처리구역 인구배분(출력x)'!AD177</f>
        <v>태경에코그린</v>
      </c>
      <c r="L177" s="17"/>
      <c r="M177" s="103"/>
      <c r="N177" s="103"/>
      <c r="O177" s="103"/>
      <c r="P177" s="103"/>
      <c r="Q177" s="103"/>
      <c r="R177" s="103"/>
      <c r="S177" s="9"/>
      <c r="T177" s="9"/>
      <c r="U177" s="9"/>
      <c r="V177" s="9"/>
      <c r="W177" s="9"/>
      <c r="X177" s="9"/>
      <c r="Y177" s="9"/>
      <c r="Z177" s="9"/>
      <c r="AC177" s="599"/>
      <c r="AD177" s="599"/>
      <c r="AE177" s="599"/>
      <c r="AF177" s="599"/>
      <c r="AG177" s="599"/>
      <c r="AH177" s="599"/>
      <c r="AI177" s="599"/>
      <c r="AJ177" s="599"/>
    </row>
    <row r="178" spans="1:36" ht="20.100000000000001" customHeight="1">
      <c r="A178" s="2673"/>
      <c r="B178" s="2674"/>
      <c r="C178" s="2678"/>
      <c r="D178" s="2637" t="s">
        <v>1025</v>
      </c>
      <c r="E178" s="771" t="s">
        <v>1026</v>
      </c>
      <c r="F178" s="705">
        <f>+'계획처리구역 인구배분(출력x)'!H178-M178</f>
        <v>335</v>
      </c>
      <c r="G178" s="705">
        <f>+'계획처리구역 인구배분(출력x)'!L178-N178</f>
        <v>327</v>
      </c>
      <c r="H178" s="705">
        <f>+'계획처리구역 인구배분(출력x)'!Q178-O178</f>
        <v>319</v>
      </c>
      <c r="I178" s="705">
        <f>+'계획처리구역 인구배분(출력x)'!V178-P178</f>
        <v>306</v>
      </c>
      <c r="J178" s="705">
        <f>+'계획처리구역 인구배분(출력x)'!AA178-Q178</f>
        <v>284</v>
      </c>
      <c r="K178" s="1086"/>
      <c r="L178" s="17"/>
      <c r="M178" s="103"/>
      <c r="N178" s="103"/>
      <c r="O178" s="103"/>
      <c r="P178" s="103"/>
      <c r="Q178" s="103"/>
      <c r="R178" s="103"/>
      <c r="AC178"/>
      <c r="AD178"/>
      <c r="AE178"/>
      <c r="AF178"/>
      <c r="AG178"/>
      <c r="AH178"/>
      <c r="AI178"/>
      <c r="AJ178"/>
    </row>
    <row r="179" spans="1:36" ht="20.100000000000001" customHeight="1">
      <c r="A179" s="2673"/>
      <c r="B179" s="2674"/>
      <c r="C179" s="2678"/>
      <c r="D179" s="2637"/>
      <c r="E179" s="770" t="s">
        <v>1027</v>
      </c>
      <c r="F179" s="705">
        <f>+'계획처리구역 인구배분(출력x)'!H179-M179</f>
        <v>0</v>
      </c>
      <c r="G179" s="705">
        <f>+'계획처리구역 인구배분(출력x)'!L179-N179</f>
        <v>0</v>
      </c>
      <c r="H179" s="705">
        <f>+'계획처리구역 인구배분(출력x)'!Q179-O179</f>
        <v>122</v>
      </c>
      <c r="I179" s="705">
        <f>+'계획처리구역 인구배분(출력x)'!V179-P179</f>
        <v>117</v>
      </c>
      <c r="J179" s="705">
        <f>+'계획처리구역 인구배분(출력x)'!AA179-Q179</f>
        <v>109</v>
      </c>
      <c r="K179" s="1086"/>
      <c r="L179" s="17"/>
      <c r="M179" s="103">
        <v>128</v>
      </c>
      <c r="N179" s="103">
        <v>125</v>
      </c>
      <c r="O179" s="103"/>
      <c r="P179" s="103"/>
      <c r="Q179" s="103"/>
      <c r="R179" s="103"/>
      <c r="AC179"/>
      <c r="AD179"/>
      <c r="AE179"/>
      <c r="AF179"/>
      <c r="AG179"/>
      <c r="AH179"/>
      <c r="AI179"/>
      <c r="AJ179"/>
    </row>
    <row r="180" spans="1:36" ht="20.100000000000001" customHeight="1">
      <c r="A180" s="2673"/>
      <c r="B180" s="2674"/>
      <c r="C180" s="2678"/>
      <c r="D180" s="2637" t="s">
        <v>1028</v>
      </c>
      <c r="E180" s="771" t="s">
        <v>1029</v>
      </c>
      <c r="F180" s="705">
        <f>+'계획처리구역 인구배분(출력x)'!H180-M180</f>
        <v>0</v>
      </c>
      <c r="G180" s="705">
        <f>+'계획처리구역 인구배분(출력x)'!L180-N180</f>
        <v>243</v>
      </c>
      <c r="H180" s="705">
        <f>+'계획처리구역 인구배분(출력x)'!Q180-O180</f>
        <v>237</v>
      </c>
      <c r="I180" s="705">
        <f>+'계획처리구역 인구배분(출력x)'!V180-P180</f>
        <v>228</v>
      </c>
      <c r="J180" s="705">
        <f>+'계획처리구역 인구배분(출력x)'!AA180-Q180</f>
        <v>211</v>
      </c>
      <c r="K180" s="1086"/>
      <c r="L180" s="17"/>
      <c r="M180" s="103">
        <v>249</v>
      </c>
      <c r="N180" s="103"/>
      <c r="O180" s="103"/>
      <c r="P180" s="103"/>
      <c r="Q180" s="103"/>
      <c r="R180" s="103"/>
    </row>
    <row r="181" spans="1:36" ht="20.100000000000001" customHeight="1">
      <c r="A181" s="2673"/>
      <c r="B181" s="2674"/>
      <c r="C181" s="2678"/>
      <c r="D181" s="2637"/>
      <c r="E181" s="771" t="s">
        <v>1030</v>
      </c>
      <c r="F181" s="705">
        <f>+'계획처리구역 인구배분(출력x)'!H181-M181</f>
        <v>0</v>
      </c>
      <c r="G181" s="705">
        <f>+'계획처리구역 인구배분(출력x)'!L181-N181</f>
        <v>0</v>
      </c>
      <c r="H181" s="705">
        <f>+'계획처리구역 인구배분(출력x)'!Q181-O181</f>
        <v>0</v>
      </c>
      <c r="I181" s="705">
        <f>+'계획처리구역 인구배분(출력x)'!V181-P181</f>
        <v>167</v>
      </c>
      <c r="J181" s="705">
        <f>+'계획처리구역 인구배분(출력x)'!AA181-Q181</f>
        <v>155</v>
      </c>
      <c r="K181" s="1086"/>
      <c r="L181" s="17"/>
      <c r="M181" s="103">
        <v>183</v>
      </c>
      <c r="N181" s="103">
        <v>179</v>
      </c>
      <c r="O181" s="103">
        <v>174</v>
      </c>
      <c r="P181" s="103"/>
      <c r="Q181" s="103"/>
      <c r="R181" s="103"/>
    </row>
    <row r="182" spans="1:36" ht="20.100000000000001" customHeight="1">
      <c r="A182" s="2673"/>
      <c r="B182" s="2674"/>
      <c r="C182" s="2678"/>
      <c r="D182" s="2637" t="s">
        <v>1031</v>
      </c>
      <c r="E182" s="771" t="s">
        <v>1032</v>
      </c>
      <c r="F182" s="705">
        <f>+'계획처리구역 인구배분(출력x)'!H182-M182</f>
        <v>0</v>
      </c>
      <c r="G182" s="705">
        <f>+'계획처리구역 인구배분(출력x)'!L182-N182</f>
        <v>158</v>
      </c>
      <c r="H182" s="705">
        <f>+'계획처리구역 인구배분(출력x)'!Q182-O182</f>
        <v>153</v>
      </c>
      <c r="I182" s="705">
        <f>+'계획처리구역 인구배분(출력x)'!V182-P182</f>
        <v>147</v>
      </c>
      <c r="J182" s="705">
        <f>+'계획처리구역 인구배분(출력x)'!AA182-Q182</f>
        <v>135</v>
      </c>
      <c r="K182" s="1086"/>
      <c r="L182" s="17"/>
      <c r="M182" s="103">
        <v>177</v>
      </c>
      <c r="N182" s="103">
        <v>15</v>
      </c>
      <c r="O182" s="103">
        <v>15</v>
      </c>
      <c r="P182" s="103">
        <v>15</v>
      </c>
      <c r="Q182" s="103">
        <v>15</v>
      </c>
      <c r="R182" s="103"/>
    </row>
    <row r="183" spans="1:36" ht="20.100000000000001" customHeight="1">
      <c r="A183" s="2673"/>
      <c r="B183" s="2674"/>
      <c r="C183" s="2678"/>
      <c r="D183" s="2637"/>
      <c r="E183" s="771" t="s">
        <v>1033</v>
      </c>
      <c r="F183" s="705">
        <f>+'계획처리구역 인구배분(출력x)'!H183-M183</f>
        <v>0</v>
      </c>
      <c r="G183" s="705">
        <f>+'계획처리구역 인구배분(출력x)'!L183-N183</f>
        <v>327</v>
      </c>
      <c r="H183" s="705">
        <f>+'계획처리구역 인구배분(출력x)'!Q183-O183</f>
        <v>319</v>
      </c>
      <c r="I183" s="705">
        <f>+'계획처리구역 인구배분(출력x)'!V183-P183</f>
        <v>306</v>
      </c>
      <c r="J183" s="705">
        <f>+'계획처리구역 인구배분(출력x)'!AA183-Q183</f>
        <v>284</v>
      </c>
      <c r="K183" s="1086"/>
      <c r="L183" s="17"/>
      <c r="M183" s="103">
        <v>335</v>
      </c>
      <c r="N183" s="103"/>
      <c r="O183" s="103"/>
      <c r="P183" s="103"/>
      <c r="Q183" s="103"/>
      <c r="R183" s="103"/>
    </row>
    <row r="184" spans="1:36" ht="20.100000000000001" customHeight="1">
      <c r="A184" s="2673"/>
      <c r="B184" s="2674"/>
      <c r="C184" s="2678"/>
      <c r="D184" s="771" t="s">
        <v>1034</v>
      </c>
      <c r="E184" s="771" t="s">
        <v>1035</v>
      </c>
      <c r="F184" s="705">
        <f>+'계획처리구역 인구배분(출력x)'!H184-M184</f>
        <v>0</v>
      </c>
      <c r="G184" s="705">
        <f>+'계획처리구역 인구배분(출력x)'!L184-N184</f>
        <v>16</v>
      </c>
      <c r="H184" s="705">
        <f>+'계획처리구역 인구배분(출력x)'!Q184-O184</f>
        <v>16</v>
      </c>
      <c r="I184" s="705">
        <f>+'계획처리구역 인구배분(출력x)'!V184-P184</f>
        <v>194</v>
      </c>
      <c r="J184" s="705">
        <f>+'계획처리구역 인구배분(출력x)'!AA184-Q184</f>
        <v>178</v>
      </c>
      <c r="K184" s="1086"/>
      <c r="L184" s="17"/>
      <c r="M184" s="103">
        <v>238</v>
      </c>
      <c r="N184" s="103">
        <v>216</v>
      </c>
      <c r="O184" s="103">
        <v>210</v>
      </c>
      <c r="P184" s="103">
        <v>24</v>
      </c>
      <c r="Q184" s="103">
        <v>24</v>
      </c>
      <c r="R184" s="103"/>
    </row>
    <row r="185" spans="1:36" s="712" customFormat="1" ht="20.100000000000001" customHeight="1">
      <c r="A185" s="2673"/>
      <c r="B185" s="2674"/>
      <c r="C185" s="2678"/>
      <c r="D185" s="1537" t="s">
        <v>1578</v>
      </c>
      <c r="E185" s="1537" t="s">
        <v>1580</v>
      </c>
      <c r="F185" s="1538">
        <f>+'계획처리구역 인구배분(출력x)'!H185-M185</f>
        <v>0</v>
      </c>
      <c r="G185" s="1538">
        <f>+'계획처리구역 인구배분(출력x)'!L185-N185</f>
        <v>16</v>
      </c>
      <c r="H185" s="1538">
        <f>+'계획처리구역 인구배분(출력x)'!Q185-O185</f>
        <v>15</v>
      </c>
      <c r="I185" s="1538">
        <f>+'계획처리구역 인구배분(출력x)'!V185-P185</f>
        <v>15</v>
      </c>
      <c r="J185" s="1538">
        <f>+'계획처리구역 인구배분(출력x)'!AA185-Q185</f>
        <v>14</v>
      </c>
      <c r="K185" s="1086"/>
      <c r="L185" s="17"/>
      <c r="M185" s="17">
        <v>16</v>
      </c>
      <c r="N185" s="17"/>
      <c r="O185" s="17"/>
      <c r="P185" s="17"/>
      <c r="Q185" s="17"/>
      <c r="R185" s="17"/>
      <c r="S185" s="9"/>
      <c r="T185" s="9"/>
      <c r="U185" s="9"/>
      <c r="V185" s="9"/>
      <c r="W185" s="9"/>
      <c r="X185" s="9"/>
      <c r="Y185" s="9"/>
      <c r="Z185" s="9"/>
    </row>
    <row r="186" spans="1:36" s="712" customFormat="1" ht="20.100000000000001" customHeight="1">
      <c r="A186" s="2673"/>
      <c r="B186" s="2674"/>
      <c r="C186" s="2678"/>
      <c r="D186" s="1537" t="s">
        <v>1579</v>
      </c>
      <c r="E186" s="1537" t="s">
        <v>1581</v>
      </c>
      <c r="F186" s="1118">
        <f>+'계획처리구역 인구배분(출력x)'!H186-M186</f>
        <v>0</v>
      </c>
      <c r="G186" s="1118">
        <f>+'계획처리구역 인구배분(출력x)'!L186-N186</f>
        <v>20</v>
      </c>
      <c r="H186" s="1118">
        <f>+'계획처리구역 인구배분(출력x)'!Q186-O186</f>
        <v>19</v>
      </c>
      <c r="I186" s="1118">
        <f>+'계획처리구역 인구배분(출력x)'!V186-P186</f>
        <v>18</v>
      </c>
      <c r="J186" s="1118">
        <f>+'계획처리구역 인구배분(출력x)'!AA186-Q186</f>
        <v>17</v>
      </c>
      <c r="K186" s="1086"/>
      <c r="L186" s="17"/>
      <c r="M186" s="17">
        <v>20</v>
      </c>
      <c r="N186" s="17"/>
      <c r="O186" s="17"/>
      <c r="P186" s="17"/>
      <c r="Q186" s="17"/>
      <c r="R186" s="17"/>
      <c r="S186" s="9"/>
      <c r="T186" s="9"/>
      <c r="U186" s="9"/>
      <c r="V186" s="9"/>
      <c r="W186" s="9"/>
      <c r="X186" s="9"/>
      <c r="Y186" s="9"/>
      <c r="Z186" s="9"/>
    </row>
    <row r="187" spans="1:36" s="712" customFormat="1" ht="20.100000000000001" customHeight="1">
      <c r="A187" s="2675"/>
      <c r="B187" s="2676"/>
      <c r="C187" s="2679"/>
      <c r="D187" s="1243"/>
      <c r="E187" s="1244" t="s">
        <v>149</v>
      </c>
      <c r="F187" s="1244">
        <f>+'계획처리구역 인구배분(출력x)'!H187-M187</f>
        <v>0</v>
      </c>
      <c r="G187" s="1244">
        <f>+'계획처리구역 인구배분(출력x)'!L187-N187</f>
        <v>0</v>
      </c>
      <c r="H187" s="1244">
        <f>+'계획처리구역 인구배분(출력x)'!Q187-O187</f>
        <v>0</v>
      </c>
      <c r="I187" s="1244">
        <f>+'계획처리구역 인구배분(출력x)'!V187-P187</f>
        <v>0</v>
      </c>
      <c r="J187" s="1244">
        <f>+'계획처리구역 인구배분(출력x)'!AA187-Q187</f>
        <v>2331</v>
      </c>
      <c r="K187" s="1086" t="str">
        <f>'계획처리구역 인구배분(출력x)'!AD187</f>
        <v>생극 택지지구</v>
      </c>
      <c r="L187" s="17"/>
      <c r="M187" s="17"/>
      <c r="N187" s="17"/>
      <c r="O187" s="17"/>
      <c r="P187" s="17"/>
      <c r="Q187" s="17"/>
      <c r="R187" s="17"/>
      <c r="S187" s="9"/>
      <c r="T187" s="9"/>
      <c r="U187" s="9"/>
      <c r="V187" s="9"/>
      <c r="W187" s="9"/>
      <c r="X187" s="9"/>
      <c r="Y187" s="9"/>
      <c r="Z187" s="9"/>
    </row>
    <row r="188" spans="1:36" s="712" customFormat="1" ht="20.100000000000001" customHeight="1">
      <c r="A188" s="1934"/>
      <c r="B188" s="1934"/>
      <c r="C188" s="921"/>
      <c r="D188" s="921"/>
      <c r="E188" s="921"/>
      <c r="F188" s="1934"/>
      <c r="G188" s="1934"/>
      <c r="H188" s="1934"/>
      <c r="I188" s="1934"/>
      <c r="J188" s="1934"/>
      <c r="K188" s="1943"/>
      <c r="L188" s="17"/>
      <c r="M188" s="103"/>
      <c r="N188" s="103"/>
      <c r="O188" s="103"/>
      <c r="P188" s="103"/>
      <c r="Q188" s="103"/>
      <c r="R188" s="103"/>
      <c r="S188" s="9"/>
      <c r="T188" s="9"/>
      <c r="U188" s="9"/>
      <c r="V188" s="9"/>
      <c r="W188" s="9"/>
      <c r="X188" s="9"/>
      <c r="Y188" s="9"/>
      <c r="Z188" s="9"/>
    </row>
    <row r="189" spans="1:36" s="712" customFormat="1" ht="24" customHeight="1">
      <c r="A189" s="2638" t="s">
        <v>2253</v>
      </c>
      <c r="B189" s="2638"/>
      <c r="C189" s="2638"/>
      <c r="D189" s="2638"/>
      <c r="E189" s="2638"/>
      <c r="F189" s="908"/>
      <c r="G189" s="908"/>
      <c r="H189" s="908"/>
      <c r="I189" s="908"/>
      <c r="J189" s="908"/>
      <c r="K189" s="1084"/>
      <c r="L189" s="17"/>
      <c r="M189" s="103"/>
      <c r="N189" s="103"/>
      <c r="O189" s="103"/>
      <c r="P189" s="103"/>
      <c r="Q189" s="103"/>
      <c r="R189" s="103"/>
      <c r="S189" s="9"/>
      <c r="T189" s="9"/>
      <c r="U189" s="9"/>
      <c r="V189" s="9"/>
      <c r="W189" s="9"/>
      <c r="X189" s="9"/>
      <c r="Y189" s="9"/>
      <c r="Z189" s="9"/>
    </row>
    <row r="190" spans="1:36" s="712" customFormat="1" ht="39.950000000000003" customHeight="1">
      <c r="A190" s="98" t="s">
        <v>0</v>
      </c>
      <c r="B190" s="98" t="s">
        <v>1</v>
      </c>
      <c r="C190" s="99" t="s">
        <v>2</v>
      </c>
      <c r="D190" s="99" t="s">
        <v>3</v>
      </c>
      <c r="E190" s="99" t="s">
        <v>4</v>
      </c>
      <c r="F190" s="736" t="s">
        <v>1222</v>
      </c>
      <c r="G190" s="98" t="s">
        <v>156</v>
      </c>
      <c r="H190" s="98" t="s">
        <v>157</v>
      </c>
      <c r="I190" s="98" t="s">
        <v>158</v>
      </c>
      <c r="J190" s="98" t="s">
        <v>159</v>
      </c>
      <c r="K190" s="1083" t="s">
        <v>139</v>
      </c>
      <c r="L190" s="17"/>
      <c r="M190" s="103"/>
      <c r="N190" s="103"/>
      <c r="O190" s="103"/>
      <c r="P190" s="103"/>
      <c r="Q190" s="103"/>
      <c r="R190" s="103"/>
      <c r="S190" s="9"/>
      <c r="T190" s="9"/>
      <c r="U190" s="9"/>
      <c r="V190" s="9"/>
      <c r="W190" s="9"/>
      <c r="X190" s="9"/>
      <c r="Y190" s="9"/>
      <c r="Z190" s="9"/>
    </row>
    <row r="191" spans="1:36" ht="20.100000000000001" customHeight="1">
      <c r="A191" s="2687" t="s">
        <v>752</v>
      </c>
      <c r="B191" s="2688"/>
      <c r="C191" s="2635" t="s">
        <v>32</v>
      </c>
      <c r="D191" s="2635"/>
      <c r="E191" s="2635"/>
      <c r="F191" s="907">
        <f>SUM(F192:F196)</f>
        <v>0</v>
      </c>
      <c r="G191" s="907">
        <f t="shared" ref="G191:J191" si="19">SUM(G192:G196)</f>
        <v>1225</v>
      </c>
      <c r="H191" s="907">
        <f t="shared" si="19"/>
        <v>1270</v>
      </c>
      <c r="I191" s="907">
        <f t="shared" si="19"/>
        <v>1281</v>
      </c>
      <c r="J191" s="907">
        <f t="shared" si="19"/>
        <v>3574</v>
      </c>
      <c r="K191" s="1090">
        <f t="shared" ref="K191:R191" si="20">SUM(K192:K216)</f>
        <v>0</v>
      </c>
      <c r="L191" s="928">
        <f t="shared" si="20"/>
        <v>0</v>
      </c>
      <c r="M191" s="914">
        <f t="shared" si="20"/>
        <v>4086</v>
      </c>
      <c r="N191" s="914">
        <f t="shared" si="20"/>
        <v>346</v>
      </c>
      <c r="O191" s="914">
        <f t="shared" si="20"/>
        <v>330</v>
      </c>
      <c r="P191" s="914">
        <f t="shared" si="20"/>
        <v>300</v>
      </c>
      <c r="Q191" s="914">
        <f t="shared" si="20"/>
        <v>312</v>
      </c>
      <c r="R191" s="919">
        <f t="shared" si="20"/>
        <v>0</v>
      </c>
      <c r="S191" s="920"/>
      <c r="T191" s="920"/>
      <c r="U191" s="920"/>
      <c r="V191" s="920"/>
      <c r="W191" s="920"/>
      <c r="X191" s="920"/>
      <c r="Y191" s="920"/>
      <c r="Z191" s="920"/>
    </row>
    <row r="192" spans="1:36" ht="20.100000000000001" customHeight="1">
      <c r="A192" s="2689"/>
      <c r="B192" s="2690"/>
      <c r="C192" s="2668" t="s">
        <v>640</v>
      </c>
      <c r="D192" s="2635" t="s">
        <v>1071</v>
      </c>
      <c r="E192" s="770" t="s">
        <v>1072</v>
      </c>
      <c r="F192" s="705">
        <f>+'계획처리구역 인구배분(출력x)'!H192-M192</f>
        <v>0</v>
      </c>
      <c r="G192" s="705">
        <f>+'계획처리구역 인구배분(출력x)'!L192-N192</f>
        <v>321</v>
      </c>
      <c r="H192" s="705">
        <f>+'계획처리구역 인구배분(출력x)'!Q192-O192</f>
        <v>333</v>
      </c>
      <c r="I192" s="705">
        <f>+'계획처리구역 인구배분(출력x)'!V192-P192</f>
        <v>336</v>
      </c>
      <c r="J192" s="705">
        <f>+'계획처리구역 인구배분(출력x)'!AA192-Q192</f>
        <v>326</v>
      </c>
      <c r="K192" s="1086"/>
      <c r="L192" s="17"/>
      <c r="M192" s="103">
        <v>339</v>
      </c>
      <c r="N192" s="103"/>
      <c r="O192" s="103"/>
      <c r="P192" s="103"/>
      <c r="Q192" s="103"/>
      <c r="R192" s="918"/>
      <c r="S192" s="17"/>
      <c r="T192" s="17"/>
      <c r="U192" s="17"/>
      <c r="V192" s="17"/>
      <c r="W192" s="17"/>
      <c r="X192" s="17"/>
      <c r="Y192" s="17"/>
      <c r="Z192" s="17"/>
    </row>
    <row r="193" spans="1:26" ht="20.100000000000001" customHeight="1">
      <c r="A193" s="2689"/>
      <c r="B193" s="2690"/>
      <c r="C193" s="2669"/>
      <c r="D193" s="2635"/>
      <c r="E193" s="770" t="s">
        <v>1278</v>
      </c>
      <c r="F193" s="705">
        <f>+'계획처리구역 인구배분(출력x)'!H193-M193</f>
        <v>0</v>
      </c>
      <c r="G193" s="705">
        <f>+'계획처리구역 인구배분(출력x)'!L193-N193</f>
        <v>97</v>
      </c>
      <c r="H193" s="705">
        <f>+'계획처리구역 인구배분(출력x)'!Q193-O193</f>
        <v>100</v>
      </c>
      <c r="I193" s="705">
        <f>+'계획처리구역 인구배분(출력x)'!V193-P193</f>
        <v>101</v>
      </c>
      <c r="J193" s="705">
        <f>+'계획처리구역 인구배분(출력x)'!AA193-Q193</f>
        <v>98</v>
      </c>
      <c r="K193" s="1086"/>
      <c r="L193" s="17"/>
      <c r="M193" s="103">
        <v>102</v>
      </c>
      <c r="N193" s="103"/>
      <c r="O193" s="103"/>
      <c r="P193" s="103"/>
      <c r="Q193" s="103"/>
      <c r="R193" s="918"/>
      <c r="S193" s="17"/>
      <c r="T193" s="17"/>
      <c r="U193" s="17"/>
      <c r="V193" s="17"/>
      <c r="W193" s="17"/>
      <c r="X193" s="17"/>
      <c r="Y193" s="17"/>
      <c r="Z193" s="17"/>
    </row>
    <row r="194" spans="1:26" s="712" customFormat="1" ht="20.100000000000001" customHeight="1">
      <c r="A194" s="2689"/>
      <c r="B194" s="2690"/>
      <c r="C194" s="2669"/>
      <c r="D194" s="2635"/>
      <c r="E194" s="1040" t="s">
        <v>1279</v>
      </c>
      <c r="F194" s="1041">
        <f>+'계획처리구역 인구배분(출력x)'!H194-M194</f>
        <v>0</v>
      </c>
      <c r="G194" s="1041">
        <f>+'계획처리구역 인구배분(출력x)'!L194-N194</f>
        <v>319</v>
      </c>
      <c r="H194" s="1041">
        <f>+'계획처리구역 인구배분(출력x)'!Q194-O194</f>
        <v>331</v>
      </c>
      <c r="I194" s="1041">
        <f>+'계획처리구역 인구배분(출력x)'!V194-P194</f>
        <v>334</v>
      </c>
      <c r="J194" s="1041">
        <f>+'계획처리구역 인구배분(출력x)'!AA194-Q194</f>
        <v>324</v>
      </c>
      <c r="K194" s="1086"/>
      <c r="L194" s="17"/>
      <c r="M194" s="103">
        <v>337</v>
      </c>
      <c r="N194" s="103"/>
      <c r="O194" s="103"/>
      <c r="P194" s="103"/>
      <c r="Q194" s="103"/>
      <c r="R194" s="918"/>
      <c r="S194" s="17"/>
      <c r="T194" s="17"/>
      <c r="U194" s="17"/>
      <c r="V194" s="17"/>
      <c r="W194" s="17"/>
      <c r="X194" s="17"/>
      <c r="Y194" s="17"/>
      <c r="Z194" s="17"/>
    </row>
    <row r="195" spans="1:26" ht="20.100000000000001" customHeight="1">
      <c r="A195" s="2689"/>
      <c r="B195" s="2690"/>
      <c r="C195" s="2669"/>
      <c r="D195" s="2635"/>
      <c r="E195" s="770" t="s">
        <v>1280</v>
      </c>
      <c r="F195" s="705">
        <f>+'계획처리구역 인구배분(출력x)'!H195-M195</f>
        <v>0</v>
      </c>
      <c r="G195" s="705">
        <f>+'계획처리구역 인구배분(출력x)'!L195-N195</f>
        <v>488</v>
      </c>
      <c r="H195" s="705">
        <f>+'계획처리구역 인구배분(출력x)'!Q195-O195</f>
        <v>506</v>
      </c>
      <c r="I195" s="705">
        <f>+'계획처리구역 인구배분(출력x)'!V195-P195</f>
        <v>510</v>
      </c>
      <c r="J195" s="705">
        <f>+'계획처리구역 인구배분(출력x)'!AA195-Q195</f>
        <v>495</v>
      </c>
      <c r="K195" s="1086" t="s">
        <v>1281</v>
      </c>
      <c r="L195" s="17"/>
      <c r="M195" s="103">
        <v>515</v>
      </c>
      <c r="N195" s="103"/>
      <c r="O195" s="103"/>
      <c r="P195" s="103"/>
      <c r="Q195" s="103"/>
      <c r="R195" s="918"/>
      <c r="S195" s="17"/>
      <c r="T195" s="17"/>
      <c r="U195" s="17"/>
      <c r="V195" s="17"/>
      <c r="W195" s="17"/>
      <c r="X195" s="17"/>
      <c r="Y195" s="17"/>
      <c r="Z195" s="17"/>
    </row>
    <row r="196" spans="1:26" s="712" customFormat="1" ht="20.100000000000001" customHeight="1">
      <c r="A196" s="2691"/>
      <c r="B196" s="2692"/>
      <c r="C196" s="2670"/>
      <c r="D196" s="1246"/>
      <c r="E196" s="1247" t="s">
        <v>149</v>
      </c>
      <c r="F196" s="1247">
        <f>+'계획처리구역 인구배분(출력x)'!H196-M196</f>
        <v>0</v>
      </c>
      <c r="G196" s="1247">
        <f>+'계획처리구역 인구배분(출력x)'!L196-N196</f>
        <v>0</v>
      </c>
      <c r="H196" s="1247">
        <f>+'계획처리구역 인구배분(출력x)'!Q196-O196</f>
        <v>0</v>
      </c>
      <c r="I196" s="1247">
        <f>+'계획처리구역 인구배분(출력x)'!V196-P196</f>
        <v>0</v>
      </c>
      <c r="J196" s="1247">
        <f>+'계획처리구역 인구배분(출력x)'!AA196-Q196</f>
        <v>2331</v>
      </c>
      <c r="K196" s="1080" t="str">
        <f>'계획처리구역 인구배분(출력x)'!AD196</f>
        <v>맹동 택지개발</v>
      </c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s="712" customFormat="1" ht="20.100000000000001" customHeight="1">
      <c r="A197" s="1934"/>
      <c r="B197" s="1934"/>
      <c r="C197" s="921"/>
      <c r="D197" s="921"/>
      <c r="E197" s="921"/>
      <c r="F197" s="1934"/>
      <c r="G197" s="1934"/>
      <c r="H197" s="1934"/>
      <c r="I197" s="1934"/>
      <c r="J197" s="1934"/>
      <c r="K197" s="1943"/>
      <c r="L197" s="17"/>
      <c r="M197" s="103"/>
      <c r="N197" s="103"/>
      <c r="O197" s="103"/>
      <c r="P197" s="103"/>
      <c r="Q197" s="103"/>
      <c r="R197" s="103"/>
      <c r="S197" s="9"/>
      <c r="T197" s="9"/>
      <c r="U197" s="9"/>
      <c r="V197" s="9"/>
      <c r="W197" s="9"/>
      <c r="X197" s="9"/>
      <c r="Y197" s="9"/>
      <c r="Z197" s="9"/>
    </row>
    <row r="198" spans="1:26" ht="24" customHeight="1">
      <c r="A198" s="2638" t="s">
        <v>2257</v>
      </c>
      <c r="B198" s="2638"/>
      <c r="C198" s="2638"/>
      <c r="D198" s="2638"/>
      <c r="E198" s="2638"/>
      <c r="M198" s="103"/>
      <c r="N198" s="103"/>
      <c r="O198" s="103"/>
      <c r="P198" s="103"/>
      <c r="Q198" s="103"/>
      <c r="R198" s="103"/>
    </row>
    <row r="199" spans="1:26" ht="39.950000000000003" customHeight="1">
      <c r="A199" s="98" t="s">
        <v>0</v>
      </c>
      <c r="B199" s="98" t="s">
        <v>1</v>
      </c>
      <c r="C199" s="99" t="s">
        <v>2</v>
      </c>
      <c r="D199" s="99" t="s">
        <v>3</v>
      </c>
      <c r="E199" s="99" t="s">
        <v>4</v>
      </c>
      <c r="F199" s="736" t="s">
        <v>1222</v>
      </c>
      <c r="G199" s="98" t="s">
        <v>156</v>
      </c>
      <c r="H199" s="98" t="s">
        <v>157</v>
      </c>
      <c r="I199" s="98" t="s">
        <v>158</v>
      </c>
      <c r="J199" s="98" t="s">
        <v>159</v>
      </c>
      <c r="K199" s="1083" t="s">
        <v>139</v>
      </c>
      <c r="L199" s="921"/>
      <c r="M199" s="103"/>
      <c r="N199" s="103"/>
      <c r="O199" s="103"/>
      <c r="P199" s="103"/>
      <c r="Q199" s="103"/>
      <c r="R199" s="103"/>
    </row>
    <row r="200" spans="1:26" ht="24" customHeight="1">
      <c r="A200" s="2693" t="s">
        <v>151</v>
      </c>
      <c r="B200" s="2694"/>
      <c r="C200" s="2694"/>
      <c r="D200" s="2694"/>
      <c r="E200" s="2695"/>
      <c r="F200" s="715">
        <f>+'계획처리구역 인구배분(출력x)'!H200-M200</f>
        <v>7477</v>
      </c>
      <c r="G200" s="715">
        <f>+'계획처리구역 인구배분(출력x)'!L200-N200</f>
        <v>12230</v>
      </c>
      <c r="H200" s="715">
        <f>+'계획처리구역 인구배분(출력x)'!Q200-O200</f>
        <v>12230</v>
      </c>
      <c r="I200" s="715">
        <f>+'계획처리구역 인구배분(출력x)'!V200-P200</f>
        <v>12230</v>
      </c>
      <c r="J200" s="715">
        <f>+'계획처리구역 인구배분(출력x)'!AA200-Q200</f>
        <v>12230</v>
      </c>
      <c r="K200" s="1080"/>
      <c r="L200" s="17"/>
      <c r="M200" s="103"/>
      <c r="N200" s="103"/>
      <c r="O200" s="103"/>
      <c r="P200" s="103"/>
      <c r="Q200" s="103"/>
      <c r="R200" s="103"/>
    </row>
    <row r="201" spans="1:26" ht="24" customHeight="1">
      <c r="A201" s="65"/>
      <c r="B201" s="65"/>
      <c r="C201" s="66"/>
      <c r="D201" s="67"/>
      <c r="E201" s="67"/>
      <c r="F201" s="908"/>
      <c r="G201" s="908"/>
      <c r="H201" s="908"/>
      <c r="I201" s="908"/>
      <c r="J201" s="908"/>
      <c r="K201" s="1084"/>
      <c r="L201" s="17"/>
      <c r="M201" s="103"/>
      <c r="N201" s="103"/>
      <c r="O201" s="103"/>
      <c r="P201" s="103"/>
      <c r="Q201" s="103"/>
      <c r="R201" s="103"/>
    </row>
    <row r="202" spans="1:26" ht="24" customHeight="1">
      <c r="A202" s="2638" t="s">
        <v>2259</v>
      </c>
      <c r="B202" s="2638"/>
      <c r="C202" s="2638"/>
      <c r="D202" s="2638"/>
      <c r="E202" s="2638"/>
      <c r="F202" s="176"/>
      <c r="G202" s="71"/>
      <c r="H202" s="71"/>
      <c r="I202" s="71"/>
      <c r="J202" s="71"/>
      <c r="K202" s="1084"/>
      <c r="L202" s="17"/>
      <c r="M202" s="103"/>
      <c r="N202" s="103"/>
      <c r="O202" s="103"/>
      <c r="P202" s="103"/>
      <c r="Q202" s="103"/>
      <c r="R202" s="103"/>
    </row>
    <row r="203" spans="1:26" ht="39.950000000000003" customHeight="1">
      <c r="A203" s="98" t="s">
        <v>0</v>
      </c>
      <c r="B203" s="98" t="s">
        <v>1</v>
      </c>
      <c r="C203" s="99" t="s">
        <v>2</v>
      </c>
      <c r="D203" s="99" t="s">
        <v>3</v>
      </c>
      <c r="E203" s="99" t="s">
        <v>4</v>
      </c>
      <c r="F203" s="736" t="s">
        <v>1222</v>
      </c>
      <c r="G203" s="98" t="s">
        <v>156</v>
      </c>
      <c r="H203" s="98" t="s">
        <v>157</v>
      </c>
      <c r="I203" s="98" t="s">
        <v>158</v>
      </c>
      <c r="J203" s="98" t="s">
        <v>159</v>
      </c>
      <c r="K203" s="1083" t="s">
        <v>139</v>
      </c>
      <c r="L203" s="17"/>
      <c r="M203" s="103"/>
      <c r="N203" s="103"/>
      <c r="O203" s="103"/>
      <c r="P203" s="103"/>
      <c r="Q203" s="103"/>
      <c r="R203" s="103"/>
    </row>
    <row r="204" spans="1:26" ht="20.100000000000001" customHeight="1">
      <c r="A204" s="2635" t="s">
        <v>1051</v>
      </c>
      <c r="B204" s="2635"/>
      <c r="C204" s="2635" t="s">
        <v>32</v>
      </c>
      <c r="D204" s="2635"/>
      <c r="E204" s="2635"/>
      <c r="F204" s="907">
        <f>SUM(F205:F206)</f>
        <v>0</v>
      </c>
      <c r="G204" s="907">
        <f t="shared" ref="G204:R204" si="21">SUM(G205:G206)</f>
        <v>289</v>
      </c>
      <c r="H204" s="907">
        <f t="shared" si="21"/>
        <v>289</v>
      </c>
      <c r="I204" s="907">
        <f t="shared" si="21"/>
        <v>286</v>
      </c>
      <c r="J204" s="907">
        <f t="shared" si="21"/>
        <v>282</v>
      </c>
      <c r="K204" s="1090">
        <f t="shared" si="21"/>
        <v>0</v>
      </c>
      <c r="L204" s="927">
        <f t="shared" si="21"/>
        <v>0</v>
      </c>
      <c r="M204" s="909">
        <f t="shared" si="21"/>
        <v>321</v>
      </c>
      <c r="N204" s="909">
        <f t="shared" si="21"/>
        <v>0</v>
      </c>
      <c r="O204" s="909">
        <f t="shared" si="21"/>
        <v>0</v>
      </c>
      <c r="P204" s="909">
        <f t="shared" si="21"/>
        <v>0</v>
      </c>
      <c r="Q204" s="909">
        <f t="shared" si="21"/>
        <v>0</v>
      </c>
      <c r="R204" s="917">
        <f t="shared" si="21"/>
        <v>0</v>
      </c>
      <c r="S204" s="920"/>
      <c r="T204" s="920"/>
      <c r="U204" s="920"/>
      <c r="V204" s="920"/>
      <c r="W204" s="920"/>
      <c r="X204" s="920"/>
      <c r="Y204" s="920"/>
      <c r="Z204" s="920"/>
    </row>
    <row r="205" spans="1:26" ht="20.100000000000001" customHeight="1">
      <c r="A205" s="2635"/>
      <c r="B205" s="2635"/>
      <c r="C205" s="2635" t="s">
        <v>691</v>
      </c>
      <c r="D205" s="2635" t="s">
        <v>1058</v>
      </c>
      <c r="E205" s="774" t="s">
        <v>1053</v>
      </c>
      <c r="F205" s="705">
        <f>+'계획처리구역 인구배분(출력x)'!H205-M205</f>
        <v>0</v>
      </c>
      <c r="G205" s="705">
        <f>'계획처리구역 인구배분(출력x)'!L205</f>
        <v>232</v>
      </c>
      <c r="H205" s="705">
        <f>'계획처리구역 인구배분(출력x)'!Q205</f>
        <v>232</v>
      </c>
      <c r="I205" s="705">
        <f>'계획처리구역 인구배분(출력x)'!V205</f>
        <v>230</v>
      </c>
      <c r="J205" s="705">
        <f>'계획처리구역 인구배분(출력x)'!AA205</f>
        <v>227</v>
      </c>
      <c r="K205" s="1086"/>
      <c r="L205" s="17"/>
      <c r="M205" s="103">
        <v>258</v>
      </c>
      <c r="N205" s="173"/>
      <c r="O205" s="103"/>
      <c r="P205" s="103"/>
      <c r="Q205" s="103"/>
      <c r="R205" s="918"/>
      <c r="S205" s="17"/>
      <c r="T205" s="17"/>
      <c r="U205" s="17"/>
      <c r="V205" s="17"/>
      <c r="W205" s="17"/>
      <c r="X205" s="17"/>
      <c r="Y205" s="17"/>
      <c r="Z205" s="17"/>
    </row>
    <row r="206" spans="1:26" ht="20.100000000000001" customHeight="1">
      <c r="A206" s="2635"/>
      <c r="B206" s="2635"/>
      <c r="C206" s="2635"/>
      <c r="D206" s="2635"/>
      <c r="E206" s="774" t="s">
        <v>1054</v>
      </c>
      <c r="F206" s="705">
        <f>+'계획처리구역 인구배분(출력x)'!H206-M206</f>
        <v>0</v>
      </c>
      <c r="G206" s="705">
        <f>'계획처리구역 인구배분(출력x)'!L206</f>
        <v>57</v>
      </c>
      <c r="H206" s="705">
        <f>'계획처리구역 인구배분(출력x)'!Q206</f>
        <v>57</v>
      </c>
      <c r="I206" s="705">
        <f>'계획처리구역 인구배분(출력x)'!V206</f>
        <v>56</v>
      </c>
      <c r="J206" s="705">
        <f>'계획처리구역 인구배분(출력x)'!AA206</f>
        <v>55</v>
      </c>
      <c r="K206" s="1086"/>
      <c r="L206" s="17"/>
      <c r="M206" s="103">
        <v>63</v>
      </c>
      <c r="N206" s="103"/>
      <c r="O206" s="103"/>
      <c r="P206" s="103"/>
      <c r="Q206" s="103"/>
      <c r="R206" s="918"/>
      <c r="S206" s="17"/>
      <c r="T206" s="17"/>
      <c r="U206" s="17"/>
      <c r="V206" s="17"/>
      <c r="W206" s="17"/>
      <c r="X206" s="17"/>
      <c r="Y206" s="17"/>
      <c r="Z206" s="17"/>
    </row>
    <row r="207" spans="1:26" ht="20.100000000000001" customHeight="1">
      <c r="A207" s="2635" t="s">
        <v>756</v>
      </c>
      <c r="B207" s="2635"/>
      <c r="C207" s="2635" t="s">
        <v>32</v>
      </c>
      <c r="D207" s="2635"/>
      <c r="E207" s="2635"/>
      <c r="F207" s="907">
        <f>SUM(F208:F209)</f>
        <v>0</v>
      </c>
      <c r="G207" s="907">
        <f t="shared" ref="G207:R207" si="22">SUM(G208:G209)</f>
        <v>313</v>
      </c>
      <c r="H207" s="907">
        <f t="shared" si="22"/>
        <v>291</v>
      </c>
      <c r="I207" s="907">
        <f t="shared" si="22"/>
        <v>275</v>
      </c>
      <c r="J207" s="907">
        <f t="shared" si="22"/>
        <v>163</v>
      </c>
      <c r="K207" s="1090">
        <f t="shared" si="22"/>
        <v>0</v>
      </c>
      <c r="L207" s="928">
        <f t="shared" si="22"/>
        <v>0</v>
      </c>
      <c r="M207" s="914">
        <f t="shared" si="22"/>
        <v>468</v>
      </c>
      <c r="N207" s="914">
        <f t="shared" si="22"/>
        <v>98</v>
      </c>
      <c r="O207" s="914">
        <f t="shared" si="22"/>
        <v>90</v>
      </c>
      <c r="P207" s="914">
        <f t="shared" si="22"/>
        <v>75</v>
      </c>
      <c r="Q207" s="914">
        <f t="shared" si="22"/>
        <v>81</v>
      </c>
      <c r="R207" s="919">
        <f t="shared" si="22"/>
        <v>0</v>
      </c>
      <c r="S207" s="920"/>
      <c r="T207" s="920"/>
      <c r="U207" s="908"/>
      <c r="V207" s="908"/>
      <c r="W207" s="908"/>
      <c r="X207" s="908"/>
      <c r="Y207" s="908"/>
      <c r="Z207" s="908"/>
    </row>
    <row r="208" spans="1:26" ht="20.100000000000001" customHeight="1">
      <c r="A208" s="2635"/>
      <c r="B208" s="2635"/>
      <c r="C208" s="2635" t="s">
        <v>638</v>
      </c>
      <c r="D208" s="770" t="s">
        <v>1057</v>
      </c>
      <c r="E208" s="770" t="s">
        <v>1059</v>
      </c>
      <c r="F208" s="705">
        <f>+'계획처리구역 인구배분(출력x)'!H208-M208</f>
        <v>0</v>
      </c>
      <c r="G208" s="705">
        <f>+'계획처리구역 인구배분(출력x)'!L208-N208</f>
        <v>250</v>
      </c>
      <c r="H208" s="705">
        <f>+'계획처리구역 인구배분(출력x)'!Q208-O208</f>
        <v>230</v>
      </c>
      <c r="I208" s="705">
        <f>+'계획처리구역 인구배분(출력x)'!V208-P208</f>
        <v>209</v>
      </c>
      <c r="J208" s="705">
        <f>+'계획처리구역 인구배분(출력x)'!AA208-Q208</f>
        <v>138</v>
      </c>
      <c r="K208" s="1086"/>
      <c r="L208" s="17"/>
      <c r="M208" s="103">
        <v>313</v>
      </c>
      <c r="N208" s="103">
        <v>25</v>
      </c>
      <c r="O208" s="103">
        <v>25</v>
      </c>
      <c r="P208" s="103">
        <v>25</v>
      </c>
      <c r="Q208" s="103">
        <v>25</v>
      </c>
      <c r="R208" s="918"/>
      <c r="S208" s="17"/>
      <c r="T208" s="17"/>
      <c r="U208" s="17"/>
      <c r="V208" s="17"/>
      <c r="W208" s="17"/>
      <c r="X208" s="17"/>
      <c r="Y208" s="17"/>
      <c r="Z208" s="17"/>
    </row>
    <row r="209" spans="1:26" ht="20.100000000000001" customHeight="1">
      <c r="A209" s="2635"/>
      <c r="B209" s="2635"/>
      <c r="C209" s="2635"/>
      <c r="D209" s="770" t="s">
        <v>1060</v>
      </c>
      <c r="E209" s="770" t="s">
        <v>1061</v>
      </c>
      <c r="F209" s="705">
        <f>+'계획처리구역 인구배분(출력x)'!H209-M209</f>
        <v>0</v>
      </c>
      <c r="G209" s="705">
        <f>+'계획처리구역 인구배분(출력x)'!L209-N209</f>
        <v>63</v>
      </c>
      <c r="H209" s="705">
        <f>+'계획처리구역 인구배분(출력x)'!Q209-O209</f>
        <v>61</v>
      </c>
      <c r="I209" s="705">
        <f>+'계획처리구역 인구배분(출력x)'!V209-P209</f>
        <v>66</v>
      </c>
      <c r="J209" s="705">
        <f>+'계획처리구역 인구배분(출력x)'!AA209-Q209</f>
        <v>25</v>
      </c>
      <c r="K209" s="1086"/>
      <c r="L209" s="17"/>
      <c r="M209" s="103">
        <v>155</v>
      </c>
      <c r="N209" s="103">
        <v>73</v>
      </c>
      <c r="O209" s="103">
        <v>65</v>
      </c>
      <c r="P209" s="103">
        <v>50</v>
      </c>
      <c r="Q209" s="103">
        <v>56</v>
      </c>
      <c r="R209" s="918"/>
      <c r="S209" s="17"/>
      <c r="T209" s="17"/>
      <c r="U209" s="17"/>
      <c r="V209" s="17"/>
      <c r="W209" s="17"/>
      <c r="X209" s="17"/>
      <c r="Y209" s="17"/>
      <c r="Z209" s="17"/>
    </row>
    <row r="210" spans="1:26" ht="20.100000000000001" customHeight="1">
      <c r="A210" s="2696" t="s">
        <v>757</v>
      </c>
      <c r="B210" s="2697"/>
      <c r="C210" s="2635" t="s">
        <v>32</v>
      </c>
      <c r="D210" s="2635"/>
      <c r="E210" s="2635"/>
      <c r="F210" s="907">
        <f>SUM(F211:F213)</f>
        <v>0</v>
      </c>
      <c r="G210" s="907">
        <f>SUM(G211:G213)</f>
        <v>269</v>
      </c>
      <c r="H210" s="907">
        <f>SUM(H211:H213)</f>
        <v>250</v>
      </c>
      <c r="I210" s="907">
        <f>SUM(I211:I213)</f>
        <v>231</v>
      </c>
      <c r="J210" s="907">
        <f>SUM(J211:J213)</f>
        <v>224</v>
      </c>
      <c r="K210" s="1090">
        <f t="shared" ref="K210:R210" si="23">SUM(K211:K213)</f>
        <v>0</v>
      </c>
      <c r="L210" s="927">
        <f t="shared" si="23"/>
        <v>0</v>
      </c>
      <c r="M210" s="909">
        <f t="shared" si="23"/>
        <v>306</v>
      </c>
      <c r="N210" s="909">
        <f t="shared" si="23"/>
        <v>0</v>
      </c>
      <c r="O210" s="909">
        <f t="shared" si="23"/>
        <v>0</v>
      </c>
      <c r="P210" s="909">
        <f t="shared" si="23"/>
        <v>0</v>
      </c>
      <c r="Q210" s="909">
        <f t="shared" si="23"/>
        <v>0</v>
      </c>
      <c r="R210" s="917">
        <f t="shared" si="23"/>
        <v>0</v>
      </c>
      <c r="S210" s="920"/>
      <c r="T210" s="920"/>
      <c r="U210" s="920"/>
      <c r="V210" s="920"/>
      <c r="W210" s="920"/>
      <c r="X210" s="920"/>
      <c r="Y210" s="920"/>
      <c r="Z210" s="920"/>
    </row>
    <row r="211" spans="1:26" ht="20.100000000000001" customHeight="1">
      <c r="A211" s="2698"/>
      <c r="B211" s="2699"/>
      <c r="C211" s="2668" t="s">
        <v>639</v>
      </c>
      <c r="D211" s="2635" t="s">
        <v>1064</v>
      </c>
      <c r="E211" s="770" t="s">
        <v>1065</v>
      </c>
      <c r="F211" s="705">
        <f>+'계획처리구역 인구배분(출력x)'!H211-M211</f>
        <v>0</v>
      </c>
      <c r="G211" s="705">
        <v>100</v>
      </c>
      <c r="H211" s="705">
        <f>+'계획처리구역 인구배분(출력x)'!Q211-O211</f>
        <v>93</v>
      </c>
      <c r="I211" s="705">
        <f>+'계획처리구역 인구배분(출력x)'!V211-P211</f>
        <v>86</v>
      </c>
      <c r="J211" s="705">
        <v>101</v>
      </c>
      <c r="K211" s="1086"/>
      <c r="L211" s="17"/>
      <c r="M211" s="915">
        <v>114</v>
      </c>
      <c r="N211" s="103"/>
      <c r="O211" s="103"/>
      <c r="P211" s="103"/>
      <c r="Q211" s="103"/>
      <c r="R211" s="918"/>
      <c r="S211" s="17"/>
      <c r="T211" s="17"/>
      <c r="U211" s="17"/>
      <c r="V211" s="17"/>
      <c r="W211" s="17"/>
      <c r="X211" s="17"/>
      <c r="Y211" s="17"/>
      <c r="Z211" s="17"/>
    </row>
    <row r="212" spans="1:26" ht="20.100000000000001" customHeight="1">
      <c r="A212" s="2698"/>
      <c r="B212" s="2699"/>
      <c r="C212" s="2669"/>
      <c r="D212" s="2635"/>
      <c r="E212" s="770" t="s">
        <v>1066</v>
      </c>
      <c r="F212" s="705">
        <f>+'계획처리구역 인구배분(출력x)'!H212-M212</f>
        <v>0</v>
      </c>
      <c r="G212" s="705">
        <v>73</v>
      </c>
      <c r="H212" s="705">
        <f>+'계획처리구역 인구배분(출력x)'!Q212-O212</f>
        <v>68</v>
      </c>
      <c r="I212" s="705">
        <f>+'계획처리구역 인구배분(출력x)'!V212-P212</f>
        <v>63</v>
      </c>
      <c r="J212" s="705">
        <f>+'계획처리구역 인구배분(출력x)'!AA212-Q212</f>
        <v>53</v>
      </c>
      <c r="K212" s="1086"/>
      <c r="L212" s="17"/>
      <c r="M212" s="103">
        <v>83</v>
      </c>
      <c r="N212" s="103"/>
      <c r="O212" s="103"/>
      <c r="P212" s="103"/>
      <c r="Q212" s="103"/>
      <c r="R212" s="918"/>
      <c r="S212" s="17"/>
      <c r="T212" s="17"/>
      <c r="U212" s="17"/>
      <c r="V212" s="17"/>
      <c r="W212" s="17"/>
      <c r="X212" s="17"/>
      <c r="Y212" s="17"/>
      <c r="Z212" s="17"/>
    </row>
    <row r="213" spans="1:26" ht="20.100000000000001" customHeight="1">
      <c r="A213" s="2698"/>
      <c r="B213" s="2699"/>
      <c r="C213" s="2669"/>
      <c r="D213" s="770" t="s">
        <v>1067</v>
      </c>
      <c r="E213" s="770" t="s">
        <v>1068</v>
      </c>
      <c r="F213" s="705">
        <f>+'계획처리구역 인구배분(출력x)'!H213-M213</f>
        <v>0</v>
      </c>
      <c r="G213" s="705">
        <f>+'계획처리구역 인구배분(출력x)'!L213-N213</f>
        <v>96</v>
      </c>
      <c r="H213" s="705">
        <f>+'계획처리구역 인구배분(출력x)'!Q213-O213</f>
        <v>89</v>
      </c>
      <c r="I213" s="705">
        <f>+'계획처리구역 인구배분(출력x)'!V213-P213</f>
        <v>82</v>
      </c>
      <c r="J213" s="705">
        <f>+'계획처리구역 인구배분(출력x)'!AA213-Q213</f>
        <v>70</v>
      </c>
      <c r="K213" s="1086"/>
      <c r="L213" s="17"/>
      <c r="M213" s="103">
        <v>109</v>
      </c>
      <c r="N213" s="103"/>
      <c r="O213" s="103"/>
      <c r="P213" s="103"/>
      <c r="Q213" s="103"/>
      <c r="R213" s="918"/>
      <c r="S213" s="17"/>
      <c r="T213" s="17"/>
      <c r="U213" s="17"/>
      <c r="V213" s="17"/>
      <c r="W213" s="17"/>
      <c r="X213" s="17"/>
      <c r="Y213" s="17"/>
      <c r="Z213" s="17"/>
    </row>
    <row r="214" spans="1:26" ht="20.100000000000001" customHeight="1">
      <c r="A214" s="2635" t="s">
        <v>1074</v>
      </c>
      <c r="B214" s="2635"/>
      <c r="C214" s="2635" t="s">
        <v>32</v>
      </c>
      <c r="D214" s="2635"/>
      <c r="E214" s="2635"/>
      <c r="F214" s="907">
        <f>SUM(F215:F216)</f>
        <v>0</v>
      </c>
      <c r="G214" s="907">
        <f t="shared" ref="G214:J214" si="24">SUM(G215:G216)</f>
        <v>290</v>
      </c>
      <c r="H214" s="907">
        <f t="shared" si="24"/>
        <v>294</v>
      </c>
      <c r="I214" s="907">
        <f t="shared" si="24"/>
        <v>298</v>
      </c>
      <c r="J214" s="907">
        <f t="shared" si="24"/>
        <v>300</v>
      </c>
      <c r="K214" s="1090">
        <f t="shared" ref="K214:R214" si="25">SUM(K216:K216)</f>
        <v>0</v>
      </c>
      <c r="L214" s="927">
        <f t="shared" si="25"/>
        <v>0</v>
      </c>
      <c r="M214" s="909">
        <f t="shared" si="25"/>
        <v>201</v>
      </c>
      <c r="N214" s="909">
        <f t="shared" si="25"/>
        <v>60</v>
      </c>
      <c r="O214" s="909">
        <f t="shared" si="25"/>
        <v>60</v>
      </c>
      <c r="P214" s="909">
        <f t="shared" si="25"/>
        <v>60</v>
      </c>
      <c r="Q214" s="909">
        <f t="shared" si="25"/>
        <v>60</v>
      </c>
      <c r="R214" s="917">
        <f t="shared" si="25"/>
        <v>0</v>
      </c>
      <c r="S214" s="920"/>
      <c r="T214" s="920"/>
      <c r="U214" s="908"/>
      <c r="V214" s="908"/>
      <c r="W214" s="908"/>
      <c r="X214" s="908"/>
      <c r="Y214" s="908"/>
      <c r="Z214" s="908"/>
    </row>
    <row r="215" spans="1:26" s="712" customFormat="1" ht="20.100000000000001" customHeight="1">
      <c r="A215" s="2635"/>
      <c r="B215" s="2635"/>
      <c r="C215" s="2668" t="s">
        <v>1080</v>
      </c>
      <c r="D215" s="1814" t="s">
        <v>2236</v>
      </c>
      <c r="E215" s="1977" t="s">
        <v>2282</v>
      </c>
      <c r="F215" s="1978">
        <f>+'계획처리구역 인구배분(출력x)'!H215-M215</f>
        <v>0</v>
      </c>
      <c r="G215" s="1978">
        <f>+'계획처리구역 인구배분(출력x)'!L215-N215</f>
        <v>160</v>
      </c>
      <c r="H215" s="1978">
        <f>+'계획처리구역 인구배분(출력x)'!Q215-O215</f>
        <v>162</v>
      </c>
      <c r="I215" s="1978">
        <f>+'계획처리구역 인구배분(출력x)'!V215-P215</f>
        <v>164</v>
      </c>
      <c r="J215" s="1978">
        <f>+'계획처리구역 인구배분(출력x)'!AA215-Q215</f>
        <v>165</v>
      </c>
      <c r="K215" s="1090"/>
      <c r="L215" s="920"/>
      <c r="M215" s="920">
        <v>201</v>
      </c>
      <c r="N215" s="103">
        <v>30</v>
      </c>
      <c r="O215" s="103">
        <v>30</v>
      </c>
      <c r="P215" s="103">
        <v>30</v>
      </c>
      <c r="Q215" s="103">
        <v>30</v>
      </c>
      <c r="R215" s="920"/>
      <c r="S215" s="920"/>
      <c r="T215" s="920"/>
      <c r="U215" s="908"/>
      <c r="V215" s="908"/>
      <c r="W215" s="908"/>
      <c r="X215" s="908"/>
      <c r="Y215" s="908"/>
      <c r="Z215" s="908"/>
    </row>
    <row r="216" spans="1:26" ht="20.100000000000001" customHeight="1">
      <c r="A216" s="2635"/>
      <c r="B216" s="2635"/>
      <c r="C216" s="2670"/>
      <c r="D216" s="1814" t="s">
        <v>2235</v>
      </c>
      <c r="E216" s="1814" t="s">
        <v>2235</v>
      </c>
      <c r="F216" s="705">
        <f>+'계획처리구역 인구배분(출력x)'!H216-M216</f>
        <v>0</v>
      </c>
      <c r="G216" s="705">
        <f>+'계획처리구역 인구배분(출력x)'!L216-N216</f>
        <v>130</v>
      </c>
      <c r="H216" s="705">
        <f>+'계획처리구역 인구배분(출력x)'!Q216-O216</f>
        <v>132</v>
      </c>
      <c r="I216" s="705">
        <f>+'계획처리구역 인구배분(출력x)'!V216-P216</f>
        <v>134</v>
      </c>
      <c r="J216" s="705">
        <f>+'계획처리구역 인구배분(출력x)'!AA216-Q216</f>
        <v>135</v>
      </c>
      <c r="K216" s="1086"/>
      <c r="L216" s="17"/>
      <c r="M216" s="103">
        <v>201</v>
      </c>
      <c r="N216" s="103">
        <v>60</v>
      </c>
      <c r="O216" s="103">
        <v>60</v>
      </c>
      <c r="P216" s="103">
        <v>60</v>
      </c>
      <c r="Q216" s="103">
        <v>60</v>
      </c>
      <c r="R216" s="918"/>
      <c r="S216" s="17"/>
      <c r="T216" s="17"/>
      <c r="U216" s="17"/>
      <c r="V216" s="17"/>
      <c r="W216" s="17"/>
      <c r="X216" s="17"/>
      <c r="Y216" s="17"/>
      <c r="Z216" s="17"/>
    </row>
    <row r="217" spans="1:26" ht="20.100000000000001" customHeight="1">
      <c r="A217" s="2635" t="s">
        <v>1076</v>
      </c>
      <c r="B217" s="2635"/>
      <c r="C217" s="2635" t="s">
        <v>32</v>
      </c>
      <c r="D217" s="2635"/>
      <c r="E217" s="2635"/>
      <c r="F217" s="907">
        <f>SUM(F218:F220)</f>
        <v>0</v>
      </c>
      <c r="G217" s="907">
        <f t="shared" ref="G217:J217" si="26">SUM(G218:G220)</f>
        <v>436</v>
      </c>
      <c r="H217" s="907">
        <f t="shared" si="26"/>
        <v>412</v>
      </c>
      <c r="I217" s="907">
        <f t="shared" si="26"/>
        <v>413</v>
      </c>
      <c r="J217" s="907">
        <f t="shared" si="26"/>
        <v>410</v>
      </c>
      <c r="K217" s="1090">
        <f t="shared" ref="K217:R217" si="27">SUM(K220:K220)</f>
        <v>0</v>
      </c>
      <c r="L217" s="927">
        <f t="shared" si="27"/>
        <v>0</v>
      </c>
      <c r="M217" s="909">
        <f t="shared" si="27"/>
        <v>233</v>
      </c>
      <c r="N217" s="909">
        <f t="shared" si="27"/>
        <v>0</v>
      </c>
      <c r="O217" s="909">
        <f t="shared" si="27"/>
        <v>0</v>
      </c>
      <c r="P217" s="909">
        <f t="shared" si="27"/>
        <v>0</v>
      </c>
      <c r="Q217" s="909">
        <f t="shared" si="27"/>
        <v>0</v>
      </c>
      <c r="R217" s="917">
        <f t="shared" si="27"/>
        <v>0</v>
      </c>
      <c r="S217" s="920"/>
      <c r="T217" s="920"/>
      <c r="U217" s="908"/>
      <c r="V217" s="908"/>
      <c r="W217" s="908"/>
      <c r="X217" s="908"/>
      <c r="Y217" s="908"/>
      <c r="Z217" s="908"/>
    </row>
    <row r="218" spans="1:26" s="712" customFormat="1" ht="20.100000000000001" customHeight="1">
      <c r="A218" s="2635"/>
      <c r="B218" s="2635"/>
      <c r="C218" s="2635" t="s">
        <v>1077</v>
      </c>
      <c r="D218" s="2635" t="s">
        <v>1078</v>
      </c>
      <c r="E218" s="1977" t="s">
        <v>2283</v>
      </c>
      <c r="F218" s="1978">
        <f>+'계획처리구역 인구배분(출력x)'!H218-M218</f>
        <v>0</v>
      </c>
      <c r="G218" s="1978">
        <f>+'계획처리구역 인구배분(출력x)'!L218-N218</f>
        <v>204</v>
      </c>
      <c r="H218" s="1978">
        <f>+'계획처리구역 인구배분(출력x)'!Q218-O218</f>
        <v>191</v>
      </c>
      <c r="I218" s="1978">
        <f>+'계획처리구역 인구배분(출력x)'!V218-P218</f>
        <v>190</v>
      </c>
      <c r="J218" s="1978">
        <f>+'계획처리구역 인구배분(출력x)'!AA218-Q218</f>
        <v>187</v>
      </c>
      <c r="K218" s="1090"/>
      <c r="L218" s="920"/>
      <c r="M218" s="103">
        <v>255</v>
      </c>
      <c r="N218" s="103">
        <v>40</v>
      </c>
      <c r="O218" s="103">
        <v>40</v>
      </c>
      <c r="P218" s="103">
        <v>40</v>
      </c>
      <c r="Q218" s="103">
        <v>40</v>
      </c>
      <c r="R218" s="920"/>
      <c r="S218" s="920"/>
      <c r="T218" s="920"/>
      <c r="U218" s="908"/>
      <c r="V218" s="908"/>
      <c r="W218" s="908"/>
      <c r="X218" s="908"/>
      <c r="Y218" s="908"/>
      <c r="Z218" s="908"/>
    </row>
    <row r="219" spans="1:26" s="712" customFormat="1" ht="20.100000000000001" hidden="1" customHeight="1" outlineLevel="1">
      <c r="A219" s="2635"/>
      <c r="B219" s="2635"/>
      <c r="C219" s="2635"/>
      <c r="D219" s="2635"/>
      <c r="E219" s="1814" t="s">
        <v>2230</v>
      </c>
      <c r="F219" s="907">
        <f>+'계획처리구역 인구배분(출력x)'!H219-M219</f>
        <v>0</v>
      </c>
      <c r="G219" s="907">
        <f>+'계획처리구역 인구배분(출력x)'!L219-N219</f>
        <v>0</v>
      </c>
      <c r="H219" s="907">
        <f>+'계획처리구역 인구배분(출력x)'!Q219-O219</f>
        <v>-3</v>
      </c>
      <c r="I219" s="907">
        <f>+'계획처리구역 인구배분(출력x)'!V219-P219</f>
        <v>0</v>
      </c>
      <c r="J219" s="907">
        <f>+'계획처리구역 인구배분(출력x)'!AA219-Q219</f>
        <v>0</v>
      </c>
      <c r="K219" s="1090"/>
      <c r="L219" s="920"/>
      <c r="M219" s="920">
        <v>81</v>
      </c>
      <c r="N219" s="920">
        <v>78</v>
      </c>
      <c r="O219" s="920">
        <v>76</v>
      </c>
      <c r="P219" s="920">
        <v>73</v>
      </c>
      <c r="Q219" s="920">
        <v>72</v>
      </c>
      <c r="R219" s="920"/>
      <c r="S219" s="920"/>
      <c r="T219" s="920"/>
      <c r="U219" s="908"/>
      <c r="V219" s="908"/>
      <c r="W219" s="908"/>
      <c r="X219" s="908"/>
      <c r="Y219" s="908"/>
      <c r="Z219" s="908"/>
    </row>
    <row r="220" spans="1:26" ht="20.100000000000001" customHeight="1" collapsed="1">
      <c r="A220" s="2635"/>
      <c r="B220" s="2635"/>
      <c r="C220" s="2635"/>
      <c r="D220" s="1814" t="s">
        <v>2229</v>
      </c>
      <c r="E220" s="1814" t="s">
        <v>2231</v>
      </c>
      <c r="F220" s="705">
        <f>+'계획처리구역 인구배분(출력x)'!H220-M220</f>
        <v>0</v>
      </c>
      <c r="G220" s="705">
        <f>+'계획처리구역 인구배분(출력x)'!I220-N220</f>
        <v>232</v>
      </c>
      <c r="H220" s="705">
        <f>+'계획처리구역 인구배분(출력x)'!J220-O220</f>
        <v>224</v>
      </c>
      <c r="I220" s="705">
        <f>+'계획처리구역 인구배분(출력x)'!K220-P220</f>
        <v>223</v>
      </c>
      <c r="J220" s="705">
        <f>+'계획처리구역 인구배분(출력x)'!L220-Q220</f>
        <v>223</v>
      </c>
      <c r="K220" s="1080"/>
      <c r="L220" s="17"/>
      <c r="M220" s="103">
        <v>233</v>
      </c>
      <c r="N220" s="103"/>
      <c r="O220" s="103"/>
      <c r="P220" s="103"/>
      <c r="Q220" s="103"/>
      <c r="R220" s="918"/>
      <c r="S220" s="17"/>
      <c r="T220" s="17"/>
      <c r="U220" s="17"/>
      <c r="V220" s="17"/>
      <c r="W220" s="17"/>
      <c r="X220" s="17"/>
      <c r="Y220" s="17"/>
      <c r="Z220" s="17"/>
    </row>
    <row r="221" spans="1:26" ht="21.6" customHeight="1">
      <c r="A221" s="773"/>
      <c r="B221" s="773"/>
      <c r="C221" s="773"/>
      <c r="D221" s="773"/>
      <c r="E221" s="773"/>
      <c r="F221" s="176"/>
      <c r="G221" s="71"/>
      <c r="H221" s="71"/>
      <c r="I221" s="71"/>
      <c r="J221" s="71"/>
      <c r="K221" s="1084"/>
      <c r="L221" s="17"/>
      <c r="M221" s="103"/>
      <c r="N221" s="103"/>
      <c r="O221" s="103"/>
      <c r="P221" s="103"/>
      <c r="Q221" s="103"/>
      <c r="R221" s="103"/>
    </row>
    <row r="222" spans="1:26" ht="21.6" customHeight="1">
      <c r="A222" s="2638" t="s">
        <v>2261</v>
      </c>
      <c r="B222" s="2638"/>
      <c r="C222" s="2638"/>
      <c r="D222" s="2638"/>
      <c r="E222" s="2638"/>
      <c r="F222" s="908"/>
      <c r="G222" s="908"/>
      <c r="H222" s="908"/>
      <c r="I222" s="908"/>
      <c r="J222" s="908"/>
      <c r="K222" s="1084"/>
      <c r="L222" s="17"/>
      <c r="M222" s="103"/>
      <c r="N222" s="103"/>
      <c r="O222" s="103"/>
      <c r="P222" s="103"/>
      <c r="Q222" s="103"/>
      <c r="R222" s="103"/>
    </row>
    <row r="223" spans="1:26" ht="39.950000000000003" customHeight="1">
      <c r="A223" s="98" t="s">
        <v>0</v>
      </c>
      <c r="B223" s="98" t="s">
        <v>1</v>
      </c>
      <c r="C223" s="99" t="s">
        <v>2</v>
      </c>
      <c r="D223" s="99" t="s">
        <v>3</v>
      </c>
      <c r="E223" s="99" t="s">
        <v>4</v>
      </c>
      <c r="F223" s="736" t="s">
        <v>1222</v>
      </c>
      <c r="G223" s="98" t="s">
        <v>156</v>
      </c>
      <c r="H223" s="98" t="s">
        <v>157</v>
      </c>
      <c r="I223" s="98" t="s">
        <v>158</v>
      </c>
      <c r="J223" s="98" t="s">
        <v>159</v>
      </c>
      <c r="K223" s="1083" t="s">
        <v>139</v>
      </c>
      <c r="L223" s="17"/>
      <c r="M223" s="103"/>
      <c r="N223" s="103"/>
      <c r="O223" s="103"/>
      <c r="P223" s="103"/>
      <c r="Q223" s="103"/>
      <c r="R223" s="103"/>
    </row>
    <row r="224" spans="1:26" ht="20.100000000000001" customHeight="1">
      <c r="A224" s="2636" t="s">
        <v>1081</v>
      </c>
      <c r="B224" s="2636"/>
      <c r="C224" s="2636" t="s">
        <v>7</v>
      </c>
      <c r="D224" s="2636"/>
      <c r="E224" s="2636"/>
      <c r="F224" s="922">
        <f t="shared" ref="F224:Z224" si="28">SUM(F225:F227)</f>
        <v>325</v>
      </c>
      <c r="G224" s="922">
        <f t="shared" si="28"/>
        <v>274</v>
      </c>
      <c r="H224" s="922">
        <f t="shared" si="28"/>
        <v>276</v>
      </c>
      <c r="I224" s="922">
        <f t="shared" si="28"/>
        <v>260</v>
      </c>
      <c r="J224" s="922">
        <f t="shared" si="28"/>
        <v>251</v>
      </c>
      <c r="K224" s="1091">
        <f t="shared" si="28"/>
        <v>0</v>
      </c>
      <c r="L224" s="929">
        <f t="shared" si="28"/>
        <v>0</v>
      </c>
      <c r="M224" s="895">
        <f t="shared" si="28"/>
        <v>699</v>
      </c>
      <c r="N224" s="895">
        <f t="shared" si="28"/>
        <v>700</v>
      </c>
      <c r="O224" s="895">
        <f t="shared" si="28"/>
        <v>717</v>
      </c>
      <c r="P224" s="895">
        <f t="shared" si="28"/>
        <v>757</v>
      </c>
      <c r="Q224" s="895">
        <f t="shared" si="28"/>
        <v>739</v>
      </c>
      <c r="R224" s="895">
        <f t="shared" si="28"/>
        <v>0</v>
      </c>
      <c r="S224" s="895">
        <f t="shared" si="28"/>
        <v>0</v>
      </c>
      <c r="T224" s="895">
        <f t="shared" si="28"/>
        <v>0</v>
      </c>
      <c r="U224" s="895">
        <f t="shared" si="28"/>
        <v>0</v>
      </c>
      <c r="V224" s="895">
        <f t="shared" si="28"/>
        <v>0</v>
      </c>
      <c r="W224" s="895">
        <f t="shared" si="28"/>
        <v>0</v>
      </c>
      <c r="X224" s="895">
        <f t="shared" si="28"/>
        <v>0</v>
      </c>
      <c r="Y224" s="895">
        <f t="shared" si="28"/>
        <v>0</v>
      </c>
      <c r="Z224" s="895">
        <f t="shared" si="28"/>
        <v>0</v>
      </c>
    </row>
    <row r="225" spans="1:37" ht="20.100000000000001" customHeight="1">
      <c r="A225" s="2636"/>
      <c r="B225" s="2636"/>
      <c r="C225" s="2636" t="s">
        <v>671</v>
      </c>
      <c r="D225" s="2637" t="s">
        <v>1037</v>
      </c>
      <c r="E225" s="2253" t="s">
        <v>1046</v>
      </c>
      <c r="F225" s="2254">
        <f>+'계획처리구역 인구배분(출력x)'!H225-M225</f>
        <v>325</v>
      </c>
      <c r="G225" s="2254">
        <f>+'계획처리구역 인구배분(출력x)'!L225-N225</f>
        <v>274</v>
      </c>
      <c r="H225" s="2254">
        <f>+'계획처리구역 인구배분(출력x)'!Q225-O225</f>
        <v>276</v>
      </c>
      <c r="I225" s="2254">
        <f>+'계획처리구역 인구배분(출력x)'!V225-P225</f>
        <v>260</v>
      </c>
      <c r="J225" s="2254">
        <f>+'계획처리구역 인구배분(출력x)'!AA225-Q225</f>
        <v>251</v>
      </c>
      <c r="K225" s="1086"/>
      <c r="L225" s="17"/>
      <c r="M225" s="103"/>
      <c r="N225" s="103">
        <v>35</v>
      </c>
      <c r="O225" s="103">
        <v>39</v>
      </c>
      <c r="P225" s="103">
        <v>63</v>
      </c>
      <c r="Q225" s="103">
        <v>63</v>
      </c>
      <c r="R225" s="103"/>
    </row>
    <row r="226" spans="1:37" ht="20.100000000000001" hidden="1" customHeight="1" outlineLevel="1">
      <c r="A226" s="2636"/>
      <c r="B226" s="2636"/>
      <c r="C226" s="2636"/>
      <c r="D226" s="2637"/>
      <c r="E226" s="2253" t="s">
        <v>1047</v>
      </c>
      <c r="F226" s="2254">
        <f>+'계획처리구역 인구배분(출력x)'!H226-M226</f>
        <v>0</v>
      </c>
      <c r="G226" s="2254">
        <f>+'계획처리구역 인구배분(출력x)'!L226-N226</f>
        <v>0</v>
      </c>
      <c r="H226" s="2254">
        <f>+'계획처리구역 인구배분(출력x)'!Q226-O226</f>
        <v>0</v>
      </c>
      <c r="I226" s="2254">
        <f>+'계획처리구역 인구배분(출력x)'!V226-P226</f>
        <v>0</v>
      </c>
      <c r="J226" s="2254">
        <f>+'계획처리구역 인구배분(출력x)'!AA226-Q226</f>
        <v>0</v>
      </c>
      <c r="K226" s="1086" t="s">
        <v>1286</v>
      </c>
      <c r="L226" s="17"/>
      <c r="M226" s="103">
        <v>431</v>
      </c>
      <c r="N226" s="103">
        <v>410</v>
      </c>
      <c r="O226" s="103">
        <v>418</v>
      </c>
      <c r="P226" s="103">
        <v>428</v>
      </c>
      <c r="Q226" s="103">
        <v>417</v>
      </c>
      <c r="R226" s="103"/>
    </row>
    <row r="227" spans="1:37" ht="20.100000000000001" hidden="1" customHeight="1" outlineLevel="1">
      <c r="A227" s="2636"/>
      <c r="B227" s="2636"/>
      <c r="C227" s="2636"/>
      <c r="D227" s="2637"/>
      <c r="E227" s="2253" t="s">
        <v>1048</v>
      </c>
      <c r="F227" s="2254">
        <f>+'계획처리구역 인구배분(출력x)'!H227-M227</f>
        <v>0</v>
      </c>
      <c r="G227" s="2254">
        <f>+'계획처리구역 인구배분(출력x)'!L227-N227</f>
        <v>0</v>
      </c>
      <c r="H227" s="2254">
        <f>+'계획처리구역 인구배분(출력x)'!Q227-O227</f>
        <v>0</v>
      </c>
      <c r="I227" s="2254">
        <f>+'계획처리구역 인구배분(출력x)'!V227-P227</f>
        <v>0</v>
      </c>
      <c r="J227" s="2254">
        <f>+'계획처리구역 인구배분(출력x)'!AA227-Q227</f>
        <v>0</v>
      </c>
      <c r="K227" s="1086" t="s">
        <v>1285</v>
      </c>
      <c r="L227" s="17"/>
      <c r="M227" s="103">
        <v>268</v>
      </c>
      <c r="N227" s="103">
        <v>255</v>
      </c>
      <c r="O227" s="103">
        <v>260</v>
      </c>
      <c r="P227" s="103">
        <v>266</v>
      </c>
      <c r="Q227" s="103">
        <v>259</v>
      </c>
      <c r="R227" s="103"/>
    </row>
    <row r="228" spans="1:37" ht="20.100000000000001" customHeight="1" collapsed="1">
      <c r="A228" s="2634" t="s">
        <v>1082</v>
      </c>
      <c r="B228" s="2634"/>
      <c r="C228" s="2636" t="s">
        <v>7</v>
      </c>
      <c r="D228" s="2636"/>
      <c r="E228" s="2636"/>
      <c r="F228" s="922">
        <f>SUM(F229:F230)</f>
        <v>153</v>
      </c>
      <c r="G228" s="922">
        <f t="shared" ref="G228:Z228" si="29">SUM(G229:G230)</f>
        <v>139</v>
      </c>
      <c r="H228" s="922">
        <f t="shared" si="29"/>
        <v>143</v>
      </c>
      <c r="I228" s="922">
        <f t="shared" si="29"/>
        <v>143</v>
      </c>
      <c r="J228" s="922">
        <f t="shared" si="29"/>
        <v>137</v>
      </c>
      <c r="K228" s="1091">
        <f t="shared" si="29"/>
        <v>0</v>
      </c>
      <c r="L228" s="929">
        <f t="shared" si="29"/>
        <v>0</v>
      </c>
      <c r="M228" s="899">
        <f t="shared" si="29"/>
        <v>35</v>
      </c>
      <c r="N228" s="899">
        <f t="shared" si="29"/>
        <v>40</v>
      </c>
      <c r="O228" s="899">
        <f t="shared" si="29"/>
        <v>40</v>
      </c>
      <c r="P228" s="895">
        <f t="shared" si="29"/>
        <v>44</v>
      </c>
      <c r="Q228" s="899">
        <f t="shared" si="29"/>
        <v>44</v>
      </c>
      <c r="R228" s="899">
        <f t="shared" si="29"/>
        <v>0</v>
      </c>
      <c r="S228" s="899">
        <f t="shared" si="29"/>
        <v>0</v>
      </c>
      <c r="T228" s="899">
        <f t="shared" si="29"/>
        <v>0</v>
      </c>
      <c r="U228" s="900">
        <f t="shared" si="29"/>
        <v>0</v>
      </c>
      <c r="V228" s="901">
        <f t="shared" si="29"/>
        <v>0</v>
      </c>
      <c r="W228" s="901">
        <f t="shared" si="29"/>
        <v>0</v>
      </c>
      <c r="X228" s="901">
        <f t="shared" si="29"/>
        <v>0</v>
      </c>
      <c r="Y228" s="901">
        <f t="shared" si="29"/>
        <v>0</v>
      </c>
      <c r="Z228" s="900">
        <f t="shared" si="29"/>
        <v>0</v>
      </c>
    </row>
    <row r="229" spans="1:37" ht="20.100000000000001" customHeight="1">
      <c r="A229" s="2634"/>
      <c r="B229" s="2634"/>
      <c r="C229" s="2636" t="s">
        <v>671</v>
      </c>
      <c r="D229" s="2637" t="s">
        <v>1038</v>
      </c>
      <c r="E229" s="96" t="s">
        <v>1049</v>
      </c>
      <c r="F229" s="2254">
        <f>+'계획처리구역 인구배분(출력x)'!H229-M229</f>
        <v>107</v>
      </c>
      <c r="G229" s="2254">
        <f>+'계획처리구역 인구배분(출력x)'!L229-N229</f>
        <v>100</v>
      </c>
      <c r="H229" s="2254">
        <f>+'계획처리구역 인구배분(출력x)'!Q229-O229</f>
        <v>103</v>
      </c>
      <c r="I229" s="2254">
        <f>+'계획처리구역 인구배분(출력x)'!V229-P229</f>
        <v>106</v>
      </c>
      <c r="J229" s="2254">
        <f>+'계획처리구역 인구배분(출력x)'!AA229-Q229</f>
        <v>102</v>
      </c>
      <c r="K229" s="1086"/>
      <c r="L229" s="17"/>
      <c r="M229" s="103">
        <v>35</v>
      </c>
      <c r="N229" s="103">
        <v>35</v>
      </c>
      <c r="O229" s="103">
        <v>35</v>
      </c>
      <c r="P229" s="103">
        <v>35</v>
      </c>
      <c r="Q229" s="103">
        <v>35</v>
      </c>
      <c r="R229" s="103"/>
    </row>
    <row r="230" spans="1:37" ht="20.100000000000001" customHeight="1">
      <c r="A230" s="2634"/>
      <c r="B230" s="2634"/>
      <c r="C230" s="2636"/>
      <c r="D230" s="2637"/>
      <c r="E230" s="96" t="s">
        <v>1050</v>
      </c>
      <c r="F230" s="2254">
        <f>+'계획처리구역 인구배분(출력x)'!H230-M230</f>
        <v>46</v>
      </c>
      <c r="G230" s="2254">
        <f>+'계획처리구역 인구배분(출력x)'!L230-N230</f>
        <v>39</v>
      </c>
      <c r="H230" s="2254">
        <f>+'계획처리구역 인구배분(출력x)'!Q230-O230</f>
        <v>40</v>
      </c>
      <c r="I230" s="2254">
        <f>+'계획처리구역 인구배분(출력x)'!V230-P230</f>
        <v>37</v>
      </c>
      <c r="J230" s="2254">
        <f>+'계획처리구역 인구배분(출력x)'!AA230-Q230</f>
        <v>35</v>
      </c>
      <c r="K230" s="1086"/>
      <c r="M230" s="103"/>
      <c r="N230" s="103">
        <v>5</v>
      </c>
      <c r="O230" s="103">
        <v>5</v>
      </c>
      <c r="P230" s="103">
        <v>9</v>
      </c>
      <c r="Q230" s="103">
        <v>9</v>
      </c>
      <c r="R230" s="103"/>
    </row>
    <row r="231" spans="1:37" ht="20.100000000000001" customHeight="1">
      <c r="A231" s="2634" t="s">
        <v>1083</v>
      </c>
      <c r="B231" s="2634"/>
      <c r="C231" s="2636" t="s">
        <v>7</v>
      </c>
      <c r="D231" s="2636"/>
      <c r="E231" s="2636"/>
      <c r="F231" s="922">
        <f>SUM(F232)</f>
        <v>330</v>
      </c>
      <c r="G231" s="922">
        <f t="shared" ref="G231:Z231" si="30">SUM(G232)</f>
        <v>195</v>
      </c>
      <c r="H231" s="922">
        <f t="shared" si="30"/>
        <v>186</v>
      </c>
      <c r="I231" s="922">
        <f t="shared" si="30"/>
        <v>158</v>
      </c>
      <c r="J231" s="922">
        <f t="shared" si="30"/>
        <v>127</v>
      </c>
      <c r="K231" s="1091">
        <f t="shared" si="30"/>
        <v>0</v>
      </c>
      <c r="L231" s="930">
        <f t="shared" si="30"/>
        <v>0</v>
      </c>
      <c r="M231" s="896">
        <f t="shared" si="30"/>
        <v>0</v>
      </c>
      <c r="N231" s="896">
        <f t="shared" si="30"/>
        <v>81</v>
      </c>
      <c r="O231" s="896">
        <f t="shared" si="30"/>
        <v>82</v>
      </c>
      <c r="P231" s="894">
        <f t="shared" si="30"/>
        <v>98</v>
      </c>
      <c r="Q231" s="896">
        <f t="shared" si="30"/>
        <v>99</v>
      </c>
      <c r="R231" s="896">
        <f t="shared" si="30"/>
        <v>0</v>
      </c>
      <c r="S231" s="896">
        <f t="shared" si="30"/>
        <v>0</v>
      </c>
      <c r="T231" s="896">
        <f t="shared" si="30"/>
        <v>0</v>
      </c>
      <c r="U231" s="897">
        <f t="shared" si="30"/>
        <v>0</v>
      </c>
      <c r="V231" s="898">
        <f t="shared" si="30"/>
        <v>0</v>
      </c>
      <c r="W231" s="898">
        <f t="shared" si="30"/>
        <v>0</v>
      </c>
      <c r="X231" s="898">
        <f t="shared" si="30"/>
        <v>0</v>
      </c>
      <c r="Y231" s="898">
        <f t="shared" si="30"/>
        <v>0</v>
      </c>
      <c r="Z231" s="897">
        <f t="shared" si="30"/>
        <v>0</v>
      </c>
    </row>
    <row r="232" spans="1:37" ht="20.100000000000001" customHeight="1">
      <c r="A232" s="2634"/>
      <c r="B232" s="2634"/>
      <c r="C232" s="924" t="s">
        <v>673</v>
      </c>
      <c r="D232" s="96" t="s">
        <v>1039</v>
      </c>
      <c r="E232" s="96" t="s">
        <v>1045</v>
      </c>
      <c r="F232" s="2254">
        <f>+'계획처리구역 인구배분(출력x)'!H232-M232</f>
        <v>330</v>
      </c>
      <c r="G232" s="2254">
        <f>+'계획처리구역 인구배분(출력x)'!L232-N232</f>
        <v>195</v>
      </c>
      <c r="H232" s="2254">
        <f>+'계획처리구역 인구배분(출력x)'!Q232-O232</f>
        <v>186</v>
      </c>
      <c r="I232" s="2254">
        <f>+'계획처리구역 인구배분(출력x)'!V232-P232</f>
        <v>158</v>
      </c>
      <c r="J232" s="2254">
        <f>+'계획처리구역 인구배분(출력x)'!AA232-Q232</f>
        <v>127</v>
      </c>
      <c r="K232" s="1092"/>
      <c r="L232" s="921"/>
      <c r="M232" s="103"/>
      <c r="N232" s="103">
        <v>81</v>
      </c>
      <c r="O232" s="103">
        <v>82</v>
      </c>
      <c r="P232" s="103">
        <v>98</v>
      </c>
      <c r="Q232" s="103">
        <v>99</v>
      </c>
      <c r="R232" s="103"/>
    </row>
    <row r="233" spans="1:37" ht="20.100000000000001" customHeight="1">
      <c r="A233" s="2634" t="s">
        <v>1015</v>
      </c>
      <c r="B233" s="2634"/>
      <c r="C233" s="2636" t="s">
        <v>7</v>
      </c>
      <c r="D233" s="2636"/>
      <c r="E233" s="2636"/>
      <c r="F233" s="922">
        <f>SUM(F234)</f>
        <v>297</v>
      </c>
      <c r="G233" s="922">
        <f t="shared" ref="G233:Z233" si="31">SUM(G234)</f>
        <v>299</v>
      </c>
      <c r="H233" s="922">
        <f t="shared" si="31"/>
        <v>327</v>
      </c>
      <c r="I233" s="922">
        <f t="shared" si="31"/>
        <v>324</v>
      </c>
      <c r="J233" s="922">
        <f t="shared" si="31"/>
        <v>417</v>
      </c>
      <c r="K233" s="1091">
        <f t="shared" si="31"/>
        <v>0</v>
      </c>
      <c r="L233" s="930">
        <f t="shared" si="31"/>
        <v>0</v>
      </c>
      <c r="M233" s="896">
        <f t="shared" si="31"/>
        <v>110</v>
      </c>
      <c r="N233" s="896">
        <f t="shared" si="31"/>
        <v>110</v>
      </c>
      <c r="O233" s="896">
        <f t="shared" si="31"/>
        <v>110</v>
      </c>
      <c r="P233" s="894">
        <f t="shared" si="31"/>
        <v>110</v>
      </c>
      <c r="Q233" s="896">
        <f t="shared" si="31"/>
        <v>110</v>
      </c>
      <c r="R233" s="896">
        <f t="shared" si="31"/>
        <v>0</v>
      </c>
      <c r="S233" s="896">
        <f t="shared" si="31"/>
        <v>0</v>
      </c>
      <c r="T233" s="896">
        <f t="shared" si="31"/>
        <v>0</v>
      </c>
      <c r="U233" s="897">
        <f t="shared" si="31"/>
        <v>-524</v>
      </c>
      <c r="V233" s="898">
        <f t="shared" si="31"/>
        <v>0</v>
      </c>
      <c r="W233" s="898">
        <f t="shared" si="31"/>
        <v>0</v>
      </c>
      <c r="X233" s="898">
        <f t="shared" si="31"/>
        <v>0</v>
      </c>
      <c r="Y233" s="898">
        <f t="shared" si="31"/>
        <v>0</v>
      </c>
      <c r="Z233" s="897">
        <f t="shared" si="31"/>
        <v>0</v>
      </c>
    </row>
    <row r="234" spans="1:37" ht="20.100000000000001" customHeight="1">
      <c r="A234" s="2634"/>
      <c r="B234" s="2634"/>
      <c r="C234" s="924" t="s">
        <v>644</v>
      </c>
      <c r="D234" s="96" t="s">
        <v>1041</v>
      </c>
      <c r="E234" s="96" t="s">
        <v>1015</v>
      </c>
      <c r="F234" s="2254">
        <f>+'계획처리구역 인구배분(출력x)'!H234-M234</f>
        <v>297</v>
      </c>
      <c r="G234" s="2254">
        <f>+'계획처리구역 인구배분(출력x)'!L234-N234</f>
        <v>299</v>
      </c>
      <c r="H234" s="2254">
        <f>+'계획처리구역 인구배분(출력x)'!Q234-O234</f>
        <v>327</v>
      </c>
      <c r="I234" s="2254">
        <f>+'계획처리구역 인구배분(출력x)'!V234-P234</f>
        <v>324</v>
      </c>
      <c r="J234" s="2254">
        <f>+'계획처리구역 인구배분(출력x)'!AA234-Q234</f>
        <v>417</v>
      </c>
      <c r="K234" s="1086"/>
      <c r="L234" s="17"/>
      <c r="M234" s="103">
        <v>110</v>
      </c>
      <c r="N234" s="103">
        <v>110</v>
      </c>
      <c r="O234" s="103">
        <v>110</v>
      </c>
      <c r="P234" s="103">
        <v>110</v>
      </c>
      <c r="Q234" s="103">
        <v>110</v>
      </c>
      <c r="R234" s="103"/>
      <c r="U234" s="916">
        <f>+G233-823</f>
        <v>-524</v>
      </c>
    </row>
    <row r="235" spans="1:37" ht="20.100000000000001" customHeight="1">
      <c r="A235" s="2634" t="s">
        <v>1084</v>
      </c>
      <c r="B235" s="2634"/>
      <c r="C235" s="2635" t="s">
        <v>7</v>
      </c>
      <c r="D235" s="2635"/>
      <c r="E235" s="2635"/>
      <c r="F235" s="922">
        <f>SUM(F236)</f>
        <v>208</v>
      </c>
      <c r="G235" s="922">
        <f t="shared" ref="G235:Z235" si="32">SUM(G236)</f>
        <v>183</v>
      </c>
      <c r="H235" s="922">
        <f t="shared" si="32"/>
        <v>169</v>
      </c>
      <c r="I235" s="922">
        <f t="shared" si="32"/>
        <v>167</v>
      </c>
      <c r="J235" s="922">
        <f t="shared" si="32"/>
        <v>164</v>
      </c>
      <c r="K235" s="1091">
        <f t="shared" si="32"/>
        <v>0</v>
      </c>
      <c r="L235" s="930">
        <f t="shared" si="32"/>
        <v>0</v>
      </c>
      <c r="M235" s="896">
        <f t="shared" si="32"/>
        <v>0</v>
      </c>
      <c r="N235" s="896">
        <f t="shared" si="32"/>
        <v>16</v>
      </c>
      <c r="O235" s="896">
        <f t="shared" si="32"/>
        <v>20</v>
      </c>
      <c r="P235" s="894">
        <f t="shared" si="32"/>
        <v>20</v>
      </c>
      <c r="Q235" s="896">
        <f t="shared" si="32"/>
        <v>21</v>
      </c>
      <c r="R235" s="896">
        <f t="shared" si="32"/>
        <v>0</v>
      </c>
      <c r="S235" s="896">
        <f t="shared" si="32"/>
        <v>0</v>
      </c>
      <c r="T235" s="896">
        <f t="shared" si="32"/>
        <v>0</v>
      </c>
      <c r="U235" s="897">
        <f t="shared" si="32"/>
        <v>0</v>
      </c>
      <c r="V235" s="898">
        <f t="shared" si="32"/>
        <v>0</v>
      </c>
      <c r="W235" s="898">
        <f t="shared" si="32"/>
        <v>0</v>
      </c>
      <c r="X235" s="898">
        <f t="shared" si="32"/>
        <v>0</v>
      </c>
      <c r="Y235" s="898">
        <f t="shared" si="32"/>
        <v>0</v>
      </c>
      <c r="Z235" s="897">
        <f t="shared" si="32"/>
        <v>0</v>
      </c>
    </row>
    <row r="236" spans="1:37" ht="20.100000000000001" customHeight="1">
      <c r="A236" s="2634"/>
      <c r="B236" s="2634"/>
      <c r="C236" s="2251" t="s">
        <v>644</v>
      </c>
      <c r="D236" s="1011" t="s">
        <v>1042</v>
      </c>
      <c r="E236" s="1011" t="s">
        <v>1044</v>
      </c>
      <c r="F236" s="2254">
        <f>+'계획처리구역 인구배분(출력x)'!H236-M236</f>
        <v>208</v>
      </c>
      <c r="G236" s="2254">
        <f>+'계획처리구역 인구배분(출력x)'!L236-N236</f>
        <v>183</v>
      </c>
      <c r="H236" s="2254">
        <f>+'계획처리구역 인구배분(출력x)'!Q236-O236</f>
        <v>169</v>
      </c>
      <c r="I236" s="2254">
        <f>+'계획처리구역 인구배분(출력x)'!V236-P236</f>
        <v>167</v>
      </c>
      <c r="J236" s="2254">
        <f>+'계획처리구역 인구배분(출력x)'!AA236-Q236</f>
        <v>164</v>
      </c>
      <c r="K236" s="1086"/>
      <c r="L236" s="17"/>
      <c r="M236" s="103"/>
      <c r="N236" s="103">
        <v>16</v>
      </c>
      <c r="O236" s="103">
        <v>20</v>
      </c>
      <c r="P236" s="103">
        <v>20</v>
      </c>
      <c r="Q236" s="103">
        <v>21</v>
      </c>
      <c r="R236" s="103"/>
      <c r="AK236"/>
    </row>
    <row r="237" spans="1:37" s="712" customFormat="1" ht="21.6" customHeight="1">
      <c r="A237" s="1116"/>
      <c r="B237" s="1116"/>
      <c r="C237" s="1116"/>
      <c r="D237" s="1116"/>
      <c r="E237" s="1116"/>
      <c r="F237" s="176"/>
      <c r="G237" s="71"/>
      <c r="H237" s="71"/>
      <c r="I237" s="71"/>
      <c r="J237" s="71"/>
      <c r="K237" s="1084"/>
      <c r="L237" s="17"/>
      <c r="M237" s="103"/>
      <c r="N237" s="103"/>
      <c r="O237" s="103"/>
      <c r="P237" s="103"/>
      <c r="Q237" s="103"/>
      <c r="R237" s="103"/>
      <c r="S237" s="9"/>
      <c r="T237" s="9"/>
      <c r="U237" s="9"/>
      <c r="V237" s="9"/>
      <c r="W237" s="9"/>
      <c r="X237" s="9"/>
      <c r="Y237" s="9"/>
      <c r="Z237" s="9"/>
    </row>
    <row r="238" spans="1:37" s="712" customFormat="1" ht="21.6" customHeight="1">
      <c r="A238" s="2638" t="s">
        <v>2263</v>
      </c>
      <c r="B238" s="2638"/>
      <c r="C238" s="2638"/>
      <c r="D238" s="2638"/>
      <c r="E238" s="2638"/>
      <c r="F238" s="908"/>
      <c r="G238" s="908"/>
      <c r="H238" s="908"/>
      <c r="I238" s="908"/>
      <c r="J238" s="908"/>
      <c r="K238" s="1084"/>
      <c r="L238" s="17"/>
      <c r="M238" s="103"/>
      <c r="N238" s="103"/>
      <c r="O238" s="103"/>
      <c r="P238" s="103"/>
      <c r="Q238" s="103"/>
      <c r="R238" s="103"/>
      <c r="S238" s="9"/>
      <c r="T238" s="9"/>
      <c r="U238" s="9"/>
      <c r="V238" s="9"/>
      <c r="W238" s="9"/>
      <c r="X238" s="9"/>
      <c r="Y238" s="9"/>
      <c r="Z238" s="9"/>
    </row>
    <row r="239" spans="1:37" s="712" customFormat="1" ht="39.950000000000003" customHeight="1">
      <c r="A239" s="98" t="s">
        <v>1370</v>
      </c>
      <c r="B239" s="98" t="s">
        <v>1371</v>
      </c>
      <c r="C239" s="99" t="s">
        <v>1372</v>
      </c>
      <c r="D239" s="99" t="s">
        <v>1373</v>
      </c>
      <c r="E239" s="99" t="s">
        <v>1374</v>
      </c>
      <c r="F239" s="736" t="s">
        <v>1222</v>
      </c>
      <c r="G239" s="98" t="s">
        <v>156</v>
      </c>
      <c r="H239" s="98" t="s">
        <v>157</v>
      </c>
      <c r="I239" s="98" t="s">
        <v>158</v>
      </c>
      <c r="J239" s="98" t="s">
        <v>159</v>
      </c>
      <c r="K239" s="1083" t="s">
        <v>139</v>
      </c>
      <c r="L239" s="17"/>
      <c r="M239" s="103"/>
      <c r="N239" s="103"/>
      <c r="O239" s="103"/>
      <c r="P239" s="103"/>
      <c r="Q239" s="103"/>
      <c r="R239" s="103"/>
      <c r="S239" s="9"/>
      <c r="T239" s="9"/>
      <c r="U239" s="9"/>
      <c r="V239" s="9"/>
      <c r="W239" s="9"/>
      <c r="X239" s="9"/>
      <c r="Y239" s="9"/>
      <c r="Z239" s="9"/>
    </row>
    <row r="240" spans="1:37" ht="20.100000000000001" hidden="1" customHeight="1" outlineLevel="1">
      <c r="A240" s="2635" t="s">
        <v>2240</v>
      </c>
      <c r="B240" s="2635"/>
      <c r="C240" s="2635" t="s">
        <v>32</v>
      </c>
      <c r="D240" s="2635"/>
      <c r="E240" s="2635"/>
      <c r="F240" s="922">
        <f>SUM(F241)</f>
        <v>0</v>
      </c>
      <c r="G240" s="922">
        <f t="shared" ref="G240:K258" si="33">SUM(G241)</f>
        <v>168</v>
      </c>
      <c r="H240" s="922">
        <f t="shared" si="33"/>
        <v>157</v>
      </c>
      <c r="I240" s="922">
        <f t="shared" si="33"/>
        <v>159</v>
      </c>
      <c r="J240" s="922">
        <f t="shared" si="33"/>
        <v>160</v>
      </c>
      <c r="K240" s="1091">
        <f t="shared" si="33"/>
        <v>0</v>
      </c>
    </row>
    <row r="241" spans="1:36" ht="20.100000000000001" hidden="1" customHeight="1" outlineLevel="1">
      <c r="A241" s="2635"/>
      <c r="B241" s="2635"/>
      <c r="C241" s="1117" t="s">
        <v>637</v>
      </c>
      <c r="D241" s="1117" t="s">
        <v>1369</v>
      </c>
      <c r="E241" s="1117" t="s">
        <v>1348</v>
      </c>
      <c r="F241" s="1118">
        <f>+'계획처리구역 인구배분(출력x)'!H241-M241</f>
        <v>0</v>
      </c>
      <c r="G241" s="1118">
        <f>+'계획처리구역 인구배분(출력x)'!L241-N241</f>
        <v>168</v>
      </c>
      <c r="H241" s="1118">
        <f>+'계획처리구역 인구배분(출력x)'!Q241-O241</f>
        <v>157</v>
      </c>
      <c r="I241" s="1118">
        <f>+'계획처리구역 인구배분(출력x)'!V241-P241</f>
        <v>159</v>
      </c>
      <c r="J241" s="1118">
        <f>+'계획처리구역 인구배분(출력x)'!AA241-Q241</f>
        <v>160</v>
      </c>
      <c r="K241" s="1086"/>
      <c r="M241" s="9">
        <v>177</v>
      </c>
      <c r="O241" s="9">
        <v>12</v>
      </c>
      <c r="P241" s="9">
        <v>12</v>
      </c>
      <c r="Q241" s="9">
        <v>12</v>
      </c>
    </row>
    <row r="242" spans="1:36" ht="20.100000000000001" customHeight="1" collapsed="1">
      <c r="A242" s="2635" t="s">
        <v>2233</v>
      </c>
      <c r="B242" s="2635"/>
      <c r="C242" s="2635" t="s">
        <v>32</v>
      </c>
      <c r="D242" s="2635"/>
      <c r="E242" s="2635"/>
      <c r="F242" s="922">
        <f>SUM(F243:F244)</f>
        <v>0</v>
      </c>
      <c r="G242" s="922">
        <f t="shared" ref="G242:J242" si="34">SUM(G243:G244)</f>
        <v>450</v>
      </c>
      <c r="H242" s="922">
        <f t="shared" si="34"/>
        <v>449</v>
      </c>
      <c r="I242" s="922">
        <f t="shared" si="34"/>
        <v>454</v>
      </c>
      <c r="J242" s="922">
        <f t="shared" si="34"/>
        <v>458</v>
      </c>
      <c r="K242" s="1091">
        <f>SUM(K244)</f>
        <v>0</v>
      </c>
    </row>
    <row r="243" spans="1:36" s="712" customFormat="1" ht="20.100000000000001" customHeight="1">
      <c r="A243" s="2635"/>
      <c r="B243" s="2635"/>
      <c r="C243" s="2668" t="s">
        <v>637</v>
      </c>
      <c r="D243" s="2668" t="s">
        <v>1368</v>
      </c>
      <c r="E243" s="2252" t="s">
        <v>1349</v>
      </c>
      <c r="F243" s="2254">
        <f>+'계획처리구역 인구배분(출력x)'!H243-M243</f>
        <v>0</v>
      </c>
      <c r="G243" s="2254">
        <f>+'계획처리구역 인구배분(출력x)'!L243-N243</f>
        <v>196</v>
      </c>
      <c r="H243" s="2254">
        <f>+'계획처리구역 인구배분(출력x)'!Q243-O243</f>
        <v>193</v>
      </c>
      <c r="I243" s="2254">
        <f>+'계획처리구역 인구배분(출력x)'!V243-P243</f>
        <v>195</v>
      </c>
      <c r="J243" s="2254">
        <f>+'계획처리구역 인구배분(출력x)'!AA243-Q243</f>
        <v>197</v>
      </c>
      <c r="K243" s="1091"/>
      <c r="L243" s="9"/>
      <c r="M243" s="9">
        <v>218</v>
      </c>
      <c r="N243" s="9">
        <v>11</v>
      </c>
      <c r="O243" s="9">
        <v>15</v>
      </c>
      <c r="P243" s="9">
        <v>15</v>
      </c>
      <c r="Q243" s="9">
        <v>15</v>
      </c>
      <c r="R243" s="9"/>
      <c r="S243" s="9"/>
      <c r="T243" s="9"/>
      <c r="U243" s="9"/>
      <c r="V243" s="9"/>
      <c r="W243" s="9"/>
      <c r="X243" s="9"/>
      <c r="Y243" s="9"/>
      <c r="Z243" s="9"/>
    </row>
    <row r="244" spans="1:36" ht="20.100000000000001" customHeight="1">
      <c r="A244" s="2635"/>
      <c r="B244" s="2635"/>
      <c r="C244" s="2670"/>
      <c r="D244" s="2670"/>
      <c r="E244" s="2251" t="s">
        <v>2234</v>
      </c>
      <c r="F244" s="2254">
        <f>+'계획처리구역 인구배분(출력x)'!H244-M244</f>
        <v>0</v>
      </c>
      <c r="G244" s="2254">
        <f>+'계획처리구역 인구배분(출력x)'!L244-N244</f>
        <v>254</v>
      </c>
      <c r="H244" s="2254">
        <f>+'계획처리구역 인구배분(출력x)'!Q244-O244</f>
        <v>256</v>
      </c>
      <c r="I244" s="2254">
        <f>+'계획처리구역 인구배분(출력x)'!V244-P244</f>
        <v>259</v>
      </c>
      <c r="J244" s="2254">
        <f>+'계획처리구역 인구배분(출력x)'!AA244-Q244</f>
        <v>261</v>
      </c>
      <c r="K244" s="1086"/>
      <c r="M244" s="9">
        <v>268</v>
      </c>
    </row>
    <row r="245" spans="1:36" ht="20.100000000000001" hidden="1" customHeight="1" outlineLevel="1">
      <c r="A245" s="2635" t="s">
        <v>2241</v>
      </c>
      <c r="B245" s="2635"/>
      <c r="C245" s="2635" t="s">
        <v>32</v>
      </c>
      <c r="D245" s="2635"/>
      <c r="E245" s="2635"/>
      <c r="F245" s="922">
        <f>SUM(F246:F247)</f>
        <v>0</v>
      </c>
      <c r="G245" s="922">
        <f t="shared" ref="G245" si="35">SUM(G246:G247)</f>
        <v>-2</v>
      </c>
      <c r="H245" s="922">
        <f t="shared" ref="H245" si="36">SUM(H246:H247)</f>
        <v>326</v>
      </c>
      <c r="I245" s="922">
        <f t="shared" ref="I245" si="37">SUM(I246:I247)</f>
        <v>320</v>
      </c>
      <c r="J245" s="922">
        <f t="shared" ref="J245" si="38">SUM(J246:J247)</f>
        <v>280</v>
      </c>
      <c r="K245" s="1091">
        <f>SUM(K247)</f>
        <v>0</v>
      </c>
    </row>
    <row r="246" spans="1:36" s="712" customFormat="1" ht="20.100000000000001" hidden="1" customHeight="1" outlineLevel="1">
      <c r="A246" s="2635"/>
      <c r="B246" s="2635"/>
      <c r="C246" s="2668" t="s">
        <v>642</v>
      </c>
      <c r="D246" s="2668" t="s">
        <v>1367</v>
      </c>
      <c r="E246" s="1814" t="s">
        <v>1351</v>
      </c>
      <c r="F246" s="1816">
        <f>+'계획처리구역 인구배분(출력x)'!H246-M246</f>
        <v>0</v>
      </c>
      <c r="G246" s="1816">
        <f>+'계획처리구역 인구배분(출력x)'!L246-N246</f>
        <v>-1</v>
      </c>
      <c r="H246" s="1816">
        <f>+'계획처리구역 인구배분(출력x)'!Q246-O246</f>
        <v>163</v>
      </c>
      <c r="I246" s="1816">
        <f>+'계획처리구역 인구배분(출력x)'!V246-P246</f>
        <v>160</v>
      </c>
      <c r="J246" s="1816">
        <f>+'계획처리구역 인구배분(출력x)'!AA246-Q246</f>
        <v>140</v>
      </c>
      <c r="K246" s="1091"/>
      <c r="L246" s="9"/>
      <c r="M246" s="9">
        <v>172</v>
      </c>
      <c r="N246" s="9">
        <v>166</v>
      </c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36" ht="20.100000000000001" hidden="1" customHeight="1" outlineLevel="1">
      <c r="A247" s="2635"/>
      <c r="B247" s="2635"/>
      <c r="C247" s="2670"/>
      <c r="D247" s="2670"/>
      <c r="E247" s="1814" t="s">
        <v>2244</v>
      </c>
      <c r="F247" s="1118">
        <f>+'계획처리구역 인구배분(출력x)'!H247-M247</f>
        <v>0</v>
      </c>
      <c r="G247" s="1118">
        <f>+'계획처리구역 인구배분(출력x)'!L247-N247</f>
        <v>-1</v>
      </c>
      <c r="H247" s="1118">
        <f>+'계획처리구역 인구배분(출력x)'!Q247-O247</f>
        <v>163</v>
      </c>
      <c r="I247" s="1118">
        <f>+'계획처리구역 인구배분(출력x)'!V247-P247</f>
        <v>160</v>
      </c>
      <c r="J247" s="1118">
        <f>+'계획처리구역 인구배분(출력x)'!AA247-Q247</f>
        <v>140</v>
      </c>
      <c r="K247" s="1086"/>
      <c r="M247" s="9">
        <v>172</v>
      </c>
      <c r="N247" s="9">
        <v>166</v>
      </c>
    </row>
    <row r="248" spans="1:36" ht="20.100000000000001" hidden="1" customHeight="1" outlineLevel="1">
      <c r="A248" s="2635" t="s">
        <v>2242</v>
      </c>
      <c r="B248" s="2635"/>
      <c r="C248" s="2635" t="s">
        <v>32</v>
      </c>
      <c r="D248" s="2635"/>
      <c r="E248" s="2635"/>
      <c r="F248" s="922">
        <f>SUM(F249)</f>
        <v>0</v>
      </c>
      <c r="G248" s="922">
        <f t="shared" si="33"/>
        <v>-3</v>
      </c>
      <c r="H248" s="922">
        <f t="shared" si="33"/>
        <v>197</v>
      </c>
      <c r="I248" s="922">
        <f t="shared" si="33"/>
        <v>196</v>
      </c>
      <c r="J248" s="922">
        <f t="shared" si="33"/>
        <v>193</v>
      </c>
      <c r="K248" s="1091">
        <f t="shared" si="33"/>
        <v>0</v>
      </c>
    </row>
    <row r="249" spans="1:36" ht="20.100000000000001" hidden="1" customHeight="1" outlineLevel="1">
      <c r="A249" s="2635"/>
      <c r="B249" s="2635"/>
      <c r="C249" s="1117" t="s">
        <v>699</v>
      </c>
      <c r="D249" s="1117" t="s">
        <v>1365</v>
      </c>
      <c r="E249" s="1117" t="s">
        <v>1366</v>
      </c>
      <c r="F249" s="1118">
        <f>+'계획처리구역 인구배분(출력x)'!H249-M249</f>
        <v>0</v>
      </c>
      <c r="G249" s="1118">
        <f>+'계획처리구역 인구배분(출력x)'!L249-N249</f>
        <v>-3</v>
      </c>
      <c r="H249" s="1118">
        <f>+'계획처리구역 인구배분(출력x)'!Q249-O249</f>
        <v>197</v>
      </c>
      <c r="I249" s="1118">
        <f>+'계획처리구역 인구배분(출력x)'!V249-P249</f>
        <v>196</v>
      </c>
      <c r="J249" s="1118">
        <f>+'계획처리구역 인구배분(출력x)'!AA249-Q249</f>
        <v>193</v>
      </c>
      <c r="K249" s="1086"/>
      <c r="M249" s="9">
        <v>232</v>
      </c>
      <c r="N249" s="9">
        <v>225</v>
      </c>
      <c r="O249" s="9">
        <v>13</v>
      </c>
      <c r="P249" s="9">
        <v>13</v>
      </c>
      <c r="Q249" s="9">
        <v>13</v>
      </c>
    </row>
    <row r="250" spans="1:36" ht="20.100000000000001" hidden="1" customHeight="1" outlineLevel="1">
      <c r="A250" s="2635" t="s">
        <v>1353</v>
      </c>
      <c r="B250" s="2635"/>
      <c r="C250" s="2634" t="s">
        <v>32</v>
      </c>
      <c r="D250" s="2634"/>
      <c r="E250" s="2634"/>
      <c r="F250" s="922">
        <f>SUM(F251)</f>
        <v>0</v>
      </c>
      <c r="G250" s="922">
        <f t="shared" si="33"/>
        <v>142</v>
      </c>
      <c r="H250" s="922">
        <f t="shared" si="33"/>
        <v>147</v>
      </c>
      <c r="I250" s="922">
        <f t="shared" si="33"/>
        <v>149</v>
      </c>
      <c r="J250" s="922">
        <f t="shared" si="33"/>
        <v>144</v>
      </c>
      <c r="K250" s="1091">
        <f t="shared" si="33"/>
        <v>0</v>
      </c>
    </row>
    <row r="251" spans="1:36" ht="20.100000000000001" hidden="1" customHeight="1" outlineLevel="1">
      <c r="A251" s="2635"/>
      <c r="B251" s="2635"/>
      <c r="C251" s="1115" t="s">
        <v>1359</v>
      </c>
      <c r="D251" s="1115" t="s">
        <v>1364</v>
      </c>
      <c r="E251" s="1115" t="s">
        <v>1353</v>
      </c>
      <c r="F251" s="1118">
        <f>+'계획처리구역 인구배분(출력x)'!H251-M251</f>
        <v>0</v>
      </c>
      <c r="G251" s="1118">
        <f>+'계획처리구역 인구배분(출력x)'!L251-N251</f>
        <v>142</v>
      </c>
      <c r="H251" s="1118">
        <f>+'계획처리구역 인구배분(출력x)'!Q251-O251</f>
        <v>147</v>
      </c>
      <c r="I251" s="1118">
        <f>+'계획처리구역 인구배분(출력x)'!V251-P251</f>
        <v>149</v>
      </c>
      <c r="J251" s="1118">
        <f>+'계획처리구역 인구배분(출력x)'!AA251-Q251</f>
        <v>144</v>
      </c>
      <c r="K251" s="1086"/>
      <c r="M251" s="9">
        <v>150</v>
      </c>
      <c r="AC251"/>
      <c r="AD251"/>
      <c r="AE251"/>
      <c r="AF251"/>
      <c r="AG251"/>
      <c r="AH251"/>
      <c r="AI251"/>
      <c r="AJ251"/>
    </row>
    <row r="252" spans="1:36" ht="20.100000000000001" hidden="1" customHeight="1" outlineLevel="1">
      <c r="A252" s="2635" t="s">
        <v>2243</v>
      </c>
      <c r="B252" s="2635"/>
      <c r="C252" s="2635" t="s">
        <v>32</v>
      </c>
      <c r="D252" s="2635"/>
      <c r="E252" s="2635"/>
      <c r="F252" s="922">
        <f>SUM(F253:F254)</f>
        <v>0</v>
      </c>
      <c r="G252" s="922">
        <f>SUM(G253:G254)</f>
        <v>-5</v>
      </c>
      <c r="H252" s="922">
        <f>SUM(H253:H254)</f>
        <v>243</v>
      </c>
      <c r="I252" s="922">
        <f>SUM(I253:I254)</f>
        <v>223</v>
      </c>
      <c r="J252" s="922">
        <f>SUM(J253:J254)</f>
        <v>155</v>
      </c>
      <c r="K252" s="1091">
        <f>SUM(K254)</f>
        <v>0</v>
      </c>
      <c r="AC252"/>
      <c r="AD252"/>
      <c r="AE252"/>
      <c r="AF252"/>
      <c r="AG252"/>
      <c r="AH252"/>
      <c r="AI252"/>
      <c r="AJ252"/>
    </row>
    <row r="253" spans="1:36" s="712" customFormat="1" ht="20.100000000000001" hidden="1" customHeight="1" outlineLevel="1">
      <c r="A253" s="2635"/>
      <c r="B253" s="2635"/>
      <c r="C253" s="2669" t="s">
        <v>2251</v>
      </c>
      <c r="D253" s="2669" t="s">
        <v>2252</v>
      </c>
      <c r="E253" s="1814" t="s">
        <v>1354</v>
      </c>
      <c r="F253" s="1816">
        <f>+'계획처리구역 인구배분(출력x)'!H253-M253</f>
        <v>0</v>
      </c>
      <c r="G253" s="1816">
        <f>+'계획처리구역 인구배분(출력x)'!L253-N253</f>
        <v>-3</v>
      </c>
      <c r="H253" s="1816">
        <f>+'계획처리구역 인구배분(출력x)'!Q253-O253</f>
        <v>149</v>
      </c>
      <c r="I253" s="1816">
        <f>+'계획처리구역 인구배분(출력x)'!V253-P253</f>
        <v>137</v>
      </c>
      <c r="J253" s="1816">
        <f>+'계획처리구역 인구배분(출력x)'!AA253-Q253</f>
        <v>95</v>
      </c>
      <c r="K253" s="1091"/>
      <c r="L253" s="9"/>
      <c r="M253" s="9">
        <v>183</v>
      </c>
      <c r="N253" s="9">
        <v>164</v>
      </c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C253" s="599"/>
      <c r="AD253" s="599"/>
      <c r="AE253" s="599"/>
      <c r="AF253" s="599"/>
      <c r="AG253" s="599"/>
      <c r="AH253" s="599"/>
      <c r="AI253" s="599"/>
      <c r="AJ253" s="599"/>
    </row>
    <row r="254" spans="1:36" ht="20.100000000000001" hidden="1" customHeight="1" outlineLevel="1">
      <c r="A254" s="2635"/>
      <c r="B254" s="2635"/>
      <c r="C254" s="2670"/>
      <c r="D254" s="2670"/>
      <c r="E254" s="1814" t="s">
        <v>2237</v>
      </c>
      <c r="F254" s="1118">
        <f>+'계획처리구역 인구배분(출력x)'!H254-M254</f>
        <v>0</v>
      </c>
      <c r="G254" s="1118">
        <f>+'계획처리구역 인구배분(출력x)'!L254-N254</f>
        <v>-2</v>
      </c>
      <c r="H254" s="1118">
        <f>+'계획처리구역 인구배분(출력x)'!Q254-O254</f>
        <v>94</v>
      </c>
      <c r="I254" s="1118">
        <f>+'계획처리구역 인구배분(출력x)'!V254-P254</f>
        <v>86</v>
      </c>
      <c r="J254" s="1118">
        <f>+'계획처리구역 인구배분(출력x)'!AA254-Q254</f>
        <v>60</v>
      </c>
      <c r="K254" s="1086"/>
      <c r="M254" s="9">
        <v>115</v>
      </c>
      <c r="N254" s="9">
        <v>103</v>
      </c>
      <c r="AC254"/>
      <c r="AD254"/>
      <c r="AE254"/>
      <c r="AF254"/>
      <c r="AG254"/>
      <c r="AH254"/>
      <c r="AI254"/>
      <c r="AJ254"/>
    </row>
    <row r="255" spans="1:36" ht="20.100000000000001" hidden="1" customHeight="1" outlineLevel="1">
      <c r="A255" s="2635" t="s">
        <v>1355</v>
      </c>
      <c r="B255" s="2635"/>
      <c r="C255" s="2635" t="s">
        <v>32</v>
      </c>
      <c r="D255" s="2635"/>
      <c r="E255" s="2635"/>
      <c r="F255" s="922">
        <f>SUM(F256:F257)</f>
        <v>0</v>
      </c>
      <c r="G255" s="922">
        <f t="shared" ref="G255" si="39">SUM(G256:G257)</f>
        <v>-5</v>
      </c>
      <c r="H255" s="922">
        <f t="shared" ref="H255" si="40">SUM(H256:H257)</f>
        <v>271</v>
      </c>
      <c r="I255" s="922">
        <f t="shared" ref="I255" si="41">SUM(I256:I257)</f>
        <v>249</v>
      </c>
      <c r="J255" s="922">
        <f t="shared" ref="J255" si="42">SUM(J256:J257)</f>
        <v>174</v>
      </c>
      <c r="K255" s="1091">
        <f>SUM(K257)</f>
        <v>0</v>
      </c>
      <c r="AC255"/>
      <c r="AD255"/>
      <c r="AE255"/>
      <c r="AF255"/>
      <c r="AG255"/>
      <c r="AH255"/>
      <c r="AI255"/>
      <c r="AJ255"/>
    </row>
    <row r="256" spans="1:36" s="712" customFormat="1" ht="20.100000000000001" hidden="1" customHeight="1" outlineLevel="1">
      <c r="A256" s="2635"/>
      <c r="B256" s="2635"/>
      <c r="C256" s="2668" t="s">
        <v>1360</v>
      </c>
      <c r="D256" s="2668" t="s">
        <v>1362</v>
      </c>
      <c r="E256" s="1814" t="s">
        <v>2238</v>
      </c>
      <c r="F256" s="1816">
        <f>+'계획처리구역 인구배분(출력x)'!H256-M256</f>
        <v>0</v>
      </c>
      <c r="G256" s="1816">
        <f>+'계획처리구역 인구배분(출력x)'!L256-N256</f>
        <v>-3</v>
      </c>
      <c r="H256" s="1816">
        <f>+'계획처리구역 인구배분(출력x)'!Q256-O256</f>
        <v>126</v>
      </c>
      <c r="I256" s="1816">
        <f>+'계획처리구역 인구배분(출력x)'!V256-P256</f>
        <v>116</v>
      </c>
      <c r="J256" s="1816">
        <f>+'계획처리구역 인구배분(출력x)'!AA256-Q256</f>
        <v>81</v>
      </c>
      <c r="K256" s="1091"/>
      <c r="L256" s="9"/>
      <c r="M256" s="9">
        <v>155</v>
      </c>
      <c r="N256" s="9">
        <v>139</v>
      </c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C256" s="599"/>
      <c r="AD256" s="599"/>
      <c r="AE256" s="599"/>
      <c r="AF256" s="599"/>
      <c r="AG256" s="599"/>
      <c r="AH256" s="599"/>
      <c r="AI256" s="599"/>
      <c r="AJ256" s="599"/>
    </row>
    <row r="257" spans="1:37" ht="20.100000000000001" hidden="1" customHeight="1" outlineLevel="1">
      <c r="A257" s="2635"/>
      <c r="B257" s="2635"/>
      <c r="C257" s="2670"/>
      <c r="D257" s="2670"/>
      <c r="E257" s="1814" t="s">
        <v>1355</v>
      </c>
      <c r="F257" s="1118">
        <f>+'계획처리구역 인구배분(출력x)'!H257-M257</f>
        <v>0</v>
      </c>
      <c r="G257" s="1118">
        <f>+'계획처리구역 인구배분(출력x)'!L257-N257</f>
        <v>-2</v>
      </c>
      <c r="H257" s="1118">
        <f>+'계획처리구역 인구배분(출력x)'!Q257-O257</f>
        <v>145</v>
      </c>
      <c r="I257" s="1118">
        <f>+'계획처리구역 인구배분(출력x)'!V257-P257</f>
        <v>133</v>
      </c>
      <c r="J257" s="1118">
        <f>+'계획처리구역 인구배분(출력x)'!AA257-Q257</f>
        <v>93</v>
      </c>
      <c r="K257" s="1086"/>
      <c r="M257" s="9">
        <v>178</v>
      </c>
      <c r="N257" s="9">
        <v>159</v>
      </c>
      <c r="AC257"/>
      <c r="AD257"/>
      <c r="AE257"/>
      <c r="AF257"/>
      <c r="AG257"/>
      <c r="AH257"/>
      <c r="AI257"/>
      <c r="AJ257"/>
    </row>
    <row r="258" spans="1:37" ht="20.100000000000001" hidden="1" customHeight="1" outlineLevel="1">
      <c r="A258" s="2635" t="s">
        <v>1356</v>
      </c>
      <c r="B258" s="2635"/>
      <c r="C258" s="2635" t="s">
        <v>32</v>
      </c>
      <c r="D258" s="2635"/>
      <c r="E258" s="2635"/>
      <c r="F258" s="922">
        <f>SUM(F259)</f>
        <v>0</v>
      </c>
      <c r="G258" s="922">
        <f t="shared" si="33"/>
        <v>-4</v>
      </c>
      <c r="H258" s="922">
        <f t="shared" si="33"/>
        <v>210</v>
      </c>
      <c r="I258" s="922">
        <f t="shared" si="33"/>
        <v>193</v>
      </c>
      <c r="J258" s="922">
        <f t="shared" si="33"/>
        <v>134</v>
      </c>
      <c r="K258" s="1091">
        <f t="shared" si="33"/>
        <v>0</v>
      </c>
      <c r="AC258"/>
      <c r="AD258"/>
      <c r="AE258"/>
      <c r="AF258"/>
      <c r="AG258"/>
      <c r="AH258"/>
      <c r="AI258"/>
      <c r="AJ258"/>
    </row>
    <row r="259" spans="1:37" ht="20.100000000000001" hidden="1" customHeight="1" outlineLevel="1">
      <c r="A259" s="2635"/>
      <c r="B259" s="2635"/>
      <c r="C259" s="1117" t="s">
        <v>1360</v>
      </c>
      <c r="D259" s="1117" t="s">
        <v>1361</v>
      </c>
      <c r="E259" s="1117" t="s">
        <v>1356</v>
      </c>
      <c r="F259" s="1118">
        <f>+'계획처리구역 인구배분(출력x)'!H259-M259</f>
        <v>0</v>
      </c>
      <c r="G259" s="1118">
        <f>+'계획처리구역 인구배분(출력x)'!L259-N259</f>
        <v>-4</v>
      </c>
      <c r="H259" s="1118">
        <f>+'계획처리구역 인구배분(출력x)'!Q259-O259</f>
        <v>210</v>
      </c>
      <c r="I259" s="1118">
        <f>+'계획처리구역 인구배분(출력x)'!V259-P259</f>
        <v>193</v>
      </c>
      <c r="J259" s="1118">
        <f>+'계획처리구역 인구배분(출력x)'!AA259-Q259</f>
        <v>134</v>
      </c>
      <c r="K259" s="1086"/>
      <c r="M259" s="9">
        <v>258</v>
      </c>
      <c r="N259" s="9">
        <v>231</v>
      </c>
      <c r="AC259"/>
      <c r="AD259"/>
      <c r="AE259"/>
      <c r="AF259"/>
      <c r="AG259"/>
      <c r="AH259"/>
      <c r="AI259"/>
      <c r="AJ259"/>
    </row>
    <row r="260" spans="1:37" ht="20.100000000000001" hidden="1" customHeight="1" outlineLevel="1">
      <c r="A260" s="2635" t="s">
        <v>1347</v>
      </c>
      <c r="B260" s="2635"/>
      <c r="C260" s="2635" t="s">
        <v>32</v>
      </c>
      <c r="D260" s="2635"/>
      <c r="E260" s="2635"/>
      <c r="F260" s="922">
        <f>SUM(F261:F262)</f>
        <v>0</v>
      </c>
      <c r="G260" s="922">
        <f t="shared" ref="G260" si="43">SUM(G261:G262)</f>
        <v>-6</v>
      </c>
      <c r="H260" s="922">
        <f t="shared" ref="H260" si="44">SUM(H261:H262)</f>
        <v>316</v>
      </c>
      <c r="I260" s="922">
        <f t="shared" ref="I260" si="45">SUM(I261:I262)</f>
        <v>291</v>
      </c>
      <c r="J260" s="922">
        <f t="shared" ref="J260" si="46">SUM(J261:J262)</f>
        <v>246</v>
      </c>
      <c r="K260" s="1091">
        <f>SUM(K262)</f>
        <v>0</v>
      </c>
      <c r="AC260" s="599"/>
      <c r="AD260" s="599"/>
      <c r="AE260" s="599"/>
      <c r="AF260" s="599"/>
      <c r="AG260" s="599"/>
      <c r="AH260" s="599"/>
      <c r="AI260" s="599"/>
      <c r="AJ260" s="599"/>
    </row>
    <row r="261" spans="1:37" s="712" customFormat="1" ht="20.100000000000001" hidden="1" customHeight="1" outlineLevel="1">
      <c r="A261" s="2635"/>
      <c r="B261" s="2635"/>
      <c r="C261" s="2668" t="s">
        <v>1357</v>
      </c>
      <c r="D261" s="2668" t="s">
        <v>1358</v>
      </c>
      <c r="E261" s="1814" t="s">
        <v>2239</v>
      </c>
      <c r="F261" s="1816">
        <f>+'계획처리구역 인구배분(출력x)'!H261-M261</f>
        <v>0</v>
      </c>
      <c r="G261" s="1816">
        <f>+'계획처리구역 인구배분(출력x)'!L261-N261</f>
        <v>-2</v>
      </c>
      <c r="H261" s="1816">
        <f>+'계획처리구역 인구배분(출력x)'!Q261-O261</f>
        <v>147</v>
      </c>
      <c r="I261" s="1816">
        <f>+'계획처리구역 인구배분(출력x)'!V261-P261</f>
        <v>135</v>
      </c>
      <c r="J261" s="1816">
        <f>+'계획처리구역 인구배분(출력x)'!AA261-Q261</f>
        <v>114</v>
      </c>
      <c r="K261" s="1091"/>
      <c r="L261" s="9"/>
      <c r="M261" s="9">
        <v>179</v>
      </c>
      <c r="N261" s="9">
        <v>160</v>
      </c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C261" s="599"/>
      <c r="AD261" s="599"/>
      <c r="AE261" s="599"/>
      <c r="AF261" s="599"/>
      <c r="AG261" s="599"/>
      <c r="AH261" s="599"/>
      <c r="AI261" s="599"/>
      <c r="AJ261" s="599"/>
    </row>
    <row r="262" spans="1:37" ht="20.100000000000001" hidden="1" customHeight="1" outlineLevel="1">
      <c r="A262" s="2635"/>
      <c r="B262" s="2635"/>
      <c r="C262" s="2670"/>
      <c r="D262" s="2670"/>
      <c r="E262" s="1814" t="s">
        <v>1347</v>
      </c>
      <c r="F262" s="1118">
        <f>+'계획처리구역 인구배분(출력x)'!H262-M262</f>
        <v>0</v>
      </c>
      <c r="G262" s="1118">
        <f>+'계획처리구역 인구배분(출력x)'!L262-N262</f>
        <v>-4</v>
      </c>
      <c r="H262" s="1118">
        <f>+'계획처리구역 인구배분(출력x)'!Q262-O262</f>
        <v>169</v>
      </c>
      <c r="I262" s="1118">
        <f>+'계획처리구역 인구배분(출력x)'!V262-P262</f>
        <v>156</v>
      </c>
      <c r="J262" s="1118">
        <f>+'계획처리구역 인구배분(출력x)'!AA262-Q262</f>
        <v>132</v>
      </c>
      <c r="K262" s="1086"/>
      <c r="M262" s="9">
        <v>206</v>
      </c>
      <c r="N262" s="9">
        <v>185</v>
      </c>
      <c r="AC262" s="599"/>
      <c r="AD262" s="599"/>
      <c r="AE262" s="599"/>
      <c r="AF262" s="599"/>
      <c r="AG262" s="599"/>
      <c r="AH262" s="599"/>
      <c r="AI262" s="599"/>
      <c r="AJ262" s="599"/>
    </row>
    <row r="263" spans="1:37" ht="16.5" collapsed="1">
      <c r="AC263"/>
      <c r="AD263"/>
      <c r="AE263"/>
      <c r="AF263"/>
      <c r="AG263"/>
      <c r="AH263"/>
      <c r="AI263"/>
      <c r="AJ263"/>
    </row>
    <row r="264" spans="1:37" ht="16.5">
      <c r="AC264"/>
      <c r="AD264"/>
      <c r="AE264"/>
      <c r="AF264"/>
      <c r="AG264"/>
      <c r="AH264"/>
      <c r="AI264"/>
      <c r="AJ264"/>
    </row>
    <row r="265" spans="1:37" ht="16.5">
      <c r="AC265"/>
      <c r="AD265"/>
      <c r="AE265"/>
      <c r="AF265"/>
      <c r="AG265"/>
      <c r="AH265"/>
      <c r="AI265"/>
      <c r="AJ265"/>
    </row>
    <row r="266" spans="1:37" ht="16.5">
      <c r="AC266"/>
      <c r="AD266"/>
      <c r="AE266"/>
      <c r="AF266"/>
      <c r="AG266"/>
      <c r="AH266"/>
      <c r="AI266"/>
      <c r="AJ266"/>
    </row>
    <row r="267" spans="1:37" ht="16.5">
      <c r="AC267"/>
      <c r="AD267"/>
      <c r="AE267"/>
      <c r="AF267"/>
      <c r="AG267"/>
      <c r="AH267"/>
      <c r="AI267"/>
      <c r="AJ267"/>
    </row>
    <row r="268" spans="1:37" ht="16.5">
      <c r="AC268"/>
      <c r="AD268"/>
      <c r="AE268"/>
      <c r="AF268"/>
      <c r="AG268"/>
      <c r="AH268"/>
      <c r="AI268"/>
      <c r="AJ268"/>
    </row>
    <row r="269" spans="1:37" ht="16.5">
      <c r="AC269"/>
      <c r="AD269"/>
      <c r="AE269"/>
      <c r="AF269"/>
      <c r="AG269"/>
      <c r="AH269"/>
      <c r="AI269"/>
      <c r="AJ269"/>
      <c r="AK269"/>
    </row>
    <row r="270" spans="1:37" ht="16.5">
      <c r="AC270"/>
      <c r="AD270"/>
      <c r="AE270"/>
      <c r="AF270"/>
      <c r="AG270"/>
      <c r="AH270"/>
      <c r="AI270"/>
      <c r="AJ270"/>
      <c r="AK270"/>
    </row>
    <row r="271" spans="1:37" ht="16.5">
      <c r="AC271"/>
      <c r="AD271"/>
      <c r="AE271"/>
      <c r="AF271"/>
      <c r="AG271"/>
      <c r="AH271"/>
      <c r="AI271"/>
      <c r="AJ271"/>
      <c r="AK271"/>
    </row>
    <row r="272" spans="1:37" ht="16.5">
      <c r="AC272"/>
      <c r="AD272"/>
      <c r="AE272"/>
      <c r="AF272"/>
      <c r="AG272"/>
      <c r="AH272"/>
      <c r="AI272"/>
      <c r="AJ272"/>
      <c r="AK272"/>
    </row>
    <row r="273" spans="29:37" ht="16.5">
      <c r="AC273"/>
      <c r="AD273"/>
      <c r="AE273"/>
      <c r="AF273"/>
      <c r="AG273"/>
      <c r="AH273"/>
      <c r="AI273"/>
      <c r="AJ273"/>
      <c r="AK273"/>
    </row>
    <row r="274" spans="29:37" ht="16.5">
      <c r="AC274"/>
      <c r="AD274"/>
      <c r="AE274"/>
      <c r="AF274"/>
      <c r="AG274"/>
      <c r="AH274"/>
      <c r="AI274"/>
      <c r="AJ274"/>
      <c r="AK274"/>
    </row>
    <row r="275" spans="29:37" ht="16.5">
      <c r="AC275"/>
      <c r="AD275"/>
      <c r="AE275"/>
      <c r="AF275"/>
      <c r="AG275"/>
      <c r="AH275"/>
      <c r="AI275"/>
      <c r="AJ275"/>
      <c r="AK275"/>
    </row>
    <row r="276" spans="29:37" ht="16.5">
      <c r="AC276"/>
      <c r="AD276"/>
      <c r="AE276"/>
      <c r="AF276"/>
      <c r="AG276"/>
      <c r="AH276"/>
      <c r="AI276"/>
      <c r="AJ276"/>
      <c r="AK276"/>
    </row>
    <row r="277" spans="29:37" ht="16.5">
      <c r="AC277"/>
      <c r="AD277"/>
      <c r="AE277"/>
      <c r="AF277"/>
      <c r="AG277"/>
      <c r="AH277"/>
      <c r="AI277"/>
      <c r="AJ277"/>
      <c r="AK277"/>
    </row>
    <row r="278" spans="29:37" ht="16.5">
      <c r="AK278"/>
    </row>
    <row r="279" spans="29:37" ht="16.5">
      <c r="AK279"/>
    </row>
    <row r="280" spans="29:37" ht="16.5">
      <c r="AK280" s="599"/>
    </row>
    <row r="281" spans="29:37" ht="16.5">
      <c r="AK281" s="599"/>
    </row>
    <row r="282" spans="29:37" ht="16.5">
      <c r="AK282"/>
    </row>
    <row r="283" spans="29:37" ht="16.5">
      <c r="AK283"/>
    </row>
    <row r="284" spans="29:37" ht="16.5">
      <c r="AK284"/>
    </row>
    <row r="285" spans="29:37" ht="16.5">
      <c r="AK285"/>
    </row>
    <row r="286" spans="29:37" ht="16.5">
      <c r="AK286"/>
    </row>
    <row r="287" spans="29:37" ht="16.5">
      <c r="AK287"/>
    </row>
    <row r="288" spans="29:37" ht="16.5">
      <c r="AK288"/>
    </row>
    <row r="289" spans="37:37" ht="16.5">
      <c r="AK289"/>
    </row>
    <row r="290" spans="37:37" ht="16.5">
      <c r="AK290"/>
    </row>
    <row r="291" spans="37:37" ht="16.5">
      <c r="AK291"/>
    </row>
    <row r="292" spans="37:37" ht="16.5">
      <c r="AK292"/>
    </row>
    <row r="293" spans="37:37" ht="16.5">
      <c r="AK293"/>
    </row>
    <row r="294" spans="37:37" ht="16.5">
      <c r="AK294"/>
    </row>
    <row r="295" spans="37:37" ht="16.5">
      <c r="AK295"/>
    </row>
    <row r="296" spans="37:37" ht="16.5">
      <c r="AK296"/>
    </row>
    <row r="297" spans="37:37" ht="16.5">
      <c r="AK297"/>
    </row>
    <row r="298" spans="37:37" ht="16.5">
      <c r="AK298"/>
    </row>
  </sheetData>
  <mergeCells count="176">
    <mergeCell ref="A147:A168"/>
    <mergeCell ref="B147:E147"/>
    <mergeCell ref="B148:B160"/>
    <mergeCell ref="C149:C160"/>
    <mergeCell ref="B42:B55"/>
    <mergeCell ref="C53:C55"/>
    <mergeCell ref="B78:B107"/>
    <mergeCell ref="C79:C107"/>
    <mergeCell ref="C108:E108"/>
    <mergeCell ref="C109:C120"/>
    <mergeCell ref="D137:D138"/>
    <mergeCell ref="D139:D140"/>
    <mergeCell ref="D141:D142"/>
    <mergeCell ref="D49:D51"/>
    <mergeCell ref="D133:D134"/>
    <mergeCell ref="D57:D66"/>
    <mergeCell ref="A77:A143"/>
    <mergeCell ref="B121:B143"/>
    <mergeCell ref="C122:C143"/>
    <mergeCell ref="B161:B168"/>
    <mergeCell ref="D109:D111"/>
    <mergeCell ref="D117:D120"/>
    <mergeCell ref="D83:D93"/>
    <mergeCell ref="D106:D107"/>
    <mergeCell ref="A240:B241"/>
    <mergeCell ref="C240:E240"/>
    <mergeCell ref="A242:B244"/>
    <mergeCell ref="C242:E242"/>
    <mergeCell ref="A238:E238"/>
    <mergeCell ref="A198:E198"/>
    <mergeCell ref="A200:E200"/>
    <mergeCell ref="A202:E202"/>
    <mergeCell ref="A204:B206"/>
    <mergeCell ref="C205:C206"/>
    <mergeCell ref="D205:D206"/>
    <mergeCell ref="D218:D219"/>
    <mergeCell ref="C243:C244"/>
    <mergeCell ref="D243:D244"/>
    <mergeCell ref="A207:B209"/>
    <mergeCell ref="C207:E207"/>
    <mergeCell ref="A210:B213"/>
    <mergeCell ref="C211:C213"/>
    <mergeCell ref="A231:B232"/>
    <mergeCell ref="C215:C216"/>
    <mergeCell ref="D229:D230"/>
    <mergeCell ref="A214:B216"/>
    <mergeCell ref="C214:E214"/>
    <mergeCell ref="A217:B220"/>
    <mergeCell ref="A260:B262"/>
    <mergeCell ref="C260:E260"/>
    <mergeCell ref="A252:B254"/>
    <mergeCell ref="C252:E252"/>
    <mergeCell ref="A255:B257"/>
    <mergeCell ref="C255:E255"/>
    <mergeCell ref="A258:B259"/>
    <mergeCell ref="C258:E258"/>
    <mergeCell ref="A245:B247"/>
    <mergeCell ref="C245:E245"/>
    <mergeCell ref="A248:B249"/>
    <mergeCell ref="C248:E248"/>
    <mergeCell ref="C261:C262"/>
    <mergeCell ref="D261:D262"/>
    <mergeCell ref="C253:C254"/>
    <mergeCell ref="D253:D254"/>
    <mergeCell ref="C256:C257"/>
    <mergeCell ref="D256:D257"/>
    <mergeCell ref="C246:C247"/>
    <mergeCell ref="D246:D247"/>
    <mergeCell ref="A250:B251"/>
    <mergeCell ref="C250:E250"/>
    <mergeCell ref="A4:A37"/>
    <mergeCell ref="B22:B37"/>
    <mergeCell ref="B5:B21"/>
    <mergeCell ref="C6:C21"/>
    <mergeCell ref="C231:E231"/>
    <mergeCell ref="D173:D177"/>
    <mergeCell ref="A172:B187"/>
    <mergeCell ref="C173:C187"/>
    <mergeCell ref="C22:E22"/>
    <mergeCell ref="C23:C37"/>
    <mergeCell ref="D30:D36"/>
    <mergeCell ref="A39:E39"/>
    <mergeCell ref="B41:E41"/>
    <mergeCell ref="C42:E42"/>
    <mergeCell ref="C148:E148"/>
    <mergeCell ref="C121:E121"/>
    <mergeCell ref="D135:D136"/>
    <mergeCell ref="D43:D48"/>
    <mergeCell ref="C57:C73"/>
    <mergeCell ref="B56:B73"/>
    <mergeCell ref="C192:C196"/>
    <mergeCell ref="A191:B196"/>
    <mergeCell ref="C161:E161"/>
    <mergeCell ref="C162:C168"/>
    <mergeCell ref="A1:E1"/>
    <mergeCell ref="A2:E2"/>
    <mergeCell ref="C5:E5"/>
    <mergeCell ref="D182:D183"/>
    <mergeCell ref="AD84:AE84"/>
    <mergeCell ref="AD113:AE113"/>
    <mergeCell ref="AD114:AE114"/>
    <mergeCell ref="AD117:AE117"/>
    <mergeCell ref="AD83:AE83"/>
    <mergeCell ref="AD110:AE110"/>
    <mergeCell ref="AD111:AE111"/>
    <mergeCell ref="AD112:AE112"/>
    <mergeCell ref="AD128:AE128"/>
    <mergeCell ref="AD130:AE130"/>
    <mergeCell ref="AD134:AE134"/>
    <mergeCell ref="AD136:AE136"/>
    <mergeCell ref="AD135:AE135"/>
    <mergeCell ref="AC134:AC136"/>
    <mergeCell ref="C172:E172"/>
    <mergeCell ref="D149:D158"/>
    <mergeCell ref="D13:D18"/>
    <mergeCell ref="D6:D12"/>
    <mergeCell ref="D23:D29"/>
    <mergeCell ref="D19:D21"/>
    <mergeCell ref="AK2:AK3"/>
    <mergeCell ref="AD77:AE77"/>
    <mergeCell ref="AD78:AE78"/>
    <mergeCell ref="AD79:AE79"/>
    <mergeCell ref="AD82:AE82"/>
    <mergeCell ref="AD81:AE81"/>
    <mergeCell ref="AD80:AE80"/>
    <mergeCell ref="AC4:AE4"/>
    <mergeCell ref="AD53:AE53"/>
    <mergeCell ref="AD56:AE56"/>
    <mergeCell ref="AD74:AE74"/>
    <mergeCell ref="AC2:AC3"/>
    <mergeCell ref="AD75:AE75"/>
    <mergeCell ref="AD76:AE76"/>
    <mergeCell ref="AD2:AD3"/>
    <mergeCell ref="AE2:AE3"/>
    <mergeCell ref="AD52:AE52"/>
    <mergeCell ref="A41:A73"/>
    <mergeCell ref="D162:D166"/>
    <mergeCell ref="A170:E170"/>
    <mergeCell ref="A189:E189"/>
    <mergeCell ref="D122:D132"/>
    <mergeCell ref="C208:C209"/>
    <mergeCell ref="C204:E204"/>
    <mergeCell ref="A233:B234"/>
    <mergeCell ref="D178:D179"/>
    <mergeCell ref="D180:D181"/>
    <mergeCell ref="D94:D97"/>
    <mergeCell ref="D101:D105"/>
    <mergeCell ref="D112:D116"/>
    <mergeCell ref="C43:C52"/>
    <mergeCell ref="C56:E56"/>
    <mergeCell ref="D68:D69"/>
    <mergeCell ref="D70:D72"/>
    <mergeCell ref="A75:E75"/>
    <mergeCell ref="B77:E77"/>
    <mergeCell ref="C78:E78"/>
    <mergeCell ref="D79:D82"/>
    <mergeCell ref="D98:D100"/>
    <mergeCell ref="B108:B120"/>
    <mergeCell ref="A145:E145"/>
    <mergeCell ref="A235:B236"/>
    <mergeCell ref="C235:E235"/>
    <mergeCell ref="C210:E210"/>
    <mergeCell ref="D211:D212"/>
    <mergeCell ref="C191:E191"/>
    <mergeCell ref="D192:D195"/>
    <mergeCell ref="C233:E233"/>
    <mergeCell ref="A224:B227"/>
    <mergeCell ref="C224:E224"/>
    <mergeCell ref="C218:C220"/>
    <mergeCell ref="C225:C227"/>
    <mergeCell ref="D225:D227"/>
    <mergeCell ref="C217:E217"/>
    <mergeCell ref="A228:B230"/>
    <mergeCell ref="C228:E228"/>
    <mergeCell ref="C229:C230"/>
    <mergeCell ref="A222:E222"/>
  </mergeCells>
  <phoneticPr fontId="3" type="noConversion"/>
  <printOptions horizontalCentered="1"/>
  <pageMargins left="0.62992125984251968" right="0.59055118110236227" top="0.98425196850393704" bottom="0.98425196850393704" header="0.51181102362204722" footer="0.51181102362204722"/>
  <pageSetup paperSize="9" scale="58" orientation="portrait" r:id="rId1"/>
  <headerFooter alignWithMargins="0"/>
  <rowBreaks count="5" manualBreakCount="5">
    <brk id="38" max="16383" man="1"/>
    <brk id="74" max="16383" man="1"/>
    <brk id="144" max="16383" man="1"/>
    <brk id="188" max="16383" man="1"/>
    <brk id="220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"/>
  <sheetViews>
    <sheetView workbookViewId="0"/>
  </sheetViews>
  <sheetFormatPr defaultRowHeight="16.5"/>
  <sheetData/>
  <phoneticPr fontId="3" type="noConversion"/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AO110"/>
  <sheetViews>
    <sheetView view="pageBreakPreview" zoomScaleNormal="100" zoomScaleSheetLayoutView="100" workbookViewId="0">
      <selection activeCell="M39" sqref="M39"/>
    </sheetView>
  </sheetViews>
  <sheetFormatPr defaultRowHeight="20.100000000000001" customHeight="1"/>
  <cols>
    <col min="1" max="1" width="8.875" style="293" customWidth="1"/>
    <col min="2" max="2" width="15.25" style="293" customWidth="1"/>
    <col min="3" max="8" width="11.25" style="286" customWidth="1"/>
    <col min="9" max="9" width="1.5" style="286" customWidth="1"/>
    <col min="10" max="16384" width="9" style="286"/>
  </cols>
  <sheetData>
    <row r="1" spans="1:41" ht="18.95" customHeight="1">
      <c r="A1" s="179" t="s">
        <v>247</v>
      </c>
      <c r="B1" s="284"/>
      <c r="C1" s="285"/>
      <c r="D1" s="285"/>
      <c r="E1" s="285"/>
      <c r="F1" s="285"/>
      <c r="G1" s="285"/>
      <c r="H1" s="285"/>
    </row>
    <row r="2" spans="1:41" s="293" customFormat="1" ht="18.95" customHeight="1">
      <c r="A2" s="287"/>
      <c r="B2" s="287"/>
      <c r="C2" s="288"/>
      <c r="D2" s="288"/>
      <c r="E2" s="288"/>
      <c r="F2" s="288"/>
      <c r="G2" s="288"/>
      <c r="H2" s="289" t="s">
        <v>248</v>
      </c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W2" s="290"/>
      <c r="X2" s="290"/>
      <c r="Y2" s="290"/>
      <c r="Z2" s="290"/>
      <c r="AA2" s="291"/>
      <c r="AB2" s="292"/>
      <c r="AC2" s="290"/>
      <c r="AD2" s="290"/>
      <c r="AE2" s="290"/>
      <c r="AF2" s="290"/>
      <c r="AG2" s="290"/>
      <c r="AH2" s="290"/>
      <c r="AI2" s="290"/>
      <c r="AJ2" s="290"/>
      <c r="AK2" s="290"/>
      <c r="AL2" s="290"/>
      <c r="AM2" s="290"/>
      <c r="AN2" s="290"/>
      <c r="AO2" s="291"/>
    </row>
    <row r="3" spans="1:41" ht="24" customHeight="1">
      <c r="A3" s="294" t="s">
        <v>249</v>
      </c>
      <c r="B3" s="294"/>
      <c r="C3" s="295" t="s">
        <v>1220</v>
      </c>
      <c r="D3" s="296">
        <v>2020</v>
      </c>
      <c r="E3" s="296">
        <v>2025</v>
      </c>
      <c r="F3" s="296">
        <v>2030</v>
      </c>
      <c r="G3" s="296">
        <v>2035</v>
      </c>
      <c r="H3" s="297" t="s">
        <v>250</v>
      </c>
      <c r="I3" s="2080"/>
      <c r="J3" s="2080"/>
      <c r="K3" s="2080"/>
      <c r="L3" s="2080"/>
      <c r="M3" s="2080"/>
      <c r="N3" s="2080"/>
      <c r="O3" s="2080"/>
      <c r="P3" s="2080"/>
      <c r="Q3" s="2080"/>
      <c r="R3" s="2080"/>
      <c r="S3" s="2080"/>
      <c r="T3" s="2080"/>
      <c r="U3" s="2080"/>
      <c r="V3" s="2080"/>
      <c r="W3" s="2080"/>
      <c r="X3" s="2080"/>
      <c r="Y3" s="2081"/>
      <c r="Z3" s="298"/>
      <c r="AA3" s="299"/>
      <c r="AB3" s="300"/>
      <c r="AC3" s="298"/>
      <c r="AD3" s="298"/>
      <c r="AE3" s="298"/>
      <c r="AF3" s="298"/>
      <c r="AG3" s="298"/>
      <c r="AH3" s="298"/>
      <c r="AI3" s="298"/>
      <c r="AJ3" s="298"/>
      <c r="AK3" s="298"/>
      <c r="AL3" s="298"/>
      <c r="AM3" s="298"/>
      <c r="AN3" s="298"/>
      <c r="AO3" s="299"/>
    </row>
    <row r="4" spans="1:41" ht="24" customHeight="1">
      <c r="A4" s="2308" t="s">
        <v>665</v>
      </c>
      <c r="B4" s="301" t="s">
        <v>252</v>
      </c>
      <c r="C4" s="302">
        <f>C8</f>
        <v>106419</v>
      </c>
      <c r="D4" s="302">
        <f>+'가.수학적방법(음성군10년)'!B44</f>
        <v>111536</v>
      </c>
      <c r="E4" s="302">
        <f>+'가.수학적방법(음성군10년)'!C44</f>
        <v>119138</v>
      </c>
      <c r="F4" s="302">
        <f>+'가.수학적방법(음성군10년)'!D44</f>
        <v>126740</v>
      </c>
      <c r="G4" s="302">
        <f>+'가.수학적방법(음성군10년)'!E44</f>
        <v>134343</v>
      </c>
      <c r="H4" s="303" t="str">
        <f>+'가.수학적방법(음성군10년)'!F44</f>
        <v>제외</v>
      </c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9"/>
      <c r="Z4" s="298"/>
      <c r="AA4" s="299"/>
      <c r="AB4" s="300"/>
      <c r="AC4" s="298"/>
      <c r="AD4" s="298"/>
      <c r="AE4" s="298"/>
      <c r="AF4" s="298"/>
      <c r="AG4" s="298"/>
      <c r="AH4" s="298"/>
      <c r="AI4" s="298"/>
      <c r="AJ4" s="298"/>
      <c r="AK4" s="298"/>
      <c r="AL4" s="298"/>
      <c r="AM4" s="298"/>
      <c r="AN4" s="298"/>
      <c r="AO4" s="299"/>
    </row>
    <row r="5" spans="1:41" ht="24" customHeight="1">
      <c r="A5" s="2309"/>
      <c r="B5" s="304" t="s">
        <v>253</v>
      </c>
      <c r="C5" s="305">
        <f>C8</f>
        <v>106419</v>
      </c>
      <c r="D5" s="305">
        <f>+'가.수학적방법(음성군10년)'!B45</f>
        <v>112358</v>
      </c>
      <c r="E5" s="305">
        <f>+'가.수학적방법(음성군10년)'!C45</f>
        <v>121410</v>
      </c>
      <c r="F5" s="305">
        <f>+'가.수학적방법(음성군10년)'!D45</f>
        <v>131190</v>
      </c>
      <c r="G5" s="305">
        <f>+'가.수학적방법(음성군10년)'!E45</f>
        <v>141759</v>
      </c>
      <c r="H5" s="306" t="str">
        <f>+'가.수학적방법(음성군10년)'!F45</f>
        <v/>
      </c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9"/>
      <c r="Z5" s="298"/>
      <c r="AA5" s="299"/>
      <c r="AB5" s="300"/>
      <c r="AC5" s="298"/>
      <c r="AD5" s="298"/>
      <c r="AE5" s="298"/>
      <c r="AF5" s="298"/>
      <c r="AG5" s="298"/>
      <c r="AH5" s="298"/>
      <c r="AI5" s="298"/>
      <c r="AJ5" s="298"/>
      <c r="AK5" s="298"/>
      <c r="AL5" s="298"/>
      <c r="AM5" s="298"/>
      <c r="AN5" s="298"/>
      <c r="AO5" s="299"/>
    </row>
    <row r="6" spans="1:41" ht="24" customHeight="1">
      <c r="A6" s="2309"/>
      <c r="B6" s="304" t="s">
        <v>255</v>
      </c>
      <c r="C6" s="305">
        <f>C8</f>
        <v>106419</v>
      </c>
      <c r="D6" s="305">
        <f>+'가.수학적방법(음성군10년)'!B46</f>
        <v>116712</v>
      </c>
      <c r="E6" s="305">
        <f>+'가.수학적방법(음성군10년)'!C46</f>
        <v>129629</v>
      </c>
      <c r="F6" s="305">
        <f>+'가.수학적방법(음성군10년)'!D46</f>
        <v>143777</v>
      </c>
      <c r="G6" s="305">
        <f>+'가.수학적방법(음성군10년)'!E46</f>
        <v>158991</v>
      </c>
      <c r="H6" s="306" t="str">
        <f>+'가.수학적방법(음성군10년)'!F46</f>
        <v/>
      </c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9"/>
      <c r="Z6" s="298"/>
      <c r="AA6" s="299"/>
      <c r="AB6" s="300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9"/>
    </row>
    <row r="7" spans="1:41" ht="24" customHeight="1">
      <c r="A7" s="2309"/>
      <c r="B7" s="304" t="s">
        <v>257</v>
      </c>
      <c r="C7" s="305">
        <f>C8</f>
        <v>106419</v>
      </c>
      <c r="D7" s="305">
        <f>+'가.수학적방법(음성군10년)'!B47</f>
        <v>112343</v>
      </c>
      <c r="E7" s="305">
        <f>+'가.수학적방법(음성군10년)'!C47</f>
        <v>121363</v>
      </c>
      <c r="F7" s="305">
        <f>+'가.수학적방법(음성군10년)'!D47</f>
        <v>131092</v>
      </c>
      <c r="G7" s="305">
        <f>+'가.수학적방법(음성군10년)'!E47</f>
        <v>141582</v>
      </c>
      <c r="H7" s="306" t="str">
        <f>+'가.수학적방법(음성군10년)'!F47</f>
        <v>제외</v>
      </c>
      <c r="I7" s="298"/>
      <c r="J7" s="298"/>
      <c r="K7" s="298"/>
      <c r="L7" s="298"/>
      <c r="M7" s="298"/>
      <c r="N7" s="298"/>
      <c r="O7" s="298"/>
      <c r="P7" s="298"/>
      <c r="Q7" s="298"/>
      <c r="R7" s="298"/>
      <c r="S7" s="298"/>
      <c r="T7" s="298"/>
      <c r="U7" s="298"/>
      <c r="V7" s="298"/>
      <c r="W7" s="298"/>
      <c r="X7" s="298"/>
      <c r="Y7" s="299"/>
      <c r="Z7" s="298"/>
      <c r="AA7" s="299"/>
      <c r="AB7" s="300"/>
      <c r="AC7" s="298"/>
      <c r="AD7" s="298"/>
      <c r="AE7" s="298"/>
      <c r="AF7" s="298"/>
      <c r="AG7" s="298"/>
      <c r="AH7" s="298"/>
      <c r="AI7" s="298"/>
      <c r="AJ7" s="298"/>
      <c r="AK7" s="298"/>
      <c r="AL7" s="298"/>
      <c r="AM7" s="298"/>
      <c r="AN7" s="298"/>
      <c r="AO7" s="299"/>
    </row>
    <row r="8" spans="1:41" ht="24" customHeight="1">
      <c r="A8" s="2310"/>
      <c r="B8" s="307" t="s">
        <v>258</v>
      </c>
      <c r="C8" s="308">
        <f>'가.수학적방법(음성군10년)'!B15</f>
        <v>106419</v>
      </c>
      <c r="D8" s="308">
        <f>+'가.수학적방법(음성군10년)'!B48</f>
        <v>114535</v>
      </c>
      <c r="E8" s="308">
        <f>+'가.수학적방법(음성군10년)'!C48</f>
        <v>125520</v>
      </c>
      <c r="F8" s="308">
        <f>+'가.수학적방법(음성군10년)'!D48</f>
        <v>137484</v>
      </c>
      <c r="G8" s="308">
        <f>+'가.수학적방법(음성군10년)'!E48</f>
        <v>150375</v>
      </c>
      <c r="H8" s="309">
        <f>+'가.수학적방법(음성군10년)'!F48</f>
        <v>0</v>
      </c>
      <c r="I8" s="298"/>
      <c r="J8" s="298"/>
      <c r="K8" s="298"/>
      <c r="L8" s="298"/>
      <c r="M8" s="298"/>
      <c r="N8" s="298"/>
      <c r="O8" s="298"/>
      <c r="P8" s="298"/>
      <c r="Q8" s="298"/>
      <c r="R8" s="298"/>
      <c r="S8" s="298"/>
      <c r="T8" s="298"/>
      <c r="U8" s="298"/>
      <c r="V8" s="298"/>
      <c r="W8" s="298"/>
      <c r="X8" s="298"/>
      <c r="Y8" s="299"/>
      <c r="Z8" s="298"/>
      <c r="AA8" s="299"/>
      <c r="AB8" s="300"/>
      <c r="AC8" s="298"/>
      <c r="AD8" s="298"/>
      <c r="AE8" s="298"/>
      <c r="AF8" s="298"/>
      <c r="AG8" s="298"/>
      <c r="AH8" s="298"/>
      <c r="AI8" s="298"/>
      <c r="AJ8" s="298"/>
      <c r="AK8" s="298"/>
      <c r="AL8" s="298"/>
      <c r="AM8" s="298"/>
      <c r="AN8" s="298"/>
      <c r="AO8" s="299"/>
    </row>
    <row r="9" spans="1:41" ht="24" customHeight="1">
      <c r="A9" s="2308" t="s">
        <v>666</v>
      </c>
      <c r="B9" s="301" t="s">
        <v>251</v>
      </c>
      <c r="C9" s="302">
        <f>C13</f>
        <v>106419</v>
      </c>
      <c r="D9" s="302">
        <f>+'나.수학적방법(음성군5년)'!B44</f>
        <v>114739</v>
      </c>
      <c r="E9" s="302">
        <f>+'나.수학적방법(음성군5년)'!C44</f>
        <v>125061</v>
      </c>
      <c r="F9" s="302">
        <f>+'나.수학적방법(음성군5년)'!D44</f>
        <v>135383</v>
      </c>
      <c r="G9" s="302">
        <f>+'나.수학적방법(음성군5년)'!E44</f>
        <v>145705</v>
      </c>
      <c r="H9" s="302" t="str">
        <f>+'나.수학적방법(음성군5년)'!F44</f>
        <v/>
      </c>
      <c r="I9" s="298"/>
      <c r="J9" s="298"/>
      <c r="K9" s="298"/>
      <c r="L9" s="298"/>
      <c r="M9" s="298"/>
      <c r="N9" s="298"/>
      <c r="O9" s="298"/>
      <c r="P9" s="298"/>
      <c r="Q9" s="298"/>
      <c r="R9" s="298"/>
      <c r="S9" s="298"/>
      <c r="T9" s="298"/>
      <c r="U9" s="298"/>
      <c r="V9" s="298"/>
      <c r="W9" s="298"/>
      <c r="X9" s="298"/>
      <c r="Y9" s="299"/>
      <c r="Z9" s="298"/>
      <c r="AA9" s="299"/>
      <c r="AB9" s="300"/>
      <c r="AC9" s="298"/>
      <c r="AD9" s="298"/>
      <c r="AE9" s="298"/>
      <c r="AF9" s="298"/>
      <c r="AG9" s="298"/>
      <c r="AH9" s="298"/>
      <c r="AI9" s="298"/>
      <c r="AJ9" s="298"/>
      <c r="AK9" s="298"/>
      <c r="AL9" s="298"/>
      <c r="AM9" s="298"/>
      <c r="AN9" s="298"/>
      <c r="AO9" s="299"/>
    </row>
    <row r="10" spans="1:41" ht="24" customHeight="1">
      <c r="A10" s="2309"/>
      <c r="B10" s="304" t="s">
        <v>253</v>
      </c>
      <c r="C10" s="305">
        <f>C13</f>
        <v>106419</v>
      </c>
      <c r="D10" s="305">
        <f>+'나.수학적방법(음성군5년)'!B45</f>
        <v>115485</v>
      </c>
      <c r="E10" s="305">
        <f>+'나.수학적방법(음성군5년)'!C45</f>
        <v>127751</v>
      </c>
      <c r="F10" s="305">
        <f>+'나.수학적방법(음성군5년)'!D45</f>
        <v>141319</v>
      </c>
      <c r="G10" s="305">
        <f>+'나.수학적방법(음성군5년)'!E45</f>
        <v>156329</v>
      </c>
      <c r="H10" s="305" t="str">
        <f>+'나.수학적방법(음성군5년)'!F45</f>
        <v>제외</v>
      </c>
      <c r="I10" s="298"/>
      <c r="J10" s="298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298"/>
      <c r="W10" s="298"/>
      <c r="X10" s="298"/>
      <c r="Y10" s="299"/>
      <c r="Z10" s="298"/>
      <c r="AA10" s="299"/>
      <c r="AB10" s="300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9"/>
    </row>
    <row r="11" spans="1:41" ht="24" customHeight="1">
      <c r="A11" s="2309"/>
      <c r="B11" s="304" t="s">
        <v>254</v>
      </c>
      <c r="C11" s="305">
        <f>C13</f>
        <v>106419</v>
      </c>
      <c r="D11" s="305">
        <f>+'나.수학적방법(음성군5년)'!B46</f>
        <v>114123</v>
      </c>
      <c r="E11" s="305">
        <f>+'나.수학적방법(음성군5년)'!C46</f>
        <v>123519</v>
      </c>
      <c r="F11" s="305">
        <f>+'나.수학적방법(음성군5년)'!D46</f>
        <v>132714</v>
      </c>
      <c r="G11" s="305">
        <f>+'나.수학적방법(음성군5년)'!E46</f>
        <v>141766</v>
      </c>
      <c r="H11" s="305" t="str">
        <f>+'나.수학적방법(음성군5년)'!F46</f>
        <v/>
      </c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8"/>
      <c r="U11" s="298"/>
      <c r="V11" s="298"/>
      <c r="W11" s="298"/>
      <c r="X11" s="298"/>
      <c r="Y11" s="299"/>
      <c r="Z11" s="298"/>
      <c r="AA11" s="299"/>
      <c r="AB11" s="300"/>
      <c r="AC11" s="298"/>
      <c r="AD11" s="298"/>
      <c r="AE11" s="298"/>
      <c r="AF11" s="298"/>
      <c r="AG11" s="298"/>
      <c r="AH11" s="298"/>
      <c r="AI11" s="298"/>
      <c r="AJ11" s="298"/>
      <c r="AK11" s="298"/>
      <c r="AL11" s="298"/>
      <c r="AM11" s="298"/>
      <c r="AN11" s="298"/>
      <c r="AO11" s="299"/>
    </row>
    <row r="12" spans="1:41" ht="24" customHeight="1">
      <c r="A12" s="2309"/>
      <c r="B12" s="304" t="s">
        <v>256</v>
      </c>
      <c r="C12" s="305">
        <f>C13</f>
        <v>106419</v>
      </c>
      <c r="D12" s="305">
        <f>+'나.수학적방법(음성군5년)'!B47</f>
        <v>115467</v>
      </c>
      <c r="E12" s="305">
        <f>+'나.수학적방법(음성군5년)'!C47</f>
        <v>127681</v>
      </c>
      <c r="F12" s="305">
        <f>+'나.수학적방법(음성군5년)'!D47</f>
        <v>141149</v>
      </c>
      <c r="G12" s="305">
        <f>+'나.수학적방법(음성군5년)'!E47</f>
        <v>155992</v>
      </c>
      <c r="H12" s="305" t="str">
        <f>+'나.수학적방법(음성군5년)'!F47</f>
        <v>제외</v>
      </c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9"/>
      <c r="Z12" s="298"/>
      <c r="AA12" s="299"/>
      <c r="AB12" s="300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9"/>
    </row>
    <row r="13" spans="1:41" ht="24" customHeight="1">
      <c r="A13" s="2310"/>
      <c r="B13" s="307" t="s">
        <v>258</v>
      </c>
      <c r="C13" s="308">
        <f>+C8</f>
        <v>106419</v>
      </c>
      <c r="D13" s="308">
        <f>+'나.수학적방법(음성군5년)'!B48</f>
        <v>114795</v>
      </c>
      <c r="E13" s="308">
        <f>+'나.수학적방법(음성군5년)'!C48</f>
        <v>125600</v>
      </c>
      <c r="F13" s="308">
        <f>+'나.수학적방법(음성군5년)'!D48</f>
        <v>136932</v>
      </c>
      <c r="G13" s="308">
        <f>+'나.수학적방법(음성군5년)'!E48</f>
        <v>148879</v>
      </c>
      <c r="H13" s="308"/>
      <c r="I13" s="298"/>
      <c r="J13" s="298"/>
      <c r="K13" s="298"/>
      <c r="L13" s="298"/>
      <c r="M13" s="298"/>
      <c r="N13" s="298"/>
      <c r="O13" s="298"/>
      <c r="P13" s="298"/>
      <c r="Q13" s="298"/>
      <c r="R13" s="298"/>
      <c r="S13" s="298"/>
      <c r="T13" s="298"/>
      <c r="U13" s="298"/>
      <c r="V13" s="298"/>
      <c r="W13" s="298"/>
      <c r="X13" s="298"/>
      <c r="Y13" s="299"/>
      <c r="Z13" s="298"/>
      <c r="AA13" s="299"/>
      <c r="AB13" s="300"/>
      <c r="AC13" s="298"/>
      <c r="AD13" s="298"/>
      <c r="AE13" s="298"/>
      <c r="AF13" s="298"/>
      <c r="AG13" s="298"/>
      <c r="AH13" s="298"/>
      <c r="AI13" s="298"/>
      <c r="AJ13" s="298"/>
      <c r="AK13" s="298"/>
      <c r="AL13" s="298"/>
      <c r="AM13" s="298"/>
      <c r="AN13" s="298"/>
      <c r="AO13" s="299"/>
    </row>
    <row r="14" spans="1:41" ht="24" customHeight="1">
      <c r="A14" s="2312" t="s">
        <v>636</v>
      </c>
      <c r="B14" s="2082" t="s">
        <v>251</v>
      </c>
      <c r="C14" s="2083">
        <f>C18</f>
        <v>19057</v>
      </c>
      <c r="D14" s="2083">
        <f>+'다.수학적방법(음성읍)'!B44</f>
        <v>19649</v>
      </c>
      <c r="E14" s="2083">
        <f>+'다.수학적방법(음성읍)'!C44</f>
        <v>20137</v>
      </c>
      <c r="F14" s="2083">
        <f>+'다.수학적방법(음성읍)'!D44</f>
        <v>20626</v>
      </c>
      <c r="G14" s="2083">
        <f>+'다.수학적방법(음성읍)'!E44</f>
        <v>21115</v>
      </c>
      <c r="H14" s="2083" t="str">
        <f>+'다.수학적방법(음성읍)'!F44</f>
        <v/>
      </c>
      <c r="I14" s="312"/>
      <c r="J14" s="312"/>
      <c r="K14" s="312"/>
      <c r="L14" s="312"/>
      <c r="M14" s="312"/>
      <c r="N14" s="312"/>
      <c r="O14" s="312"/>
      <c r="P14" s="312"/>
      <c r="Q14" s="312"/>
      <c r="R14" s="312"/>
      <c r="S14" s="312"/>
      <c r="T14" s="312"/>
      <c r="U14" s="312"/>
      <c r="V14" s="312"/>
      <c r="W14" s="312"/>
      <c r="X14" s="312"/>
      <c r="Y14" s="313"/>
      <c r="Z14" s="298"/>
      <c r="AA14" s="299"/>
      <c r="AB14" s="300"/>
      <c r="AC14" s="298"/>
      <c r="AD14" s="298"/>
      <c r="AE14" s="298"/>
      <c r="AF14" s="298"/>
      <c r="AG14" s="298"/>
      <c r="AH14" s="298"/>
      <c r="AI14" s="298"/>
      <c r="AJ14" s="298"/>
      <c r="AK14" s="298"/>
      <c r="AL14" s="298"/>
      <c r="AM14" s="298"/>
      <c r="AN14" s="298"/>
      <c r="AO14" s="299"/>
    </row>
    <row r="15" spans="1:41" ht="24" customHeight="1">
      <c r="A15" s="2311"/>
      <c r="B15" s="316" t="s">
        <v>253</v>
      </c>
      <c r="C15" s="310">
        <f>C18</f>
        <v>19057</v>
      </c>
      <c r="D15" s="310">
        <f>+'다.수학적방법(음성읍)'!B45</f>
        <v>19670</v>
      </c>
      <c r="E15" s="310">
        <f>+'다.수학적방법(음성읍)'!C45</f>
        <v>20192</v>
      </c>
      <c r="F15" s="310">
        <f>+'다.수학적방법(음성읍)'!D45</f>
        <v>20727</v>
      </c>
      <c r="G15" s="310">
        <f>+'다.수학적방법(음성읍)'!E45</f>
        <v>21276</v>
      </c>
      <c r="H15" s="310" t="str">
        <f>+'다.수학적방법(음성읍)'!F45</f>
        <v>제외</v>
      </c>
      <c r="I15" s="298"/>
      <c r="J15" s="298"/>
      <c r="K15" s="298"/>
      <c r="L15" s="298"/>
      <c r="M15" s="298"/>
      <c r="N15" s="298"/>
      <c r="O15" s="298"/>
      <c r="P15" s="298"/>
      <c r="Q15" s="298"/>
      <c r="R15" s="298"/>
      <c r="S15" s="298"/>
      <c r="T15" s="298"/>
      <c r="U15" s="298"/>
      <c r="V15" s="298"/>
      <c r="W15" s="298"/>
      <c r="X15" s="298"/>
      <c r="Y15" s="298"/>
      <c r="Z15" s="298"/>
      <c r="AA15" s="299"/>
      <c r="AB15" s="300"/>
      <c r="AC15" s="298"/>
      <c r="AD15" s="298"/>
      <c r="AE15" s="298"/>
      <c r="AF15" s="298"/>
      <c r="AG15" s="298"/>
      <c r="AH15" s="298"/>
      <c r="AI15" s="298"/>
      <c r="AJ15" s="298"/>
      <c r="AK15" s="298"/>
      <c r="AL15" s="298"/>
      <c r="AM15" s="298"/>
      <c r="AN15" s="298"/>
      <c r="AO15" s="299"/>
    </row>
    <row r="16" spans="1:41" ht="24" customHeight="1">
      <c r="A16" s="2313"/>
      <c r="B16" s="2119" t="s">
        <v>259</v>
      </c>
      <c r="C16" s="2120">
        <f>C18</f>
        <v>19057</v>
      </c>
      <c r="D16" s="2120">
        <f>+'다.수학적방법(음성읍)'!B46</f>
        <v>19350</v>
      </c>
      <c r="E16" s="2120">
        <f>+'다.수학적방법(음성읍)'!C46</f>
        <v>19541</v>
      </c>
      <c r="F16" s="2120">
        <f>+'다.수학적방법(음성읍)'!D46</f>
        <v>19698</v>
      </c>
      <c r="G16" s="2120">
        <f>+'다.수학적방법(음성읍)'!E46</f>
        <v>19834</v>
      </c>
      <c r="H16" s="2120" t="str">
        <f>+'다.수학적방법(음성읍)'!F46</f>
        <v/>
      </c>
      <c r="I16" s="298"/>
      <c r="J16" s="298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9"/>
      <c r="AB16" s="300"/>
      <c r="AC16" s="298"/>
      <c r="AD16" s="298"/>
      <c r="AE16" s="298"/>
      <c r="AF16" s="298"/>
      <c r="AG16" s="298"/>
      <c r="AH16" s="298"/>
      <c r="AI16" s="298"/>
      <c r="AJ16" s="298"/>
      <c r="AK16" s="298"/>
      <c r="AL16" s="298"/>
      <c r="AM16" s="298"/>
      <c r="AN16" s="298"/>
      <c r="AO16" s="299"/>
    </row>
    <row r="17" spans="1:41" ht="24" customHeight="1">
      <c r="A17" s="2308"/>
      <c r="B17" s="301" t="s">
        <v>256</v>
      </c>
      <c r="C17" s="302">
        <f>C18</f>
        <v>19057</v>
      </c>
      <c r="D17" s="302">
        <f>+'다.수학적방법(음성읍)'!B47</f>
        <v>19670</v>
      </c>
      <c r="E17" s="302">
        <f>+'다.수학적방법(음성읍)'!C47</f>
        <v>20190</v>
      </c>
      <c r="F17" s="302">
        <f>+'다.수학적방법(음성읍)'!D47</f>
        <v>20724</v>
      </c>
      <c r="G17" s="302">
        <f>+'다.수학적방법(음성읍)'!E47</f>
        <v>21272</v>
      </c>
      <c r="H17" s="302" t="str">
        <f>+'다.수학적방법(음성읍)'!F47</f>
        <v>제외</v>
      </c>
      <c r="I17" s="2080"/>
      <c r="J17" s="2080"/>
      <c r="K17" s="2080"/>
      <c r="L17" s="2080"/>
      <c r="M17" s="2080"/>
      <c r="N17" s="2080"/>
      <c r="O17" s="2080"/>
      <c r="P17" s="2080"/>
      <c r="Q17" s="2080"/>
      <c r="R17" s="2080"/>
      <c r="S17" s="2080"/>
      <c r="T17" s="2080"/>
      <c r="U17" s="2080"/>
      <c r="V17" s="2080"/>
      <c r="W17" s="2080"/>
      <c r="X17" s="2080"/>
      <c r="Y17" s="2081"/>
      <c r="Z17" s="298"/>
      <c r="AA17" s="299"/>
      <c r="AB17" s="300"/>
      <c r="AC17" s="298"/>
      <c r="AD17" s="298"/>
      <c r="AE17" s="298"/>
      <c r="AF17" s="298"/>
      <c r="AG17" s="298"/>
      <c r="AH17" s="298"/>
      <c r="AI17" s="298"/>
      <c r="AJ17" s="298"/>
      <c r="AK17" s="298"/>
      <c r="AL17" s="298"/>
      <c r="AM17" s="298"/>
      <c r="AN17" s="298"/>
      <c r="AO17" s="299"/>
    </row>
    <row r="18" spans="1:41" ht="24" customHeight="1">
      <c r="A18" s="2310"/>
      <c r="B18" s="307" t="s">
        <v>260</v>
      </c>
      <c r="C18" s="308">
        <f>'다.수학적방법(음성읍)'!B15</f>
        <v>19057</v>
      </c>
      <c r="D18" s="308">
        <f>+'다.수학적방법(음성읍)'!B48</f>
        <v>19670</v>
      </c>
      <c r="E18" s="308">
        <f>+'다.수학적방법(음성읍)'!C48</f>
        <v>20191</v>
      </c>
      <c r="F18" s="308">
        <f>+'다.수학적방법(음성읍)'!D48</f>
        <v>20726</v>
      </c>
      <c r="G18" s="308">
        <f>+'다.수학적방법(음성읍)'!E48</f>
        <v>21274</v>
      </c>
      <c r="H18" s="308">
        <f>+'다.수학적방법(음성읍)'!F48</f>
        <v>0</v>
      </c>
      <c r="I18" s="298"/>
      <c r="J18" s="298"/>
      <c r="K18" s="298"/>
      <c r="L18" s="298"/>
      <c r="M18" s="298"/>
      <c r="N18" s="298"/>
      <c r="O18" s="298"/>
      <c r="P18" s="298"/>
      <c r="Q18" s="298"/>
      <c r="R18" s="298"/>
      <c r="S18" s="298"/>
      <c r="T18" s="298"/>
      <c r="U18" s="298"/>
      <c r="V18" s="298"/>
      <c r="W18" s="298"/>
      <c r="X18" s="298"/>
      <c r="Y18" s="299"/>
      <c r="Z18" s="298"/>
      <c r="AA18" s="299"/>
      <c r="AB18" s="300"/>
      <c r="AC18" s="298"/>
      <c r="AD18" s="298"/>
      <c r="AE18" s="298"/>
      <c r="AF18" s="298"/>
      <c r="AG18" s="298"/>
      <c r="AH18" s="298"/>
      <c r="AI18" s="298"/>
      <c r="AJ18" s="298"/>
      <c r="AK18" s="298"/>
      <c r="AL18" s="298"/>
      <c r="AM18" s="298"/>
      <c r="AN18" s="298"/>
      <c r="AO18" s="299"/>
    </row>
    <row r="19" spans="1:41" ht="24" customHeight="1">
      <c r="A19" s="2308" t="s">
        <v>667</v>
      </c>
      <c r="B19" s="301" t="s">
        <v>251</v>
      </c>
      <c r="C19" s="302">
        <f>C23</f>
        <v>23398</v>
      </c>
      <c r="D19" s="302">
        <f>+'라.수학적방법(금왕읍)'!B44</f>
        <v>25104</v>
      </c>
      <c r="E19" s="302">
        <f>+'라.수학적방법(금왕읍)'!C44</f>
        <v>26643</v>
      </c>
      <c r="F19" s="302">
        <f>+'라.수학적방법(금왕읍)'!D44</f>
        <v>28181</v>
      </c>
      <c r="G19" s="302">
        <f>+'라.수학적방법(금왕읍)'!E44</f>
        <v>29719</v>
      </c>
      <c r="H19" s="302" t="str">
        <f>+'라.수학적방법(금왕읍)'!F44</f>
        <v>제외</v>
      </c>
      <c r="I19" s="298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9"/>
      <c r="Z19" s="298"/>
      <c r="AA19" s="299"/>
      <c r="AB19" s="300"/>
      <c r="AC19" s="298"/>
      <c r="AD19" s="298"/>
      <c r="AE19" s="298"/>
      <c r="AF19" s="298"/>
      <c r="AG19" s="298"/>
      <c r="AH19" s="298"/>
      <c r="AI19" s="298"/>
      <c r="AJ19" s="298"/>
      <c r="AK19" s="298"/>
      <c r="AL19" s="298"/>
      <c r="AM19" s="298"/>
      <c r="AN19" s="298"/>
      <c r="AO19" s="299"/>
    </row>
    <row r="20" spans="1:41" ht="24" customHeight="1">
      <c r="A20" s="2309"/>
      <c r="B20" s="304" t="s">
        <v>253</v>
      </c>
      <c r="C20" s="305">
        <f>C23</f>
        <v>23398</v>
      </c>
      <c r="D20" s="305">
        <f>+'라.수학적방법(금왕읍)'!B45</f>
        <v>25323</v>
      </c>
      <c r="E20" s="305">
        <f>+'라.수학적방법(금왕읍)'!C45</f>
        <v>27171</v>
      </c>
      <c r="F20" s="305">
        <f>+'라.수학적방법(금왕읍)'!D45</f>
        <v>29154</v>
      </c>
      <c r="G20" s="305">
        <f>+'라.수학적방법(금왕읍)'!E45</f>
        <v>31281</v>
      </c>
      <c r="H20" s="305" t="str">
        <f>+'라.수학적방법(금왕읍)'!F45</f>
        <v>제외</v>
      </c>
      <c r="I20" s="298"/>
      <c r="J20" s="298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9"/>
      <c r="Z20" s="298"/>
      <c r="AA20" s="299"/>
      <c r="AB20" s="300"/>
      <c r="AC20" s="298"/>
      <c r="AD20" s="298"/>
      <c r="AE20" s="298"/>
      <c r="AF20" s="298"/>
      <c r="AG20" s="298"/>
      <c r="AH20" s="298"/>
      <c r="AI20" s="298"/>
      <c r="AJ20" s="298"/>
      <c r="AK20" s="298"/>
      <c r="AL20" s="298"/>
      <c r="AM20" s="298"/>
      <c r="AN20" s="298"/>
      <c r="AO20" s="299"/>
    </row>
    <row r="21" spans="1:41" ht="24" customHeight="1">
      <c r="A21" s="2309"/>
      <c r="B21" s="304" t="s">
        <v>259</v>
      </c>
      <c r="C21" s="305">
        <f>C23</f>
        <v>23398</v>
      </c>
      <c r="D21" s="305">
        <f>+'라.수학적방법(금왕읍)'!B46</f>
        <v>24101</v>
      </c>
      <c r="E21" s="305">
        <f>+'라.수학적방법(금왕읍)'!C46</f>
        <v>24586</v>
      </c>
      <c r="F21" s="305">
        <f>+'라.수학적방법(금왕읍)'!D46</f>
        <v>24969</v>
      </c>
      <c r="G21" s="305">
        <f>+'라.수학적방법(금왕읍)'!E46</f>
        <v>25286</v>
      </c>
      <c r="H21" s="305" t="str">
        <f>+'라.수학적방법(금왕읍)'!F46</f>
        <v/>
      </c>
      <c r="I21" s="298"/>
      <c r="J21" s="298"/>
      <c r="K21" s="298"/>
      <c r="L21" s="298"/>
      <c r="M21" s="298"/>
      <c r="N21" s="298"/>
      <c r="O21" s="298"/>
      <c r="P21" s="298"/>
      <c r="Q21" s="298"/>
      <c r="R21" s="298"/>
      <c r="S21" s="298"/>
      <c r="T21" s="298"/>
      <c r="U21" s="298"/>
      <c r="V21" s="298"/>
      <c r="W21" s="298"/>
      <c r="X21" s="298"/>
      <c r="Y21" s="299"/>
      <c r="Z21" s="298"/>
      <c r="AA21" s="299"/>
      <c r="AB21" s="300"/>
      <c r="AC21" s="298"/>
      <c r="AD21" s="298"/>
      <c r="AE21" s="298"/>
      <c r="AF21" s="298"/>
      <c r="AG21" s="298"/>
      <c r="AH21" s="298"/>
      <c r="AI21" s="298"/>
      <c r="AJ21" s="298"/>
      <c r="AK21" s="298"/>
      <c r="AL21" s="298"/>
      <c r="AM21" s="298"/>
      <c r="AN21" s="298"/>
      <c r="AO21" s="299"/>
    </row>
    <row r="22" spans="1:41" ht="24" customHeight="1">
      <c r="A22" s="2309"/>
      <c r="B22" s="304" t="s">
        <v>256</v>
      </c>
      <c r="C22" s="305">
        <f>C23</f>
        <v>23398</v>
      </c>
      <c r="D22" s="305">
        <f>+'라.수학적방법(금왕읍)'!B47</f>
        <v>23420</v>
      </c>
      <c r="E22" s="305">
        <f>+'라.수학적방법(금왕읍)'!C47</f>
        <v>23429</v>
      </c>
      <c r="F22" s="305">
        <f>+'라.수학적방법(금왕읍)'!D47</f>
        <v>23430</v>
      </c>
      <c r="G22" s="305">
        <f>+'라.수학적방법(금왕읍)'!E47</f>
        <v>23430</v>
      </c>
      <c r="H22" s="305" t="str">
        <f>+'라.수학적방법(금왕읍)'!F47</f>
        <v/>
      </c>
      <c r="I22" s="298"/>
      <c r="J22" s="298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9"/>
      <c r="Z22" s="298"/>
      <c r="AA22" s="299"/>
      <c r="AB22" s="300"/>
      <c r="AC22" s="298"/>
      <c r="AD22" s="298"/>
      <c r="AE22" s="298"/>
      <c r="AF22" s="298"/>
      <c r="AG22" s="298"/>
      <c r="AH22" s="298"/>
      <c r="AI22" s="298"/>
      <c r="AJ22" s="298"/>
      <c r="AK22" s="298"/>
      <c r="AL22" s="298"/>
      <c r="AM22" s="298"/>
      <c r="AN22" s="298"/>
      <c r="AO22" s="299"/>
    </row>
    <row r="23" spans="1:41" ht="24" customHeight="1">
      <c r="A23" s="2310"/>
      <c r="B23" s="307" t="s">
        <v>258</v>
      </c>
      <c r="C23" s="308">
        <f>'라.수학적방법(금왕읍)'!B15</f>
        <v>23398</v>
      </c>
      <c r="D23" s="308">
        <f>+'라.수학적방법(금왕읍)'!B48</f>
        <v>24262</v>
      </c>
      <c r="E23" s="308">
        <f>+'라.수학적방법(금왕읍)'!C48</f>
        <v>25036</v>
      </c>
      <c r="F23" s="308">
        <f>+'라.수학적방법(금왕읍)'!D48</f>
        <v>25806</v>
      </c>
      <c r="G23" s="308">
        <f>+'라.수학적방법(금왕읍)'!E48</f>
        <v>26575</v>
      </c>
      <c r="H23" s="308">
        <f>+'라.수학적방법(금왕읍)'!F48</f>
        <v>0</v>
      </c>
      <c r="I23" s="298"/>
      <c r="J23" s="298"/>
      <c r="K23" s="298"/>
      <c r="L23" s="298"/>
      <c r="M23" s="298"/>
      <c r="N23" s="298"/>
      <c r="O23" s="298"/>
      <c r="P23" s="298"/>
      <c r="Q23" s="298"/>
      <c r="R23" s="298"/>
      <c r="S23" s="298"/>
      <c r="T23" s="298"/>
      <c r="U23" s="298"/>
      <c r="V23" s="298"/>
      <c r="W23" s="298"/>
      <c r="X23" s="298"/>
      <c r="Y23" s="299"/>
      <c r="Z23" s="298"/>
      <c r="AA23" s="299"/>
      <c r="AB23" s="300"/>
      <c r="AC23" s="298"/>
      <c r="AD23" s="298"/>
      <c r="AE23" s="298"/>
      <c r="AF23" s="298"/>
      <c r="AG23" s="298"/>
      <c r="AH23" s="298"/>
      <c r="AI23" s="298"/>
      <c r="AJ23" s="298"/>
      <c r="AK23" s="298"/>
      <c r="AL23" s="298"/>
      <c r="AM23" s="298"/>
      <c r="AN23" s="298"/>
      <c r="AO23" s="299"/>
    </row>
    <row r="24" spans="1:41" ht="24" customHeight="1">
      <c r="A24" s="2308" t="s">
        <v>668</v>
      </c>
      <c r="B24" s="301" t="s">
        <v>251</v>
      </c>
      <c r="C24" s="302">
        <f>C28</f>
        <v>3240</v>
      </c>
      <c r="D24" s="302">
        <f>+'마.수학적방법(소이면)'!B44</f>
        <v>3073</v>
      </c>
      <c r="E24" s="302">
        <f>+'마.수학적방법(소이면)'!C44</f>
        <v>2908</v>
      </c>
      <c r="F24" s="302">
        <f>+'마.수학적방법(소이면)'!D44</f>
        <v>2742</v>
      </c>
      <c r="G24" s="302">
        <f>+'마.수학적방법(소이면)'!E44</f>
        <v>2577</v>
      </c>
      <c r="H24" s="302" t="str">
        <f>+'마.수학적방법(소이면)'!F44</f>
        <v/>
      </c>
      <c r="I24" s="298"/>
      <c r="J24" s="298"/>
      <c r="K24" s="298"/>
      <c r="L24" s="298"/>
      <c r="M24" s="298"/>
      <c r="N24" s="298"/>
      <c r="O24" s="298"/>
      <c r="P24" s="298"/>
      <c r="Q24" s="298"/>
      <c r="R24" s="298"/>
      <c r="S24" s="298"/>
      <c r="T24" s="298"/>
      <c r="U24" s="298"/>
      <c r="V24" s="298"/>
      <c r="W24" s="298"/>
      <c r="X24" s="298"/>
      <c r="Y24" s="299"/>
      <c r="Z24" s="298"/>
      <c r="AA24" s="299"/>
      <c r="AB24" s="300"/>
      <c r="AC24" s="298"/>
      <c r="AD24" s="298"/>
      <c r="AE24" s="298"/>
      <c r="AF24" s="298"/>
      <c r="AG24" s="298"/>
      <c r="AH24" s="298"/>
      <c r="AI24" s="298"/>
      <c r="AJ24" s="298"/>
      <c r="AK24" s="298"/>
      <c r="AL24" s="298"/>
      <c r="AM24" s="298"/>
      <c r="AN24" s="298"/>
      <c r="AO24" s="299"/>
    </row>
    <row r="25" spans="1:41" ht="24" customHeight="1">
      <c r="A25" s="2309"/>
      <c r="B25" s="304" t="s">
        <v>253</v>
      </c>
      <c r="C25" s="305">
        <f>C28</f>
        <v>3240</v>
      </c>
      <c r="D25" s="305">
        <f>+'마.수학적방법(소이면)'!B45</f>
        <v>3084</v>
      </c>
      <c r="E25" s="305">
        <f>+'마.수학적방법(소이면)'!C45</f>
        <v>2936</v>
      </c>
      <c r="F25" s="305">
        <f>+'마.수학적방법(소이면)'!D45</f>
        <v>2795</v>
      </c>
      <c r="G25" s="305">
        <f>+'마.수학적방법(소이면)'!E45</f>
        <v>2661</v>
      </c>
      <c r="H25" s="305" t="str">
        <f>+'마.수학적방법(소이면)'!F45</f>
        <v>제외</v>
      </c>
      <c r="I25" s="298"/>
      <c r="J25" s="298"/>
      <c r="K25" s="298"/>
      <c r="L25" s="298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9"/>
      <c r="Z25" s="298"/>
      <c r="AA25" s="299"/>
      <c r="AB25" s="300"/>
      <c r="AC25" s="298"/>
      <c r="AD25" s="298"/>
      <c r="AE25" s="298"/>
      <c r="AF25" s="298"/>
      <c r="AG25" s="298"/>
      <c r="AH25" s="298"/>
      <c r="AI25" s="298"/>
      <c r="AJ25" s="298"/>
      <c r="AK25" s="298"/>
      <c r="AL25" s="298"/>
      <c r="AM25" s="298"/>
      <c r="AN25" s="298"/>
      <c r="AO25" s="299"/>
    </row>
    <row r="26" spans="1:41" ht="24" customHeight="1">
      <c r="A26" s="2309"/>
      <c r="B26" s="304" t="s">
        <v>259</v>
      </c>
      <c r="C26" s="305">
        <f>C28</f>
        <v>3240</v>
      </c>
      <c r="D26" s="305">
        <f>+'마.수학적방법(소이면)'!B46</f>
        <v>3224</v>
      </c>
      <c r="E26" s="305">
        <f>+'마.수학적방법(소이면)'!C46</f>
        <v>3187</v>
      </c>
      <c r="F26" s="305">
        <f>+'마.수학적방법(소이면)'!D46</f>
        <v>3159</v>
      </c>
      <c r="G26" s="305">
        <f>+'마.수학적방법(소이면)'!E46</f>
        <v>3136</v>
      </c>
      <c r="H26" s="305" t="str">
        <f>+'마.수학적방법(소이면)'!F46</f>
        <v>제외</v>
      </c>
      <c r="I26" s="298"/>
      <c r="J26" s="298"/>
      <c r="K26" s="298"/>
      <c r="L26" s="298"/>
      <c r="M26" s="298"/>
      <c r="N26" s="298"/>
      <c r="O26" s="298"/>
      <c r="P26" s="298"/>
      <c r="Q26" s="298"/>
      <c r="R26" s="298"/>
      <c r="S26" s="298"/>
      <c r="T26" s="298"/>
      <c r="U26" s="298"/>
      <c r="V26" s="298"/>
      <c r="W26" s="298"/>
      <c r="X26" s="298"/>
      <c r="Y26" s="299"/>
      <c r="Z26" s="298"/>
      <c r="AA26" s="299"/>
      <c r="AB26" s="300"/>
      <c r="AC26" s="298"/>
      <c r="AD26" s="298"/>
      <c r="AE26" s="298"/>
      <c r="AF26" s="298"/>
      <c r="AG26" s="298"/>
      <c r="AH26" s="298"/>
      <c r="AI26" s="298"/>
      <c r="AJ26" s="298"/>
      <c r="AK26" s="298"/>
      <c r="AL26" s="298"/>
      <c r="AM26" s="298"/>
      <c r="AN26" s="298"/>
      <c r="AO26" s="299"/>
    </row>
    <row r="27" spans="1:41" ht="24" customHeight="1">
      <c r="A27" s="2309"/>
      <c r="B27" s="304" t="s">
        <v>256</v>
      </c>
      <c r="C27" s="305">
        <f>C28</f>
        <v>3240</v>
      </c>
      <c r="D27" s="305">
        <f>+'마.수학적방법(소이면)'!B47</f>
        <v>3023</v>
      </c>
      <c r="E27" s="305">
        <f>+'마.수학적방법(소이면)'!C47</f>
        <v>2772</v>
      </c>
      <c r="F27" s="305">
        <f>+'마.수학적방법(소이면)'!D47</f>
        <v>2490</v>
      </c>
      <c r="G27" s="305">
        <f>+'마.수학적방법(소이면)'!E47</f>
        <v>2186</v>
      </c>
      <c r="H27" s="305" t="str">
        <f>+'마.수학적방법(소이면)'!F47</f>
        <v/>
      </c>
      <c r="I27" s="298"/>
      <c r="J27" s="298"/>
      <c r="K27" s="298"/>
      <c r="L27" s="298"/>
      <c r="M27" s="298"/>
      <c r="N27" s="298"/>
      <c r="O27" s="298"/>
      <c r="P27" s="298"/>
      <c r="Q27" s="298"/>
      <c r="R27" s="298"/>
      <c r="S27" s="298"/>
      <c r="T27" s="298"/>
      <c r="U27" s="298"/>
      <c r="V27" s="298"/>
      <c r="W27" s="298"/>
      <c r="X27" s="298"/>
      <c r="Y27" s="299"/>
      <c r="Z27" s="298"/>
      <c r="AA27" s="299"/>
      <c r="AB27" s="311"/>
      <c r="AC27" s="312"/>
      <c r="AD27" s="312"/>
      <c r="AE27" s="312"/>
      <c r="AF27" s="312"/>
      <c r="AG27" s="312"/>
      <c r="AH27" s="312"/>
      <c r="AI27" s="312"/>
      <c r="AJ27" s="312"/>
      <c r="AK27" s="312"/>
      <c r="AL27" s="312"/>
      <c r="AM27" s="312"/>
      <c r="AN27" s="312"/>
      <c r="AO27" s="313"/>
    </row>
    <row r="28" spans="1:41" ht="24" customHeight="1">
      <c r="A28" s="2310"/>
      <c r="B28" s="307" t="s">
        <v>258</v>
      </c>
      <c r="C28" s="308">
        <f>'마.수학적방법(소이면)'!B15</f>
        <v>3240</v>
      </c>
      <c r="D28" s="308">
        <f>+'마.수학적방법(소이면)'!B48</f>
        <v>3048</v>
      </c>
      <c r="E28" s="308">
        <f>+'마.수학적방법(소이면)'!C48</f>
        <v>2840</v>
      </c>
      <c r="F28" s="308">
        <f>+'마.수학적방법(소이면)'!D48</f>
        <v>2616</v>
      </c>
      <c r="G28" s="308">
        <f>+'마.수학적방법(소이면)'!E48</f>
        <v>2382</v>
      </c>
      <c r="H28" s="308">
        <f>+'마.수학적방법(소이면)'!F48</f>
        <v>0</v>
      </c>
      <c r="I28" s="312"/>
      <c r="J28" s="312"/>
      <c r="K28" s="312"/>
      <c r="L28" s="312"/>
      <c r="M28" s="312"/>
      <c r="N28" s="312"/>
      <c r="O28" s="312"/>
      <c r="P28" s="312"/>
      <c r="Q28" s="312"/>
      <c r="R28" s="312"/>
      <c r="S28" s="312"/>
      <c r="T28" s="312"/>
      <c r="U28" s="312"/>
      <c r="V28" s="312"/>
      <c r="W28" s="312"/>
      <c r="X28" s="312"/>
      <c r="Y28" s="313"/>
      <c r="Z28" s="298"/>
      <c r="AA28" s="299"/>
    </row>
    <row r="29" spans="1:41" ht="24" customHeight="1">
      <c r="A29" s="2311" t="s">
        <v>669</v>
      </c>
      <c r="B29" s="316" t="s">
        <v>261</v>
      </c>
      <c r="C29" s="310">
        <f>C33</f>
        <v>3317</v>
      </c>
      <c r="D29" s="310">
        <f>+'바.수학적방법(원남면)'!B44</f>
        <v>3207</v>
      </c>
      <c r="E29" s="310">
        <f>+'바.수학적방법(원남면)'!C44</f>
        <v>3137</v>
      </c>
      <c r="F29" s="310">
        <f>+'바.수학적방법(원남면)'!D44</f>
        <v>3068</v>
      </c>
      <c r="G29" s="310">
        <f>+'바.수학적방법(원남면)'!E44</f>
        <v>2998</v>
      </c>
      <c r="H29" s="310" t="str">
        <f>+'바.수학적방법(원남면)'!F44</f>
        <v>제외</v>
      </c>
      <c r="I29" s="298"/>
      <c r="J29" s="298"/>
      <c r="K29" s="298"/>
      <c r="L29" s="298"/>
      <c r="M29" s="314"/>
      <c r="N29" s="314"/>
      <c r="O29" s="314"/>
      <c r="P29" s="314"/>
      <c r="Q29" s="314"/>
      <c r="R29" s="298"/>
      <c r="S29" s="298"/>
      <c r="T29" s="298"/>
      <c r="U29" s="298"/>
      <c r="V29" s="298"/>
      <c r="W29" s="298"/>
      <c r="X29" s="298"/>
      <c r="Y29" s="298"/>
      <c r="Z29" s="298"/>
      <c r="AA29" s="299"/>
    </row>
    <row r="30" spans="1:41" ht="24" customHeight="1">
      <c r="A30" s="2309"/>
      <c r="B30" s="304" t="s">
        <v>253</v>
      </c>
      <c r="C30" s="305">
        <f>C33</f>
        <v>3317</v>
      </c>
      <c r="D30" s="305">
        <f>+'바.수학적방법(원남면)'!B45</f>
        <v>3209</v>
      </c>
      <c r="E30" s="305">
        <f>+'바.수학적방법(원남면)'!C45</f>
        <v>3143</v>
      </c>
      <c r="F30" s="305">
        <f>+'바.수학적방법(원남면)'!D45</f>
        <v>3079</v>
      </c>
      <c r="G30" s="305">
        <f>+'바.수학적방법(원남면)'!E45</f>
        <v>3015</v>
      </c>
      <c r="H30" s="305" t="str">
        <f>+'바.수학적방법(원남면)'!F45</f>
        <v>제외</v>
      </c>
      <c r="I30" s="298"/>
      <c r="J30" s="298"/>
      <c r="K30" s="298"/>
      <c r="L30" s="298"/>
      <c r="M30" s="314"/>
      <c r="N30" s="314"/>
      <c r="O30" s="314"/>
      <c r="P30" s="314"/>
      <c r="Q30" s="314"/>
      <c r="R30" s="298"/>
      <c r="S30" s="298"/>
      <c r="T30" s="298"/>
      <c r="U30" s="298"/>
      <c r="V30" s="298"/>
      <c r="W30" s="298"/>
      <c r="X30" s="298"/>
      <c r="Y30" s="298"/>
      <c r="Z30" s="298"/>
      <c r="AA30" s="299"/>
    </row>
    <row r="31" spans="1:41" ht="24" customHeight="1">
      <c r="A31" s="2309"/>
      <c r="B31" s="304" t="s">
        <v>259</v>
      </c>
      <c r="C31" s="305">
        <f>C33</f>
        <v>3317</v>
      </c>
      <c r="D31" s="305">
        <f>+'바.수학적방법(원남면)'!B46</f>
        <v>3267</v>
      </c>
      <c r="E31" s="305">
        <f>+'바.수학적방법(원남면)'!C46</f>
        <v>3255</v>
      </c>
      <c r="F31" s="305">
        <f>+'바.수학적방법(원남면)'!D46</f>
        <v>3247</v>
      </c>
      <c r="G31" s="305">
        <f>+'바.수학적방법(원남면)'!E46</f>
        <v>3241</v>
      </c>
      <c r="H31" s="305" t="str">
        <f>+'바.수학적방법(원남면)'!F46</f>
        <v/>
      </c>
      <c r="I31" s="298"/>
      <c r="J31" s="298"/>
      <c r="K31" s="298"/>
      <c r="L31" s="298"/>
      <c r="M31" s="315"/>
      <c r="N31" s="315"/>
      <c r="O31" s="315"/>
      <c r="P31" s="315"/>
      <c r="Q31" s="315"/>
      <c r="R31" s="298"/>
      <c r="S31" s="298"/>
      <c r="T31" s="298"/>
      <c r="U31" s="298"/>
      <c r="V31" s="298"/>
      <c r="W31" s="298"/>
      <c r="X31" s="298"/>
      <c r="Y31" s="298"/>
      <c r="Z31" s="298"/>
      <c r="AA31" s="299"/>
    </row>
    <row r="32" spans="1:41" ht="24" customHeight="1">
      <c r="A32" s="2309"/>
      <c r="B32" s="304" t="s">
        <v>256</v>
      </c>
      <c r="C32" s="305">
        <f>C33</f>
        <v>3317</v>
      </c>
      <c r="D32" s="305">
        <f>+'바.수학적방법(원남면)'!B47</f>
        <v>3209</v>
      </c>
      <c r="E32" s="305">
        <f>+'바.수학적방법(원남면)'!C47</f>
        <v>3143</v>
      </c>
      <c r="F32" s="305">
        <f>+'바.수학적방법(원남면)'!D47</f>
        <v>3078</v>
      </c>
      <c r="G32" s="305">
        <f>+'바.수학적방법(원남면)'!E47</f>
        <v>3015</v>
      </c>
      <c r="H32" s="305" t="str">
        <f>+'바.수학적방법(원남면)'!F47</f>
        <v/>
      </c>
      <c r="I32" s="298"/>
      <c r="J32" s="298"/>
      <c r="K32" s="298"/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  <c r="AA32" s="299"/>
    </row>
    <row r="33" spans="1:27" ht="24" customHeight="1">
      <c r="A33" s="2310"/>
      <c r="B33" s="307" t="s">
        <v>258</v>
      </c>
      <c r="C33" s="308">
        <f>'바.수학적방법(원남면)'!B15</f>
        <v>3317</v>
      </c>
      <c r="D33" s="308">
        <f>+'바.수학적방법(원남면)'!B48</f>
        <v>3209</v>
      </c>
      <c r="E33" s="308">
        <f>+'바.수학적방법(원남면)'!C48</f>
        <v>3143</v>
      </c>
      <c r="F33" s="308">
        <f>+'바.수학적방법(원남면)'!D48</f>
        <v>3079</v>
      </c>
      <c r="G33" s="308">
        <f>+'바.수학적방법(원남면)'!E48</f>
        <v>3015</v>
      </c>
      <c r="H33" s="308">
        <f>+'바.수학적방법(원남면)'!F48</f>
        <v>0</v>
      </c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  <c r="AA33" s="299"/>
    </row>
    <row r="34" spans="1:27" ht="23.1" customHeight="1">
      <c r="A34" s="2308" t="s">
        <v>670</v>
      </c>
      <c r="B34" s="301" t="s">
        <v>251</v>
      </c>
      <c r="C34" s="302">
        <f>C38</f>
        <v>12254</v>
      </c>
      <c r="D34" s="302">
        <f>+'사.수학적방법(맹동면)'!B44</f>
        <v>12187</v>
      </c>
      <c r="E34" s="302">
        <f>+'사.수학적방법(맹동면)'!C44</f>
        <v>15267</v>
      </c>
      <c r="F34" s="302">
        <f>+'사.수학적방법(맹동면)'!D44</f>
        <v>18346</v>
      </c>
      <c r="G34" s="302">
        <f>+'사.수학적방법(맹동면)'!E44</f>
        <v>21425</v>
      </c>
      <c r="H34" s="302" t="str">
        <f>+'사.수학적방법(맹동면)'!F44</f>
        <v>제외</v>
      </c>
      <c r="I34" s="298"/>
      <c r="J34" s="298"/>
      <c r="K34" s="298"/>
      <c r="L34" s="298"/>
      <c r="M34" s="298"/>
      <c r="N34" s="298"/>
      <c r="O34" s="298"/>
      <c r="P34" s="298"/>
      <c r="Q34" s="298"/>
      <c r="R34" s="298"/>
      <c r="S34" s="298"/>
      <c r="T34" s="298"/>
      <c r="U34" s="298"/>
      <c r="V34" s="298"/>
      <c r="W34" s="298"/>
      <c r="X34" s="298"/>
      <c r="Y34" s="298"/>
      <c r="Z34" s="298"/>
      <c r="AA34" s="299"/>
    </row>
    <row r="35" spans="1:27" ht="23.1" customHeight="1">
      <c r="A35" s="2309"/>
      <c r="B35" s="304" t="s">
        <v>253</v>
      </c>
      <c r="C35" s="305">
        <f>C38</f>
        <v>12254</v>
      </c>
      <c r="D35" s="305">
        <f>+'사.수학적방법(맹동면)'!B45</f>
        <v>13113</v>
      </c>
      <c r="E35" s="305">
        <f>+'사.수학적방법(맹동면)'!C45</f>
        <v>19692</v>
      </c>
      <c r="F35" s="305">
        <f>+'사.수학적방법(맹동면)'!D45</f>
        <v>29573</v>
      </c>
      <c r="G35" s="305">
        <f>+'사.수학적방법(맹동면)'!E45</f>
        <v>44413</v>
      </c>
      <c r="H35" s="305" t="str">
        <f>+'사.수학적방법(맹동면)'!F45</f>
        <v>제외</v>
      </c>
      <c r="I35" s="298"/>
      <c r="J35" s="298"/>
      <c r="K35" s="298"/>
      <c r="L35" s="298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298"/>
      <c r="Y35" s="298"/>
      <c r="Z35" s="298"/>
      <c r="AA35" s="299"/>
    </row>
    <row r="36" spans="1:27" ht="23.1" customHeight="1">
      <c r="A36" s="2309"/>
      <c r="B36" s="304" t="s">
        <v>259</v>
      </c>
      <c r="C36" s="305">
        <f>C38</f>
        <v>12254</v>
      </c>
      <c r="D36" s="305">
        <f>+'사.수학적방법(맹동면)'!B46</f>
        <v>16684</v>
      </c>
      <c r="E36" s="305">
        <f>+'사.수학적방법(맹동면)'!C46</f>
        <v>32138</v>
      </c>
      <c r="F36" s="305">
        <f>+'사.수학적방법(맹동면)'!D46</f>
        <v>57077</v>
      </c>
      <c r="G36" s="305">
        <f>+'사.수학적방법(맹동면)'!E46</f>
        <v>93645</v>
      </c>
      <c r="H36" s="305" t="str">
        <f>+'사.수학적방법(맹동면)'!F46</f>
        <v/>
      </c>
      <c r="I36" s="298"/>
      <c r="J36" s="298"/>
      <c r="K36" s="298"/>
      <c r="L36" s="298"/>
      <c r="M36" s="298"/>
      <c r="N36" s="298"/>
      <c r="O36" s="298"/>
      <c r="P36" s="298"/>
      <c r="Q36" s="298"/>
      <c r="R36" s="298"/>
      <c r="S36" s="298"/>
      <c r="T36" s="298"/>
      <c r="U36" s="298"/>
      <c r="V36" s="298"/>
      <c r="W36" s="298"/>
      <c r="X36" s="298"/>
      <c r="Y36" s="298"/>
      <c r="Z36" s="298"/>
      <c r="AA36" s="299"/>
    </row>
    <row r="37" spans="1:27" ht="23.1" customHeight="1">
      <c r="A37" s="2309"/>
      <c r="B37" s="304" t="s">
        <v>256</v>
      </c>
      <c r="C37" s="305">
        <f>C38</f>
        <v>12254</v>
      </c>
      <c r="D37" s="305">
        <f>+'사.수학적방법(맹동면)'!B47</f>
        <v>13111</v>
      </c>
      <c r="E37" s="305">
        <f>+'사.수학적방법(맹동면)'!C47</f>
        <v>19678</v>
      </c>
      <c r="F37" s="305">
        <f>+'사.수학적방법(맹동면)'!D47</f>
        <v>29518</v>
      </c>
      <c r="G37" s="305">
        <f>+'사.수학적방법(맹동면)'!E47</f>
        <v>44243</v>
      </c>
      <c r="H37" s="305" t="str">
        <f>+'사.수학적방법(맹동면)'!F47</f>
        <v/>
      </c>
      <c r="I37" s="298"/>
      <c r="J37" s="298"/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  <c r="AA37" s="299"/>
    </row>
    <row r="38" spans="1:27" ht="23.1" customHeight="1">
      <c r="A38" s="2310"/>
      <c r="B38" s="307" t="s">
        <v>258</v>
      </c>
      <c r="C38" s="308">
        <f>'사.수학적방법(맹동면)'!B15</f>
        <v>12254</v>
      </c>
      <c r="D38" s="308">
        <f>+'사.수학적방법(맹동면)'!B48</f>
        <v>14898</v>
      </c>
      <c r="E38" s="308">
        <f>+'사.수학적방법(맹동면)'!C48</f>
        <v>25908</v>
      </c>
      <c r="F38" s="308">
        <f>+'사.수학적방법(맹동면)'!D48</f>
        <v>43298</v>
      </c>
      <c r="G38" s="308">
        <f>+'사.수학적방법(맹동면)'!E48</f>
        <v>68944</v>
      </c>
      <c r="H38" s="308">
        <f>+'사.수학적방법(맹동면)'!F48</f>
        <v>0</v>
      </c>
      <c r="I38" s="298"/>
      <c r="J38" s="298"/>
      <c r="K38" s="298"/>
      <c r="L38" s="298"/>
      <c r="M38" s="298"/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298"/>
      <c r="Y38" s="298"/>
      <c r="Z38" s="298"/>
      <c r="AA38" s="299"/>
    </row>
    <row r="39" spans="1:27" ht="21.95" customHeight="1">
      <c r="A39" s="2308" t="s">
        <v>671</v>
      </c>
      <c r="B39" s="301" t="s">
        <v>251</v>
      </c>
      <c r="C39" s="302">
        <f>C43</f>
        <v>18744</v>
      </c>
      <c r="D39" s="302">
        <f>+'아.수학적방법(대소면)'!B44</f>
        <v>20523</v>
      </c>
      <c r="E39" s="302">
        <f>+'아.수학적방법(대소면)'!C44</f>
        <v>21952</v>
      </c>
      <c r="F39" s="302">
        <f>+'아.수학적방법(대소면)'!D44</f>
        <v>23380</v>
      </c>
      <c r="G39" s="302">
        <f>+'아.수학적방법(대소면)'!E44</f>
        <v>24809</v>
      </c>
      <c r="H39" s="302" t="str">
        <f>+'아.수학적방법(대소면)'!F44</f>
        <v>제외</v>
      </c>
      <c r="I39" s="298"/>
      <c r="J39" s="298"/>
      <c r="K39" s="298"/>
      <c r="L39" s="298"/>
      <c r="M39" s="298"/>
      <c r="N39" s="298"/>
      <c r="O39" s="298"/>
      <c r="P39" s="298"/>
      <c r="Q39" s="298"/>
      <c r="R39" s="298"/>
      <c r="S39" s="298"/>
      <c r="T39" s="298"/>
      <c r="U39" s="298"/>
      <c r="V39" s="298"/>
      <c r="W39" s="298"/>
      <c r="X39" s="298"/>
      <c r="Y39" s="298"/>
      <c r="Z39" s="298"/>
      <c r="AA39" s="299"/>
    </row>
    <row r="40" spans="1:27" ht="21.95" customHeight="1">
      <c r="A40" s="2310"/>
      <c r="B40" s="304" t="s">
        <v>253</v>
      </c>
      <c r="C40" s="305">
        <f>C43</f>
        <v>18744</v>
      </c>
      <c r="D40" s="305">
        <f>+'아.수학적방법(대소면)'!B45</f>
        <v>20718</v>
      </c>
      <c r="E40" s="305">
        <f>+'아.수학적방법(대소면)'!C45</f>
        <v>22453</v>
      </c>
      <c r="F40" s="305">
        <f>+'아.수학적방법(대소면)'!D45</f>
        <v>24334</v>
      </c>
      <c r="G40" s="305">
        <f>+'아.수학적방법(대소면)'!E45</f>
        <v>26373</v>
      </c>
      <c r="H40" s="305" t="str">
        <f>+'아.수학적방법(대소면)'!F45</f>
        <v>제외</v>
      </c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3"/>
    </row>
    <row r="41" spans="1:27" ht="21.95" customHeight="1">
      <c r="A41" s="2311"/>
      <c r="B41" s="316" t="s">
        <v>259</v>
      </c>
      <c r="C41" s="310">
        <f>C43</f>
        <v>18744</v>
      </c>
      <c r="D41" s="310">
        <f>+'아.수학적방법(대소면)'!B46</f>
        <v>19731</v>
      </c>
      <c r="E41" s="310">
        <f>+'아.수학적방법(대소면)'!C46</f>
        <v>20354</v>
      </c>
      <c r="F41" s="310">
        <f>+'아.수학적방법(대소면)'!D46</f>
        <v>20881</v>
      </c>
      <c r="G41" s="310">
        <f>+'아.수학적방법(대소면)'!E46</f>
        <v>21343</v>
      </c>
      <c r="H41" s="310" t="str">
        <f>+'아.수학적방법(대소면)'!F46</f>
        <v/>
      </c>
    </row>
    <row r="42" spans="1:27" ht="21.95" customHeight="1">
      <c r="A42" s="2309"/>
      <c r="B42" s="304" t="s">
        <v>256</v>
      </c>
      <c r="C42" s="305">
        <f>C43</f>
        <v>18744</v>
      </c>
      <c r="D42" s="305">
        <f>+'아.수학적방법(대소면)'!B47</f>
        <v>19420</v>
      </c>
      <c r="E42" s="305">
        <f>+'아.수학적방법(대소면)'!C47</f>
        <v>19592</v>
      </c>
      <c r="F42" s="305">
        <f>+'아.수학적방법(대소면)'!D47</f>
        <v>19658</v>
      </c>
      <c r="G42" s="305">
        <f>+'아.수학적방법(대소면)'!E47</f>
        <v>19684</v>
      </c>
      <c r="H42" s="305" t="str">
        <f>+'아.수학적방법(대소면)'!F47</f>
        <v/>
      </c>
    </row>
    <row r="43" spans="1:27" ht="21.95" customHeight="1">
      <c r="A43" s="2310"/>
      <c r="B43" s="307" t="s">
        <v>258</v>
      </c>
      <c r="C43" s="308">
        <f>'아.수학적방법(대소면)'!B15</f>
        <v>18744</v>
      </c>
      <c r="D43" s="308">
        <f>+'아.수학적방법(대소면)'!B48</f>
        <v>19576</v>
      </c>
      <c r="E43" s="308">
        <f>+'아.수학적방법(대소면)'!C48</f>
        <v>19973</v>
      </c>
      <c r="F43" s="308">
        <f>+'아.수학적방법(대소면)'!D48</f>
        <v>20270</v>
      </c>
      <c r="G43" s="308">
        <f>+'아.수학적방법(대소면)'!E48</f>
        <v>20514</v>
      </c>
      <c r="H43" s="308">
        <f>+'아.수학적방법(대소면)'!F48</f>
        <v>0</v>
      </c>
    </row>
    <row r="44" spans="1:27" ht="21.95" customHeight="1">
      <c r="A44" s="2308" t="s">
        <v>672</v>
      </c>
      <c r="B44" s="301" t="s">
        <v>251</v>
      </c>
      <c r="C44" s="302">
        <f>C48</f>
        <v>9613</v>
      </c>
      <c r="D44" s="302">
        <f>+'자.수학적방법(삼성면)'!B44</f>
        <v>10421</v>
      </c>
      <c r="E44" s="302">
        <f>+'자.수학적방법(삼성면)'!C44</f>
        <v>11142</v>
      </c>
      <c r="F44" s="302">
        <f>+'자.수학적방법(삼성면)'!D44</f>
        <v>11863</v>
      </c>
      <c r="G44" s="302">
        <f>+'자.수학적방법(삼성면)'!E44</f>
        <v>12584</v>
      </c>
      <c r="H44" s="302" t="str">
        <f>+'자.수학적방법(삼성면)'!F44</f>
        <v>제외</v>
      </c>
      <c r="I44" s="317"/>
    </row>
    <row r="45" spans="1:27" ht="21.95" customHeight="1">
      <c r="A45" s="2309"/>
      <c r="B45" s="304" t="s">
        <v>253</v>
      </c>
      <c r="C45" s="305">
        <f>C48</f>
        <v>9613</v>
      </c>
      <c r="D45" s="305">
        <f>+'자.수학적방법(삼성면)'!B45</f>
        <v>10514</v>
      </c>
      <c r="E45" s="305">
        <f>+'자.수학적방법(삼성면)'!C45</f>
        <v>11386</v>
      </c>
      <c r="F45" s="305">
        <f>+'자.수학적방법(삼성면)'!D45</f>
        <v>12329</v>
      </c>
      <c r="G45" s="305">
        <f>+'자.수학적방법(삼성면)'!E45</f>
        <v>13351</v>
      </c>
      <c r="H45" s="305" t="str">
        <f>+'자.수학적방법(삼성면)'!F45</f>
        <v>제외</v>
      </c>
    </row>
    <row r="46" spans="1:27" ht="21.95" customHeight="1">
      <c r="A46" s="2309"/>
      <c r="B46" s="304" t="s">
        <v>259</v>
      </c>
      <c r="C46" s="305">
        <f>C48</f>
        <v>9613</v>
      </c>
      <c r="D46" s="305">
        <f>+'자.수학적방법(삼성면)'!B46</f>
        <v>10127</v>
      </c>
      <c r="E46" s="305">
        <f>+'자.수학적방법(삼성면)'!C46</f>
        <v>10555</v>
      </c>
      <c r="F46" s="305">
        <f>+'자.수학적방법(삼성면)'!D46</f>
        <v>10942</v>
      </c>
      <c r="G46" s="305">
        <f>+'자.수학적방법(삼성면)'!E46</f>
        <v>11299</v>
      </c>
      <c r="H46" s="305" t="str">
        <f>+'자.수학적방법(삼성면)'!F46</f>
        <v/>
      </c>
    </row>
    <row r="47" spans="1:27" ht="21.95" customHeight="1">
      <c r="A47" s="2309"/>
      <c r="B47" s="304" t="s">
        <v>256</v>
      </c>
      <c r="C47" s="305">
        <f>C48</f>
        <v>9613</v>
      </c>
      <c r="D47" s="305">
        <f>+'자.수학적방법(삼성면)'!B47</f>
        <v>9996</v>
      </c>
      <c r="E47" s="305">
        <f>+'자.수학적방법(삼성면)'!C47</f>
        <v>10180</v>
      </c>
      <c r="F47" s="305">
        <f>+'자.수학적방법(삼성면)'!D47</f>
        <v>10276</v>
      </c>
      <c r="G47" s="305">
        <f>+'자.수학적방법(삼성면)'!E47</f>
        <v>10327</v>
      </c>
      <c r="H47" s="305" t="str">
        <f>+'자.수학적방법(삼성면)'!F47</f>
        <v/>
      </c>
    </row>
    <row r="48" spans="1:27" ht="21.95" customHeight="1">
      <c r="A48" s="2310"/>
      <c r="B48" s="307" t="s">
        <v>258</v>
      </c>
      <c r="C48" s="308">
        <f>'자.수학적방법(삼성면)'!B15</f>
        <v>9613</v>
      </c>
      <c r="D48" s="308">
        <f>+'자.수학적방법(삼성면)'!B48</f>
        <v>10062</v>
      </c>
      <c r="E48" s="308">
        <f>+'자.수학적방법(삼성면)'!C48</f>
        <v>10368</v>
      </c>
      <c r="F48" s="308">
        <f>+'자.수학적방법(삼성면)'!D48</f>
        <v>10609</v>
      </c>
      <c r="G48" s="308">
        <f>+'자.수학적방법(삼성면)'!E48</f>
        <v>10813</v>
      </c>
      <c r="H48" s="308">
        <f>+'자.수학적방법(삼성면)'!F48</f>
        <v>0</v>
      </c>
    </row>
    <row r="49" spans="1:9" ht="21.95" customHeight="1">
      <c r="A49" s="2308" t="s">
        <v>673</v>
      </c>
      <c r="B49" s="301" t="s">
        <v>251</v>
      </c>
      <c r="C49" s="302">
        <f>C53</f>
        <v>5403</v>
      </c>
      <c r="D49" s="302">
        <f>+'차.수학적방법(생극면)'!B44</f>
        <v>5499</v>
      </c>
      <c r="E49" s="302">
        <f>+'차.수학적방법(생극면)'!C44</f>
        <v>5648</v>
      </c>
      <c r="F49" s="302">
        <f>+'차.수학적방법(생극면)'!D44</f>
        <v>5797</v>
      </c>
      <c r="G49" s="302">
        <f>+'차.수학적방법(생극면)'!E44</f>
        <v>5947</v>
      </c>
      <c r="H49" s="302" t="str">
        <f>+'차.수학적방법(생극면)'!F44</f>
        <v>제외</v>
      </c>
      <c r="I49" s="317"/>
    </row>
    <row r="50" spans="1:9" ht="21.95" customHeight="1">
      <c r="A50" s="2309"/>
      <c r="B50" s="304" t="s">
        <v>253</v>
      </c>
      <c r="C50" s="305">
        <f>C53</f>
        <v>5403</v>
      </c>
      <c r="D50" s="305">
        <f>+'차.수학적방법(생극면)'!B45</f>
        <v>5502</v>
      </c>
      <c r="E50" s="305">
        <f>+'차.수학적방법(생극면)'!C45</f>
        <v>5661</v>
      </c>
      <c r="F50" s="305">
        <f>+'차.수학적방법(생극면)'!D45</f>
        <v>5824</v>
      </c>
      <c r="G50" s="305">
        <f>+'차.수학적방법(생극면)'!E45</f>
        <v>5991</v>
      </c>
      <c r="H50" s="305" t="str">
        <f>+'차.수학적방법(생극면)'!F45</f>
        <v/>
      </c>
    </row>
    <row r="51" spans="1:9" ht="21.95" customHeight="1">
      <c r="A51" s="2309"/>
      <c r="B51" s="304" t="s">
        <v>259</v>
      </c>
      <c r="C51" s="305">
        <f>C53</f>
        <v>5403</v>
      </c>
      <c r="D51" s="305">
        <f>+'차.수학적방법(생극면)'!B46</f>
        <v>5310</v>
      </c>
      <c r="E51" s="305">
        <f>+'차.수학적방법(생극면)'!C46</f>
        <v>5355</v>
      </c>
      <c r="F51" s="305">
        <f>+'차.수학적방법(생극면)'!D46</f>
        <v>5396</v>
      </c>
      <c r="G51" s="305">
        <f>+'차.수학적방법(생극면)'!E46</f>
        <v>5433</v>
      </c>
      <c r="H51" s="305" t="str">
        <f>+'차.수학적방법(생극면)'!F46</f>
        <v>제외</v>
      </c>
    </row>
    <row r="52" spans="1:9" ht="21.95" customHeight="1">
      <c r="A52" s="2309"/>
      <c r="B52" s="304" t="s">
        <v>256</v>
      </c>
      <c r="C52" s="305">
        <f>C53</f>
        <v>5403</v>
      </c>
      <c r="D52" s="305">
        <f>+'차.수학적방법(생극면)'!B47</f>
        <v>5501</v>
      </c>
      <c r="E52" s="305">
        <f>+'차.수학적방법(생극면)'!C47</f>
        <v>5656</v>
      </c>
      <c r="F52" s="305">
        <f>+'차.수학적방법(생극면)'!D47</f>
        <v>5813</v>
      </c>
      <c r="G52" s="305">
        <f>+'차.수학적방법(생극면)'!E47</f>
        <v>5973</v>
      </c>
      <c r="H52" s="305" t="str">
        <f>+'차.수학적방법(생극면)'!F47</f>
        <v/>
      </c>
    </row>
    <row r="53" spans="1:9" ht="21.95" customHeight="1">
      <c r="A53" s="2310"/>
      <c r="B53" s="307" t="s">
        <v>258</v>
      </c>
      <c r="C53" s="308">
        <f>'차.수학적방법(생극면)'!B15</f>
        <v>5403</v>
      </c>
      <c r="D53" s="308">
        <f>+'차.수학적방법(생극면)'!B48</f>
        <v>5406</v>
      </c>
      <c r="E53" s="308">
        <f>+'차.수학적방법(생극면)'!C48</f>
        <v>5506</v>
      </c>
      <c r="F53" s="308">
        <f>+'차.수학적방법(생극면)'!D48</f>
        <v>5605</v>
      </c>
      <c r="G53" s="308">
        <f>+'차.수학적방법(생극면)'!E48</f>
        <v>5703</v>
      </c>
      <c r="H53" s="308">
        <f>+'차.수학적방법(생극면)'!F48</f>
        <v>0</v>
      </c>
    </row>
    <row r="54" spans="1:9" ht="21.95" customHeight="1">
      <c r="A54" s="2308" t="s">
        <v>674</v>
      </c>
      <c r="B54" s="301" t="s">
        <v>251</v>
      </c>
      <c r="C54" s="302">
        <f>C58</f>
        <v>11393</v>
      </c>
      <c r="D54" s="302">
        <f>+'카.수학적방법(감곡면)'!B44</f>
        <v>11873</v>
      </c>
      <c r="E54" s="302">
        <f>+'카.수학적방법(감곡면)'!C44</f>
        <v>12305</v>
      </c>
      <c r="F54" s="302">
        <f>+'카.수학적방법(감곡면)'!D44</f>
        <v>12824</v>
      </c>
      <c r="G54" s="302">
        <f>+'카.수학적방법(감곡면)'!E44</f>
        <v>13257</v>
      </c>
      <c r="H54" s="302" t="str">
        <f>+'카.수학적방법(감곡면)'!F44</f>
        <v/>
      </c>
      <c r="I54" s="317"/>
    </row>
    <row r="55" spans="1:9" ht="21.95" customHeight="1">
      <c r="A55" s="2309"/>
      <c r="B55" s="304" t="s">
        <v>253</v>
      </c>
      <c r="C55" s="305">
        <f>C58</f>
        <v>11393</v>
      </c>
      <c r="D55" s="305">
        <f>+'카.수학적방법(감곡면)'!B45</f>
        <v>11899</v>
      </c>
      <c r="E55" s="305">
        <f>+'카.수학적방법(감곡면)'!C45</f>
        <v>12373</v>
      </c>
      <c r="F55" s="305">
        <f>+'카.수학적방법(감곡면)'!D45</f>
        <v>12968</v>
      </c>
      <c r="G55" s="305">
        <f>+'카.수학적방법(감곡면)'!E45</f>
        <v>13485</v>
      </c>
      <c r="H55" s="305" t="str">
        <f>+'카.수학적방법(감곡면)'!F45</f>
        <v>제외</v>
      </c>
    </row>
    <row r="56" spans="1:9" ht="21.95" customHeight="1">
      <c r="A56" s="2309"/>
      <c r="B56" s="304" t="s">
        <v>259</v>
      </c>
      <c r="C56" s="305">
        <f>C58</f>
        <v>11393</v>
      </c>
      <c r="D56" s="305">
        <f>+'카.수학적방법(감곡면)'!B46</f>
        <v>11510</v>
      </c>
      <c r="E56" s="305">
        <f>+'카.수학적방법(감곡면)'!C46</f>
        <v>11631</v>
      </c>
      <c r="F56" s="305">
        <f>+'카.수학적방법(감곡면)'!D46</f>
        <v>11746</v>
      </c>
      <c r="G56" s="305">
        <f>+'카.수학적방법(감곡면)'!E46</f>
        <v>11824</v>
      </c>
      <c r="H56" s="305" t="str">
        <f>+'카.수학적방법(감곡면)'!F46</f>
        <v>제외</v>
      </c>
    </row>
    <row r="57" spans="1:9" ht="21.95" customHeight="1">
      <c r="A57" s="2309"/>
      <c r="B57" s="304" t="s">
        <v>256</v>
      </c>
      <c r="C57" s="305">
        <f>C58</f>
        <v>11393</v>
      </c>
      <c r="D57" s="305">
        <f>+'카.수학적방법(감곡면)'!B47</f>
        <v>11865</v>
      </c>
      <c r="E57" s="305">
        <f>+'카.수학적방법(감곡면)'!C47</f>
        <v>12284</v>
      </c>
      <c r="F57" s="305">
        <f>+'카.수학적방법(감곡면)'!D47</f>
        <v>12775</v>
      </c>
      <c r="G57" s="305">
        <f>+'카.수학적방법(감곡면)'!E47</f>
        <v>13174</v>
      </c>
      <c r="H57" s="305" t="str">
        <f>+'카.수학적방법(감곡면)'!F47</f>
        <v/>
      </c>
    </row>
    <row r="58" spans="1:9" ht="21.95" customHeight="1">
      <c r="A58" s="2310"/>
      <c r="B58" s="307" t="s">
        <v>258</v>
      </c>
      <c r="C58" s="308">
        <f>'카.수학적방법(감곡면)'!B15</f>
        <v>11393</v>
      </c>
      <c r="D58" s="308">
        <f>+'카.수학적방법(감곡면)'!B48</f>
        <v>11882</v>
      </c>
      <c r="E58" s="308">
        <f>+'카.수학적방법(감곡면)'!C48</f>
        <v>12329</v>
      </c>
      <c r="F58" s="308">
        <f>+'카.수학적방법(감곡면)'!D48</f>
        <v>12872</v>
      </c>
      <c r="G58" s="308">
        <f>+'카.수학적방법(감곡면)'!E48</f>
        <v>13330</v>
      </c>
      <c r="H58" s="308">
        <f>+'카.수학적방법(감곡면)'!F48</f>
        <v>0</v>
      </c>
    </row>
    <row r="59" spans="1:9" ht="21.95" customHeight="1">
      <c r="A59" s="318"/>
      <c r="B59" s="319"/>
      <c r="C59" s="320"/>
      <c r="D59" s="597">
        <f>(D8-C8)/C8*100</f>
        <v>7.6264576814290681</v>
      </c>
      <c r="E59" s="597">
        <f t="shared" ref="E59:G59" si="0">(E8-D8)/D8*100</f>
        <v>9.5909547299951985</v>
      </c>
      <c r="F59" s="597">
        <f t="shared" si="0"/>
        <v>9.5315487571701709</v>
      </c>
      <c r="G59" s="597">
        <f t="shared" si="0"/>
        <v>9.3763637950597882</v>
      </c>
      <c r="H59" s="321"/>
    </row>
    <row r="60" spans="1:9" ht="21.95" customHeight="1">
      <c r="A60" s="318"/>
      <c r="B60" s="319"/>
      <c r="C60" s="320"/>
      <c r="D60" s="597">
        <f>(D13-C13)/C13*100</f>
        <v>7.8707749556000337</v>
      </c>
      <c r="E60" s="597">
        <f>(E13-D13)/D13*100</f>
        <v>9.4124308550023965</v>
      </c>
      <c r="F60" s="597">
        <f>(F13-E13)/E13*100</f>
        <v>9.0222929936305736</v>
      </c>
      <c r="G60" s="597">
        <f>(G13-F13)/F13*100</f>
        <v>8.7247684982326987</v>
      </c>
      <c r="H60" s="321"/>
    </row>
    <row r="61" spans="1:9" ht="21.95" customHeight="1">
      <c r="A61" s="318"/>
      <c r="B61" s="319"/>
      <c r="C61" s="320"/>
      <c r="D61" s="320"/>
      <c r="E61" s="320"/>
      <c r="F61" s="320"/>
      <c r="G61" s="320"/>
      <c r="H61" s="321"/>
    </row>
    <row r="62" spans="1:9" ht="21.95" customHeight="1">
      <c r="A62" s="318"/>
      <c r="B62" s="319"/>
      <c r="C62" s="320">
        <f>AVERAGE(C8,C13)</f>
        <v>106419</v>
      </c>
      <c r="D62" s="320">
        <f t="shared" ref="D62:G62" si="1">AVERAGE(D8,D13)</f>
        <v>114665</v>
      </c>
      <c r="E62" s="320">
        <f t="shared" si="1"/>
        <v>125560</v>
      </c>
      <c r="F62" s="320">
        <f t="shared" si="1"/>
        <v>137208</v>
      </c>
      <c r="G62" s="320">
        <f t="shared" si="1"/>
        <v>149627</v>
      </c>
      <c r="H62" s="321"/>
    </row>
    <row r="63" spans="1:9" ht="21.95" customHeight="1">
      <c r="A63" s="318"/>
      <c r="B63" s="319"/>
      <c r="C63" s="320"/>
      <c r="D63" s="320"/>
      <c r="E63" s="320"/>
      <c r="F63" s="320"/>
      <c r="G63" s="320"/>
      <c r="H63" s="321"/>
    </row>
    <row r="64" spans="1:9" ht="21.95" customHeight="1">
      <c r="A64" s="318"/>
      <c r="B64" s="319"/>
      <c r="C64" s="320"/>
      <c r="D64" s="320"/>
      <c r="E64" s="320"/>
      <c r="F64" s="320"/>
      <c r="G64" s="320"/>
      <c r="H64" s="321"/>
    </row>
    <row r="65" spans="1:8" ht="21.95" customHeight="1">
      <c r="A65" s="318"/>
      <c r="B65" s="319"/>
      <c r="C65" s="320"/>
      <c r="D65" s="320"/>
      <c r="E65" s="320"/>
      <c r="F65" s="320"/>
      <c r="G65" s="320"/>
      <c r="H65" s="321"/>
    </row>
    <row r="66" spans="1:8" ht="21.95" customHeight="1">
      <c r="A66" s="318"/>
      <c r="B66" s="319"/>
      <c r="C66" s="320"/>
      <c r="D66" s="320"/>
      <c r="E66" s="320"/>
      <c r="F66" s="320"/>
      <c r="G66" s="320"/>
      <c r="H66" s="321"/>
    </row>
    <row r="67" spans="1:8" ht="21.95" customHeight="1">
      <c r="A67" s="318"/>
      <c r="B67" s="319"/>
      <c r="C67" s="320"/>
      <c r="D67" s="320"/>
      <c r="E67" s="320"/>
      <c r="F67" s="320"/>
      <c r="G67" s="320"/>
      <c r="H67" s="321"/>
    </row>
    <row r="68" spans="1:8" ht="21.95" customHeight="1">
      <c r="A68" s="318"/>
      <c r="B68" s="319"/>
      <c r="C68" s="320"/>
      <c r="D68" s="320"/>
      <c r="E68" s="320"/>
      <c r="F68" s="320"/>
      <c r="G68" s="320"/>
      <c r="H68" s="321"/>
    </row>
    <row r="69" spans="1:8" ht="21.95" customHeight="1">
      <c r="A69" s="318"/>
      <c r="B69" s="319"/>
      <c r="C69" s="320"/>
      <c r="D69" s="320"/>
      <c r="E69" s="320"/>
      <c r="F69" s="320"/>
      <c r="G69" s="320"/>
      <c r="H69" s="321"/>
    </row>
    <row r="70" spans="1:8" ht="21.95" customHeight="1">
      <c r="A70" s="318"/>
      <c r="B70" s="319"/>
      <c r="C70" s="320"/>
      <c r="D70" s="320"/>
      <c r="E70" s="320"/>
      <c r="F70" s="320"/>
      <c r="G70" s="320"/>
      <c r="H70" s="321"/>
    </row>
    <row r="71" spans="1:8" ht="21.95" customHeight="1">
      <c r="A71" s="318"/>
      <c r="B71" s="319"/>
      <c r="C71" s="320"/>
      <c r="D71" s="320"/>
      <c r="E71" s="320"/>
      <c r="F71" s="320"/>
      <c r="G71" s="320"/>
      <c r="H71" s="321"/>
    </row>
    <row r="72" spans="1:8" ht="21.95" customHeight="1">
      <c r="A72" s="318"/>
      <c r="B72" s="319"/>
      <c r="C72" s="320"/>
      <c r="D72" s="320"/>
      <c r="E72" s="320"/>
      <c r="F72" s="320"/>
      <c r="G72" s="320"/>
      <c r="H72" s="321"/>
    </row>
    <row r="73" spans="1:8" ht="21.95" customHeight="1">
      <c r="A73" s="318"/>
      <c r="B73" s="319"/>
      <c r="C73" s="320"/>
      <c r="D73" s="320"/>
      <c r="E73" s="320"/>
      <c r="F73" s="320"/>
      <c r="G73" s="320"/>
      <c r="H73" s="321"/>
    </row>
    <row r="74" spans="1:8" ht="21.95" customHeight="1">
      <c r="A74" s="318"/>
      <c r="B74" s="319"/>
      <c r="C74" s="320"/>
      <c r="D74" s="320"/>
      <c r="E74" s="320"/>
      <c r="F74" s="320"/>
      <c r="G74" s="320"/>
      <c r="H74" s="321"/>
    </row>
    <row r="75" spans="1:8" ht="21.95" customHeight="1">
      <c r="A75" s="318"/>
      <c r="B75" s="319"/>
      <c r="C75" s="320"/>
      <c r="D75" s="320"/>
      <c r="E75" s="320"/>
      <c r="F75" s="320"/>
      <c r="G75" s="320"/>
      <c r="H75" s="321"/>
    </row>
    <row r="76" spans="1:8" ht="21.95" customHeight="1">
      <c r="A76" s="318"/>
      <c r="B76" s="319"/>
      <c r="C76" s="320"/>
      <c r="D76" s="320"/>
      <c r="E76" s="320"/>
      <c r="F76" s="320"/>
      <c r="G76" s="320"/>
      <c r="H76" s="321"/>
    </row>
    <row r="77" spans="1:8" ht="21.95" customHeight="1">
      <c r="A77" s="318"/>
      <c r="B77" s="319"/>
      <c r="C77" s="320"/>
      <c r="D77" s="320"/>
      <c r="E77" s="320"/>
      <c r="F77" s="320"/>
      <c r="G77" s="320"/>
      <c r="H77" s="321"/>
    </row>
    <row r="78" spans="1:8" ht="21.95" customHeight="1">
      <c r="A78" s="318"/>
      <c r="B78" s="319"/>
      <c r="C78" s="320"/>
      <c r="D78" s="320"/>
      <c r="E78" s="320"/>
      <c r="F78" s="320"/>
      <c r="G78" s="320"/>
      <c r="H78" s="321"/>
    </row>
    <row r="79" spans="1:8" ht="21.95" customHeight="1">
      <c r="A79" s="318"/>
      <c r="B79" s="319"/>
      <c r="C79" s="320"/>
      <c r="D79" s="320"/>
      <c r="E79" s="320"/>
      <c r="F79" s="320"/>
      <c r="G79" s="320"/>
      <c r="H79" s="321"/>
    </row>
    <row r="80" spans="1:8" ht="21.95" customHeight="1">
      <c r="A80" s="318"/>
      <c r="B80" s="319"/>
      <c r="C80" s="320"/>
      <c r="D80" s="320"/>
      <c r="E80" s="320"/>
      <c r="F80" s="320"/>
      <c r="G80" s="320"/>
      <c r="H80" s="321"/>
    </row>
    <row r="81" spans="1:12" ht="21.95" customHeight="1">
      <c r="A81" s="318"/>
      <c r="B81" s="319"/>
      <c r="C81" s="320"/>
      <c r="D81" s="320"/>
      <c r="E81" s="320"/>
      <c r="F81" s="320"/>
      <c r="G81" s="320"/>
      <c r="H81" s="321"/>
    </row>
    <row r="82" spans="1:12" ht="21.95" customHeight="1">
      <c r="A82" s="318"/>
      <c r="B82" s="319"/>
      <c r="C82" s="320"/>
      <c r="D82" s="320"/>
      <c r="E82" s="320"/>
      <c r="F82" s="320"/>
      <c r="G82" s="320"/>
      <c r="H82" s="321"/>
    </row>
    <row r="83" spans="1:12" ht="21.95" customHeight="1">
      <c r="A83" s="318"/>
      <c r="B83" s="319"/>
      <c r="C83" s="320"/>
      <c r="D83" s="320"/>
      <c r="E83" s="320"/>
      <c r="F83" s="320"/>
      <c r="G83" s="320"/>
      <c r="H83" s="321"/>
    </row>
    <row r="84" spans="1:12" ht="18.95" customHeight="1"/>
    <row r="85" spans="1:12" ht="18.95" customHeight="1"/>
    <row r="86" spans="1:12" ht="18.95" customHeight="1"/>
    <row r="87" spans="1:12" ht="18.95" customHeight="1"/>
    <row r="88" spans="1:12" ht="18.95" customHeight="1">
      <c r="J88" s="322"/>
      <c r="K88" s="322"/>
      <c r="L88" s="322"/>
    </row>
    <row r="89" spans="1:12" ht="18.95" customHeight="1">
      <c r="J89" s="323"/>
      <c r="K89" s="324"/>
      <c r="L89" s="324"/>
    </row>
    <row r="90" spans="1:12" ht="18.95" customHeight="1">
      <c r="J90" s="323"/>
      <c r="K90" s="324"/>
      <c r="L90" s="324"/>
    </row>
    <row r="91" spans="1:12" ht="18.95" customHeight="1">
      <c r="J91" s="323"/>
      <c r="K91" s="324"/>
      <c r="L91" s="324"/>
    </row>
    <row r="92" spans="1:12" ht="18.95" customHeight="1">
      <c r="J92" s="323"/>
      <c r="K92" s="324"/>
      <c r="L92" s="324"/>
    </row>
    <row r="93" spans="1:12" ht="18.95" customHeight="1">
      <c r="J93" s="323"/>
      <c r="K93" s="324"/>
      <c r="L93" s="324"/>
    </row>
    <row r="94" spans="1:12" ht="18.95" customHeight="1"/>
    <row r="95" spans="1:12" ht="18.95" customHeight="1"/>
    <row r="96" spans="1:12" ht="18.95" customHeight="1"/>
    <row r="97" spans="1:12" ht="18.95" customHeight="1"/>
    <row r="98" spans="1:12" ht="18.95" customHeight="1"/>
    <row r="99" spans="1:12" ht="18.95" customHeight="1">
      <c r="A99" s="286"/>
    </row>
    <row r="100" spans="1:12" ht="18.95" customHeight="1">
      <c r="A100" s="286"/>
    </row>
    <row r="101" spans="1:12" s="293" customFormat="1" ht="18.95" customHeight="1">
      <c r="A101" s="286"/>
      <c r="C101" s="286"/>
      <c r="D101" s="286"/>
      <c r="E101" s="286"/>
      <c r="F101" s="286"/>
      <c r="G101" s="286"/>
      <c r="H101" s="286"/>
      <c r="I101" s="286"/>
      <c r="J101" s="286"/>
      <c r="K101" s="286"/>
      <c r="L101" s="286"/>
    </row>
    <row r="102" spans="1:12" s="293" customFormat="1" ht="18.95" customHeight="1">
      <c r="A102" s="286"/>
      <c r="C102" s="286"/>
      <c r="D102" s="286"/>
      <c r="E102" s="286"/>
      <c r="F102" s="286"/>
      <c r="G102" s="286"/>
      <c r="H102" s="286"/>
      <c r="I102" s="286"/>
      <c r="J102" s="286"/>
      <c r="K102" s="286"/>
      <c r="L102" s="286"/>
    </row>
    <row r="103" spans="1:12" s="293" customFormat="1" ht="18.95" customHeight="1">
      <c r="A103" s="286"/>
      <c r="C103" s="286"/>
      <c r="D103" s="286"/>
      <c r="E103" s="286"/>
      <c r="F103" s="286"/>
      <c r="G103" s="286"/>
      <c r="H103" s="286"/>
      <c r="I103" s="286"/>
      <c r="J103" s="286"/>
      <c r="K103" s="286"/>
      <c r="L103" s="286"/>
    </row>
    <row r="104" spans="1:12" s="293" customFormat="1" ht="18.95" customHeight="1">
      <c r="A104" s="286"/>
      <c r="C104" s="286"/>
      <c r="D104" s="286"/>
      <c r="E104" s="286"/>
      <c r="F104" s="286"/>
      <c r="G104" s="286"/>
      <c r="H104" s="286"/>
      <c r="I104" s="286"/>
      <c r="J104" s="286"/>
      <c r="K104" s="286"/>
      <c r="L104" s="286"/>
    </row>
    <row r="105" spans="1:12" s="293" customFormat="1" ht="18.95" customHeight="1">
      <c r="A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</row>
    <row r="106" spans="1:12" s="293" customFormat="1" ht="18.95" customHeight="1">
      <c r="A106" s="286"/>
      <c r="C106" s="286"/>
      <c r="D106" s="286"/>
      <c r="E106" s="286"/>
      <c r="F106" s="286"/>
      <c r="G106" s="286"/>
      <c r="H106" s="286"/>
      <c r="I106" s="286"/>
      <c r="J106" s="286"/>
      <c r="K106" s="286"/>
      <c r="L106" s="286"/>
    </row>
    <row r="107" spans="1:12" s="293" customFormat="1" ht="20.100000000000001" customHeight="1">
      <c r="A107" s="286"/>
      <c r="C107" s="286"/>
      <c r="D107" s="286"/>
      <c r="E107" s="286"/>
      <c r="F107" s="286"/>
      <c r="G107" s="286"/>
      <c r="H107" s="286"/>
      <c r="I107" s="286"/>
      <c r="J107" s="286"/>
      <c r="K107" s="286"/>
      <c r="L107" s="286"/>
    </row>
    <row r="108" spans="1:12" s="293" customFormat="1" ht="20.100000000000001" customHeight="1">
      <c r="A108" s="286"/>
      <c r="C108" s="286"/>
      <c r="D108" s="286"/>
      <c r="E108" s="286"/>
      <c r="F108" s="286"/>
      <c r="G108" s="286"/>
      <c r="H108" s="286"/>
      <c r="I108" s="286"/>
      <c r="J108" s="286"/>
      <c r="K108" s="286"/>
      <c r="L108" s="286"/>
    </row>
    <row r="109" spans="1:12" s="293" customFormat="1" ht="20.100000000000001" customHeight="1">
      <c r="A109" s="286"/>
      <c r="C109" s="286"/>
      <c r="D109" s="286"/>
      <c r="E109" s="286"/>
      <c r="F109" s="286"/>
      <c r="G109" s="286"/>
      <c r="H109" s="286"/>
      <c r="I109" s="286"/>
      <c r="J109" s="286"/>
      <c r="K109" s="286"/>
      <c r="L109" s="286"/>
    </row>
    <row r="110" spans="1:12" s="293" customFormat="1" ht="20.100000000000001" customHeight="1">
      <c r="A110" s="286"/>
      <c r="C110" s="286"/>
      <c r="D110" s="286"/>
      <c r="E110" s="286"/>
      <c r="F110" s="286"/>
      <c r="G110" s="286"/>
      <c r="H110" s="286"/>
      <c r="I110" s="286"/>
      <c r="J110" s="286"/>
      <c r="K110" s="286"/>
      <c r="L110" s="286"/>
    </row>
  </sheetData>
  <mergeCells count="11">
    <mergeCell ref="A34:A38"/>
    <mergeCell ref="A39:A43"/>
    <mergeCell ref="A54:A58"/>
    <mergeCell ref="A4:A8"/>
    <mergeCell ref="A9:A13"/>
    <mergeCell ref="A14:A18"/>
    <mergeCell ref="A19:A23"/>
    <mergeCell ref="A24:A28"/>
    <mergeCell ref="A29:A33"/>
    <mergeCell ref="A49:A53"/>
    <mergeCell ref="A44:A48"/>
  </mergeCells>
  <phoneticPr fontId="3" type="noConversion"/>
  <printOptions horizontalCentered="1"/>
  <pageMargins left="0.59055118110236227" right="0.59055118110236227" top="0.78740157480314965" bottom="0.78740157480314965" header="0.51181102362204722" footer="0.51181102362204722"/>
  <pageSetup paperSize="9" scale="90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E301"/>
  <sheetViews>
    <sheetView topLeftCell="A145" zoomScale="85" zoomScaleNormal="85" workbookViewId="0">
      <selection activeCell="Q153" sqref="Q153"/>
    </sheetView>
  </sheetViews>
  <sheetFormatPr defaultRowHeight="13.5" outlineLevelCol="1"/>
  <cols>
    <col min="1" max="1" width="5.625" style="1" customWidth="1"/>
    <col min="2" max="2" width="9" style="1" customWidth="1"/>
    <col min="3" max="3" width="10.75" style="1" customWidth="1"/>
    <col min="4" max="4" width="13" style="1" customWidth="1"/>
    <col min="5" max="5" width="14" style="1" customWidth="1"/>
    <col min="6" max="6" width="12.625" style="1" hidden="1" customWidth="1" outlineLevel="1"/>
    <col min="7" max="7" width="12.625" style="2" hidden="1" customWidth="1" outlineLevel="1"/>
    <col min="8" max="8" width="12.625" style="2" customWidth="1" collapsed="1"/>
    <col min="9" max="11" width="12.625" style="2" hidden="1" customWidth="1" outlineLevel="1"/>
    <col min="12" max="12" width="12.625" style="2" customWidth="1" collapsed="1"/>
    <col min="13" max="16" width="12.625" style="2" hidden="1" customWidth="1" outlineLevel="1"/>
    <col min="17" max="17" width="12.625" style="2" customWidth="1" collapsed="1"/>
    <col min="18" max="21" width="12.625" style="2" hidden="1" customWidth="1" outlineLevel="1"/>
    <col min="22" max="22" width="12.625" style="2" customWidth="1" collapsed="1"/>
    <col min="23" max="26" width="12.625" style="2" hidden="1" customWidth="1" outlineLevel="1"/>
    <col min="27" max="27" width="12.625" style="2" customWidth="1" collapsed="1"/>
    <col min="28" max="31" width="12.625" style="2" customWidth="1"/>
    <col min="32" max="32" width="9.625" style="2" bestFit="1" customWidth="1"/>
    <col min="33" max="33" width="10" style="2" bestFit="1" customWidth="1"/>
    <col min="34" max="34" width="20.875" style="2" bestFit="1" customWidth="1"/>
    <col min="35" max="16384" width="9" style="2"/>
  </cols>
  <sheetData>
    <row r="1" spans="1:57" ht="21" customHeight="1" thickTop="1" thickBot="1">
      <c r="A1" s="2648" t="s">
        <v>17</v>
      </c>
      <c r="B1" s="2648"/>
      <c r="C1" s="2648"/>
      <c r="D1" s="2648"/>
      <c r="E1" s="2648"/>
      <c r="I1" s="15"/>
      <c r="J1" s="15"/>
      <c r="L1" s="712">
        <f>ROUND((('1.4.조성법총괄(내부이동률 적용)'!H$7*$AK$2))+(AO$21*$AC6),0)</f>
        <v>-880</v>
      </c>
      <c r="AF1" s="35" t="s">
        <v>147</v>
      </c>
      <c r="AG1" s="38"/>
      <c r="AH1" s="36"/>
      <c r="AI1" s="37"/>
      <c r="AJ1" s="37"/>
      <c r="AK1" s="91"/>
      <c r="AL1" s="92" t="s">
        <v>148</v>
      </c>
      <c r="AM1" s="37"/>
      <c r="AN1" s="37"/>
      <c r="AO1" s="37"/>
      <c r="AP1" s="93"/>
      <c r="AQ1" s="92" t="s">
        <v>185</v>
      </c>
      <c r="AR1" s="37"/>
      <c r="AS1" s="37"/>
      <c r="AT1" s="37"/>
      <c r="AU1" s="94"/>
      <c r="AV1" s="92" t="s">
        <v>150</v>
      </c>
      <c r="AW1" s="37"/>
      <c r="AX1" s="37"/>
      <c r="AY1" s="37"/>
      <c r="AZ1" s="37"/>
      <c r="BA1" s="36"/>
      <c r="BB1" s="36"/>
      <c r="BC1" s="36"/>
      <c r="BD1" s="36"/>
      <c r="BE1" s="36"/>
    </row>
    <row r="2" spans="1:57" ht="24" customHeight="1">
      <c r="A2" s="2638" t="s">
        <v>1085</v>
      </c>
      <c r="B2" s="2638"/>
      <c r="C2" s="2638"/>
      <c r="D2" s="2638"/>
      <c r="E2" s="2638"/>
      <c r="F2" s="669">
        <f t="shared" ref="F2:AA2" si="0">+F4+F41+F77+F147+F200+F204+F207+F210+F191+F217+F121+F172+F231+F233+F228+F235+F224+F214</f>
        <v>0</v>
      </c>
      <c r="G2" s="669">
        <f t="shared" si="0"/>
        <v>72338</v>
      </c>
      <c r="H2" s="669">
        <f t="shared" si="0"/>
        <v>88284</v>
      </c>
      <c r="I2" s="669">
        <f t="shared" si="0"/>
        <v>89326</v>
      </c>
      <c r="J2" s="669">
        <f t="shared" si="0"/>
        <v>91057</v>
      </c>
      <c r="K2" s="669">
        <f t="shared" si="0"/>
        <v>91227</v>
      </c>
      <c r="L2" s="669">
        <f t="shared" si="0"/>
        <v>98816</v>
      </c>
      <c r="M2" s="669">
        <f t="shared" si="0"/>
        <v>99373</v>
      </c>
      <c r="N2" s="669">
        <f t="shared" si="0"/>
        <v>99914</v>
      </c>
      <c r="O2" s="669">
        <f t="shared" si="0"/>
        <v>100037</v>
      </c>
      <c r="P2" s="669">
        <f t="shared" si="0"/>
        <v>100150</v>
      </c>
      <c r="Q2" s="669">
        <f t="shared" si="0"/>
        <v>102824</v>
      </c>
      <c r="R2" s="669">
        <f t="shared" si="0"/>
        <v>102820</v>
      </c>
      <c r="S2" s="669">
        <f t="shared" si="0"/>
        <v>102831</v>
      </c>
      <c r="T2" s="669">
        <f t="shared" si="0"/>
        <v>102826</v>
      </c>
      <c r="U2" s="669">
        <f t="shared" si="0"/>
        <v>102829</v>
      </c>
      <c r="V2" s="669">
        <f t="shared" si="0"/>
        <v>104460</v>
      </c>
      <c r="W2" s="669">
        <f t="shared" si="0"/>
        <v>104412</v>
      </c>
      <c r="X2" s="669">
        <f t="shared" si="0"/>
        <v>104359</v>
      </c>
      <c r="Y2" s="669">
        <f t="shared" si="0"/>
        <v>104309</v>
      </c>
      <c r="Z2" s="669">
        <f t="shared" si="0"/>
        <v>104240</v>
      </c>
      <c r="AA2" s="669">
        <f t="shared" si="0"/>
        <v>131156</v>
      </c>
      <c r="AF2" s="35" t="s">
        <v>1606</v>
      </c>
      <c r="AG2" s="38"/>
      <c r="AH2" s="38"/>
      <c r="AI2" s="41"/>
      <c r="AJ2" s="1570">
        <v>0.5</v>
      </c>
      <c r="AK2" s="1570">
        <f>1-AJ2</f>
        <v>0.5</v>
      </c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38" t="s">
        <v>70</v>
      </c>
    </row>
    <row r="3" spans="1:57" ht="39.950000000000003" customHeight="1" thickBot="1">
      <c r="A3" s="736" t="s">
        <v>0</v>
      </c>
      <c r="B3" s="736" t="s">
        <v>1</v>
      </c>
      <c r="C3" s="737" t="s">
        <v>2</v>
      </c>
      <c r="D3" s="737" t="s">
        <v>3</v>
      </c>
      <c r="E3" s="737" t="s">
        <v>4</v>
      </c>
      <c r="F3" s="737">
        <v>2014</v>
      </c>
      <c r="G3" s="737">
        <v>2015</v>
      </c>
      <c r="H3" s="737">
        <v>2016</v>
      </c>
      <c r="I3" s="737">
        <v>2017</v>
      </c>
      <c r="J3" s="737">
        <v>2018</v>
      </c>
      <c r="K3" s="737">
        <v>2019</v>
      </c>
      <c r="L3" s="737">
        <v>2020</v>
      </c>
      <c r="M3" s="737">
        <v>2021</v>
      </c>
      <c r="N3" s="737">
        <v>2022</v>
      </c>
      <c r="O3" s="737">
        <v>2023</v>
      </c>
      <c r="P3" s="737">
        <v>2024</v>
      </c>
      <c r="Q3" s="737">
        <v>2025</v>
      </c>
      <c r="R3" s="737">
        <v>2026</v>
      </c>
      <c r="S3" s="737">
        <v>2027</v>
      </c>
      <c r="T3" s="737">
        <v>2028</v>
      </c>
      <c r="U3" s="737">
        <v>2029</v>
      </c>
      <c r="V3" s="737">
        <v>2030</v>
      </c>
      <c r="W3" s="737">
        <v>2031</v>
      </c>
      <c r="X3" s="737">
        <v>2032</v>
      </c>
      <c r="Y3" s="737">
        <v>2033</v>
      </c>
      <c r="Z3" s="737">
        <v>2034</v>
      </c>
      <c r="AA3" s="737">
        <v>2035</v>
      </c>
      <c r="AB3" s="736" t="s">
        <v>140</v>
      </c>
      <c r="AC3" s="736" t="s">
        <v>141</v>
      </c>
      <c r="AD3" s="737" t="s">
        <v>139</v>
      </c>
      <c r="AE3" s="674" t="str">
        <f>A2</f>
        <v>1.1 음성처리구역 인구</v>
      </c>
      <c r="AJ3" s="2">
        <v>2015</v>
      </c>
      <c r="AK3" s="2">
        <v>2016</v>
      </c>
      <c r="AL3" s="2">
        <v>2017</v>
      </c>
      <c r="AM3" s="712">
        <v>2018</v>
      </c>
      <c r="AN3" s="712">
        <v>2019</v>
      </c>
      <c r="AO3" s="712">
        <v>2020</v>
      </c>
      <c r="AP3" s="712">
        <v>2021</v>
      </c>
      <c r="AQ3" s="712">
        <v>2022</v>
      </c>
      <c r="AR3" s="712">
        <v>2023</v>
      </c>
      <c r="AS3" s="712">
        <v>2024</v>
      </c>
      <c r="AT3" s="712">
        <v>2025</v>
      </c>
      <c r="AU3" s="712">
        <v>2026</v>
      </c>
      <c r="AV3" s="712">
        <v>2027</v>
      </c>
      <c r="AW3" s="712">
        <v>2028</v>
      </c>
      <c r="AX3" s="712">
        <v>2029</v>
      </c>
      <c r="AY3" s="712">
        <v>2030</v>
      </c>
      <c r="AZ3" s="712">
        <v>2031</v>
      </c>
      <c r="BA3" s="712">
        <v>2032</v>
      </c>
      <c r="BB3" s="712">
        <v>2033</v>
      </c>
      <c r="BC3" s="712">
        <v>2034</v>
      </c>
      <c r="BD3" s="712">
        <v>2035</v>
      </c>
    </row>
    <row r="4" spans="1:57" ht="24" customHeight="1" thickTop="1">
      <c r="A4" s="2661" t="s">
        <v>760</v>
      </c>
      <c r="B4" s="1177" t="s">
        <v>6</v>
      </c>
      <c r="C4" s="1177"/>
      <c r="D4" s="1177"/>
      <c r="E4" s="1177"/>
      <c r="F4" s="956"/>
      <c r="G4" s="907">
        <f t="shared" ref="G4:AA4" si="1">SUM(G5,G22)</f>
        <v>15681</v>
      </c>
      <c r="H4" s="907">
        <f t="shared" si="1"/>
        <v>16309</v>
      </c>
      <c r="I4" s="907">
        <f t="shared" si="1"/>
        <v>16244</v>
      </c>
      <c r="J4" s="907">
        <f t="shared" si="1"/>
        <v>16211</v>
      </c>
      <c r="K4" s="907">
        <f t="shared" si="1"/>
        <v>16176</v>
      </c>
      <c r="L4" s="907">
        <f t="shared" si="1"/>
        <v>16146</v>
      </c>
      <c r="M4" s="907">
        <f t="shared" si="1"/>
        <v>16142</v>
      </c>
      <c r="N4" s="907">
        <f t="shared" si="1"/>
        <v>16138</v>
      </c>
      <c r="O4" s="907">
        <f t="shared" si="1"/>
        <v>16136</v>
      </c>
      <c r="P4" s="907">
        <f t="shared" si="1"/>
        <v>16131</v>
      </c>
      <c r="Q4" s="907">
        <f t="shared" si="1"/>
        <v>16126</v>
      </c>
      <c r="R4" s="907">
        <f t="shared" si="1"/>
        <v>16101</v>
      </c>
      <c r="S4" s="907">
        <f t="shared" si="1"/>
        <v>16079</v>
      </c>
      <c r="T4" s="907">
        <f t="shared" si="1"/>
        <v>16057</v>
      </c>
      <c r="U4" s="907">
        <f t="shared" si="1"/>
        <v>16032</v>
      </c>
      <c r="V4" s="907">
        <f t="shared" si="1"/>
        <v>16008</v>
      </c>
      <c r="W4" s="907">
        <f t="shared" si="1"/>
        <v>15966</v>
      </c>
      <c r="X4" s="907">
        <f t="shared" si="1"/>
        <v>15925</v>
      </c>
      <c r="Y4" s="907">
        <f t="shared" si="1"/>
        <v>15883</v>
      </c>
      <c r="Z4" s="907">
        <f t="shared" si="1"/>
        <v>15841</v>
      </c>
      <c r="AA4" s="907">
        <f t="shared" si="1"/>
        <v>19948</v>
      </c>
      <c r="AB4" s="931"/>
      <c r="AC4" s="713"/>
      <c r="AD4" s="1080"/>
      <c r="AE4" s="675">
        <f>+H5+H22</f>
        <v>16309</v>
      </c>
      <c r="AF4" s="869" t="s">
        <v>948</v>
      </c>
      <c r="AG4" s="874" t="s">
        <v>94</v>
      </c>
      <c r="AH4" s="877" t="e">
        <f>+'사회적유입인구의 처리구역별 배분(적용)'!#REF!</f>
        <v>#REF!</v>
      </c>
      <c r="AI4" s="878" t="e">
        <f>+'사회적유입인구의 처리구역별 배분(적용)'!#REF!</f>
        <v>#REF!</v>
      </c>
      <c r="AJ4" s="878" t="e">
        <f>+'사회적유입인구의 처리구역별 배분(적용)'!#REF!</f>
        <v>#REF!</v>
      </c>
      <c r="AK4" s="878" t="e">
        <f>+'사회적유입인구의 처리구역별 배분(적용)'!#REF!</f>
        <v>#REF!</v>
      </c>
      <c r="AL4" s="878" t="e">
        <f>+'사회적유입인구의 처리구역별 배분(적용)'!#REF!</f>
        <v>#REF!</v>
      </c>
      <c r="AM4" s="878" t="e">
        <f>+'사회적유입인구의 처리구역별 배분(적용)'!#REF!</f>
        <v>#REF!</v>
      </c>
      <c r="AN4" s="878" t="e">
        <f>+'사회적유입인구의 처리구역별 배분(적용)'!#REF!</f>
        <v>#REF!</v>
      </c>
      <c r="AO4" s="878" t="e">
        <f>+'사회적유입인구의 처리구역별 배분(적용)'!#REF!</f>
        <v>#REF!</v>
      </c>
      <c r="AP4" s="878" t="e">
        <f>+'사회적유입인구의 처리구역별 배분(적용)'!#REF!</f>
        <v>#REF!</v>
      </c>
      <c r="AQ4" s="878" t="e">
        <f>+'사회적유입인구의 처리구역별 배분(적용)'!#REF!</f>
        <v>#REF!</v>
      </c>
      <c r="AR4" s="878" t="e">
        <f>+'사회적유입인구의 처리구역별 배분(적용)'!#REF!</f>
        <v>#REF!</v>
      </c>
      <c r="AS4" s="878" t="e">
        <f>+'사회적유입인구의 처리구역별 배분(적용)'!#REF!</f>
        <v>#REF!</v>
      </c>
      <c r="AT4" s="878" t="e">
        <f>+'사회적유입인구의 처리구역별 배분(적용)'!#REF!</f>
        <v>#REF!</v>
      </c>
      <c r="AU4" s="878" t="e">
        <f>+'사회적유입인구의 처리구역별 배분(적용)'!#REF!</f>
        <v>#REF!</v>
      </c>
      <c r="AV4" s="878" t="e">
        <f>+'사회적유입인구의 처리구역별 배분(적용)'!#REF!</f>
        <v>#REF!</v>
      </c>
      <c r="AW4" s="878" t="e">
        <f>+'사회적유입인구의 처리구역별 배분(적용)'!#REF!</f>
        <v>#REF!</v>
      </c>
      <c r="AX4" s="878" t="e">
        <f>+'사회적유입인구의 처리구역별 배분(적용)'!#REF!</f>
        <v>#REF!</v>
      </c>
      <c r="AY4" s="878" t="e">
        <f>+'사회적유입인구의 처리구역별 배분(적용)'!#REF!</f>
        <v>#REF!</v>
      </c>
      <c r="AZ4" s="878" t="e">
        <f>+'사회적유입인구의 처리구역별 배분(적용)'!#REF!</f>
        <v>#REF!</v>
      </c>
      <c r="BA4" s="878" t="e">
        <f>+'사회적유입인구의 처리구역별 배분(적용)'!#REF!</f>
        <v>#REF!</v>
      </c>
      <c r="BB4" s="878" t="e">
        <f>+'사회적유입인구의 처리구역별 배분(적용)'!#REF!</f>
        <v>#REF!</v>
      </c>
      <c r="BC4" s="878" t="e">
        <f>+'사회적유입인구의 처리구역별 배분(적용)'!#REF!</f>
        <v>#REF!</v>
      </c>
      <c r="BD4" s="878" t="e">
        <f>+'사회적유입인구의 처리구역별 배분(적용)'!#REF!</f>
        <v>#REF!</v>
      </c>
      <c r="BE4" s="879" t="e">
        <f>+'사회적유입인구의 처리구역별 배분(적용)'!#REF!</f>
        <v>#REF!</v>
      </c>
    </row>
    <row r="5" spans="1:57" ht="24" customHeight="1" thickBot="1">
      <c r="A5" s="2703"/>
      <c r="B5" s="2665" t="s">
        <v>761</v>
      </c>
      <c r="C5" s="2649" t="s">
        <v>7</v>
      </c>
      <c r="D5" s="2649"/>
      <c r="E5" s="2649"/>
      <c r="F5" s="956"/>
      <c r="G5" s="907">
        <f t="shared" ref="G5:AA5" si="2">SUM(G6:G21)</f>
        <v>7376</v>
      </c>
      <c r="H5" s="925">
        <f t="shared" si="2"/>
        <v>7713</v>
      </c>
      <c r="I5" s="925">
        <f t="shared" si="2"/>
        <v>7634</v>
      </c>
      <c r="J5" s="925">
        <f t="shared" si="2"/>
        <v>7703</v>
      </c>
      <c r="K5" s="925">
        <f t="shared" si="2"/>
        <v>7687</v>
      </c>
      <c r="L5" s="907">
        <f t="shared" si="2"/>
        <v>7870</v>
      </c>
      <c r="M5" s="925">
        <f t="shared" si="2"/>
        <v>7867</v>
      </c>
      <c r="N5" s="925">
        <f t="shared" si="2"/>
        <v>7866</v>
      </c>
      <c r="O5" s="925">
        <f t="shared" si="2"/>
        <v>7864</v>
      </c>
      <c r="P5" s="925">
        <f t="shared" si="2"/>
        <v>7863</v>
      </c>
      <c r="Q5" s="907">
        <f t="shared" si="2"/>
        <v>7861</v>
      </c>
      <c r="R5" s="925">
        <f t="shared" si="2"/>
        <v>7848</v>
      </c>
      <c r="S5" s="925">
        <f t="shared" si="2"/>
        <v>7839</v>
      </c>
      <c r="T5" s="925">
        <f t="shared" si="2"/>
        <v>7829</v>
      </c>
      <c r="U5" s="925">
        <f t="shared" si="2"/>
        <v>7816</v>
      </c>
      <c r="V5" s="715">
        <f t="shared" si="2"/>
        <v>7804</v>
      </c>
      <c r="W5" s="714">
        <f t="shared" si="2"/>
        <v>7785</v>
      </c>
      <c r="X5" s="714">
        <f t="shared" si="2"/>
        <v>7767</v>
      </c>
      <c r="Y5" s="714">
        <f t="shared" si="2"/>
        <v>7746</v>
      </c>
      <c r="Z5" s="714">
        <f t="shared" si="2"/>
        <v>7726</v>
      </c>
      <c r="AA5" s="715">
        <f t="shared" si="2"/>
        <v>9669</v>
      </c>
      <c r="AB5" s="932"/>
      <c r="AC5" s="713"/>
      <c r="AD5" s="1080"/>
      <c r="AE5" s="1"/>
      <c r="AF5" s="855"/>
      <c r="AG5" s="875"/>
      <c r="AH5" s="880" t="e">
        <f>+'사회적유입인구의 처리구역별 배분(적용)'!#REF!</f>
        <v>#REF!</v>
      </c>
      <c r="AI5" s="881" t="e">
        <f>+'사회적유입인구의 처리구역별 배분(적용)'!#REF!</f>
        <v>#REF!</v>
      </c>
      <c r="AJ5" s="881" t="e">
        <f>+'사회적유입인구의 처리구역별 배분(적용)'!#REF!</f>
        <v>#REF!</v>
      </c>
      <c r="AK5" s="881" t="e">
        <f>+'사회적유입인구의 처리구역별 배분(적용)'!#REF!</f>
        <v>#REF!</v>
      </c>
      <c r="AL5" s="881" t="e">
        <f>+'사회적유입인구의 처리구역별 배분(적용)'!#REF!</f>
        <v>#REF!</v>
      </c>
      <c r="AM5" s="881" t="e">
        <f>+'사회적유입인구의 처리구역별 배분(적용)'!#REF!</f>
        <v>#REF!</v>
      </c>
      <c r="AN5" s="881" t="e">
        <f>+'사회적유입인구의 처리구역별 배분(적용)'!#REF!</f>
        <v>#REF!</v>
      </c>
      <c r="AO5" s="881" t="e">
        <f>+'사회적유입인구의 처리구역별 배분(적용)'!#REF!</f>
        <v>#REF!</v>
      </c>
      <c r="AP5" s="881" t="e">
        <f>+'사회적유입인구의 처리구역별 배분(적용)'!#REF!</f>
        <v>#REF!</v>
      </c>
      <c r="AQ5" s="881" t="e">
        <f>+'사회적유입인구의 처리구역별 배분(적용)'!#REF!</f>
        <v>#REF!</v>
      </c>
      <c r="AR5" s="881" t="e">
        <f>+'사회적유입인구의 처리구역별 배분(적용)'!#REF!</f>
        <v>#REF!</v>
      </c>
      <c r="AS5" s="881" t="e">
        <f>+'사회적유입인구의 처리구역별 배분(적용)'!#REF!</f>
        <v>#REF!</v>
      </c>
      <c r="AT5" s="881" t="e">
        <f>+'사회적유입인구의 처리구역별 배분(적용)'!#REF!</f>
        <v>#REF!</v>
      </c>
      <c r="AU5" s="881" t="e">
        <f>+'사회적유입인구의 처리구역별 배분(적용)'!#REF!</f>
        <v>#REF!</v>
      </c>
      <c r="AV5" s="881" t="e">
        <f>+'사회적유입인구의 처리구역별 배분(적용)'!#REF!</f>
        <v>#REF!</v>
      </c>
      <c r="AW5" s="881" t="e">
        <f>+'사회적유입인구의 처리구역별 배분(적용)'!#REF!</f>
        <v>#REF!</v>
      </c>
      <c r="AX5" s="881" t="e">
        <f>+'사회적유입인구의 처리구역별 배분(적용)'!#REF!</f>
        <v>#REF!</v>
      </c>
      <c r="AY5" s="881" t="e">
        <f>+'사회적유입인구의 처리구역별 배분(적용)'!#REF!</f>
        <v>#REF!</v>
      </c>
      <c r="AZ5" s="881" t="e">
        <f>+'사회적유입인구의 처리구역별 배분(적용)'!#REF!</f>
        <v>#REF!</v>
      </c>
      <c r="BA5" s="881" t="e">
        <f>+'사회적유입인구의 처리구역별 배분(적용)'!#REF!</f>
        <v>#REF!</v>
      </c>
      <c r="BB5" s="881" t="e">
        <f>+'사회적유입인구의 처리구역별 배분(적용)'!#REF!</f>
        <v>#REF!</v>
      </c>
      <c r="BC5" s="881" t="e">
        <f>+'사회적유입인구의 처리구역별 배분(적용)'!#REF!</f>
        <v>#REF!</v>
      </c>
      <c r="BD5" s="881" t="e">
        <f>+'사회적유입인구의 처리구역별 배분(적용)'!#REF!</f>
        <v>#REF!</v>
      </c>
      <c r="BE5" s="882" t="e">
        <f>+'사회적유입인구의 처리구역별 배분(적용)'!#REF!</f>
        <v>#REF!</v>
      </c>
    </row>
    <row r="6" spans="1:57" ht="24" customHeight="1" thickTop="1" thickBot="1">
      <c r="A6" s="2703"/>
      <c r="B6" s="2704"/>
      <c r="C6" s="2666" t="s">
        <v>762</v>
      </c>
      <c r="D6" s="2680" t="s">
        <v>763</v>
      </c>
      <c r="E6" s="1178" t="s">
        <v>786</v>
      </c>
      <c r="F6" s="956"/>
      <c r="G6" s="933">
        <f>+'2014처리구역인구 정리'!I6</f>
        <v>1857</v>
      </c>
      <c r="H6" s="933">
        <f>+'2014처리구역인구 정리'!J6</f>
        <v>1901</v>
      </c>
      <c r="I6" s="925">
        <f>ROUND((('1.4.조성법총괄(내부이동률 적용)'!E$4+'1.4.조성법총괄(내부이동률 적용)'!E$7*$AK$2)*$AB6)+(AL$21*$AC6),0)</f>
        <v>1870</v>
      </c>
      <c r="J6" s="925">
        <f>ROUND((('1.4.조성법총괄(내부이동률 적용)'!F$4+'1.4.조성법총괄(내부이동률 적용)'!F$7*$AK$2)*$AB6)+(AM$21*$AC6),0)</f>
        <v>1848</v>
      </c>
      <c r="K6" s="925">
        <f>ROUND((('1.4.조성법총괄(내부이동률 적용)'!G$4+'1.4.조성법총괄(내부이동률 적용)'!G$7*$AK$2)*$AB6)+(AN$21*$AC6),0)</f>
        <v>1844</v>
      </c>
      <c r="L6" s="907">
        <f>ROUND((('1.4.조성법총괄(내부이동률 적용)'!H$4+'1.4.조성법총괄(내부이동률 적용)'!H$7*$AK$2)*$AB6)+(AO$21*$AC6),0)</f>
        <v>1796</v>
      </c>
      <c r="M6" s="925">
        <f>ROUND((('1.4.조성법총괄(내부이동률 적용)'!I$4+'1.4.조성법총괄(내부이동률 적용)'!I$7*$AK$2)*$AB6)+(AP$21*$AC6),0)</f>
        <v>1796</v>
      </c>
      <c r="N6" s="925">
        <f>ROUND((('1.4.조성법총괄(내부이동률 적용)'!J$4+'1.4.조성법총괄(내부이동률 적용)'!J$7*$AK$2)*$AB6)+(AQ$21*$AC6),0)</f>
        <v>1796</v>
      </c>
      <c r="O6" s="925">
        <f>ROUND((('1.4.조성법총괄(내부이동률 적용)'!K$4+'1.4.조성법총괄(내부이동률 적용)'!K$7*$AK$2)*$AB6)+(AR$21*$AC6),0)</f>
        <v>1795</v>
      </c>
      <c r="P6" s="925">
        <f>ROUND((('1.4.조성법총괄(내부이동률 적용)'!L$4+'1.4.조성법총괄(내부이동률 적용)'!L$7*$AK$2)*$AB6)+(AS$21*$AC6),0)</f>
        <v>1795</v>
      </c>
      <c r="Q6" s="907">
        <f>ROUND((('1.4.조성법총괄(내부이동률 적용)'!M$4+'1.4.조성법총괄(내부이동률 적용)'!M$7*$AK$2)*$AB6)+(AT$21*$AC6),0)</f>
        <v>1794</v>
      </c>
      <c r="R6" s="925">
        <f>ROUND((('1.4.조성법총괄(내부이동률 적용)'!N$4+'1.4.조성법총괄(내부이동률 적용)'!N$7*$AK$2)*$AB6)+(AU$21*$AC6),0)</f>
        <v>1791</v>
      </c>
      <c r="S6" s="925">
        <f>ROUND((('1.4.조성법총괄(내부이동률 적용)'!O$4+'1.4.조성법총괄(내부이동률 적용)'!O$7*$AK$2)*$AB6)+(AV$21*$AC6),0)</f>
        <v>1789</v>
      </c>
      <c r="T6" s="925">
        <f>ROUND((('1.4.조성법총괄(내부이동률 적용)'!P$4+'1.4.조성법총괄(내부이동률 적용)'!P$7*$AK$2)*$AB6)+(AW$21*$AC6),0)</f>
        <v>1786</v>
      </c>
      <c r="U6" s="925">
        <f>ROUND((('1.4.조성법총괄(내부이동률 적용)'!Q$4+'1.4.조성법총괄(내부이동률 적용)'!Q$7*$AK$2)*$AB6)+(AX$21*$AC6),0)</f>
        <v>1783</v>
      </c>
      <c r="V6" s="715">
        <f>ROUND((('1.4.조성법총괄(내부이동률 적용)'!R$4+'1.4.조성법총괄(내부이동률 적용)'!R$7*$AK$2)*$AB6)+(AY$21*$AC6),0)</f>
        <v>1780</v>
      </c>
      <c r="W6" s="714">
        <f>ROUND((('1.4.조성법총괄(내부이동률 적용)'!S$4+'1.4.조성법총괄(내부이동률 적용)'!S$7*$AK$2)*$AB6)+(AZ$21*$AC6),0)</f>
        <v>1776</v>
      </c>
      <c r="X6" s="714">
        <f>ROUND((('1.4.조성법총괄(내부이동률 적용)'!T$4+'1.4.조성법총괄(내부이동률 적용)'!T$7*$AK$2)*$AB6)+(BA$21*$AC6),0)</f>
        <v>1771</v>
      </c>
      <c r="Y6" s="714">
        <f>ROUND((('1.4.조성법총괄(내부이동률 적용)'!U$4+'1.4.조성법총괄(내부이동률 적용)'!U$7*$AK$2)*$AB6)+(BB$21*$AC6),0)</f>
        <v>1766</v>
      </c>
      <c r="Z6" s="714">
        <f>ROUND((('1.4.조성법총괄(내부이동률 적용)'!V$4+'1.4.조성법총괄(내부이동률 적용)'!V$7*$AK$2)*$AB6)+(BC$21*$AC6),0)</f>
        <v>1761</v>
      </c>
      <c r="AA6" s="715">
        <f>ROUND((('1.4.조성법총괄(내부이동률 적용)'!W$4+'1.4.조성법총괄(내부이동률 적용)'!W$7*$AK$2)*$AB6)+(BD$21*$AC6),0)</f>
        <v>2240</v>
      </c>
      <c r="AB6" s="934">
        <f>+H6/'1.4.조성법총괄(내부이동률 적용)'!$D$8</f>
        <v>9.9753371464553708E-2</v>
      </c>
      <c r="AC6" s="934">
        <f>+H6/$AE$4</f>
        <v>0.11656140781163775</v>
      </c>
      <c r="AD6" s="1080"/>
      <c r="AE6" s="735"/>
      <c r="AF6" s="855"/>
      <c r="AG6" s="863"/>
      <c r="AH6" s="866" t="e">
        <f>+'사회적유입인구의 처리구역별 배분(적용)'!#REF!</f>
        <v>#REF!</v>
      </c>
      <c r="AI6" s="883" t="e">
        <f>+'사회적유입인구의 처리구역별 배분(적용)'!#REF!</f>
        <v>#REF!</v>
      </c>
      <c r="AJ6" s="883" t="e">
        <f>+'사회적유입인구의 처리구역별 배분(적용)'!#REF!</f>
        <v>#REF!</v>
      </c>
      <c r="AK6" s="883" t="e">
        <f>+'사회적유입인구의 처리구역별 배분(적용)'!#REF!</f>
        <v>#REF!</v>
      </c>
      <c r="AL6" s="883" t="e">
        <f>+'사회적유입인구의 처리구역별 배분(적용)'!#REF!</f>
        <v>#REF!</v>
      </c>
      <c r="AM6" s="883" t="e">
        <f>+'사회적유입인구의 처리구역별 배분(적용)'!#REF!</f>
        <v>#REF!</v>
      </c>
      <c r="AN6" s="883" t="e">
        <f>+'사회적유입인구의 처리구역별 배분(적용)'!#REF!</f>
        <v>#REF!</v>
      </c>
      <c r="AO6" s="883" t="e">
        <f>+'사회적유입인구의 처리구역별 배분(적용)'!#REF!</f>
        <v>#REF!</v>
      </c>
      <c r="AP6" s="883" t="e">
        <f>+'사회적유입인구의 처리구역별 배분(적용)'!#REF!</f>
        <v>#REF!</v>
      </c>
      <c r="AQ6" s="883" t="e">
        <f>+'사회적유입인구의 처리구역별 배분(적용)'!#REF!</f>
        <v>#REF!</v>
      </c>
      <c r="AR6" s="883" t="e">
        <f>+'사회적유입인구의 처리구역별 배분(적용)'!#REF!</f>
        <v>#REF!</v>
      </c>
      <c r="AS6" s="883" t="e">
        <f>+'사회적유입인구의 처리구역별 배분(적용)'!#REF!</f>
        <v>#REF!</v>
      </c>
      <c r="AT6" s="883" t="e">
        <f>+'사회적유입인구의 처리구역별 배분(적용)'!#REF!</f>
        <v>#REF!</v>
      </c>
      <c r="AU6" s="883" t="e">
        <f>+'사회적유입인구의 처리구역별 배분(적용)'!#REF!</f>
        <v>#REF!</v>
      </c>
      <c r="AV6" s="883" t="e">
        <f>+'사회적유입인구의 처리구역별 배분(적용)'!#REF!</f>
        <v>#REF!</v>
      </c>
      <c r="AW6" s="883" t="e">
        <f>+'사회적유입인구의 처리구역별 배분(적용)'!#REF!</f>
        <v>#REF!</v>
      </c>
      <c r="AX6" s="883" t="e">
        <f>+'사회적유입인구의 처리구역별 배분(적용)'!#REF!</f>
        <v>#REF!</v>
      </c>
      <c r="AY6" s="883" t="e">
        <f>+'사회적유입인구의 처리구역별 배분(적용)'!#REF!</f>
        <v>#REF!</v>
      </c>
      <c r="AZ6" s="883" t="e">
        <f>+'사회적유입인구의 처리구역별 배분(적용)'!#REF!</f>
        <v>#REF!</v>
      </c>
      <c r="BA6" s="883" t="e">
        <f>+'사회적유입인구의 처리구역별 배분(적용)'!#REF!</f>
        <v>#REF!</v>
      </c>
      <c r="BB6" s="883" t="e">
        <f>+'사회적유입인구의 처리구역별 배분(적용)'!#REF!</f>
        <v>#REF!</v>
      </c>
      <c r="BC6" s="883" t="e">
        <f>+'사회적유입인구의 처리구역별 배분(적용)'!#REF!</f>
        <v>#REF!</v>
      </c>
      <c r="BD6" s="883" t="e">
        <f>+'사회적유입인구의 처리구역별 배분(적용)'!#REF!</f>
        <v>#REF!</v>
      </c>
      <c r="BE6" s="884"/>
    </row>
    <row r="7" spans="1:57" s="712" customFormat="1" ht="24" customHeight="1">
      <c r="A7" s="2703"/>
      <c r="B7" s="2704"/>
      <c r="C7" s="2667"/>
      <c r="D7" s="2680"/>
      <c r="E7" s="1178" t="s">
        <v>765</v>
      </c>
      <c r="F7" s="956"/>
      <c r="G7" s="933">
        <f>+'2014처리구역인구 정리'!I7</f>
        <v>1852</v>
      </c>
      <c r="H7" s="933">
        <f>+'2014처리구역인구 정리'!J7</f>
        <v>1894</v>
      </c>
      <c r="I7" s="925">
        <f>ROUND((('1.4.조성법총괄(내부이동률 적용)'!E$4+'1.4.조성법총괄(내부이동률 적용)'!E$7*$AK$2)*$AB7)+(AL$21*$AC7),0)</f>
        <v>1863</v>
      </c>
      <c r="J7" s="925">
        <f>ROUND((('1.4.조성법총괄(내부이동률 적용)'!F$4+'1.4.조성법총괄(내부이동률 적용)'!F$7*$AK$2)*$AB7)+(AM$21*$AC7),0)</f>
        <v>1841</v>
      </c>
      <c r="K7" s="925">
        <f>ROUND((('1.4.조성법총괄(내부이동률 적용)'!G$4+'1.4.조성법총괄(내부이동률 적용)'!G$7*$AK$2)*$AB7)+(AN$21*$AC7),0)</f>
        <v>1837</v>
      </c>
      <c r="L7" s="907">
        <f>ROUND((('1.4.조성법총괄(내부이동률 적용)'!H$4+'1.4.조성법총괄(내부이동률 적용)'!H$7*$AK$2)*$AB7)+(AO$21*$AC7),0)</f>
        <v>1790</v>
      </c>
      <c r="M7" s="925">
        <f>ROUND((('1.4.조성법총괄(내부이동률 적용)'!I$4+'1.4.조성법총괄(내부이동률 적용)'!I$7*$AK$2)*$AB7)+(AP$21*$AC7),0)</f>
        <v>1789</v>
      </c>
      <c r="N7" s="925">
        <f>ROUND((('1.4.조성법총괄(내부이동률 적용)'!J$4+'1.4.조성법총괄(내부이동률 적용)'!J$7*$AK$2)*$AB7)+(AQ$21*$AC7),0)</f>
        <v>1789</v>
      </c>
      <c r="O7" s="925">
        <f>ROUND((('1.4.조성법총괄(내부이동률 적용)'!K$4+'1.4.조성법총괄(내부이동률 적용)'!K$7*$AK$2)*$AB7)+(AR$21*$AC7),0)</f>
        <v>1789</v>
      </c>
      <c r="P7" s="925">
        <f>ROUND((('1.4.조성법총괄(내부이동률 적용)'!L$4+'1.4.조성법총괄(내부이동률 적용)'!L$7*$AK$2)*$AB7)+(AS$21*$AC7),0)</f>
        <v>1788</v>
      </c>
      <c r="Q7" s="907">
        <f>ROUND((('1.4.조성법총괄(내부이동률 적용)'!M$4+'1.4.조성법총괄(내부이동률 적용)'!M$7*$AK$2)*$AB7)+(AT$21*$AC7),0)</f>
        <v>1788</v>
      </c>
      <c r="R7" s="925">
        <f>ROUND((('1.4.조성법총괄(내부이동률 적용)'!N$4+'1.4.조성법총괄(내부이동률 적용)'!N$7*$AK$2)*$AB7)+(AU$21*$AC7),0)</f>
        <v>1785</v>
      </c>
      <c r="S7" s="925">
        <f>ROUND((('1.4.조성법총괄(내부이동률 적용)'!O$4+'1.4.조성법총괄(내부이동률 적용)'!O$7*$AK$2)*$AB7)+(AV$21*$AC7),0)</f>
        <v>1782</v>
      </c>
      <c r="T7" s="925">
        <f>ROUND((('1.4.조성법총괄(내부이동률 적용)'!P$4+'1.4.조성법총괄(내부이동률 적용)'!P$7*$AK$2)*$AB7)+(AW$21*$AC7),0)</f>
        <v>1780</v>
      </c>
      <c r="U7" s="925">
        <f>ROUND((('1.4.조성법총괄(내부이동률 적용)'!Q$4+'1.4.조성법총괄(내부이동률 적용)'!Q$7*$AK$2)*$AB7)+(AX$21*$AC7),0)</f>
        <v>1777</v>
      </c>
      <c r="V7" s="715">
        <f>ROUND((('1.4.조성법총괄(내부이동률 적용)'!R$4+'1.4.조성법총괄(내부이동률 적용)'!R$7*$AK$2)*$AB7)+(AY$21*$AC7),0)</f>
        <v>1774</v>
      </c>
      <c r="W7" s="714">
        <f>ROUND((('1.4.조성법총괄(내부이동률 적용)'!S$4+'1.4.조성법총괄(내부이동률 적용)'!S$7*$AK$2)*$AB7)+(AZ$21*$AC7),0)</f>
        <v>1769</v>
      </c>
      <c r="X7" s="714">
        <f>ROUND((('1.4.조성법총괄(내부이동률 적용)'!T$4+'1.4.조성법총괄(내부이동률 적용)'!T$7*$AK$2)*$AB7)+(BA$21*$AC7),0)</f>
        <v>1764</v>
      </c>
      <c r="Y7" s="714">
        <f>ROUND((('1.4.조성법총괄(내부이동률 적용)'!U$4+'1.4.조성법총괄(내부이동률 적용)'!U$7*$AK$2)*$AB7)+(BB$21*$AC7),0)</f>
        <v>1760</v>
      </c>
      <c r="Z7" s="714">
        <f>ROUND((('1.4.조성법총괄(내부이동률 적용)'!V$4+'1.4.조성법총괄(내부이동률 적용)'!V$7*$AK$2)*$AB7)+(BC$21*$AC7),0)</f>
        <v>1755</v>
      </c>
      <c r="AA7" s="715">
        <f>ROUND((('1.4.조성법총괄(내부이동률 적용)'!W$4+'1.4.조성법총괄(내부이동률 적용)'!W$7*$AK$2)*$AB7)+(BD$21*$AC7),0)</f>
        <v>2232</v>
      </c>
      <c r="AB7" s="934">
        <f>+H7/'1.4.조성법총괄(내부이동률 적용)'!$D$8</f>
        <v>9.9386052369208167E-2</v>
      </c>
      <c r="AC7" s="934">
        <f t="shared" ref="AC7:AC21" si="3">+H7/$AE$4</f>
        <v>0.11613219694647127</v>
      </c>
      <c r="AD7" s="1080"/>
      <c r="AE7" s="711"/>
      <c r="AF7" s="855"/>
      <c r="AG7" s="875" t="s">
        <v>95</v>
      </c>
      <c r="AH7" s="885" t="str">
        <f>+'사회적유입인구의 처리구역별 배분(적용)'!C4</f>
        <v>지평더웰2차</v>
      </c>
      <c r="AI7" s="886">
        <f>+'사회적유입인구의 처리구역별 배분(적용)'!D4</f>
        <v>0</v>
      </c>
      <c r="AJ7" s="886">
        <f>+'사회적유입인구의 처리구역별 배분(적용)'!E4</f>
        <v>0</v>
      </c>
      <c r="AK7" s="886">
        <f>+'사회적유입인구의 처리구역별 배분(적용)'!F4</f>
        <v>0</v>
      </c>
      <c r="AL7" s="886">
        <f>+'사회적유입인구의 처리구역별 배분(적용)'!G4</f>
        <v>125</v>
      </c>
      <c r="AM7" s="886">
        <f>+'사회적유입인구의 처리구역별 배분(적용)'!H4</f>
        <v>125</v>
      </c>
      <c r="AN7" s="886">
        <f>+'사회적유입인구의 처리구역별 배분(적용)'!I4</f>
        <v>125</v>
      </c>
      <c r="AO7" s="886">
        <f>+'사회적유입인구의 처리구역별 배분(적용)'!J4</f>
        <v>125</v>
      </c>
      <c r="AP7" s="886">
        <f>+'사회적유입인구의 처리구역별 배분(적용)'!K4</f>
        <v>125</v>
      </c>
      <c r="AQ7" s="886">
        <f>+'사회적유입인구의 처리구역별 배분(적용)'!L4</f>
        <v>125</v>
      </c>
      <c r="AR7" s="886">
        <f>+'사회적유입인구의 처리구역별 배분(적용)'!M4</f>
        <v>125</v>
      </c>
      <c r="AS7" s="886">
        <f>+'사회적유입인구의 처리구역별 배분(적용)'!N4</f>
        <v>125</v>
      </c>
      <c r="AT7" s="886">
        <f>+'사회적유입인구의 처리구역별 배분(적용)'!O4</f>
        <v>125</v>
      </c>
      <c r="AU7" s="886">
        <f>+'사회적유입인구의 처리구역별 배분(적용)'!P4</f>
        <v>125</v>
      </c>
      <c r="AV7" s="886">
        <f>+'사회적유입인구의 처리구역별 배분(적용)'!Q4</f>
        <v>125</v>
      </c>
      <c r="AW7" s="886">
        <f>+'사회적유입인구의 처리구역별 배분(적용)'!R4</f>
        <v>125</v>
      </c>
      <c r="AX7" s="886">
        <f>+'사회적유입인구의 처리구역별 배분(적용)'!S4</f>
        <v>125</v>
      </c>
      <c r="AY7" s="886">
        <f>+'사회적유입인구의 처리구역별 배분(적용)'!T4</f>
        <v>125</v>
      </c>
      <c r="AZ7" s="886">
        <f>+'사회적유입인구의 처리구역별 배분(적용)'!U4</f>
        <v>125</v>
      </c>
      <c r="BA7" s="886">
        <f>+'사회적유입인구의 처리구역별 배분(적용)'!V4</f>
        <v>125</v>
      </c>
      <c r="BB7" s="886">
        <f>+'사회적유입인구의 처리구역별 배분(적용)'!W4</f>
        <v>125</v>
      </c>
      <c r="BC7" s="886">
        <f>+'사회적유입인구의 처리구역별 배분(적용)'!X4</f>
        <v>125</v>
      </c>
      <c r="BD7" s="886">
        <f>+'사회적유입인구의 처리구역별 배분(적용)'!Y4</f>
        <v>125</v>
      </c>
      <c r="BE7" s="887">
        <f>+'사회적유입인구의 처리구역별 배분(적용)'!Z4</f>
        <v>1</v>
      </c>
    </row>
    <row r="8" spans="1:57" ht="24" customHeight="1">
      <c r="A8" s="2703"/>
      <c r="B8" s="2704"/>
      <c r="C8" s="2667"/>
      <c r="D8" s="2680"/>
      <c r="E8" s="1178" t="s">
        <v>767</v>
      </c>
      <c r="F8" s="956"/>
      <c r="G8" s="933">
        <f>+'2014처리구역인구 정리'!I8</f>
        <v>1114</v>
      </c>
      <c r="H8" s="933">
        <f>+'2014처리구역인구 정리'!J8</f>
        <v>1144</v>
      </c>
      <c r="I8" s="925">
        <f>ROUND((('1.4.조성법총괄(내부이동률 적용)'!E$4+'1.4.조성법총괄(내부이동률 적용)'!E$7*$AK$2)*$AB8)+(AL$21*$AC8),0)</f>
        <v>1126</v>
      </c>
      <c r="J8" s="925">
        <f>ROUND((('1.4.조성법총괄(내부이동률 적용)'!F$4+'1.4.조성법총괄(내부이동률 적용)'!F$7*$AK$2)*$AB8)+(AM$21*$AC8),0)</f>
        <v>1112</v>
      </c>
      <c r="K8" s="925">
        <f>ROUND((('1.4.조성법총괄(내부이동률 적용)'!G$4+'1.4.조성법총괄(내부이동률 적용)'!G$7*$AK$2)*$AB8)+(AN$21*$AC8),0)</f>
        <v>1110</v>
      </c>
      <c r="L8" s="907">
        <f>ROUND((('1.4.조성법총괄(내부이동률 적용)'!H$4+'1.4.조성법총괄(내부이동률 적용)'!H$7*$AK$2)*$AB8)+(AO$21*$AC8),0)</f>
        <v>1081</v>
      </c>
      <c r="M8" s="925">
        <f>ROUND((('1.4.조성법총괄(내부이동률 적용)'!I$4+'1.4.조성법총괄(내부이동률 적용)'!I$7*$AK$2)*$AB8)+(AP$21*$AC8),0)</f>
        <v>1081</v>
      </c>
      <c r="N8" s="925">
        <f>ROUND((('1.4.조성법총괄(내부이동률 적용)'!J$4+'1.4.조성법총괄(내부이동률 적용)'!J$7*$AK$2)*$AB8)+(AQ$21*$AC8),0)</f>
        <v>1081</v>
      </c>
      <c r="O8" s="925">
        <f>ROUND((('1.4.조성법총괄(내부이동률 적용)'!K$4+'1.4.조성법총괄(내부이동률 적용)'!K$7*$AK$2)*$AB8)+(AR$21*$AC8),0)</f>
        <v>1080</v>
      </c>
      <c r="P8" s="925">
        <f>ROUND((('1.4.조성법총괄(내부이동률 적용)'!L$4+'1.4.조성법총괄(내부이동률 적용)'!L$7*$AK$2)*$AB8)+(AS$21*$AC8),0)</f>
        <v>1080</v>
      </c>
      <c r="Q8" s="907">
        <f>ROUND((('1.4.조성법총괄(내부이동률 적용)'!M$4+'1.4.조성법총괄(내부이동률 적용)'!M$7*$AK$2)*$AB8)+(AT$21*$AC8),0)</f>
        <v>1080</v>
      </c>
      <c r="R8" s="925">
        <f>ROUND((('1.4.조성법총괄(내부이동률 적용)'!N$4+'1.4.조성법총괄(내부이동률 적용)'!N$7*$AK$2)*$AB8)+(AU$21*$AC8),0)</f>
        <v>1078</v>
      </c>
      <c r="S8" s="925">
        <f>ROUND((('1.4.조성법총괄(내부이동률 적용)'!O$4+'1.4.조성법총괄(내부이동률 적용)'!O$7*$AK$2)*$AB8)+(AV$21*$AC8),0)</f>
        <v>1076</v>
      </c>
      <c r="T8" s="925">
        <f>ROUND((('1.4.조성법총괄(내부이동률 적용)'!P$4+'1.4.조성법총괄(내부이동률 적용)'!P$7*$AK$2)*$AB8)+(AW$21*$AC8),0)</f>
        <v>1075</v>
      </c>
      <c r="U8" s="925">
        <f>ROUND((('1.4.조성법총괄(내부이동률 적용)'!Q$4+'1.4.조성법총괄(내부이동률 적용)'!Q$7*$AK$2)*$AB8)+(AX$21*$AC8),0)</f>
        <v>1073</v>
      </c>
      <c r="V8" s="715">
        <f>ROUND((('1.4.조성법총괄(내부이동률 적용)'!R$4+'1.4.조성법총괄(내부이동률 적용)'!R$7*$AK$2)*$AB8)+(AY$21*$AC8),0)</f>
        <v>1071</v>
      </c>
      <c r="W8" s="714">
        <f>ROUND((('1.4.조성법총괄(내부이동률 적용)'!S$4+'1.4.조성법총괄(내부이동률 적용)'!S$7*$AK$2)*$AB8)+(AZ$21*$AC8),0)</f>
        <v>1069</v>
      </c>
      <c r="X8" s="714">
        <f>ROUND((('1.4.조성법총괄(내부이동률 적용)'!T$4+'1.4.조성법총괄(내부이동률 적용)'!T$7*$AK$2)*$AB8)+(BA$21*$AC8),0)</f>
        <v>1066</v>
      </c>
      <c r="Y8" s="714">
        <f>ROUND((('1.4.조성법총괄(내부이동률 적용)'!U$4+'1.4.조성법총괄(내부이동률 적용)'!U$7*$AK$2)*$AB8)+(BB$21*$AC8),0)</f>
        <v>1063</v>
      </c>
      <c r="Z8" s="714">
        <f>ROUND((('1.4.조성법총괄(내부이동률 적용)'!V$4+'1.4.조성법총괄(내부이동률 적용)'!V$7*$AK$2)*$AB8)+(BC$21*$AC8),0)</f>
        <v>1060</v>
      </c>
      <c r="AA8" s="715">
        <f>ROUND((('1.4.조성법총괄(내부이동률 적용)'!W$4+'1.4.조성법총괄(내부이동률 적용)'!W$7*$AK$2)*$AB8)+(BD$21*$AC8),0)</f>
        <v>1348</v>
      </c>
      <c r="AB8" s="934">
        <f>+H8/'1.4.조성법총괄(내부이동률 적용)'!$D$8</f>
        <v>6.0030435010757201E-2</v>
      </c>
      <c r="AC8" s="934">
        <f t="shared" si="3"/>
        <v>7.0145318535777795E-2</v>
      </c>
      <c r="AD8" s="1080"/>
      <c r="AE8" s="1"/>
      <c r="AF8" s="855"/>
      <c r="AG8" s="875"/>
      <c r="AH8" s="888" t="str">
        <f>+'사회적유입인구의 처리구역별 배분(적용)'!C5</f>
        <v>㈜송정건설</v>
      </c>
      <c r="AI8" s="870">
        <f>+'사회적유입인구의 처리구역별 배분(적용)'!D5</f>
        <v>0</v>
      </c>
      <c r="AJ8" s="870">
        <f>+'사회적유입인구의 처리구역별 배분(적용)'!E5</f>
        <v>0</v>
      </c>
      <c r="AK8" s="870">
        <f>+'사회적유입인구의 처리구역별 배분(적용)'!F5</f>
        <v>0</v>
      </c>
      <c r="AL8" s="870">
        <f>+'사회적유입인구의 처리구역별 배분(적용)'!G5</f>
        <v>0</v>
      </c>
      <c r="AM8" s="870">
        <f>+'사회적유입인구의 처리구역별 배분(적용)'!H5</f>
        <v>144</v>
      </c>
      <c r="AN8" s="870">
        <f>+'사회적유입인구의 처리구역별 배분(적용)'!I5</f>
        <v>144</v>
      </c>
      <c r="AO8" s="870">
        <f>+'사회적유입인구의 처리구역별 배분(적용)'!J5</f>
        <v>144</v>
      </c>
      <c r="AP8" s="870">
        <f>+'사회적유입인구의 처리구역별 배분(적용)'!K5</f>
        <v>144</v>
      </c>
      <c r="AQ8" s="870">
        <f>+'사회적유입인구의 처리구역별 배분(적용)'!L5</f>
        <v>144</v>
      </c>
      <c r="AR8" s="870">
        <f>+'사회적유입인구의 처리구역별 배분(적용)'!M5</f>
        <v>144</v>
      </c>
      <c r="AS8" s="870">
        <f>+'사회적유입인구의 처리구역별 배분(적용)'!N5</f>
        <v>144</v>
      </c>
      <c r="AT8" s="870">
        <f>+'사회적유입인구의 처리구역별 배분(적용)'!O5</f>
        <v>144</v>
      </c>
      <c r="AU8" s="870">
        <f>+'사회적유입인구의 처리구역별 배분(적용)'!P5</f>
        <v>144</v>
      </c>
      <c r="AV8" s="870">
        <f>+'사회적유입인구의 처리구역별 배분(적용)'!Q5</f>
        <v>144</v>
      </c>
      <c r="AW8" s="870">
        <f>+'사회적유입인구의 처리구역별 배분(적용)'!R5</f>
        <v>144</v>
      </c>
      <c r="AX8" s="870">
        <f>+'사회적유입인구의 처리구역별 배분(적용)'!S5</f>
        <v>144</v>
      </c>
      <c r="AY8" s="870">
        <f>+'사회적유입인구의 처리구역별 배분(적용)'!T5</f>
        <v>144</v>
      </c>
      <c r="AZ8" s="870">
        <f>+'사회적유입인구의 처리구역별 배분(적용)'!U5</f>
        <v>144</v>
      </c>
      <c r="BA8" s="870">
        <f>+'사회적유입인구의 처리구역별 배분(적용)'!V5</f>
        <v>144</v>
      </c>
      <c r="BB8" s="870">
        <f>+'사회적유입인구의 처리구역별 배분(적용)'!W5</f>
        <v>144</v>
      </c>
      <c r="BC8" s="870">
        <f>+'사회적유입인구의 처리구역별 배분(적용)'!X5</f>
        <v>144</v>
      </c>
      <c r="BD8" s="870">
        <f>+'사회적유입인구의 처리구역별 배분(적용)'!Y5</f>
        <v>144</v>
      </c>
      <c r="BE8" s="889">
        <f>+'사회적유입인구의 처리구역별 배분(적용)'!Z5</f>
        <v>1</v>
      </c>
    </row>
    <row r="9" spans="1:57" ht="24" customHeight="1">
      <c r="A9" s="2703"/>
      <c r="B9" s="2704"/>
      <c r="C9" s="2667"/>
      <c r="D9" s="2680"/>
      <c r="E9" s="1178" t="s">
        <v>769</v>
      </c>
      <c r="F9" s="956"/>
      <c r="G9" s="933">
        <f>+'2014처리구역인구 정리'!I9</f>
        <v>910</v>
      </c>
      <c r="H9" s="933">
        <f>+'2014처리구역인구 정리'!J9</f>
        <v>913</v>
      </c>
      <c r="I9" s="925">
        <f>ROUND((('1.4.조성법총괄(내부이동률 적용)'!E$4+'1.4.조성법총괄(내부이동률 적용)'!E$7*$AK$2)*$AB9)+(AL$21*$AC9),0)</f>
        <v>898</v>
      </c>
      <c r="J9" s="925">
        <f>ROUND((('1.4.조성법총괄(내부이동률 적용)'!F$4+'1.4.조성법총괄(내부이동률 적용)'!F$7*$AK$2)*$AB9)+(AM$21*$AC9),0)</f>
        <v>888</v>
      </c>
      <c r="K9" s="925">
        <f>ROUND((('1.4.조성법총괄(내부이동률 적용)'!G$4+'1.4.조성법총괄(내부이동률 적용)'!G$7*$AK$2)*$AB9)+(AN$21*$AC9),0)</f>
        <v>886</v>
      </c>
      <c r="L9" s="907">
        <f>ROUND((('1.4.조성법총괄(내부이동률 적용)'!H$4+'1.4.조성법총괄(내부이동률 적용)'!H$7*$AK$2)*$AB9)+(AO$21*$AC9),0)</f>
        <v>863</v>
      </c>
      <c r="M9" s="925">
        <f>ROUND((('1.4.조성법총괄(내부이동률 적용)'!I$4+'1.4.조성법총괄(내부이동률 적용)'!I$7*$AK$2)*$AB9)+(AP$21*$AC9),0)</f>
        <v>863</v>
      </c>
      <c r="N9" s="925">
        <f>ROUND((('1.4.조성법총괄(내부이동률 적용)'!J$4+'1.4.조성법총괄(내부이동률 적용)'!J$7*$AK$2)*$AB9)+(AQ$21*$AC9),0)</f>
        <v>862</v>
      </c>
      <c r="O9" s="925">
        <f>ROUND((('1.4.조성법총괄(내부이동률 적용)'!K$4+'1.4.조성법총괄(내부이동률 적용)'!K$7*$AK$2)*$AB9)+(AR$21*$AC9),0)</f>
        <v>862</v>
      </c>
      <c r="P9" s="925">
        <f>ROUND((('1.4.조성법총괄(내부이동률 적용)'!L$4+'1.4.조성법총괄(내부이동률 적용)'!L$7*$AK$2)*$AB9)+(AS$21*$AC9),0)</f>
        <v>862</v>
      </c>
      <c r="Q9" s="907">
        <f>ROUND((('1.4.조성법총괄(내부이동률 적용)'!M$4+'1.4.조성법총괄(내부이동률 적용)'!M$7*$AK$2)*$AB9)+(AT$21*$AC9),0)</f>
        <v>862</v>
      </c>
      <c r="R9" s="925">
        <f>ROUND((('1.4.조성법총괄(내부이동률 적용)'!N$4+'1.4.조성법총괄(내부이동률 적용)'!N$7*$AK$2)*$AB9)+(AU$21*$AC9),0)</f>
        <v>860</v>
      </c>
      <c r="S9" s="925">
        <f>ROUND((('1.4.조성법총괄(내부이동률 적용)'!O$4+'1.4.조성법총괄(내부이동률 적용)'!O$7*$AK$2)*$AB9)+(AV$21*$AC9),0)</f>
        <v>859</v>
      </c>
      <c r="T9" s="925">
        <f>ROUND((('1.4.조성법총괄(내부이동률 적용)'!P$4+'1.4.조성법총괄(내부이동률 적용)'!P$7*$AK$2)*$AB9)+(AW$21*$AC9),0)</f>
        <v>858</v>
      </c>
      <c r="U9" s="925">
        <f>ROUND((('1.4.조성법총괄(내부이동률 적용)'!Q$4+'1.4.조성법총괄(내부이동률 적용)'!Q$7*$AK$2)*$AB9)+(AX$21*$AC9),0)</f>
        <v>857</v>
      </c>
      <c r="V9" s="715">
        <f>ROUND((('1.4.조성법총괄(내부이동률 적용)'!R$4+'1.4.조성법총괄(내부이동률 적용)'!R$7*$AK$2)*$AB9)+(AY$21*$AC9),0)</f>
        <v>855</v>
      </c>
      <c r="W9" s="714">
        <f>ROUND((('1.4.조성법총괄(내부이동률 적용)'!S$4+'1.4.조성법총괄(내부이동률 적용)'!S$7*$AK$2)*$AB9)+(AZ$21*$AC9),0)</f>
        <v>853</v>
      </c>
      <c r="X9" s="714">
        <f>ROUND((('1.4.조성법총괄(내부이동률 적용)'!T$4+'1.4.조성법총괄(내부이동률 적용)'!T$7*$AK$2)*$AB9)+(BA$21*$AC9),0)</f>
        <v>851</v>
      </c>
      <c r="Y9" s="714">
        <f>ROUND((('1.4.조성법총괄(내부이동률 적용)'!U$4+'1.4.조성법총괄(내부이동률 적용)'!U$7*$AK$2)*$AB9)+(BB$21*$AC9),0)</f>
        <v>848</v>
      </c>
      <c r="Z9" s="714">
        <f>ROUND((('1.4.조성법총괄(내부이동률 적용)'!V$4+'1.4.조성법총괄(내부이동률 적용)'!V$7*$AK$2)*$AB9)+(BC$21*$AC9),0)</f>
        <v>846</v>
      </c>
      <c r="AA9" s="715">
        <f>ROUND((('1.4.조성법총괄(내부이동률 적용)'!W$4+'1.4.조성법총괄(내부이동률 적용)'!W$7*$AK$2)*$AB9)+(BD$21*$AC9),0)</f>
        <v>1076</v>
      </c>
      <c r="AB9" s="934">
        <f>+H9/'1.4.조성법총괄(내부이동률 적용)'!$D$8</f>
        <v>4.7908904864354306E-2</v>
      </c>
      <c r="AC9" s="934">
        <f t="shared" si="3"/>
        <v>5.5981359985284196E-2</v>
      </c>
      <c r="AD9" s="1080"/>
      <c r="AE9" s="1"/>
      <c r="AF9" s="855"/>
      <c r="AG9" s="875"/>
      <c r="AH9" s="888" t="str">
        <f>+'사회적유입인구의 처리구역별 배분(적용)'!C6</f>
        <v>미소건설</v>
      </c>
      <c r="AI9" s="870">
        <f>+'사회적유입인구의 처리구역별 배분(적용)'!D6</f>
        <v>0</v>
      </c>
      <c r="AJ9" s="870">
        <f>+'사회적유입인구의 처리구역별 배분(적용)'!E6</f>
        <v>0</v>
      </c>
      <c r="AK9" s="870">
        <f>+'사회적유입인구의 처리구역별 배분(적용)'!F6</f>
        <v>0</v>
      </c>
      <c r="AL9" s="870">
        <f>+'사회적유입인구의 처리구역별 배분(적용)'!G6</f>
        <v>46</v>
      </c>
      <c r="AM9" s="870">
        <f>+'사회적유입인구의 처리구역별 배분(적용)'!H6</f>
        <v>46</v>
      </c>
      <c r="AN9" s="870">
        <f>+'사회적유입인구의 처리구역별 배분(적용)'!I6</f>
        <v>46</v>
      </c>
      <c r="AO9" s="870">
        <f>+'사회적유입인구의 처리구역별 배분(적용)'!J6</f>
        <v>46</v>
      </c>
      <c r="AP9" s="870">
        <f>+'사회적유입인구의 처리구역별 배분(적용)'!K6</f>
        <v>46</v>
      </c>
      <c r="AQ9" s="870">
        <f>+'사회적유입인구의 처리구역별 배분(적용)'!L6</f>
        <v>46</v>
      </c>
      <c r="AR9" s="870">
        <f>+'사회적유입인구의 처리구역별 배분(적용)'!M6</f>
        <v>46</v>
      </c>
      <c r="AS9" s="870">
        <f>+'사회적유입인구의 처리구역별 배분(적용)'!N6</f>
        <v>46</v>
      </c>
      <c r="AT9" s="870">
        <f>+'사회적유입인구의 처리구역별 배분(적용)'!O6</f>
        <v>46</v>
      </c>
      <c r="AU9" s="870">
        <f>+'사회적유입인구의 처리구역별 배분(적용)'!P6</f>
        <v>46</v>
      </c>
      <c r="AV9" s="870">
        <f>+'사회적유입인구의 처리구역별 배분(적용)'!Q6</f>
        <v>46</v>
      </c>
      <c r="AW9" s="870">
        <f>+'사회적유입인구의 처리구역별 배분(적용)'!R6</f>
        <v>46</v>
      </c>
      <c r="AX9" s="870">
        <f>+'사회적유입인구의 처리구역별 배분(적용)'!S6</f>
        <v>46</v>
      </c>
      <c r="AY9" s="870">
        <f>+'사회적유입인구의 처리구역별 배분(적용)'!T6</f>
        <v>46</v>
      </c>
      <c r="AZ9" s="870">
        <f>+'사회적유입인구의 처리구역별 배분(적용)'!U6</f>
        <v>46</v>
      </c>
      <c r="BA9" s="870">
        <f>+'사회적유입인구의 처리구역별 배분(적용)'!V6</f>
        <v>46</v>
      </c>
      <c r="BB9" s="870">
        <f>+'사회적유입인구의 처리구역별 배분(적용)'!W6</f>
        <v>46</v>
      </c>
      <c r="BC9" s="870">
        <f>+'사회적유입인구의 처리구역별 배분(적용)'!X6</f>
        <v>46</v>
      </c>
      <c r="BD9" s="870">
        <f>+'사회적유입인구의 처리구역별 배분(적용)'!Y6</f>
        <v>46</v>
      </c>
      <c r="BE9" s="889">
        <f>+'사회적유입인구의 처리구역별 배분(적용)'!Z6</f>
        <v>1</v>
      </c>
    </row>
    <row r="10" spans="1:57" ht="24" customHeight="1">
      <c r="A10" s="2703"/>
      <c r="B10" s="2704"/>
      <c r="C10" s="2667"/>
      <c r="D10" s="2680"/>
      <c r="E10" s="1178" t="s">
        <v>1268</v>
      </c>
      <c r="F10" s="956"/>
      <c r="G10" s="933">
        <f>AJ8</f>
        <v>0</v>
      </c>
      <c r="H10" s="933">
        <f t="shared" ref="H10:AA11" si="4">AK8</f>
        <v>0</v>
      </c>
      <c r="I10" s="925">
        <f t="shared" si="4"/>
        <v>0</v>
      </c>
      <c r="J10" s="925">
        <f t="shared" si="4"/>
        <v>144</v>
      </c>
      <c r="K10" s="925">
        <f t="shared" si="4"/>
        <v>144</v>
      </c>
      <c r="L10" s="907">
        <f t="shared" si="4"/>
        <v>144</v>
      </c>
      <c r="M10" s="925">
        <f t="shared" si="4"/>
        <v>144</v>
      </c>
      <c r="N10" s="925">
        <f t="shared" si="4"/>
        <v>144</v>
      </c>
      <c r="O10" s="925">
        <f t="shared" si="4"/>
        <v>144</v>
      </c>
      <c r="P10" s="925">
        <f t="shared" si="4"/>
        <v>144</v>
      </c>
      <c r="Q10" s="907">
        <f t="shared" si="4"/>
        <v>144</v>
      </c>
      <c r="R10" s="925">
        <f t="shared" si="4"/>
        <v>144</v>
      </c>
      <c r="S10" s="925">
        <f t="shared" si="4"/>
        <v>144</v>
      </c>
      <c r="T10" s="925">
        <f t="shared" si="4"/>
        <v>144</v>
      </c>
      <c r="U10" s="925">
        <f t="shared" si="4"/>
        <v>144</v>
      </c>
      <c r="V10" s="715">
        <f t="shared" si="4"/>
        <v>144</v>
      </c>
      <c r="W10" s="714">
        <f t="shared" si="4"/>
        <v>144</v>
      </c>
      <c r="X10" s="714">
        <f t="shared" si="4"/>
        <v>144</v>
      </c>
      <c r="Y10" s="714">
        <f t="shared" si="4"/>
        <v>144</v>
      </c>
      <c r="Z10" s="714">
        <f t="shared" si="4"/>
        <v>144</v>
      </c>
      <c r="AA10" s="715">
        <f t="shared" si="4"/>
        <v>144</v>
      </c>
      <c r="AB10" s="934"/>
      <c r="AC10" s="934"/>
      <c r="AD10" s="1080" t="str">
        <f>AH8</f>
        <v>㈜송정건설</v>
      </c>
      <c r="AE10" s="711" t="s">
        <v>1562</v>
      </c>
      <c r="AF10" s="855"/>
      <c r="AG10" s="875"/>
      <c r="AH10" s="888" t="str">
        <f>+'사회적유입인구의 처리구역별 배분(적용)'!C7</f>
        <v>㈜씨제이산업개발</v>
      </c>
      <c r="AI10" s="870">
        <f>+'사회적유입인구의 처리구역별 배분(적용)'!D7</f>
        <v>0</v>
      </c>
      <c r="AJ10" s="870">
        <f>+'사회적유입인구의 처리구역별 배분(적용)'!E7</f>
        <v>0</v>
      </c>
      <c r="AK10" s="870">
        <f>+'사회적유입인구의 처리구역별 배분(적용)'!F7</f>
        <v>0</v>
      </c>
      <c r="AL10" s="870">
        <f>+'사회적유입인구의 처리구역별 배분(적용)'!G7</f>
        <v>27</v>
      </c>
      <c r="AM10" s="870">
        <f>+'사회적유입인구의 처리구역별 배분(적용)'!H7</f>
        <v>27</v>
      </c>
      <c r="AN10" s="870">
        <f>+'사회적유입인구의 처리구역별 배분(적용)'!I7</f>
        <v>27</v>
      </c>
      <c r="AO10" s="870">
        <f>+'사회적유입인구의 처리구역별 배분(적용)'!J7</f>
        <v>27</v>
      </c>
      <c r="AP10" s="870">
        <f>+'사회적유입인구의 처리구역별 배분(적용)'!K7</f>
        <v>27</v>
      </c>
      <c r="AQ10" s="870">
        <f>+'사회적유입인구의 처리구역별 배분(적용)'!L7</f>
        <v>27</v>
      </c>
      <c r="AR10" s="870">
        <f>+'사회적유입인구의 처리구역별 배분(적용)'!M7</f>
        <v>27</v>
      </c>
      <c r="AS10" s="870">
        <f>+'사회적유입인구의 처리구역별 배분(적용)'!N7</f>
        <v>27</v>
      </c>
      <c r="AT10" s="870">
        <f>+'사회적유입인구의 처리구역별 배분(적용)'!O7</f>
        <v>27</v>
      </c>
      <c r="AU10" s="870">
        <f>+'사회적유입인구의 처리구역별 배분(적용)'!P7</f>
        <v>27</v>
      </c>
      <c r="AV10" s="870">
        <f>+'사회적유입인구의 처리구역별 배분(적용)'!Q7</f>
        <v>27</v>
      </c>
      <c r="AW10" s="870">
        <f>+'사회적유입인구의 처리구역별 배분(적용)'!R7</f>
        <v>27</v>
      </c>
      <c r="AX10" s="870">
        <f>+'사회적유입인구의 처리구역별 배분(적용)'!S7</f>
        <v>27</v>
      </c>
      <c r="AY10" s="870">
        <f>+'사회적유입인구의 처리구역별 배분(적용)'!T7</f>
        <v>27</v>
      </c>
      <c r="AZ10" s="870">
        <f>+'사회적유입인구의 처리구역별 배분(적용)'!U7</f>
        <v>27</v>
      </c>
      <c r="BA10" s="870">
        <f>+'사회적유입인구의 처리구역별 배분(적용)'!V7</f>
        <v>27</v>
      </c>
      <c r="BB10" s="870">
        <f>+'사회적유입인구의 처리구역별 배분(적용)'!W7</f>
        <v>27</v>
      </c>
      <c r="BC10" s="870">
        <f>+'사회적유입인구의 처리구역별 배분(적용)'!X7</f>
        <v>27</v>
      </c>
      <c r="BD10" s="870">
        <f>+'사회적유입인구의 처리구역별 배분(적용)'!Y7</f>
        <v>27</v>
      </c>
      <c r="BE10" s="889">
        <f>+'사회적유입인구의 처리구역별 배분(적용)'!Z7</f>
        <v>1</v>
      </c>
    </row>
    <row r="11" spans="1:57" s="712" customFormat="1" ht="24" customHeight="1">
      <c r="A11" s="2703"/>
      <c r="B11" s="2704"/>
      <c r="C11" s="2667"/>
      <c r="D11" s="2680"/>
      <c r="E11" s="1178" t="s">
        <v>1268</v>
      </c>
      <c r="F11" s="956"/>
      <c r="G11" s="933"/>
      <c r="H11" s="102">
        <f t="shared" si="4"/>
        <v>0</v>
      </c>
      <c r="I11" s="102">
        <f t="shared" ref="I11" si="5">AL9</f>
        <v>46</v>
      </c>
      <c r="J11" s="102">
        <f t="shared" ref="J11" si="6">AM9</f>
        <v>46</v>
      </c>
      <c r="K11" s="102">
        <f t="shared" ref="K11" si="7">AN9</f>
        <v>46</v>
      </c>
      <c r="L11" s="102">
        <f t="shared" ref="L11" si="8">AO9</f>
        <v>46</v>
      </c>
      <c r="M11" s="102">
        <f t="shared" ref="M11" si="9">AP9</f>
        <v>46</v>
      </c>
      <c r="N11" s="102">
        <f t="shared" ref="N11" si="10">AQ9</f>
        <v>46</v>
      </c>
      <c r="O11" s="102">
        <f t="shared" ref="O11" si="11">AR9</f>
        <v>46</v>
      </c>
      <c r="P11" s="102">
        <f t="shared" ref="P11" si="12">AS9</f>
        <v>46</v>
      </c>
      <c r="Q11" s="102">
        <f t="shared" ref="Q11" si="13">AT9</f>
        <v>46</v>
      </c>
      <c r="R11" s="102">
        <f t="shared" ref="R11" si="14">AU9</f>
        <v>46</v>
      </c>
      <c r="S11" s="102">
        <f t="shared" ref="S11" si="15">AV9</f>
        <v>46</v>
      </c>
      <c r="T11" s="102">
        <f t="shared" ref="T11" si="16">AW9</f>
        <v>46</v>
      </c>
      <c r="U11" s="102">
        <f t="shared" ref="U11" si="17">AX9</f>
        <v>46</v>
      </c>
      <c r="V11" s="102">
        <f t="shared" ref="V11" si="18">AY9</f>
        <v>46</v>
      </c>
      <c r="W11" s="102">
        <f t="shared" ref="W11" si="19">AZ9</f>
        <v>46</v>
      </c>
      <c r="X11" s="102">
        <f t="shared" ref="X11" si="20">BA9</f>
        <v>46</v>
      </c>
      <c r="Y11" s="102">
        <f t="shared" ref="Y11" si="21">BB9</f>
        <v>46</v>
      </c>
      <c r="Z11" s="102">
        <f t="shared" ref="Z11" si="22">BC9</f>
        <v>46</v>
      </c>
      <c r="AA11" s="102">
        <f t="shared" ref="AA11" si="23">BD9</f>
        <v>46</v>
      </c>
      <c r="AB11" s="934"/>
      <c r="AC11" s="934"/>
      <c r="AD11" s="1080" t="str">
        <f>AH9</f>
        <v>미소건설</v>
      </c>
      <c r="AE11" s="711" t="s">
        <v>1563</v>
      </c>
      <c r="AF11" s="855"/>
      <c r="AG11" s="875"/>
      <c r="AH11" s="888" t="str">
        <f>+'사회적유입인구의 처리구역별 배분(적용)'!C8</f>
        <v>음성지역주택조합</v>
      </c>
      <c r="AI11" s="870">
        <f>+'사회적유입인구의 처리구역별 배분(적용)'!D8</f>
        <v>0</v>
      </c>
      <c r="AJ11" s="870">
        <f>+'사회적유입인구의 처리구역별 배분(적용)'!E8</f>
        <v>0</v>
      </c>
      <c r="AK11" s="870">
        <f>+'사회적유입인구의 처리구역별 배분(적용)'!F8</f>
        <v>0</v>
      </c>
      <c r="AL11" s="870">
        <f>+'사회적유입인구의 처리구역별 배분(적용)'!G8</f>
        <v>0</v>
      </c>
      <c r="AM11" s="870">
        <f>+'사회적유입인구의 처리구역별 배분(적용)'!H8</f>
        <v>0</v>
      </c>
      <c r="AN11" s="870">
        <f>+'사회적유입인구의 처리구역별 배분(적용)'!I8</f>
        <v>0</v>
      </c>
      <c r="AO11" s="870">
        <f>+'사회적유입인구의 처리구역별 배분(적용)'!J8</f>
        <v>376</v>
      </c>
      <c r="AP11" s="870">
        <f>+'사회적유입인구의 처리구역별 배분(적용)'!K8</f>
        <v>376</v>
      </c>
      <c r="AQ11" s="870">
        <f>+'사회적유입인구의 처리구역별 배분(적용)'!L8</f>
        <v>376</v>
      </c>
      <c r="AR11" s="870">
        <f>+'사회적유입인구의 처리구역별 배분(적용)'!M8</f>
        <v>376</v>
      </c>
      <c r="AS11" s="870">
        <f>+'사회적유입인구의 처리구역별 배분(적용)'!N8</f>
        <v>376</v>
      </c>
      <c r="AT11" s="870">
        <f>+'사회적유입인구의 처리구역별 배분(적용)'!O8</f>
        <v>376</v>
      </c>
      <c r="AU11" s="870">
        <f>+'사회적유입인구의 처리구역별 배분(적용)'!P8</f>
        <v>376</v>
      </c>
      <c r="AV11" s="870">
        <f>+'사회적유입인구의 처리구역별 배분(적용)'!Q8</f>
        <v>376</v>
      </c>
      <c r="AW11" s="870">
        <f>+'사회적유입인구의 처리구역별 배분(적용)'!R8</f>
        <v>376</v>
      </c>
      <c r="AX11" s="870">
        <f>+'사회적유입인구의 처리구역별 배분(적용)'!S8</f>
        <v>376</v>
      </c>
      <c r="AY11" s="870">
        <f>+'사회적유입인구의 처리구역별 배분(적용)'!T8</f>
        <v>376</v>
      </c>
      <c r="AZ11" s="870">
        <f>+'사회적유입인구의 처리구역별 배분(적용)'!U8</f>
        <v>376</v>
      </c>
      <c r="BA11" s="870">
        <f>+'사회적유입인구의 처리구역별 배분(적용)'!V8</f>
        <v>376</v>
      </c>
      <c r="BB11" s="870">
        <f>+'사회적유입인구의 처리구역별 배분(적용)'!W8</f>
        <v>376</v>
      </c>
      <c r="BC11" s="870">
        <f>+'사회적유입인구의 처리구역별 배분(적용)'!X8</f>
        <v>376</v>
      </c>
      <c r="BD11" s="870">
        <f>+'사회적유입인구의 처리구역별 배분(적용)'!Y8</f>
        <v>376</v>
      </c>
      <c r="BE11" s="889">
        <f>+'사회적유입인구의 처리구역별 배분(적용)'!Z8</f>
        <v>1</v>
      </c>
    </row>
    <row r="12" spans="1:57" ht="24" customHeight="1" thickBot="1">
      <c r="A12" s="2703"/>
      <c r="B12" s="2704"/>
      <c r="C12" s="2667"/>
      <c r="D12" s="2680"/>
      <c r="E12" s="1178" t="s">
        <v>1268</v>
      </c>
      <c r="F12" s="956"/>
      <c r="G12" s="933">
        <f t="shared" ref="G12:AA12" si="24">AJ12</f>
        <v>0</v>
      </c>
      <c r="H12" s="933">
        <f t="shared" si="24"/>
        <v>0</v>
      </c>
      <c r="I12" s="925">
        <f t="shared" si="24"/>
        <v>0</v>
      </c>
      <c r="J12" s="925">
        <f t="shared" si="24"/>
        <v>15</v>
      </c>
      <c r="K12" s="925">
        <f t="shared" si="24"/>
        <v>15</v>
      </c>
      <c r="L12" s="907">
        <f t="shared" si="24"/>
        <v>15</v>
      </c>
      <c r="M12" s="925">
        <f t="shared" si="24"/>
        <v>15</v>
      </c>
      <c r="N12" s="925">
        <f t="shared" si="24"/>
        <v>15</v>
      </c>
      <c r="O12" s="925">
        <f t="shared" si="24"/>
        <v>15</v>
      </c>
      <c r="P12" s="925">
        <f t="shared" si="24"/>
        <v>15</v>
      </c>
      <c r="Q12" s="907">
        <f t="shared" si="24"/>
        <v>15</v>
      </c>
      <c r="R12" s="925">
        <f t="shared" si="24"/>
        <v>15</v>
      </c>
      <c r="S12" s="925">
        <f t="shared" si="24"/>
        <v>15</v>
      </c>
      <c r="T12" s="925">
        <f t="shared" si="24"/>
        <v>15</v>
      </c>
      <c r="U12" s="925">
        <f t="shared" si="24"/>
        <v>15</v>
      </c>
      <c r="V12" s="715">
        <f t="shared" si="24"/>
        <v>15</v>
      </c>
      <c r="W12" s="714">
        <f t="shared" si="24"/>
        <v>15</v>
      </c>
      <c r="X12" s="714">
        <f t="shared" si="24"/>
        <v>15</v>
      </c>
      <c r="Y12" s="714">
        <f t="shared" si="24"/>
        <v>15</v>
      </c>
      <c r="Z12" s="714">
        <f t="shared" si="24"/>
        <v>15</v>
      </c>
      <c r="AA12" s="715">
        <f t="shared" si="24"/>
        <v>15</v>
      </c>
      <c r="AB12" s="934"/>
      <c r="AC12" s="934"/>
      <c r="AD12" s="1080" t="str">
        <f>AH12</f>
        <v>신 부영아파트</v>
      </c>
      <c r="AE12" s="711" t="s">
        <v>1564</v>
      </c>
      <c r="AF12" s="855"/>
      <c r="AG12" s="875"/>
      <c r="AH12" s="890" t="str">
        <f>+'사회적유입인구의 처리구역별 배분(적용)'!C9</f>
        <v>신 부영아파트</v>
      </c>
      <c r="AI12" s="891">
        <f>+'사회적유입인구의 처리구역별 배분(적용)'!D9</f>
        <v>0</v>
      </c>
      <c r="AJ12" s="891">
        <f>+'사회적유입인구의 처리구역별 배분(적용)'!E9</f>
        <v>0</v>
      </c>
      <c r="AK12" s="891">
        <f>+'사회적유입인구의 처리구역별 배분(적용)'!F9</f>
        <v>0</v>
      </c>
      <c r="AL12" s="891">
        <f>+'사회적유입인구의 처리구역별 배분(적용)'!G9</f>
        <v>0</v>
      </c>
      <c r="AM12" s="891">
        <f>+'사회적유입인구의 처리구역별 배분(적용)'!H9</f>
        <v>15</v>
      </c>
      <c r="AN12" s="891">
        <f>+'사회적유입인구의 처리구역별 배분(적용)'!I9</f>
        <v>15</v>
      </c>
      <c r="AO12" s="891">
        <f>+'사회적유입인구의 처리구역별 배분(적용)'!J9</f>
        <v>15</v>
      </c>
      <c r="AP12" s="891">
        <f>+'사회적유입인구의 처리구역별 배분(적용)'!K9</f>
        <v>15</v>
      </c>
      <c r="AQ12" s="891">
        <f>+'사회적유입인구의 처리구역별 배분(적용)'!L9</f>
        <v>15</v>
      </c>
      <c r="AR12" s="891">
        <f>+'사회적유입인구의 처리구역별 배분(적용)'!M9</f>
        <v>15</v>
      </c>
      <c r="AS12" s="891">
        <f>+'사회적유입인구의 처리구역별 배분(적용)'!N9</f>
        <v>15</v>
      </c>
      <c r="AT12" s="891">
        <f>+'사회적유입인구의 처리구역별 배분(적용)'!O9</f>
        <v>15</v>
      </c>
      <c r="AU12" s="891">
        <f>+'사회적유입인구의 처리구역별 배분(적용)'!P9</f>
        <v>15</v>
      </c>
      <c r="AV12" s="891">
        <f>+'사회적유입인구의 처리구역별 배분(적용)'!Q9</f>
        <v>15</v>
      </c>
      <c r="AW12" s="891">
        <f>+'사회적유입인구의 처리구역별 배분(적용)'!R9</f>
        <v>15</v>
      </c>
      <c r="AX12" s="891">
        <f>+'사회적유입인구의 처리구역별 배분(적용)'!S9</f>
        <v>15</v>
      </c>
      <c r="AY12" s="891">
        <f>+'사회적유입인구의 처리구역별 배분(적용)'!T9</f>
        <v>15</v>
      </c>
      <c r="AZ12" s="891">
        <f>+'사회적유입인구의 처리구역별 배분(적용)'!U9</f>
        <v>15</v>
      </c>
      <c r="BA12" s="891">
        <f>+'사회적유입인구의 처리구역별 배분(적용)'!V9</f>
        <v>15</v>
      </c>
      <c r="BB12" s="891">
        <f>+'사회적유입인구의 처리구역별 배분(적용)'!W9</f>
        <v>15</v>
      </c>
      <c r="BC12" s="891">
        <f>+'사회적유입인구의 처리구역별 배분(적용)'!X9</f>
        <v>15</v>
      </c>
      <c r="BD12" s="891">
        <f>+'사회적유입인구의 처리구역별 배분(적용)'!Y9</f>
        <v>15</v>
      </c>
      <c r="BE12" s="892">
        <f>+'사회적유입인구의 처리구역별 배분(적용)'!Z9</f>
        <v>1</v>
      </c>
    </row>
    <row r="13" spans="1:57" ht="24" customHeight="1">
      <c r="A13" s="2703"/>
      <c r="B13" s="2704"/>
      <c r="C13" s="2667"/>
      <c r="D13" s="2680" t="s">
        <v>770</v>
      </c>
      <c r="E13" s="1178" t="s">
        <v>772</v>
      </c>
      <c r="F13" s="956"/>
      <c r="G13" s="933">
        <f>+'2014처리구역인구 정리'!I10</f>
        <v>223</v>
      </c>
      <c r="H13" s="933">
        <f>+'2014처리구역인구 정리'!J10</f>
        <v>227</v>
      </c>
      <c r="I13" s="925">
        <f>ROUND((('1.4.조성법총괄(내부이동률 적용)'!E$4+'1.4.조성법총괄(내부이동률 적용)'!E$7*$AK$2)*$AB13)+(AL$21*$AC13),0)</f>
        <v>223</v>
      </c>
      <c r="J13" s="925">
        <f>ROUND((('1.4.조성법총괄(내부이동률 적용)'!F$4+'1.4.조성법총괄(내부이동률 적용)'!F$7*$AK$2)*$AB13)+(AM$21*$AC13),0)</f>
        <v>221</v>
      </c>
      <c r="K13" s="925">
        <f>ROUND((('1.4.조성법총괄(내부이동률 적용)'!G$4+'1.4.조성법총괄(내부이동률 적용)'!G$7*$AK$2)*$AB13)+(AN$21*$AC13),0)</f>
        <v>220</v>
      </c>
      <c r="L13" s="907">
        <f>ROUND((('1.4.조성법총괄(내부이동률 적용)'!H$4+'1.4.조성법총괄(내부이동률 적용)'!H$7*$AK$2)*$AB13)+(AO$21*$AC13),0)</f>
        <v>215</v>
      </c>
      <c r="M13" s="925">
        <f>ROUND((('1.4.조성법총괄(내부이동률 적용)'!I$4+'1.4.조성법총괄(내부이동률 적용)'!I$7*$AK$2)*$AB13)+(AP$21*$AC13),0)</f>
        <v>214</v>
      </c>
      <c r="N13" s="925">
        <f>ROUND((('1.4.조성법총괄(내부이동률 적용)'!J$4+'1.4.조성법총괄(내부이동률 적용)'!J$7*$AK$2)*$AB13)+(AQ$21*$AC13),0)</f>
        <v>214</v>
      </c>
      <c r="O13" s="925">
        <f>ROUND((('1.4.조성법총괄(내부이동률 적용)'!K$4+'1.4.조성법총괄(내부이동률 적용)'!K$7*$AK$2)*$AB13)+(AR$21*$AC13),0)</f>
        <v>214</v>
      </c>
      <c r="P13" s="925">
        <f>ROUND((('1.4.조성법총괄(내부이동률 적용)'!L$4+'1.4.조성법총괄(내부이동률 적용)'!L$7*$AK$2)*$AB13)+(AS$21*$AC13),0)</f>
        <v>214</v>
      </c>
      <c r="Q13" s="907">
        <f>ROUND((('1.4.조성법총괄(내부이동률 적용)'!M$4+'1.4.조성법총괄(내부이동률 적용)'!M$7*$AK$2)*$AB13)+(AT$21*$AC13),0)</f>
        <v>214</v>
      </c>
      <c r="R13" s="925">
        <f>ROUND((('1.4.조성법총괄(내부이동률 적용)'!N$4+'1.4.조성법총괄(내부이동률 적용)'!N$7*$AK$2)*$AB13)+(AU$21*$AC13),0)</f>
        <v>214</v>
      </c>
      <c r="S13" s="925">
        <f>ROUND((('1.4.조성법총괄(내부이동률 적용)'!O$4+'1.4.조성법총괄(내부이동률 적용)'!O$7*$AK$2)*$AB13)+(AV$21*$AC13),0)</f>
        <v>214</v>
      </c>
      <c r="T13" s="925">
        <f>ROUND((('1.4.조성법총괄(내부이동률 적용)'!P$4+'1.4.조성법총괄(내부이동률 적용)'!P$7*$AK$2)*$AB13)+(AW$21*$AC13),0)</f>
        <v>213</v>
      </c>
      <c r="U13" s="925">
        <f>ROUND((('1.4.조성법총괄(내부이동률 적용)'!Q$4+'1.4.조성법총괄(내부이동률 적용)'!Q$7*$AK$2)*$AB13)+(AX$21*$AC13),0)</f>
        <v>213</v>
      </c>
      <c r="V13" s="715">
        <f>ROUND((('1.4.조성법총괄(내부이동률 적용)'!R$4+'1.4.조성법총괄(내부이동률 적용)'!R$7*$AK$2)*$AB13)+(AY$21*$AC13),0)</f>
        <v>213</v>
      </c>
      <c r="W13" s="714">
        <f>ROUND((('1.4.조성법총괄(내부이동률 적용)'!S$4+'1.4.조성법총괄(내부이동률 적용)'!S$7*$AK$2)*$AB13)+(AZ$21*$AC13),0)</f>
        <v>212</v>
      </c>
      <c r="X13" s="714">
        <f>ROUND((('1.4.조성법총괄(내부이동률 적용)'!T$4+'1.4.조성법총괄(내부이동률 적용)'!T$7*$AK$2)*$AB13)+(BA$21*$AC13),0)</f>
        <v>211</v>
      </c>
      <c r="Y13" s="714">
        <f>ROUND((('1.4.조성법총괄(내부이동률 적용)'!U$4+'1.4.조성법총괄(내부이동률 적용)'!U$7*$AK$2)*$AB13)+(BB$21*$AC13),0)</f>
        <v>211</v>
      </c>
      <c r="Z13" s="714">
        <f>ROUND((('1.4.조성법총괄(내부이동률 적용)'!V$4+'1.4.조성법총괄(내부이동률 적용)'!V$7*$AK$2)*$AB13)+(BC$21*$AC13),0)</f>
        <v>210</v>
      </c>
      <c r="AA13" s="715">
        <f>ROUND((('1.4.조성법총괄(내부이동률 적용)'!W$4+'1.4.조성법총괄(내부이동률 적용)'!W$7*$AK$2)*$AB13)+(BD$21*$AC13),0)</f>
        <v>267</v>
      </c>
      <c r="AB13" s="934">
        <f>+H13/'1.4.조성법총괄(내부이동률 적용)'!$D$8</f>
        <v>1.1911633520491158E-2</v>
      </c>
      <c r="AC13" s="934">
        <f t="shared" si="3"/>
        <v>1.3918695198969894E-2</v>
      </c>
      <c r="AD13" s="1080"/>
      <c r="AE13" s="1"/>
      <c r="AF13" s="855"/>
      <c r="AG13" s="863"/>
      <c r="AH13" s="867" t="str">
        <f>+'사회적유입인구의 처리구역별 배분(적용)'!C10</f>
        <v>소  계</v>
      </c>
      <c r="AI13" s="862">
        <f>+'사회적유입인구의 처리구역별 배분(적용)'!D10</f>
        <v>0</v>
      </c>
      <c r="AJ13" s="862">
        <f>+'사회적유입인구의 처리구역별 배분(적용)'!E10</f>
        <v>0</v>
      </c>
      <c r="AK13" s="862">
        <f>+'사회적유입인구의 처리구역별 배분(적용)'!F10</f>
        <v>0</v>
      </c>
      <c r="AL13" s="862">
        <f>+'사회적유입인구의 처리구역별 배분(적용)'!G10</f>
        <v>198</v>
      </c>
      <c r="AM13" s="862">
        <f>+'사회적유입인구의 처리구역별 배분(적용)'!H10</f>
        <v>357</v>
      </c>
      <c r="AN13" s="862">
        <f>+'사회적유입인구의 처리구역별 배분(적용)'!I10</f>
        <v>357</v>
      </c>
      <c r="AO13" s="862">
        <f>+'사회적유입인구의 처리구역별 배분(적용)'!J10</f>
        <v>733</v>
      </c>
      <c r="AP13" s="862">
        <f>+'사회적유입인구의 처리구역별 배분(적용)'!K10</f>
        <v>733</v>
      </c>
      <c r="AQ13" s="862">
        <f>+'사회적유입인구의 처리구역별 배분(적용)'!L10</f>
        <v>733</v>
      </c>
      <c r="AR13" s="862">
        <f>+'사회적유입인구의 처리구역별 배분(적용)'!M10</f>
        <v>733</v>
      </c>
      <c r="AS13" s="862">
        <f>+'사회적유입인구의 처리구역별 배분(적용)'!N10</f>
        <v>733</v>
      </c>
      <c r="AT13" s="862">
        <f>+'사회적유입인구의 처리구역별 배분(적용)'!O10</f>
        <v>733</v>
      </c>
      <c r="AU13" s="862">
        <f>+'사회적유입인구의 처리구역별 배분(적용)'!P10</f>
        <v>733</v>
      </c>
      <c r="AV13" s="862">
        <f>+'사회적유입인구의 처리구역별 배분(적용)'!Q10</f>
        <v>733</v>
      </c>
      <c r="AW13" s="862">
        <f>+'사회적유입인구의 처리구역별 배분(적용)'!R10</f>
        <v>733</v>
      </c>
      <c r="AX13" s="862">
        <f>+'사회적유입인구의 처리구역별 배분(적용)'!S10</f>
        <v>733</v>
      </c>
      <c r="AY13" s="862">
        <f>+'사회적유입인구의 처리구역별 배분(적용)'!T10</f>
        <v>733</v>
      </c>
      <c r="AZ13" s="862">
        <f>+'사회적유입인구의 처리구역별 배분(적용)'!U10</f>
        <v>733</v>
      </c>
      <c r="BA13" s="862">
        <f>+'사회적유입인구의 처리구역별 배분(적용)'!V10</f>
        <v>733</v>
      </c>
      <c r="BB13" s="862">
        <f>+'사회적유입인구의 처리구역별 배분(적용)'!W10</f>
        <v>733</v>
      </c>
      <c r="BC13" s="862">
        <f>+'사회적유입인구의 처리구역별 배분(적용)'!X10</f>
        <v>733</v>
      </c>
      <c r="BD13" s="862">
        <f>+'사회적유입인구의 처리구역별 배분(적용)'!Y10</f>
        <v>733</v>
      </c>
      <c r="BE13" s="876"/>
    </row>
    <row r="14" spans="1:57" s="712" customFormat="1" ht="24" customHeight="1">
      <c r="A14" s="2703"/>
      <c r="B14" s="2704"/>
      <c r="C14" s="2667"/>
      <c r="D14" s="2680"/>
      <c r="E14" s="1178" t="s">
        <v>780</v>
      </c>
      <c r="F14" s="956"/>
      <c r="G14" s="933">
        <f>+'2014처리구역인구 정리'!I11</f>
        <v>92</v>
      </c>
      <c r="H14" s="933">
        <f>+'2014처리구역인구 정리'!J11</f>
        <v>92</v>
      </c>
      <c r="I14" s="925">
        <f>ROUND((('1.4.조성법총괄(내부이동률 적용)'!E$4+'1.4.조성법총괄(내부이동률 적용)'!E$7*$AK$2)*$AB14)+(AL$21*$AC14),0)</f>
        <v>91</v>
      </c>
      <c r="J14" s="925">
        <f>ROUND((('1.4.조성법총괄(내부이동률 적용)'!F$4+'1.4.조성법총괄(내부이동률 적용)'!F$7*$AK$2)*$AB14)+(AM$21*$AC14),0)</f>
        <v>89</v>
      </c>
      <c r="K14" s="925">
        <f>ROUND((('1.4.조성법총괄(내부이동률 적용)'!G$4+'1.4.조성법총괄(내부이동률 적용)'!G$7*$AK$2)*$AB14)+(AN$21*$AC14),0)</f>
        <v>89</v>
      </c>
      <c r="L14" s="907">
        <f>ROUND((('1.4.조성법총괄(내부이동률 적용)'!H$4+'1.4.조성법총괄(내부이동률 적용)'!H$7*$AK$2)*$AB14)+(AO$21*$AC14),0)</f>
        <v>87</v>
      </c>
      <c r="M14" s="925">
        <f>ROUND((('1.4.조성법총괄(내부이동률 적용)'!I$4+'1.4.조성법총괄(내부이동률 적용)'!I$7*$AK$2)*$AB14)+(AP$21*$AC14),0)</f>
        <v>87</v>
      </c>
      <c r="N14" s="925">
        <f>ROUND((('1.4.조성법총괄(내부이동률 적용)'!J$4+'1.4.조성법총괄(내부이동률 적용)'!J$7*$AK$2)*$AB14)+(AQ$21*$AC14),0)</f>
        <v>87</v>
      </c>
      <c r="O14" s="925">
        <f>ROUND((('1.4.조성법총괄(내부이동률 적용)'!K$4+'1.4.조성법총괄(내부이동률 적용)'!K$7*$AK$2)*$AB14)+(AR$21*$AC14),0)</f>
        <v>87</v>
      </c>
      <c r="P14" s="925">
        <f>ROUND((('1.4.조성법총괄(내부이동률 적용)'!L$4+'1.4.조성법총괄(내부이동률 적용)'!L$7*$AK$2)*$AB14)+(AS$21*$AC14),0)</f>
        <v>87</v>
      </c>
      <c r="Q14" s="907">
        <f>ROUND((('1.4.조성법총괄(내부이동률 적용)'!M$4+'1.4.조성법총괄(내부이동률 적용)'!M$7*$AK$2)*$AB14)+(AT$21*$AC14),0)</f>
        <v>87</v>
      </c>
      <c r="R14" s="925">
        <f>ROUND((('1.4.조성법총괄(내부이동률 적용)'!N$4+'1.4.조성법총괄(내부이동률 적용)'!N$7*$AK$2)*$AB14)+(AU$21*$AC14),0)</f>
        <v>87</v>
      </c>
      <c r="S14" s="925">
        <f>ROUND((('1.4.조성법총괄(내부이동률 적용)'!O$4+'1.4.조성법총괄(내부이동률 적용)'!O$7*$AK$2)*$AB14)+(AV$21*$AC14),0)</f>
        <v>87</v>
      </c>
      <c r="T14" s="925">
        <f>ROUND((('1.4.조성법총괄(내부이동률 적용)'!P$4+'1.4.조성법총괄(내부이동률 적용)'!P$7*$AK$2)*$AB14)+(AW$21*$AC14),0)</f>
        <v>86</v>
      </c>
      <c r="U14" s="925">
        <f>ROUND((('1.4.조성법총괄(내부이동률 적용)'!Q$4+'1.4.조성법총괄(내부이동률 적용)'!Q$7*$AK$2)*$AB14)+(AX$21*$AC14),0)</f>
        <v>86</v>
      </c>
      <c r="V14" s="715">
        <f>ROUND((('1.4.조성법총괄(내부이동률 적용)'!R$4+'1.4.조성법총괄(내부이동률 적용)'!R$7*$AK$2)*$AB14)+(AY$21*$AC14),0)</f>
        <v>86</v>
      </c>
      <c r="W14" s="714">
        <f>ROUND((('1.4.조성법총괄(내부이동률 적용)'!S$4+'1.4.조성법총괄(내부이동률 적용)'!S$7*$AK$2)*$AB14)+(AZ$21*$AC14),0)</f>
        <v>86</v>
      </c>
      <c r="X14" s="714">
        <f>ROUND((('1.4.조성법총괄(내부이동률 적용)'!T$4+'1.4.조성법총괄(내부이동률 적용)'!T$7*$AK$2)*$AB14)+(BA$21*$AC14),0)</f>
        <v>86</v>
      </c>
      <c r="Y14" s="714">
        <f>ROUND((('1.4.조성법총괄(내부이동률 적용)'!U$4+'1.4.조성법총괄(내부이동률 적용)'!U$7*$AK$2)*$AB14)+(BB$21*$AC14),0)</f>
        <v>85</v>
      </c>
      <c r="Z14" s="714">
        <f>ROUND((('1.4.조성법총괄(내부이동률 적용)'!V$4+'1.4.조성법총괄(내부이동률 적용)'!V$7*$AK$2)*$AB14)+(BC$21*$AC14),0)</f>
        <v>85</v>
      </c>
      <c r="AA14" s="715">
        <f>ROUND((('1.4.조성법총괄(내부이동률 적용)'!W$4+'1.4.조성법총괄(내부이동률 적용)'!W$7*$AK$2)*$AB14)+(BD$21*$AC14),0)</f>
        <v>108</v>
      </c>
      <c r="AB14" s="934">
        <f>+H14/'1.4.조성법총괄(내부이동률 적용)'!$D$8</f>
        <v>4.8276223959699844E-3</v>
      </c>
      <c r="AC14" s="934">
        <f t="shared" si="3"/>
        <v>5.641057085045067E-3</v>
      </c>
      <c r="AD14" s="1080"/>
      <c r="AE14" s="711"/>
      <c r="AF14" s="855"/>
      <c r="AG14" s="863" t="s">
        <v>96</v>
      </c>
      <c r="AH14" s="865" t="str">
        <f>+'사회적유입인구의 처리구역별 배분(적용)'!C11</f>
        <v>신천보부산업단지</v>
      </c>
      <c r="AI14" s="862">
        <f>+'사회적유입인구의 처리구역별 배분(적용)'!D11</f>
        <v>0</v>
      </c>
      <c r="AJ14" s="862">
        <f>+'사회적유입인구의 처리구역별 배분(적용)'!E11</f>
        <v>0</v>
      </c>
      <c r="AK14" s="862">
        <f>+'사회적유입인구의 처리구역별 배분(적용)'!F11</f>
        <v>0</v>
      </c>
      <c r="AL14" s="862">
        <f>+'사회적유입인구의 처리구역별 배분(적용)'!G11</f>
        <v>0</v>
      </c>
      <c r="AM14" s="862">
        <f>+'사회적유입인구의 처리구역별 배분(적용)'!H11</f>
        <v>0</v>
      </c>
      <c r="AN14" s="862">
        <f>+'사회적유입인구의 처리구역별 배분(적용)'!I11</f>
        <v>0</v>
      </c>
      <c r="AO14" s="862">
        <f>+'사회적유입인구의 처리구역별 배분(적용)'!J11</f>
        <v>0</v>
      </c>
      <c r="AP14" s="862">
        <f>+'사회적유입인구의 처리구역별 배분(적용)'!K11</f>
        <v>0</v>
      </c>
      <c r="AQ14" s="862">
        <f>+'사회적유입인구의 처리구역별 배분(적용)'!L11</f>
        <v>0</v>
      </c>
      <c r="AR14" s="862">
        <f>+'사회적유입인구의 처리구역별 배분(적용)'!M11</f>
        <v>0</v>
      </c>
      <c r="AS14" s="862">
        <f>+'사회적유입인구의 처리구역별 배분(적용)'!N11</f>
        <v>0</v>
      </c>
      <c r="AT14" s="862">
        <f>+'사회적유입인구의 처리구역별 배분(적용)'!O11</f>
        <v>0</v>
      </c>
      <c r="AU14" s="862">
        <f>+'사회적유입인구의 처리구역별 배분(적용)'!P11</f>
        <v>0</v>
      </c>
      <c r="AV14" s="862">
        <f>+'사회적유입인구의 처리구역별 배분(적용)'!Q11</f>
        <v>0</v>
      </c>
      <c r="AW14" s="862">
        <f>+'사회적유입인구의 처리구역별 배분(적용)'!R11</f>
        <v>0</v>
      </c>
      <c r="AX14" s="862">
        <f>+'사회적유입인구의 처리구역별 배분(적용)'!S11</f>
        <v>0</v>
      </c>
      <c r="AY14" s="862">
        <f>+'사회적유입인구의 처리구역별 배분(적용)'!T11</f>
        <v>0</v>
      </c>
      <c r="AZ14" s="862">
        <f>+'사회적유입인구의 처리구역별 배분(적용)'!U11</f>
        <v>0</v>
      </c>
      <c r="BA14" s="862">
        <f>+'사회적유입인구의 처리구역별 배분(적용)'!V11</f>
        <v>0</v>
      </c>
      <c r="BB14" s="862">
        <f>+'사회적유입인구의 처리구역별 배분(적용)'!W11</f>
        <v>0</v>
      </c>
      <c r="BC14" s="862">
        <f>+'사회적유입인구의 처리구역별 배분(적용)'!X11</f>
        <v>0</v>
      </c>
      <c r="BD14" s="862">
        <f>+'사회적유입인구의 처리구역별 배분(적용)'!Y11</f>
        <v>0</v>
      </c>
      <c r="BE14" s="871">
        <f>+'사회적유입인구의 처리구역별 배분(적용)'!Z11</f>
        <v>1</v>
      </c>
    </row>
    <row r="15" spans="1:57" ht="24" customHeight="1">
      <c r="A15" s="2703"/>
      <c r="B15" s="2704"/>
      <c r="C15" s="2667"/>
      <c r="D15" s="2680"/>
      <c r="E15" s="174" t="s">
        <v>774</v>
      </c>
      <c r="F15" s="956"/>
      <c r="G15" s="933">
        <f>+'2014처리구역인구 정리'!I12</f>
        <v>266</v>
      </c>
      <c r="H15" s="933">
        <f>+'2014처리구역인구 정리'!J12</f>
        <v>281</v>
      </c>
      <c r="I15" s="925">
        <f>ROUND((('1.4.조성법총괄(내부이동률 적용)'!E$4+'1.4.조성법총괄(내부이동률 적용)'!E$7*$AK$2)*$AB15)+(AL$21*$AC15),0)</f>
        <v>276</v>
      </c>
      <c r="J15" s="925">
        <f>ROUND((('1.4.조성법총괄(내부이동률 적용)'!F$4+'1.4.조성법총괄(내부이동률 적용)'!F$7*$AK$2)*$AB15)+(AM$21*$AC15),0)</f>
        <v>273</v>
      </c>
      <c r="K15" s="925">
        <f>ROUND((('1.4.조성법총괄(내부이동률 적용)'!G$4+'1.4.조성법총괄(내부이동률 적용)'!G$7*$AK$2)*$AB15)+(AN$21*$AC15),0)</f>
        <v>273</v>
      </c>
      <c r="L15" s="907">
        <f>ROUND((('1.4.조성법총괄(내부이동률 적용)'!H$4+'1.4.조성법총괄(내부이동률 적용)'!H$7*$AK$2)*$AB15)+(AO$21*$AC15),0)</f>
        <v>266</v>
      </c>
      <c r="M15" s="925">
        <f>ROUND((('1.4.조성법총괄(내부이동률 적용)'!I$4+'1.4.조성법총괄(내부이동률 적용)'!I$7*$AK$2)*$AB15)+(AP$21*$AC15),0)</f>
        <v>265</v>
      </c>
      <c r="N15" s="925">
        <f>ROUND((('1.4.조성법총괄(내부이동률 적용)'!J$4+'1.4.조성법총괄(내부이동률 적용)'!J$7*$AK$2)*$AB15)+(AQ$21*$AC15),0)</f>
        <v>265</v>
      </c>
      <c r="O15" s="925">
        <f>ROUND((('1.4.조성법총괄(내부이동률 적용)'!K$4+'1.4.조성법총괄(내부이동률 적용)'!K$7*$AK$2)*$AB15)+(AR$21*$AC15),0)</f>
        <v>265</v>
      </c>
      <c r="P15" s="925">
        <f>ROUND((('1.4.조성법총괄(내부이동률 적용)'!L$4+'1.4.조성법총괄(내부이동률 적용)'!L$7*$AK$2)*$AB15)+(AS$21*$AC15),0)</f>
        <v>265</v>
      </c>
      <c r="Q15" s="907">
        <f>ROUND((('1.4.조성법총괄(내부이동률 적용)'!M$4+'1.4.조성법총괄(내부이동률 적용)'!M$7*$AK$2)*$AB15)+(AT$21*$AC15),0)</f>
        <v>265</v>
      </c>
      <c r="R15" s="925">
        <f>ROUND((('1.4.조성법총괄(내부이동률 적용)'!N$4+'1.4.조성법총괄(내부이동률 적용)'!N$7*$AK$2)*$AB15)+(AU$21*$AC15),0)</f>
        <v>265</v>
      </c>
      <c r="S15" s="925">
        <f>ROUND((('1.4.조성법총괄(내부이동률 적용)'!O$4+'1.4.조성법총괄(내부이동률 적용)'!O$7*$AK$2)*$AB15)+(AV$21*$AC15),0)</f>
        <v>264</v>
      </c>
      <c r="T15" s="925">
        <f>ROUND((('1.4.조성법총괄(내부이동률 적용)'!P$4+'1.4.조성법총괄(내부이동률 적용)'!P$7*$AK$2)*$AB15)+(AW$21*$AC15),0)</f>
        <v>264</v>
      </c>
      <c r="U15" s="925">
        <f>ROUND((('1.4.조성법총괄(내부이동률 적용)'!Q$4+'1.4.조성법총괄(내부이동률 적용)'!Q$7*$AK$2)*$AB15)+(AX$21*$AC15),0)</f>
        <v>264</v>
      </c>
      <c r="V15" s="715">
        <f>ROUND((('1.4.조성법총괄(내부이동률 적용)'!R$4+'1.4.조성법총괄(내부이동률 적용)'!R$7*$AK$2)*$AB15)+(AY$21*$AC15),0)</f>
        <v>263</v>
      </c>
      <c r="W15" s="714">
        <f>ROUND((('1.4.조성법총괄(내부이동률 적용)'!S$4+'1.4.조성법총괄(내부이동률 적용)'!S$7*$AK$2)*$AB15)+(AZ$21*$AC15),0)</f>
        <v>262</v>
      </c>
      <c r="X15" s="714">
        <f>ROUND((('1.4.조성법총괄(내부이동률 적용)'!T$4+'1.4.조성법총괄(내부이동률 적용)'!T$7*$AK$2)*$AB15)+(BA$21*$AC15),0)</f>
        <v>262</v>
      </c>
      <c r="Y15" s="714">
        <f>ROUND((('1.4.조성법총괄(내부이동률 적용)'!U$4+'1.4.조성법총괄(내부이동률 적용)'!U$7*$AK$2)*$AB15)+(BB$21*$AC15),0)</f>
        <v>261</v>
      </c>
      <c r="Z15" s="714">
        <f>ROUND((('1.4.조성법총괄(내부이동률 적용)'!V$4+'1.4.조성법총괄(내부이동률 적용)'!V$7*$AK$2)*$AB15)+(BC$21*$AC15),0)</f>
        <v>260</v>
      </c>
      <c r="AA15" s="715">
        <f>ROUND((('1.4.조성법총괄(내부이동률 적용)'!W$4+'1.4.조성법총괄(내부이동률 적용)'!W$7*$AK$2)*$AB15)+(BD$21*$AC15),0)</f>
        <v>331</v>
      </c>
      <c r="AB15" s="934">
        <f>+H15/'1.4.조성법총괄(내부이동률 적용)'!$D$8</f>
        <v>1.4745237970299627E-2</v>
      </c>
      <c r="AC15" s="934">
        <f t="shared" si="3"/>
        <v>1.7229750444539824E-2</v>
      </c>
      <c r="AD15" s="1080"/>
      <c r="AE15" s="1"/>
      <c r="AF15" s="1134"/>
      <c r="AG15" s="1132"/>
      <c r="AH15" s="1130" t="str">
        <f>+'사회적유입인구의 처리구역별 배분(적용)'!C12</f>
        <v>용산산업단지</v>
      </c>
      <c r="AI15" s="862">
        <f>+'사회적유입인구의 처리구역별 배분(적용)'!D12</f>
        <v>0</v>
      </c>
      <c r="AJ15" s="862">
        <f>+'사회적유입인구의 처리구역별 배분(적용)'!E12</f>
        <v>0</v>
      </c>
      <c r="AK15" s="862">
        <f>+'사회적유입인구의 처리구역별 배분(적용)'!F12</f>
        <v>0</v>
      </c>
      <c r="AL15" s="862">
        <f>+'사회적유입인구의 처리구역별 배분(적용)'!G12</f>
        <v>0</v>
      </c>
      <c r="AM15" s="862">
        <f>+'사회적유입인구의 처리구역별 배분(적용)'!H12</f>
        <v>0</v>
      </c>
      <c r="AN15" s="862">
        <f>+'사회적유입인구의 처리구역별 배분(적용)'!I12</f>
        <v>0</v>
      </c>
      <c r="AO15" s="862">
        <f>+'사회적유입인구의 처리구역별 배분(적용)'!J12</f>
        <v>0</v>
      </c>
      <c r="AP15" s="862">
        <f>+'사회적유입인구의 처리구역별 배분(적용)'!K12</f>
        <v>0</v>
      </c>
      <c r="AQ15" s="862">
        <f>+'사회적유입인구의 처리구역별 배분(적용)'!L12</f>
        <v>0</v>
      </c>
      <c r="AR15" s="862">
        <f>+'사회적유입인구의 처리구역별 배분(적용)'!M12</f>
        <v>0</v>
      </c>
      <c r="AS15" s="862">
        <f>+'사회적유입인구의 처리구역별 배분(적용)'!N12</f>
        <v>0</v>
      </c>
      <c r="AT15" s="862">
        <f>+'사회적유입인구의 처리구역별 배분(적용)'!O12</f>
        <v>0</v>
      </c>
      <c r="AU15" s="862">
        <f>+'사회적유입인구의 처리구역별 배분(적용)'!P12</f>
        <v>0</v>
      </c>
      <c r="AV15" s="862">
        <f>+'사회적유입인구의 처리구역별 배분(적용)'!Q12</f>
        <v>0</v>
      </c>
      <c r="AW15" s="862">
        <f>+'사회적유입인구의 처리구역별 배분(적용)'!R12</f>
        <v>0</v>
      </c>
      <c r="AX15" s="862">
        <f>+'사회적유입인구의 처리구역별 배분(적용)'!S12</f>
        <v>0</v>
      </c>
      <c r="AY15" s="862">
        <f>+'사회적유입인구의 처리구역별 배분(적용)'!T12</f>
        <v>0</v>
      </c>
      <c r="AZ15" s="862">
        <f>+'사회적유입인구의 처리구역별 배분(적용)'!U12</f>
        <v>0</v>
      </c>
      <c r="BA15" s="862">
        <f>+'사회적유입인구의 처리구역별 배분(적용)'!V12</f>
        <v>0</v>
      </c>
      <c r="BB15" s="862">
        <f>+'사회적유입인구의 처리구역별 배분(적용)'!W12</f>
        <v>0</v>
      </c>
      <c r="BC15" s="862">
        <f>+'사회적유입인구의 처리구역별 배분(적용)'!X12</f>
        <v>0</v>
      </c>
      <c r="BD15" s="862">
        <f>+'사회적유입인구의 처리구역별 배분(적용)'!Y12</f>
        <v>1191</v>
      </c>
      <c r="BE15" s="871">
        <f>+'사회적유입인구의 처리구역별 배분(적용)'!Z12</f>
        <v>1</v>
      </c>
    </row>
    <row r="16" spans="1:57" ht="24" customHeight="1">
      <c r="A16" s="2703"/>
      <c r="B16" s="2704"/>
      <c r="C16" s="2667"/>
      <c r="D16" s="2680"/>
      <c r="E16" s="174" t="s">
        <v>776</v>
      </c>
      <c r="F16" s="956"/>
      <c r="G16" s="933">
        <f>+'2014처리구역인구 정리'!I13</f>
        <v>239</v>
      </c>
      <c r="H16" s="933">
        <f>+'2014처리구역인구 정리'!J13</f>
        <v>254</v>
      </c>
      <c r="I16" s="925">
        <f>ROUND((('1.4.조성법총괄(내부이동률 적용)'!E$4+'1.4.조성법총괄(내부이동률 적용)'!E$7*$AK$2)*$AB16)+(AL$21*$AC16),0)</f>
        <v>250</v>
      </c>
      <c r="J16" s="925">
        <f>ROUND((('1.4.조성법총괄(내부이동률 적용)'!F$4+'1.4.조성법총괄(내부이동률 적용)'!F$7*$AK$2)*$AB16)+(AM$21*$AC16),0)</f>
        <v>247</v>
      </c>
      <c r="K16" s="925">
        <f>ROUND((('1.4.조성법총괄(내부이동률 적용)'!G$4+'1.4.조성법총괄(내부이동률 적용)'!G$7*$AK$2)*$AB16)+(AN$21*$AC16),0)</f>
        <v>246</v>
      </c>
      <c r="L16" s="907">
        <f>ROUND((('1.4.조성법총괄(내부이동률 적용)'!H$4+'1.4.조성법총괄(내부이동률 적용)'!H$7*$AK$2)*$AB16)+(AO$21*$AC16),0)</f>
        <v>240</v>
      </c>
      <c r="M16" s="925">
        <f>ROUND((('1.4.조성법총괄(내부이동률 적용)'!I$4+'1.4.조성법총괄(내부이동률 적용)'!I$7*$AK$2)*$AB16)+(AP$21*$AC16),0)</f>
        <v>240</v>
      </c>
      <c r="N16" s="925">
        <f>ROUND((('1.4.조성법총괄(내부이동률 적용)'!J$4+'1.4.조성법총괄(내부이동률 적용)'!J$7*$AK$2)*$AB16)+(AQ$21*$AC16),0)</f>
        <v>240</v>
      </c>
      <c r="O16" s="925">
        <f>ROUND((('1.4.조성법총괄(내부이동률 적용)'!K$4+'1.4.조성법총괄(내부이동률 적용)'!K$7*$AK$2)*$AB16)+(AR$21*$AC16),0)</f>
        <v>240</v>
      </c>
      <c r="P16" s="925">
        <f>ROUND((('1.4.조성법총괄(내부이동률 적용)'!L$4+'1.4.조성법총괄(내부이동률 적용)'!L$7*$AK$2)*$AB16)+(AS$21*$AC16),0)</f>
        <v>240</v>
      </c>
      <c r="Q16" s="907">
        <f>ROUND((('1.4.조성법총괄(내부이동률 적용)'!M$4+'1.4.조성법총괄(내부이동률 적용)'!M$7*$AK$2)*$AB16)+(AT$21*$AC16),0)</f>
        <v>240</v>
      </c>
      <c r="R16" s="925">
        <f>ROUND((('1.4.조성법총괄(내부이동률 적용)'!N$4+'1.4.조성법총괄(내부이동률 적용)'!N$7*$AK$2)*$AB16)+(AU$21*$AC16),0)</f>
        <v>239</v>
      </c>
      <c r="S16" s="925">
        <f>ROUND((('1.4.조성법총괄(내부이동률 적용)'!O$4+'1.4.조성법총괄(내부이동률 적용)'!O$7*$AK$2)*$AB16)+(AV$21*$AC16),0)</f>
        <v>239</v>
      </c>
      <c r="T16" s="925">
        <f>ROUND((('1.4.조성법총괄(내부이동률 적용)'!P$4+'1.4.조성법총괄(내부이동률 적용)'!P$7*$AK$2)*$AB16)+(AW$21*$AC16),0)</f>
        <v>239</v>
      </c>
      <c r="U16" s="925">
        <f>ROUND((('1.4.조성법총괄(내부이동률 적용)'!Q$4+'1.4.조성법총괄(내부이동률 적용)'!Q$7*$AK$2)*$AB16)+(AX$21*$AC16),0)</f>
        <v>238</v>
      </c>
      <c r="V16" s="715">
        <f>ROUND((('1.4.조성법총괄(내부이동률 적용)'!R$4+'1.4.조성법총괄(내부이동률 적용)'!R$7*$AK$2)*$AB16)+(AY$21*$AC16),0)</f>
        <v>238</v>
      </c>
      <c r="W16" s="714">
        <f>ROUND((('1.4.조성법총괄(내부이동률 적용)'!S$4+'1.4.조성법총괄(내부이동률 적용)'!S$7*$AK$2)*$AB16)+(AZ$21*$AC16),0)</f>
        <v>237</v>
      </c>
      <c r="X16" s="714">
        <f>ROUND((('1.4.조성법총괄(내부이동률 적용)'!T$4+'1.4.조성법총괄(내부이동률 적용)'!T$7*$AK$2)*$AB16)+(BA$21*$AC16),0)</f>
        <v>237</v>
      </c>
      <c r="Y16" s="714">
        <f>ROUND((('1.4.조성법총괄(내부이동률 적용)'!U$4+'1.4.조성법총괄(내부이동률 적용)'!U$7*$AK$2)*$AB16)+(BB$21*$AC16),0)</f>
        <v>236</v>
      </c>
      <c r="Z16" s="714">
        <f>ROUND((('1.4.조성법총괄(내부이동률 적용)'!V$4+'1.4.조성법총괄(내부이동률 적용)'!V$7*$AK$2)*$AB16)+(BC$21*$AC16),0)</f>
        <v>235</v>
      </c>
      <c r="AA16" s="715">
        <f>ROUND((('1.4.조성법총괄(내부이동률 적용)'!W$4+'1.4.조성법총괄(내부이동률 적용)'!W$7*$AK$2)*$AB16)+(BD$21*$AC16),0)</f>
        <v>299</v>
      </c>
      <c r="AB16" s="934">
        <f>+H16/'1.4.조성법총괄(내부이동률 적용)'!$D$8</f>
        <v>1.3328435745395393E-2</v>
      </c>
      <c r="AC16" s="934">
        <f t="shared" si="3"/>
        <v>1.5574222821754859E-2</v>
      </c>
      <c r="AD16" s="1080"/>
      <c r="AE16" s="1"/>
      <c r="AF16" s="1134"/>
      <c r="AG16" s="1132"/>
      <c r="AH16" s="1130" t="str">
        <f>+'사회적유입인구의 처리구역별 배분(적용)'!C13</f>
        <v>음성산업단지</v>
      </c>
      <c r="AI16" s="862">
        <f>+'사회적유입인구의 처리구역별 배분(적용)'!D13</f>
        <v>0</v>
      </c>
      <c r="AJ16" s="862">
        <f>+'사회적유입인구의 처리구역별 배분(적용)'!E13</f>
        <v>0</v>
      </c>
      <c r="AK16" s="862">
        <f>+'사회적유입인구의 처리구역별 배분(적용)'!F13</f>
        <v>0</v>
      </c>
      <c r="AL16" s="862">
        <f>+'사회적유입인구의 처리구역별 배분(적용)'!G13</f>
        <v>0</v>
      </c>
      <c r="AM16" s="862">
        <f>+'사회적유입인구의 처리구역별 배분(적용)'!H13</f>
        <v>0</v>
      </c>
      <c r="AN16" s="862">
        <f>+'사회적유입인구의 처리구역별 배분(적용)'!I13</f>
        <v>0</v>
      </c>
      <c r="AO16" s="862">
        <f>+'사회적유입인구의 처리구역별 배분(적용)'!J13</f>
        <v>0</v>
      </c>
      <c r="AP16" s="862">
        <f>+'사회적유입인구의 처리구역별 배분(적용)'!K13</f>
        <v>0</v>
      </c>
      <c r="AQ16" s="862">
        <f>+'사회적유입인구의 처리구역별 배분(적용)'!L13</f>
        <v>0</v>
      </c>
      <c r="AR16" s="862">
        <f>+'사회적유입인구의 처리구역별 배분(적용)'!M13</f>
        <v>0</v>
      </c>
      <c r="AS16" s="862">
        <f>+'사회적유입인구의 처리구역별 배분(적용)'!N13</f>
        <v>0</v>
      </c>
      <c r="AT16" s="862">
        <f>+'사회적유입인구의 처리구역별 배분(적용)'!O13</f>
        <v>0</v>
      </c>
      <c r="AU16" s="862">
        <f>+'사회적유입인구의 처리구역별 배분(적용)'!P13</f>
        <v>0</v>
      </c>
      <c r="AV16" s="862">
        <f>+'사회적유입인구의 처리구역별 배분(적용)'!Q13</f>
        <v>0</v>
      </c>
      <c r="AW16" s="862">
        <f>+'사회적유입인구의 처리구역별 배분(적용)'!R13</f>
        <v>0</v>
      </c>
      <c r="AX16" s="862">
        <f>+'사회적유입인구의 처리구역별 배분(적용)'!S13</f>
        <v>0</v>
      </c>
      <c r="AY16" s="862">
        <f>+'사회적유입인구의 처리구역별 배분(적용)'!T13</f>
        <v>0</v>
      </c>
      <c r="AZ16" s="862">
        <f>+'사회적유입인구의 처리구역별 배분(적용)'!U13</f>
        <v>0</v>
      </c>
      <c r="BA16" s="862">
        <f>+'사회적유입인구의 처리구역별 배분(적용)'!V13</f>
        <v>0</v>
      </c>
      <c r="BB16" s="862">
        <f>+'사회적유입인구의 처리구역별 배분(적용)'!W13</f>
        <v>0</v>
      </c>
      <c r="BC16" s="862">
        <f>+'사회적유입인구의 처리구역별 배분(적용)'!X13</f>
        <v>0</v>
      </c>
      <c r="BD16" s="862">
        <f>+'사회적유입인구의 처리구역별 배분(적용)'!Y13</f>
        <v>1546</v>
      </c>
      <c r="BE16" s="871">
        <f>+'사회적유입인구의 처리구역별 배분(적용)'!Z13</f>
        <v>1</v>
      </c>
    </row>
    <row r="17" spans="1:57" ht="24" customHeight="1">
      <c r="A17" s="2703"/>
      <c r="B17" s="2704"/>
      <c r="C17" s="2667"/>
      <c r="D17" s="2680"/>
      <c r="E17" s="1178" t="s">
        <v>778</v>
      </c>
      <c r="F17" s="956"/>
      <c r="G17" s="933">
        <f>+'2014처리구역인구 정리'!I14</f>
        <v>357</v>
      </c>
      <c r="H17" s="933">
        <f>+'2014처리구역인구 정리'!J14</f>
        <v>374</v>
      </c>
      <c r="I17" s="925">
        <f>ROUND((('1.4.조성법총괄(내부이동률 적용)'!E$4+'1.4.조성법총괄(내부이동률 적용)'!E$7*$AK$2)*$AB17)+(AL$21*$AC17),0)</f>
        <v>368</v>
      </c>
      <c r="J17" s="925">
        <f>ROUND((('1.4.조성법총괄(내부이동률 적용)'!F$4+'1.4.조성법총괄(내부이동률 적용)'!F$7*$AK$2)*$AB17)+(AM$21*$AC17),0)</f>
        <v>364</v>
      </c>
      <c r="K17" s="925">
        <f>ROUND((('1.4.조성법총괄(내부이동률 적용)'!G$4+'1.4.조성법총괄(내부이동률 적용)'!G$7*$AK$2)*$AB17)+(AN$21*$AC17),0)</f>
        <v>363</v>
      </c>
      <c r="L17" s="907">
        <f>ROUND((('1.4.조성법총괄(내부이동률 적용)'!H$4+'1.4.조성법총괄(내부이동률 적용)'!H$7*$AK$2)*$AB17)+(AO$21*$AC17),0)</f>
        <v>353</v>
      </c>
      <c r="M17" s="925">
        <f>ROUND((('1.4.조성법총괄(내부이동률 적용)'!I$4+'1.4.조성법총괄(내부이동률 적용)'!I$7*$AK$2)*$AB17)+(AP$21*$AC17),0)</f>
        <v>353</v>
      </c>
      <c r="N17" s="925">
        <f>ROUND((('1.4.조성법총괄(내부이동률 적용)'!J$4+'1.4.조성법총괄(내부이동률 적용)'!J$7*$AK$2)*$AB17)+(AQ$21*$AC17),0)</f>
        <v>353</v>
      </c>
      <c r="O17" s="925">
        <f>ROUND((('1.4.조성법총괄(내부이동률 적용)'!K$4+'1.4.조성법총괄(내부이동률 적용)'!K$7*$AK$2)*$AB17)+(AR$21*$AC17),0)</f>
        <v>353</v>
      </c>
      <c r="P17" s="925">
        <f>ROUND((('1.4.조성법총괄(내부이동률 적용)'!L$4+'1.4.조성법총괄(내부이동률 적용)'!L$7*$AK$2)*$AB17)+(AS$21*$AC17),0)</f>
        <v>353</v>
      </c>
      <c r="Q17" s="907">
        <f>ROUND((('1.4.조성법총괄(내부이동률 적용)'!M$4+'1.4.조성법총괄(내부이동률 적용)'!M$7*$AK$2)*$AB17)+(AT$21*$AC17),0)</f>
        <v>353</v>
      </c>
      <c r="R17" s="925">
        <f>ROUND((('1.4.조성법총괄(내부이동률 적용)'!N$4+'1.4.조성법총괄(내부이동률 적용)'!N$7*$AK$2)*$AB17)+(AU$21*$AC17),0)</f>
        <v>352</v>
      </c>
      <c r="S17" s="925">
        <f>ROUND((('1.4.조성법총괄(내부이동률 적용)'!O$4+'1.4.조성법총괄(내부이동률 적용)'!O$7*$AK$2)*$AB17)+(AV$21*$AC17),0)</f>
        <v>352</v>
      </c>
      <c r="T17" s="925">
        <f>ROUND((('1.4.조성법총괄(내부이동률 적용)'!P$4+'1.4.조성법총괄(내부이동률 적용)'!P$7*$AK$2)*$AB17)+(AW$21*$AC17),0)</f>
        <v>351</v>
      </c>
      <c r="U17" s="925">
        <f>ROUND((('1.4.조성법총괄(내부이동률 적용)'!Q$4+'1.4.조성법총괄(내부이동률 적용)'!Q$7*$AK$2)*$AB17)+(AX$21*$AC17),0)</f>
        <v>351</v>
      </c>
      <c r="V17" s="715">
        <f>ROUND((('1.4.조성법총괄(내부이동률 적용)'!R$4+'1.4.조성법총괄(내부이동률 적용)'!R$7*$AK$2)*$AB17)+(AY$21*$AC17),0)</f>
        <v>350</v>
      </c>
      <c r="W17" s="714">
        <f>ROUND((('1.4.조성법총괄(내부이동률 적용)'!S$4+'1.4.조성법총괄(내부이동률 적용)'!S$7*$AK$2)*$AB17)+(AZ$21*$AC17),0)</f>
        <v>349</v>
      </c>
      <c r="X17" s="714">
        <f>ROUND((('1.4.조성법총괄(내부이동률 적용)'!T$4+'1.4.조성법총괄(내부이동률 적용)'!T$7*$AK$2)*$AB17)+(BA$21*$AC17),0)</f>
        <v>348</v>
      </c>
      <c r="Y17" s="714">
        <f>ROUND((('1.4.조성법총괄(내부이동률 적용)'!U$4+'1.4.조성법총괄(내부이동률 적용)'!U$7*$AK$2)*$AB17)+(BB$21*$AC17),0)</f>
        <v>347</v>
      </c>
      <c r="Z17" s="714">
        <f>ROUND((('1.4.조성법총괄(내부이동률 적용)'!V$4+'1.4.조성법총괄(내부이동률 적용)'!V$7*$AK$2)*$AB17)+(BC$21*$AC17),0)</f>
        <v>347</v>
      </c>
      <c r="AA17" s="715">
        <f>ROUND((('1.4.조성법총괄(내부이동률 적용)'!W$4+'1.4.조성법총괄(내부이동률 적용)'!W$7*$AK$2)*$AB17)+(BD$21*$AC17),0)</f>
        <v>441</v>
      </c>
      <c r="AB17" s="934">
        <f>+H17/'1.4.조성법총괄(내부이동률 적용)'!$D$8</f>
        <v>1.9625334522747548E-2</v>
      </c>
      <c r="AC17" s="934">
        <f t="shared" si="3"/>
        <v>2.2932123367465817E-2</v>
      </c>
      <c r="AD17" s="1080"/>
      <c r="AE17" s="711"/>
      <c r="AF17" s="1134"/>
      <c r="AG17" s="1132"/>
      <c r="AH17" s="1130" t="str">
        <f>+'사회적유입인구의 처리구역별 배분(적용)'!C14</f>
        <v>㈜에스지월드테크</v>
      </c>
      <c r="AI17" s="862">
        <f>+'사회적유입인구의 처리구역별 배분(적용)'!D14</f>
        <v>0</v>
      </c>
      <c r="AJ17" s="862">
        <f>+'사회적유입인구의 처리구역별 배분(적용)'!E14</f>
        <v>0</v>
      </c>
      <c r="AK17" s="862">
        <f>+'사회적유입인구의 처리구역별 배분(적용)'!F14</f>
        <v>0</v>
      </c>
      <c r="AL17" s="862">
        <f>+'사회적유입인구의 처리구역별 배분(적용)'!G14</f>
        <v>0</v>
      </c>
      <c r="AM17" s="862">
        <f>+'사회적유입인구의 처리구역별 배분(적용)'!H14</f>
        <v>0</v>
      </c>
      <c r="AN17" s="862">
        <f>+'사회적유입인구의 처리구역별 배분(적용)'!I14</f>
        <v>0</v>
      </c>
      <c r="AO17" s="862">
        <f>+'사회적유입인구의 처리구역별 배분(적용)'!J14</f>
        <v>0</v>
      </c>
      <c r="AP17" s="862">
        <f>+'사회적유입인구의 처리구역별 배분(적용)'!K14</f>
        <v>0</v>
      </c>
      <c r="AQ17" s="862">
        <f>+'사회적유입인구의 처리구역별 배분(적용)'!L14</f>
        <v>0</v>
      </c>
      <c r="AR17" s="862">
        <f>+'사회적유입인구의 처리구역별 배분(적용)'!M14</f>
        <v>0</v>
      </c>
      <c r="AS17" s="862">
        <f>+'사회적유입인구의 처리구역별 배분(적용)'!N14</f>
        <v>0</v>
      </c>
      <c r="AT17" s="862">
        <f>+'사회적유입인구의 처리구역별 배분(적용)'!O14</f>
        <v>0</v>
      </c>
      <c r="AU17" s="862">
        <f>+'사회적유입인구의 처리구역별 배분(적용)'!P14</f>
        <v>0</v>
      </c>
      <c r="AV17" s="862">
        <f>+'사회적유입인구의 처리구역별 배분(적용)'!Q14</f>
        <v>0</v>
      </c>
      <c r="AW17" s="862">
        <f>+'사회적유입인구의 처리구역별 배분(적용)'!R14</f>
        <v>0</v>
      </c>
      <c r="AX17" s="862">
        <f>+'사회적유입인구의 처리구역별 배분(적용)'!S14</f>
        <v>0</v>
      </c>
      <c r="AY17" s="862">
        <f>+'사회적유입인구의 처리구역별 배분(적용)'!T14</f>
        <v>0</v>
      </c>
      <c r="AZ17" s="862">
        <f>+'사회적유입인구의 처리구역별 배분(적용)'!U14</f>
        <v>0</v>
      </c>
      <c r="BA17" s="862">
        <f>+'사회적유입인구의 처리구역별 배분(적용)'!V14</f>
        <v>0</v>
      </c>
      <c r="BB17" s="862">
        <f>+'사회적유입인구의 처리구역별 배분(적용)'!W14</f>
        <v>0</v>
      </c>
      <c r="BC17" s="862">
        <f>+'사회적유입인구의 처리구역별 배분(적용)'!X14</f>
        <v>0</v>
      </c>
      <c r="BD17" s="862">
        <f>+'사회적유입인구의 처리구역별 배분(적용)'!Y14</f>
        <v>99</v>
      </c>
      <c r="BE17" s="871">
        <f>+'사회적유입인구의 처리구역별 배분(적용)'!Z14</f>
        <v>1</v>
      </c>
    </row>
    <row r="18" spans="1:57" s="712" customFormat="1" ht="24" customHeight="1">
      <c r="A18" s="2703"/>
      <c r="B18" s="2704"/>
      <c r="C18" s="2667"/>
      <c r="D18" s="2680"/>
      <c r="E18" s="1178" t="s">
        <v>1268</v>
      </c>
      <c r="F18" s="956"/>
      <c r="G18" s="933">
        <f>AJ11</f>
        <v>0</v>
      </c>
      <c r="H18" s="933">
        <f t="shared" ref="H18:AA18" si="25">AK11</f>
        <v>0</v>
      </c>
      <c r="I18" s="925">
        <f t="shared" si="25"/>
        <v>0</v>
      </c>
      <c r="J18" s="925">
        <f t="shared" si="25"/>
        <v>0</v>
      </c>
      <c r="K18" s="925">
        <f t="shared" si="25"/>
        <v>0</v>
      </c>
      <c r="L18" s="907">
        <f t="shared" si="25"/>
        <v>376</v>
      </c>
      <c r="M18" s="925">
        <f t="shared" si="25"/>
        <v>376</v>
      </c>
      <c r="N18" s="925">
        <f t="shared" si="25"/>
        <v>376</v>
      </c>
      <c r="O18" s="925">
        <f t="shared" si="25"/>
        <v>376</v>
      </c>
      <c r="P18" s="925">
        <f t="shared" si="25"/>
        <v>376</v>
      </c>
      <c r="Q18" s="907">
        <f t="shared" si="25"/>
        <v>376</v>
      </c>
      <c r="R18" s="925">
        <f t="shared" si="25"/>
        <v>376</v>
      </c>
      <c r="S18" s="925">
        <f t="shared" si="25"/>
        <v>376</v>
      </c>
      <c r="T18" s="925">
        <f t="shared" si="25"/>
        <v>376</v>
      </c>
      <c r="U18" s="925">
        <f t="shared" si="25"/>
        <v>376</v>
      </c>
      <c r="V18" s="715">
        <f t="shared" si="25"/>
        <v>376</v>
      </c>
      <c r="W18" s="714">
        <f t="shared" si="25"/>
        <v>376</v>
      </c>
      <c r="X18" s="714">
        <f t="shared" si="25"/>
        <v>376</v>
      </c>
      <c r="Y18" s="714">
        <f t="shared" si="25"/>
        <v>376</v>
      </c>
      <c r="Z18" s="714">
        <f t="shared" si="25"/>
        <v>376</v>
      </c>
      <c r="AA18" s="715">
        <f t="shared" si="25"/>
        <v>376</v>
      </c>
      <c r="AB18" s="934"/>
      <c r="AC18" s="934"/>
      <c r="AD18" s="1080" t="str">
        <f>AH11</f>
        <v>음성지역주택조합</v>
      </c>
      <c r="AE18" s="711" t="s">
        <v>1565</v>
      </c>
      <c r="AF18" s="1134"/>
      <c r="AG18" s="1132"/>
      <c r="AH18" s="1130" t="str">
        <f>+'사회적유입인구의 처리구역별 배분(적용)'!C15</f>
        <v>lng 발전소</v>
      </c>
      <c r="AI18" s="862">
        <f>+'사회적유입인구의 처리구역별 배분(적용)'!D15</f>
        <v>0</v>
      </c>
      <c r="AJ18" s="862">
        <f>+'사회적유입인구의 처리구역별 배분(적용)'!E15</f>
        <v>0</v>
      </c>
      <c r="AK18" s="862">
        <f>+'사회적유입인구의 처리구역별 배분(적용)'!F15</f>
        <v>0</v>
      </c>
      <c r="AL18" s="862">
        <f>+'사회적유입인구의 처리구역별 배분(적용)'!G15</f>
        <v>0</v>
      </c>
      <c r="AM18" s="862">
        <f>+'사회적유입인구의 처리구역별 배분(적용)'!H15</f>
        <v>0</v>
      </c>
      <c r="AN18" s="862">
        <f>+'사회적유입인구의 처리구역별 배분(적용)'!I15</f>
        <v>0</v>
      </c>
      <c r="AO18" s="862">
        <f>+'사회적유입인구의 처리구역별 배분(적용)'!J15</f>
        <v>0</v>
      </c>
      <c r="AP18" s="862">
        <f>+'사회적유입인구의 처리구역별 배분(적용)'!K15</f>
        <v>0</v>
      </c>
      <c r="AQ18" s="862">
        <f>+'사회적유입인구의 처리구역별 배분(적용)'!L15</f>
        <v>0</v>
      </c>
      <c r="AR18" s="862">
        <f>+'사회적유입인구의 처리구역별 배분(적용)'!M15</f>
        <v>0</v>
      </c>
      <c r="AS18" s="862">
        <f>+'사회적유입인구의 처리구역별 배분(적용)'!N15</f>
        <v>0</v>
      </c>
      <c r="AT18" s="862">
        <f>+'사회적유입인구의 처리구역별 배분(적용)'!O15</f>
        <v>0</v>
      </c>
      <c r="AU18" s="862">
        <f>+'사회적유입인구의 처리구역별 배분(적용)'!P15</f>
        <v>0</v>
      </c>
      <c r="AV18" s="862">
        <f>+'사회적유입인구의 처리구역별 배분(적용)'!Q15</f>
        <v>0</v>
      </c>
      <c r="AW18" s="862">
        <f>+'사회적유입인구의 처리구역별 배분(적용)'!R15</f>
        <v>0</v>
      </c>
      <c r="AX18" s="862">
        <f>+'사회적유입인구의 처리구역별 배분(적용)'!S15</f>
        <v>0</v>
      </c>
      <c r="AY18" s="862">
        <f>+'사회적유입인구의 처리구역별 배분(적용)'!T15</f>
        <v>0</v>
      </c>
      <c r="AZ18" s="862">
        <f>+'사회적유입인구의 처리구역별 배분(적용)'!U15</f>
        <v>0</v>
      </c>
      <c r="BA18" s="862">
        <f>+'사회적유입인구의 처리구역별 배분(적용)'!V15</f>
        <v>0</v>
      </c>
      <c r="BB18" s="862">
        <f>+'사회적유입인구의 처리구역별 배분(적용)'!W15</f>
        <v>0</v>
      </c>
      <c r="BC18" s="862">
        <f>+'사회적유입인구의 처리구역별 배분(적용)'!X15</f>
        <v>0</v>
      </c>
      <c r="BD18" s="862">
        <f>+'사회적유입인구의 처리구역별 배분(적용)'!Y15</f>
        <v>225</v>
      </c>
      <c r="BE18" s="871">
        <f>+'사회적유입인구의 처리구역별 배분(적용)'!Z15</f>
        <v>1</v>
      </c>
    </row>
    <row r="19" spans="1:57" s="712" customFormat="1" ht="24" customHeight="1">
      <c r="A19" s="2703"/>
      <c r="B19" s="2704"/>
      <c r="C19" s="2667"/>
      <c r="D19" s="2656" t="s">
        <v>935</v>
      </c>
      <c r="E19" s="1816" t="s">
        <v>2227</v>
      </c>
      <c r="F19" s="956"/>
      <c r="G19" s="933"/>
      <c r="H19" s="933">
        <f>+'2014처리구역인구 정리'!J15</f>
        <v>173</v>
      </c>
      <c r="I19" s="925">
        <f>ROUND((('1.4.조성법총괄(내부이동률 적용)'!E$4+'1.4.조성법총괄(내부이동률 적용)'!E$7*$AK$2)*$AB19)+(AL$21*$AC19),0)</f>
        <v>170</v>
      </c>
      <c r="J19" s="925">
        <f>ROUND((('1.4.조성법총괄(내부이동률 적용)'!F$4+'1.4.조성법총괄(내부이동률 적용)'!F$7*$AK$2)*$AB19)+(AM$21*$AC19),0)</f>
        <v>168</v>
      </c>
      <c r="K19" s="925">
        <f>ROUND((('1.4.조성법총괄(내부이동률 적용)'!G$4+'1.4.조성법총괄(내부이동률 적용)'!G$7*$AK$2)*$AB19)+(AN$21*$AC19),0)</f>
        <v>168</v>
      </c>
      <c r="L19" s="907">
        <f>ROUND((('1.4.조성법총괄(내부이동률 적용)'!H$4+'1.4.조성법총괄(내부이동률 적용)'!H$7*$AK$2)*$AB19)+(AO$21*$AC19),0)</f>
        <v>163</v>
      </c>
      <c r="M19" s="925">
        <f>ROUND((('1.4.조성법총괄(내부이동률 적용)'!I$4+'1.4.조성법총괄(내부이동률 적용)'!I$7*$AK$2)*$AB19)+(AP$21*$AC19),0)</f>
        <v>163</v>
      </c>
      <c r="N19" s="925">
        <f>ROUND((('1.4.조성법총괄(내부이동률 적용)'!J$4+'1.4.조성법총괄(내부이동률 적용)'!J$7*$AK$2)*$AB19)+(AQ$21*$AC19),0)</f>
        <v>163</v>
      </c>
      <c r="O19" s="925">
        <f>ROUND((('1.4.조성법총괄(내부이동률 적용)'!K$4+'1.4.조성법총괄(내부이동률 적용)'!K$7*$AK$2)*$AB19)+(AR$21*$AC19),0)</f>
        <v>163</v>
      </c>
      <c r="P19" s="925">
        <f>ROUND((('1.4.조성법총괄(내부이동률 적용)'!L$4+'1.4.조성법총괄(내부이동률 적용)'!L$7*$AK$2)*$AB19)+(AS$21*$AC19),0)</f>
        <v>163</v>
      </c>
      <c r="Q19" s="907">
        <f>ROUND((('1.4.조성법총괄(내부이동률 적용)'!M$4+'1.4.조성법총괄(내부이동률 적용)'!M$7*$AK$2)*$AB19)+(AT$21*$AC19),0)</f>
        <v>163</v>
      </c>
      <c r="R19" s="925">
        <f>ROUND((('1.4.조성법총괄(내부이동률 적용)'!N$4+'1.4.조성법총괄(내부이동률 적용)'!N$7*$AK$2)*$AB19)+(AU$21*$AC19),0)</f>
        <v>163</v>
      </c>
      <c r="S19" s="925">
        <f>ROUND((('1.4.조성법총괄(내부이동률 적용)'!O$4+'1.4.조성법총괄(내부이동률 적용)'!O$7*$AK$2)*$AB19)+(AV$21*$AC19),0)</f>
        <v>163</v>
      </c>
      <c r="T19" s="925">
        <f>ROUND((('1.4.조성법총괄(내부이동률 적용)'!P$4+'1.4.조성법총괄(내부이동률 적용)'!P$7*$AK$2)*$AB19)+(AW$21*$AC19),0)</f>
        <v>163</v>
      </c>
      <c r="U19" s="925">
        <f>ROUND((('1.4.조성법총괄(내부이동률 적용)'!Q$4+'1.4.조성법총괄(내부이동률 적용)'!Q$7*$AK$2)*$AB19)+(AX$21*$AC19),0)</f>
        <v>162</v>
      </c>
      <c r="V19" s="715">
        <f>ROUND((('1.4.조성법총괄(내부이동률 적용)'!R$4+'1.4.조성법총괄(내부이동률 적용)'!R$7*$AK$2)*$AB19)+(AY$21*$AC19),0)</f>
        <v>162</v>
      </c>
      <c r="W19" s="714">
        <f>ROUND((('1.4.조성법총괄(내부이동률 적용)'!S$4+'1.4.조성법총괄(내부이동률 적용)'!S$7*$AK$2)*$AB19)+(AZ$21*$AC19),0)</f>
        <v>162</v>
      </c>
      <c r="X19" s="714">
        <f>ROUND((('1.4.조성법총괄(내부이동률 적용)'!T$4+'1.4.조성법총괄(내부이동률 적용)'!T$7*$AK$2)*$AB19)+(BA$21*$AC19),0)</f>
        <v>161</v>
      </c>
      <c r="Y19" s="714">
        <f>ROUND((('1.4.조성법총괄(내부이동률 적용)'!U$4+'1.4.조성법총괄(내부이동률 적용)'!U$7*$AK$2)*$AB19)+(BB$21*$AC19),0)</f>
        <v>161</v>
      </c>
      <c r="Z19" s="714">
        <f>ROUND((('1.4.조성법총괄(내부이동률 적용)'!V$4+'1.4.조성법총괄(내부이동률 적용)'!V$7*$AK$2)*$AB19)+(BC$21*$AC19),0)</f>
        <v>160</v>
      </c>
      <c r="AA19" s="715">
        <f>ROUND((('1.4.조성법총괄(내부이동률 적용)'!W$4+'1.4.조성법총괄(내부이동률 적용)'!W$7*$AK$2)*$AB19)+(BD$21*$AC19),0)</f>
        <v>204</v>
      </c>
      <c r="AB19" s="934">
        <f>+H19/'1.4.조성법총괄(내부이동률 적용)'!$D$8</f>
        <v>9.0780290706826885E-3</v>
      </c>
      <c r="AC19" s="934">
        <f t="shared" si="3"/>
        <v>1.0607639953399963E-2</v>
      </c>
      <c r="AD19" s="1080"/>
      <c r="AE19" s="711"/>
      <c r="AF19" s="1556"/>
      <c r="AG19" s="1555"/>
      <c r="AH19" s="1130" t="str">
        <f>+'사회적유입인구의 처리구역별 배분(적용)'!C16</f>
        <v>소이산업단지 확장</v>
      </c>
      <c r="AI19" s="862">
        <f>+'사회적유입인구의 처리구역별 배분(적용)'!D16</f>
        <v>0</v>
      </c>
      <c r="AJ19" s="862">
        <f>+'사회적유입인구의 처리구역별 배분(적용)'!E16</f>
        <v>0</v>
      </c>
      <c r="AK19" s="862">
        <f>+'사회적유입인구의 처리구역별 배분(적용)'!F16</f>
        <v>0</v>
      </c>
      <c r="AL19" s="862">
        <f>+'사회적유입인구의 처리구역별 배분(적용)'!G16</f>
        <v>0</v>
      </c>
      <c r="AM19" s="862">
        <f>+'사회적유입인구의 처리구역별 배분(적용)'!H16</f>
        <v>0</v>
      </c>
      <c r="AN19" s="862">
        <f>+'사회적유입인구의 처리구역별 배분(적용)'!I16</f>
        <v>0</v>
      </c>
      <c r="AO19" s="862">
        <f>+'사회적유입인구의 처리구역별 배분(적용)'!J16</f>
        <v>0</v>
      </c>
      <c r="AP19" s="862">
        <f>+'사회적유입인구의 처리구역별 배분(적용)'!K16</f>
        <v>0</v>
      </c>
      <c r="AQ19" s="862">
        <f>+'사회적유입인구의 처리구역별 배분(적용)'!L16</f>
        <v>0</v>
      </c>
      <c r="AR19" s="862">
        <f>+'사회적유입인구의 처리구역별 배분(적용)'!M16</f>
        <v>0</v>
      </c>
      <c r="AS19" s="862">
        <f>+'사회적유입인구의 처리구역별 배분(적용)'!N16</f>
        <v>0</v>
      </c>
      <c r="AT19" s="862">
        <f>+'사회적유입인구의 처리구역별 배분(적용)'!O16</f>
        <v>0</v>
      </c>
      <c r="AU19" s="862">
        <f>+'사회적유입인구의 처리구역별 배분(적용)'!P16</f>
        <v>0</v>
      </c>
      <c r="AV19" s="862">
        <f>+'사회적유입인구의 처리구역별 배분(적용)'!Q16</f>
        <v>0</v>
      </c>
      <c r="AW19" s="862">
        <f>+'사회적유입인구의 처리구역별 배분(적용)'!R16</f>
        <v>0</v>
      </c>
      <c r="AX19" s="862">
        <f>+'사회적유입인구의 처리구역별 배분(적용)'!S16</f>
        <v>0</v>
      </c>
      <c r="AY19" s="862">
        <f>+'사회적유입인구의 처리구역별 배분(적용)'!T16</f>
        <v>0</v>
      </c>
      <c r="AZ19" s="862">
        <f>+'사회적유입인구의 처리구역별 배분(적용)'!U16</f>
        <v>0</v>
      </c>
      <c r="BA19" s="862">
        <f>+'사회적유입인구의 처리구역별 배분(적용)'!V16</f>
        <v>0</v>
      </c>
      <c r="BB19" s="862">
        <f>+'사회적유입인구의 처리구역별 배분(적용)'!W16</f>
        <v>0</v>
      </c>
      <c r="BC19" s="862">
        <f>+'사회적유입인구의 처리구역별 배분(적용)'!X16</f>
        <v>0</v>
      </c>
      <c r="BD19" s="862">
        <f>+'사회적유입인구의 처리구역별 배분(적용)'!Y16</f>
        <v>368</v>
      </c>
      <c r="BE19" s="871">
        <f>+'사회적유입인구의 처리구역별 배분(적용)'!Z16</f>
        <v>0.5</v>
      </c>
    </row>
    <row r="20" spans="1:57" s="712" customFormat="1" ht="24" customHeight="1">
      <c r="A20" s="2703"/>
      <c r="B20" s="2704"/>
      <c r="C20" s="2667"/>
      <c r="D20" s="2658"/>
      <c r="E20" s="1178" t="s">
        <v>934</v>
      </c>
      <c r="F20" s="956"/>
      <c r="G20" s="933">
        <f>+'2014처리구역인구 정리'!I16</f>
        <v>256</v>
      </c>
      <c r="H20" s="933">
        <f>+'2014처리구역인구 정리'!J16</f>
        <v>255</v>
      </c>
      <c r="I20" s="925">
        <f>ROUND((('1.4.조성법총괄(내부이동률 적용)'!E$4+'1.4.조성법총괄(내부이동률 적용)'!E$7*$AK$2)*$AB20)+(AL$21*$AC20),0)</f>
        <v>251</v>
      </c>
      <c r="J20" s="925">
        <f>ROUND((('1.4.조성법총괄(내부이동률 적용)'!F$4+'1.4.조성법총괄(내부이동률 적용)'!F$7*$AK$2)*$AB20)+(AM$21*$AC20),0)</f>
        <v>248</v>
      </c>
      <c r="K20" s="925">
        <f>ROUND((('1.4.조성법총괄(내부이동률 적용)'!G$4+'1.4.조성법총괄(내부이동률 적용)'!G$7*$AK$2)*$AB20)+(AN$21*$AC20),0)</f>
        <v>247</v>
      </c>
      <c r="L20" s="907">
        <f>ROUND((('1.4.조성법총괄(내부이동률 적용)'!H$4+'1.4.조성법총괄(내부이동률 적용)'!H$7*$AK$2)*$AB20)+(AO$21*$AC20),0)</f>
        <v>241</v>
      </c>
      <c r="M20" s="925">
        <f>ROUND((('1.4.조성법총괄(내부이동률 적용)'!I$4+'1.4.조성법총괄(내부이동률 적용)'!I$7*$AK$2)*$AB20)+(AP$21*$AC20),0)</f>
        <v>241</v>
      </c>
      <c r="N20" s="925">
        <f>ROUND((('1.4.조성법총괄(내부이동률 적용)'!J$4+'1.4.조성법총괄(내부이동률 적용)'!J$7*$AK$2)*$AB20)+(AQ$21*$AC20),0)</f>
        <v>241</v>
      </c>
      <c r="O20" s="925">
        <f>ROUND((('1.4.조성법총괄(내부이동률 적용)'!K$4+'1.4.조성법총괄(내부이동률 적용)'!K$7*$AK$2)*$AB20)+(AR$21*$AC20),0)</f>
        <v>241</v>
      </c>
      <c r="P20" s="925">
        <f>ROUND((('1.4.조성법총괄(내부이동률 적용)'!L$4+'1.4.조성법총괄(내부이동률 적용)'!L$7*$AK$2)*$AB20)+(AS$21*$AC20),0)</f>
        <v>241</v>
      </c>
      <c r="Q20" s="907">
        <f>ROUND((('1.4.조성법총괄(내부이동률 적용)'!M$4+'1.4.조성법총괄(내부이동률 적용)'!M$7*$AK$2)*$AB20)+(AT$21*$AC20),0)</f>
        <v>241</v>
      </c>
      <c r="R20" s="925">
        <f>ROUND((('1.4.조성법총괄(내부이동률 적용)'!N$4+'1.4.조성법총괄(내부이동률 적용)'!N$7*$AK$2)*$AB20)+(AU$21*$AC20),0)</f>
        <v>240</v>
      </c>
      <c r="S20" s="925">
        <f>ROUND((('1.4.조성법총괄(내부이동률 적용)'!O$4+'1.4.조성법총괄(내부이동률 적용)'!O$7*$AK$2)*$AB20)+(AV$21*$AC20),0)</f>
        <v>240</v>
      </c>
      <c r="T20" s="925">
        <f>ROUND((('1.4.조성법총괄(내부이동률 적용)'!P$4+'1.4.조성법총괄(내부이동률 적용)'!P$7*$AK$2)*$AB20)+(AW$21*$AC20),0)</f>
        <v>240</v>
      </c>
      <c r="U20" s="925">
        <f>ROUND((('1.4.조성법총괄(내부이동률 적용)'!Q$4+'1.4.조성법총괄(내부이동률 적용)'!Q$7*$AK$2)*$AB20)+(AX$21*$AC20),0)</f>
        <v>239</v>
      </c>
      <c r="V20" s="715">
        <f>ROUND((('1.4.조성법총괄(내부이동률 적용)'!R$4+'1.4.조성법총괄(내부이동률 적용)'!R$7*$AK$2)*$AB20)+(AY$21*$AC20),0)</f>
        <v>239</v>
      </c>
      <c r="W20" s="714">
        <f>ROUND((('1.4.조성법총괄(내부이동률 적용)'!S$4+'1.4.조성법총괄(내부이동률 적용)'!S$7*$AK$2)*$AB20)+(AZ$21*$AC20),0)</f>
        <v>238</v>
      </c>
      <c r="X20" s="714">
        <f>ROUND((('1.4.조성법총괄(내부이동률 적용)'!T$4+'1.4.조성법총괄(내부이동률 적용)'!T$7*$AK$2)*$AB20)+(BA$21*$AC20),0)</f>
        <v>238</v>
      </c>
      <c r="Y20" s="714">
        <f>ROUND((('1.4.조성법총괄(내부이동률 적용)'!U$4+'1.4.조성법총괄(내부이동률 적용)'!U$7*$AK$2)*$AB20)+(BB$21*$AC20),0)</f>
        <v>237</v>
      </c>
      <c r="Z20" s="714">
        <f>ROUND((('1.4.조성법총괄(내부이동률 적용)'!V$4+'1.4.조성법총괄(내부이동률 적용)'!V$7*$AK$2)*$AB20)+(BC$21*$AC20),0)</f>
        <v>236</v>
      </c>
      <c r="AA20" s="715">
        <f>ROUND((('1.4.조성법총괄(내부이동률 적용)'!W$4+'1.4.조성법총괄(내부이동률 적용)'!W$7*$AK$2)*$AB20)+(BD$21*$AC20),0)</f>
        <v>300</v>
      </c>
      <c r="AB20" s="934">
        <f>+H20/'1.4.조성법총괄(내부이동률 적용)'!$D$8</f>
        <v>1.3380909901873328E-2</v>
      </c>
      <c r="AC20" s="934">
        <f t="shared" si="3"/>
        <v>1.5635538659635784E-2</v>
      </c>
      <c r="AD20" s="1080"/>
      <c r="AE20" s="1"/>
      <c r="AF20" s="1556"/>
      <c r="AG20" s="1555"/>
      <c r="AH20" s="1130" t="str">
        <f>+'사회적유입인구의 처리구역별 배분(적용)'!C17</f>
        <v>보천산업단지</v>
      </c>
      <c r="AI20" s="862">
        <f>+'사회적유입인구의 처리구역별 배분(적용)'!D17</f>
        <v>0</v>
      </c>
      <c r="AJ20" s="862">
        <f>+'사회적유입인구의 처리구역별 배분(적용)'!E17</f>
        <v>0</v>
      </c>
      <c r="AK20" s="862">
        <f>+'사회적유입인구의 처리구역별 배분(적용)'!F17</f>
        <v>0</v>
      </c>
      <c r="AL20" s="862">
        <f>+'사회적유입인구의 처리구역별 배분(적용)'!G17</f>
        <v>0</v>
      </c>
      <c r="AM20" s="862">
        <f>+'사회적유입인구의 처리구역별 배분(적용)'!H17</f>
        <v>0</v>
      </c>
      <c r="AN20" s="862">
        <f>+'사회적유입인구의 처리구역별 배분(적용)'!I17</f>
        <v>0</v>
      </c>
      <c r="AO20" s="862">
        <f>+'사회적유입인구의 처리구역별 배분(적용)'!J17</f>
        <v>0</v>
      </c>
      <c r="AP20" s="862">
        <f>+'사회적유입인구의 처리구역별 배분(적용)'!K17</f>
        <v>0</v>
      </c>
      <c r="AQ20" s="862">
        <f>+'사회적유입인구의 처리구역별 배분(적용)'!L17</f>
        <v>0</v>
      </c>
      <c r="AR20" s="862">
        <f>+'사회적유입인구의 처리구역별 배분(적용)'!M17</f>
        <v>0</v>
      </c>
      <c r="AS20" s="862">
        <f>+'사회적유입인구의 처리구역별 배분(적용)'!N17</f>
        <v>0</v>
      </c>
      <c r="AT20" s="862">
        <f>+'사회적유입인구의 처리구역별 배분(적용)'!O17</f>
        <v>0</v>
      </c>
      <c r="AU20" s="862">
        <f>+'사회적유입인구의 처리구역별 배분(적용)'!P17</f>
        <v>0</v>
      </c>
      <c r="AV20" s="862">
        <f>+'사회적유입인구의 처리구역별 배분(적용)'!Q17</f>
        <v>0</v>
      </c>
      <c r="AW20" s="862">
        <f>+'사회적유입인구의 처리구역별 배분(적용)'!R17</f>
        <v>0</v>
      </c>
      <c r="AX20" s="862">
        <f>+'사회적유입인구의 처리구역별 배분(적용)'!S17</f>
        <v>0</v>
      </c>
      <c r="AY20" s="862">
        <f>+'사회적유입인구의 처리구역별 배분(적용)'!T17</f>
        <v>0</v>
      </c>
      <c r="AZ20" s="862">
        <f>+'사회적유입인구의 처리구역별 배분(적용)'!U17</f>
        <v>0</v>
      </c>
      <c r="BA20" s="862">
        <f>+'사회적유입인구의 처리구역별 배분(적용)'!V17</f>
        <v>0</v>
      </c>
      <c r="BB20" s="862">
        <f>+'사회적유입인구의 처리구역별 배분(적용)'!W17</f>
        <v>0</v>
      </c>
      <c r="BC20" s="862">
        <f>+'사회적유입인구의 처리구역별 배분(적용)'!X17</f>
        <v>0</v>
      </c>
      <c r="BD20" s="862">
        <f>+'사회적유입인구의 처리구역별 배분(적용)'!Y17</f>
        <v>715</v>
      </c>
      <c r="BE20" s="871">
        <f>+'사회적유입인구의 처리구역별 배분(적용)'!Z17</f>
        <v>0.5</v>
      </c>
    </row>
    <row r="21" spans="1:57" s="712" customFormat="1" ht="24" customHeight="1">
      <c r="A21" s="2703"/>
      <c r="B21" s="2664"/>
      <c r="C21" s="2662"/>
      <c r="D21" s="2657"/>
      <c r="E21" s="1178" t="s">
        <v>1345</v>
      </c>
      <c r="F21" s="956"/>
      <c r="G21" s="933">
        <f>+'2014처리구역인구 정리'!I17</f>
        <v>210</v>
      </c>
      <c r="H21" s="933">
        <f>+'2014처리구역인구 정리'!J17</f>
        <v>205</v>
      </c>
      <c r="I21" s="925">
        <f>ROUND((('1.4.조성법총괄(내부이동률 적용)'!E$4+'1.4.조성법총괄(내부이동률 적용)'!E$7*$AK$2)*$AB21)+(AL$21*$AC21),0)</f>
        <v>202</v>
      </c>
      <c r="J21" s="925">
        <f>ROUND((('1.4.조성법총괄(내부이동률 적용)'!F$4+'1.4.조성법총괄(내부이동률 적용)'!F$7*$AK$2)*$AB21)+(AM$21*$AC21),0)</f>
        <v>199</v>
      </c>
      <c r="K21" s="925">
        <f>ROUND((('1.4.조성법총괄(내부이동률 적용)'!G$4+'1.4.조성법총괄(내부이동률 적용)'!G$7*$AK$2)*$AB21)+(AN$21*$AC21),0)</f>
        <v>199</v>
      </c>
      <c r="L21" s="907">
        <f>ROUND((('1.4.조성법총괄(내부이동률 적용)'!H$4+'1.4.조성법총괄(내부이동률 적용)'!H$7*$AK$2)*$AB21)+(AO$21*$AC21),0)</f>
        <v>194</v>
      </c>
      <c r="M21" s="925">
        <f>ROUND((('1.4.조성법총괄(내부이동률 적용)'!I$4+'1.4.조성법총괄(내부이동률 적용)'!I$7*$AK$2)*$AB21)+(AP$21*$AC21),0)</f>
        <v>194</v>
      </c>
      <c r="N21" s="925">
        <f>ROUND((('1.4.조성법총괄(내부이동률 적용)'!J$4+'1.4.조성법총괄(내부이동률 적용)'!J$7*$AK$2)*$AB21)+(AQ$21*$AC21),0)</f>
        <v>194</v>
      </c>
      <c r="O21" s="925">
        <f>ROUND((('1.4.조성법총괄(내부이동률 적용)'!K$4+'1.4.조성법총괄(내부이동률 적용)'!K$7*$AK$2)*$AB21)+(AR$21*$AC21),0)</f>
        <v>194</v>
      </c>
      <c r="P21" s="925">
        <f>ROUND((('1.4.조성법총괄(내부이동률 적용)'!L$4+'1.4.조성법총괄(내부이동률 적용)'!L$7*$AK$2)*$AB21)+(AS$21*$AC21),0)</f>
        <v>194</v>
      </c>
      <c r="Q21" s="907">
        <f>ROUND((('1.4.조성법총괄(내부이동률 적용)'!M$4+'1.4.조성법총괄(내부이동률 적용)'!M$7*$AK$2)*$AB21)+(AT$21*$AC21),0)</f>
        <v>193</v>
      </c>
      <c r="R21" s="925">
        <f>ROUND((('1.4.조성법총괄(내부이동률 적용)'!N$4+'1.4.조성법총괄(내부이동률 적용)'!N$7*$AK$2)*$AB21)+(AU$21*$AC21),0)</f>
        <v>193</v>
      </c>
      <c r="S21" s="925">
        <f>ROUND((('1.4.조성법총괄(내부이동률 적용)'!O$4+'1.4.조성법총괄(내부이동률 적용)'!O$7*$AK$2)*$AB21)+(AV$21*$AC21),0)</f>
        <v>193</v>
      </c>
      <c r="T21" s="925">
        <f>ROUND((('1.4.조성법총괄(내부이동률 적용)'!P$4+'1.4.조성법총괄(내부이동률 적용)'!P$7*$AK$2)*$AB21)+(AW$21*$AC21),0)</f>
        <v>193</v>
      </c>
      <c r="U21" s="925">
        <f>ROUND((('1.4.조성법총괄(내부이동률 적용)'!Q$4+'1.4.조성법총괄(내부이동률 적용)'!Q$7*$AK$2)*$AB21)+(AX$21*$AC21),0)</f>
        <v>192</v>
      </c>
      <c r="V21" s="715">
        <f>ROUND((('1.4.조성법총괄(내부이동률 적용)'!R$4+'1.4.조성법총괄(내부이동률 적용)'!R$7*$AK$2)*$AB21)+(AY$21*$AC21),0)</f>
        <v>192</v>
      </c>
      <c r="W21" s="714">
        <f>ROUND((('1.4.조성법총괄(내부이동률 적용)'!S$4+'1.4.조성법총괄(내부이동률 적용)'!S$7*$AK$2)*$AB21)+(AZ$21*$AC21),0)</f>
        <v>191</v>
      </c>
      <c r="X21" s="714">
        <f>ROUND((('1.4.조성법총괄(내부이동률 적용)'!T$4+'1.4.조성법총괄(내부이동률 적용)'!T$7*$AK$2)*$AB21)+(BA$21*$AC21),0)</f>
        <v>191</v>
      </c>
      <c r="Y21" s="714">
        <f>ROUND((('1.4.조성법총괄(내부이동률 적용)'!U$4+'1.4.조성법총괄(내부이동률 적용)'!U$7*$AK$2)*$AB21)+(BB$21*$AC21),0)</f>
        <v>190</v>
      </c>
      <c r="Z21" s="714">
        <f>ROUND((('1.4.조성법총괄(내부이동률 적용)'!V$4+'1.4.조성법총괄(내부이동률 적용)'!V$7*$AK$2)*$AB21)+(BC$21*$AC21),0)</f>
        <v>190</v>
      </c>
      <c r="AA21" s="715">
        <f>ROUND((('1.4.조성법총괄(내부이동률 적용)'!W$4+'1.4.조성법총괄(내부이동률 적용)'!W$7*$AK$2)*$AB21)+(BD$21*$AC21),0)</f>
        <v>242</v>
      </c>
      <c r="AB21" s="934">
        <f>+H21/'1.4.조성법총괄(내부이동률 적용)'!$D$8</f>
        <v>1.0757202077976596E-2</v>
      </c>
      <c r="AC21" s="934">
        <f t="shared" si="3"/>
        <v>1.2569746765589552E-2</v>
      </c>
      <c r="AD21" s="1080"/>
      <c r="AE21" s="711"/>
      <c r="AF21" s="855"/>
      <c r="AG21" s="863"/>
      <c r="AH21" s="865" t="str">
        <f>+'사회적유입인구의 처리구역별 배분(적용)'!C18</f>
        <v>소  계</v>
      </c>
      <c r="AI21" s="862">
        <f>+'사회적유입인구의 처리구역별 배분(적용)'!D18</f>
        <v>0</v>
      </c>
      <c r="AJ21" s="862">
        <f>+'사회적유입인구의 처리구역별 배분(적용)'!E18</f>
        <v>0</v>
      </c>
      <c r="AK21" s="862">
        <f>+'사회적유입인구의 처리구역별 배분(적용)'!F18</f>
        <v>0</v>
      </c>
      <c r="AL21" s="862">
        <f>+'사회적유입인구의 처리구역별 배분(적용)'!G18</f>
        <v>0</v>
      </c>
      <c r="AM21" s="862">
        <f>+'사회적유입인구의 처리구역별 배분(적용)'!H18</f>
        <v>0</v>
      </c>
      <c r="AN21" s="862">
        <f>+'사회적유입인구의 처리구역별 배분(적용)'!I18</f>
        <v>0</v>
      </c>
      <c r="AO21" s="862">
        <f>+'사회적유입인구의 처리구역별 배분(적용)'!J18</f>
        <v>0</v>
      </c>
      <c r="AP21" s="862">
        <f>+'사회적유입인구의 처리구역별 배분(적용)'!K18</f>
        <v>0</v>
      </c>
      <c r="AQ21" s="862">
        <f>+'사회적유입인구의 처리구역별 배분(적용)'!L18</f>
        <v>0</v>
      </c>
      <c r="AR21" s="862">
        <f>+'사회적유입인구의 처리구역별 배분(적용)'!M18</f>
        <v>0</v>
      </c>
      <c r="AS21" s="862">
        <f>+'사회적유입인구의 처리구역별 배분(적용)'!N18</f>
        <v>0</v>
      </c>
      <c r="AT21" s="862">
        <f>+'사회적유입인구의 처리구역별 배분(적용)'!O18</f>
        <v>0</v>
      </c>
      <c r="AU21" s="862">
        <f>+'사회적유입인구의 처리구역별 배분(적용)'!P18</f>
        <v>0</v>
      </c>
      <c r="AV21" s="862">
        <f>+'사회적유입인구의 처리구역별 배분(적용)'!Q18</f>
        <v>0</v>
      </c>
      <c r="AW21" s="862">
        <f>+'사회적유입인구의 처리구역별 배분(적용)'!R18</f>
        <v>0</v>
      </c>
      <c r="AX21" s="862">
        <f>+'사회적유입인구의 처리구역별 배분(적용)'!S18</f>
        <v>0</v>
      </c>
      <c r="AY21" s="862">
        <f>+'사회적유입인구의 처리구역별 배분(적용)'!T18</f>
        <v>0</v>
      </c>
      <c r="AZ21" s="862">
        <f>+'사회적유입인구의 처리구역별 배분(적용)'!U18</f>
        <v>0</v>
      </c>
      <c r="BA21" s="862">
        <f>+'사회적유입인구의 처리구역별 배분(적용)'!V18</f>
        <v>0</v>
      </c>
      <c r="BB21" s="862">
        <f>+'사회적유입인구의 처리구역별 배분(적용)'!W18</f>
        <v>0</v>
      </c>
      <c r="BC21" s="862">
        <f>+'사회적유입인구의 처리구역별 배분(적용)'!X18</f>
        <v>0</v>
      </c>
      <c r="BD21" s="862">
        <f>+'사회적유입인구의 처리구역별 배분(적용)'!Y18</f>
        <v>4144</v>
      </c>
      <c r="BE21" s="871"/>
    </row>
    <row r="22" spans="1:57" s="712" customFormat="1" ht="24" customHeight="1">
      <c r="A22" s="2703"/>
      <c r="B22" s="2666" t="s">
        <v>936</v>
      </c>
      <c r="C22" s="2649" t="s">
        <v>7</v>
      </c>
      <c r="D22" s="2649"/>
      <c r="E22" s="2649"/>
      <c r="F22" s="956"/>
      <c r="G22" s="907">
        <f t="shared" ref="G22:AA22" si="26">SUM(G23:G37)</f>
        <v>8305</v>
      </c>
      <c r="H22" s="907">
        <f t="shared" si="26"/>
        <v>8596</v>
      </c>
      <c r="I22" s="907">
        <f t="shared" si="26"/>
        <v>8610</v>
      </c>
      <c r="J22" s="907">
        <f t="shared" si="26"/>
        <v>8508</v>
      </c>
      <c r="K22" s="907">
        <f t="shared" si="26"/>
        <v>8489</v>
      </c>
      <c r="L22" s="907">
        <f t="shared" si="26"/>
        <v>8276</v>
      </c>
      <c r="M22" s="907">
        <f t="shared" si="26"/>
        <v>8275</v>
      </c>
      <c r="N22" s="907">
        <f t="shared" si="26"/>
        <v>8272</v>
      </c>
      <c r="O22" s="907">
        <f t="shared" si="26"/>
        <v>8272</v>
      </c>
      <c r="P22" s="907">
        <f t="shared" si="26"/>
        <v>8268</v>
      </c>
      <c r="Q22" s="907">
        <f t="shared" si="26"/>
        <v>8265</v>
      </c>
      <c r="R22" s="907">
        <f t="shared" si="26"/>
        <v>8253</v>
      </c>
      <c r="S22" s="907">
        <f t="shared" si="26"/>
        <v>8240</v>
      </c>
      <c r="T22" s="907">
        <f t="shared" si="26"/>
        <v>8228</v>
      </c>
      <c r="U22" s="907">
        <f t="shared" si="26"/>
        <v>8216</v>
      </c>
      <c r="V22" s="907">
        <f t="shared" si="26"/>
        <v>8204</v>
      </c>
      <c r="W22" s="907">
        <f t="shared" si="26"/>
        <v>8181</v>
      </c>
      <c r="X22" s="907">
        <f t="shared" si="26"/>
        <v>8158</v>
      </c>
      <c r="Y22" s="907">
        <f t="shared" si="26"/>
        <v>8137</v>
      </c>
      <c r="Z22" s="907">
        <f t="shared" si="26"/>
        <v>8115</v>
      </c>
      <c r="AA22" s="907">
        <f t="shared" si="26"/>
        <v>10279</v>
      </c>
      <c r="AB22" s="713"/>
      <c r="AC22" s="713"/>
      <c r="AD22" s="1080"/>
      <c r="AE22" s="1"/>
      <c r="AF22" s="860"/>
      <c r="AG22" s="861" t="s">
        <v>74</v>
      </c>
      <c r="AH22" s="861"/>
      <c r="AI22" s="872">
        <f>+'사회적유입인구의 처리구역별 배분(적용)'!D19</f>
        <v>0</v>
      </c>
      <c r="AJ22" s="872">
        <f>+'사회적유입인구의 처리구역별 배분(적용)'!E19</f>
        <v>0</v>
      </c>
      <c r="AK22" s="872">
        <f>+'사회적유입인구의 처리구역별 배분(적용)'!F19</f>
        <v>0</v>
      </c>
      <c r="AL22" s="872">
        <f>+'사회적유입인구의 처리구역별 배분(적용)'!G19</f>
        <v>198</v>
      </c>
      <c r="AM22" s="872">
        <f>+'사회적유입인구의 처리구역별 배분(적용)'!H19</f>
        <v>357</v>
      </c>
      <c r="AN22" s="872">
        <f>+'사회적유입인구의 처리구역별 배분(적용)'!I19</f>
        <v>357</v>
      </c>
      <c r="AO22" s="872">
        <f>+'사회적유입인구의 처리구역별 배분(적용)'!J19</f>
        <v>733</v>
      </c>
      <c r="AP22" s="872">
        <f>+'사회적유입인구의 처리구역별 배분(적용)'!K19</f>
        <v>733</v>
      </c>
      <c r="AQ22" s="872">
        <f>+'사회적유입인구의 처리구역별 배분(적용)'!L19</f>
        <v>733</v>
      </c>
      <c r="AR22" s="872">
        <f>+'사회적유입인구의 처리구역별 배분(적용)'!M19</f>
        <v>733</v>
      </c>
      <c r="AS22" s="872">
        <f>+'사회적유입인구의 처리구역별 배분(적용)'!N19</f>
        <v>733</v>
      </c>
      <c r="AT22" s="872">
        <f>+'사회적유입인구의 처리구역별 배분(적용)'!O19</f>
        <v>733</v>
      </c>
      <c r="AU22" s="872">
        <f>+'사회적유입인구의 처리구역별 배분(적용)'!P19</f>
        <v>733</v>
      </c>
      <c r="AV22" s="872">
        <f>+'사회적유입인구의 처리구역별 배분(적용)'!Q19</f>
        <v>733</v>
      </c>
      <c r="AW22" s="872">
        <f>+'사회적유입인구의 처리구역별 배분(적용)'!R19</f>
        <v>733</v>
      </c>
      <c r="AX22" s="872">
        <f>+'사회적유입인구의 처리구역별 배분(적용)'!S19</f>
        <v>733</v>
      </c>
      <c r="AY22" s="872">
        <f>+'사회적유입인구의 처리구역별 배분(적용)'!T19</f>
        <v>733</v>
      </c>
      <c r="AZ22" s="872">
        <f>+'사회적유입인구의 처리구역별 배분(적용)'!U19</f>
        <v>733</v>
      </c>
      <c r="BA22" s="872">
        <f>+'사회적유입인구의 처리구역별 배분(적용)'!V19</f>
        <v>733</v>
      </c>
      <c r="BB22" s="872">
        <f>+'사회적유입인구의 처리구역별 배분(적용)'!W19</f>
        <v>733</v>
      </c>
      <c r="BC22" s="872">
        <f>+'사회적유입인구의 처리구역별 배분(적용)'!X19</f>
        <v>733</v>
      </c>
      <c r="BD22" s="872">
        <f>+'사회적유입인구의 처리구역별 배분(적용)'!Y19</f>
        <v>4877</v>
      </c>
      <c r="BE22" s="873"/>
    </row>
    <row r="23" spans="1:57" s="712" customFormat="1" ht="24" customHeight="1">
      <c r="A23" s="2703"/>
      <c r="B23" s="2667"/>
      <c r="C23" s="2649" t="s">
        <v>937</v>
      </c>
      <c r="D23" s="2680" t="s">
        <v>938</v>
      </c>
      <c r="E23" s="1178" t="s">
        <v>939</v>
      </c>
      <c r="F23" s="956"/>
      <c r="G23" s="933">
        <f>+'2014처리구역인구 정리'!I21</f>
        <v>703</v>
      </c>
      <c r="H23" s="933">
        <f>+'2014처리구역인구 정리'!J21</f>
        <v>742</v>
      </c>
      <c r="I23" s="925">
        <f>ROUND((('1.4.조성법총괄(내부이동률 적용)'!E$4+'1.4.조성법총괄(내부이동률 적용)'!E$7*$AK$2)*$AB23)+(AL$21*$AC23),0)</f>
        <v>730</v>
      </c>
      <c r="J23" s="925">
        <f>ROUND((('1.4.조성법총괄(내부이동률 적용)'!F$4+'1.4.조성법총괄(내부이동률 적용)'!F$7*$AK$2)*$AB23)+(AM$21*$AC23),0)</f>
        <v>721</v>
      </c>
      <c r="K23" s="925">
        <f>ROUND((('1.4.조성법총괄(내부이동률 적용)'!G$4+'1.4.조성법총괄(내부이동률 적용)'!G$7*$AK$2)*$AB23)+(AN$21*$AC23),0)</f>
        <v>720</v>
      </c>
      <c r="L23" s="907">
        <f>ROUND((('1.4.조성법총괄(내부이동률 적용)'!H$4+'1.4.조성법총괄(내부이동률 적용)'!H$7*$AK$2)*$AB23)+(AO$21*$AC23),0)</f>
        <v>701</v>
      </c>
      <c r="M23" s="925">
        <f>ROUND((('1.4.조성법총괄(내부이동률 적용)'!I$4+'1.4.조성법총괄(내부이동률 적용)'!I$7*$AK$2)*$AB23)+(AP$21*$AC23),0)</f>
        <v>701</v>
      </c>
      <c r="N23" s="925">
        <f>ROUND((('1.4.조성법총괄(내부이동률 적용)'!J$4+'1.4.조성법총괄(내부이동률 적용)'!J$7*$AK$2)*$AB23)+(AQ$21*$AC23),0)</f>
        <v>701</v>
      </c>
      <c r="O23" s="925">
        <f>ROUND((('1.4.조성법총괄(내부이동률 적용)'!K$4+'1.4.조성법총괄(내부이동률 적용)'!K$7*$AK$2)*$AB23)+(AR$21*$AC23),0)</f>
        <v>701</v>
      </c>
      <c r="P23" s="925">
        <f>ROUND((('1.4.조성법총괄(내부이동률 적용)'!L$4+'1.4.조성법총괄(내부이동률 적용)'!L$7*$AK$2)*$AB23)+(AS$21*$AC23),0)</f>
        <v>701</v>
      </c>
      <c r="Q23" s="907">
        <f>ROUND((('1.4.조성법총괄(내부이동률 적용)'!M$4+'1.4.조성법총괄(내부이동률 적용)'!M$7*$AK$2)*$AB23)+(AT$21*$AC23),0)</f>
        <v>700</v>
      </c>
      <c r="R23" s="925">
        <f>ROUND((('1.4.조성법총괄(내부이동률 적용)'!N$4+'1.4.조성법총괄(내부이동률 적용)'!N$7*$AK$2)*$AB23)+(AU$21*$AC23),0)</f>
        <v>699</v>
      </c>
      <c r="S23" s="925">
        <f>ROUND((('1.4.조성법총괄(내부이동률 적용)'!O$4+'1.4.조성법총괄(내부이동률 적용)'!O$7*$AK$2)*$AB23)+(AV$21*$AC23),0)</f>
        <v>698</v>
      </c>
      <c r="T23" s="925">
        <f>ROUND((('1.4.조성법총괄(내부이동률 적용)'!P$4+'1.4.조성법총괄(내부이동률 적용)'!P$7*$AK$2)*$AB23)+(AW$21*$AC23),0)</f>
        <v>697</v>
      </c>
      <c r="U23" s="925">
        <f>ROUND((('1.4.조성법총괄(내부이동률 적용)'!Q$4+'1.4.조성법총괄(내부이동률 적용)'!Q$7*$AK$2)*$AB23)+(AX$21*$AC23),0)</f>
        <v>696</v>
      </c>
      <c r="V23" s="715">
        <f>ROUND((('1.4.조성법총괄(내부이동률 적용)'!R$4+'1.4.조성법총괄(내부이동률 적용)'!R$7*$AK$2)*$AB23)+(AY$21*$AC23),0)</f>
        <v>695</v>
      </c>
      <c r="W23" s="714">
        <f>ROUND((('1.4.조성법총괄(내부이동률 적용)'!S$4+'1.4.조성법총괄(내부이동률 적용)'!S$7*$AK$2)*$AB23)+(AZ$21*$AC23),0)</f>
        <v>693</v>
      </c>
      <c r="X23" s="714">
        <f>ROUND((('1.4.조성법총괄(내부이동률 적용)'!T$4+'1.4.조성법총괄(내부이동률 적용)'!T$7*$AK$2)*$AB23)+(BA$21*$AC23),0)</f>
        <v>691</v>
      </c>
      <c r="Y23" s="714">
        <f>ROUND((('1.4.조성법총괄(내부이동률 적용)'!U$4+'1.4.조성법총괄(내부이동률 적용)'!U$7*$AK$2)*$AB23)+(BB$21*$AC23),0)</f>
        <v>689</v>
      </c>
      <c r="Z23" s="714">
        <f>ROUND((('1.4.조성법총괄(내부이동률 적용)'!V$4+'1.4.조성법총괄(내부이동률 적용)'!V$7*$AK$2)*$AB23)+(BC$21*$AC23),0)</f>
        <v>687</v>
      </c>
      <c r="AA23" s="715">
        <f>ROUND((('1.4.조성법총괄(내부이동률 적용)'!W$4+'1.4.조성법총괄(내부이동률 적용)'!W$7*$AK$2)*$AB23)+(BD$21*$AC23),0)</f>
        <v>874</v>
      </c>
      <c r="AB23" s="934">
        <f>+H23/'1.4.조성법총괄(내부이동률 적용)'!$D$8</f>
        <v>3.8935824106627485E-2</v>
      </c>
      <c r="AC23" s="934">
        <f t="shared" ref="AC23:AC27" si="27">+H23/$AE$4</f>
        <v>4.5496351707646085E-2</v>
      </c>
      <c r="AD23" s="1080"/>
      <c r="AE23" s="1"/>
      <c r="AF23" s="1175"/>
      <c r="AG23" s="1171"/>
      <c r="AH23" s="1191"/>
      <c r="AI23" s="883"/>
      <c r="AJ23" s="883"/>
      <c r="AK23" s="883"/>
      <c r="AL23" s="883"/>
      <c r="AM23" s="883"/>
      <c r="AN23" s="883"/>
      <c r="AO23" s="883"/>
      <c r="AP23" s="883"/>
      <c r="AQ23" s="883"/>
      <c r="AR23" s="883"/>
      <c r="AS23" s="883"/>
      <c r="AT23" s="883"/>
      <c r="AU23" s="883"/>
      <c r="AV23" s="883"/>
      <c r="AW23" s="883"/>
      <c r="AX23" s="883"/>
      <c r="AY23" s="883"/>
      <c r="AZ23" s="883"/>
      <c r="BA23" s="883"/>
      <c r="BB23" s="883"/>
      <c r="BC23" s="883"/>
      <c r="BD23" s="883"/>
      <c r="BE23" s="1192"/>
    </row>
    <row r="24" spans="1:57" s="712" customFormat="1" ht="24" customHeight="1" thickBot="1">
      <c r="A24" s="2703"/>
      <c r="B24" s="2667"/>
      <c r="C24" s="2649"/>
      <c r="D24" s="2680"/>
      <c r="E24" s="1178" t="s">
        <v>940</v>
      </c>
      <c r="F24" s="956"/>
      <c r="G24" s="933">
        <f>+'2014처리구역인구 정리'!I22</f>
        <v>747</v>
      </c>
      <c r="H24" s="933">
        <f>+'2014처리구역인구 정리'!J22</f>
        <v>787</v>
      </c>
      <c r="I24" s="925">
        <f>ROUND((('1.4.조성법총괄(내부이동률 적용)'!E$4+'1.4.조성법총괄(내부이동률 적용)'!E$7*$AK$2)*$AB24)+(AL$21*$AC24),0)</f>
        <v>774</v>
      </c>
      <c r="J24" s="925">
        <f>ROUND((('1.4.조성법총괄(내부이동률 적용)'!F$4+'1.4.조성법총괄(내부이동률 적용)'!F$7*$AK$2)*$AB24)+(AM$21*$AC24),0)</f>
        <v>765</v>
      </c>
      <c r="K24" s="925">
        <f>ROUND((('1.4.조성법총괄(내부이동률 적용)'!G$4+'1.4.조성법총괄(내부이동률 적용)'!G$7*$AK$2)*$AB24)+(AN$21*$AC24),0)</f>
        <v>763</v>
      </c>
      <c r="L24" s="907">
        <f>ROUND((('1.4.조성법총괄(내부이동률 적용)'!H$4+'1.4.조성법총괄(내부이동률 적용)'!H$7*$AK$2)*$AB24)+(AO$21*$AC24),0)</f>
        <v>744</v>
      </c>
      <c r="M24" s="925">
        <f>ROUND((('1.4.조성법총괄(내부이동률 적용)'!I$4+'1.4.조성법총괄(내부이동률 적용)'!I$7*$AK$2)*$AB24)+(AP$21*$AC24),0)</f>
        <v>744</v>
      </c>
      <c r="N24" s="925">
        <f>ROUND((('1.4.조성법총괄(내부이동률 적용)'!J$4+'1.4.조성법총괄(내부이동률 적용)'!J$7*$AK$2)*$AB24)+(AQ$21*$AC24),0)</f>
        <v>743</v>
      </c>
      <c r="O24" s="925">
        <f>ROUND((('1.4.조성법총괄(내부이동률 적용)'!K$4+'1.4.조성법총괄(내부이동률 적용)'!K$7*$AK$2)*$AB24)+(AR$21*$AC24),0)</f>
        <v>743</v>
      </c>
      <c r="P24" s="925">
        <f>ROUND((('1.4.조성법총괄(내부이동률 적용)'!L$4+'1.4.조성법총괄(내부이동률 적용)'!L$7*$AK$2)*$AB24)+(AS$21*$AC24),0)</f>
        <v>743</v>
      </c>
      <c r="Q24" s="907">
        <f>ROUND((('1.4.조성법총괄(내부이동률 적용)'!M$4+'1.4.조성법총괄(내부이동률 적용)'!M$7*$AK$2)*$AB24)+(AT$21*$AC24),0)</f>
        <v>743</v>
      </c>
      <c r="R24" s="925">
        <f>ROUND((('1.4.조성법총괄(내부이동률 적용)'!N$4+'1.4.조성법총괄(내부이동률 적용)'!N$7*$AK$2)*$AB24)+(AU$21*$AC24),0)</f>
        <v>742</v>
      </c>
      <c r="S24" s="925">
        <f>ROUND((('1.4.조성법총괄(내부이동률 적용)'!O$4+'1.4.조성법총괄(내부이동률 적용)'!O$7*$AK$2)*$AB24)+(AV$21*$AC24),0)</f>
        <v>741</v>
      </c>
      <c r="T24" s="925">
        <f>ROUND((('1.4.조성법총괄(내부이동률 적용)'!P$4+'1.4.조성법총괄(내부이동률 적용)'!P$7*$AK$2)*$AB24)+(AW$21*$AC24),0)</f>
        <v>739</v>
      </c>
      <c r="U24" s="925">
        <f>ROUND((('1.4.조성법총괄(내부이동률 적용)'!Q$4+'1.4.조성법총괄(내부이동률 적용)'!Q$7*$AK$2)*$AB24)+(AX$21*$AC24),0)</f>
        <v>738</v>
      </c>
      <c r="V24" s="715">
        <f>ROUND((('1.4.조성법총괄(내부이동률 적용)'!R$4+'1.4.조성법총괄(내부이동률 적용)'!R$7*$AK$2)*$AB24)+(AY$21*$AC24),0)</f>
        <v>737</v>
      </c>
      <c r="W24" s="714">
        <f>ROUND((('1.4.조성법총괄(내부이동률 적용)'!S$4+'1.4.조성법총괄(내부이동률 적용)'!S$7*$AK$2)*$AB24)+(AZ$21*$AC24),0)</f>
        <v>735</v>
      </c>
      <c r="X24" s="714">
        <f>ROUND((('1.4.조성법총괄(내부이동률 적용)'!T$4+'1.4.조성법총괄(내부이동률 적용)'!T$7*$AK$2)*$AB24)+(BA$21*$AC24),0)</f>
        <v>733</v>
      </c>
      <c r="Y24" s="714">
        <f>ROUND((('1.4.조성법총괄(내부이동률 적용)'!U$4+'1.4.조성법총괄(내부이동률 적용)'!U$7*$AK$2)*$AB24)+(BB$21*$AC24),0)</f>
        <v>731</v>
      </c>
      <c r="Z24" s="714">
        <f>ROUND((('1.4.조성법총괄(내부이동률 적용)'!V$4+'1.4.조성법총괄(내부이동률 적용)'!V$7*$AK$2)*$AB24)+(BC$21*$AC24),0)</f>
        <v>729</v>
      </c>
      <c r="AA24" s="715">
        <f>ROUND((('1.4.조성법총괄(내부이동률 적용)'!W$4+'1.4.조성법총괄(내부이동률 적용)'!W$7*$AK$2)*$AB24)+(BD$21*$AC24),0)</f>
        <v>927</v>
      </c>
      <c r="AB24" s="934">
        <f>+H24/'1.4.조성법총괄(내부이동률 적용)'!$D$8</f>
        <v>4.1297161148134545E-2</v>
      </c>
      <c r="AC24" s="934">
        <f t="shared" si="27"/>
        <v>4.8255564412287691E-2</v>
      </c>
      <c r="AD24" s="1080"/>
      <c r="AE24" s="711"/>
      <c r="AF24" s="1175"/>
      <c r="AG24" s="1171"/>
      <c r="AH24" s="1191"/>
      <c r="AI24" s="883"/>
      <c r="AJ24" s="883"/>
      <c r="AK24" s="883"/>
      <c r="AL24" s="883"/>
      <c r="AM24" s="883"/>
      <c r="AN24" s="883"/>
      <c r="AO24" s="883"/>
      <c r="AP24" s="883"/>
      <c r="AQ24" s="883"/>
      <c r="AR24" s="883"/>
      <c r="AS24" s="883"/>
      <c r="AT24" s="883"/>
      <c r="AU24" s="883"/>
      <c r="AV24" s="883"/>
      <c r="AW24" s="883"/>
      <c r="AX24" s="883"/>
      <c r="AY24" s="883"/>
      <c r="AZ24" s="883"/>
      <c r="BA24" s="883"/>
      <c r="BB24" s="883"/>
      <c r="BC24" s="883"/>
      <c r="BD24" s="883"/>
      <c r="BE24" s="1192"/>
    </row>
    <row r="25" spans="1:57" s="712" customFormat="1" ht="24" customHeight="1" thickTop="1">
      <c r="A25" s="2703"/>
      <c r="B25" s="2667"/>
      <c r="C25" s="2649"/>
      <c r="D25" s="2680"/>
      <c r="E25" s="1178" t="s">
        <v>941</v>
      </c>
      <c r="F25" s="956"/>
      <c r="G25" s="933">
        <f>+'2014처리구역인구 정리'!I23</f>
        <v>615</v>
      </c>
      <c r="H25" s="933">
        <f>+'2014처리구역인구 정리'!J23</f>
        <v>636</v>
      </c>
      <c r="I25" s="925">
        <f>ROUND((('1.4.조성법총괄(내부이동률 적용)'!E$4+'1.4.조성법총괄(내부이동률 적용)'!E$7*$AK$2)*$AB25)+(AL$21*$AC25),0)</f>
        <v>626</v>
      </c>
      <c r="J25" s="925">
        <f>ROUND((('1.4.조성법총괄(내부이동률 적용)'!F$4+'1.4.조성법총괄(내부이동률 적용)'!F$7*$AK$2)*$AB25)+(AM$21*$AC25),0)</f>
        <v>618</v>
      </c>
      <c r="K25" s="925">
        <f>ROUND((('1.4.조성법총괄(내부이동률 적용)'!G$4+'1.4.조성법총괄(내부이동률 적용)'!G$7*$AK$2)*$AB25)+(AN$21*$AC25),0)</f>
        <v>617</v>
      </c>
      <c r="L25" s="907">
        <f>ROUND((('1.4.조성법총괄(내부이동률 적용)'!H$4+'1.4.조성법총괄(내부이동률 적용)'!H$7*$AK$2)*$AB25)+(AO$21*$AC25),0)</f>
        <v>601</v>
      </c>
      <c r="M25" s="925">
        <f>ROUND((('1.4.조성법총괄(내부이동률 적용)'!I$4+'1.4.조성법총괄(내부이동률 적용)'!I$7*$AK$2)*$AB25)+(AP$21*$AC25),0)</f>
        <v>601</v>
      </c>
      <c r="N25" s="925">
        <f>ROUND((('1.4.조성법총괄(내부이동률 적용)'!J$4+'1.4.조성법총괄(내부이동률 적용)'!J$7*$AK$2)*$AB25)+(AQ$21*$AC25),0)</f>
        <v>601</v>
      </c>
      <c r="O25" s="925">
        <f>ROUND((('1.4.조성법총괄(내부이동률 적용)'!K$4+'1.4.조성법총괄(내부이동률 적용)'!K$7*$AK$2)*$AB25)+(AR$21*$AC25),0)</f>
        <v>601</v>
      </c>
      <c r="P25" s="925">
        <f>ROUND((('1.4.조성법총괄(내부이동률 적용)'!L$4+'1.4.조성법총괄(내부이동률 적용)'!L$7*$AK$2)*$AB25)+(AS$21*$AC25),0)</f>
        <v>600</v>
      </c>
      <c r="Q25" s="907">
        <f>ROUND((('1.4.조성법총괄(내부이동률 적용)'!M$4+'1.4.조성법총괄(내부이동률 적용)'!M$7*$AK$2)*$AB25)+(AT$21*$AC25),0)</f>
        <v>600</v>
      </c>
      <c r="R25" s="925">
        <f>ROUND((('1.4.조성법총괄(내부이동률 적용)'!N$4+'1.4.조성법총괄(내부이동률 적용)'!N$7*$AK$2)*$AB25)+(AU$21*$AC25),0)</f>
        <v>599</v>
      </c>
      <c r="S25" s="925">
        <f>ROUND((('1.4.조성법총괄(내부이동률 적용)'!O$4+'1.4.조성법총괄(내부이동률 적용)'!O$7*$AK$2)*$AB25)+(AV$21*$AC25),0)</f>
        <v>598</v>
      </c>
      <c r="T25" s="925">
        <f>ROUND((('1.4.조성법총괄(내부이동률 적용)'!P$4+'1.4.조성법총괄(내부이동률 적용)'!P$7*$AK$2)*$AB25)+(AW$21*$AC25),0)</f>
        <v>598</v>
      </c>
      <c r="U25" s="925">
        <f>ROUND((('1.4.조성법총괄(내부이동률 적용)'!Q$4+'1.4.조성법총괄(내부이동률 적용)'!Q$7*$AK$2)*$AB25)+(AX$21*$AC25),0)</f>
        <v>597</v>
      </c>
      <c r="V25" s="715">
        <f>ROUND((('1.4.조성법총괄(내부이동률 적용)'!R$4+'1.4.조성법총괄(내부이동률 적용)'!R$7*$AK$2)*$AB25)+(AY$21*$AC25),0)</f>
        <v>596</v>
      </c>
      <c r="W25" s="714">
        <f>ROUND((('1.4.조성법총괄(내부이동률 적용)'!S$4+'1.4.조성법총괄(내부이동률 적용)'!S$7*$AK$2)*$AB25)+(AZ$21*$AC25),0)</f>
        <v>594</v>
      </c>
      <c r="X25" s="714">
        <f>ROUND((('1.4.조성법총괄(내부이동률 적용)'!T$4+'1.4.조성법총괄(내부이동률 적용)'!T$7*$AK$2)*$AB25)+(BA$21*$AC25),0)</f>
        <v>592</v>
      </c>
      <c r="Y25" s="714">
        <f>ROUND((('1.4.조성법총괄(내부이동률 적용)'!U$4+'1.4.조성법총괄(내부이동률 적용)'!U$7*$AK$2)*$AB25)+(BB$21*$AC25),0)</f>
        <v>591</v>
      </c>
      <c r="Z25" s="714">
        <f>ROUND((('1.4.조성법총괄(내부이동률 적용)'!V$4+'1.4.조성법총괄(내부이동률 적용)'!V$7*$AK$2)*$AB25)+(BC$21*$AC25),0)</f>
        <v>589</v>
      </c>
      <c r="AA25" s="715">
        <f>ROUND((('1.4.조성법총괄(내부이동률 적용)'!W$4+'1.4.조성법총괄(내부이동률 적용)'!W$7*$AK$2)*$AB25)+(BD$21*$AC25),0)</f>
        <v>749</v>
      </c>
      <c r="AB25" s="934">
        <f>+H25/'1.4.조성법총괄(내부이동률 적용)'!$D$8</f>
        <v>3.3373563519966419E-2</v>
      </c>
      <c r="AC25" s="934">
        <f t="shared" si="27"/>
        <v>3.8996872892268074E-2</v>
      </c>
      <c r="AD25" s="1080"/>
      <c r="AE25" s="711"/>
      <c r="AF25" s="1131" t="s">
        <v>667</v>
      </c>
      <c r="AG25" s="874" t="s">
        <v>94</v>
      </c>
      <c r="AH25" s="877" t="str">
        <f>'사회적유입인구의 처리구역별 배분(적용)'!C20</f>
        <v>무극지구 도시계발사업</v>
      </c>
      <c r="AI25" s="878">
        <f>+'사회적유입인구의 처리구역별 배분(적용)'!D20</f>
        <v>0</v>
      </c>
      <c r="AJ25" s="878">
        <f>+'사회적유입인구의 처리구역별 배분(적용)'!E20</f>
        <v>0</v>
      </c>
      <c r="AK25" s="878">
        <f>+'사회적유입인구의 처리구역별 배분(적용)'!F20</f>
        <v>0</v>
      </c>
      <c r="AL25" s="878">
        <f>+'사회적유입인구의 처리구역별 배분(적용)'!G20</f>
        <v>0</v>
      </c>
      <c r="AM25" s="878">
        <f>+'사회적유입인구의 처리구역별 배분(적용)'!H20</f>
        <v>0</v>
      </c>
      <c r="AN25" s="878">
        <f>+'사회적유입인구의 처리구역별 배분(적용)'!I20</f>
        <v>0</v>
      </c>
      <c r="AO25" s="878">
        <f>+'사회적유입인구의 처리구역별 배분(적용)'!J20</f>
        <v>0</v>
      </c>
      <c r="AP25" s="878">
        <f>+'사회적유입인구의 처리구역별 배분(적용)'!K20</f>
        <v>0</v>
      </c>
      <c r="AQ25" s="878">
        <f>+'사회적유입인구의 처리구역별 배분(적용)'!L20</f>
        <v>0</v>
      </c>
      <c r="AR25" s="878">
        <f>+'사회적유입인구의 처리구역별 배분(적용)'!M20</f>
        <v>0</v>
      </c>
      <c r="AS25" s="878">
        <f>+'사회적유입인구의 처리구역별 배분(적용)'!N20</f>
        <v>0</v>
      </c>
      <c r="AT25" s="878">
        <f>+'사회적유입인구의 처리구역별 배분(적용)'!O20</f>
        <v>0</v>
      </c>
      <c r="AU25" s="878">
        <f>+'사회적유입인구의 처리구역별 배분(적용)'!P20</f>
        <v>0</v>
      </c>
      <c r="AV25" s="878">
        <f>+'사회적유입인구의 처리구역별 배분(적용)'!Q20</f>
        <v>0</v>
      </c>
      <c r="AW25" s="878">
        <f>+'사회적유입인구의 처리구역별 배분(적용)'!R20</f>
        <v>0</v>
      </c>
      <c r="AX25" s="878">
        <f>+'사회적유입인구의 처리구역별 배분(적용)'!S20</f>
        <v>0</v>
      </c>
      <c r="AY25" s="878">
        <f>+'사회적유입인구의 처리구역별 배분(적용)'!T20</f>
        <v>0</v>
      </c>
      <c r="AZ25" s="878">
        <f>+'사회적유입인구의 처리구역별 배분(적용)'!U20</f>
        <v>0</v>
      </c>
      <c r="BA25" s="878">
        <f>+'사회적유입인구의 처리구역별 배분(적용)'!V20</f>
        <v>0</v>
      </c>
      <c r="BB25" s="878">
        <f>+'사회적유입인구의 처리구역별 배분(적용)'!W20</f>
        <v>0</v>
      </c>
      <c r="BC25" s="878">
        <f>+'사회적유입인구의 처리구역별 배분(적용)'!X20</f>
        <v>0</v>
      </c>
      <c r="BD25" s="878">
        <f>+'사회적유입인구의 처리구역별 배분(적용)'!Y20</f>
        <v>1554</v>
      </c>
      <c r="BE25" s="879">
        <f>+'사회적유입인구의 처리구역별 배분(적용)'!Z20</f>
        <v>1</v>
      </c>
    </row>
    <row r="26" spans="1:57" s="712" customFormat="1" ht="24" customHeight="1" thickBot="1">
      <c r="A26" s="2703"/>
      <c r="B26" s="2667"/>
      <c r="C26" s="2649"/>
      <c r="D26" s="2680"/>
      <c r="E26" s="1178" t="s">
        <v>942</v>
      </c>
      <c r="F26" s="956"/>
      <c r="G26" s="933">
        <f>+'2014처리구역인구 정리'!I24</f>
        <v>1478</v>
      </c>
      <c r="H26" s="933">
        <f>+'2014처리구역인구 정리'!J24</f>
        <v>1517</v>
      </c>
      <c r="I26" s="925">
        <f>ROUND((('1.4.조성법총괄(내부이동률 적용)'!E$4+'1.4.조성법총괄(내부이동률 적용)'!E$7*$AK$2)*$AB26)+(AL$21*$AC26),0)</f>
        <v>1493</v>
      </c>
      <c r="J26" s="925">
        <f>ROUND((('1.4.조성법총괄(내부이동률 적용)'!F$4+'1.4.조성법총괄(내부이동률 적용)'!F$7*$AK$2)*$AB26)+(AM$21*$AC26),0)</f>
        <v>1475</v>
      </c>
      <c r="K26" s="925">
        <f>ROUND((('1.4.조성법총괄(내부이동률 적용)'!G$4+'1.4.조성법총괄(내부이동률 적용)'!G$7*$AK$2)*$AB26)+(AN$21*$AC26),0)</f>
        <v>1471</v>
      </c>
      <c r="L26" s="907">
        <f>ROUND((('1.4.조성법총괄(내부이동률 적용)'!H$4+'1.4.조성법총괄(내부이동률 적용)'!H$7*$AK$2)*$AB26)+(AO$21*$AC26),0)</f>
        <v>1433</v>
      </c>
      <c r="M26" s="925">
        <f>ROUND((('1.4.조성법총괄(내부이동률 적용)'!I$4+'1.4.조성법총괄(내부이동률 적용)'!I$7*$AK$2)*$AB26)+(AP$21*$AC26),0)</f>
        <v>1433</v>
      </c>
      <c r="N26" s="925">
        <f>ROUND((('1.4.조성법총괄(내부이동률 적용)'!J$4+'1.4.조성법총괄(내부이동률 적용)'!J$7*$AK$2)*$AB26)+(AQ$21*$AC26),0)</f>
        <v>1433</v>
      </c>
      <c r="O26" s="925">
        <f>ROUND((('1.4.조성법총괄(내부이동률 적용)'!K$4+'1.4.조성법총괄(내부이동률 적용)'!K$7*$AK$2)*$AB26)+(AR$21*$AC26),0)</f>
        <v>1433</v>
      </c>
      <c r="P26" s="925">
        <f>ROUND((('1.4.조성법총괄(내부이동률 적용)'!L$4+'1.4.조성법총괄(내부이동률 적용)'!L$7*$AK$2)*$AB26)+(AS$21*$AC26),0)</f>
        <v>1432</v>
      </c>
      <c r="Q26" s="907">
        <f>ROUND((('1.4.조성법총괄(내부이동률 적용)'!M$4+'1.4.조성법총괄(내부이동률 적용)'!M$7*$AK$2)*$AB26)+(AT$21*$AC26),0)</f>
        <v>1432</v>
      </c>
      <c r="R26" s="925">
        <f>ROUND((('1.4.조성법총괄(내부이동률 적용)'!N$4+'1.4.조성법총괄(내부이동률 적용)'!N$7*$AK$2)*$AB26)+(AU$21*$AC26),0)</f>
        <v>1430</v>
      </c>
      <c r="S26" s="925">
        <f>ROUND((('1.4.조성법총괄(내부이동률 적용)'!O$4+'1.4.조성법총괄(내부이동률 적용)'!O$7*$AK$2)*$AB26)+(AV$21*$AC26),0)</f>
        <v>1427</v>
      </c>
      <c r="T26" s="925">
        <f>ROUND((('1.4.조성법총괄(내부이동률 적용)'!P$4+'1.4.조성법총괄(내부이동률 적용)'!P$7*$AK$2)*$AB26)+(AW$21*$AC26),0)</f>
        <v>1425</v>
      </c>
      <c r="U26" s="925">
        <f>ROUND((('1.4.조성법총괄(내부이동률 적용)'!Q$4+'1.4.조성법총괄(내부이동률 적용)'!Q$7*$AK$2)*$AB26)+(AX$21*$AC26),0)</f>
        <v>1423</v>
      </c>
      <c r="V26" s="715">
        <f>ROUND((('1.4.조성법총괄(내부이동률 적용)'!R$4+'1.4.조성법총괄(내부이동률 적용)'!R$7*$AK$2)*$AB26)+(AY$21*$AC26),0)</f>
        <v>1421</v>
      </c>
      <c r="W26" s="714">
        <f>ROUND((('1.4.조성법총괄(내부이동률 적용)'!S$4+'1.4.조성법총괄(내부이동률 적용)'!S$7*$AK$2)*$AB26)+(AZ$21*$AC26),0)</f>
        <v>1417</v>
      </c>
      <c r="X26" s="714">
        <f>ROUND((('1.4.조성법총괄(내부이동률 적용)'!T$4+'1.4.조성법총괄(내부이동률 적용)'!T$7*$AK$2)*$AB26)+(BA$21*$AC26),0)</f>
        <v>1413</v>
      </c>
      <c r="Y26" s="714">
        <f>ROUND((('1.4.조성법총괄(내부이동률 적용)'!U$4+'1.4.조성법총괄(내부이동률 적용)'!U$7*$AK$2)*$AB26)+(BB$21*$AC26),0)</f>
        <v>1409</v>
      </c>
      <c r="Z26" s="714">
        <f>ROUND((('1.4.조성법총괄(내부이동률 적용)'!V$4+'1.4.조성법총괄(내부이동률 적용)'!V$7*$AK$2)*$AB26)+(BC$21*$AC26),0)</f>
        <v>1406</v>
      </c>
      <c r="AA26" s="715">
        <f>ROUND((('1.4.조성법총괄(내부이동률 적용)'!W$4+'1.4.조성법총괄(내부이동률 적용)'!W$7*$AK$2)*$AB26)+(BD$21*$AC26),0)</f>
        <v>1787</v>
      </c>
      <c r="AB26" s="934">
        <f>+H26/'1.4.조성법총괄(내부이동률 적용)'!$D$8</f>
        <v>7.9603295377026817E-2</v>
      </c>
      <c r="AC26" s="934">
        <f t="shared" si="27"/>
        <v>9.3016126065362678E-2</v>
      </c>
      <c r="AD26" s="1080"/>
      <c r="AE26" s="711"/>
      <c r="AF26" s="1168"/>
      <c r="AG26" s="875"/>
      <c r="AH26" s="880" t="str">
        <f>'사회적유입인구의 처리구역별 배분(적용)'!C21</f>
        <v>소  계</v>
      </c>
      <c r="AI26" s="881">
        <f>+'사회적유입인구의 처리구역별 배분(적용)'!D21</f>
        <v>0</v>
      </c>
      <c r="AJ26" s="881">
        <f>+'사회적유입인구의 처리구역별 배분(적용)'!E21</f>
        <v>0</v>
      </c>
      <c r="AK26" s="881">
        <f>+'사회적유입인구의 처리구역별 배분(적용)'!F21</f>
        <v>0</v>
      </c>
      <c r="AL26" s="881">
        <f>+'사회적유입인구의 처리구역별 배분(적용)'!G21</f>
        <v>0</v>
      </c>
      <c r="AM26" s="881">
        <f>+'사회적유입인구의 처리구역별 배분(적용)'!H21</f>
        <v>0</v>
      </c>
      <c r="AN26" s="881">
        <f>+'사회적유입인구의 처리구역별 배분(적용)'!I21</f>
        <v>0</v>
      </c>
      <c r="AO26" s="881">
        <f>+'사회적유입인구의 처리구역별 배분(적용)'!J21</f>
        <v>0</v>
      </c>
      <c r="AP26" s="881">
        <f>+'사회적유입인구의 처리구역별 배분(적용)'!K21</f>
        <v>0</v>
      </c>
      <c r="AQ26" s="881">
        <f>+'사회적유입인구의 처리구역별 배분(적용)'!L21</f>
        <v>0</v>
      </c>
      <c r="AR26" s="881">
        <f>+'사회적유입인구의 처리구역별 배분(적용)'!M21</f>
        <v>0</v>
      </c>
      <c r="AS26" s="881">
        <f>+'사회적유입인구의 처리구역별 배분(적용)'!N21</f>
        <v>0</v>
      </c>
      <c r="AT26" s="881">
        <f>+'사회적유입인구의 처리구역별 배분(적용)'!O21</f>
        <v>0</v>
      </c>
      <c r="AU26" s="881">
        <f>+'사회적유입인구의 처리구역별 배분(적용)'!P21</f>
        <v>0</v>
      </c>
      <c r="AV26" s="881">
        <f>+'사회적유입인구의 처리구역별 배분(적용)'!Q21</f>
        <v>0</v>
      </c>
      <c r="AW26" s="881">
        <f>+'사회적유입인구의 처리구역별 배분(적용)'!R21</f>
        <v>0</v>
      </c>
      <c r="AX26" s="881">
        <f>+'사회적유입인구의 처리구역별 배분(적용)'!S21</f>
        <v>0</v>
      </c>
      <c r="AY26" s="881">
        <f>+'사회적유입인구의 처리구역별 배분(적용)'!T21</f>
        <v>0</v>
      </c>
      <c r="AZ26" s="881">
        <f>+'사회적유입인구의 처리구역별 배분(적용)'!U21</f>
        <v>0</v>
      </c>
      <c r="BA26" s="881">
        <f>+'사회적유입인구의 처리구역별 배분(적용)'!V21</f>
        <v>0</v>
      </c>
      <c r="BB26" s="881">
        <f>+'사회적유입인구의 처리구역별 배분(적용)'!W21</f>
        <v>0</v>
      </c>
      <c r="BC26" s="881">
        <f>+'사회적유입인구의 처리구역별 배분(적용)'!X21</f>
        <v>0</v>
      </c>
      <c r="BD26" s="881">
        <f>+'사회적유입인구의 처리구역별 배분(적용)'!Y21</f>
        <v>1554</v>
      </c>
      <c r="BE26" s="882"/>
    </row>
    <row r="27" spans="1:57" s="712" customFormat="1" ht="24" customHeight="1" thickTop="1">
      <c r="A27" s="2703"/>
      <c r="B27" s="2667"/>
      <c r="C27" s="2649"/>
      <c r="D27" s="2680"/>
      <c r="E27" s="1178" t="s">
        <v>943</v>
      </c>
      <c r="F27" s="956"/>
      <c r="G27" s="933">
        <f>+'2014처리구역인구 정리'!I25</f>
        <v>767</v>
      </c>
      <c r="H27" s="933">
        <f>+'2014처리구역인구 정리'!J25</f>
        <v>785</v>
      </c>
      <c r="I27" s="925">
        <f>ROUND((('1.4.조성법총괄(내부이동률 적용)'!E$4+'1.4.조성법총괄(내부이동률 적용)'!E$7*$AK$2)*$AB27)+(AL$21*$AC27),0)</f>
        <v>772</v>
      </c>
      <c r="J27" s="925">
        <f>ROUND((('1.4.조성법총괄(내부이동률 적용)'!F$4+'1.4.조성법총괄(내부이동률 적용)'!F$7*$AK$2)*$AB27)+(AM$21*$AC27),0)</f>
        <v>763</v>
      </c>
      <c r="K27" s="925">
        <f>ROUND((('1.4.조성법총괄(내부이동률 적용)'!G$4+'1.4.조성법총괄(내부이동률 적용)'!G$7*$AK$2)*$AB27)+(AN$21*$AC27),0)</f>
        <v>761</v>
      </c>
      <c r="L27" s="907">
        <f>ROUND((('1.4.조성법총괄(내부이동률 적용)'!H$4+'1.4.조성법총괄(내부이동률 적용)'!H$7*$AK$2)*$AB27)+(AO$21*$AC27),0)</f>
        <v>742</v>
      </c>
      <c r="M27" s="925">
        <f>ROUND((('1.4.조성법총괄(내부이동률 적용)'!I$4+'1.4.조성법총괄(내부이동률 적용)'!I$7*$AK$2)*$AB27)+(AP$21*$AC27),0)</f>
        <v>742</v>
      </c>
      <c r="N27" s="925">
        <f>ROUND((('1.4.조성법총괄(내부이동률 적용)'!J$4+'1.4.조성법총괄(내부이동률 적용)'!J$7*$AK$2)*$AB27)+(AQ$21*$AC27),0)</f>
        <v>741</v>
      </c>
      <c r="O27" s="925">
        <f>ROUND((('1.4.조성법총괄(내부이동률 적용)'!K$4+'1.4.조성법총괄(내부이동률 적용)'!K$7*$AK$2)*$AB27)+(AR$21*$AC27),0)</f>
        <v>741</v>
      </c>
      <c r="P27" s="925">
        <f>ROUND((('1.4.조성법총괄(내부이동률 적용)'!L$4+'1.4.조성법총괄(내부이동률 적용)'!L$7*$AK$2)*$AB27)+(AS$21*$AC27),0)</f>
        <v>741</v>
      </c>
      <c r="Q27" s="907">
        <f>ROUND((('1.4.조성법총괄(내부이동률 적용)'!M$4+'1.4.조성법총괄(내부이동률 적용)'!M$7*$AK$2)*$AB27)+(AT$21*$AC27),0)</f>
        <v>741</v>
      </c>
      <c r="R27" s="925">
        <f>ROUND((('1.4.조성법총괄(내부이동률 적용)'!N$4+'1.4.조성법총괄(내부이동률 적용)'!N$7*$AK$2)*$AB27)+(AU$21*$AC27),0)</f>
        <v>740</v>
      </c>
      <c r="S27" s="925">
        <f>ROUND((('1.4.조성법총괄(내부이동률 적용)'!O$4+'1.4.조성법총괄(내부이동률 적용)'!O$7*$AK$2)*$AB27)+(AV$21*$AC27),0)</f>
        <v>739</v>
      </c>
      <c r="T27" s="925">
        <f>ROUND((('1.4.조성법총괄(내부이동률 적용)'!P$4+'1.4.조성법총괄(내부이동률 적용)'!P$7*$AK$2)*$AB27)+(AW$21*$AC27),0)</f>
        <v>738</v>
      </c>
      <c r="U27" s="925">
        <f>ROUND((('1.4.조성법총괄(내부이동률 적용)'!Q$4+'1.4.조성법총괄(내부이동률 적용)'!Q$7*$AK$2)*$AB27)+(AX$21*$AC27),0)</f>
        <v>736</v>
      </c>
      <c r="V27" s="715">
        <f>ROUND((('1.4.조성법총괄(내부이동률 적용)'!R$4+'1.4.조성법총괄(내부이동률 적용)'!R$7*$AK$2)*$AB27)+(AY$21*$AC27),0)</f>
        <v>735</v>
      </c>
      <c r="W27" s="714">
        <f>ROUND((('1.4.조성법총괄(내부이동률 적용)'!S$4+'1.4.조성법총괄(내부이동률 적용)'!S$7*$AK$2)*$AB27)+(AZ$21*$AC27),0)</f>
        <v>733</v>
      </c>
      <c r="X27" s="714">
        <f>ROUND((('1.4.조성법총괄(내부이동률 적용)'!T$4+'1.4.조성법총괄(내부이동률 적용)'!T$7*$AK$2)*$AB27)+(BA$21*$AC27),0)</f>
        <v>731</v>
      </c>
      <c r="Y27" s="714">
        <f>ROUND((('1.4.조성법총괄(내부이동률 적용)'!U$4+'1.4.조성법총괄(내부이동률 적용)'!U$7*$AK$2)*$AB27)+(BB$21*$AC27),0)</f>
        <v>729</v>
      </c>
      <c r="Z27" s="714">
        <f>ROUND((('1.4.조성법총괄(내부이동률 적용)'!V$4+'1.4.조성법총괄(내부이동률 적용)'!V$7*$AK$2)*$AB27)+(BC$21*$AC27),0)</f>
        <v>727</v>
      </c>
      <c r="AA27" s="715">
        <f>ROUND((('1.4.조성법총괄(내부이동률 적용)'!W$4+'1.4.조성법총괄(내부이동률 적용)'!W$7*$AK$2)*$AB27)+(BD$21*$AC27),0)</f>
        <v>925</v>
      </c>
      <c r="AB27" s="934">
        <f>+H27/'1.4.조성법총괄(내부이동률 적용)'!$D$8</f>
        <v>4.1192212835178675E-2</v>
      </c>
      <c r="AC27" s="934">
        <f t="shared" si="27"/>
        <v>4.8132932736525844E-2</v>
      </c>
      <c r="AD27" s="1080"/>
      <c r="AE27" s="711"/>
      <c r="AF27" s="869"/>
      <c r="AG27" s="875" t="s">
        <v>95</v>
      </c>
      <c r="AH27" s="885" t="str">
        <f>+'사회적유입인구의 처리구역별 배분(적용)'!C22</f>
        <v>시티프라디움</v>
      </c>
      <c r="AI27" s="886">
        <f>+'사회적유입인구의 처리구역별 배분(적용)'!D22</f>
        <v>0</v>
      </c>
      <c r="AJ27" s="886">
        <f>+'사회적유입인구의 처리구역별 배분(적용)'!E22</f>
        <v>0</v>
      </c>
      <c r="AK27" s="886">
        <f>+'사회적유입인구의 처리구역별 배분(적용)'!F22</f>
        <v>0</v>
      </c>
      <c r="AL27" s="886">
        <f>+'사회적유입인구의 처리구역별 배분(적용)'!G22</f>
        <v>593</v>
      </c>
      <c r="AM27" s="886">
        <f>+'사회적유입인구의 처리구역별 배분(적용)'!H22</f>
        <v>593</v>
      </c>
      <c r="AN27" s="886">
        <f>+'사회적유입인구의 처리구역별 배분(적용)'!I22</f>
        <v>593</v>
      </c>
      <c r="AO27" s="886">
        <f>+'사회적유입인구의 처리구역별 배분(적용)'!J22</f>
        <v>593</v>
      </c>
      <c r="AP27" s="886">
        <f>+'사회적유입인구의 처리구역별 배분(적용)'!K22</f>
        <v>593</v>
      </c>
      <c r="AQ27" s="886">
        <f>+'사회적유입인구의 처리구역별 배분(적용)'!L22</f>
        <v>593</v>
      </c>
      <c r="AR27" s="886">
        <f>+'사회적유입인구의 처리구역별 배분(적용)'!M22</f>
        <v>593</v>
      </c>
      <c r="AS27" s="886">
        <f>+'사회적유입인구의 처리구역별 배분(적용)'!N22</f>
        <v>593</v>
      </c>
      <c r="AT27" s="886">
        <f>+'사회적유입인구의 처리구역별 배분(적용)'!O22</f>
        <v>593</v>
      </c>
      <c r="AU27" s="886">
        <f>+'사회적유입인구의 처리구역별 배분(적용)'!P22</f>
        <v>593</v>
      </c>
      <c r="AV27" s="886">
        <f>+'사회적유입인구의 처리구역별 배분(적용)'!Q22</f>
        <v>593</v>
      </c>
      <c r="AW27" s="886">
        <f>+'사회적유입인구의 처리구역별 배분(적용)'!R22</f>
        <v>593</v>
      </c>
      <c r="AX27" s="886">
        <f>+'사회적유입인구의 처리구역별 배분(적용)'!S22</f>
        <v>593</v>
      </c>
      <c r="AY27" s="886">
        <f>+'사회적유입인구의 처리구역별 배분(적용)'!T22</f>
        <v>593</v>
      </c>
      <c r="AZ27" s="886">
        <f>+'사회적유입인구의 처리구역별 배분(적용)'!U22</f>
        <v>593</v>
      </c>
      <c r="BA27" s="886">
        <f>+'사회적유입인구의 처리구역별 배분(적용)'!V22</f>
        <v>593</v>
      </c>
      <c r="BB27" s="886">
        <f>+'사회적유입인구의 처리구역별 배분(적용)'!W22</f>
        <v>593</v>
      </c>
      <c r="BC27" s="886">
        <f>+'사회적유입인구의 처리구역별 배분(적용)'!X22</f>
        <v>593</v>
      </c>
      <c r="BD27" s="886">
        <f>+'사회적유입인구의 처리구역별 배분(적용)'!Y22</f>
        <v>593</v>
      </c>
      <c r="BE27" s="887">
        <f>+'사회적유입인구의 처리구역별 배분(적용)'!Z22</f>
        <v>1</v>
      </c>
    </row>
    <row r="28" spans="1:57" s="712" customFormat="1" ht="24" customHeight="1">
      <c r="A28" s="2703"/>
      <c r="B28" s="2667"/>
      <c r="C28" s="2649"/>
      <c r="D28" s="2680"/>
      <c r="E28" s="1178" t="s">
        <v>1268</v>
      </c>
      <c r="F28" s="956"/>
      <c r="G28" s="102">
        <f>AJ7</f>
        <v>0</v>
      </c>
      <c r="H28" s="102">
        <f t="shared" ref="H28:AA28" si="28">AK7</f>
        <v>0</v>
      </c>
      <c r="I28" s="102">
        <f t="shared" si="28"/>
        <v>125</v>
      </c>
      <c r="J28" s="102">
        <f t="shared" si="28"/>
        <v>125</v>
      </c>
      <c r="K28" s="102">
        <f t="shared" si="28"/>
        <v>125</v>
      </c>
      <c r="L28" s="102">
        <f t="shared" si="28"/>
        <v>125</v>
      </c>
      <c r="M28" s="102">
        <f t="shared" si="28"/>
        <v>125</v>
      </c>
      <c r="N28" s="102">
        <f t="shared" si="28"/>
        <v>125</v>
      </c>
      <c r="O28" s="102">
        <f t="shared" si="28"/>
        <v>125</v>
      </c>
      <c r="P28" s="102">
        <f t="shared" si="28"/>
        <v>125</v>
      </c>
      <c r="Q28" s="102">
        <f t="shared" si="28"/>
        <v>125</v>
      </c>
      <c r="R28" s="102">
        <f t="shared" si="28"/>
        <v>125</v>
      </c>
      <c r="S28" s="102">
        <f t="shared" si="28"/>
        <v>125</v>
      </c>
      <c r="T28" s="102">
        <f t="shared" si="28"/>
        <v>125</v>
      </c>
      <c r="U28" s="102">
        <f t="shared" si="28"/>
        <v>125</v>
      </c>
      <c r="V28" s="102">
        <f t="shared" si="28"/>
        <v>125</v>
      </c>
      <c r="W28" s="102">
        <f t="shared" si="28"/>
        <v>125</v>
      </c>
      <c r="X28" s="102">
        <f t="shared" si="28"/>
        <v>125</v>
      </c>
      <c r="Y28" s="102">
        <f t="shared" si="28"/>
        <v>125</v>
      </c>
      <c r="Z28" s="102">
        <f t="shared" si="28"/>
        <v>125</v>
      </c>
      <c r="AA28" s="102">
        <f t="shared" si="28"/>
        <v>125</v>
      </c>
      <c r="AB28" s="934"/>
      <c r="AC28" s="934"/>
      <c r="AD28" s="1080" t="str">
        <f>AH7</f>
        <v>지평더웰2차</v>
      </c>
      <c r="AE28" s="711" t="s">
        <v>1566</v>
      </c>
      <c r="AF28" s="1102"/>
      <c r="AG28" s="875"/>
      <c r="AH28" s="1109" t="str">
        <f>+'사회적유입인구의 처리구역별 배분(적용)'!C23</f>
        <v>금석 A2블록</v>
      </c>
      <c r="AI28" s="1110">
        <f>+'사회적유입인구의 처리구역별 배분(적용)'!D23</f>
        <v>0</v>
      </c>
      <c r="AJ28" s="1110">
        <f>+'사회적유입인구의 처리구역별 배분(적용)'!E23</f>
        <v>0</v>
      </c>
      <c r="AK28" s="1110">
        <f>+'사회적유입인구의 처리구역별 배분(적용)'!F23</f>
        <v>0</v>
      </c>
      <c r="AL28" s="1110">
        <f>+'사회적유입인구의 처리구역별 배분(적용)'!G23</f>
        <v>0</v>
      </c>
      <c r="AM28" s="1110">
        <f>+'사회적유입인구의 처리구역별 배분(적용)'!H23</f>
        <v>0</v>
      </c>
      <c r="AN28" s="1110">
        <f>+'사회적유입인구의 처리구역별 배분(적용)'!I23</f>
        <v>0</v>
      </c>
      <c r="AO28" s="1110">
        <f>+'사회적유입인구의 처리구역별 배분(적용)'!J23</f>
        <v>0</v>
      </c>
      <c r="AP28" s="1110">
        <f>+'사회적유입인구의 처리구역별 배분(적용)'!K23</f>
        <v>0</v>
      </c>
      <c r="AQ28" s="1110">
        <f>+'사회적유입인구의 처리구역별 배분(적용)'!L23</f>
        <v>0</v>
      </c>
      <c r="AR28" s="1110">
        <f>+'사회적유입인구의 처리구역별 배분(적용)'!M23</f>
        <v>0</v>
      </c>
      <c r="AS28" s="1110">
        <f>+'사회적유입인구의 처리구역별 배분(적용)'!N23</f>
        <v>0</v>
      </c>
      <c r="AT28" s="1110">
        <f>+'사회적유입인구의 처리구역별 배분(적용)'!O23</f>
        <v>446</v>
      </c>
      <c r="AU28" s="1110">
        <f>+'사회적유입인구의 처리구역별 배분(적용)'!P23</f>
        <v>446</v>
      </c>
      <c r="AV28" s="1110">
        <f>+'사회적유입인구의 처리구역별 배분(적용)'!Q23</f>
        <v>446</v>
      </c>
      <c r="AW28" s="1110">
        <f>+'사회적유입인구의 처리구역별 배분(적용)'!R23</f>
        <v>446</v>
      </c>
      <c r="AX28" s="1110">
        <f>+'사회적유입인구의 처리구역별 배분(적용)'!S23</f>
        <v>446</v>
      </c>
      <c r="AY28" s="1110">
        <f>+'사회적유입인구의 처리구역별 배분(적용)'!T23</f>
        <v>446</v>
      </c>
      <c r="AZ28" s="1110">
        <f>+'사회적유입인구의 처리구역별 배분(적용)'!U23</f>
        <v>446</v>
      </c>
      <c r="BA28" s="1110">
        <f>+'사회적유입인구의 처리구역별 배분(적용)'!V23</f>
        <v>446</v>
      </c>
      <c r="BB28" s="1110">
        <f>+'사회적유입인구의 처리구역별 배분(적용)'!W23</f>
        <v>446</v>
      </c>
      <c r="BC28" s="1110">
        <f>+'사회적유입인구의 처리구역별 배분(적용)'!X23</f>
        <v>446</v>
      </c>
      <c r="BD28" s="1110">
        <f>+'사회적유입인구의 처리구역별 배분(적용)'!Y23</f>
        <v>446</v>
      </c>
      <c r="BE28" s="1111">
        <f>+'사회적유입인구의 처리구역별 배분(적용)'!Z23</f>
        <v>1</v>
      </c>
    </row>
    <row r="29" spans="1:57" s="712" customFormat="1" ht="24" customHeight="1" thickBot="1">
      <c r="A29" s="2703"/>
      <c r="B29" s="2667"/>
      <c r="C29" s="2649"/>
      <c r="D29" s="2680"/>
      <c r="E29" s="1178" t="s">
        <v>1268</v>
      </c>
      <c r="F29" s="956"/>
      <c r="G29" s="102">
        <f>AJ10</f>
        <v>0</v>
      </c>
      <c r="H29" s="102">
        <f t="shared" ref="H29:AA29" si="29">AK10</f>
        <v>0</v>
      </c>
      <c r="I29" s="102">
        <f t="shared" si="29"/>
        <v>27</v>
      </c>
      <c r="J29" s="102">
        <f t="shared" si="29"/>
        <v>27</v>
      </c>
      <c r="K29" s="102">
        <f t="shared" si="29"/>
        <v>27</v>
      </c>
      <c r="L29" s="102">
        <f t="shared" si="29"/>
        <v>27</v>
      </c>
      <c r="M29" s="102">
        <f t="shared" si="29"/>
        <v>27</v>
      </c>
      <c r="N29" s="102">
        <f t="shared" si="29"/>
        <v>27</v>
      </c>
      <c r="O29" s="102">
        <f t="shared" si="29"/>
        <v>27</v>
      </c>
      <c r="P29" s="102">
        <f t="shared" si="29"/>
        <v>27</v>
      </c>
      <c r="Q29" s="102">
        <f t="shared" si="29"/>
        <v>27</v>
      </c>
      <c r="R29" s="102">
        <f t="shared" si="29"/>
        <v>27</v>
      </c>
      <c r="S29" s="102">
        <f t="shared" si="29"/>
        <v>27</v>
      </c>
      <c r="T29" s="102">
        <f t="shared" si="29"/>
        <v>27</v>
      </c>
      <c r="U29" s="102">
        <f t="shared" si="29"/>
        <v>27</v>
      </c>
      <c r="V29" s="102">
        <f t="shared" si="29"/>
        <v>27</v>
      </c>
      <c r="W29" s="102">
        <f t="shared" si="29"/>
        <v>27</v>
      </c>
      <c r="X29" s="102">
        <f t="shared" si="29"/>
        <v>27</v>
      </c>
      <c r="Y29" s="102">
        <f t="shared" si="29"/>
        <v>27</v>
      </c>
      <c r="Z29" s="102">
        <f t="shared" si="29"/>
        <v>27</v>
      </c>
      <c r="AA29" s="102">
        <f t="shared" si="29"/>
        <v>27</v>
      </c>
      <c r="AB29" s="934"/>
      <c r="AC29" s="934"/>
      <c r="AD29" s="1080" t="str">
        <f>AH10</f>
        <v>㈜씨제이산업개발</v>
      </c>
      <c r="AE29" s="711" t="s">
        <v>1567</v>
      </c>
      <c r="AF29" s="855"/>
      <c r="AG29" s="875"/>
      <c r="AH29" s="890" t="str">
        <f>+'사회적유입인구의 처리구역별 배분(적용)'!C24</f>
        <v>우신아파트</v>
      </c>
      <c r="AI29" s="891">
        <f>+'사회적유입인구의 처리구역별 배분(적용)'!D24</f>
        <v>0</v>
      </c>
      <c r="AJ29" s="891">
        <f>+'사회적유입인구의 처리구역별 배분(적용)'!E24</f>
        <v>0</v>
      </c>
      <c r="AK29" s="891">
        <f>+'사회적유입인구의 처리구역별 배분(적용)'!F24</f>
        <v>0</v>
      </c>
      <c r="AL29" s="891">
        <f>+'사회적유입인구의 처리구역별 배분(적용)'!G24</f>
        <v>0</v>
      </c>
      <c r="AM29" s="891">
        <f>+'사회적유입인구의 처리구역별 배분(적용)'!H24</f>
        <v>0</v>
      </c>
      <c r="AN29" s="891">
        <f>+'사회적유입인구의 처리구역별 배분(적용)'!I24</f>
        <v>0</v>
      </c>
      <c r="AO29" s="891">
        <f>+'사회적유입인구의 처리구역별 배분(적용)'!J24</f>
        <v>2306</v>
      </c>
      <c r="AP29" s="891">
        <f>+'사회적유입인구의 처리구역별 배분(적용)'!K24</f>
        <v>2306</v>
      </c>
      <c r="AQ29" s="891">
        <f>+'사회적유입인구의 처리구역별 배분(적용)'!L24</f>
        <v>2306</v>
      </c>
      <c r="AR29" s="891">
        <f>+'사회적유입인구의 처리구역별 배분(적용)'!M24</f>
        <v>2306</v>
      </c>
      <c r="AS29" s="891">
        <f>+'사회적유입인구의 처리구역별 배분(적용)'!N24</f>
        <v>2306</v>
      </c>
      <c r="AT29" s="891">
        <f>+'사회적유입인구의 처리구역별 배분(적용)'!O24</f>
        <v>2306</v>
      </c>
      <c r="AU29" s="891">
        <f>+'사회적유입인구의 처리구역별 배분(적용)'!P24</f>
        <v>2306</v>
      </c>
      <c r="AV29" s="891">
        <f>+'사회적유입인구의 처리구역별 배분(적용)'!Q24</f>
        <v>2306</v>
      </c>
      <c r="AW29" s="891">
        <f>+'사회적유입인구의 처리구역별 배분(적용)'!R24</f>
        <v>2306</v>
      </c>
      <c r="AX29" s="891">
        <f>+'사회적유입인구의 처리구역별 배분(적용)'!S24</f>
        <v>2306</v>
      </c>
      <c r="AY29" s="891">
        <f>+'사회적유입인구의 처리구역별 배분(적용)'!T24</f>
        <v>2306</v>
      </c>
      <c r="AZ29" s="891">
        <f>+'사회적유입인구의 처리구역별 배분(적용)'!U24</f>
        <v>2306</v>
      </c>
      <c r="BA29" s="891">
        <f>+'사회적유입인구의 처리구역별 배분(적용)'!V24</f>
        <v>2306</v>
      </c>
      <c r="BB29" s="891">
        <f>+'사회적유입인구의 처리구역별 배분(적용)'!W24</f>
        <v>2306</v>
      </c>
      <c r="BC29" s="891">
        <f>+'사회적유입인구의 처리구역별 배분(적용)'!X24</f>
        <v>2306</v>
      </c>
      <c r="BD29" s="891">
        <f>+'사회적유입인구의 처리구역별 배분(적용)'!Y24</f>
        <v>2306</v>
      </c>
      <c r="BE29" s="892">
        <f>+'사회적유입인구의 처리구역별 배분(적용)'!Z24</f>
        <v>1</v>
      </c>
    </row>
    <row r="30" spans="1:57" s="712" customFormat="1" ht="24" customHeight="1">
      <c r="A30" s="2703"/>
      <c r="B30" s="2667"/>
      <c r="C30" s="2649"/>
      <c r="D30" s="2680" t="s">
        <v>947</v>
      </c>
      <c r="E30" s="1178" t="s">
        <v>944</v>
      </c>
      <c r="F30" s="956"/>
      <c r="G30" s="933">
        <f>+'2014처리구역인구 정리'!I26</f>
        <v>218</v>
      </c>
      <c r="H30" s="933">
        <f>+'2014처리구역인구 정리'!J26</f>
        <v>224</v>
      </c>
      <c r="I30" s="925">
        <f>ROUND((('1.4.조성법총괄(내부이동률 적용)'!E$4+'1.4.조성법총괄(내부이동률 적용)'!E$7*$AK$2)*$AB30)+(AL$21*$AC30),0)</f>
        <v>220</v>
      </c>
      <c r="J30" s="925">
        <f>ROUND((('1.4.조성법총괄(내부이동률 적용)'!F$4+'1.4.조성법총괄(내부이동률 적용)'!F$7*$AK$2)*$AB30)+(AM$21*$AC30),0)</f>
        <v>218</v>
      </c>
      <c r="K30" s="925">
        <f>ROUND((('1.4.조성법총괄(내부이동률 적용)'!G$4+'1.4.조성법총괄(내부이동률 적용)'!G$7*$AK$2)*$AB30)+(AN$21*$AC30),0)</f>
        <v>217</v>
      </c>
      <c r="L30" s="907">
        <f>ROUND((('1.4.조성법총괄(내부이동률 적용)'!H$4+'1.4.조성법총괄(내부이동률 적용)'!H$7*$AK$2)*$AB30)+(AO$21*$AC30),0)</f>
        <v>212</v>
      </c>
      <c r="M30" s="925">
        <f>ROUND((('1.4.조성법총괄(내부이동률 적용)'!I$4+'1.4.조성법총괄(내부이동률 적용)'!I$7*$AK$2)*$AB30)+(AP$21*$AC30),0)</f>
        <v>212</v>
      </c>
      <c r="N30" s="925">
        <f>ROUND((('1.4.조성법총괄(내부이동률 적용)'!J$4+'1.4.조성법총괄(내부이동률 적용)'!J$7*$AK$2)*$AB30)+(AQ$21*$AC30),0)</f>
        <v>212</v>
      </c>
      <c r="O30" s="925">
        <f>ROUND((('1.4.조성법총괄(내부이동률 적용)'!K$4+'1.4.조성법총괄(내부이동률 적용)'!K$7*$AK$2)*$AB30)+(AR$21*$AC30),0)</f>
        <v>212</v>
      </c>
      <c r="P30" s="925">
        <f>ROUND((('1.4.조성법총괄(내부이동률 적용)'!L$4+'1.4.조성법총괄(내부이동률 적용)'!L$7*$AK$2)*$AB30)+(AS$21*$AC30),0)</f>
        <v>211</v>
      </c>
      <c r="Q30" s="907">
        <f>ROUND((('1.4.조성법총괄(내부이동률 적용)'!M$4+'1.4.조성법총괄(내부이동률 적용)'!M$7*$AK$2)*$AB30)+(AT$21*$AC30),0)</f>
        <v>211</v>
      </c>
      <c r="R30" s="925">
        <f>ROUND((('1.4.조성법총괄(내부이동률 적용)'!N$4+'1.4.조성법총괄(내부이동률 적용)'!N$7*$AK$2)*$AB30)+(AU$21*$AC30),0)</f>
        <v>211</v>
      </c>
      <c r="S30" s="925">
        <f>ROUND((('1.4.조성법총괄(내부이동률 적용)'!O$4+'1.4.조성법총괄(내부이동률 적용)'!O$7*$AK$2)*$AB30)+(AV$21*$AC30),0)</f>
        <v>211</v>
      </c>
      <c r="T30" s="925">
        <f>ROUND((('1.4.조성법총괄(내부이동률 적용)'!P$4+'1.4.조성법총괄(내부이동률 적용)'!P$7*$AK$2)*$AB30)+(AW$21*$AC30),0)</f>
        <v>210</v>
      </c>
      <c r="U30" s="925">
        <f>ROUND((('1.4.조성법총괄(내부이동률 적용)'!Q$4+'1.4.조성법총괄(내부이동률 적용)'!Q$7*$AK$2)*$AB30)+(AX$21*$AC30),0)</f>
        <v>210</v>
      </c>
      <c r="V30" s="715">
        <f>ROUND((('1.4.조성법총괄(내부이동률 적용)'!R$4+'1.4.조성법총괄(내부이동률 적용)'!R$7*$AK$2)*$AB30)+(AY$21*$AC30),0)</f>
        <v>210</v>
      </c>
      <c r="W30" s="714">
        <f>ROUND((('1.4.조성법총괄(내부이동률 적용)'!S$4+'1.4.조성법총괄(내부이동률 적용)'!S$7*$AK$2)*$AB30)+(AZ$21*$AC30),0)</f>
        <v>209</v>
      </c>
      <c r="X30" s="714">
        <f>ROUND((('1.4.조성법총괄(내부이동률 적용)'!T$4+'1.4.조성법총괄(내부이동률 적용)'!T$7*$AK$2)*$AB30)+(BA$21*$AC30),0)</f>
        <v>209</v>
      </c>
      <c r="Y30" s="714">
        <f>ROUND((('1.4.조성법총괄(내부이동률 적용)'!U$4+'1.4.조성법총괄(내부이동률 적용)'!U$7*$AK$2)*$AB30)+(BB$21*$AC30),0)</f>
        <v>208</v>
      </c>
      <c r="Z30" s="714">
        <f>ROUND((('1.4.조성법총괄(내부이동률 적용)'!V$4+'1.4.조성법총괄(내부이동률 적용)'!V$7*$AK$2)*$AB30)+(BC$21*$AC30),0)</f>
        <v>208</v>
      </c>
      <c r="AA30" s="715">
        <f>ROUND((('1.4.조성법총괄(내부이동률 적용)'!W$4+'1.4.조성법총괄(내부이동률 적용)'!W$7*$AK$2)*$AB30)+(BD$21*$AC30),0)</f>
        <v>264</v>
      </c>
      <c r="AB30" s="934">
        <f>+H30/'1.4.조성법총괄(내부이동률 적용)'!$D$8</f>
        <v>1.1754211051057355E-2</v>
      </c>
      <c r="AC30" s="934">
        <f t="shared" ref="AC30:AC37" si="30">+H30/$AE$4</f>
        <v>1.373474768532712E-2</v>
      </c>
      <c r="AD30" s="1080"/>
      <c r="AE30" s="711"/>
      <c r="AF30" s="1113"/>
      <c r="AG30" s="875"/>
      <c r="AH30" s="1159"/>
      <c r="AI30" s="1160"/>
      <c r="AJ30" s="1160"/>
      <c r="AK30" s="1160"/>
      <c r="AL30" s="1160"/>
      <c r="AM30" s="1160"/>
      <c r="AN30" s="1160"/>
      <c r="AO30" s="1160"/>
      <c r="AP30" s="1160"/>
      <c r="AQ30" s="1160"/>
      <c r="AR30" s="1160"/>
      <c r="AS30" s="1160"/>
      <c r="AT30" s="1160"/>
      <c r="AU30" s="1160"/>
      <c r="AV30" s="1160"/>
      <c r="AW30" s="1160"/>
      <c r="AX30" s="1160"/>
      <c r="AY30" s="1160"/>
      <c r="AZ30" s="1160"/>
      <c r="BA30" s="1160"/>
      <c r="BB30" s="1160"/>
      <c r="BC30" s="1160"/>
      <c r="BD30" s="1160"/>
      <c r="BE30" s="1161"/>
    </row>
    <row r="31" spans="1:57" ht="24" customHeight="1">
      <c r="A31" s="2703"/>
      <c r="B31" s="2667"/>
      <c r="C31" s="2649"/>
      <c r="D31" s="2680"/>
      <c r="E31" s="1178" t="s">
        <v>945</v>
      </c>
      <c r="F31" s="956"/>
      <c r="G31" s="933">
        <f>+'2014처리구역인구 정리'!I27</f>
        <v>185</v>
      </c>
      <c r="H31" s="933">
        <f>+'2014처리구역인구 정리'!J27</f>
        <v>184</v>
      </c>
      <c r="I31" s="925">
        <f>ROUND((('1.4.조성법총괄(내부이동률 적용)'!E$4+'1.4.조성법총괄(내부이동률 적용)'!E$7*$AK$2)*$AB31)+(AL$21*$AC31),0)</f>
        <v>181</v>
      </c>
      <c r="J31" s="925">
        <f>ROUND((('1.4.조성법총괄(내부이동률 적용)'!F$4+'1.4.조성법총괄(내부이동률 적용)'!F$7*$AK$2)*$AB31)+(AM$21*$AC31),0)</f>
        <v>179</v>
      </c>
      <c r="K31" s="925">
        <f>ROUND((('1.4.조성법총괄(내부이동률 적용)'!G$4+'1.4.조성법총괄(내부이동률 적용)'!G$7*$AK$2)*$AB31)+(AN$21*$AC31),0)</f>
        <v>178</v>
      </c>
      <c r="L31" s="907">
        <f>ROUND((('1.4.조성법총괄(내부이동률 적용)'!H$4+'1.4.조성법총괄(내부이동률 적용)'!H$7*$AK$2)*$AB31)+(AO$21*$AC31),0)</f>
        <v>174</v>
      </c>
      <c r="M31" s="925">
        <f>ROUND((('1.4.조성법총괄(내부이동률 적용)'!I$4+'1.4.조성법총괄(내부이동률 적용)'!I$7*$AK$2)*$AB31)+(AP$21*$AC31),0)</f>
        <v>174</v>
      </c>
      <c r="N31" s="925">
        <f>ROUND((('1.4.조성법총괄(내부이동률 적용)'!J$4+'1.4.조성법총괄(내부이동률 적용)'!J$7*$AK$2)*$AB31)+(AQ$21*$AC31),0)</f>
        <v>174</v>
      </c>
      <c r="O31" s="925">
        <f>ROUND((('1.4.조성법총괄(내부이동률 적용)'!K$4+'1.4.조성법총괄(내부이동률 적용)'!K$7*$AK$2)*$AB31)+(AR$21*$AC31),0)</f>
        <v>174</v>
      </c>
      <c r="P31" s="925">
        <f>ROUND((('1.4.조성법총괄(내부이동률 적용)'!L$4+'1.4.조성법총괄(내부이동률 적용)'!L$7*$AK$2)*$AB31)+(AS$21*$AC31),0)</f>
        <v>174</v>
      </c>
      <c r="Q31" s="907">
        <f>ROUND((('1.4.조성법총괄(내부이동률 적용)'!M$4+'1.4.조성법총괄(내부이동률 적용)'!M$7*$AK$2)*$AB31)+(AT$21*$AC31),0)</f>
        <v>174</v>
      </c>
      <c r="R31" s="925">
        <f>ROUND((('1.4.조성법총괄(내부이동률 적용)'!N$4+'1.4.조성법총괄(내부이동률 적용)'!N$7*$AK$2)*$AB31)+(AU$21*$AC31),0)</f>
        <v>173</v>
      </c>
      <c r="S31" s="925">
        <f>ROUND((('1.4.조성법총괄(내부이동률 적용)'!O$4+'1.4.조성법총괄(내부이동률 적용)'!O$7*$AK$2)*$AB31)+(AV$21*$AC31),0)</f>
        <v>173</v>
      </c>
      <c r="T31" s="925">
        <f>ROUND((('1.4.조성법총괄(내부이동률 적용)'!P$4+'1.4.조성법총괄(내부이동률 적용)'!P$7*$AK$2)*$AB31)+(AW$21*$AC31),0)</f>
        <v>173</v>
      </c>
      <c r="U31" s="925">
        <f>ROUND((('1.4.조성법총괄(내부이동률 적용)'!Q$4+'1.4.조성법총괄(내부이동률 적용)'!Q$7*$AK$2)*$AB31)+(AX$21*$AC31),0)</f>
        <v>173</v>
      </c>
      <c r="V31" s="715">
        <f>ROUND((('1.4.조성법총괄(내부이동률 적용)'!R$4+'1.4.조성법총괄(내부이동률 적용)'!R$7*$AK$2)*$AB31)+(AY$21*$AC31),0)</f>
        <v>172</v>
      </c>
      <c r="W31" s="714">
        <f>ROUND((('1.4.조성법총괄(내부이동률 적용)'!S$4+'1.4.조성법총괄(내부이동률 적용)'!S$7*$AK$2)*$AB31)+(AZ$21*$AC31),0)</f>
        <v>172</v>
      </c>
      <c r="X31" s="714">
        <f>ROUND((('1.4.조성법총괄(내부이동률 적용)'!T$4+'1.4.조성법총괄(내부이동률 적용)'!T$7*$AK$2)*$AB31)+(BA$21*$AC31),0)</f>
        <v>171</v>
      </c>
      <c r="Y31" s="714">
        <f>ROUND((('1.4.조성법총괄(내부이동률 적용)'!U$4+'1.4.조성법총괄(내부이동률 적용)'!U$7*$AK$2)*$AB31)+(BB$21*$AC31),0)</f>
        <v>171</v>
      </c>
      <c r="Z31" s="714">
        <f>ROUND((('1.4.조성법총괄(내부이동률 적용)'!V$4+'1.4.조성법총괄(내부이동률 적용)'!V$7*$AK$2)*$AB31)+(BC$21*$AC31),0)</f>
        <v>170</v>
      </c>
      <c r="AA31" s="715">
        <f>ROUND((('1.4.조성법총괄(내부이동률 적용)'!W$4+'1.4.조성법총괄(내부이동률 적용)'!W$7*$AK$2)*$AB31)+(BD$21*$AC31),0)</f>
        <v>217</v>
      </c>
      <c r="AB31" s="934">
        <f>+H31/'1.4.조성법총괄(내부이동률 적용)'!$D$8</f>
        <v>9.6552447919399688E-3</v>
      </c>
      <c r="AC31" s="934">
        <f t="shared" si="30"/>
        <v>1.1282114170090134E-2</v>
      </c>
      <c r="AD31" s="1080"/>
      <c r="AE31" s="711"/>
      <c r="AF31" s="855"/>
      <c r="AG31" s="863"/>
      <c r="AH31" s="867" t="str">
        <f>+'사회적유입인구의 처리구역별 배분(적용)'!C37</f>
        <v>소  계</v>
      </c>
      <c r="AI31" s="862">
        <f>+'사회적유입인구의 처리구역별 배분(적용)'!D25</f>
        <v>0</v>
      </c>
      <c r="AJ31" s="862">
        <f>+'사회적유입인구의 처리구역별 배분(적용)'!E25</f>
        <v>0</v>
      </c>
      <c r="AK31" s="862">
        <f>+'사회적유입인구의 처리구역별 배분(적용)'!F25</f>
        <v>0</v>
      </c>
      <c r="AL31" s="862">
        <f>+'사회적유입인구의 처리구역별 배분(적용)'!G25</f>
        <v>593</v>
      </c>
      <c r="AM31" s="862">
        <f>+'사회적유입인구의 처리구역별 배분(적용)'!H25</f>
        <v>593</v>
      </c>
      <c r="AN31" s="862">
        <f>+'사회적유입인구의 처리구역별 배분(적용)'!I25</f>
        <v>593</v>
      </c>
      <c r="AO31" s="862">
        <f>+'사회적유입인구의 처리구역별 배분(적용)'!J25</f>
        <v>2899</v>
      </c>
      <c r="AP31" s="862">
        <f>+'사회적유입인구의 처리구역별 배분(적용)'!K25</f>
        <v>2899</v>
      </c>
      <c r="AQ31" s="862">
        <f>+'사회적유입인구의 처리구역별 배분(적용)'!L25</f>
        <v>2899</v>
      </c>
      <c r="AR31" s="862">
        <f>+'사회적유입인구의 처리구역별 배분(적용)'!M25</f>
        <v>2899</v>
      </c>
      <c r="AS31" s="862">
        <f>+'사회적유입인구의 처리구역별 배분(적용)'!N25</f>
        <v>2899</v>
      </c>
      <c r="AT31" s="862">
        <f>+'사회적유입인구의 처리구역별 배분(적용)'!O25</f>
        <v>3345</v>
      </c>
      <c r="AU31" s="862">
        <f>+'사회적유입인구의 처리구역별 배분(적용)'!P25</f>
        <v>3345</v>
      </c>
      <c r="AV31" s="862">
        <f>+'사회적유입인구의 처리구역별 배분(적용)'!Q25</f>
        <v>3345</v>
      </c>
      <c r="AW31" s="862">
        <f>+'사회적유입인구의 처리구역별 배분(적용)'!R25</f>
        <v>3345</v>
      </c>
      <c r="AX31" s="862">
        <f>+'사회적유입인구의 처리구역별 배분(적용)'!S25</f>
        <v>3345</v>
      </c>
      <c r="AY31" s="862">
        <f>+'사회적유입인구의 처리구역별 배분(적용)'!T25</f>
        <v>3345</v>
      </c>
      <c r="AZ31" s="862">
        <f>+'사회적유입인구의 처리구역별 배분(적용)'!U25</f>
        <v>3345</v>
      </c>
      <c r="BA31" s="862">
        <f>+'사회적유입인구의 처리구역별 배분(적용)'!V25</f>
        <v>3345</v>
      </c>
      <c r="BB31" s="862">
        <f>+'사회적유입인구의 처리구역별 배분(적용)'!W25</f>
        <v>3345</v>
      </c>
      <c r="BC31" s="862">
        <f>+'사회적유입인구의 처리구역별 배분(적용)'!X25</f>
        <v>3345</v>
      </c>
      <c r="BD31" s="862">
        <f>+'사회적유입인구의 처리구역별 배분(적용)'!Y25</f>
        <v>3345</v>
      </c>
      <c r="BE31" s="876"/>
    </row>
    <row r="32" spans="1:57" ht="24" customHeight="1">
      <c r="A32" s="2703"/>
      <c r="B32" s="2667"/>
      <c r="C32" s="2649"/>
      <c r="D32" s="2680"/>
      <c r="E32" s="1178" t="s">
        <v>795</v>
      </c>
      <c r="F32" s="956"/>
      <c r="G32" s="933">
        <f>+'2014처리구역인구 정리'!I28</f>
        <v>201</v>
      </c>
      <c r="H32" s="933">
        <f>+'2014처리구역인구 정리'!J28</f>
        <v>202</v>
      </c>
      <c r="I32" s="925">
        <f>ROUND((('1.4.조성법총괄(내부이동률 적용)'!E$4+'1.4.조성법총괄(내부이동률 적용)'!E$7*$AK$2)*$AB32)+(AL$21*$AC32),0)</f>
        <v>199</v>
      </c>
      <c r="J32" s="925">
        <f>ROUND((('1.4.조성법총괄(내부이동률 적용)'!F$4+'1.4.조성법총괄(내부이동률 적용)'!F$7*$AK$2)*$AB32)+(AM$21*$AC32),0)</f>
        <v>196</v>
      </c>
      <c r="K32" s="925">
        <f>ROUND((('1.4.조성법총괄(내부이동률 적용)'!G$4+'1.4.조성법총괄(내부이동률 적용)'!G$7*$AK$2)*$AB32)+(AN$21*$AC32),0)</f>
        <v>196</v>
      </c>
      <c r="L32" s="907">
        <f>ROUND((('1.4.조성법총괄(내부이동률 적용)'!H$4+'1.4.조성법총괄(내부이동률 적용)'!H$7*$AK$2)*$AB32)+(AO$21*$AC32),0)</f>
        <v>191</v>
      </c>
      <c r="M32" s="925">
        <f>ROUND((('1.4.조성법총괄(내부이동률 적용)'!I$4+'1.4.조성법총괄(내부이동률 적용)'!I$7*$AK$2)*$AB32)+(AP$21*$AC32),0)</f>
        <v>191</v>
      </c>
      <c r="N32" s="925">
        <f>ROUND((('1.4.조성법총괄(내부이동률 적용)'!J$4+'1.4.조성법총괄(내부이동률 적용)'!J$7*$AK$2)*$AB32)+(AQ$21*$AC32),0)</f>
        <v>191</v>
      </c>
      <c r="O32" s="925">
        <f>ROUND((('1.4.조성법총괄(내부이동률 적용)'!K$4+'1.4.조성법총괄(내부이동률 적용)'!K$7*$AK$2)*$AB32)+(AR$21*$AC32),0)</f>
        <v>191</v>
      </c>
      <c r="P32" s="925">
        <f>ROUND((('1.4.조성법총괄(내부이동률 적용)'!L$4+'1.4.조성법총괄(내부이동률 적용)'!L$7*$AK$2)*$AB32)+(AS$21*$AC32),0)</f>
        <v>191</v>
      </c>
      <c r="Q32" s="907">
        <f>ROUND((('1.4.조성법총괄(내부이동률 적용)'!M$4+'1.4.조성법총괄(내부이동률 적용)'!M$7*$AK$2)*$AB32)+(AT$21*$AC32),0)</f>
        <v>191</v>
      </c>
      <c r="R32" s="925">
        <f>ROUND((('1.4.조성법총괄(내부이동률 적용)'!N$4+'1.4.조성법총괄(내부이동률 적용)'!N$7*$AK$2)*$AB32)+(AU$21*$AC32),0)</f>
        <v>190</v>
      </c>
      <c r="S32" s="925">
        <f>ROUND((('1.4.조성법총괄(내부이동률 적용)'!O$4+'1.4.조성법총괄(내부이동률 적용)'!O$7*$AK$2)*$AB32)+(AV$21*$AC32),0)</f>
        <v>190</v>
      </c>
      <c r="T32" s="925">
        <f>ROUND((('1.4.조성법총괄(내부이동률 적용)'!P$4+'1.4.조성법총괄(내부이동률 적용)'!P$7*$AK$2)*$AB32)+(AW$21*$AC32),0)</f>
        <v>190</v>
      </c>
      <c r="U32" s="925">
        <f>ROUND((('1.4.조성법총괄(내부이동률 적용)'!Q$4+'1.4.조성법총괄(내부이동률 적용)'!Q$7*$AK$2)*$AB32)+(AX$21*$AC32),0)</f>
        <v>190</v>
      </c>
      <c r="V32" s="715">
        <f>ROUND((('1.4.조성법총괄(내부이동률 적용)'!R$4+'1.4.조성법총괄(내부이동률 적용)'!R$7*$AK$2)*$AB32)+(AY$21*$AC32),0)</f>
        <v>189</v>
      </c>
      <c r="W32" s="714">
        <f>ROUND((('1.4.조성법총괄(내부이동률 적용)'!S$4+'1.4.조성법총괄(내부이동률 적용)'!S$7*$AK$2)*$AB32)+(AZ$21*$AC32),0)</f>
        <v>189</v>
      </c>
      <c r="X32" s="714">
        <f>ROUND((('1.4.조성법총괄(내부이동률 적용)'!T$4+'1.4.조성법총괄(내부이동률 적용)'!T$7*$AK$2)*$AB32)+(BA$21*$AC32),0)</f>
        <v>188</v>
      </c>
      <c r="Y32" s="714">
        <f>ROUND((('1.4.조성법총괄(내부이동률 적용)'!U$4+'1.4.조성법총괄(내부이동률 적용)'!U$7*$AK$2)*$AB32)+(BB$21*$AC32),0)</f>
        <v>188</v>
      </c>
      <c r="Z32" s="714">
        <f>ROUND((('1.4.조성법총괄(내부이동률 적용)'!V$4+'1.4.조성법총괄(내부이동률 적용)'!V$7*$AK$2)*$AB32)+(BC$21*$AC32),0)</f>
        <v>187</v>
      </c>
      <c r="AA32" s="715">
        <f>ROUND((('1.4.조성법총괄(내부이동률 적용)'!W$4+'1.4.조성법총괄(내부이동률 적용)'!W$7*$AK$2)*$AB32)+(BD$21*$AC32),0)</f>
        <v>238</v>
      </c>
      <c r="AB32" s="934">
        <f>+H32/'1.4.조성법총괄(내부이동률 적용)'!$D$8</f>
        <v>1.0599779608542793E-2</v>
      </c>
      <c r="AC32" s="934">
        <f t="shared" si="30"/>
        <v>1.2385799251946777E-2</v>
      </c>
      <c r="AD32" s="1080"/>
      <c r="AE32" s="711"/>
      <c r="AF32" s="855"/>
      <c r="AG32" s="863" t="s">
        <v>96</v>
      </c>
      <c r="AH32" s="893" t="str">
        <f>+'사회적유입인구의 처리구역별 배분(적용)'!C26</f>
        <v>리노삼봉산업단지</v>
      </c>
      <c r="AI32" s="862">
        <f>+'사회적유입인구의 처리구역별 배분(적용)'!D26</f>
        <v>0</v>
      </c>
      <c r="AJ32" s="862">
        <f>+'사회적유입인구의 처리구역별 배분(적용)'!E26</f>
        <v>0</v>
      </c>
      <c r="AK32" s="862">
        <f>+'사회적유입인구의 처리구역별 배분(적용)'!F26</f>
        <v>0</v>
      </c>
      <c r="AL32" s="862">
        <f>+'사회적유입인구의 처리구역별 배분(적용)'!G26</f>
        <v>0</v>
      </c>
      <c r="AM32" s="862">
        <f>+'사회적유입인구의 처리구역별 배분(적용)'!H26</f>
        <v>0</v>
      </c>
      <c r="AN32" s="862">
        <f>+'사회적유입인구의 처리구역별 배분(적용)'!I26</f>
        <v>0</v>
      </c>
      <c r="AO32" s="862">
        <f>+'사회적유입인구의 처리구역별 배분(적용)'!J26</f>
        <v>0</v>
      </c>
      <c r="AP32" s="862">
        <f>+'사회적유입인구의 처리구역별 배분(적용)'!K26</f>
        <v>0</v>
      </c>
      <c r="AQ32" s="862">
        <f>+'사회적유입인구의 처리구역별 배분(적용)'!L26</f>
        <v>0</v>
      </c>
      <c r="AR32" s="862">
        <f>+'사회적유입인구의 처리구역별 배분(적용)'!M26</f>
        <v>0</v>
      </c>
      <c r="AS32" s="862">
        <f>+'사회적유입인구의 처리구역별 배분(적용)'!N26</f>
        <v>0</v>
      </c>
      <c r="AT32" s="862">
        <f>+'사회적유입인구의 처리구역별 배분(적용)'!O26</f>
        <v>0</v>
      </c>
      <c r="AU32" s="862">
        <f>+'사회적유입인구의 처리구역별 배분(적용)'!P26</f>
        <v>0</v>
      </c>
      <c r="AV32" s="862">
        <f>+'사회적유입인구의 처리구역별 배분(적용)'!Q26</f>
        <v>0</v>
      </c>
      <c r="AW32" s="862">
        <f>+'사회적유입인구의 처리구역별 배분(적용)'!R26</f>
        <v>0</v>
      </c>
      <c r="AX32" s="862">
        <f>+'사회적유입인구의 처리구역별 배분(적용)'!S26</f>
        <v>0</v>
      </c>
      <c r="AY32" s="862">
        <f>+'사회적유입인구의 처리구역별 배분(적용)'!T26</f>
        <v>0</v>
      </c>
      <c r="AZ32" s="862">
        <f>+'사회적유입인구의 처리구역별 배분(적용)'!U26</f>
        <v>0</v>
      </c>
      <c r="BA32" s="862">
        <f>+'사회적유입인구의 처리구역별 배분(적용)'!V26</f>
        <v>0</v>
      </c>
      <c r="BB32" s="862">
        <f>+'사회적유입인구의 처리구역별 배분(적용)'!W26</f>
        <v>0</v>
      </c>
      <c r="BC32" s="862">
        <f>+'사회적유입인구의 처리구역별 배분(적용)'!X26</f>
        <v>0</v>
      </c>
      <c r="BD32" s="862">
        <f>+'사회적유입인구의 처리구역별 배분(적용)'!Y26</f>
        <v>0</v>
      </c>
      <c r="BE32" s="876">
        <f>+'사회적유입인구의 처리구역별 배분(적용)'!Z26</f>
        <v>0.4</v>
      </c>
    </row>
    <row r="33" spans="1:57" ht="39.950000000000003" customHeight="1">
      <c r="A33" s="2703"/>
      <c r="B33" s="2667"/>
      <c r="C33" s="2649"/>
      <c r="D33" s="2680"/>
      <c r="E33" s="1178" t="s">
        <v>796</v>
      </c>
      <c r="F33" s="956"/>
      <c r="G33" s="933">
        <f>+'2014처리구역인구 정리'!I29</f>
        <v>514</v>
      </c>
      <c r="H33" s="933">
        <f>+'2014처리구역인구 정리'!J29</f>
        <v>565</v>
      </c>
      <c r="I33" s="925">
        <f>ROUND((('1.4.조성법총괄(내부이동률 적용)'!E$4+'1.4.조성법총괄(내부이동률 적용)'!E$7*$AK$2)*$AB33)+(AL$21*$AC33),0)</f>
        <v>556</v>
      </c>
      <c r="J33" s="925">
        <f>ROUND((('1.4.조성법총괄(내부이동률 적용)'!F$4+'1.4.조성법총괄(내부이동률 적용)'!F$7*$AK$2)*$AB33)+(AM$21*$AC33),0)</f>
        <v>549</v>
      </c>
      <c r="K33" s="925">
        <f>ROUND((('1.4.조성법총괄(내부이동률 적용)'!G$4+'1.4.조성법총괄(내부이동률 적용)'!G$7*$AK$2)*$AB33)+(AN$21*$AC33),0)</f>
        <v>548</v>
      </c>
      <c r="L33" s="907">
        <f>ROUND((('1.4.조성법총괄(내부이동률 적용)'!H$4+'1.4.조성법총괄(내부이동률 적용)'!H$7*$AK$2)*$AB33)+(AO$21*$AC33),0)</f>
        <v>534</v>
      </c>
      <c r="M33" s="925">
        <f>ROUND((('1.4.조성법총괄(내부이동률 적용)'!I$4+'1.4.조성법총괄(내부이동률 적용)'!I$7*$AK$2)*$AB33)+(AP$21*$AC33),0)</f>
        <v>534</v>
      </c>
      <c r="N33" s="925">
        <f>ROUND((('1.4.조성법총괄(내부이동률 적용)'!J$4+'1.4.조성법총괄(내부이동률 적용)'!J$7*$AK$2)*$AB33)+(AQ$21*$AC33),0)</f>
        <v>534</v>
      </c>
      <c r="O33" s="925">
        <f>ROUND((('1.4.조성법총괄(내부이동률 적용)'!K$4+'1.4.조성법총괄(내부이동률 적용)'!K$7*$AK$2)*$AB33)+(AR$21*$AC33),0)</f>
        <v>534</v>
      </c>
      <c r="P33" s="925">
        <f>ROUND((('1.4.조성법총괄(내부이동률 적용)'!L$4+'1.4.조성법총괄(내부이동률 적용)'!L$7*$AK$2)*$AB33)+(AS$21*$AC33),0)</f>
        <v>533</v>
      </c>
      <c r="Q33" s="907">
        <f>ROUND((('1.4.조성법총괄(내부이동률 적용)'!M$4+'1.4.조성법총괄(내부이동률 적용)'!M$7*$AK$2)*$AB33)+(AT$21*$AC33),0)</f>
        <v>533</v>
      </c>
      <c r="R33" s="925">
        <f>ROUND((('1.4.조성법총괄(내부이동률 적용)'!N$4+'1.4.조성법총괄(내부이동률 적용)'!N$7*$AK$2)*$AB33)+(AU$21*$AC33),0)</f>
        <v>532</v>
      </c>
      <c r="S33" s="925">
        <f>ROUND((('1.4.조성법총괄(내부이동률 적용)'!O$4+'1.4.조성법총괄(내부이동률 적용)'!O$7*$AK$2)*$AB33)+(AV$21*$AC33),0)</f>
        <v>532</v>
      </c>
      <c r="T33" s="925">
        <f>ROUND((('1.4.조성법총괄(내부이동률 적용)'!P$4+'1.4.조성법총괄(내부이동률 적용)'!P$7*$AK$2)*$AB33)+(AW$21*$AC33),0)</f>
        <v>531</v>
      </c>
      <c r="U33" s="925">
        <f>ROUND((('1.4.조성법총괄(내부이동률 적용)'!Q$4+'1.4.조성법총괄(내부이동률 적용)'!Q$7*$AK$2)*$AB33)+(AX$21*$AC33),0)</f>
        <v>530</v>
      </c>
      <c r="V33" s="715">
        <f>ROUND((('1.4.조성법총괄(내부이동률 적용)'!R$4+'1.4.조성법총괄(내부이동률 적용)'!R$7*$AK$2)*$AB33)+(AY$21*$AC33),0)</f>
        <v>529</v>
      </c>
      <c r="W33" s="714">
        <f>ROUND((('1.4.조성법총괄(내부이동률 적용)'!S$4+'1.4.조성법총괄(내부이동률 적용)'!S$7*$AK$2)*$AB33)+(AZ$21*$AC33),0)</f>
        <v>528</v>
      </c>
      <c r="X33" s="714">
        <f>ROUND((('1.4.조성법총괄(내부이동률 적용)'!T$4+'1.4.조성법총괄(내부이동률 적용)'!T$7*$AK$2)*$AB33)+(BA$21*$AC33),0)</f>
        <v>526</v>
      </c>
      <c r="Y33" s="714">
        <f>ROUND((('1.4.조성법총괄(내부이동률 적용)'!U$4+'1.4.조성법총괄(내부이동률 적용)'!U$7*$AK$2)*$AB33)+(BB$21*$AC33),0)</f>
        <v>525</v>
      </c>
      <c r="Z33" s="714">
        <f>ROUND((('1.4.조성법총괄(내부이동률 적용)'!V$4+'1.4.조성법총괄(내부이동률 적용)'!V$7*$AK$2)*$AB33)+(BC$21*$AC33),0)</f>
        <v>523</v>
      </c>
      <c r="AA33" s="715">
        <f>ROUND((('1.4.조성법총괄(내부이동률 적용)'!W$4+'1.4.조성법총괄(내부이동률 적용)'!W$7*$AK$2)*$AB33)+(BD$21*$AC33),0)</f>
        <v>666</v>
      </c>
      <c r="AB33" s="934">
        <f>+H33/'1.4.조성법총괄(내부이동률 적용)'!$D$8</f>
        <v>2.9647898410033059E-2</v>
      </c>
      <c r="AC33" s="934">
        <f t="shared" si="30"/>
        <v>3.4643448402722425E-2</v>
      </c>
      <c r="AD33" s="1080"/>
      <c r="AE33" s="711"/>
      <c r="AF33" s="855"/>
      <c r="AG33" s="863"/>
      <c r="AH33" s="867" t="str">
        <f>+'사회적유입인구의 처리구역별 배분(적용)'!C27</f>
        <v>오선산업단지</v>
      </c>
      <c r="AI33" s="862">
        <f>+'사회적유입인구의 처리구역별 배분(적용)'!D27</f>
        <v>0</v>
      </c>
      <c r="AJ33" s="862">
        <f>+'사회적유입인구의 처리구역별 배분(적용)'!E27</f>
        <v>0</v>
      </c>
      <c r="AK33" s="862">
        <f>+'사회적유입인구의 처리구역별 배분(적용)'!F27</f>
        <v>0</v>
      </c>
      <c r="AL33" s="862">
        <f>+'사회적유입인구의 처리구역별 배분(적용)'!G27</f>
        <v>0</v>
      </c>
      <c r="AM33" s="862">
        <f>+'사회적유입인구의 처리구역별 배분(적용)'!H27</f>
        <v>0</v>
      </c>
      <c r="AN33" s="862">
        <f>+'사회적유입인구의 처리구역별 배분(적용)'!I27</f>
        <v>0</v>
      </c>
      <c r="AO33" s="862">
        <f>+'사회적유입인구의 처리구역별 배분(적용)'!J27</f>
        <v>0</v>
      </c>
      <c r="AP33" s="862">
        <f>+'사회적유입인구의 처리구역별 배분(적용)'!K27</f>
        <v>0</v>
      </c>
      <c r="AQ33" s="862">
        <f>+'사회적유입인구의 처리구역별 배분(적용)'!L27</f>
        <v>0</v>
      </c>
      <c r="AR33" s="862">
        <f>+'사회적유입인구의 처리구역별 배분(적용)'!M27</f>
        <v>0</v>
      </c>
      <c r="AS33" s="862">
        <f>+'사회적유입인구의 처리구역별 배분(적용)'!N27</f>
        <v>0</v>
      </c>
      <c r="AT33" s="862">
        <f>+'사회적유입인구의 처리구역별 배분(적용)'!O27</f>
        <v>0</v>
      </c>
      <c r="AU33" s="862">
        <f>+'사회적유입인구의 처리구역별 배분(적용)'!P27</f>
        <v>0</v>
      </c>
      <c r="AV33" s="862">
        <f>+'사회적유입인구의 처리구역별 배분(적용)'!Q27</f>
        <v>0</v>
      </c>
      <c r="AW33" s="862">
        <f>+'사회적유입인구의 처리구역별 배분(적용)'!R27</f>
        <v>0</v>
      </c>
      <c r="AX33" s="862">
        <f>+'사회적유입인구의 처리구역별 배분(적용)'!S27</f>
        <v>0</v>
      </c>
      <c r="AY33" s="862">
        <f>+'사회적유입인구의 처리구역별 배분(적용)'!T27</f>
        <v>0</v>
      </c>
      <c r="AZ33" s="862">
        <f>+'사회적유입인구의 처리구역별 배분(적용)'!U27</f>
        <v>0</v>
      </c>
      <c r="BA33" s="862">
        <f>+'사회적유입인구의 처리구역별 배분(적용)'!V27</f>
        <v>0</v>
      </c>
      <c r="BB33" s="862">
        <f>+'사회적유입인구의 처리구역별 배분(적용)'!W27</f>
        <v>0</v>
      </c>
      <c r="BC33" s="862">
        <f>+'사회적유입인구의 처리구역별 배분(적용)'!X27</f>
        <v>0</v>
      </c>
      <c r="BD33" s="862">
        <f>+'사회적유입인구의 처리구역별 배분(적용)'!Y27</f>
        <v>0</v>
      </c>
      <c r="BE33" s="876">
        <f>+'사회적유입인구의 처리구역별 배분(적용)'!Z27</f>
        <v>0.7</v>
      </c>
    </row>
    <row r="34" spans="1:57" ht="24" customHeight="1">
      <c r="A34" s="2703"/>
      <c r="B34" s="2667"/>
      <c r="C34" s="2649"/>
      <c r="D34" s="2680"/>
      <c r="E34" s="1178" t="s">
        <v>797</v>
      </c>
      <c r="F34" s="956"/>
      <c r="G34" s="933">
        <f>+'2014처리구역인구 정리'!I30</f>
        <v>177</v>
      </c>
      <c r="H34" s="933">
        <f>+'2014처리구역인구 정리'!J30</f>
        <v>181</v>
      </c>
      <c r="I34" s="925">
        <f>ROUND((('1.4.조성법총괄(내부이동률 적용)'!E$4+'1.4.조성법총괄(내부이동률 적용)'!E$7*$AK$2)*$AB34)+(AL$21*$AC34),0)</f>
        <v>178</v>
      </c>
      <c r="J34" s="925">
        <f>ROUND((('1.4.조성법총괄(내부이동률 적용)'!F$4+'1.4.조성법총괄(내부이동률 적용)'!F$7*$AK$2)*$AB34)+(AM$21*$AC34),0)</f>
        <v>176</v>
      </c>
      <c r="K34" s="925">
        <f>ROUND((('1.4.조성법총괄(내부이동률 적용)'!G$4+'1.4.조성법총괄(내부이동률 적용)'!G$7*$AK$2)*$AB34)+(AN$21*$AC34),0)</f>
        <v>176</v>
      </c>
      <c r="L34" s="907">
        <f>ROUND((('1.4.조성법총괄(내부이동률 적용)'!H$4+'1.4.조성법총괄(내부이동률 적용)'!H$7*$AK$2)*$AB34)+(AO$21*$AC34),0)</f>
        <v>171</v>
      </c>
      <c r="M34" s="925">
        <f>ROUND((('1.4.조성법총괄(내부이동률 적용)'!I$4+'1.4.조성법총괄(내부이동률 적용)'!I$7*$AK$2)*$AB34)+(AP$21*$AC34),0)</f>
        <v>171</v>
      </c>
      <c r="N34" s="925">
        <f>ROUND((('1.4.조성법총괄(내부이동률 적용)'!J$4+'1.4.조성법총괄(내부이동률 적용)'!J$7*$AK$2)*$AB34)+(AQ$21*$AC34),0)</f>
        <v>171</v>
      </c>
      <c r="O34" s="925">
        <f>ROUND((('1.4.조성법총괄(내부이동률 적용)'!K$4+'1.4.조성법총괄(내부이동률 적용)'!K$7*$AK$2)*$AB34)+(AR$21*$AC34),0)</f>
        <v>171</v>
      </c>
      <c r="P34" s="925">
        <f>ROUND((('1.4.조성법총괄(내부이동률 적용)'!L$4+'1.4.조성법총괄(내부이동률 적용)'!L$7*$AK$2)*$AB34)+(AS$21*$AC34),0)</f>
        <v>171</v>
      </c>
      <c r="Q34" s="907">
        <f>ROUND((('1.4.조성법총괄(내부이동률 적용)'!M$4+'1.4.조성법총괄(내부이동률 적용)'!M$7*$AK$2)*$AB34)+(AT$21*$AC34),0)</f>
        <v>171</v>
      </c>
      <c r="R34" s="925">
        <f>ROUND((('1.4.조성법총괄(내부이동률 적용)'!N$4+'1.4.조성법총괄(내부이동률 적용)'!N$7*$AK$2)*$AB34)+(AU$21*$AC34),0)</f>
        <v>171</v>
      </c>
      <c r="S34" s="925">
        <f>ROUND((('1.4.조성법총괄(내부이동률 적용)'!O$4+'1.4.조성법총괄(내부이동률 적용)'!O$7*$AK$2)*$AB34)+(AV$21*$AC34),0)</f>
        <v>170</v>
      </c>
      <c r="T34" s="925">
        <f>ROUND((('1.4.조성법총괄(내부이동률 적용)'!P$4+'1.4.조성법총괄(내부이동률 적용)'!P$7*$AK$2)*$AB34)+(AW$21*$AC34),0)</f>
        <v>170</v>
      </c>
      <c r="U34" s="925">
        <f>ROUND((('1.4.조성법총괄(내부이동률 적용)'!Q$4+'1.4.조성법총괄(내부이동률 적용)'!Q$7*$AK$2)*$AB34)+(AX$21*$AC34),0)</f>
        <v>170</v>
      </c>
      <c r="V34" s="715">
        <f>ROUND((('1.4.조성법총괄(내부이동률 적용)'!R$4+'1.4.조성법총괄(내부이동률 적용)'!R$7*$AK$2)*$AB34)+(AY$21*$AC34),0)</f>
        <v>170</v>
      </c>
      <c r="W34" s="714">
        <f>ROUND((('1.4.조성법총괄(내부이동률 적용)'!S$4+'1.4.조성법총괄(내부이동률 적용)'!S$7*$AK$2)*$AB34)+(AZ$21*$AC34),0)</f>
        <v>169</v>
      </c>
      <c r="X34" s="714">
        <f>ROUND((('1.4.조성법총괄(내부이동률 적용)'!T$4+'1.4.조성법총괄(내부이동률 적용)'!T$7*$AK$2)*$AB34)+(BA$21*$AC34),0)</f>
        <v>169</v>
      </c>
      <c r="Y34" s="714">
        <f>ROUND((('1.4.조성법총괄(내부이동률 적용)'!U$4+'1.4.조성법총괄(내부이동률 적용)'!U$7*$AK$2)*$AB34)+(BB$21*$AC34),0)</f>
        <v>168</v>
      </c>
      <c r="Z34" s="714">
        <f>ROUND((('1.4.조성법총괄(내부이동률 적용)'!V$4+'1.4.조성법총괄(내부이동률 적용)'!V$7*$AK$2)*$AB34)+(BC$21*$AC34),0)</f>
        <v>168</v>
      </c>
      <c r="AA34" s="715">
        <f>ROUND((('1.4.조성법총괄(내부이동률 적용)'!W$4+'1.4.조성법총괄(내부이동률 적용)'!W$7*$AK$2)*$AB34)+(BD$21*$AC34),0)</f>
        <v>213</v>
      </c>
      <c r="AB34" s="934">
        <f>+H34/'1.4.조성법총괄(내부이동률 적용)'!$D$8</f>
        <v>9.4978223225061654E-3</v>
      </c>
      <c r="AC34" s="934">
        <f t="shared" si="30"/>
        <v>1.109816665644736E-2</v>
      </c>
      <c r="AD34" s="1080"/>
      <c r="AE34" s="711"/>
      <c r="AF34" s="855"/>
      <c r="AG34" s="863"/>
      <c r="AH34" s="867" t="str">
        <f>+'사회적유입인구의 처리구역별 배분(적용)'!C28</f>
        <v>유촌산업단지</v>
      </c>
      <c r="AI34" s="862">
        <f>+'사회적유입인구의 처리구역별 배분(적용)'!D28</f>
        <v>0</v>
      </c>
      <c r="AJ34" s="862">
        <f>+'사회적유입인구의 처리구역별 배분(적용)'!E28</f>
        <v>0</v>
      </c>
      <c r="AK34" s="862">
        <f>+'사회적유입인구의 처리구역별 배분(적용)'!F28</f>
        <v>0</v>
      </c>
      <c r="AL34" s="862">
        <f>+'사회적유입인구의 처리구역별 배분(적용)'!G28</f>
        <v>0</v>
      </c>
      <c r="AM34" s="862">
        <f>+'사회적유입인구의 처리구역별 배분(적용)'!H28</f>
        <v>0</v>
      </c>
      <c r="AN34" s="862">
        <f>+'사회적유입인구의 처리구역별 배분(적용)'!I28</f>
        <v>0</v>
      </c>
      <c r="AO34" s="862">
        <f>+'사회적유입인구의 처리구역별 배분(적용)'!J28</f>
        <v>0</v>
      </c>
      <c r="AP34" s="862">
        <f>+'사회적유입인구의 처리구역별 배분(적용)'!K28</f>
        <v>0</v>
      </c>
      <c r="AQ34" s="862">
        <f>+'사회적유입인구의 처리구역별 배분(적용)'!L28</f>
        <v>0</v>
      </c>
      <c r="AR34" s="862">
        <f>+'사회적유입인구의 처리구역별 배분(적용)'!M28</f>
        <v>0</v>
      </c>
      <c r="AS34" s="862">
        <f>+'사회적유입인구의 처리구역별 배분(적용)'!N28</f>
        <v>0</v>
      </c>
      <c r="AT34" s="862">
        <f>+'사회적유입인구의 처리구역별 배분(적용)'!O28</f>
        <v>0</v>
      </c>
      <c r="AU34" s="862">
        <f>+'사회적유입인구의 처리구역별 배분(적용)'!P28</f>
        <v>0</v>
      </c>
      <c r="AV34" s="862">
        <f>+'사회적유입인구의 처리구역별 배분(적용)'!Q28</f>
        <v>0</v>
      </c>
      <c r="AW34" s="862">
        <f>+'사회적유입인구의 처리구역별 배분(적용)'!R28</f>
        <v>0</v>
      </c>
      <c r="AX34" s="862">
        <f>+'사회적유입인구의 처리구역별 배분(적용)'!S28</f>
        <v>0</v>
      </c>
      <c r="AY34" s="862">
        <f>+'사회적유입인구의 처리구역별 배분(적용)'!T28</f>
        <v>0</v>
      </c>
      <c r="AZ34" s="862">
        <f>+'사회적유입인구의 처리구역별 배분(적용)'!U28</f>
        <v>0</v>
      </c>
      <c r="BA34" s="862">
        <f>+'사회적유입인구의 처리구역별 배분(적용)'!V28</f>
        <v>0</v>
      </c>
      <c r="BB34" s="862">
        <f>+'사회적유입인구의 처리구역별 배분(적용)'!W28</f>
        <v>0</v>
      </c>
      <c r="BC34" s="862">
        <f>+'사회적유입인구의 처리구역별 배분(적용)'!X28</f>
        <v>0</v>
      </c>
      <c r="BD34" s="862">
        <f>+'사회적유입인구의 처리구역별 배분(적용)'!Y28</f>
        <v>0</v>
      </c>
      <c r="BE34" s="876">
        <f>+'사회적유입인구의 처리구역별 배분(적용)'!Z28</f>
        <v>0.5</v>
      </c>
    </row>
    <row r="35" spans="1:57" ht="24" customHeight="1">
      <c r="A35" s="2703"/>
      <c r="B35" s="2667"/>
      <c r="C35" s="2649"/>
      <c r="D35" s="2680"/>
      <c r="E35" s="1178" t="s">
        <v>798</v>
      </c>
      <c r="F35" s="956"/>
      <c r="G35" s="933">
        <f>+'2014처리구역인구 정리'!I31</f>
        <v>1498</v>
      </c>
      <c r="H35" s="933">
        <f>+'2014처리구역인구 정리'!J31</f>
        <v>1547</v>
      </c>
      <c r="I35" s="925">
        <f>ROUND((('1.4.조성법총괄(내부이동률 적용)'!E$4+'1.4.조성법총괄(내부이동률 적용)'!E$7*$AK$2)*$AB35)+(AL$21*$AC35),0)</f>
        <v>1522</v>
      </c>
      <c r="J35" s="925">
        <f>ROUND((('1.4.조성법총괄(내부이동률 적용)'!F$4+'1.4.조성법총괄(내부이동률 적용)'!F$7*$AK$2)*$AB35)+(AM$21*$AC35),0)</f>
        <v>1504</v>
      </c>
      <c r="K35" s="925">
        <f>ROUND((('1.4.조성법총괄(내부이동률 적용)'!G$4+'1.4.조성법총괄(내부이동률 적용)'!G$7*$AK$2)*$AB35)+(AN$21*$AC35),0)</f>
        <v>1500</v>
      </c>
      <c r="L35" s="907">
        <f>ROUND((('1.4.조성법총괄(내부이동률 적용)'!H$4+'1.4.조성법총괄(내부이동률 적용)'!H$7*$AK$2)*$AB35)+(AO$21*$AC35),0)</f>
        <v>1462</v>
      </c>
      <c r="M35" s="925">
        <f>ROUND((('1.4.조성법총괄(내부이동률 적용)'!I$4+'1.4.조성법총괄(내부이동률 적용)'!I$7*$AK$2)*$AB35)+(AP$21*$AC35),0)</f>
        <v>1462</v>
      </c>
      <c r="N35" s="925">
        <f>ROUND((('1.4.조성법총괄(내부이동률 적용)'!J$4+'1.4.조성법총괄(내부이동률 적용)'!J$7*$AK$2)*$AB35)+(AQ$21*$AC35),0)</f>
        <v>1461</v>
      </c>
      <c r="O35" s="925">
        <f>ROUND((('1.4.조성법총괄(내부이동률 적용)'!K$4+'1.4.조성법총괄(내부이동률 적용)'!K$7*$AK$2)*$AB35)+(AR$21*$AC35),0)</f>
        <v>1461</v>
      </c>
      <c r="P35" s="925">
        <f>ROUND((('1.4.조성법총괄(내부이동률 적용)'!L$4+'1.4.조성법총괄(내부이동률 적용)'!L$7*$AK$2)*$AB35)+(AS$21*$AC35),0)</f>
        <v>1461</v>
      </c>
      <c r="Q35" s="907">
        <f>ROUND((('1.4.조성법총괄(내부이동률 적용)'!M$4+'1.4.조성법총괄(내부이동률 적용)'!M$7*$AK$2)*$AB35)+(AT$21*$AC35),0)</f>
        <v>1460</v>
      </c>
      <c r="R35" s="925">
        <f>ROUND((('1.4.조성법총괄(내부이동률 적용)'!N$4+'1.4.조성법총괄(내부이동률 적용)'!N$7*$AK$2)*$AB35)+(AU$21*$AC35),0)</f>
        <v>1458</v>
      </c>
      <c r="S35" s="925">
        <f>ROUND((('1.4.조성법총괄(내부이동률 적용)'!O$4+'1.4.조성법총괄(내부이동률 적용)'!O$7*$AK$2)*$AB35)+(AV$21*$AC35),0)</f>
        <v>1456</v>
      </c>
      <c r="T35" s="925">
        <f>ROUND((('1.4.조성법총괄(내부이동률 적용)'!P$4+'1.4.조성법총괄(내부이동률 적용)'!P$7*$AK$2)*$AB35)+(AW$21*$AC35),0)</f>
        <v>1453</v>
      </c>
      <c r="U35" s="925">
        <f>ROUND((('1.4.조성법총괄(내부이동률 적용)'!Q$4+'1.4.조성법총괄(내부이동률 적용)'!Q$7*$AK$2)*$AB35)+(AX$21*$AC35),0)</f>
        <v>1451</v>
      </c>
      <c r="V35" s="715">
        <f>ROUND((('1.4.조성법총괄(내부이동률 적용)'!R$4+'1.4.조성법총괄(내부이동률 적용)'!R$7*$AK$2)*$AB35)+(AY$21*$AC35),0)</f>
        <v>1449</v>
      </c>
      <c r="W35" s="714">
        <f>ROUND((('1.4.조성법총괄(내부이동률 적용)'!S$4+'1.4.조성법총괄(내부이동률 적용)'!S$7*$AK$2)*$AB35)+(AZ$21*$AC35),0)</f>
        <v>1445</v>
      </c>
      <c r="X35" s="714">
        <f>ROUND((('1.4.조성법총괄(내부이동률 적용)'!T$4+'1.4.조성법총괄(내부이동률 적용)'!T$7*$AK$2)*$AB35)+(BA$21*$AC35),0)</f>
        <v>1441</v>
      </c>
      <c r="Y35" s="714">
        <f>ROUND((('1.4.조성법총괄(내부이동률 적용)'!U$4+'1.4.조성법총괄(내부이동률 적용)'!U$7*$AK$2)*$AB35)+(BB$21*$AC35),0)</f>
        <v>1437</v>
      </c>
      <c r="Z35" s="714">
        <f>ROUND((('1.4.조성법총괄(내부이동률 적용)'!V$4+'1.4.조성법총괄(내부이동률 적용)'!V$7*$AK$2)*$AB35)+(BC$21*$AC35),0)</f>
        <v>1433</v>
      </c>
      <c r="AA35" s="715">
        <f>ROUND((('1.4.조성법총괄(내부이동률 적용)'!W$4+'1.4.조성법총괄(내부이동률 적용)'!W$7*$AK$2)*$AB35)+(BD$21*$AC35),0)</f>
        <v>1823</v>
      </c>
      <c r="AB35" s="934">
        <f>+H35/'1.4.조성법총괄(내부이동률 적용)'!$D$8</f>
        <v>8.1177520071364848E-2</v>
      </c>
      <c r="AC35" s="934">
        <f t="shared" si="30"/>
        <v>9.4855601201790429E-2</v>
      </c>
      <c r="AD35" s="1080"/>
      <c r="AE35" s="711"/>
      <c r="AF35" s="855"/>
      <c r="AG35" s="863"/>
      <c r="AH35" s="867" t="str">
        <f>+'사회적유입인구의 처리구역별 배분(적용)'!C29</f>
        <v>생극산업단지</v>
      </c>
      <c r="AI35" s="862">
        <f>+'사회적유입인구의 처리구역별 배분(적용)'!D29</f>
        <v>0</v>
      </c>
      <c r="AJ35" s="862">
        <f>+'사회적유입인구의 처리구역별 배분(적용)'!E29</f>
        <v>0</v>
      </c>
      <c r="AK35" s="862">
        <f>+'사회적유입인구의 처리구역별 배분(적용)'!F29</f>
        <v>0</v>
      </c>
      <c r="AL35" s="862">
        <f>+'사회적유입인구의 처리구역별 배분(적용)'!G29</f>
        <v>0</v>
      </c>
      <c r="AM35" s="862">
        <f>+'사회적유입인구의 처리구역별 배분(적용)'!H29</f>
        <v>0</v>
      </c>
      <c r="AN35" s="862">
        <f>+'사회적유입인구의 처리구역별 배분(적용)'!I29</f>
        <v>0</v>
      </c>
      <c r="AO35" s="862">
        <f>+'사회적유입인구의 처리구역별 배분(적용)'!J29</f>
        <v>0</v>
      </c>
      <c r="AP35" s="862">
        <f>+'사회적유입인구의 처리구역별 배분(적용)'!K29</f>
        <v>0</v>
      </c>
      <c r="AQ35" s="862">
        <f>+'사회적유입인구의 처리구역별 배분(적용)'!L29</f>
        <v>0</v>
      </c>
      <c r="AR35" s="862">
        <f>+'사회적유입인구의 처리구역별 배분(적용)'!M29</f>
        <v>0</v>
      </c>
      <c r="AS35" s="862">
        <f>+'사회적유입인구의 처리구역별 배분(적용)'!N29</f>
        <v>0</v>
      </c>
      <c r="AT35" s="862">
        <f>+'사회적유입인구의 처리구역별 배분(적용)'!O29</f>
        <v>0</v>
      </c>
      <c r="AU35" s="862">
        <f>+'사회적유입인구의 처리구역별 배분(적용)'!P29</f>
        <v>0</v>
      </c>
      <c r="AV35" s="862">
        <f>+'사회적유입인구의 처리구역별 배분(적용)'!Q29</f>
        <v>0</v>
      </c>
      <c r="AW35" s="862">
        <f>+'사회적유입인구의 처리구역별 배분(적용)'!R29</f>
        <v>0</v>
      </c>
      <c r="AX35" s="862">
        <f>+'사회적유입인구의 처리구역별 배분(적용)'!S29</f>
        <v>0</v>
      </c>
      <c r="AY35" s="862">
        <f>+'사회적유입인구의 처리구역별 배분(적용)'!T29</f>
        <v>0</v>
      </c>
      <c r="AZ35" s="862">
        <f>+'사회적유입인구의 처리구역별 배분(적용)'!U29</f>
        <v>0</v>
      </c>
      <c r="BA35" s="862">
        <f>+'사회적유입인구의 처리구역별 배분(적용)'!V29</f>
        <v>0</v>
      </c>
      <c r="BB35" s="862">
        <f>+'사회적유입인구의 처리구역별 배분(적용)'!W29</f>
        <v>0</v>
      </c>
      <c r="BC35" s="862">
        <f>+'사회적유입인구의 처리구역별 배분(적용)'!X29</f>
        <v>0</v>
      </c>
      <c r="BD35" s="862">
        <f>+'사회적유입인구의 처리구역별 배분(적용)'!Y29</f>
        <v>0</v>
      </c>
      <c r="BE35" s="876">
        <f>+'사회적유입인구의 처리구역별 배분(적용)'!Z29</f>
        <v>0.4</v>
      </c>
    </row>
    <row r="36" spans="1:57" ht="24" customHeight="1">
      <c r="A36" s="2703"/>
      <c r="B36" s="2667"/>
      <c r="C36" s="2649"/>
      <c r="D36" s="2680"/>
      <c r="E36" s="1178" t="s">
        <v>799</v>
      </c>
      <c r="F36" s="956"/>
      <c r="G36" s="933">
        <f>+'2014처리구역인구 정리'!I32</f>
        <v>1053</v>
      </c>
      <c r="H36" s="933">
        <f>+'2014처리구역인구 정리'!J32</f>
        <v>1079</v>
      </c>
      <c r="I36" s="925">
        <f>ROUND((('1.4.조성법총괄(내부이동률 적용)'!E$4+'1.4.조성법총괄(내부이동률 적용)'!E$7*$AK$2)*$AB36)+(AL$21*$AC36),0)</f>
        <v>1062</v>
      </c>
      <c r="J36" s="925">
        <f>ROUND((('1.4.조성법총괄(내부이동률 적용)'!F$4+'1.4.조성법총괄(내부이동률 적용)'!F$7*$AK$2)*$AB36)+(AM$21*$AC36),0)</f>
        <v>1049</v>
      </c>
      <c r="K36" s="925">
        <f>ROUND((('1.4.조성법총괄(내부이동률 적용)'!G$4+'1.4.조성법총괄(내부이동률 적용)'!G$7*$AK$2)*$AB36)+(AN$21*$AC36),0)</f>
        <v>1047</v>
      </c>
      <c r="L36" s="907">
        <f>ROUND((('1.4.조성법총괄(내부이동률 적용)'!H$4+'1.4.조성법총괄(내부이동률 적용)'!H$7*$AK$2)*$AB36)+(AO$21*$AC36),0)</f>
        <v>1020</v>
      </c>
      <c r="M36" s="925">
        <f>ROUND((('1.4.조성법총괄(내부이동률 적용)'!I$4+'1.4.조성법총괄(내부이동률 적용)'!I$7*$AK$2)*$AB36)+(AP$21*$AC36),0)</f>
        <v>1019</v>
      </c>
      <c r="N36" s="925">
        <f>ROUND((('1.4.조성법총괄(내부이동률 적용)'!J$4+'1.4.조성법총괄(내부이동률 적용)'!J$7*$AK$2)*$AB36)+(AQ$21*$AC36),0)</f>
        <v>1019</v>
      </c>
      <c r="O36" s="925">
        <f>ROUND((('1.4.조성법총괄(내부이동률 적용)'!K$4+'1.4.조성법총괄(내부이동률 적용)'!K$7*$AK$2)*$AB36)+(AR$21*$AC36),0)</f>
        <v>1019</v>
      </c>
      <c r="P36" s="925">
        <f>ROUND((('1.4.조성법총괄(내부이동률 적용)'!L$4+'1.4.조성법총괄(내부이동률 적용)'!L$7*$AK$2)*$AB36)+(AS$21*$AC36),0)</f>
        <v>1019</v>
      </c>
      <c r="Q36" s="907">
        <f>ROUND((('1.4.조성법총괄(내부이동률 적용)'!M$4+'1.4.조성법총괄(내부이동률 적용)'!M$7*$AK$2)*$AB36)+(AT$21*$AC36),0)</f>
        <v>1018</v>
      </c>
      <c r="R36" s="925">
        <f>ROUND((('1.4.조성법총괄(내부이동률 적용)'!N$4+'1.4.조성법총괄(내부이동률 적용)'!N$7*$AK$2)*$AB36)+(AU$21*$AC36),0)</f>
        <v>1017</v>
      </c>
      <c r="S36" s="925">
        <f>ROUND((('1.4.조성법총괄(내부이동률 적용)'!O$4+'1.4.조성법총괄(내부이동률 적용)'!O$7*$AK$2)*$AB36)+(AV$21*$AC36),0)</f>
        <v>1015</v>
      </c>
      <c r="T36" s="925">
        <f>ROUND((('1.4.조성법총괄(내부이동률 적용)'!P$4+'1.4.조성법총괄(내부이동률 적용)'!P$7*$AK$2)*$AB36)+(AW$21*$AC36),0)</f>
        <v>1014</v>
      </c>
      <c r="U36" s="925">
        <f>ROUND((('1.4.조성법총괄(내부이동률 적용)'!Q$4+'1.4.조성법총괄(내부이동률 적용)'!Q$7*$AK$2)*$AB36)+(AX$21*$AC36),0)</f>
        <v>1012</v>
      </c>
      <c r="V36" s="715">
        <f>ROUND((('1.4.조성법총괄(내부이동률 적용)'!R$4+'1.4.조성법총괄(내부이동률 적용)'!R$7*$AK$2)*$AB36)+(AY$21*$AC36),0)</f>
        <v>1011</v>
      </c>
      <c r="W36" s="714">
        <f>ROUND((('1.4.조성법총괄(내부이동률 적용)'!S$4+'1.4.조성법총괄(내부이동률 적용)'!S$7*$AK$2)*$AB36)+(AZ$21*$AC36),0)</f>
        <v>1008</v>
      </c>
      <c r="X36" s="714">
        <f>ROUND((('1.4.조성법총괄(내부이동률 적용)'!T$4+'1.4.조성법총괄(내부이동률 적용)'!T$7*$AK$2)*$AB36)+(BA$21*$AC36),0)</f>
        <v>1005</v>
      </c>
      <c r="Y36" s="714">
        <f>ROUND((('1.4.조성법총괄(내부이동률 적용)'!U$4+'1.4.조성법총괄(내부이동률 적용)'!U$7*$AK$2)*$AB36)+(BB$21*$AC36),0)</f>
        <v>1002</v>
      </c>
      <c r="Z36" s="714">
        <f>ROUND((('1.4.조성법총괄(내부이동률 적용)'!V$4+'1.4.조성법총괄(내부이동률 적용)'!V$7*$AK$2)*$AB36)+(BC$21*$AC36),0)</f>
        <v>1000</v>
      </c>
      <c r="AA36" s="715">
        <f>ROUND((('1.4.조성법총괄(내부이동률 적용)'!W$4+'1.4.조성법총괄(내부이동률 적용)'!W$7*$AK$2)*$AB36)+(BD$21*$AC36),0)</f>
        <v>1271</v>
      </c>
      <c r="AB36" s="934">
        <f>+H36/'1.4.조성법총괄(내부이동률 적용)'!$D$8</f>
        <v>5.6619614839691454E-2</v>
      </c>
      <c r="AC36" s="934">
        <f t="shared" si="30"/>
        <v>6.6159789073517689E-2</v>
      </c>
      <c r="AD36" s="1080"/>
      <c r="AE36" s="1"/>
      <c r="AF36" s="855"/>
      <c r="AG36" s="863"/>
      <c r="AH36" s="867" t="str">
        <f>+'사회적유입인구의 처리구역별 배분(적용)'!C30</f>
        <v>성본산업단지</v>
      </c>
      <c r="AI36" s="862">
        <f>+'사회적유입인구의 처리구역별 배분(적용)'!D30</f>
        <v>0</v>
      </c>
      <c r="AJ36" s="862">
        <f>+'사회적유입인구의 처리구역별 배분(적용)'!E30</f>
        <v>0</v>
      </c>
      <c r="AK36" s="862">
        <f>+'사회적유입인구의 처리구역별 배분(적용)'!F30</f>
        <v>0</v>
      </c>
      <c r="AL36" s="862">
        <f>+'사회적유입인구의 처리구역별 배분(적용)'!G30</f>
        <v>0</v>
      </c>
      <c r="AM36" s="862">
        <f>+'사회적유입인구의 처리구역별 배분(적용)'!H30</f>
        <v>0</v>
      </c>
      <c r="AN36" s="862">
        <f>+'사회적유입인구의 처리구역별 배분(적용)'!I30</f>
        <v>0</v>
      </c>
      <c r="AO36" s="862">
        <f>+'사회적유입인구의 처리구역별 배분(적용)'!J30</f>
        <v>0</v>
      </c>
      <c r="AP36" s="862">
        <f>+'사회적유입인구의 처리구역별 배분(적용)'!K30</f>
        <v>0</v>
      </c>
      <c r="AQ36" s="862">
        <f>+'사회적유입인구의 처리구역별 배분(적용)'!L30</f>
        <v>0</v>
      </c>
      <c r="AR36" s="862">
        <f>+'사회적유입인구의 처리구역별 배분(적용)'!M30</f>
        <v>0</v>
      </c>
      <c r="AS36" s="862">
        <f>+'사회적유입인구의 처리구역별 배분(적용)'!N30</f>
        <v>0</v>
      </c>
      <c r="AT36" s="862">
        <f>+'사회적유입인구의 처리구역별 배분(적용)'!O30</f>
        <v>0</v>
      </c>
      <c r="AU36" s="862">
        <f>+'사회적유입인구의 처리구역별 배분(적용)'!P30</f>
        <v>0</v>
      </c>
      <c r="AV36" s="862">
        <f>+'사회적유입인구의 처리구역별 배분(적용)'!Q30</f>
        <v>0</v>
      </c>
      <c r="AW36" s="862">
        <f>+'사회적유입인구의 처리구역별 배분(적용)'!R30</f>
        <v>0</v>
      </c>
      <c r="AX36" s="862">
        <f>+'사회적유입인구의 처리구역별 배분(적용)'!S30</f>
        <v>0</v>
      </c>
      <c r="AY36" s="862">
        <f>+'사회적유입인구의 처리구역별 배분(적용)'!T30</f>
        <v>0</v>
      </c>
      <c r="AZ36" s="862">
        <f>+'사회적유입인구의 처리구역별 배분(적용)'!U30</f>
        <v>0</v>
      </c>
      <c r="BA36" s="862">
        <f>+'사회적유입인구의 처리구역별 배분(적용)'!V30</f>
        <v>0</v>
      </c>
      <c r="BB36" s="862">
        <f>+'사회적유입인구의 처리구역별 배분(적용)'!W30</f>
        <v>0</v>
      </c>
      <c r="BC36" s="862">
        <f>+'사회적유입인구의 처리구역별 배분(적용)'!X30</f>
        <v>0</v>
      </c>
      <c r="BD36" s="862">
        <f>+'사회적유입인구의 처리구역별 배분(적용)'!Y30</f>
        <v>0</v>
      </c>
      <c r="BE36" s="876">
        <f>+'사회적유입인구의 처리구역별 배분(적용)'!Z30</f>
        <v>0</v>
      </c>
    </row>
    <row r="37" spans="1:57" ht="24" customHeight="1">
      <c r="A37" s="2660"/>
      <c r="B37" s="2662"/>
      <c r="C37" s="2649"/>
      <c r="D37" s="1178" t="s">
        <v>935</v>
      </c>
      <c r="E37" s="1178" t="s">
        <v>946</v>
      </c>
      <c r="F37" s="956"/>
      <c r="G37" s="933">
        <f>+'2014처리구역인구 정리'!I33</f>
        <v>149</v>
      </c>
      <c r="H37" s="933">
        <f>+'2014처리구역인구 정리'!J33</f>
        <v>147</v>
      </c>
      <c r="I37" s="925">
        <f>ROUND((('1.4.조성법총괄(내부이동률 적용)'!E$4+'1.4.조성법총괄(내부이동률 적용)'!E$7*$AK$2)*$AB37)+(AL$21*$AC37),0)</f>
        <v>145</v>
      </c>
      <c r="J37" s="925">
        <f>ROUND((('1.4.조성법총괄(내부이동률 적용)'!F$4+'1.4.조성법총괄(내부이동률 적용)'!F$7*$AK$2)*$AB37)+(AM$21*$AC37),0)</f>
        <v>143</v>
      </c>
      <c r="K37" s="925">
        <f>ROUND((('1.4.조성법총괄(내부이동률 적용)'!G$4+'1.4.조성법총괄(내부이동률 적용)'!G$7*$AK$2)*$AB37)+(AN$21*$AC37),0)</f>
        <v>143</v>
      </c>
      <c r="L37" s="907">
        <f>ROUND((('1.4.조성법총괄(내부이동률 적용)'!H$4+'1.4.조성법총괄(내부이동률 적용)'!H$7*$AK$2)*$AB37)+(AO$21*$AC37),0)</f>
        <v>139</v>
      </c>
      <c r="M37" s="925">
        <f>ROUND((('1.4.조성법총괄(내부이동률 적용)'!I$4+'1.4.조성법총괄(내부이동률 적용)'!I$7*$AK$2)*$AB37)+(AP$21*$AC37),0)</f>
        <v>139</v>
      </c>
      <c r="N37" s="925">
        <f>ROUND((('1.4.조성법총괄(내부이동률 적용)'!J$4+'1.4.조성법총괄(내부이동률 적용)'!J$7*$AK$2)*$AB37)+(AQ$21*$AC37),0)</f>
        <v>139</v>
      </c>
      <c r="O37" s="925">
        <f>ROUND((('1.4.조성법총괄(내부이동률 적용)'!K$4+'1.4.조성법총괄(내부이동률 적용)'!K$7*$AK$2)*$AB37)+(AR$21*$AC37),0)</f>
        <v>139</v>
      </c>
      <c r="P37" s="925">
        <f>ROUND((('1.4.조성법총괄(내부이동률 적용)'!L$4+'1.4.조성법총괄(내부이동률 적용)'!L$7*$AK$2)*$AB37)+(AS$21*$AC37),0)</f>
        <v>139</v>
      </c>
      <c r="Q37" s="907">
        <f>ROUND((('1.4.조성법총괄(내부이동률 적용)'!M$4+'1.4.조성법총괄(내부이동률 적용)'!M$7*$AK$2)*$AB37)+(AT$21*$AC37),0)</f>
        <v>139</v>
      </c>
      <c r="R37" s="925">
        <f>ROUND((('1.4.조성법총괄(내부이동률 적용)'!N$4+'1.4.조성법총괄(내부이동률 적용)'!N$7*$AK$2)*$AB37)+(AU$21*$AC37),0)</f>
        <v>139</v>
      </c>
      <c r="S37" s="925">
        <f>ROUND((('1.4.조성법총괄(내부이동률 적용)'!O$4+'1.4.조성법총괄(내부이동률 적용)'!O$7*$AK$2)*$AB37)+(AV$21*$AC37),0)</f>
        <v>138</v>
      </c>
      <c r="T37" s="925">
        <f>ROUND((('1.4.조성법총괄(내부이동률 적용)'!P$4+'1.4.조성법총괄(내부이동률 적용)'!P$7*$AK$2)*$AB37)+(AW$21*$AC37),0)</f>
        <v>138</v>
      </c>
      <c r="U37" s="925">
        <f>ROUND((('1.4.조성법총괄(내부이동률 적용)'!Q$4+'1.4.조성법총괄(내부이동률 적용)'!Q$7*$AK$2)*$AB37)+(AX$21*$AC37),0)</f>
        <v>138</v>
      </c>
      <c r="V37" s="715">
        <f>ROUND((('1.4.조성법총괄(내부이동률 적용)'!R$4+'1.4.조성법총괄(내부이동률 적용)'!R$7*$AK$2)*$AB37)+(AY$21*$AC37),0)</f>
        <v>138</v>
      </c>
      <c r="W37" s="714">
        <f>ROUND((('1.4.조성법총괄(내부이동률 적용)'!S$4+'1.4.조성법총괄(내부이동률 적용)'!S$7*$AK$2)*$AB37)+(AZ$21*$AC37),0)</f>
        <v>137</v>
      </c>
      <c r="X37" s="714">
        <f>ROUND((('1.4.조성법총괄(내부이동률 적용)'!T$4+'1.4.조성법총괄(내부이동률 적용)'!T$7*$AK$2)*$AB37)+(BA$21*$AC37),0)</f>
        <v>137</v>
      </c>
      <c r="Y37" s="714">
        <f>ROUND((('1.4.조성법총괄(내부이동률 적용)'!U$4+'1.4.조성법총괄(내부이동률 적용)'!U$7*$AK$2)*$AB37)+(BB$21*$AC37),0)</f>
        <v>137</v>
      </c>
      <c r="Z37" s="714">
        <f>ROUND((('1.4.조성법총괄(내부이동률 적용)'!V$4+'1.4.조성법총괄(내부이동률 적용)'!V$7*$AK$2)*$AB37)+(BC$21*$AC37),0)</f>
        <v>136</v>
      </c>
      <c r="AA37" s="715">
        <f>ROUND((('1.4.조성법총괄(내부이동률 적용)'!W$4+'1.4.조성법총괄(내부이동률 적용)'!W$7*$AK$2)*$AB37)+(BD$21*$AC37),0)</f>
        <v>173</v>
      </c>
      <c r="AB37" s="934">
        <f>+H37/'1.4.조성법총괄(내부이동률 적용)'!$D$8</f>
        <v>7.7137010022563885E-3</v>
      </c>
      <c r="AC37" s="934">
        <f t="shared" si="30"/>
        <v>9.0134281684959225E-3</v>
      </c>
      <c r="AD37" s="1080"/>
      <c r="AE37" s="1"/>
      <c r="AF37" s="855"/>
      <c r="AG37" s="863"/>
      <c r="AH37" s="867" t="str">
        <f>+'사회적유입인구의 처리구역별 배분(적용)'!C31</f>
        <v>금왕테크노밸리</v>
      </c>
      <c r="AI37" s="862">
        <f>+'사회적유입인구의 처리구역별 배분(적용)'!D31</f>
        <v>0</v>
      </c>
      <c r="AJ37" s="862">
        <f>+'사회적유입인구의 처리구역별 배분(적용)'!E31</f>
        <v>0</v>
      </c>
      <c r="AK37" s="862">
        <f>+'사회적유입인구의 처리구역별 배분(적용)'!F31</f>
        <v>0</v>
      </c>
      <c r="AL37" s="862">
        <f>+'사회적유입인구의 처리구역별 배분(적용)'!G31</f>
        <v>0</v>
      </c>
      <c r="AM37" s="862">
        <f>+'사회적유입인구의 처리구역별 배분(적용)'!H31</f>
        <v>0</v>
      </c>
      <c r="AN37" s="862">
        <f>+'사회적유입인구의 처리구역별 배분(적용)'!I31</f>
        <v>0</v>
      </c>
      <c r="AO37" s="862">
        <f>+'사회적유입인구의 처리구역별 배분(적용)'!J31</f>
        <v>0</v>
      </c>
      <c r="AP37" s="862">
        <f>+'사회적유입인구의 처리구역별 배분(적용)'!K31</f>
        <v>0</v>
      </c>
      <c r="AQ37" s="862">
        <f>+'사회적유입인구의 처리구역별 배분(적용)'!L31</f>
        <v>0</v>
      </c>
      <c r="AR37" s="862">
        <f>+'사회적유입인구의 처리구역별 배분(적용)'!M31</f>
        <v>0</v>
      </c>
      <c r="AS37" s="862">
        <f>+'사회적유입인구의 처리구역별 배분(적용)'!N31</f>
        <v>0</v>
      </c>
      <c r="AT37" s="862">
        <f>+'사회적유입인구의 처리구역별 배분(적용)'!O31</f>
        <v>0</v>
      </c>
      <c r="AU37" s="862">
        <f>+'사회적유입인구의 처리구역별 배분(적용)'!P31</f>
        <v>0</v>
      </c>
      <c r="AV37" s="862">
        <f>+'사회적유입인구의 처리구역별 배분(적용)'!Q31</f>
        <v>0</v>
      </c>
      <c r="AW37" s="862">
        <f>+'사회적유입인구의 처리구역별 배분(적용)'!R31</f>
        <v>0</v>
      </c>
      <c r="AX37" s="862">
        <f>+'사회적유입인구의 처리구역별 배분(적용)'!S31</f>
        <v>0</v>
      </c>
      <c r="AY37" s="862">
        <f>+'사회적유입인구의 처리구역별 배분(적용)'!T31</f>
        <v>0</v>
      </c>
      <c r="AZ37" s="862">
        <f>+'사회적유입인구의 처리구역별 배분(적용)'!U31</f>
        <v>0</v>
      </c>
      <c r="BA37" s="862">
        <f>+'사회적유입인구의 처리구역별 배분(적용)'!V31</f>
        <v>0</v>
      </c>
      <c r="BB37" s="862">
        <f>+'사회적유입인구의 처리구역별 배분(적용)'!W31</f>
        <v>0</v>
      </c>
      <c r="BC37" s="862">
        <f>+'사회적유입인구의 처리구역별 배분(적용)'!X31</f>
        <v>0</v>
      </c>
      <c r="BD37" s="862">
        <f>+'사회적유입인구의 처리구역별 배분(적용)'!Y31</f>
        <v>0</v>
      </c>
      <c r="BE37" s="876">
        <f>+'사회적유입인구의 처리구역별 배분(적용)'!Z31</f>
        <v>0.5</v>
      </c>
    </row>
    <row r="38" spans="1:57" ht="24" customHeight="1">
      <c r="AF38" s="855"/>
      <c r="AG38" s="863"/>
      <c r="AH38" s="867" t="str">
        <f>+'사회적유입인구의 처리구역별 배분(적용)'!C32</f>
        <v>성안산업단지</v>
      </c>
      <c r="AI38" s="862">
        <f>+'사회적유입인구의 처리구역별 배분(적용)'!D32</f>
        <v>0</v>
      </c>
      <c r="AJ38" s="862">
        <f>+'사회적유입인구의 처리구역별 배분(적용)'!E32</f>
        <v>0</v>
      </c>
      <c r="AK38" s="862">
        <f>+'사회적유입인구의 처리구역별 배분(적용)'!F32</f>
        <v>0</v>
      </c>
      <c r="AL38" s="862">
        <f>+'사회적유입인구의 처리구역별 배분(적용)'!G32</f>
        <v>0</v>
      </c>
      <c r="AM38" s="862">
        <f>+'사회적유입인구의 처리구역별 배분(적용)'!H32</f>
        <v>0</v>
      </c>
      <c r="AN38" s="862">
        <f>+'사회적유입인구의 처리구역별 배분(적용)'!I32</f>
        <v>0</v>
      </c>
      <c r="AO38" s="862">
        <f>+'사회적유입인구의 처리구역별 배분(적용)'!J32</f>
        <v>0</v>
      </c>
      <c r="AP38" s="862">
        <f>+'사회적유입인구의 처리구역별 배분(적용)'!K32</f>
        <v>0</v>
      </c>
      <c r="AQ38" s="862">
        <f>+'사회적유입인구의 처리구역별 배분(적용)'!L32</f>
        <v>0</v>
      </c>
      <c r="AR38" s="862">
        <f>+'사회적유입인구의 처리구역별 배분(적용)'!M32</f>
        <v>0</v>
      </c>
      <c r="AS38" s="862">
        <f>+'사회적유입인구의 처리구역별 배분(적용)'!N32</f>
        <v>0</v>
      </c>
      <c r="AT38" s="862">
        <f>+'사회적유입인구의 처리구역별 배분(적용)'!O32</f>
        <v>0</v>
      </c>
      <c r="AU38" s="862">
        <f>+'사회적유입인구의 처리구역별 배분(적용)'!P32</f>
        <v>0</v>
      </c>
      <c r="AV38" s="862">
        <f>+'사회적유입인구의 처리구역별 배분(적용)'!Q32</f>
        <v>0</v>
      </c>
      <c r="AW38" s="862">
        <f>+'사회적유입인구의 처리구역별 배분(적용)'!R32</f>
        <v>0</v>
      </c>
      <c r="AX38" s="862">
        <f>+'사회적유입인구의 처리구역별 배분(적용)'!S32</f>
        <v>0</v>
      </c>
      <c r="AY38" s="862">
        <f>+'사회적유입인구의 처리구역별 배분(적용)'!T32</f>
        <v>0</v>
      </c>
      <c r="AZ38" s="862">
        <f>+'사회적유입인구의 처리구역별 배분(적용)'!U32</f>
        <v>0</v>
      </c>
      <c r="BA38" s="862">
        <f>+'사회적유입인구의 처리구역별 배분(적용)'!V32</f>
        <v>0</v>
      </c>
      <c r="BB38" s="862">
        <f>+'사회적유입인구의 처리구역별 배분(적용)'!W32</f>
        <v>0</v>
      </c>
      <c r="BC38" s="862">
        <f>+'사회적유입인구의 처리구역별 배분(적용)'!X32</f>
        <v>0</v>
      </c>
      <c r="BD38" s="862">
        <f>+'사회적유입인구의 처리구역별 배분(적용)'!Y32</f>
        <v>0</v>
      </c>
      <c r="BE38" s="876">
        <f>+'사회적유입인구의 처리구역별 배분(적용)'!Z32</f>
        <v>0.6</v>
      </c>
    </row>
    <row r="39" spans="1:57" s="712" customFormat="1" ht="24" customHeight="1">
      <c r="A39" s="2638" t="s">
        <v>1137</v>
      </c>
      <c r="B39" s="2638"/>
      <c r="C39" s="2638"/>
      <c r="D39" s="2638"/>
      <c r="E39" s="2638"/>
      <c r="F39" s="1"/>
      <c r="G39" s="2"/>
      <c r="H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1134"/>
      <c r="AG39" s="1132"/>
      <c r="AH39" s="1129" t="str">
        <f>+'사회적유입인구의 처리구역별 배분(적용)'!C33</f>
        <v>중부산업단지</v>
      </c>
      <c r="AI39" s="862">
        <f>+'사회적유입인구의 처리구역별 배분(적용)'!D33</f>
        <v>0</v>
      </c>
      <c r="AJ39" s="862">
        <f>+'사회적유입인구의 처리구역별 배분(적용)'!E33</f>
        <v>0</v>
      </c>
      <c r="AK39" s="862">
        <f>+'사회적유입인구의 처리구역별 배분(적용)'!F33</f>
        <v>0</v>
      </c>
      <c r="AL39" s="862">
        <f>+'사회적유입인구의 처리구역별 배분(적용)'!G33</f>
        <v>0</v>
      </c>
      <c r="AM39" s="862">
        <f>+'사회적유입인구의 처리구역별 배분(적용)'!H33</f>
        <v>0</v>
      </c>
      <c r="AN39" s="862">
        <f>+'사회적유입인구의 처리구역별 배분(적용)'!I33</f>
        <v>0</v>
      </c>
      <c r="AO39" s="862">
        <f>+'사회적유입인구의 처리구역별 배분(적용)'!J33</f>
        <v>0</v>
      </c>
      <c r="AP39" s="862">
        <f>+'사회적유입인구의 처리구역별 배분(적용)'!K33</f>
        <v>0</v>
      </c>
      <c r="AQ39" s="862">
        <f>+'사회적유입인구의 처리구역별 배분(적용)'!L33</f>
        <v>0</v>
      </c>
      <c r="AR39" s="862">
        <f>+'사회적유입인구의 처리구역별 배분(적용)'!M33</f>
        <v>0</v>
      </c>
      <c r="AS39" s="862">
        <f>+'사회적유입인구의 처리구역별 배분(적용)'!N33</f>
        <v>0</v>
      </c>
      <c r="AT39" s="862">
        <f>+'사회적유입인구의 처리구역별 배분(적용)'!O33</f>
        <v>0</v>
      </c>
      <c r="AU39" s="862">
        <f>+'사회적유입인구의 처리구역별 배분(적용)'!P33</f>
        <v>0</v>
      </c>
      <c r="AV39" s="862">
        <f>+'사회적유입인구의 처리구역별 배분(적용)'!Q33</f>
        <v>0</v>
      </c>
      <c r="AW39" s="862">
        <f>+'사회적유입인구의 처리구역별 배분(적용)'!R33</f>
        <v>0</v>
      </c>
      <c r="AX39" s="862">
        <f>+'사회적유입인구의 처리구역별 배분(적용)'!S33</f>
        <v>0</v>
      </c>
      <c r="AY39" s="862">
        <f>+'사회적유입인구의 처리구역별 배분(적용)'!T33</f>
        <v>0</v>
      </c>
      <c r="AZ39" s="862">
        <f>+'사회적유입인구의 처리구역별 배분(적용)'!U33</f>
        <v>0</v>
      </c>
      <c r="BA39" s="862">
        <f>+'사회적유입인구의 처리구역별 배분(적용)'!V33</f>
        <v>0</v>
      </c>
      <c r="BB39" s="862">
        <f>+'사회적유입인구의 처리구역별 배분(적용)'!W33</f>
        <v>0</v>
      </c>
      <c r="BC39" s="862">
        <f>+'사회적유입인구의 처리구역별 배분(적용)'!X33</f>
        <v>0</v>
      </c>
      <c r="BD39" s="862">
        <f>+'사회적유입인구의 처리구역별 배분(적용)'!Y33</f>
        <v>0</v>
      </c>
      <c r="BE39" s="876">
        <f>+'사회적유입인구의 처리구역별 배분(적용)'!Z33</f>
        <v>0.2</v>
      </c>
    </row>
    <row r="40" spans="1:57" s="712" customFormat="1" ht="24" customHeight="1">
      <c r="A40" s="98" t="s">
        <v>0</v>
      </c>
      <c r="B40" s="98" t="s">
        <v>1</v>
      </c>
      <c r="C40" s="99" t="s">
        <v>2</v>
      </c>
      <c r="D40" s="99" t="s">
        <v>3</v>
      </c>
      <c r="E40" s="99" t="s">
        <v>4</v>
      </c>
      <c r="F40" s="99">
        <v>2013</v>
      </c>
      <c r="G40" s="737">
        <v>2015</v>
      </c>
      <c r="H40" s="99">
        <v>2016</v>
      </c>
      <c r="I40" s="99">
        <v>2017</v>
      </c>
      <c r="J40" s="99">
        <v>2018</v>
      </c>
      <c r="K40" s="99">
        <v>2019</v>
      </c>
      <c r="L40" s="99">
        <v>2020</v>
      </c>
      <c r="M40" s="99">
        <v>2021</v>
      </c>
      <c r="N40" s="99">
        <v>2022</v>
      </c>
      <c r="O40" s="99">
        <v>2023</v>
      </c>
      <c r="P40" s="99">
        <v>2024</v>
      </c>
      <c r="Q40" s="99">
        <v>2025</v>
      </c>
      <c r="R40" s="99">
        <v>2026</v>
      </c>
      <c r="S40" s="99">
        <v>2027</v>
      </c>
      <c r="T40" s="99">
        <v>2028</v>
      </c>
      <c r="U40" s="99">
        <v>2029</v>
      </c>
      <c r="V40" s="99">
        <v>2030</v>
      </c>
      <c r="W40" s="99">
        <v>2031</v>
      </c>
      <c r="X40" s="99">
        <v>2032</v>
      </c>
      <c r="Y40" s="99">
        <v>2033</v>
      </c>
      <c r="Z40" s="99">
        <v>2034</v>
      </c>
      <c r="AA40" s="99">
        <v>2035</v>
      </c>
      <c r="AB40" s="98" t="s">
        <v>140</v>
      </c>
      <c r="AC40" s="98" t="s">
        <v>141</v>
      </c>
      <c r="AD40" s="99" t="s">
        <v>139</v>
      </c>
      <c r="AE40" s="674" t="str">
        <f>A39</f>
        <v>1.2 금왕 처리구역 인구</v>
      </c>
      <c r="AF40" s="1134"/>
      <c r="AG40" s="1132"/>
      <c r="AH40" s="1129" t="str">
        <f>+'사회적유입인구의 처리구역별 배분(적용)'!C34</f>
        <v>육령일반산업단지</v>
      </c>
      <c r="AI40" s="862">
        <f>+'사회적유입인구의 처리구역별 배분(적용)'!D34</f>
        <v>0</v>
      </c>
      <c r="AJ40" s="862">
        <f>+'사회적유입인구의 처리구역별 배분(적용)'!E34</f>
        <v>0</v>
      </c>
      <c r="AK40" s="862">
        <f>+'사회적유입인구의 처리구역별 배분(적용)'!F34</f>
        <v>0</v>
      </c>
      <c r="AL40" s="862">
        <f>+'사회적유입인구의 처리구역별 배분(적용)'!G34</f>
        <v>0</v>
      </c>
      <c r="AM40" s="862">
        <f>+'사회적유입인구의 처리구역별 배분(적용)'!H34</f>
        <v>0</v>
      </c>
      <c r="AN40" s="862">
        <f>+'사회적유입인구의 처리구역별 배분(적용)'!I34</f>
        <v>0</v>
      </c>
      <c r="AO40" s="862">
        <f>+'사회적유입인구의 처리구역별 배분(적용)'!J34</f>
        <v>0</v>
      </c>
      <c r="AP40" s="862">
        <f>+'사회적유입인구의 처리구역별 배분(적용)'!K34</f>
        <v>0</v>
      </c>
      <c r="AQ40" s="862">
        <f>+'사회적유입인구의 처리구역별 배분(적용)'!L34</f>
        <v>0</v>
      </c>
      <c r="AR40" s="862">
        <f>+'사회적유입인구의 처리구역별 배분(적용)'!M34</f>
        <v>0</v>
      </c>
      <c r="AS40" s="862">
        <f>+'사회적유입인구의 처리구역별 배분(적용)'!N34</f>
        <v>0</v>
      </c>
      <c r="AT40" s="862">
        <f>+'사회적유입인구의 처리구역별 배분(적용)'!O34</f>
        <v>0</v>
      </c>
      <c r="AU40" s="862">
        <f>+'사회적유입인구의 처리구역별 배분(적용)'!P34</f>
        <v>0</v>
      </c>
      <c r="AV40" s="862">
        <f>+'사회적유입인구의 처리구역별 배분(적용)'!Q34</f>
        <v>0</v>
      </c>
      <c r="AW40" s="862">
        <f>+'사회적유입인구의 처리구역별 배분(적용)'!R34</f>
        <v>0</v>
      </c>
      <c r="AX40" s="862">
        <f>+'사회적유입인구의 처리구역별 배분(적용)'!S34</f>
        <v>0</v>
      </c>
      <c r="AY40" s="862">
        <f>+'사회적유입인구의 처리구역별 배분(적용)'!T34</f>
        <v>0</v>
      </c>
      <c r="AZ40" s="862">
        <f>+'사회적유입인구의 처리구역별 배분(적용)'!U34</f>
        <v>0</v>
      </c>
      <c r="BA40" s="862">
        <f>+'사회적유입인구의 처리구역별 배분(적용)'!V34</f>
        <v>0</v>
      </c>
      <c r="BB40" s="862">
        <f>+'사회적유입인구의 처리구역별 배분(적용)'!W34</f>
        <v>0</v>
      </c>
      <c r="BC40" s="862">
        <f>+'사회적유입인구의 처리구역별 배분(적용)'!X34</f>
        <v>0</v>
      </c>
      <c r="BD40" s="862">
        <f>+'사회적유입인구의 처리구역별 배분(적용)'!Y34</f>
        <v>0</v>
      </c>
      <c r="BE40" s="876">
        <f>+'사회적유입인구의 처리구역별 배분(적용)'!Z34</f>
        <v>0.8</v>
      </c>
    </row>
    <row r="41" spans="1:57" ht="24" customHeight="1">
      <c r="A41" s="2639" t="s">
        <v>950</v>
      </c>
      <c r="B41" s="2636" t="s">
        <v>6</v>
      </c>
      <c r="C41" s="2636"/>
      <c r="D41" s="2636"/>
      <c r="E41" s="2636"/>
      <c r="F41" s="713"/>
      <c r="G41" s="907">
        <f t="shared" ref="G41:AA41" si="31">SUM(G42,G56,)</f>
        <v>17112</v>
      </c>
      <c r="H41" s="907">
        <f t="shared" si="31"/>
        <v>18665</v>
      </c>
      <c r="I41" s="907">
        <f t="shared" si="31"/>
        <v>19093</v>
      </c>
      <c r="J41" s="907">
        <f t="shared" si="31"/>
        <v>19117</v>
      </c>
      <c r="K41" s="907">
        <f t="shared" si="31"/>
        <v>19137</v>
      </c>
      <c r="L41" s="907">
        <f t="shared" si="31"/>
        <v>21089</v>
      </c>
      <c r="M41" s="907">
        <f t="shared" si="31"/>
        <v>21139</v>
      </c>
      <c r="N41" s="907">
        <f t="shared" si="31"/>
        <v>21196</v>
      </c>
      <c r="O41" s="907">
        <f t="shared" si="31"/>
        <v>21251</v>
      </c>
      <c r="P41" s="907">
        <f t="shared" si="31"/>
        <v>21305</v>
      </c>
      <c r="Q41" s="907">
        <f t="shared" si="31"/>
        <v>21730</v>
      </c>
      <c r="R41" s="907">
        <f t="shared" si="31"/>
        <v>21762</v>
      </c>
      <c r="S41" s="907">
        <f t="shared" si="31"/>
        <v>21795</v>
      </c>
      <c r="T41" s="907">
        <f t="shared" si="31"/>
        <v>21827</v>
      </c>
      <c r="U41" s="907">
        <f t="shared" si="31"/>
        <v>21861</v>
      </c>
      <c r="V41" s="907">
        <f t="shared" si="31"/>
        <v>21891</v>
      </c>
      <c r="W41" s="907">
        <f t="shared" si="31"/>
        <v>21918</v>
      </c>
      <c r="X41" s="907">
        <f t="shared" si="31"/>
        <v>21940</v>
      </c>
      <c r="Y41" s="907">
        <f t="shared" si="31"/>
        <v>21965</v>
      </c>
      <c r="Z41" s="907">
        <f t="shared" si="31"/>
        <v>21989</v>
      </c>
      <c r="AA41" s="907">
        <f t="shared" si="31"/>
        <v>26891</v>
      </c>
      <c r="AB41" s="713"/>
      <c r="AC41" s="713"/>
      <c r="AD41" s="1080"/>
      <c r="AE41" s="675">
        <f>+H42+H56-H53-H54-H55</f>
        <v>18235</v>
      </c>
      <c r="AF41" s="1134"/>
      <c r="AG41" s="1132"/>
      <c r="AH41" s="1129" t="str">
        <f>+'사회적유입인구의 처리구역별 배분(적용)'!C35</f>
        <v>봉공산업단지</v>
      </c>
      <c r="AI41" s="862">
        <f>+'사회적유입인구의 처리구역별 배분(적용)'!D35</f>
        <v>0</v>
      </c>
      <c r="AJ41" s="862">
        <f>+'사회적유입인구의 처리구역별 배분(적용)'!E35</f>
        <v>0</v>
      </c>
      <c r="AK41" s="862">
        <f>+'사회적유입인구의 처리구역별 배분(적용)'!F35</f>
        <v>0</v>
      </c>
      <c r="AL41" s="862">
        <f>+'사회적유입인구의 처리구역별 배분(적용)'!G35</f>
        <v>0</v>
      </c>
      <c r="AM41" s="862">
        <f>+'사회적유입인구의 처리구역별 배분(적용)'!H35</f>
        <v>0</v>
      </c>
      <c r="AN41" s="862">
        <f>+'사회적유입인구의 처리구역별 배분(적용)'!I35</f>
        <v>0</v>
      </c>
      <c r="AO41" s="862">
        <f>+'사회적유입인구의 처리구역별 배분(적용)'!J35</f>
        <v>0</v>
      </c>
      <c r="AP41" s="862">
        <f>+'사회적유입인구의 처리구역별 배분(적용)'!K35</f>
        <v>0</v>
      </c>
      <c r="AQ41" s="862">
        <f>+'사회적유입인구의 처리구역별 배분(적용)'!L35</f>
        <v>0</v>
      </c>
      <c r="AR41" s="862">
        <f>+'사회적유입인구의 처리구역별 배분(적용)'!M35</f>
        <v>0</v>
      </c>
      <c r="AS41" s="862">
        <f>+'사회적유입인구의 처리구역별 배분(적용)'!N35</f>
        <v>0</v>
      </c>
      <c r="AT41" s="862">
        <f>+'사회적유입인구의 처리구역별 배분(적용)'!O35</f>
        <v>0</v>
      </c>
      <c r="AU41" s="862">
        <f>+'사회적유입인구의 처리구역별 배분(적용)'!P35</f>
        <v>0</v>
      </c>
      <c r="AV41" s="862">
        <f>+'사회적유입인구의 처리구역별 배분(적용)'!Q35</f>
        <v>0</v>
      </c>
      <c r="AW41" s="862">
        <f>+'사회적유입인구의 처리구역별 배분(적용)'!R35</f>
        <v>0</v>
      </c>
      <c r="AX41" s="862">
        <f>+'사회적유입인구의 처리구역별 배분(적용)'!S35</f>
        <v>0</v>
      </c>
      <c r="AY41" s="862">
        <f>+'사회적유입인구의 처리구역별 배분(적용)'!T35</f>
        <v>0</v>
      </c>
      <c r="AZ41" s="862">
        <f>+'사회적유입인구의 처리구역별 배분(적용)'!U35</f>
        <v>0</v>
      </c>
      <c r="BA41" s="862">
        <f>+'사회적유입인구의 처리구역별 배분(적용)'!V35</f>
        <v>0</v>
      </c>
      <c r="BB41" s="862">
        <f>+'사회적유입인구의 처리구역별 배분(적용)'!W35</f>
        <v>0</v>
      </c>
      <c r="BC41" s="862">
        <f>+'사회적유입인구의 처리구역별 배분(적용)'!X35</f>
        <v>0</v>
      </c>
      <c r="BD41" s="862">
        <f>+'사회적유입인구의 처리구역별 배분(적용)'!Y35</f>
        <v>1191</v>
      </c>
      <c r="BE41" s="876">
        <f>+'사회적유입인구의 처리구역별 배분(적용)'!Z35</f>
        <v>1</v>
      </c>
    </row>
    <row r="42" spans="1:57" ht="24" customHeight="1">
      <c r="A42" s="2640"/>
      <c r="B42" s="2677" t="s">
        <v>1086</v>
      </c>
      <c r="C42" s="2634" t="s">
        <v>24</v>
      </c>
      <c r="D42" s="2634"/>
      <c r="E42" s="2634"/>
      <c r="F42" s="713"/>
      <c r="G42" s="907">
        <f>SUM(G43:G55)</f>
        <v>6708</v>
      </c>
      <c r="H42" s="926">
        <f t="shared" ref="H42:AA42" si="32">SUM(H43:H55)</f>
        <v>7341</v>
      </c>
      <c r="I42" s="926">
        <f t="shared" si="32"/>
        <v>7851</v>
      </c>
      <c r="J42" s="926">
        <f t="shared" si="32"/>
        <v>7856</v>
      </c>
      <c r="K42" s="926">
        <f t="shared" si="32"/>
        <v>7859</v>
      </c>
      <c r="L42" s="907">
        <f t="shared" si="32"/>
        <v>7722</v>
      </c>
      <c r="M42" s="925">
        <f t="shared" si="32"/>
        <v>7739</v>
      </c>
      <c r="N42" s="925">
        <f t="shared" si="32"/>
        <v>7759</v>
      </c>
      <c r="O42" s="925">
        <f t="shared" si="32"/>
        <v>7777</v>
      </c>
      <c r="P42" s="925">
        <f t="shared" si="32"/>
        <v>7796</v>
      </c>
      <c r="Q42" s="907">
        <f t="shared" si="32"/>
        <v>8234</v>
      </c>
      <c r="R42" s="925">
        <f t="shared" si="32"/>
        <v>8243</v>
      </c>
      <c r="S42" s="925">
        <f t="shared" si="32"/>
        <v>8253</v>
      </c>
      <c r="T42" s="925">
        <f t="shared" si="32"/>
        <v>8262</v>
      </c>
      <c r="U42" s="925">
        <f t="shared" si="32"/>
        <v>8274</v>
      </c>
      <c r="V42" s="715">
        <f t="shared" si="32"/>
        <v>8283</v>
      </c>
      <c r="W42" s="714">
        <f t="shared" si="32"/>
        <v>8292</v>
      </c>
      <c r="X42" s="714">
        <f t="shared" si="32"/>
        <v>8299</v>
      </c>
      <c r="Y42" s="714">
        <f t="shared" si="32"/>
        <v>8305</v>
      </c>
      <c r="Z42" s="714">
        <f t="shared" si="32"/>
        <v>8313</v>
      </c>
      <c r="AA42" s="715">
        <f t="shared" si="32"/>
        <v>9571</v>
      </c>
      <c r="AB42" s="713"/>
      <c r="AC42" s="713"/>
      <c r="AD42" s="1080"/>
      <c r="AE42" s="175"/>
      <c r="AF42" s="1134"/>
      <c r="AG42" s="1132"/>
      <c r="AH42" s="1129" t="str">
        <f>+'사회적유입인구의 처리구역별 배분(적용)'!C36</f>
        <v>신평산업단지</v>
      </c>
      <c r="AI42" s="862">
        <f>+'사회적유입인구의 처리구역별 배분(적용)'!D36</f>
        <v>0</v>
      </c>
      <c r="AJ42" s="862">
        <f>+'사회적유입인구의 처리구역별 배분(적용)'!E36</f>
        <v>0</v>
      </c>
      <c r="AK42" s="862">
        <f>+'사회적유입인구의 처리구역별 배분(적용)'!F36</f>
        <v>0</v>
      </c>
      <c r="AL42" s="862">
        <f>+'사회적유입인구의 처리구역별 배분(적용)'!G36</f>
        <v>0</v>
      </c>
      <c r="AM42" s="862">
        <f>+'사회적유입인구의 처리구역별 배분(적용)'!H36</f>
        <v>0</v>
      </c>
      <c r="AN42" s="862">
        <f>+'사회적유입인구의 처리구역별 배분(적용)'!I36</f>
        <v>0</v>
      </c>
      <c r="AO42" s="862">
        <f>+'사회적유입인구의 처리구역별 배분(적용)'!J36</f>
        <v>0</v>
      </c>
      <c r="AP42" s="862">
        <f>+'사회적유입인구의 처리구역별 배분(적용)'!K36</f>
        <v>0</v>
      </c>
      <c r="AQ42" s="862">
        <f>+'사회적유입인구의 처리구역별 배분(적용)'!L36</f>
        <v>0</v>
      </c>
      <c r="AR42" s="862">
        <f>+'사회적유입인구의 처리구역별 배분(적용)'!M36</f>
        <v>0</v>
      </c>
      <c r="AS42" s="862">
        <f>+'사회적유입인구의 처리구역별 배분(적용)'!N36</f>
        <v>0</v>
      </c>
      <c r="AT42" s="862">
        <f>+'사회적유입인구의 처리구역별 배분(적용)'!O36</f>
        <v>0</v>
      </c>
      <c r="AU42" s="862">
        <f>+'사회적유입인구의 처리구역별 배분(적용)'!P36</f>
        <v>0</v>
      </c>
      <c r="AV42" s="862">
        <f>+'사회적유입인구의 처리구역별 배분(적용)'!Q36</f>
        <v>0</v>
      </c>
      <c r="AW42" s="862">
        <f>+'사회적유입인구의 처리구역별 배분(적용)'!R36</f>
        <v>0</v>
      </c>
      <c r="AX42" s="862">
        <f>+'사회적유입인구의 처리구역별 배분(적용)'!S36</f>
        <v>0</v>
      </c>
      <c r="AY42" s="862">
        <f>+'사회적유입인구의 처리구역별 배분(적용)'!T36</f>
        <v>0</v>
      </c>
      <c r="AZ42" s="862">
        <f>+'사회적유입인구의 처리구역별 배분(적용)'!U36</f>
        <v>0</v>
      </c>
      <c r="BA42" s="862">
        <f>+'사회적유입인구의 처리구역별 배분(적용)'!V36</f>
        <v>0</v>
      </c>
      <c r="BB42" s="862">
        <f>+'사회적유입인구의 처리구역별 배분(적용)'!W36</f>
        <v>0</v>
      </c>
      <c r="BC42" s="862">
        <f>+'사회적유입인구의 처리구역별 배분(적용)'!X36</f>
        <v>0</v>
      </c>
      <c r="BD42" s="862">
        <f>+'사회적유입인구의 처리구역별 배분(적용)'!Y36</f>
        <v>2143</v>
      </c>
      <c r="BE42" s="876">
        <f>+'사회적유입인구의 처리구역별 배분(적용)'!Z36</f>
        <v>1</v>
      </c>
    </row>
    <row r="43" spans="1:57" s="712" customFormat="1" ht="39.950000000000003" customHeight="1">
      <c r="A43" s="2640"/>
      <c r="B43" s="2678"/>
      <c r="C43" s="2677" t="s">
        <v>667</v>
      </c>
      <c r="D43" s="2681" t="s">
        <v>956</v>
      </c>
      <c r="E43" s="1103" t="s">
        <v>958</v>
      </c>
      <c r="F43" s="713"/>
      <c r="G43" s="935">
        <f>+'2014처리구역인구 정리'!I39</f>
        <v>895</v>
      </c>
      <c r="H43" s="935">
        <f>+'2014처리구역인구 정리'!J39</f>
        <v>967</v>
      </c>
      <c r="I43" s="925">
        <f>ROUND((('1.4.조성법총괄(내부이동률 적용)'!E$11+'1.4.조성법총괄(내부이동률 적용)'!E$14*$AK$2)*$AB43)+(AL$43*$AC43),0)</f>
        <v>960</v>
      </c>
      <c r="J43" s="925">
        <f>ROUND((('1.4.조성법총괄(내부이동률 적용)'!F$11+'1.4.조성법총괄(내부이동률 적용)'!F$14*$AK$2)*$AB43)+(AM$43*$AC43),0)</f>
        <v>962</v>
      </c>
      <c r="K43" s="925">
        <f>ROUND((('1.4.조성법총괄(내부이동률 적용)'!G$11+'1.4.조성법총괄(내부이동률 적용)'!G$14*$AK$2)*$AB43)+(AN$43*$AC43),0)</f>
        <v>963</v>
      </c>
      <c r="L43" s="907">
        <f>ROUND((('1.4.조성법총괄(내부이동률 적용)'!H$11+'1.4.조성법총괄(내부이동률 적용)'!H$14*$AK$2)*$AB43)+(AO$43*$AC43),0)</f>
        <v>945</v>
      </c>
      <c r="M43" s="925">
        <f>ROUND((('1.4.조성법총괄(내부이동률 적용)'!I$11+'1.4.조성법총괄(내부이동률 적용)'!I$14*$AK$2)*$AB43)+(AP$43*$AC43),0)</f>
        <v>948</v>
      </c>
      <c r="N43" s="925">
        <f>ROUND((('1.4.조성법총괄(내부이동률 적용)'!J$11+'1.4.조성법총괄(내부이동률 적용)'!J$14*$AK$2)*$AB43)+(AQ$43*$AC43),0)</f>
        <v>951</v>
      </c>
      <c r="O43" s="925">
        <f>ROUND((('1.4.조성법총괄(내부이동률 적용)'!K$11+'1.4.조성법총괄(내부이동률 적용)'!K$14*$AK$2)*$AB43)+(AR$43*$AC43),0)</f>
        <v>954</v>
      </c>
      <c r="P43" s="925">
        <f>ROUND((('1.4.조성법총괄(내부이동률 적용)'!L$11+'1.4.조성법총괄(내부이동률 적용)'!L$14*$AK$2)*$AB43)+(AS$43*$AC43),0)</f>
        <v>957</v>
      </c>
      <c r="Q43" s="907">
        <f>ROUND((('1.4.조성법총괄(내부이동률 적용)'!M$11+'1.4.조성법총괄(내부이동률 적용)'!M$14*$AK$2)*$AB43)+(AT$43*$AC43),0)</f>
        <v>956</v>
      </c>
      <c r="R43" s="925">
        <f>ROUND((('1.4.조성법총괄(내부이동률 적용)'!N$11+'1.4.조성법총괄(내부이동률 적용)'!N$14*$AK$2)*$AB43)+(AU$43*$AC43),0)</f>
        <v>958</v>
      </c>
      <c r="S43" s="925">
        <f>ROUND((('1.4.조성법총괄(내부이동률 적용)'!O$11+'1.4.조성법총괄(내부이동률 적용)'!O$14*$AK$2)*$AB43)+(AV$43*$AC43),0)</f>
        <v>959</v>
      </c>
      <c r="T43" s="925">
        <f>ROUND((('1.4.조성법총괄(내부이동률 적용)'!P$11+'1.4.조성법총괄(내부이동률 적용)'!P$14*$AK$2)*$AB43)+(AW$43*$AC43),0)</f>
        <v>961</v>
      </c>
      <c r="U43" s="925">
        <f>ROUND((('1.4.조성법총괄(내부이동률 적용)'!Q$11+'1.4.조성법총괄(내부이동률 적용)'!Q$14*$AK$2)*$AB43)+(AX$43*$AC43),0)</f>
        <v>963</v>
      </c>
      <c r="V43" s="715">
        <f>ROUND((('1.4.조성법총괄(내부이동률 적용)'!R$11+'1.4.조성법총괄(내부이동률 적용)'!R$14*$AK$2)*$AB43)+(AY$43*$AC43),0)</f>
        <v>965</v>
      </c>
      <c r="W43" s="714">
        <f>ROUND((('1.4.조성법총괄(내부이동률 적용)'!S$11+'1.4.조성법총괄(내부이동률 적용)'!S$14*$AK$2)*$AB43)+(AZ$43*$AC43),0)</f>
        <v>967</v>
      </c>
      <c r="X43" s="714">
        <f>ROUND((('1.4.조성법총괄(내부이동률 적용)'!T$11+'1.4.조성법총괄(내부이동률 적용)'!T$14*$AK$2)*$AB43)+(BA$43*$AC43),0)</f>
        <v>968</v>
      </c>
      <c r="Y43" s="714">
        <f>ROUND((('1.4.조성법총괄(내부이동률 적용)'!U$11+'1.4.조성법총괄(내부이동률 적용)'!U$14*$AK$2)*$AB43)+(BB$43*$AC43),0)</f>
        <v>970</v>
      </c>
      <c r="Z43" s="714">
        <f>ROUND((('1.4.조성법총괄(내부이동률 적용)'!V$11+'1.4.조성법총괄(내부이동률 적용)'!V$14*$AK$2)*$AB43)+(BC$43*$AC43),0)</f>
        <v>971</v>
      </c>
      <c r="AA43" s="715">
        <f>ROUND((('1.4.조성법총괄(내부이동률 적용)'!W$11+'1.4.조성법총괄(내부이동률 적용)'!W$14*$AK$2)*$AB43)+(BD$43*$AC43),0)</f>
        <v>1149</v>
      </c>
      <c r="AB43" s="934">
        <f>+H43/'1.4.조성법총괄(내부이동률 적용)'!$D$15</f>
        <v>4.1328318659714508E-2</v>
      </c>
      <c r="AC43" s="934">
        <f>+H43/$AE$41</f>
        <v>5.3029887578831918E-2</v>
      </c>
      <c r="AD43" s="1080"/>
      <c r="AE43" s="175"/>
      <c r="AF43" s="855"/>
      <c r="AG43" s="863"/>
      <c r="AH43" s="865" t="str">
        <f>+'사회적유입인구의 처리구역별 배분(적용)'!C37</f>
        <v>소  계</v>
      </c>
      <c r="AI43" s="862">
        <f>+'사회적유입인구의 처리구역별 배분(적용)'!D37</f>
        <v>0</v>
      </c>
      <c r="AJ43" s="862">
        <f>+'사회적유입인구의 처리구역별 배분(적용)'!E37</f>
        <v>0</v>
      </c>
      <c r="AK43" s="862">
        <f>+'사회적유입인구의 처리구역별 배분(적용)'!F37</f>
        <v>0</v>
      </c>
      <c r="AL43" s="862">
        <f>+'사회적유입인구의 처리구역별 배분(적용)'!G37</f>
        <v>0</v>
      </c>
      <c r="AM43" s="862">
        <f>+'사회적유입인구의 처리구역별 배분(적용)'!H37</f>
        <v>0</v>
      </c>
      <c r="AN43" s="862">
        <f>+'사회적유입인구의 처리구역별 배분(적용)'!I37</f>
        <v>0</v>
      </c>
      <c r="AO43" s="862">
        <f>+'사회적유입인구의 처리구역별 배분(적용)'!J37</f>
        <v>0</v>
      </c>
      <c r="AP43" s="862">
        <f>+'사회적유입인구의 처리구역별 배분(적용)'!K37</f>
        <v>0</v>
      </c>
      <c r="AQ43" s="862">
        <f>+'사회적유입인구의 처리구역별 배분(적용)'!L37</f>
        <v>0</v>
      </c>
      <c r="AR43" s="862">
        <f>+'사회적유입인구의 처리구역별 배분(적용)'!M37</f>
        <v>0</v>
      </c>
      <c r="AS43" s="862">
        <f>+'사회적유입인구의 처리구역별 배분(적용)'!N37</f>
        <v>0</v>
      </c>
      <c r="AT43" s="862">
        <f>+'사회적유입인구의 처리구역별 배분(적용)'!O37</f>
        <v>0</v>
      </c>
      <c r="AU43" s="862">
        <f>+'사회적유입인구의 처리구역별 배분(적용)'!P37</f>
        <v>0</v>
      </c>
      <c r="AV43" s="862">
        <f>+'사회적유입인구의 처리구역별 배분(적용)'!Q37</f>
        <v>0</v>
      </c>
      <c r="AW43" s="862">
        <f>+'사회적유입인구의 처리구역별 배분(적용)'!R37</f>
        <v>0</v>
      </c>
      <c r="AX43" s="862">
        <f>+'사회적유입인구의 처리구역별 배분(적용)'!S37</f>
        <v>0</v>
      </c>
      <c r="AY43" s="862">
        <f>+'사회적유입인구의 처리구역별 배분(적용)'!T37</f>
        <v>0</v>
      </c>
      <c r="AZ43" s="862">
        <f>+'사회적유입인구의 처리구역별 배분(적용)'!U37</f>
        <v>0</v>
      </c>
      <c r="BA43" s="862">
        <f>+'사회적유입인구의 처리구역별 배분(적용)'!V37</f>
        <v>0</v>
      </c>
      <c r="BB43" s="862">
        <f>+'사회적유입인구의 처리구역별 배분(적용)'!W37</f>
        <v>0</v>
      </c>
      <c r="BC43" s="862">
        <f>+'사회적유입인구의 처리구역별 배분(적용)'!X37</f>
        <v>0</v>
      </c>
      <c r="BD43" s="862">
        <f>+'사회적유입인구의 처리구역별 배분(적용)'!Y37</f>
        <v>3334</v>
      </c>
      <c r="BE43" s="871"/>
    </row>
    <row r="44" spans="1:57" ht="24" customHeight="1">
      <c r="A44" s="2640"/>
      <c r="B44" s="2678"/>
      <c r="C44" s="2678"/>
      <c r="D44" s="2682"/>
      <c r="E44" s="1103" t="s">
        <v>957</v>
      </c>
      <c r="F44" s="713"/>
      <c r="G44" s="935">
        <f>+'2014처리구역인구 정리'!I40</f>
        <v>481</v>
      </c>
      <c r="H44" s="935">
        <f>+'2014처리구역인구 정리'!J40</f>
        <v>520</v>
      </c>
      <c r="I44" s="925">
        <f>ROUND((('1.4.조성법총괄(내부이동률 적용)'!E$11+'1.4.조성법총괄(내부이동률 적용)'!E$14*$AK$2)*$AB44)+(AL$43*$AC44),0)</f>
        <v>516</v>
      </c>
      <c r="J44" s="925">
        <f>ROUND((('1.4.조성법총괄(내부이동률 적용)'!F$11+'1.4.조성법총괄(내부이동률 적용)'!F$14*$AK$2)*$AB44)+(AM$43*$AC44),0)</f>
        <v>517</v>
      </c>
      <c r="K44" s="925">
        <f>ROUND((('1.4.조성법총괄(내부이동률 적용)'!G$11+'1.4.조성법총괄(내부이동률 적용)'!G$14*$AK$2)*$AB44)+(AN$43*$AC44),0)</f>
        <v>518</v>
      </c>
      <c r="L44" s="907">
        <f>ROUND((('1.4.조성법총괄(내부이동률 적용)'!H$11+'1.4.조성법총괄(내부이동률 적용)'!H$14*$AK$2)*$AB44)+(AO$43*$AC44),0)</f>
        <v>508</v>
      </c>
      <c r="M44" s="925">
        <f>ROUND((('1.4.조성법총괄(내부이동률 적용)'!I$11+'1.4.조성법총괄(내부이동률 적용)'!I$14*$AK$2)*$AB44)+(AP$43*$AC44),0)</f>
        <v>510</v>
      </c>
      <c r="N44" s="925">
        <f>ROUND((('1.4.조성법총괄(내부이동률 적용)'!J$11+'1.4.조성법총괄(내부이동률 적용)'!J$14*$AK$2)*$AB44)+(AQ$43*$AC44),0)</f>
        <v>511</v>
      </c>
      <c r="O44" s="925">
        <f>ROUND((('1.4.조성법총괄(내부이동률 적용)'!K$11+'1.4.조성법총괄(내부이동률 적용)'!K$14*$AK$2)*$AB44)+(AR$43*$AC44),0)</f>
        <v>513</v>
      </c>
      <c r="P44" s="925">
        <f>ROUND((('1.4.조성법총괄(내부이동률 적용)'!L$11+'1.4.조성법총괄(내부이동률 적용)'!L$14*$AK$2)*$AB44)+(AS$43*$AC44),0)</f>
        <v>514</v>
      </c>
      <c r="Q44" s="907">
        <f>ROUND((('1.4.조성법총괄(내부이동률 적용)'!M$11+'1.4.조성법총괄(내부이동률 적용)'!M$14*$AK$2)*$AB44)+(AT$43*$AC44),0)</f>
        <v>514</v>
      </c>
      <c r="R44" s="925">
        <f>ROUND((('1.4.조성법총괄(내부이동률 적용)'!N$11+'1.4.조성법총괄(내부이동률 적용)'!N$14*$AK$2)*$AB44)+(AU$43*$AC44),0)</f>
        <v>515</v>
      </c>
      <c r="S44" s="925">
        <f>ROUND((('1.4.조성법총괄(내부이동률 적용)'!O$11+'1.4.조성법총괄(내부이동률 적용)'!O$14*$AK$2)*$AB44)+(AV$43*$AC44),0)</f>
        <v>516</v>
      </c>
      <c r="T44" s="925">
        <f>ROUND((('1.4.조성법총괄(내부이동률 적용)'!P$11+'1.4.조성법총괄(내부이동률 적용)'!P$14*$AK$2)*$AB44)+(AW$43*$AC44),0)</f>
        <v>517</v>
      </c>
      <c r="U44" s="925">
        <f>ROUND((('1.4.조성법총괄(내부이동률 적용)'!Q$11+'1.4.조성법총괄(내부이동률 적용)'!Q$14*$AK$2)*$AB44)+(AX$43*$AC44),0)</f>
        <v>518</v>
      </c>
      <c r="V44" s="715">
        <f>ROUND((('1.4.조성법총괄(내부이동률 적용)'!R$11+'1.4.조성법총괄(내부이동률 적용)'!R$14*$AK$2)*$AB44)+(AY$43*$AC44),0)</f>
        <v>519</v>
      </c>
      <c r="W44" s="714">
        <f>ROUND((('1.4.조성법총괄(내부이동률 적용)'!S$11+'1.4.조성법총괄(내부이동률 적용)'!S$14*$AK$2)*$AB44)+(AZ$43*$AC44),0)</f>
        <v>520</v>
      </c>
      <c r="X44" s="714">
        <f>ROUND((('1.4.조성법총괄(내부이동률 적용)'!T$11+'1.4.조성법총괄(내부이동률 적용)'!T$14*$AK$2)*$AB44)+(BA$43*$AC44),0)</f>
        <v>521</v>
      </c>
      <c r="Y44" s="714">
        <f>ROUND((('1.4.조성법총괄(내부이동률 적용)'!U$11+'1.4.조성법총괄(내부이동률 적용)'!U$14*$AK$2)*$AB44)+(BB$43*$AC44),0)</f>
        <v>521</v>
      </c>
      <c r="Z44" s="714">
        <f>ROUND((('1.4.조성법총괄(내부이동률 적용)'!V$11+'1.4.조성법총괄(내부이동률 적용)'!V$14*$AK$2)*$AB44)+(BC$43*$AC44),0)</f>
        <v>522</v>
      </c>
      <c r="AA44" s="715">
        <f>ROUND((('1.4.조성법총괄(내부이동률 적용)'!W$11+'1.4.조성법총괄(내부이동률 적용)'!W$14*$AK$2)*$AB44)+(BD$43*$AC44),0)</f>
        <v>618</v>
      </c>
      <c r="AB44" s="934">
        <f>+H44/'1.4.조성법총괄(내부이동률 적용)'!$D$15</f>
        <v>2.2224121719805111E-2</v>
      </c>
      <c r="AC44" s="934">
        <f>+H44/$AE$41</f>
        <v>2.8516588977241568E-2</v>
      </c>
      <c r="AD44" s="1080"/>
      <c r="AE44" s="1"/>
      <c r="AF44" s="860"/>
      <c r="AG44" s="861" t="s">
        <v>24</v>
      </c>
      <c r="AH44" s="861"/>
      <c r="AI44" s="872">
        <f>+'사회적유입인구의 처리구역별 배분(적용)'!D38</f>
        <v>0</v>
      </c>
      <c r="AJ44" s="872">
        <f>+'사회적유입인구의 처리구역별 배분(적용)'!E38</f>
        <v>0</v>
      </c>
      <c r="AK44" s="872">
        <f>+'사회적유입인구의 처리구역별 배분(적용)'!F38</f>
        <v>0</v>
      </c>
      <c r="AL44" s="872">
        <f>+'사회적유입인구의 처리구역별 배분(적용)'!G38</f>
        <v>593</v>
      </c>
      <c r="AM44" s="872">
        <f>+'사회적유입인구의 처리구역별 배분(적용)'!H38</f>
        <v>593</v>
      </c>
      <c r="AN44" s="872">
        <f>+'사회적유입인구의 처리구역별 배분(적용)'!I38</f>
        <v>593</v>
      </c>
      <c r="AO44" s="872">
        <f>+'사회적유입인구의 처리구역별 배분(적용)'!J38</f>
        <v>2899</v>
      </c>
      <c r="AP44" s="872">
        <f>+'사회적유입인구의 처리구역별 배분(적용)'!K38</f>
        <v>2899</v>
      </c>
      <c r="AQ44" s="872">
        <f>+'사회적유입인구의 처리구역별 배분(적용)'!L38</f>
        <v>2899</v>
      </c>
      <c r="AR44" s="872">
        <f>+'사회적유입인구의 처리구역별 배분(적용)'!M38</f>
        <v>2899</v>
      </c>
      <c r="AS44" s="872">
        <f>+'사회적유입인구의 처리구역별 배분(적용)'!N38</f>
        <v>2899</v>
      </c>
      <c r="AT44" s="872">
        <f>+'사회적유입인구의 처리구역별 배분(적용)'!O38</f>
        <v>3345</v>
      </c>
      <c r="AU44" s="872">
        <f>+'사회적유입인구의 처리구역별 배분(적용)'!P38</f>
        <v>3345</v>
      </c>
      <c r="AV44" s="872">
        <f>+'사회적유입인구의 처리구역별 배분(적용)'!Q38</f>
        <v>3345</v>
      </c>
      <c r="AW44" s="872">
        <f>+'사회적유입인구의 처리구역별 배분(적용)'!R38</f>
        <v>3345</v>
      </c>
      <c r="AX44" s="872">
        <f>+'사회적유입인구의 처리구역별 배분(적용)'!S38</f>
        <v>3345</v>
      </c>
      <c r="AY44" s="872">
        <f>+'사회적유입인구의 처리구역별 배분(적용)'!T38</f>
        <v>3345</v>
      </c>
      <c r="AZ44" s="872">
        <f>+'사회적유입인구의 처리구역별 배분(적용)'!U38</f>
        <v>3345</v>
      </c>
      <c r="BA44" s="872">
        <f>+'사회적유입인구의 처리구역별 배분(적용)'!V38</f>
        <v>3345</v>
      </c>
      <c r="BB44" s="872">
        <f>+'사회적유입인구의 처리구역별 배분(적용)'!W38</f>
        <v>3345</v>
      </c>
      <c r="BC44" s="872">
        <f>+'사회적유입인구의 처리구역별 배분(적용)'!X38</f>
        <v>3345</v>
      </c>
      <c r="BD44" s="872">
        <f>+'사회적유입인구의 처리구역별 배분(적용)'!Y38</f>
        <v>8233</v>
      </c>
      <c r="BE44" s="873"/>
    </row>
    <row r="45" spans="1:57" ht="24" customHeight="1">
      <c r="A45" s="2640"/>
      <c r="B45" s="2678"/>
      <c r="C45" s="2678"/>
      <c r="D45" s="2682"/>
      <c r="E45" s="1103" t="s">
        <v>959</v>
      </c>
      <c r="F45" s="713"/>
      <c r="G45" s="935">
        <f>+'2014처리구역인구 정리'!I41</f>
        <v>401</v>
      </c>
      <c r="H45" s="935">
        <f>+'2014처리구역인구 정리'!J41</f>
        <v>439</v>
      </c>
      <c r="I45" s="925">
        <f>ROUND((('1.4.조성법총괄(내부이동률 적용)'!E$11+'1.4.조성법총괄(내부이동률 적용)'!E$14*$AK$2)*$AB45)+(AL$43*$AC45),0)</f>
        <v>436</v>
      </c>
      <c r="J45" s="925">
        <f>ROUND((('1.4.조성법총괄(내부이동률 적용)'!F$11+'1.4.조성법총괄(내부이동률 적용)'!F$14*$AK$2)*$AB45)+(AM$43*$AC45),0)</f>
        <v>437</v>
      </c>
      <c r="K45" s="925">
        <f>ROUND((('1.4.조성법총괄(내부이동률 적용)'!G$11+'1.4.조성법총괄(내부이동률 적용)'!G$14*$AK$2)*$AB45)+(AN$43*$AC45),0)</f>
        <v>437</v>
      </c>
      <c r="L45" s="907">
        <f>ROUND((('1.4.조성법총괄(내부이동률 적용)'!H$11+'1.4.조성법총괄(내부이동률 적용)'!H$14*$AK$2)*$AB45)+(AO$43*$AC45),0)</f>
        <v>429</v>
      </c>
      <c r="M45" s="925">
        <f>ROUND((('1.4.조성법총괄(내부이동률 적용)'!I$11+'1.4.조성법총괄(내부이동률 적용)'!I$14*$AK$2)*$AB45)+(AP$43*$AC45),0)</f>
        <v>430</v>
      </c>
      <c r="N45" s="925">
        <f>ROUND((('1.4.조성법총괄(내부이동률 적용)'!J$11+'1.4.조성법총괄(내부이동률 적용)'!J$14*$AK$2)*$AB45)+(AQ$43*$AC45),0)</f>
        <v>432</v>
      </c>
      <c r="O45" s="925">
        <f>ROUND((('1.4.조성법총괄(내부이동률 적용)'!K$11+'1.4.조성법총괄(내부이동률 적용)'!K$14*$AK$2)*$AB45)+(AR$43*$AC45),0)</f>
        <v>433</v>
      </c>
      <c r="P45" s="925">
        <f>ROUND((('1.4.조성법총괄(내부이동률 적용)'!L$11+'1.4.조성법총괄(내부이동률 적용)'!L$14*$AK$2)*$AB45)+(AS$43*$AC45),0)</f>
        <v>434</v>
      </c>
      <c r="Q45" s="907">
        <f>ROUND((('1.4.조성법총괄(내부이동률 적용)'!M$11+'1.4.조성법총괄(내부이동률 적용)'!M$14*$AK$2)*$AB45)+(AT$43*$AC45),0)</f>
        <v>434</v>
      </c>
      <c r="R45" s="925">
        <f>ROUND((('1.4.조성법총괄(내부이동률 적용)'!N$11+'1.4.조성법총괄(내부이동률 적용)'!N$14*$AK$2)*$AB45)+(AU$43*$AC45),0)</f>
        <v>435</v>
      </c>
      <c r="S45" s="925">
        <f>ROUND((('1.4.조성법총괄(내부이동률 적용)'!O$11+'1.4.조성법총괄(내부이동률 적용)'!O$14*$AK$2)*$AB45)+(AV$43*$AC45),0)</f>
        <v>436</v>
      </c>
      <c r="T45" s="925">
        <f>ROUND((('1.4.조성법총괄(내부이동률 적용)'!P$11+'1.4.조성법총괄(내부이동률 적용)'!P$14*$AK$2)*$AB45)+(AW$43*$AC45),0)</f>
        <v>436</v>
      </c>
      <c r="U45" s="925">
        <f>ROUND((('1.4.조성법총괄(내부이동률 적용)'!Q$11+'1.4.조성법총괄(내부이동률 적용)'!Q$14*$AK$2)*$AB45)+(AX$43*$AC45),0)</f>
        <v>437</v>
      </c>
      <c r="V45" s="715">
        <f>ROUND((('1.4.조성법총괄(내부이동률 적용)'!R$11+'1.4.조성법총괄(내부이동률 적용)'!R$14*$AK$2)*$AB45)+(AY$43*$AC45),0)</f>
        <v>438</v>
      </c>
      <c r="W45" s="714">
        <f>ROUND((('1.4.조성법총괄(내부이동률 적용)'!S$11+'1.4.조성법총괄(내부이동률 적용)'!S$14*$AK$2)*$AB45)+(AZ$43*$AC45),0)</f>
        <v>439</v>
      </c>
      <c r="X45" s="714">
        <f>ROUND((('1.4.조성법총괄(내부이동률 적용)'!T$11+'1.4.조성법총괄(내부이동률 적용)'!T$14*$AK$2)*$AB45)+(BA$43*$AC45),0)</f>
        <v>439</v>
      </c>
      <c r="Y45" s="714">
        <f>ROUND((('1.4.조성법총괄(내부이동률 적용)'!U$11+'1.4.조성법총괄(내부이동률 적용)'!U$14*$AK$2)*$AB45)+(BB$43*$AC45),0)</f>
        <v>440</v>
      </c>
      <c r="Z45" s="714">
        <f>ROUND((('1.4.조성법총괄(내부이동률 적용)'!V$11+'1.4.조성법총괄(내부이동률 적용)'!V$14*$AK$2)*$AB45)+(BC$43*$AC45),0)</f>
        <v>441</v>
      </c>
      <c r="AA45" s="715">
        <f>ROUND((('1.4.조성법총괄(내부이동률 적용)'!W$11+'1.4.조성법총괄(내부이동률 적용)'!W$14*$AK$2)*$AB45)+(BD$43*$AC45),0)</f>
        <v>522</v>
      </c>
      <c r="AB45" s="934">
        <f>+H45/'1.4.조성법총괄(내부이동률 적용)'!$D$15</f>
        <v>1.8762287374989316E-2</v>
      </c>
      <c r="AC45" s="934">
        <f>+H45/$AE$41</f>
        <v>2.4074581848094325E-2</v>
      </c>
      <c r="AD45" s="1080"/>
      <c r="AE45" s="1"/>
      <c r="AF45" s="1131" t="s">
        <v>1456</v>
      </c>
      <c r="AG45" s="1132" t="s">
        <v>96</v>
      </c>
      <c r="AH45" s="1129" t="str">
        <f>+'사회적유입인구의 처리구역별 배분(적용)'!C39</f>
        <v>소이산업단지 확장</v>
      </c>
      <c r="AI45" s="872">
        <f>+'사회적유입인구의 처리구역별 배분(적용)'!D39</f>
        <v>0</v>
      </c>
      <c r="AJ45" s="872">
        <f>+'사회적유입인구의 처리구역별 배분(적용)'!E39</f>
        <v>0</v>
      </c>
      <c r="AK45" s="872">
        <f>+'사회적유입인구의 처리구역별 배분(적용)'!F39</f>
        <v>0</v>
      </c>
      <c r="AL45" s="872">
        <f>+'사회적유입인구의 처리구역별 배분(적용)'!G39</f>
        <v>0</v>
      </c>
      <c r="AM45" s="872">
        <f>+'사회적유입인구의 처리구역별 배분(적용)'!H39</f>
        <v>0</v>
      </c>
      <c r="AN45" s="872">
        <f>+'사회적유입인구의 처리구역별 배분(적용)'!I39</f>
        <v>0</v>
      </c>
      <c r="AO45" s="872">
        <f>+'사회적유입인구의 처리구역별 배분(적용)'!J39</f>
        <v>0</v>
      </c>
      <c r="AP45" s="872">
        <f>+'사회적유입인구의 처리구역별 배분(적용)'!K39</f>
        <v>0</v>
      </c>
      <c r="AQ45" s="872">
        <f>+'사회적유입인구의 처리구역별 배분(적용)'!L39</f>
        <v>0</v>
      </c>
      <c r="AR45" s="872">
        <f>+'사회적유입인구의 처리구역별 배분(적용)'!M39</f>
        <v>0</v>
      </c>
      <c r="AS45" s="872">
        <f>+'사회적유입인구의 처리구역별 배분(적용)'!N39</f>
        <v>0</v>
      </c>
      <c r="AT45" s="872">
        <f>+'사회적유입인구의 처리구역별 배분(적용)'!O39</f>
        <v>0</v>
      </c>
      <c r="AU45" s="872">
        <f>+'사회적유입인구의 처리구역별 배분(적용)'!P39</f>
        <v>0</v>
      </c>
      <c r="AV45" s="872">
        <f>+'사회적유입인구의 처리구역별 배분(적용)'!Q39</f>
        <v>0</v>
      </c>
      <c r="AW45" s="872">
        <f>+'사회적유입인구의 처리구역별 배분(적용)'!R39</f>
        <v>0</v>
      </c>
      <c r="AX45" s="872">
        <f>+'사회적유입인구의 처리구역별 배분(적용)'!S39</f>
        <v>0</v>
      </c>
      <c r="AY45" s="872">
        <f>+'사회적유입인구의 처리구역별 배분(적용)'!T39</f>
        <v>0</v>
      </c>
      <c r="AZ45" s="872">
        <f>+'사회적유입인구의 처리구역별 배분(적용)'!U39</f>
        <v>0</v>
      </c>
      <c r="BA45" s="872">
        <f>+'사회적유입인구의 처리구역별 배분(적용)'!V39</f>
        <v>0</v>
      </c>
      <c r="BB45" s="872">
        <f>+'사회적유입인구의 처리구역별 배분(적용)'!W39</f>
        <v>0</v>
      </c>
      <c r="BC45" s="872">
        <f>+'사회적유입인구의 처리구역별 배분(적용)'!X39</f>
        <v>0</v>
      </c>
      <c r="BD45" s="872">
        <f>+'사회적유입인구의 처리구역별 배분(적용)'!Y39</f>
        <v>368</v>
      </c>
      <c r="BE45" s="876">
        <f>+'사회적유입인구의 처리구역별 배분(적용)'!Z39</f>
        <v>0.5</v>
      </c>
    </row>
    <row r="46" spans="1:57" ht="24" customHeight="1">
      <c r="A46" s="2640"/>
      <c r="B46" s="2678"/>
      <c r="C46" s="2678"/>
      <c r="D46" s="2682"/>
      <c r="E46" s="1103" t="s">
        <v>1260</v>
      </c>
      <c r="F46" s="713"/>
      <c r="G46" s="935">
        <f>+'2014처리구역인구 정리'!I42</f>
        <v>1470</v>
      </c>
      <c r="H46" s="935">
        <f>+'2014처리구역인구 정리'!J42</f>
        <v>1608</v>
      </c>
      <c r="I46" s="925">
        <f>ROUND((('1.4.조성법총괄(내부이동률 적용)'!E$11+'1.4.조성법총괄(내부이동률 적용)'!E$14*$AK$2)*$AB46)+(AL$43*$AC46),0)</f>
        <v>1597</v>
      </c>
      <c r="J46" s="925">
        <f>ROUND((('1.4.조성법총괄(내부이동률 적용)'!F$11+'1.4.조성법총괄(내부이동률 적용)'!F$14*$AK$2)*$AB46)+(AM$43*$AC46),0)</f>
        <v>1599</v>
      </c>
      <c r="K46" s="925">
        <f>ROUND((('1.4.조성법총괄(내부이동률 적용)'!G$11+'1.4.조성법총괄(내부이동률 적용)'!G$14*$AK$2)*$AB46)+(AN$43*$AC46),0)</f>
        <v>1602</v>
      </c>
      <c r="L46" s="907">
        <f>ROUND((('1.4.조성법총괄(내부이동률 적용)'!H$11+'1.4.조성법총괄(내부이동률 적용)'!H$14*$AK$2)*$AB46)+(AO$43*$AC46),0)</f>
        <v>1571</v>
      </c>
      <c r="M46" s="925">
        <f>ROUND((('1.4.조성법총괄(내부이동률 적용)'!I$11+'1.4.조성법총괄(내부이동률 적용)'!I$14*$AK$2)*$AB46)+(AP$43*$AC46),0)</f>
        <v>1576</v>
      </c>
      <c r="N46" s="925">
        <f>ROUND((('1.4.조성법총괄(내부이동률 적용)'!J$11+'1.4.조성법총괄(내부이동률 적용)'!J$14*$AK$2)*$AB46)+(AQ$43*$AC46),0)</f>
        <v>1581</v>
      </c>
      <c r="O46" s="925">
        <f>ROUND((('1.4.조성법총괄(내부이동률 적용)'!K$11+'1.4.조성법총괄(내부이동률 적용)'!K$14*$AK$2)*$AB46)+(AR$43*$AC46),0)</f>
        <v>1586</v>
      </c>
      <c r="P46" s="925">
        <f>ROUND((('1.4.조성법총괄(내부이동률 적용)'!L$11+'1.4.조성법총괄(내부이동률 적용)'!L$14*$AK$2)*$AB46)+(AS$43*$AC46),0)</f>
        <v>1591</v>
      </c>
      <c r="Q46" s="907">
        <f>ROUND((('1.4.조성법총괄(내부이동률 적용)'!M$11+'1.4.조성법총괄(내부이동률 적용)'!M$14*$AK$2)*$AB46)+(AT$43*$AC46),0)</f>
        <v>1589</v>
      </c>
      <c r="R46" s="925">
        <f>ROUND((('1.4.조성법총괄(내부이동률 적용)'!N$11+'1.4.조성법총괄(내부이동률 적용)'!N$14*$AK$2)*$AB46)+(AU$43*$AC46),0)</f>
        <v>1592</v>
      </c>
      <c r="S46" s="925">
        <f>ROUND((('1.4.조성법총괄(내부이동률 적용)'!O$11+'1.4.조성법총괄(내부이동률 적용)'!O$14*$AK$2)*$AB46)+(AV$43*$AC46),0)</f>
        <v>1595</v>
      </c>
      <c r="T46" s="925">
        <f>ROUND((('1.4.조성법총괄(내부이동률 적용)'!P$11+'1.4.조성법총괄(내부이동률 적용)'!P$14*$AK$2)*$AB46)+(AW$43*$AC46),0)</f>
        <v>1599</v>
      </c>
      <c r="U46" s="925">
        <f>ROUND((('1.4.조성법총괄(내부이동률 적용)'!Q$11+'1.4.조성법총괄(내부이동률 적용)'!Q$14*$AK$2)*$AB46)+(AX$43*$AC46),0)</f>
        <v>1602</v>
      </c>
      <c r="V46" s="715">
        <f>ROUND((('1.4.조성법총괄(내부이동률 적용)'!R$11+'1.4.조성법총괄(내부이동률 적용)'!R$14*$AK$2)*$AB46)+(AY$43*$AC46),0)</f>
        <v>1605</v>
      </c>
      <c r="W46" s="714">
        <f>ROUND((('1.4.조성법총괄(내부이동률 적용)'!S$11+'1.4.조성법총괄(내부이동률 적용)'!S$14*$AK$2)*$AB46)+(AZ$43*$AC46),0)</f>
        <v>1607</v>
      </c>
      <c r="X46" s="714">
        <f>ROUND((('1.4.조성법총괄(내부이동률 적용)'!T$11+'1.4.조성법총괄(내부이동률 적용)'!T$14*$AK$2)*$AB46)+(BA$43*$AC46),0)</f>
        <v>1610</v>
      </c>
      <c r="Y46" s="714">
        <f>ROUND((('1.4.조성법총괄(내부이동률 적용)'!U$11+'1.4.조성법총괄(내부이동률 적용)'!U$14*$AK$2)*$AB46)+(BB$43*$AC46),0)</f>
        <v>1612</v>
      </c>
      <c r="Z46" s="714">
        <f>ROUND((('1.4.조성법총괄(내부이동률 적용)'!V$11+'1.4.조성법총괄(내부이동률 적용)'!V$14*$AK$2)*$AB46)+(BC$43*$AC46),0)</f>
        <v>1615</v>
      </c>
      <c r="AA46" s="715">
        <f>ROUND((('1.4.조성법총괄(내부이동률 적용)'!W$11+'1.4.조성법총괄(내부이동률 적용)'!W$14*$AK$2)*$AB46)+(BD$43*$AC46),0)</f>
        <v>1911</v>
      </c>
      <c r="AB46" s="934">
        <f>+H46/'1.4.조성법총괄(내부이동률 적용)'!$D$15</f>
        <v>6.8723822548935803E-2</v>
      </c>
      <c r="AC46" s="934">
        <f>+H46/$AE$41</f>
        <v>8.8182067452700852E-2</v>
      </c>
      <c r="AD46" s="1080"/>
      <c r="AE46" s="711"/>
      <c r="AF46" s="1168"/>
      <c r="AG46" s="1171"/>
      <c r="AH46" s="1130" t="str">
        <f>+'사회적유입인구의 처리구역별 배분(적용)'!C40</f>
        <v>소  계</v>
      </c>
      <c r="AI46" s="872">
        <f>+'사회적유입인구의 처리구역별 배분(적용)'!D40</f>
        <v>0</v>
      </c>
      <c r="AJ46" s="872">
        <f>+'사회적유입인구의 처리구역별 배분(적용)'!E40</f>
        <v>0</v>
      </c>
      <c r="AK46" s="872">
        <f>+'사회적유입인구의 처리구역별 배분(적용)'!F40</f>
        <v>0</v>
      </c>
      <c r="AL46" s="872">
        <f>+'사회적유입인구의 처리구역별 배분(적용)'!G40</f>
        <v>0</v>
      </c>
      <c r="AM46" s="872">
        <f>+'사회적유입인구의 처리구역별 배분(적용)'!H40</f>
        <v>0</v>
      </c>
      <c r="AN46" s="872">
        <f>+'사회적유입인구의 처리구역별 배분(적용)'!I40</f>
        <v>0</v>
      </c>
      <c r="AO46" s="872">
        <f>+'사회적유입인구의 처리구역별 배분(적용)'!J40</f>
        <v>0</v>
      </c>
      <c r="AP46" s="872">
        <f>+'사회적유입인구의 처리구역별 배분(적용)'!K40</f>
        <v>0</v>
      </c>
      <c r="AQ46" s="872">
        <f>+'사회적유입인구의 처리구역별 배분(적용)'!L40</f>
        <v>0</v>
      </c>
      <c r="AR46" s="872">
        <f>+'사회적유입인구의 처리구역별 배분(적용)'!M40</f>
        <v>0</v>
      </c>
      <c r="AS46" s="872">
        <f>+'사회적유입인구의 처리구역별 배분(적용)'!N40</f>
        <v>0</v>
      </c>
      <c r="AT46" s="872">
        <f>+'사회적유입인구의 처리구역별 배분(적용)'!O40</f>
        <v>0</v>
      </c>
      <c r="AU46" s="872">
        <f>+'사회적유입인구의 처리구역별 배분(적용)'!P40</f>
        <v>0</v>
      </c>
      <c r="AV46" s="872">
        <f>+'사회적유입인구의 처리구역별 배분(적용)'!Q40</f>
        <v>0</v>
      </c>
      <c r="AW46" s="872">
        <f>+'사회적유입인구의 처리구역별 배분(적용)'!R40</f>
        <v>0</v>
      </c>
      <c r="AX46" s="872">
        <f>+'사회적유입인구의 처리구역별 배분(적용)'!S40</f>
        <v>0</v>
      </c>
      <c r="AY46" s="872">
        <f>+'사회적유입인구의 처리구역별 배분(적용)'!T40</f>
        <v>0</v>
      </c>
      <c r="AZ46" s="872">
        <f>+'사회적유입인구의 처리구역별 배분(적용)'!U40</f>
        <v>0</v>
      </c>
      <c r="BA46" s="872">
        <f>+'사회적유입인구의 처리구역별 배분(적용)'!V40</f>
        <v>0</v>
      </c>
      <c r="BB46" s="872">
        <f>+'사회적유입인구의 처리구역별 배분(적용)'!W40</f>
        <v>0</v>
      </c>
      <c r="BC46" s="872">
        <f>+'사회적유입인구의 처리구역별 배분(적용)'!X40</f>
        <v>0</v>
      </c>
      <c r="BD46" s="872">
        <f>+'사회적유입인구의 처리구역별 배분(적용)'!Y40</f>
        <v>368</v>
      </c>
      <c r="BE46" s="871"/>
    </row>
    <row r="47" spans="1:57" ht="24" customHeight="1">
      <c r="A47" s="2640"/>
      <c r="B47" s="2678"/>
      <c r="C47" s="2678"/>
      <c r="D47" s="2682"/>
      <c r="E47" s="1106" t="s">
        <v>1268</v>
      </c>
      <c r="F47" s="713"/>
      <c r="G47" s="935">
        <f t="shared" ref="G47:P48" si="33">AJ27</f>
        <v>0</v>
      </c>
      <c r="H47" s="935">
        <f t="shared" si="33"/>
        <v>0</v>
      </c>
      <c r="I47" s="925">
        <f t="shared" ref="I47" si="34">AL27</f>
        <v>593</v>
      </c>
      <c r="J47" s="925">
        <f t="shared" ref="J47" si="35">AM27</f>
        <v>593</v>
      </c>
      <c r="K47" s="925">
        <f t="shared" ref="K47" si="36">AN27</f>
        <v>593</v>
      </c>
      <c r="L47" s="907">
        <f t="shared" ref="L47" si="37">AO27</f>
        <v>593</v>
      </c>
      <c r="M47" s="925">
        <f t="shared" ref="M47" si="38">AP27</f>
        <v>593</v>
      </c>
      <c r="N47" s="925">
        <f t="shared" ref="N47" si="39">AQ27</f>
        <v>593</v>
      </c>
      <c r="O47" s="925">
        <f t="shared" ref="O47" si="40">AR27</f>
        <v>593</v>
      </c>
      <c r="P47" s="925">
        <f t="shared" ref="P47" si="41">AS27</f>
        <v>593</v>
      </c>
      <c r="Q47" s="907">
        <f t="shared" ref="Q47" si="42">AT27</f>
        <v>593</v>
      </c>
      <c r="R47" s="925">
        <f t="shared" ref="R47" si="43">AU27</f>
        <v>593</v>
      </c>
      <c r="S47" s="925">
        <f t="shared" ref="S47" si="44">AV27</f>
        <v>593</v>
      </c>
      <c r="T47" s="925">
        <f t="shared" ref="T47" si="45">AW27</f>
        <v>593</v>
      </c>
      <c r="U47" s="925">
        <f t="shared" ref="U47" si="46">AX27</f>
        <v>593</v>
      </c>
      <c r="V47" s="715">
        <f t="shared" ref="V47" si="47">AY27</f>
        <v>593</v>
      </c>
      <c r="W47" s="714">
        <f t="shared" ref="W47" si="48">AZ27</f>
        <v>593</v>
      </c>
      <c r="X47" s="714">
        <f t="shared" ref="X47" si="49">BA27</f>
        <v>593</v>
      </c>
      <c r="Y47" s="714">
        <f t="shared" ref="Y47" si="50">BB27</f>
        <v>593</v>
      </c>
      <c r="Z47" s="714">
        <f t="shared" ref="Z47" si="51">BC27</f>
        <v>593</v>
      </c>
      <c r="AA47" s="715">
        <f t="shared" ref="AA47" si="52">BD27</f>
        <v>593</v>
      </c>
      <c r="AB47" s="934"/>
      <c r="AC47" s="934"/>
      <c r="AD47" s="1080" t="str">
        <f>AH27</f>
        <v>시티프라디움</v>
      </c>
      <c r="AE47" s="711" t="s">
        <v>1568</v>
      </c>
      <c r="AF47" s="1168"/>
      <c r="AG47" s="1133" t="s">
        <v>24</v>
      </c>
      <c r="AH47" s="1133"/>
      <c r="AI47" s="872">
        <f>+'사회적유입인구의 처리구역별 배분(적용)'!D41</f>
        <v>0</v>
      </c>
      <c r="AJ47" s="872">
        <f>+'사회적유입인구의 처리구역별 배분(적용)'!E41</f>
        <v>0</v>
      </c>
      <c r="AK47" s="872">
        <f>+'사회적유입인구의 처리구역별 배분(적용)'!F41</f>
        <v>0</v>
      </c>
      <c r="AL47" s="872">
        <f>+'사회적유입인구의 처리구역별 배분(적용)'!G41</f>
        <v>0</v>
      </c>
      <c r="AM47" s="872">
        <f>+'사회적유입인구의 처리구역별 배분(적용)'!H41</f>
        <v>0</v>
      </c>
      <c r="AN47" s="872">
        <f>+'사회적유입인구의 처리구역별 배분(적용)'!I41</f>
        <v>0</v>
      </c>
      <c r="AO47" s="872">
        <f>+'사회적유입인구의 처리구역별 배분(적용)'!J41</f>
        <v>0</v>
      </c>
      <c r="AP47" s="872">
        <f>+'사회적유입인구의 처리구역별 배분(적용)'!K41</f>
        <v>0</v>
      </c>
      <c r="AQ47" s="872">
        <f>+'사회적유입인구의 처리구역별 배분(적용)'!L41</f>
        <v>0</v>
      </c>
      <c r="AR47" s="872">
        <f>+'사회적유입인구의 처리구역별 배분(적용)'!M41</f>
        <v>0</v>
      </c>
      <c r="AS47" s="872">
        <f>+'사회적유입인구의 처리구역별 배분(적용)'!N41</f>
        <v>0</v>
      </c>
      <c r="AT47" s="872">
        <f>+'사회적유입인구의 처리구역별 배분(적용)'!O41</f>
        <v>0</v>
      </c>
      <c r="AU47" s="872">
        <f>+'사회적유입인구의 처리구역별 배분(적용)'!P41</f>
        <v>0</v>
      </c>
      <c r="AV47" s="872">
        <f>+'사회적유입인구의 처리구역별 배분(적용)'!Q41</f>
        <v>0</v>
      </c>
      <c r="AW47" s="872">
        <f>+'사회적유입인구의 처리구역별 배분(적용)'!R41</f>
        <v>0</v>
      </c>
      <c r="AX47" s="872">
        <f>+'사회적유입인구의 처리구역별 배분(적용)'!S41</f>
        <v>0</v>
      </c>
      <c r="AY47" s="872">
        <f>+'사회적유입인구의 처리구역별 배분(적용)'!T41</f>
        <v>0</v>
      </c>
      <c r="AZ47" s="872">
        <f>+'사회적유입인구의 처리구역별 배분(적용)'!U41</f>
        <v>0</v>
      </c>
      <c r="BA47" s="872">
        <f>+'사회적유입인구의 처리구역별 배분(적용)'!V41</f>
        <v>0</v>
      </c>
      <c r="BB47" s="872">
        <f>+'사회적유입인구의 처리구역별 배분(적용)'!W41</f>
        <v>0</v>
      </c>
      <c r="BC47" s="872">
        <f>+'사회적유입인구의 처리구역별 배분(적용)'!X41</f>
        <v>0</v>
      </c>
      <c r="BD47" s="872">
        <f>+'사회적유입인구의 처리구역별 배분(적용)'!Y41</f>
        <v>368</v>
      </c>
      <c r="BE47" s="873"/>
    </row>
    <row r="48" spans="1:57" ht="24" customHeight="1">
      <c r="A48" s="2640"/>
      <c r="B48" s="2678"/>
      <c r="C48" s="2678"/>
      <c r="D48" s="2683"/>
      <c r="E48" s="1106" t="s">
        <v>149</v>
      </c>
      <c r="F48" s="713"/>
      <c r="G48" s="935">
        <f t="shared" si="33"/>
        <v>0</v>
      </c>
      <c r="H48" s="935">
        <f t="shared" si="33"/>
        <v>0</v>
      </c>
      <c r="I48" s="925">
        <f t="shared" si="33"/>
        <v>0</v>
      </c>
      <c r="J48" s="925">
        <f t="shared" si="33"/>
        <v>0</v>
      </c>
      <c r="K48" s="925">
        <f t="shared" si="33"/>
        <v>0</v>
      </c>
      <c r="L48" s="907">
        <f t="shared" si="33"/>
        <v>0</v>
      </c>
      <c r="M48" s="925">
        <f t="shared" si="33"/>
        <v>0</v>
      </c>
      <c r="N48" s="925">
        <f t="shared" si="33"/>
        <v>0</v>
      </c>
      <c r="O48" s="925">
        <f t="shared" si="33"/>
        <v>0</v>
      </c>
      <c r="P48" s="925">
        <f t="shared" si="33"/>
        <v>0</v>
      </c>
      <c r="Q48" s="907">
        <f t="shared" ref="Q48:Z48" si="53">AT28</f>
        <v>446</v>
      </c>
      <c r="R48" s="925">
        <f t="shared" si="53"/>
        <v>446</v>
      </c>
      <c r="S48" s="925">
        <f t="shared" si="53"/>
        <v>446</v>
      </c>
      <c r="T48" s="925">
        <f t="shared" si="53"/>
        <v>446</v>
      </c>
      <c r="U48" s="925">
        <f t="shared" si="53"/>
        <v>446</v>
      </c>
      <c r="V48" s="715">
        <f t="shared" si="53"/>
        <v>446</v>
      </c>
      <c r="W48" s="714">
        <f t="shared" si="53"/>
        <v>446</v>
      </c>
      <c r="X48" s="714">
        <f t="shared" si="53"/>
        <v>446</v>
      </c>
      <c r="Y48" s="714">
        <f t="shared" si="53"/>
        <v>446</v>
      </c>
      <c r="Z48" s="714">
        <f t="shared" si="53"/>
        <v>446</v>
      </c>
      <c r="AA48" s="715">
        <f t="shared" ref="AA48" si="54">BD28</f>
        <v>446</v>
      </c>
      <c r="AB48" s="934"/>
      <c r="AC48" s="934"/>
      <c r="AD48" s="1080" t="s">
        <v>1335</v>
      </c>
      <c r="AE48" s="711" t="s">
        <v>1569</v>
      </c>
      <c r="AF48" s="1131" t="s">
        <v>1457</v>
      </c>
      <c r="AG48" s="1132" t="s">
        <v>96</v>
      </c>
      <c r="AH48" s="1129" t="str">
        <f>+'사회적유입인구의 처리구역별 배분(적용)'!C42</f>
        <v>보천산업단지</v>
      </c>
      <c r="AI48" s="872">
        <f>+'사회적유입인구의 처리구역별 배분(적용)'!D42</f>
        <v>0</v>
      </c>
      <c r="AJ48" s="872">
        <f>+'사회적유입인구의 처리구역별 배분(적용)'!E42</f>
        <v>0</v>
      </c>
      <c r="AK48" s="872">
        <f>+'사회적유입인구의 처리구역별 배분(적용)'!F42</f>
        <v>0</v>
      </c>
      <c r="AL48" s="872">
        <f>+'사회적유입인구의 처리구역별 배분(적용)'!G42</f>
        <v>0</v>
      </c>
      <c r="AM48" s="872">
        <f>+'사회적유입인구의 처리구역별 배분(적용)'!H42</f>
        <v>0</v>
      </c>
      <c r="AN48" s="872">
        <f>+'사회적유입인구의 처리구역별 배분(적용)'!I42</f>
        <v>0</v>
      </c>
      <c r="AO48" s="872">
        <f>+'사회적유입인구의 처리구역별 배분(적용)'!J42</f>
        <v>0</v>
      </c>
      <c r="AP48" s="872">
        <f>+'사회적유입인구의 처리구역별 배분(적용)'!K42</f>
        <v>0</v>
      </c>
      <c r="AQ48" s="872">
        <f>+'사회적유입인구의 처리구역별 배분(적용)'!L42</f>
        <v>0</v>
      </c>
      <c r="AR48" s="872">
        <f>+'사회적유입인구의 처리구역별 배분(적용)'!M42</f>
        <v>0</v>
      </c>
      <c r="AS48" s="872">
        <f>+'사회적유입인구의 처리구역별 배분(적용)'!N42</f>
        <v>0</v>
      </c>
      <c r="AT48" s="872">
        <f>+'사회적유입인구의 처리구역별 배분(적용)'!O42</f>
        <v>0</v>
      </c>
      <c r="AU48" s="872">
        <f>+'사회적유입인구의 처리구역별 배분(적용)'!P42</f>
        <v>0</v>
      </c>
      <c r="AV48" s="872">
        <f>+'사회적유입인구의 처리구역별 배분(적용)'!Q42</f>
        <v>0</v>
      </c>
      <c r="AW48" s="872">
        <f>+'사회적유입인구의 처리구역별 배분(적용)'!R42</f>
        <v>0</v>
      </c>
      <c r="AX48" s="872">
        <f>+'사회적유입인구의 처리구역별 배분(적용)'!S42</f>
        <v>0</v>
      </c>
      <c r="AY48" s="872">
        <f>+'사회적유입인구의 처리구역별 배분(적용)'!T42</f>
        <v>0</v>
      </c>
      <c r="AZ48" s="872">
        <f>+'사회적유입인구의 처리구역별 배분(적용)'!U42</f>
        <v>0</v>
      </c>
      <c r="BA48" s="872">
        <f>+'사회적유입인구의 처리구역별 배분(적용)'!V42</f>
        <v>0</v>
      </c>
      <c r="BB48" s="872">
        <f>+'사회적유입인구의 처리구역별 배분(적용)'!W42</f>
        <v>0</v>
      </c>
      <c r="BC48" s="872">
        <f>+'사회적유입인구의 처리구역별 배분(적용)'!X42</f>
        <v>0</v>
      </c>
      <c r="BD48" s="872">
        <f>+'사회적유입인구의 처리구역별 배분(적용)'!Y42</f>
        <v>715</v>
      </c>
      <c r="BE48" s="876">
        <f>+'사회적유입인구의 처리구역별 배분(적용)'!Z42</f>
        <v>0.5</v>
      </c>
    </row>
    <row r="49" spans="1:57" ht="24" customHeight="1">
      <c r="A49" s="2640"/>
      <c r="B49" s="2678"/>
      <c r="C49" s="2678"/>
      <c r="D49" s="2681" t="s">
        <v>961</v>
      </c>
      <c r="E49" s="1103" t="s">
        <v>1560</v>
      </c>
      <c r="F49" s="713"/>
      <c r="G49" s="935">
        <f>+'2014처리구역인구 정리'!I43</f>
        <v>595</v>
      </c>
      <c r="H49" s="935">
        <f>+'2014처리구역인구 정리'!J43</f>
        <v>658</v>
      </c>
      <c r="I49" s="925">
        <f>ROUND((('1.4.조성법총괄(내부이동률 적용)'!E$11+'1.4.조성법총괄(내부이동률 적용)'!E$14*$AK$2)*$AB49)+(AL$43*$AC49),0)</f>
        <v>653</v>
      </c>
      <c r="J49" s="925">
        <f>ROUND((('1.4.조성법총괄(내부이동률 적용)'!F$11+'1.4.조성법총괄(내부이동률 적용)'!F$14*$AK$2)*$AB49)+(AM$43*$AC49),0)</f>
        <v>654</v>
      </c>
      <c r="K49" s="925">
        <f>ROUND((('1.4.조성법총괄(내부이동률 적용)'!G$11+'1.4.조성법총괄(내부이동률 적용)'!G$14*$AK$2)*$AB49)+(AN$43*$AC49),0)</f>
        <v>655</v>
      </c>
      <c r="L49" s="907">
        <f>ROUND((('1.4.조성법총괄(내부이동률 적용)'!H$11+'1.4.조성법총괄(내부이동률 적용)'!H$14*$AK$2)*$AB49)+(AO$43*$AC49),0)</f>
        <v>643</v>
      </c>
      <c r="M49" s="925">
        <f>ROUND((('1.4.조성법총괄(내부이동률 적용)'!I$11+'1.4.조성법총괄(내부이동률 적용)'!I$14*$AK$2)*$AB49)+(AP$43*$AC49),0)</f>
        <v>645</v>
      </c>
      <c r="N49" s="925">
        <f>ROUND((('1.4.조성법총괄(내부이동률 적용)'!J$11+'1.4.조성법총괄(내부이동률 적용)'!J$14*$AK$2)*$AB49)+(AQ$43*$AC49),0)</f>
        <v>647</v>
      </c>
      <c r="O49" s="925">
        <f>ROUND((('1.4.조성법총괄(내부이동률 적용)'!K$11+'1.4.조성법총괄(내부이동률 적용)'!K$14*$AK$2)*$AB49)+(AR$43*$AC49),0)</f>
        <v>649</v>
      </c>
      <c r="P49" s="925">
        <f>ROUND((('1.4.조성법총괄(내부이동률 적용)'!L$11+'1.4.조성법총괄(내부이동률 적용)'!L$14*$AK$2)*$AB49)+(AS$43*$AC49),0)</f>
        <v>651</v>
      </c>
      <c r="Q49" s="907">
        <f>ROUND((('1.4.조성법총괄(내부이동률 적용)'!M$11+'1.4.조성법총괄(내부이동률 적용)'!M$14*$AK$2)*$AB49)+(AT$43*$AC49),0)</f>
        <v>650</v>
      </c>
      <c r="R49" s="925">
        <f>ROUND((('1.4.조성법총괄(내부이동률 적용)'!N$11+'1.4.조성법총괄(내부이동률 적용)'!N$14*$AK$2)*$AB49)+(AU$43*$AC49),0)</f>
        <v>652</v>
      </c>
      <c r="S49" s="925">
        <f>ROUND((('1.4.조성법총괄(내부이동률 적용)'!O$11+'1.4.조성법총괄(내부이동률 적용)'!O$14*$AK$2)*$AB49)+(AV$43*$AC49),0)</f>
        <v>653</v>
      </c>
      <c r="T49" s="925">
        <f>ROUND((('1.4.조성법총괄(내부이동률 적용)'!P$11+'1.4.조성법총괄(내부이동률 적용)'!P$14*$AK$2)*$AB49)+(AW$43*$AC49),0)</f>
        <v>654</v>
      </c>
      <c r="U49" s="925">
        <f>ROUND((('1.4.조성법총괄(내부이동률 적용)'!Q$11+'1.4.조성법총괄(내부이동률 적용)'!Q$14*$AK$2)*$AB49)+(AX$43*$AC49),0)</f>
        <v>655</v>
      </c>
      <c r="V49" s="715">
        <f>ROUND((('1.4.조성법총괄(내부이동률 적용)'!R$11+'1.4.조성법총괄(내부이동률 적용)'!R$14*$AK$2)*$AB49)+(AY$43*$AC49),0)</f>
        <v>657</v>
      </c>
      <c r="W49" s="714">
        <f>ROUND((('1.4.조성법총괄(내부이동률 적용)'!S$11+'1.4.조성법총괄(내부이동률 적용)'!S$14*$AK$2)*$AB49)+(AZ$43*$AC49),0)</f>
        <v>658</v>
      </c>
      <c r="X49" s="714">
        <f>ROUND((('1.4.조성법총괄(내부이동률 적용)'!T$11+'1.4.조성법총괄(내부이동률 적용)'!T$14*$AK$2)*$AB49)+(BA$43*$AC49),0)</f>
        <v>659</v>
      </c>
      <c r="Y49" s="714">
        <f>ROUND((('1.4.조성법총괄(내부이동률 적용)'!U$11+'1.4.조성법총괄(내부이동률 적용)'!U$14*$AK$2)*$AB49)+(BB$43*$AC49),0)</f>
        <v>660</v>
      </c>
      <c r="Z49" s="714">
        <f>ROUND((('1.4.조성법총괄(내부이동률 적용)'!V$11+'1.4.조성법총괄(내부이동률 적용)'!V$14*$AK$2)*$AB49)+(BC$43*$AC49),0)</f>
        <v>661</v>
      </c>
      <c r="AA49" s="715">
        <f>ROUND((('1.4.조성법총괄(내부이동률 적용)'!W$11+'1.4.조성법총괄(내부이동률 적용)'!W$14*$AK$2)*$AB49)+(BD$43*$AC49),0)</f>
        <v>782</v>
      </c>
      <c r="AB49" s="934">
        <f>+H49/'1.4.조성법총괄(내부이동률 적용)'!$D$15</f>
        <v>2.8122061714676468E-2</v>
      </c>
      <c r="AC49" s="934">
        <f>+H49/$AE$41</f>
        <v>3.6084452975047983E-2</v>
      </c>
      <c r="AD49" s="1080"/>
      <c r="AE49" s="1"/>
      <c r="AF49" s="1168"/>
      <c r="AG49" s="1171"/>
      <c r="AH49" s="1130" t="str">
        <f>+'사회적유입인구의 처리구역별 배분(적용)'!C43</f>
        <v>소  계</v>
      </c>
      <c r="AI49" s="872">
        <f>+'사회적유입인구의 처리구역별 배분(적용)'!D43</f>
        <v>0</v>
      </c>
      <c r="AJ49" s="872">
        <f>+'사회적유입인구의 처리구역별 배분(적용)'!E43</f>
        <v>0</v>
      </c>
      <c r="AK49" s="872">
        <f>+'사회적유입인구의 처리구역별 배분(적용)'!F43</f>
        <v>0</v>
      </c>
      <c r="AL49" s="872">
        <f>+'사회적유입인구의 처리구역별 배분(적용)'!G43</f>
        <v>0</v>
      </c>
      <c r="AM49" s="872">
        <f>+'사회적유입인구의 처리구역별 배분(적용)'!H43</f>
        <v>0</v>
      </c>
      <c r="AN49" s="872">
        <f>+'사회적유입인구의 처리구역별 배분(적용)'!I43</f>
        <v>0</v>
      </c>
      <c r="AO49" s="872">
        <f>+'사회적유입인구의 처리구역별 배분(적용)'!J43</f>
        <v>0</v>
      </c>
      <c r="AP49" s="872">
        <f>+'사회적유입인구의 처리구역별 배분(적용)'!K43</f>
        <v>0</v>
      </c>
      <c r="AQ49" s="872">
        <f>+'사회적유입인구의 처리구역별 배분(적용)'!L43</f>
        <v>0</v>
      </c>
      <c r="AR49" s="872">
        <f>+'사회적유입인구의 처리구역별 배분(적용)'!M43</f>
        <v>0</v>
      </c>
      <c r="AS49" s="872">
        <f>+'사회적유입인구의 처리구역별 배분(적용)'!N43</f>
        <v>0</v>
      </c>
      <c r="AT49" s="872">
        <f>+'사회적유입인구의 처리구역별 배분(적용)'!O43</f>
        <v>0</v>
      </c>
      <c r="AU49" s="872">
        <f>+'사회적유입인구의 처리구역별 배분(적용)'!P43</f>
        <v>0</v>
      </c>
      <c r="AV49" s="872">
        <f>+'사회적유입인구의 처리구역별 배분(적용)'!Q43</f>
        <v>0</v>
      </c>
      <c r="AW49" s="872">
        <f>+'사회적유입인구의 처리구역별 배분(적용)'!R43</f>
        <v>0</v>
      </c>
      <c r="AX49" s="872">
        <f>+'사회적유입인구의 처리구역별 배분(적용)'!S43</f>
        <v>0</v>
      </c>
      <c r="AY49" s="872">
        <f>+'사회적유입인구의 처리구역별 배분(적용)'!T43</f>
        <v>0</v>
      </c>
      <c r="AZ49" s="872">
        <f>+'사회적유입인구의 처리구역별 배분(적용)'!U43</f>
        <v>0</v>
      </c>
      <c r="BA49" s="872">
        <f>+'사회적유입인구의 처리구역별 배분(적용)'!V43</f>
        <v>0</v>
      </c>
      <c r="BB49" s="872">
        <f>+'사회적유입인구의 처리구역별 배분(적용)'!W43</f>
        <v>0</v>
      </c>
      <c r="BC49" s="872">
        <f>+'사회적유입인구의 처리구역별 배분(적용)'!X43</f>
        <v>0</v>
      </c>
      <c r="BD49" s="872">
        <f>+'사회적유입인구의 처리구역별 배분(적용)'!Y43</f>
        <v>715</v>
      </c>
      <c r="BE49" s="871"/>
    </row>
    <row r="50" spans="1:57" s="712" customFormat="1" ht="24" customHeight="1">
      <c r="A50" s="2640"/>
      <c r="B50" s="2678"/>
      <c r="C50" s="2678"/>
      <c r="D50" s="2682"/>
      <c r="E50" s="1103" t="s">
        <v>963</v>
      </c>
      <c r="F50" s="713"/>
      <c r="G50" s="935">
        <f>+'2014처리구역인구 정리'!I44</f>
        <v>742</v>
      </c>
      <c r="H50" s="935">
        <f>+'2014처리구역인구 정리'!J44</f>
        <v>792</v>
      </c>
      <c r="I50" s="925">
        <f>ROUND((('1.4.조성법총괄(내부이동률 적용)'!E$11+'1.4.조성법총괄(내부이동률 적용)'!E$14*$AK$2)*$AB50)+(AL$43*$AC50),0)</f>
        <v>786</v>
      </c>
      <c r="J50" s="925">
        <f>ROUND((('1.4.조성법총괄(내부이동률 적용)'!F$11+'1.4.조성법총괄(내부이동률 적용)'!F$14*$AK$2)*$AB50)+(AM$43*$AC50),0)</f>
        <v>788</v>
      </c>
      <c r="K50" s="925">
        <f>ROUND((('1.4.조성법총괄(내부이동률 적용)'!G$11+'1.4.조성법총괄(내부이동률 적용)'!G$14*$AK$2)*$AB50)+(AN$43*$AC50),0)</f>
        <v>789</v>
      </c>
      <c r="L50" s="907">
        <f>ROUND((('1.4.조성법총괄(내부이동률 적용)'!H$11+'1.4.조성법총괄(내부이동률 적용)'!H$14*$AK$2)*$AB50)+(AO$43*$AC50),0)</f>
        <v>774</v>
      </c>
      <c r="M50" s="925">
        <f>ROUND((('1.4.조성법총괄(내부이동률 적용)'!I$11+'1.4.조성법총괄(내부이동률 적용)'!I$14*$AK$2)*$AB50)+(AP$43*$AC50),0)</f>
        <v>776</v>
      </c>
      <c r="N50" s="925">
        <f>ROUND((('1.4.조성법총괄(내부이동률 적용)'!J$11+'1.4.조성법총괄(내부이동률 적용)'!J$14*$AK$2)*$AB50)+(AQ$43*$AC50),0)</f>
        <v>779</v>
      </c>
      <c r="O50" s="925">
        <f>ROUND((('1.4.조성법총괄(내부이동률 적용)'!K$11+'1.4.조성법총괄(내부이동률 적용)'!K$14*$AK$2)*$AB50)+(AR$43*$AC50),0)</f>
        <v>781</v>
      </c>
      <c r="P50" s="925">
        <f>ROUND((('1.4.조성법총괄(내부이동률 적용)'!L$11+'1.4.조성법총괄(내부이동률 적용)'!L$14*$AK$2)*$AB50)+(AS$43*$AC50),0)</f>
        <v>784</v>
      </c>
      <c r="Q50" s="907">
        <f>ROUND((('1.4.조성법총괄(내부이동률 적용)'!M$11+'1.4.조성법총괄(내부이동률 적용)'!M$14*$AK$2)*$AB50)+(AT$43*$AC50),0)</f>
        <v>783</v>
      </c>
      <c r="R50" s="925">
        <f>ROUND((('1.4.조성법총괄(내부이동률 적용)'!N$11+'1.4.조성법총괄(내부이동률 적용)'!N$14*$AK$2)*$AB50)+(AU$43*$AC50),0)</f>
        <v>784</v>
      </c>
      <c r="S50" s="925">
        <f>ROUND((('1.4.조성법총괄(내부이동률 적용)'!O$11+'1.4.조성법총괄(내부이동률 적용)'!O$14*$AK$2)*$AB50)+(AV$43*$AC50),0)</f>
        <v>786</v>
      </c>
      <c r="T50" s="925">
        <f>ROUND((('1.4.조성법총괄(내부이동률 적용)'!P$11+'1.4.조성법총괄(내부이동률 적용)'!P$14*$AK$2)*$AB50)+(AW$43*$AC50),0)</f>
        <v>787</v>
      </c>
      <c r="U50" s="925">
        <f>ROUND((('1.4.조성법총괄(내부이동률 적용)'!Q$11+'1.4.조성법총괄(내부이동률 적용)'!Q$14*$AK$2)*$AB50)+(AX$43*$AC50),0)</f>
        <v>789</v>
      </c>
      <c r="V50" s="715">
        <f>ROUND((('1.4.조성법총괄(내부이동률 적용)'!R$11+'1.4.조성법총괄(내부이동률 적용)'!R$14*$AK$2)*$AB50)+(AY$43*$AC50),0)</f>
        <v>790</v>
      </c>
      <c r="W50" s="714">
        <f>ROUND((('1.4.조성법총괄(내부이동률 적용)'!S$11+'1.4.조성법총괄(내부이동률 적용)'!S$14*$AK$2)*$AB50)+(AZ$43*$AC50),0)</f>
        <v>792</v>
      </c>
      <c r="X50" s="714">
        <f>ROUND((('1.4.조성법총괄(내부이동률 적용)'!T$11+'1.4.조성법총괄(내부이동률 적용)'!T$14*$AK$2)*$AB50)+(BA$43*$AC50),0)</f>
        <v>793</v>
      </c>
      <c r="Y50" s="714">
        <f>ROUND((('1.4.조성법총괄(내부이동률 적용)'!U$11+'1.4.조성법총괄(내부이동률 적용)'!U$14*$AK$2)*$AB50)+(BB$43*$AC50),0)</f>
        <v>794</v>
      </c>
      <c r="Z50" s="714">
        <f>ROUND((('1.4.조성법총괄(내부이동률 적용)'!V$11+'1.4.조성법총괄(내부이동률 적용)'!V$14*$AK$2)*$AB50)+(BC$43*$AC50),0)</f>
        <v>795</v>
      </c>
      <c r="AA50" s="715">
        <f>ROUND((('1.4.조성법총괄(내부이동률 적용)'!W$11+'1.4.조성법총괄(내부이동률 적용)'!W$14*$AK$2)*$AB50)+(BD$43*$AC50),0)</f>
        <v>941</v>
      </c>
      <c r="AB50" s="934">
        <f>+H50/'1.4.조성법총괄(내부이동률 적용)'!$D$15</f>
        <v>3.3849046927087782E-2</v>
      </c>
      <c r="AC50" s="934">
        <f>+H50/$AE$41</f>
        <v>4.3432958596106387E-2</v>
      </c>
      <c r="AD50" s="1080"/>
      <c r="AE50" s="1"/>
      <c r="AF50" s="1168"/>
      <c r="AG50" s="1133" t="s">
        <v>24</v>
      </c>
      <c r="AH50" s="1133"/>
      <c r="AI50" s="872">
        <f>+'사회적유입인구의 처리구역별 배분(적용)'!D44</f>
        <v>0</v>
      </c>
      <c r="AJ50" s="872">
        <f>+'사회적유입인구의 처리구역별 배분(적용)'!E44</f>
        <v>0</v>
      </c>
      <c r="AK50" s="872">
        <f>+'사회적유입인구의 처리구역별 배분(적용)'!F44</f>
        <v>0</v>
      </c>
      <c r="AL50" s="872">
        <f>+'사회적유입인구의 처리구역별 배분(적용)'!G44</f>
        <v>0</v>
      </c>
      <c r="AM50" s="872">
        <f>+'사회적유입인구의 처리구역별 배분(적용)'!H44</f>
        <v>0</v>
      </c>
      <c r="AN50" s="872">
        <f>+'사회적유입인구의 처리구역별 배분(적용)'!I44</f>
        <v>0</v>
      </c>
      <c r="AO50" s="872">
        <f>+'사회적유입인구의 처리구역별 배분(적용)'!J44</f>
        <v>0</v>
      </c>
      <c r="AP50" s="872">
        <f>+'사회적유입인구의 처리구역별 배분(적용)'!K44</f>
        <v>0</v>
      </c>
      <c r="AQ50" s="872">
        <f>+'사회적유입인구의 처리구역별 배분(적용)'!L44</f>
        <v>0</v>
      </c>
      <c r="AR50" s="872">
        <f>+'사회적유입인구의 처리구역별 배분(적용)'!M44</f>
        <v>0</v>
      </c>
      <c r="AS50" s="872">
        <f>+'사회적유입인구의 처리구역별 배분(적용)'!N44</f>
        <v>0</v>
      </c>
      <c r="AT50" s="872">
        <f>+'사회적유입인구의 처리구역별 배분(적용)'!O44</f>
        <v>0</v>
      </c>
      <c r="AU50" s="872">
        <f>+'사회적유입인구의 처리구역별 배분(적용)'!P44</f>
        <v>0</v>
      </c>
      <c r="AV50" s="872">
        <f>+'사회적유입인구의 처리구역별 배분(적용)'!Q44</f>
        <v>0</v>
      </c>
      <c r="AW50" s="872">
        <f>+'사회적유입인구의 처리구역별 배분(적용)'!R44</f>
        <v>0</v>
      </c>
      <c r="AX50" s="872">
        <f>+'사회적유입인구의 처리구역별 배분(적용)'!S44</f>
        <v>0</v>
      </c>
      <c r="AY50" s="872">
        <f>+'사회적유입인구의 처리구역별 배분(적용)'!T44</f>
        <v>0</v>
      </c>
      <c r="AZ50" s="872">
        <f>+'사회적유입인구의 처리구역별 배분(적용)'!U44</f>
        <v>0</v>
      </c>
      <c r="BA50" s="872">
        <f>+'사회적유입인구의 처리구역별 배분(적용)'!V44</f>
        <v>0</v>
      </c>
      <c r="BB50" s="872">
        <f>+'사회적유입인구의 처리구역별 배분(적용)'!W44</f>
        <v>0</v>
      </c>
      <c r="BC50" s="872">
        <f>+'사회적유입인구의 처리구역별 배분(적용)'!X44</f>
        <v>0</v>
      </c>
      <c r="BD50" s="872">
        <f>+'사회적유입인구의 처리구역별 배분(적용)'!Y44</f>
        <v>715</v>
      </c>
      <c r="BE50" s="873"/>
    </row>
    <row r="51" spans="1:57" s="712" customFormat="1" ht="24" customHeight="1">
      <c r="A51" s="2640"/>
      <c r="B51" s="2678"/>
      <c r="C51" s="2678"/>
      <c r="D51" s="2683"/>
      <c r="E51" s="1103" t="s">
        <v>1561</v>
      </c>
      <c r="F51" s="713"/>
      <c r="G51" s="935">
        <f>+'2014처리구역인구 정리'!I45</f>
        <v>1470</v>
      </c>
      <c r="H51" s="935">
        <f>+'2014처리구역인구 정리'!J45</f>
        <v>1651</v>
      </c>
      <c r="I51" s="925">
        <f>ROUND((('1.4.조성법총괄(내부이동률 적용)'!E$11+'1.4.조성법총괄(내부이동률 적용)'!E$14*$AK$2)*$AB51)+(AL$43*$AC51),0)</f>
        <v>1639</v>
      </c>
      <c r="J51" s="925">
        <f>ROUND((('1.4.조성법총괄(내부이동률 적용)'!F$11+'1.4.조성법총괄(내부이동률 적용)'!F$14*$AK$2)*$AB51)+(AM$43*$AC51),0)</f>
        <v>1642</v>
      </c>
      <c r="K51" s="925">
        <f>ROUND((('1.4.조성법총괄(내부이동률 적용)'!G$11+'1.4.조성법총괄(내부이동률 적용)'!G$14*$AK$2)*$AB51)+(AN$43*$AC51),0)</f>
        <v>1644</v>
      </c>
      <c r="L51" s="907">
        <f>ROUND((('1.4.조성법총괄(내부이동률 적용)'!H$11+'1.4.조성법총괄(내부이동률 적용)'!H$14*$AK$2)*$AB51)+(AO$43*$AC51),0)</f>
        <v>1613</v>
      </c>
      <c r="M51" s="925">
        <f>ROUND((('1.4.조성법총괄(내부이동률 적용)'!I$11+'1.4.조성법총괄(내부이동률 적용)'!I$14*$AK$2)*$AB51)+(AP$43*$AC51),0)</f>
        <v>1618</v>
      </c>
      <c r="N51" s="925">
        <f>ROUND((('1.4.조성법총괄(내부이동률 적용)'!J$11+'1.4.조성법총괄(내부이동률 적용)'!J$14*$AK$2)*$AB51)+(AQ$43*$AC51),0)</f>
        <v>1623</v>
      </c>
      <c r="O51" s="925">
        <f>ROUND((('1.4.조성법총괄(내부이동률 적용)'!K$11+'1.4.조성법총괄(내부이동률 적용)'!K$14*$AK$2)*$AB51)+(AR$43*$AC51),0)</f>
        <v>1628</v>
      </c>
      <c r="P51" s="925">
        <f>ROUND((('1.4.조성법총괄(내부이동률 적용)'!L$11+'1.4.조성법총괄(내부이동률 적용)'!L$14*$AK$2)*$AB51)+(AS$43*$AC51),0)</f>
        <v>1633</v>
      </c>
      <c r="Q51" s="907">
        <f>ROUND((('1.4.조성법총괄(내부이동률 적용)'!M$11+'1.4.조성법총괄(내부이동률 적용)'!M$14*$AK$2)*$AB51)+(AT$43*$AC51),0)</f>
        <v>1632</v>
      </c>
      <c r="R51" s="925">
        <f>ROUND((('1.4.조성법총괄(내부이동률 적용)'!N$11+'1.4.조성법총괄(내부이동률 적용)'!N$14*$AK$2)*$AB51)+(AU$43*$AC51),0)</f>
        <v>1635</v>
      </c>
      <c r="S51" s="925">
        <f>ROUND((('1.4.조성법총괄(내부이동률 적용)'!O$11+'1.4.조성법총괄(내부이동률 적용)'!O$14*$AK$2)*$AB51)+(AV$43*$AC51),0)</f>
        <v>1638</v>
      </c>
      <c r="T51" s="925">
        <f>ROUND((('1.4.조성법총괄(내부이동률 적용)'!P$11+'1.4.조성법총괄(내부이동률 적용)'!P$14*$AK$2)*$AB51)+(AW$43*$AC51),0)</f>
        <v>1641</v>
      </c>
      <c r="U51" s="925">
        <f>ROUND((('1.4.조성법총괄(내부이동률 적용)'!Q$11+'1.4.조성법총괄(내부이동률 적용)'!Q$14*$AK$2)*$AB51)+(AX$43*$AC51),0)</f>
        <v>1645</v>
      </c>
      <c r="V51" s="715">
        <f>ROUND((('1.4.조성법총괄(내부이동률 적용)'!R$11+'1.4.조성법총괄(내부이동률 적용)'!R$14*$AK$2)*$AB51)+(AY$43*$AC51),0)</f>
        <v>1648</v>
      </c>
      <c r="W51" s="714">
        <f>ROUND((('1.4.조성법총괄(내부이동률 적용)'!S$11+'1.4.조성법총괄(내부이동률 적용)'!S$14*$AK$2)*$AB51)+(AZ$43*$AC51),0)</f>
        <v>1650</v>
      </c>
      <c r="X51" s="714">
        <f>ROUND((('1.4.조성법총괄(내부이동률 적용)'!T$11+'1.4.조성법총괄(내부이동률 적용)'!T$14*$AK$2)*$AB51)+(BA$43*$AC51),0)</f>
        <v>1653</v>
      </c>
      <c r="Y51" s="714">
        <f>ROUND((('1.4.조성법총괄(내부이동률 적용)'!U$11+'1.4.조성법총괄(내부이동률 적용)'!U$14*$AK$2)*$AB51)+(BB$43*$AC51),0)</f>
        <v>1655</v>
      </c>
      <c r="Z51" s="714">
        <f>ROUND((('1.4.조성법총괄(내부이동률 적용)'!V$11+'1.4.조성법총괄(내부이동률 적용)'!V$14*$AK$2)*$AB51)+(BC$43*$AC51),0)</f>
        <v>1658</v>
      </c>
      <c r="AA51" s="715">
        <f>ROUND((('1.4.조성법총괄(내부이동률 적용)'!W$11+'1.4.조성법총괄(내부이동률 적용)'!W$14*$AK$2)*$AB51)+(BD$43*$AC51),0)</f>
        <v>1962</v>
      </c>
      <c r="AB51" s="934">
        <f>+H51/'1.4.조성법총괄(내부이동률 적용)'!$D$15</f>
        <v>7.0561586460381229E-2</v>
      </c>
      <c r="AC51" s="934">
        <f>+H51/$AE$41</f>
        <v>9.0540170002741976E-2</v>
      </c>
      <c r="AD51" s="1080"/>
      <c r="AE51" s="1"/>
      <c r="AF51" s="1168" t="s">
        <v>1458</v>
      </c>
      <c r="AG51" s="874" t="s">
        <v>94</v>
      </c>
      <c r="AH51" s="1129" t="str">
        <f>+'사회적유입인구의 처리구역별 배분(적용)'!C45</f>
        <v>맹동 택지개발</v>
      </c>
      <c r="AI51" s="862">
        <f>+'사회적유입인구의 처리구역별 배분(적용)'!D45</f>
        <v>0</v>
      </c>
      <c r="AJ51" s="862">
        <f>+'사회적유입인구의 처리구역별 배분(적용)'!E45</f>
        <v>0</v>
      </c>
      <c r="AK51" s="862">
        <f>+'사회적유입인구의 처리구역별 배분(적용)'!F45</f>
        <v>0</v>
      </c>
      <c r="AL51" s="862">
        <f>+'사회적유입인구의 처리구역별 배분(적용)'!G45</f>
        <v>0</v>
      </c>
      <c r="AM51" s="862">
        <f>+'사회적유입인구의 처리구역별 배분(적용)'!H45</f>
        <v>0</v>
      </c>
      <c r="AN51" s="862">
        <f>+'사회적유입인구의 처리구역별 배분(적용)'!I45</f>
        <v>0</v>
      </c>
      <c r="AO51" s="862">
        <f>+'사회적유입인구의 처리구역별 배분(적용)'!J45</f>
        <v>0</v>
      </c>
      <c r="AP51" s="862">
        <f>+'사회적유입인구의 처리구역별 배분(적용)'!K45</f>
        <v>0</v>
      </c>
      <c r="AQ51" s="862">
        <f>+'사회적유입인구의 처리구역별 배분(적용)'!L45</f>
        <v>0</v>
      </c>
      <c r="AR51" s="862">
        <f>+'사회적유입인구의 처리구역별 배분(적용)'!M45</f>
        <v>0</v>
      </c>
      <c r="AS51" s="862">
        <f>+'사회적유입인구의 처리구역별 배분(적용)'!N45</f>
        <v>0</v>
      </c>
      <c r="AT51" s="862">
        <f>+'사회적유입인구의 처리구역별 배분(적용)'!O45</f>
        <v>0</v>
      </c>
      <c r="AU51" s="862">
        <f>+'사회적유입인구의 처리구역별 배분(적용)'!P45</f>
        <v>0</v>
      </c>
      <c r="AV51" s="862">
        <f>+'사회적유입인구의 처리구역별 배분(적용)'!Q45</f>
        <v>0</v>
      </c>
      <c r="AW51" s="862">
        <f>+'사회적유입인구의 처리구역별 배분(적용)'!R45</f>
        <v>0</v>
      </c>
      <c r="AX51" s="862">
        <f>+'사회적유입인구의 처리구역별 배분(적용)'!S45</f>
        <v>0</v>
      </c>
      <c r="AY51" s="862">
        <f>+'사회적유입인구의 처리구역별 배분(적용)'!T45</f>
        <v>0</v>
      </c>
      <c r="AZ51" s="862">
        <f>+'사회적유입인구의 처리구역별 배분(적용)'!U45</f>
        <v>0</v>
      </c>
      <c r="BA51" s="862">
        <f>+'사회적유입인구의 처리구역별 배분(적용)'!V45</f>
        <v>0</v>
      </c>
      <c r="BB51" s="862">
        <f>+'사회적유입인구의 처리구역별 배분(적용)'!W45</f>
        <v>0</v>
      </c>
      <c r="BC51" s="862">
        <f>+'사회적유입인구의 처리구역별 배분(적용)'!X45</f>
        <v>0</v>
      </c>
      <c r="BD51" s="862">
        <f>+'사회적유입인구의 처리구역별 배분(적용)'!Y45</f>
        <v>2331</v>
      </c>
      <c r="BE51" s="876">
        <f>+'사회적유입인구의 처리구역별 배분(적용)'!Z45</f>
        <v>1</v>
      </c>
    </row>
    <row r="52" spans="1:57" s="712" customFormat="1" ht="24" customHeight="1">
      <c r="A52" s="2640"/>
      <c r="B52" s="2678"/>
      <c r="C52" s="2679"/>
      <c r="D52" s="1103" t="s">
        <v>954</v>
      </c>
      <c r="E52" s="1103" t="s">
        <v>955</v>
      </c>
      <c r="F52" s="713"/>
      <c r="G52" s="935">
        <f>+'2014처리구역인구 정리'!I46</f>
        <v>265</v>
      </c>
      <c r="H52" s="935">
        <f>+'2014처리구역인구 정리'!J46</f>
        <v>276</v>
      </c>
      <c r="I52" s="925">
        <f>ROUND((('1.4.조성법총괄(내부이동률 적용)'!E$11+'1.4.조성법총괄(내부이동률 적용)'!E$14*$AK$2)*$AB52)+(AL$43*$AC52),0)</f>
        <v>274</v>
      </c>
      <c r="J52" s="925">
        <f>ROUND((('1.4.조성법총괄(내부이동률 적용)'!F$11+'1.4.조성법총괄(내부이동률 적용)'!F$14*$AK$2)*$AB52)+(AM$43*$AC52),0)</f>
        <v>274</v>
      </c>
      <c r="K52" s="925">
        <f>ROUND((('1.4.조성법총괄(내부이동률 적용)'!G$11+'1.4.조성법총괄(내부이동률 적용)'!G$14*$AK$2)*$AB52)+(AN$43*$AC52),0)</f>
        <v>275</v>
      </c>
      <c r="L52" s="907">
        <f>ROUND((('1.4.조성법총괄(내부이동률 적용)'!H$11+'1.4.조성법총괄(내부이동률 적용)'!H$14*$AK$2)*$AB52)+(AO$43*$AC52),0)</f>
        <v>270</v>
      </c>
      <c r="M52" s="925">
        <f>ROUND((('1.4.조성법총괄(내부이동률 적용)'!I$11+'1.4.조성법총괄(내부이동률 적용)'!I$14*$AK$2)*$AB52)+(AP$43*$AC52),0)</f>
        <v>270</v>
      </c>
      <c r="N52" s="925">
        <f>ROUND((('1.4.조성법총괄(내부이동률 적용)'!J$11+'1.4.조성법총괄(내부이동률 적용)'!J$14*$AK$2)*$AB52)+(AQ$43*$AC52),0)</f>
        <v>271</v>
      </c>
      <c r="O52" s="925">
        <f>ROUND((('1.4.조성법총괄(내부이동률 적용)'!K$11+'1.4.조성법총괄(내부이동률 적용)'!K$14*$AK$2)*$AB52)+(AR$43*$AC52),0)</f>
        <v>272</v>
      </c>
      <c r="P52" s="925">
        <f>ROUND((('1.4.조성법총괄(내부이동률 적용)'!L$11+'1.4.조성법총괄(내부이동률 적용)'!L$14*$AK$2)*$AB52)+(AS$43*$AC52),0)</f>
        <v>273</v>
      </c>
      <c r="Q52" s="907">
        <f>ROUND((('1.4.조성법총괄(내부이동률 적용)'!M$11+'1.4.조성법총괄(내부이동률 적용)'!M$14*$AK$2)*$AB52)+(AT$43*$AC52),0)</f>
        <v>273</v>
      </c>
      <c r="R52" s="925">
        <f>ROUND((('1.4.조성법총괄(내부이동률 적용)'!N$11+'1.4.조성법총괄(내부이동률 적용)'!N$14*$AK$2)*$AB52)+(AU$43*$AC52),0)</f>
        <v>273</v>
      </c>
      <c r="S52" s="925">
        <f>ROUND((('1.4.조성법총괄(내부이동률 적용)'!O$11+'1.4.조성법총괄(내부이동률 적용)'!O$14*$AK$2)*$AB52)+(AV$43*$AC52),0)</f>
        <v>274</v>
      </c>
      <c r="T52" s="925">
        <f>ROUND((('1.4.조성법총괄(내부이동률 적용)'!P$11+'1.4.조성법총괄(내부이동률 적용)'!P$14*$AK$2)*$AB52)+(AW$43*$AC52),0)</f>
        <v>274</v>
      </c>
      <c r="U52" s="925">
        <f>ROUND((('1.4.조성법총괄(내부이동률 적용)'!Q$11+'1.4.조성법총괄(내부이동률 적용)'!Q$14*$AK$2)*$AB52)+(AX$43*$AC52),0)</f>
        <v>275</v>
      </c>
      <c r="V52" s="715">
        <f>ROUND((('1.4.조성법총괄(내부이동률 적용)'!R$11+'1.4.조성법총괄(내부이동률 적용)'!R$14*$AK$2)*$AB52)+(AY$43*$AC52),0)</f>
        <v>275</v>
      </c>
      <c r="W52" s="714">
        <f>ROUND((('1.4.조성법총괄(내부이동률 적용)'!S$11+'1.4.조성법총괄(내부이동률 적용)'!S$14*$AK$2)*$AB52)+(AZ$43*$AC52),0)</f>
        <v>276</v>
      </c>
      <c r="X52" s="714">
        <f>ROUND((('1.4.조성법총괄(내부이동률 적용)'!T$11+'1.4.조성법총괄(내부이동률 적용)'!T$14*$AK$2)*$AB52)+(BA$43*$AC52),0)</f>
        <v>276</v>
      </c>
      <c r="Y52" s="714">
        <f>ROUND((('1.4.조성법총괄(내부이동률 적용)'!U$11+'1.4.조성법총괄(내부이동률 적용)'!U$14*$AK$2)*$AB52)+(BB$43*$AC52),0)</f>
        <v>277</v>
      </c>
      <c r="Z52" s="714">
        <f>ROUND((('1.4.조성법총괄(내부이동률 적용)'!V$11+'1.4.조성법총괄(내부이동률 적용)'!V$14*$AK$2)*$AB52)+(BC$43*$AC52),0)</f>
        <v>277</v>
      </c>
      <c r="AA52" s="715">
        <f>ROUND((('1.4.조성법총괄(내부이동률 적용)'!W$11+'1.4.조성법총괄(내부이동률 적용)'!W$14*$AK$2)*$AB52)+(BD$43*$AC52),0)</f>
        <v>328</v>
      </c>
      <c r="AB52" s="934">
        <f>+H52/'1.4.조성법총괄(내부이동률 적용)'!$D$15</f>
        <v>1.1795879989742714E-2</v>
      </c>
      <c r="AC52" s="934">
        <f>+H52/$AE$41</f>
        <v>1.5135727995612832E-2</v>
      </c>
      <c r="AD52" s="1080"/>
      <c r="AE52" s="1"/>
      <c r="AF52" s="1168"/>
      <c r="AG52" s="1171"/>
      <c r="AH52" s="1129" t="str">
        <f>+'사회적유입인구의 처리구역별 배분(적용)'!C46</f>
        <v>소  계</v>
      </c>
      <c r="AI52" s="862">
        <f>+'사회적유입인구의 처리구역별 배분(적용)'!D46</f>
        <v>0</v>
      </c>
      <c r="AJ52" s="862">
        <f>+'사회적유입인구의 처리구역별 배분(적용)'!E46</f>
        <v>0</v>
      </c>
      <c r="AK52" s="862">
        <f>+'사회적유입인구의 처리구역별 배분(적용)'!F46</f>
        <v>0</v>
      </c>
      <c r="AL52" s="862">
        <f>+'사회적유입인구의 처리구역별 배분(적용)'!G46</f>
        <v>0</v>
      </c>
      <c r="AM52" s="862">
        <f>+'사회적유입인구의 처리구역별 배분(적용)'!H46</f>
        <v>0</v>
      </c>
      <c r="AN52" s="862">
        <f>+'사회적유입인구의 처리구역별 배분(적용)'!I46</f>
        <v>0</v>
      </c>
      <c r="AO52" s="862">
        <f>+'사회적유입인구의 처리구역별 배분(적용)'!J46</f>
        <v>0</v>
      </c>
      <c r="AP52" s="862">
        <f>+'사회적유입인구의 처리구역별 배분(적용)'!K46</f>
        <v>0</v>
      </c>
      <c r="AQ52" s="862">
        <f>+'사회적유입인구의 처리구역별 배분(적용)'!L46</f>
        <v>0</v>
      </c>
      <c r="AR52" s="862">
        <f>+'사회적유입인구의 처리구역별 배분(적용)'!M46</f>
        <v>0</v>
      </c>
      <c r="AS52" s="862">
        <f>+'사회적유입인구의 처리구역별 배분(적용)'!N46</f>
        <v>0</v>
      </c>
      <c r="AT52" s="862">
        <f>+'사회적유입인구의 처리구역별 배분(적용)'!O46</f>
        <v>0</v>
      </c>
      <c r="AU52" s="862">
        <f>+'사회적유입인구의 처리구역별 배분(적용)'!P46</f>
        <v>0</v>
      </c>
      <c r="AV52" s="862">
        <f>+'사회적유입인구의 처리구역별 배분(적용)'!Q46</f>
        <v>0</v>
      </c>
      <c r="AW52" s="862">
        <f>+'사회적유입인구의 처리구역별 배분(적용)'!R46</f>
        <v>0</v>
      </c>
      <c r="AX52" s="862">
        <f>+'사회적유입인구의 처리구역별 배분(적용)'!S46</f>
        <v>0</v>
      </c>
      <c r="AY52" s="862">
        <f>+'사회적유입인구의 처리구역별 배분(적용)'!T46</f>
        <v>0</v>
      </c>
      <c r="AZ52" s="862">
        <f>+'사회적유입인구의 처리구역별 배분(적용)'!U46</f>
        <v>0</v>
      </c>
      <c r="BA52" s="862">
        <f>+'사회적유입인구의 처리구역별 배분(적용)'!V46</f>
        <v>0</v>
      </c>
      <c r="BB52" s="862">
        <f>+'사회적유입인구의 처리구역별 배분(적용)'!W46</f>
        <v>0</v>
      </c>
      <c r="BC52" s="862">
        <f>+'사회적유입인구의 처리구역별 배분(적용)'!X46</f>
        <v>0</v>
      </c>
      <c r="BD52" s="862">
        <f>+'사회적유입인구의 처리구역별 배분(적용)'!Y46</f>
        <v>2331</v>
      </c>
      <c r="BE52" s="876">
        <f>+'사회적유입인구의 처리구역별 배분(적용)'!Z46</f>
        <v>0</v>
      </c>
    </row>
    <row r="53" spans="1:57" s="712" customFormat="1" ht="24" customHeight="1">
      <c r="A53" s="2640"/>
      <c r="B53" s="2678"/>
      <c r="C53" s="2677" t="s">
        <v>643</v>
      </c>
      <c r="D53" s="1103" t="s">
        <v>965</v>
      </c>
      <c r="E53" s="1103" t="s">
        <v>965</v>
      </c>
      <c r="F53" s="713"/>
      <c r="G53" s="935">
        <f>+'2014처리구역인구 정리'!I47</f>
        <v>159</v>
      </c>
      <c r="H53" s="935">
        <f>+'2014처리구역인구 정리'!J47</f>
        <v>182</v>
      </c>
      <c r="I53" s="925">
        <f>ROUND((('1.4.조성법총괄(내부이동률 적용)'!E$54+'1.4.조성법총괄(내부이동률 적용)'!E$57*$AK$2)*$AB53)+(AL$97*$AC53),0)</f>
        <v>168</v>
      </c>
      <c r="J53" s="925">
        <f>ROUND((('1.4.조성법총괄(내부이동률 적용)'!F$54+'1.4.조성법총괄(내부이동률 적용)'!F$57*$AK$2)*$AB53)+(AM$97*$AC53),0)</f>
        <v>165</v>
      </c>
      <c r="K53" s="925">
        <f>ROUND((('1.4.조성법총괄(내부이동률 적용)'!G$54+'1.4.조성법총괄(내부이동률 적용)'!G$57*$AK$2)*$AB53)+(AN$97*$AC53),0)</f>
        <v>162</v>
      </c>
      <c r="L53" s="907">
        <f>ROUND((('1.4.조성법총괄(내부이동률 적용)'!H$54+'1.4.조성법총괄(내부이동률 적용)'!H$57*$AK$2)*$AB53)+(AO$97*$AC53),0)</f>
        <v>159</v>
      </c>
      <c r="M53" s="925">
        <f>ROUND((('1.4.조성법총괄(내부이동률 적용)'!I$54+'1.4.조성법총괄(내부이동률 적용)'!I$57*$AK$2)*$AB53)+(AP$97*$AC53),0)</f>
        <v>158</v>
      </c>
      <c r="N53" s="925">
        <f>ROUND((('1.4.조성법총괄(내부이동률 적용)'!J$54+'1.4.조성법총괄(내부이동률 적용)'!J$57*$AK$2)*$AB53)+(AQ$97*$AC53),0)</f>
        <v>157</v>
      </c>
      <c r="O53" s="925">
        <f>ROUND((('1.4.조성법총괄(내부이동률 적용)'!K$54+'1.4.조성법총괄(내부이동률 적용)'!K$57*$AK$2)*$AB53)+(AR$97*$AC53),0)</f>
        <v>156</v>
      </c>
      <c r="P53" s="925">
        <f>ROUND((('1.4.조성법총괄(내부이동률 적용)'!L$54+'1.4.조성법총괄(내부이동률 적용)'!L$57*$AK$2)*$AB53)+(AS$97*$AC53),0)</f>
        <v>155</v>
      </c>
      <c r="Q53" s="907">
        <f>ROUND((('1.4.조성법총괄(내부이동률 적용)'!M$54+'1.4.조성법총괄(내부이동률 적용)'!M$57*$AK$2)*$AB53)+(AT$97*$AC53),0)</f>
        <v>154</v>
      </c>
      <c r="R53" s="925">
        <f>ROUND((('1.4.조성법총괄(내부이동률 적용)'!N$54+'1.4.조성법총괄(내부이동률 적용)'!N$57*$AK$2)*$AB53)+(AU$97*$AC53),0)</f>
        <v>152</v>
      </c>
      <c r="S53" s="925">
        <f>ROUND((('1.4.조성법총괄(내부이동률 적용)'!O$54+'1.4.조성법총괄(내부이동률 적용)'!O$57*$AK$2)*$AB53)+(AV$97*$AC53),0)</f>
        <v>151</v>
      </c>
      <c r="T53" s="925">
        <f>ROUND((('1.4.조성법총괄(내부이동률 적용)'!P$54+'1.4.조성법총괄(내부이동률 적용)'!P$57*$AK$2)*$AB53)+(AW$97*$AC53),0)</f>
        <v>150</v>
      </c>
      <c r="U53" s="925">
        <f>ROUND((('1.4.조성법총괄(내부이동률 적용)'!Q$54+'1.4.조성법총괄(내부이동률 적용)'!Q$57*$AK$2)*$AB53)+(AX$97*$AC53),0)</f>
        <v>148</v>
      </c>
      <c r="V53" s="715">
        <f>ROUND((('1.4.조성법총괄(내부이동률 적용)'!R$54+'1.4.조성법총괄(내부이동률 적용)'!R$57*$AK$2)*$AB53)+(AY$97*$AC53),0)</f>
        <v>147</v>
      </c>
      <c r="W53" s="714">
        <f>ROUND((('1.4.조성법총괄(내부이동률 적용)'!S$54+'1.4.조성법총괄(내부이동률 적용)'!S$57*$AK$2)*$AB53)+(AZ$97*$AC53),0)</f>
        <v>146</v>
      </c>
      <c r="X53" s="714">
        <f>ROUND((('1.4.조성법총괄(내부이동률 적용)'!T$54+'1.4.조성법총괄(내부이동률 적용)'!T$57*$AK$2)*$AB53)+(BA$97*$AC53),0)</f>
        <v>144</v>
      </c>
      <c r="Y53" s="714">
        <f>ROUND((('1.4.조성법총괄(내부이동률 적용)'!U$54+'1.4.조성법총괄(내부이동률 적용)'!U$57*$AK$2)*$AB53)+(BB$97*$AC53),0)</f>
        <v>143</v>
      </c>
      <c r="Z53" s="714">
        <f>ROUND((('1.4.조성법총괄(내부이동률 적용)'!V$54+'1.4.조성법총괄(내부이동률 적용)'!V$57*$AK$2)*$AB53)+(BC$97*$AC53),0)</f>
        <v>141</v>
      </c>
      <c r="AA53" s="715">
        <f>ROUND((('1.4.조성법총괄(내부이동률 적용)'!W$54+'1.4.조성법총괄(내부이동률 적용)'!W$57*$AK$2)*$AB53)+(BD$97*$AC53),0)</f>
        <v>135</v>
      </c>
      <c r="AB53" s="934">
        <f>+H53/'1.4.조성법총괄(내부이동률 적용)'!$D$58</f>
        <v>3.3684989820470107E-2</v>
      </c>
      <c r="AC53" s="934"/>
      <c r="AD53" s="1080"/>
      <c r="AE53" s="1"/>
      <c r="AF53" s="1168"/>
      <c r="AG53" s="1132" t="s">
        <v>96</v>
      </c>
      <c r="AH53" s="1129" t="str">
        <f>+'사회적유입인구의 처리구역별 배분(적용)'!C47</f>
        <v>리노삼봉산업단지</v>
      </c>
      <c r="AI53" s="862">
        <f>+'사회적유입인구의 처리구역별 배분(적용)'!D47</f>
        <v>0</v>
      </c>
      <c r="AJ53" s="862">
        <f>+'사회적유입인구의 처리구역별 배분(적용)'!E47</f>
        <v>0</v>
      </c>
      <c r="AK53" s="862">
        <f>+'사회적유입인구의 처리구역별 배분(적용)'!F47</f>
        <v>0</v>
      </c>
      <c r="AL53" s="862">
        <f>+'사회적유입인구의 처리구역별 배분(적용)'!G47</f>
        <v>0</v>
      </c>
      <c r="AM53" s="862">
        <f>+'사회적유입인구의 처리구역별 배분(적용)'!H47</f>
        <v>3</v>
      </c>
      <c r="AN53" s="862">
        <f>+'사회적유입인구의 처리구역별 배분(적용)'!I47</f>
        <v>8</v>
      </c>
      <c r="AO53" s="862">
        <f>+'사회적유입인구의 처리구역별 배분(적용)'!J47</f>
        <v>14</v>
      </c>
      <c r="AP53" s="862">
        <f>+'사회적유입인구의 처리구역별 배분(적용)'!K47</f>
        <v>14</v>
      </c>
      <c r="AQ53" s="862">
        <f>+'사회적유입인구의 처리구역별 배분(적용)'!L47</f>
        <v>14</v>
      </c>
      <c r="AR53" s="862">
        <f>+'사회적유입인구의 처리구역별 배분(적용)'!M47</f>
        <v>14</v>
      </c>
      <c r="AS53" s="862">
        <f>+'사회적유입인구의 처리구역별 배분(적용)'!N47</f>
        <v>14</v>
      </c>
      <c r="AT53" s="862">
        <f>+'사회적유입인구의 처리구역별 배분(적용)'!O47</f>
        <v>14</v>
      </c>
      <c r="AU53" s="862">
        <f>+'사회적유입인구의 처리구역별 배분(적용)'!P47</f>
        <v>14</v>
      </c>
      <c r="AV53" s="862">
        <f>+'사회적유입인구의 처리구역별 배분(적용)'!Q47</f>
        <v>14</v>
      </c>
      <c r="AW53" s="862">
        <f>+'사회적유입인구의 처리구역별 배분(적용)'!R47</f>
        <v>14</v>
      </c>
      <c r="AX53" s="862">
        <f>+'사회적유입인구의 처리구역별 배분(적용)'!S47</f>
        <v>14</v>
      </c>
      <c r="AY53" s="862">
        <f>+'사회적유입인구의 처리구역별 배분(적용)'!T47</f>
        <v>14</v>
      </c>
      <c r="AZ53" s="862">
        <f>+'사회적유입인구의 처리구역별 배분(적용)'!U47</f>
        <v>14</v>
      </c>
      <c r="BA53" s="862">
        <f>+'사회적유입인구의 처리구역별 배분(적용)'!V47</f>
        <v>14</v>
      </c>
      <c r="BB53" s="862">
        <f>+'사회적유입인구의 처리구역별 배분(적용)'!W47</f>
        <v>14</v>
      </c>
      <c r="BC53" s="862">
        <f>+'사회적유입인구의 처리구역별 배분(적용)'!X47</f>
        <v>14</v>
      </c>
      <c r="BD53" s="862">
        <f>+'사회적유입인구의 처리구역별 배분(적용)'!Y47</f>
        <v>14</v>
      </c>
      <c r="BE53" s="876">
        <f>+'사회적유입인구의 처리구역별 배분(적용)'!Z47</f>
        <v>0.1</v>
      </c>
    </row>
    <row r="54" spans="1:57" s="712" customFormat="1" ht="24" customHeight="1">
      <c r="A54" s="2640"/>
      <c r="B54" s="2678"/>
      <c r="C54" s="2678"/>
      <c r="D54" s="1114" t="s">
        <v>1489</v>
      </c>
      <c r="E54" s="1114" t="s">
        <v>1487</v>
      </c>
      <c r="F54" s="713"/>
      <c r="G54" s="935">
        <f>+'2014처리구역인구 정리'!I48</f>
        <v>158</v>
      </c>
      <c r="H54" s="935">
        <f>+'2014처리구역인구 정리'!J48</f>
        <v>175</v>
      </c>
      <c r="I54" s="925">
        <f>ROUND((('1.4.조성법총괄(내부이동률 적용)'!E$54+'1.4.조성법총괄(내부이동률 적용)'!E$57*$AK$2)*$AB54)+(AL$97*$AC54),0)</f>
        <v>162</v>
      </c>
      <c r="J54" s="925">
        <f>ROUND((('1.4.조성법총괄(내부이동률 적용)'!F$54+'1.4.조성법총괄(내부이동률 적용)'!F$57*$AK$2)*$AB54)+(AM$97*$AC54),0)</f>
        <v>159</v>
      </c>
      <c r="K54" s="925">
        <f>ROUND((('1.4.조성법총괄(내부이동률 적용)'!G$54+'1.4.조성법총괄(내부이동률 적용)'!G$57*$AK$2)*$AB54)+(AN$97*$AC54),0)</f>
        <v>156</v>
      </c>
      <c r="L54" s="907">
        <f>ROUND((('1.4.조성법총괄(내부이동률 적용)'!H$54+'1.4.조성법총괄(내부이동률 적용)'!H$57*$AK$2)*$AB54)+(AO$97*$AC54),0)</f>
        <v>153</v>
      </c>
      <c r="M54" s="925">
        <f>ROUND((('1.4.조성법총괄(내부이동률 적용)'!I$54+'1.4.조성법총괄(내부이동률 적용)'!I$57*$AK$2)*$AB54)+(AP$97*$AC54),0)</f>
        <v>152</v>
      </c>
      <c r="N54" s="925">
        <f>ROUND((('1.4.조성법총괄(내부이동률 적용)'!J$54+'1.4.조성법총괄(내부이동률 적용)'!J$57*$AK$2)*$AB54)+(AQ$97*$AC54),0)</f>
        <v>151</v>
      </c>
      <c r="O54" s="925">
        <f>ROUND((('1.4.조성법총괄(내부이동률 적용)'!K$54+'1.4.조성법총괄(내부이동률 적용)'!K$57*$AK$2)*$AB54)+(AR$97*$AC54),0)</f>
        <v>150</v>
      </c>
      <c r="P54" s="925">
        <f>ROUND((('1.4.조성법총괄(내부이동률 적용)'!L$54+'1.4.조성법총괄(내부이동률 적용)'!L$57*$AK$2)*$AB54)+(AS$97*$AC54),0)</f>
        <v>149</v>
      </c>
      <c r="Q54" s="907">
        <f>ROUND((('1.4.조성법총괄(내부이동률 적용)'!M$54+'1.4.조성법총괄(내부이동률 적용)'!M$57*$AK$2)*$AB54)+(AT$97*$AC54),0)</f>
        <v>148</v>
      </c>
      <c r="R54" s="925">
        <f>ROUND((('1.4.조성법총괄(내부이동률 적용)'!N$54+'1.4.조성법총괄(내부이동률 적용)'!N$57*$AK$2)*$AB54)+(AU$97*$AC54),0)</f>
        <v>147</v>
      </c>
      <c r="S54" s="925">
        <f>ROUND((('1.4.조성법총괄(내부이동률 적용)'!O$54+'1.4.조성법총괄(내부이동률 적용)'!O$57*$AK$2)*$AB54)+(AV$97*$AC54),0)</f>
        <v>145</v>
      </c>
      <c r="T54" s="925">
        <f>ROUND((('1.4.조성법총괄(내부이동률 적용)'!P$54+'1.4.조성법총괄(내부이동률 적용)'!P$57*$AK$2)*$AB54)+(AW$97*$AC54),0)</f>
        <v>144</v>
      </c>
      <c r="U54" s="925">
        <f>ROUND((('1.4.조성법총괄(내부이동률 적용)'!Q$54+'1.4.조성법총괄(내부이동률 적용)'!Q$57*$AK$2)*$AB54)+(AX$97*$AC54),0)</f>
        <v>143</v>
      </c>
      <c r="V54" s="715">
        <f>ROUND((('1.4.조성법총괄(내부이동률 적용)'!R$54+'1.4.조성법총괄(내부이동률 적용)'!R$57*$AK$2)*$AB54)+(AY$97*$AC54),0)</f>
        <v>141</v>
      </c>
      <c r="W54" s="714">
        <f>ROUND((('1.4.조성법총괄(내부이동률 적용)'!S$54+'1.4.조성법총괄(내부이동률 적용)'!S$57*$AK$2)*$AB54)+(AZ$97*$AC54),0)</f>
        <v>140</v>
      </c>
      <c r="X54" s="714">
        <f>ROUND((('1.4.조성법총괄(내부이동률 적용)'!T$54+'1.4.조성법총괄(내부이동률 적용)'!T$57*$AK$2)*$AB54)+(BA$97*$AC54),0)</f>
        <v>139</v>
      </c>
      <c r="Y54" s="714">
        <f>ROUND((('1.4.조성법총괄(내부이동률 적용)'!U$54+'1.4.조성법총괄(내부이동률 적용)'!U$57*$AK$2)*$AB54)+(BB$97*$AC54),0)</f>
        <v>137</v>
      </c>
      <c r="Z54" s="714">
        <f>ROUND((('1.4.조성법총괄(내부이동률 적용)'!V$54+'1.4.조성법총괄(내부이동률 적용)'!V$57*$AK$2)*$AB54)+(BC$97*$AC54),0)</f>
        <v>136</v>
      </c>
      <c r="AA54" s="715">
        <f>ROUND((('1.4.조성법총괄(내부이동률 적용)'!W$54+'1.4.조성법총괄(내부이동률 적용)'!W$57*$AK$2)*$AB54)+(BD$97*$AC54),0)</f>
        <v>130</v>
      </c>
      <c r="AB54" s="934">
        <f>+H54/'1.4.조성법총괄(내부이동률 적용)'!$D$58</f>
        <v>3.2389413288913566E-2</v>
      </c>
      <c r="AC54" s="934"/>
      <c r="AD54" s="1080"/>
      <c r="AE54" s="711"/>
      <c r="AF54" s="1168"/>
      <c r="AG54" s="1171"/>
      <c r="AH54" s="1129" t="str">
        <f>+'사회적유입인구의 처리구역별 배분(적용)'!C48</f>
        <v>오선산업단지</v>
      </c>
      <c r="AI54" s="862">
        <f>+'사회적유입인구의 처리구역별 배분(적용)'!D48</f>
        <v>0</v>
      </c>
      <c r="AJ54" s="862">
        <f>+'사회적유입인구의 처리구역별 배분(적용)'!E48</f>
        <v>0</v>
      </c>
      <c r="AK54" s="862">
        <f>+'사회적유입인구의 처리구역별 배분(적용)'!F48</f>
        <v>0</v>
      </c>
      <c r="AL54" s="862">
        <f>+'사회적유입인구의 처리구역별 배분(적용)'!G48</f>
        <v>0</v>
      </c>
      <c r="AM54" s="862">
        <f>+'사회적유입인구의 처리구역별 배분(적용)'!H48</f>
        <v>5</v>
      </c>
      <c r="AN54" s="862">
        <f>+'사회적유입인구의 처리구역별 배분(적용)'!I48</f>
        <v>14</v>
      </c>
      <c r="AO54" s="862">
        <f>+'사회적유입인구의 처리구역별 배분(적용)'!J48</f>
        <v>24</v>
      </c>
      <c r="AP54" s="862">
        <f>+'사회적유입인구의 처리구역별 배분(적용)'!K48</f>
        <v>24</v>
      </c>
      <c r="AQ54" s="862">
        <f>+'사회적유입인구의 처리구역별 배분(적용)'!L48</f>
        <v>24</v>
      </c>
      <c r="AR54" s="862">
        <f>+'사회적유입인구의 처리구역별 배분(적용)'!M48</f>
        <v>24</v>
      </c>
      <c r="AS54" s="862">
        <f>+'사회적유입인구의 처리구역별 배분(적용)'!N48</f>
        <v>24</v>
      </c>
      <c r="AT54" s="862">
        <f>+'사회적유입인구의 처리구역별 배분(적용)'!O48</f>
        <v>24</v>
      </c>
      <c r="AU54" s="862">
        <f>+'사회적유입인구의 처리구역별 배분(적용)'!P48</f>
        <v>24</v>
      </c>
      <c r="AV54" s="862">
        <f>+'사회적유입인구의 처리구역별 배분(적용)'!Q48</f>
        <v>24</v>
      </c>
      <c r="AW54" s="862">
        <f>+'사회적유입인구의 처리구역별 배분(적용)'!R48</f>
        <v>24</v>
      </c>
      <c r="AX54" s="862">
        <f>+'사회적유입인구의 처리구역별 배분(적용)'!S48</f>
        <v>24</v>
      </c>
      <c r="AY54" s="862">
        <f>+'사회적유입인구의 처리구역별 배분(적용)'!T48</f>
        <v>24</v>
      </c>
      <c r="AZ54" s="862">
        <f>+'사회적유입인구의 처리구역별 배분(적용)'!U48</f>
        <v>24</v>
      </c>
      <c r="BA54" s="862">
        <f>+'사회적유입인구의 처리구역별 배분(적용)'!V48</f>
        <v>24</v>
      </c>
      <c r="BB54" s="862">
        <f>+'사회적유입인구의 처리구역별 배분(적용)'!W48</f>
        <v>24</v>
      </c>
      <c r="BC54" s="862">
        <f>+'사회적유입인구의 처리구역별 배분(적용)'!X48</f>
        <v>24</v>
      </c>
      <c r="BD54" s="862">
        <f>+'사회적유입인구의 처리구역별 배분(적용)'!Y48</f>
        <v>24</v>
      </c>
      <c r="BE54" s="876">
        <f>+'사회적유입인구의 처리구역별 배분(적용)'!Z48</f>
        <v>0.05</v>
      </c>
    </row>
    <row r="55" spans="1:57" s="712" customFormat="1" ht="24" customHeight="1">
      <c r="A55" s="2640"/>
      <c r="B55" s="2679"/>
      <c r="C55" s="2679"/>
      <c r="D55" s="1176" t="s">
        <v>1490</v>
      </c>
      <c r="E55" s="1176" t="s">
        <v>1485</v>
      </c>
      <c r="F55" s="713"/>
      <c r="G55" s="935">
        <f>+'2014처리구역인구 정리'!I49</f>
        <v>72</v>
      </c>
      <c r="H55" s="935">
        <f>+'2014처리구역인구 정리'!J49</f>
        <v>73</v>
      </c>
      <c r="I55" s="925">
        <f>ROUND((('1.4.조성법총괄(내부이동률 적용)'!E$54+'1.4.조성법총괄(내부이동률 적용)'!E$57*$AK$2)*$AB55)+(AL$97*$AC55),0)</f>
        <v>67</v>
      </c>
      <c r="J55" s="925">
        <f>ROUND((('1.4.조성법총괄(내부이동률 적용)'!F$54+'1.4.조성법총괄(내부이동률 적용)'!F$57*$AK$2)*$AB55)+(AM$97*$AC55),0)</f>
        <v>66</v>
      </c>
      <c r="K55" s="925">
        <f>ROUND((('1.4.조성법총괄(내부이동률 적용)'!G$54+'1.4.조성법총괄(내부이동률 적용)'!G$57*$AK$2)*$AB55)+(AN$97*$AC55),0)</f>
        <v>65</v>
      </c>
      <c r="L55" s="907">
        <f>ROUND((('1.4.조성법총괄(내부이동률 적용)'!H$54+'1.4.조성법총괄(내부이동률 적용)'!H$57*$AK$2)*$AB55)+(AO$97*$AC55),0)</f>
        <v>64</v>
      </c>
      <c r="M55" s="925">
        <f>ROUND((('1.4.조성법총괄(내부이동률 적용)'!I$54+'1.4.조성법총괄(내부이동률 적용)'!I$57*$AK$2)*$AB55)+(AP$97*$AC55),0)</f>
        <v>63</v>
      </c>
      <c r="N55" s="925">
        <f>ROUND((('1.4.조성법총괄(내부이동률 적용)'!J$54+'1.4.조성법총괄(내부이동률 적용)'!J$57*$AK$2)*$AB55)+(AQ$97*$AC55),0)</f>
        <v>63</v>
      </c>
      <c r="O55" s="925">
        <f>ROUND((('1.4.조성법총괄(내부이동률 적용)'!K$54+'1.4.조성법총괄(내부이동률 적용)'!K$57*$AK$2)*$AB55)+(AR$97*$AC55),0)</f>
        <v>62</v>
      </c>
      <c r="P55" s="925">
        <f>ROUND((('1.4.조성법총괄(내부이동률 적용)'!L$54+'1.4.조성법총괄(내부이동률 적용)'!L$57*$AK$2)*$AB55)+(AS$97*$AC55),0)</f>
        <v>62</v>
      </c>
      <c r="Q55" s="907">
        <f>ROUND((('1.4.조성법총괄(내부이동률 적용)'!M$54+'1.4.조성법총괄(내부이동률 적용)'!M$57*$AK$2)*$AB55)+(AT$97*$AC55),0)</f>
        <v>62</v>
      </c>
      <c r="R55" s="925">
        <f>ROUND((('1.4.조성법총괄(내부이동률 적용)'!N$54+'1.4.조성법총괄(내부이동률 적용)'!N$57*$AK$2)*$AB55)+(AU$97*$AC55),0)</f>
        <v>61</v>
      </c>
      <c r="S55" s="925">
        <f>ROUND((('1.4.조성법총괄(내부이동률 적용)'!O$54+'1.4.조성법총괄(내부이동률 적용)'!O$57*$AK$2)*$AB55)+(AV$97*$AC55),0)</f>
        <v>61</v>
      </c>
      <c r="T55" s="925">
        <f>ROUND((('1.4.조성법총괄(내부이동률 적용)'!P$54+'1.4.조성법총괄(내부이동률 적용)'!P$57*$AK$2)*$AB55)+(AW$97*$AC55),0)</f>
        <v>60</v>
      </c>
      <c r="U55" s="925">
        <f>ROUND((('1.4.조성법총괄(내부이동률 적용)'!Q$54+'1.4.조성법총괄(내부이동률 적용)'!Q$57*$AK$2)*$AB55)+(AX$97*$AC55),0)</f>
        <v>60</v>
      </c>
      <c r="V55" s="715">
        <f>ROUND((('1.4.조성법총괄(내부이동률 적용)'!R$54+'1.4.조성법총괄(내부이동률 적용)'!R$57*$AK$2)*$AB55)+(AY$97*$AC55),0)</f>
        <v>59</v>
      </c>
      <c r="W55" s="714">
        <f>ROUND((('1.4.조성법총괄(내부이동률 적용)'!S$54+'1.4.조성법총괄(내부이동률 적용)'!S$57*$AK$2)*$AB55)+(AZ$97*$AC55),0)</f>
        <v>58</v>
      </c>
      <c r="X55" s="714">
        <f>ROUND((('1.4.조성법총괄(내부이동률 적용)'!T$54+'1.4.조성법총괄(내부이동률 적용)'!T$57*$AK$2)*$AB55)+(BA$97*$AC55),0)</f>
        <v>58</v>
      </c>
      <c r="Y55" s="714">
        <f>ROUND((('1.4.조성법총괄(내부이동률 적용)'!U$54+'1.4.조성법총괄(내부이동률 적용)'!U$57*$AK$2)*$AB55)+(BB$97*$AC55),0)</f>
        <v>57</v>
      </c>
      <c r="Z55" s="714">
        <f>ROUND((('1.4.조성법총괄(내부이동률 적용)'!V$54+'1.4.조성법총괄(내부이동률 적용)'!V$57*$AK$2)*$AB55)+(BC$97*$AC55),0)</f>
        <v>57</v>
      </c>
      <c r="AA55" s="715">
        <f>ROUND((('1.4.조성법총괄(내부이동률 적용)'!W$54+'1.4.조성법총괄(내부이동률 적용)'!W$57*$AK$2)*$AB55)+(BD$97*$AC55),0)</f>
        <v>54</v>
      </c>
      <c r="AB55" s="934">
        <f>+H55/'1.4.조성법총괄(내부이동률 적용)'!$D$58</f>
        <v>1.3511012400518231E-2</v>
      </c>
      <c r="AC55" s="934"/>
      <c r="AD55" s="1080"/>
      <c r="AE55" s="711"/>
      <c r="AF55" s="1168"/>
      <c r="AG55" s="1171"/>
      <c r="AH55" s="1129" t="str">
        <f>+'사회적유입인구의 처리구역별 배분(적용)'!C49</f>
        <v>유촌산업단지</v>
      </c>
      <c r="AI55" s="862">
        <f>+'사회적유입인구의 처리구역별 배분(적용)'!D49</f>
        <v>0</v>
      </c>
      <c r="AJ55" s="862">
        <f>+'사회적유입인구의 처리구역별 배분(적용)'!E49</f>
        <v>0</v>
      </c>
      <c r="AK55" s="862">
        <f>+'사회적유입인구의 처리구역별 배분(적용)'!F49</f>
        <v>0</v>
      </c>
      <c r="AL55" s="862">
        <f>+'사회적유입인구의 처리구역별 배분(적용)'!G49</f>
        <v>0</v>
      </c>
      <c r="AM55" s="862">
        <f>+'사회적유입인구의 처리구역별 배분(적용)'!H49</f>
        <v>0</v>
      </c>
      <c r="AN55" s="862">
        <f>+'사회적유입인구의 처리구역별 배분(적용)'!I49</f>
        <v>16</v>
      </c>
      <c r="AO55" s="862">
        <f>+'사회적유입인구의 처리구역별 배분(적용)'!J49</f>
        <v>47</v>
      </c>
      <c r="AP55" s="862">
        <f>+'사회적유입인구의 처리구역별 배분(적용)'!K49</f>
        <v>79</v>
      </c>
      <c r="AQ55" s="862">
        <f>+'사회적유입인구의 처리구역별 배분(적용)'!L49</f>
        <v>79</v>
      </c>
      <c r="AR55" s="862">
        <f>+'사회적유입인구의 처리구역별 배분(적용)'!M49</f>
        <v>79</v>
      </c>
      <c r="AS55" s="862">
        <f>+'사회적유입인구의 처리구역별 배분(적용)'!N49</f>
        <v>79</v>
      </c>
      <c r="AT55" s="862">
        <f>+'사회적유입인구의 처리구역별 배분(적용)'!O49</f>
        <v>79</v>
      </c>
      <c r="AU55" s="862">
        <f>+'사회적유입인구의 처리구역별 배분(적용)'!P49</f>
        <v>79</v>
      </c>
      <c r="AV55" s="862">
        <f>+'사회적유입인구의 처리구역별 배분(적용)'!Q49</f>
        <v>79</v>
      </c>
      <c r="AW55" s="862">
        <f>+'사회적유입인구의 처리구역별 배분(적용)'!R49</f>
        <v>79</v>
      </c>
      <c r="AX55" s="862">
        <f>+'사회적유입인구의 처리구역별 배분(적용)'!S49</f>
        <v>79</v>
      </c>
      <c r="AY55" s="862">
        <f>+'사회적유입인구의 처리구역별 배분(적용)'!T49</f>
        <v>79</v>
      </c>
      <c r="AZ55" s="862">
        <f>+'사회적유입인구의 처리구역별 배분(적용)'!U49</f>
        <v>79</v>
      </c>
      <c r="BA55" s="862">
        <f>+'사회적유입인구의 처리구역별 배분(적용)'!V49</f>
        <v>79</v>
      </c>
      <c r="BB55" s="862">
        <f>+'사회적유입인구의 처리구역별 배분(적용)'!W49</f>
        <v>79</v>
      </c>
      <c r="BC55" s="862">
        <f>+'사회적유입인구의 처리구역별 배분(적용)'!X49</f>
        <v>79</v>
      </c>
      <c r="BD55" s="862">
        <f>+'사회적유입인구의 처리구역별 배분(적용)'!Y49</f>
        <v>79</v>
      </c>
      <c r="BE55" s="876">
        <f>+'사회적유입인구의 처리구역별 배분(적용)'!Z49</f>
        <v>0.1</v>
      </c>
    </row>
    <row r="56" spans="1:57" s="712" customFormat="1" ht="24" customHeight="1">
      <c r="A56" s="2640"/>
      <c r="B56" s="2677" t="s">
        <v>1088</v>
      </c>
      <c r="C56" s="2635" t="s">
        <v>7</v>
      </c>
      <c r="D56" s="2635"/>
      <c r="E56" s="2635"/>
      <c r="F56" s="713"/>
      <c r="G56" s="907">
        <f t="shared" ref="G56:AA56" si="55">SUM(G57:G73)</f>
        <v>10404</v>
      </c>
      <c r="H56" s="925">
        <f t="shared" si="55"/>
        <v>11324</v>
      </c>
      <c r="I56" s="925">
        <f t="shared" si="55"/>
        <v>11242</v>
      </c>
      <c r="J56" s="925">
        <f t="shared" si="55"/>
        <v>11261</v>
      </c>
      <c r="K56" s="925">
        <f t="shared" si="55"/>
        <v>11278</v>
      </c>
      <c r="L56" s="907">
        <f t="shared" si="55"/>
        <v>13367</v>
      </c>
      <c r="M56" s="925">
        <f t="shared" si="55"/>
        <v>13400</v>
      </c>
      <c r="N56" s="925">
        <f t="shared" si="55"/>
        <v>13437</v>
      </c>
      <c r="O56" s="925">
        <f t="shared" si="55"/>
        <v>13474</v>
      </c>
      <c r="P56" s="925">
        <f t="shared" si="55"/>
        <v>13509</v>
      </c>
      <c r="Q56" s="907">
        <f t="shared" si="55"/>
        <v>13496</v>
      </c>
      <c r="R56" s="925">
        <f t="shared" si="55"/>
        <v>13519</v>
      </c>
      <c r="S56" s="925">
        <f t="shared" si="55"/>
        <v>13542</v>
      </c>
      <c r="T56" s="925">
        <f t="shared" si="55"/>
        <v>13565</v>
      </c>
      <c r="U56" s="925">
        <f t="shared" si="55"/>
        <v>13587</v>
      </c>
      <c r="V56" s="715">
        <f t="shared" si="55"/>
        <v>13608</v>
      </c>
      <c r="W56" s="714">
        <f t="shared" si="55"/>
        <v>13626</v>
      </c>
      <c r="X56" s="714">
        <f t="shared" si="55"/>
        <v>13641</v>
      </c>
      <c r="Y56" s="714">
        <f t="shared" si="55"/>
        <v>13660</v>
      </c>
      <c r="Z56" s="714">
        <f t="shared" si="55"/>
        <v>13676</v>
      </c>
      <c r="AA56" s="715">
        <f t="shared" si="55"/>
        <v>17320</v>
      </c>
      <c r="AB56" s="934"/>
      <c r="AC56" s="934"/>
      <c r="AD56" s="1080"/>
      <c r="AE56" s="1"/>
      <c r="AF56" s="1168"/>
      <c r="AG56" s="1171"/>
      <c r="AH56" s="1129" t="str">
        <f>+'사회적유입인구의 처리구역별 배분(적용)'!C50</f>
        <v>성본산업단지</v>
      </c>
      <c r="AI56" s="862">
        <f>+'사회적유입인구의 처리구역별 배분(적용)'!D50</f>
        <v>0</v>
      </c>
      <c r="AJ56" s="862">
        <f>+'사회적유입인구의 처리구역별 배분(적용)'!E50</f>
        <v>0</v>
      </c>
      <c r="AK56" s="862">
        <f>+'사회적유입인구의 처리구역별 배분(적용)'!F50</f>
        <v>0</v>
      </c>
      <c r="AL56" s="862">
        <f>+'사회적유입인구의 처리구역별 배분(적용)'!G50</f>
        <v>0</v>
      </c>
      <c r="AM56" s="862">
        <f>+'사회적유입인구의 처리구역별 배분(적용)'!H50</f>
        <v>0</v>
      </c>
      <c r="AN56" s="862">
        <f>+'사회적유입인구의 처리구역별 배분(적용)'!I50</f>
        <v>0</v>
      </c>
      <c r="AO56" s="862">
        <f>+'사회적유입인구의 처리구역별 배분(적용)'!J50</f>
        <v>0</v>
      </c>
      <c r="AP56" s="862">
        <f>+'사회적유입인구의 처리구역별 배분(적용)'!K50</f>
        <v>0</v>
      </c>
      <c r="AQ56" s="862">
        <f>+'사회적유입인구의 처리구역별 배분(적용)'!L50</f>
        <v>0</v>
      </c>
      <c r="AR56" s="862">
        <f>+'사회적유입인구의 처리구역별 배분(적용)'!M50</f>
        <v>0</v>
      </c>
      <c r="AS56" s="862">
        <f>+'사회적유입인구의 처리구역별 배분(적용)'!N50</f>
        <v>0</v>
      </c>
      <c r="AT56" s="862">
        <f>+'사회적유입인구의 처리구역별 배분(적용)'!O50</f>
        <v>0</v>
      </c>
      <c r="AU56" s="862">
        <f>+'사회적유입인구의 처리구역별 배분(적용)'!P50</f>
        <v>0</v>
      </c>
      <c r="AV56" s="862">
        <f>+'사회적유입인구의 처리구역별 배분(적용)'!Q50</f>
        <v>0</v>
      </c>
      <c r="AW56" s="862">
        <f>+'사회적유입인구의 처리구역별 배분(적용)'!R50</f>
        <v>0</v>
      </c>
      <c r="AX56" s="862">
        <f>+'사회적유입인구의 처리구역별 배분(적용)'!S50</f>
        <v>0</v>
      </c>
      <c r="AY56" s="862">
        <f>+'사회적유입인구의 처리구역별 배분(적용)'!T50</f>
        <v>0</v>
      </c>
      <c r="AZ56" s="862">
        <f>+'사회적유입인구의 처리구역별 배분(적용)'!U50</f>
        <v>0</v>
      </c>
      <c r="BA56" s="862">
        <f>+'사회적유입인구의 처리구역별 배분(적용)'!V50</f>
        <v>0</v>
      </c>
      <c r="BB56" s="862">
        <f>+'사회적유입인구의 처리구역별 배분(적용)'!W50</f>
        <v>0</v>
      </c>
      <c r="BC56" s="862">
        <f>+'사회적유입인구의 처리구역별 배분(적용)'!X50</f>
        <v>0</v>
      </c>
      <c r="BD56" s="862">
        <f>+'사회적유입인구의 처리구역별 배분(적용)'!Y50</f>
        <v>0</v>
      </c>
      <c r="BE56" s="876">
        <f>+'사회적유입인구의 처리구역별 배분(적용)'!Z50</f>
        <v>0</v>
      </c>
    </row>
    <row r="57" spans="1:57" s="712" customFormat="1" ht="24" customHeight="1">
      <c r="A57" s="2640"/>
      <c r="B57" s="2678"/>
      <c r="C57" s="2684" t="s">
        <v>637</v>
      </c>
      <c r="D57" s="2684" t="s">
        <v>961</v>
      </c>
      <c r="E57" s="1104" t="s">
        <v>970</v>
      </c>
      <c r="F57" s="713"/>
      <c r="G57" s="935">
        <f>+'2014처리구역인구 정리'!I51</f>
        <v>847</v>
      </c>
      <c r="H57" s="935">
        <f>+'2014처리구역인구 정리'!J51</f>
        <v>939</v>
      </c>
      <c r="I57" s="925">
        <f>ROUND((('1.4.조성법총괄(내부이동률 적용)'!E$11+'1.4.조성법총괄(내부이동률 적용)'!E$14*$AK$2)*$AB57)+(AL$43*$AC57),0)</f>
        <v>932</v>
      </c>
      <c r="J57" s="925">
        <f>ROUND((('1.4.조성법총괄(내부이동률 적용)'!F$11+'1.4.조성법총괄(내부이동률 적용)'!F$14*$AK$2)*$AB57)+(AM$43*$AC57),0)</f>
        <v>934</v>
      </c>
      <c r="K57" s="925">
        <f>ROUND((('1.4.조성법총괄(내부이동률 적용)'!G$11+'1.4.조성법총괄(내부이동률 적용)'!G$14*$AK$2)*$AB57)+(AN$43*$AC57),0)</f>
        <v>935</v>
      </c>
      <c r="L57" s="907">
        <f>ROUND((('1.4.조성법총괄(내부이동률 적용)'!H$11+'1.4.조성법총괄(내부이동률 적용)'!H$14*$AK$2)*$AB57)+(AO$43*$AC57),0)</f>
        <v>917</v>
      </c>
      <c r="M57" s="925">
        <f>ROUND((('1.4.조성법총괄(내부이동률 적용)'!I$11+'1.4.조성법총괄(내부이동률 적용)'!I$14*$AK$2)*$AB57)+(AP$43*$AC57),0)</f>
        <v>920</v>
      </c>
      <c r="N57" s="925">
        <f>ROUND((('1.4.조성법총괄(내부이동률 적용)'!J$11+'1.4.조성법총괄(내부이동률 적용)'!J$14*$AK$2)*$AB57)+(AQ$43*$AC57),0)</f>
        <v>923</v>
      </c>
      <c r="O57" s="925">
        <f>ROUND((('1.4.조성법총괄(내부이동률 적용)'!K$11+'1.4.조성법총괄(내부이동률 적용)'!K$14*$AK$2)*$AB57)+(AR$43*$AC57),0)</f>
        <v>926</v>
      </c>
      <c r="P57" s="925">
        <f>ROUND((('1.4.조성법총괄(내부이동률 적용)'!L$11+'1.4.조성법총괄(내부이동률 적용)'!L$14*$AK$2)*$AB57)+(AS$43*$AC57),0)</f>
        <v>929</v>
      </c>
      <c r="Q57" s="907">
        <f>ROUND((('1.4.조성법총괄(내부이동률 적용)'!M$11+'1.4.조성법총괄(내부이동률 적용)'!M$14*$AK$2)*$AB57)+(AT$43*$AC57),0)</f>
        <v>928</v>
      </c>
      <c r="R57" s="925">
        <f>ROUND((('1.4.조성법총괄(내부이동률 적용)'!N$11+'1.4.조성법총괄(내부이동률 적용)'!N$14*$AK$2)*$AB57)+(AU$43*$AC57),0)</f>
        <v>930</v>
      </c>
      <c r="S57" s="925">
        <f>ROUND((('1.4.조성법총괄(내부이동률 적용)'!O$11+'1.4.조성법총괄(내부이동률 적용)'!O$14*$AK$2)*$AB57)+(AV$43*$AC57),0)</f>
        <v>932</v>
      </c>
      <c r="T57" s="925">
        <f>ROUND((('1.4.조성법총괄(내부이동률 적용)'!P$11+'1.4.조성법총괄(내부이동률 적용)'!P$14*$AK$2)*$AB57)+(AW$43*$AC57),0)</f>
        <v>934</v>
      </c>
      <c r="U57" s="925">
        <f>ROUND((('1.4.조성법총괄(내부이동률 적용)'!Q$11+'1.4.조성법총괄(내부이동률 적용)'!Q$14*$AK$2)*$AB57)+(AX$43*$AC57),0)</f>
        <v>935</v>
      </c>
      <c r="V57" s="715">
        <f>ROUND((('1.4.조성법총괄(내부이동률 적용)'!R$11+'1.4.조성법총괄(내부이동률 적용)'!R$14*$AK$2)*$AB57)+(AY$43*$AC57),0)</f>
        <v>937</v>
      </c>
      <c r="W57" s="714">
        <f>ROUND((('1.4.조성법총괄(내부이동률 적용)'!S$11+'1.4.조성법총괄(내부이동률 적용)'!S$14*$AK$2)*$AB57)+(AZ$43*$AC57),0)</f>
        <v>939</v>
      </c>
      <c r="X57" s="714">
        <f>ROUND((('1.4.조성법총괄(내부이동률 적용)'!T$11+'1.4.조성법총괄(내부이동률 적용)'!T$14*$AK$2)*$AB57)+(BA$43*$AC57),0)</f>
        <v>940</v>
      </c>
      <c r="Y57" s="714">
        <f>ROUND((('1.4.조성법총괄(내부이동률 적용)'!U$11+'1.4.조성법총괄(내부이동률 적용)'!U$14*$AK$2)*$AB57)+(BB$43*$AC57),0)</f>
        <v>941</v>
      </c>
      <c r="Z57" s="714">
        <f>ROUND((('1.4.조성법총괄(내부이동률 적용)'!V$11+'1.4.조성법총괄(내부이동률 적용)'!V$14*$AK$2)*$AB57)+(BC$43*$AC57),0)</f>
        <v>943</v>
      </c>
      <c r="AA57" s="715">
        <f>ROUND((('1.4.조성법총괄(내부이동률 적용)'!W$11+'1.4.조성법총괄(내부이동률 적용)'!W$14*$AK$2)*$AB57)+(BD$43*$AC57),0)</f>
        <v>1116</v>
      </c>
      <c r="AB57" s="934">
        <f>+H57/'1.4.조성법총괄(내부이동률 적용)'!$D$15</f>
        <v>4.0131635182494227E-2</v>
      </c>
      <c r="AC57" s="934">
        <f t="shared" ref="AC57:AC64" si="56">+H57/$AE$41</f>
        <v>5.1494378941595829E-2</v>
      </c>
      <c r="AD57" s="1080"/>
      <c r="AE57" s="711"/>
      <c r="AF57" s="1168"/>
      <c r="AG57" s="1171"/>
      <c r="AH57" s="1129" t="str">
        <f>+'사회적유입인구의 처리구역별 배분(적용)'!C51</f>
        <v>금왕테크노밸리</v>
      </c>
      <c r="AI57" s="862">
        <f>+'사회적유입인구의 처리구역별 배분(적용)'!D51</f>
        <v>0</v>
      </c>
      <c r="AJ57" s="862">
        <f>+'사회적유입인구의 처리구역별 배분(적용)'!E51</f>
        <v>0</v>
      </c>
      <c r="AK57" s="862">
        <f>+'사회적유입인구의 처리구역별 배분(적용)'!F51</f>
        <v>0</v>
      </c>
      <c r="AL57" s="862">
        <f>+'사회적유입인구의 처리구역별 배분(적용)'!G51</f>
        <v>0</v>
      </c>
      <c r="AM57" s="862">
        <f>+'사회적유입인구의 처리구역별 배분(적용)'!H51</f>
        <v>0</v>
      </c>
      <c r="AN57" s="862">
        <f>+'사회적유입인구의 처리구역별 배분(적용)'!I51</f>
        <v>41</v>
      </c>
      <c r="AO57" s="862">
        <f>+'사회적유입인구의 처리구역별 배분(적용)'!J51</f>
        <v>123</v>
      </c>
      <c r="AP57" s="862">
        <f>+'사회적유입인구의 처리구역별 배분(적용)'!K51</f>
        <v>205</v>
      </c>
      <c r="AQ57" s="862">
        <f>+'사회적유입인구의 처리구역별 배분(적용)'!L51</f>
        <v>205</v>
      </c>
      <c r="AR57" s="862">
        <f>+'사회적유입인구의 처리구역별 배분(적용)'!M51</f>
        <v>205</v>
      </c>
      <c r="AS57" s="862">
        <f>+'사회적유입인구의 처리구역별 배분(적용)'!N51</f>
        <v>205</v>
      </c>
      <c r="AT57" s="862">
        <f>+'사회적유입인구의 처리구역별 배분(적용)'!O51</f>
        <v>205</v>
      </c>
      <c r="AU57" s="862">
        <f>+'사회적유입인구의 처리구역별 배분(적용)'!P51</f>
        <v>205</v>
      </c>
      <c r="AV57" s="862">
        <f>+'사회적유입인구의 처리구역별 배분(적용)'!Q51</f>
        <v>205</v>
      </c>
      <c r="AW57" s="862">
        <f>+'사회적유입인구의 처리구역별 배분(적용)'!R51</f>
        <v>205</v>
      </c>
      <c r="AX57" s="862">
        <f>+'사회적유입인구의 처리구역별 배분(적용)'!S51</f>
        <v>205</v>
      </c>
      <c r="AY57" s="862">
        <f>+'사회적유입인구의 처리구역별 배분(적용)'!T51</f>
        <v>205</v>
      </c>
      <c r="AZ57" s="862">
        <f>+'사회적유입인구의 처리구역별 배분(적용)'!U51</f>
        <v>205</v>
      </c>
      <c r="BA57" s="862">
        <f>+'사회적유입인구의 처리구역별 배분(적용)'!V51</f>
        <v>205</v>
      </c>
      <c r="BB57" s="862">
        <f>+'사회적유입인구의 처리구역별 배분(적용)'!W51</f>
        <v>205</v>
      </c>
      <c r="BC57" s="862">
        <f>+'사회적유입인구의 처리구역별 배분(적용)'!X51</f>
        <v>205</v>
      </c>
      <c r="BD57" s="862">
        <f>+'사회적유입인구의 처리구역별 배분(적용)'!Y51</f>
        <v>205</v>
      </c>
      <c r="BE57" s="876">
        <f>+'사회적유입인구의 처리구역별 배분(적용)'!Z51</f>
        <v>0.1</v>
      </c>
    </row>
    <row r="58" spans="1:57" s="712" customFormat="1" ht="24" customHeight="1">
      <c r="A58" s="2640"/>
      <c r="B58" s="2678"/>
      <c r="C58" s="2685"/>
      <c r="D58" s="2685"/>
      <c r="E58" s="1104" t="s">
        <v>971</v>
      </c>
      <c r="F58" s="713"/>
      <c r="G58" s="935">
        <f>+'2014처리구역인구 정리'!I52</f>
        <v>1309</v>
      </c>
      <c r="H58" s="935">
        <f>+'2014처리구역인구 정리'!J52</f>
        <v>1423</v>
      </c>
      <c r="I58" s="925">
        <f>ROUND((('1.4.조성법총괄(내부이동률 적용)'!E$11+'1.4.조성법총괄(내부이동률 적용)'!E$14*$AK$2)*$AB58)+(AL$43*$AC58),0)</f>
        <v>1413</v>
      </c>
      <c r="J58" s="925">
        <f>ROUND((('1.4.조성법총괄(내부이동률 적용)'!F$11+'1.4.조성법총괄(내부이동률 적용)'!F$14*$AK$2)*$AB58)+(AM$43*$AC58),0)</f>
        <v>1415</v>
      </c>
      <c r="K58" s="925">
        <f>ROUND((('1.4.조성법총괄(내부이동률 적용)'!G$11+'1.4.조성법총괄(내부이동률 적용)'!G$14*$AK$2)*$AB58)+(AN$43*$AC58),0)</f>
        <v>1417</v>
      </c>
      <c r="L58" s="907">
        <f>ROUND((('1.4.조성법총괄(내부이동률 적용)'!H$11+'1.4.조성법총괄(내부이동률 적용)'!H$14*$AK$2)*$AB58)+(AO$43*$AC58),0)</f>
        <v>1390</v>
      </c>
      <c r="M58" s="925">
        <f>ROUND((('1.4.조성법총괄(내부이동률 적용)'!I$11+'1.4.조성법총괄(내부이동률 적용)'!I$14*$AK$2)*$AB58)+(AP$43*$AC58),0)</f>
        <v>1394</v>
      </c>
      <c r="N58" s="925">
        <f>ROUND((('1.4.조성법총괄(내부이동률 적용)'!J$11+'1.4.조성법총괄(내부이동률 적용)'!J$14*$AK$2)*$AB58)+(AQ$43*$AC58),0)</f>
        <v>1399</v>
      </c>
      <c r="O58" s="925">
        <f>ROUND((('1.4.조성법총괄(내부이동률 적용)'!K$11+'1.4.조성법총괄(내부이동률 적용)'!K$14*$AK$2)*$AB58)+(AR$43*$AC58),0)</f>
        <v>1403</v>
      </c>
      <c r="P58" s="925">
        <f>ROUND((('1.4.조성법총괄(내부이동률 적용)'!L$11+'1.4.조성법총괄(내부이동률 적용)'!L$14*$AK$2)*$AB58)+(AS$43*$AC58),0)</f>
        <v>1408</v>
      </c>
      <c r="Q58" s="907">
        <f>ROUND((('1.4.조성법총괄(내부이동률 적용)'!M$11+'1.4.조성법총괄(내부이동률 적용)'!M$14*$AK$2)*$AB58)+(AT$43*$AC58),0)</f>
        <v>1406</v>
      </c>
      <c r="R58" s="925">
        <f>ROUND((('1.4.조성법총괄(내부이동률 적용)'!N$11+'1.4.조성법총괄(내부이동률 적용)'!N$14*$AK$2)*$AB58)+(AU$43*$AC58),0)</f>
        <v>1409</v>
      </c>
      <c r="S58" s="925">
        <f>ROUND((('1.4.조성법총괄(내부이동률 적용)'!O$11+'1.4.조성법총괄(내부이동률 적용)'!O$14*$AK$2)*$AB58)+(AV$43*$AC58),0)</f>
        <v>1412</v>
      </c>
      <c r="T58" s="925">
        <f>ROUND((('1.4.조성법총괄(내부이동률 적용)'!P$11+'1.4.조성법총괄(내부이동률 적용)'!P$14*$AK$2)*$AB58)+(AW$43*$AC58),0)</f>
        <v>1415</v>
      </c>
      <c r="U58" s="925">
        <f>ROUND((('1.4.조성법총괄(내부이동률 적용)'!Q$11+'1.4.조성법총괄(내부이동률 적용)'!Q$14*$AK$2)*$AB58)+(AX$43*$AC58),0)</f>
        <v>1418</v>
      </c>
      <c r="V58" s="715">
        <f>ROUND((('1.4.조성법총괄(내부이동률 적용)'!R$11+'1.4.조성법총괄(내부이동률 적용)'!R$14*$AK$2)*$AB58)+(AY$43*$AC58),0)</f>
        <v>1420</v>
      </c>
      <c r="W58" s="714">
        <f>ROUND((('1.4.조성법총괄(내부이동률 적용)'!S$11+'1.4.조성법총괄(내부이동률 적용)'!S$14*$AK$2)*$AB58)+(AZ$43*$AC58),0)</f>
        <v>1422</v>
      </c>
      <c r="X58" s="714">
        <f>ROUND((('1.4.조성법총괄(내부이동률 적용)'!T$11+'1.4.조성법총괄(내부이동률 적용)'!T$14*$AK$2)*$AB58)+(BA$43*$AC58),0)</f>
        <v>1425</v>
      </c>
      <c r="Y58" s="714">
        <f>ROUND((('1.4.조성법총괄(내부이동률 적용)'!U$11+'1.4.조성법총괄(내부이동률 적용)'!U$14*$AK$2)*$AB58)+(BB$43*$AC58),0)</f>
        <v>1427</v>
      </c>
      <c r="Z58" s="714">
        <f>ROUND((('1.4.조성법총괄(내부이동률 적용)'!V$11+'1.4.조성법총괄(내부이동률 적용)'!V$14*$AK$2)*$AB58)+(BC$43*$AC58),0)</f>
        <v>1429</v>
      </c>
      <c r="AA58" s="715">
        <f>ROUND((('1.4.조성법총괄(내부이동률 적용)'!W$11+'1.4.조성법총괄(내부이동률 적용)'!W$14*$AK$2)*$AB58)+(BD$43*$AC58),0)</f>
        <v>1691</v>
      </c>
      <c r="AB58" s="934">
        <f>+H58/'1.4.조성법총괄(내부이동률 적용)'!$D$15</f>
        <v>6.0817163860158986E-2</v>
      </c>
      <c r="AC58" s="934">
        <f t="shared" si="56"/>
        <v>7.8036742528105288E-2</v>
      </c>
      <c r="AD58" s="1080"/>
      <c r="AE58" s="711"/>
      <c r="AF58" s="1168"/>
      <c r="AG58" s="1171"/>
      <c r="AH58" s="1129" t="str">
        <f>+'사회적유입인구의 처리구역별 배분(적용)'!C52</f>
        <v>성안산업단지</v>
      </c>
      <c r="AI58" s="862">
        <f>+'사회적유입인구의 처리구역별 배분(적용)'!D52</f>
        <v>0</v>
      </c>
      <c r="AJ58" s="862">
        <f>+'사회적유입인구의 처리구역별 배분(적용)'!E52</f>
        <v>0</v>
      </c>
      <c r="AK58" s="862">
        <f>+'사회적유입인구의 처리구역별 배분(적용)'!F52</f>
        <v>0</v>
      </c>
      <c r="AL58" s="862">
        <f>+'사회적유입인구의 처리구역별 배분(적용)'!G52</f>
        <v>0</v>
      </c>
      <c r="AM58" s="862">
        <f>+'사회적유입인구의 처리구역별 배분(적용)'!H52</f>
        <v>0</v>
      </c>
      <c r="AN58" s="862">
        <f>+'사회적유입인구의 처리구역별 배분(적용)'!I52</f>
        <v>1</v>
      </c>
      <c r="AO58" s="862">
        <f>+'사회적유입인구의 처리구역별 배분(적용)'!J52</f>
        <v>2</v>
      </c>
      <c r="AP58" s="862">
        <f>+'사회적유입인구의 처리구역별 배분(적용)'!K52</f>
        <v>3</v>
      </c>
      <c r="AQ58" s="862">
        <f>+'사회적유입인구의 처리구역별 배분(적용)'!L52</f>
        <v>3</v>
      </c>
      <c r="AR58" s="862">
        <f>+'사회적유입인구의 처리구역별 배분(적용)'!M52</f>
        <v>3</v>
      </c>
      <c r="AS58" s="862">
        <f>+'사회적유입인구의 처리구역별 배분(적용)'!N52</f>
        <v>3</v>
      </c>
      <c r="AT58" s="862">
        <f>+'사회적유입인구의 처리구역별 배분(적용)'!O52</f>
        <v>3</v>
      </c>
      <c r="AU58" s="862">
        <f>+'사회적유입인구의 처리구역별 배분(적용)'!P52</f>
        <v>3</v>
      </c>
      <c r="AV58" s="862">
        <f>+'사회적유입인구의 처리구역별 배분(적용)'!Q52</f>
        <v>3</v>
      </c>
      <c r="AW58" s="862">
        <f>+'사회적유입인구의 처리구역별 배분(적용)'!R52</f>
        <v>3</v>
      </c>
      <c r="AX58" s="862">
        <f>+'사회적유입인구의 처리구역별 배분(적용)'!S52</f>
        <v>3</v>
      </c>
      <c r="AY58" s="862">
        <f>+'사회적유입인구의 처리구역별 배분(적용)'!T52</f>
        <v>3</v>
      </c>
      <c r="AZ58" s="862">
        <f>+'사회적유입인구의 처리구역별 배분(적용)'!U52</f>
        <v>3</v>
      </c>
      <c r="BA58" s="862">
        <f>+'사회적유입인구의 처리구역별 배분(적용)'!V52</f>
        <v>3</v>
      </c>
      <c r="BB58" s="862">
        <f>+'사회적유입인구의 처리구역별 배분(적용)'!W52</f>
        <v>3</v>
      </c>
      <c r="BC58" s="862">
        <f>+'사회적유입인구의 처리구역별 배분(적용)'!X52</f>
        <v>3</v>
      </c>
      <c r="BD58" s="862">
        <f>+'사회적유입인구의 처리구역별 배분(적용)'!Y52</f>
        <v>3</v>
      </c>
      <c r="BE58" s="876">
        <f>+'사회적유입인구의 처리구역별 배분(적용)'!Z52</f>
        <v>0.05</v>
      </c>
    </row>
    <row r="59" spans="1:57" s="712" customFormat="1" ht="24" customHeight="1">
      <c r="A59" s="2640"/>
      <c r="B59" s="2678"/>
      <c r="C59" s="2685"/>
      <c r="D59" s="2685"/>
      <c r="E59" s="1104" t="s">
        <v>972</v>
      </c>
      <c r="F59" s="713"/>
      <c r="G59" s="935">
        <f>+'2014처리구역인구 정리'!I53</f>
        <v>363</v>
      </c>
      <c r="H59" s="935">
        <f>+'2014처리구역인구 정리'!J53</f>
        <v>386</v>
      </c>
      <c r="I59" s="925">
        <f>ROUND((('1.4.조성법총괄(내부이동률 적용)'!E$11+'1.4.조성법총괄(내부이동률 적용)'!E$14*$AK$2)*$AB59)+(AL$43*$AC59),0)</f>
        <v>383</v>
      </c>
      <c r="J59" s="925">
        <f>ROUND((('1.4.조성법총괄(내부이동률 적용)'!F$11+'1.4.조성법총괄(내부이동률 적용)'!F$14*$AK$2)*$AB59)+(AM$43*$AC59),0)</f>
        <v>384</v>
      </c>
      <c r="K59" s="925">
        <f>ROUND((('1.4.조성법총괄(내부이동률 적용)'!G$11+'1.4.조성법총괄(내부이동률 적용)'!G$14*$AK$2)*$AB59)+(AN$43*$AC59),0)</f>
        <v>384</v>
      </c>
      <c r="L59" s="907">
        <f>ROUND((('1.4.조성법총괄(내부이동률 적용)'!H$11+'1.4.조성법총괄(내부이동률 적용)'!H$14*$AK$2)*$AB59)+(AO$43*$AC59),0)</f>
        <v>377</v>
      </c>
      <c r="M59" s="925">
        <f>ROUND((('1.4.조성법총괄(내부이동률 적용)'!I$11+'1.4.조성법총괄(내부이동률 적용)'!I$14*$AK$2)*$AB59)+(AP$43*$AC59),0)</f>
        <v>378</v>
      </c>
      <c r="N59" s="925">
        <f>ROUND((('1.4.조성법총괄(내부이동률 적용)'!J$11+'1.4.조성법총괄(내부이동률 적용)'!J$14*$AK$2)*$AB59)+(AQ$43*$AC59),0)</f>
        <v>379</v>
      </c>
      <c r="O59" s="925">
        <f>ROUND((('1.4.조성법총괄(내부이동률 적용)'!K$11+'1.4.조성법총괄(내부이동률 적용)'!K$14*$AK$2)*$AB59)+(AR$43*$AC59),0)</f>
        <v>381</v>
      </c>
      <c r="P59" s="925">
        <f>ROUND((('1.4.조성법총괄(내부이동률 적용)'!L$11+'1.4.조성법총괄(내부이동률 적용)'!L$14*$AK$2)*$AB59)+(AS$43*$AC59),0)</f>
        <v>382</v>
      </c>
      <c r="Q59" s="907">
        <f>ROUND((('1.4.조성법총괄(내부이동률 적용)'!M$11+'1.4.조성법총괄(내부이동률 적용)'!M$14*$AK$2)*$AB59)+(AT$43*$AC59),0)</f>
        <v>381</v>
      </c>
      <c r="R59" s="925">
        <f>ROUND((('1.4.조성법총괄(내부이동률 적용)'!N$11+'1.4.조성법총괄(내부이동률 적용)'!N$14*$AK$2)*$AB59)+(AU$43*$AC59),0)</f>
        <v>382</v>
      </c>
      <c r="S59" s="925">
        <f>ROUND((('1.4.조성법총괄(내부이동률 적용)'!O$11+'1.4.조성법총괄(내부이동률 적용)'!O$14*$AK$2)*$AB59)+(AV$43*$AC59),0)</f>
        <v>383</v>
      </c>
      <c r="T59" s="925">
        <f>ROUND((('1.4.조성법총괄(내부이동률 적용)'!P$11+'1.4.조성법총괄(내부이동률 적용)'!P$14*$AK$2)*$AB59)+(AW$43*$AC59),0)</f>
        <v>384</v>
      </c>
      <c r="U59" s="925">
        <f>ROUND((('1.4.조성법총괄(내부이동률 적용)'!Q$11+'1.4.조성법총괄(내부이동률 적용)'!Q$14*$AK$2)*$AB59)+(AX$43*$AC59),0)</f>
        <v>385</v>
      </c>
      <c r="V59" s="715">
        <f>ROUND((('1.4.조성법총괄(내부이동률 적용)'!R$11+'1.4.조성법총괄(내부이동률 적용)'!R$14*$AK$2)*$AB59)+(AY$43*$AC59),0)</f>
        <v>385</v>
      </c>
      <c r="W59" s="714">
        <f>ROUND((('1.4.조성법총괄(내부이동률 적용)'!S$11+'1.4.조성법총괄(내부이동률 적용)'!S$14*$AK$2)*$AB59)+(AZ$43*$AC59),0)</f>
        <v>386</v>
      </c>
      <c r="X59" s="714">
        <f>ROUND((('1.4.조성법총괄(내부이동률 적용)'!T$11+'1.4.조성법총괄(내부이동률 적용)'!T$14*$AK$2)*$AB59)+(BA$43*$AC59),0)</f>
        <v>386</v>
      </c>
      <c r="Y59" s="714">
        <f>ROUND((('1.4.조성법총괄(내부이동률 적용)'!U$11+'1.4.조성법총괄(내부이동률 적용)'!U$14*$AK$2)*$AB59)+(BB$43*$AC59),0)</f>
        <v>387</v>
      </c>
      <c r="Z59" s="714">
        <f>ROUND((('1.4.조성법총괄(내부이동률 적용)'!V$11+'1.4.조성법총괄(내부이동률 적용)'!V$14*$AK$2)*$AB59)+(BC$43*$AC59),0)</f>
        <v>388</v>
      </c>
      <c r="AA59" s="715">
        <f>ROUND((('1.4.조성법총괄(내부이동률 적용)'!W$11+'1.4.조성법총괄(내부이동률 적용)'!W$14*$AK$2)*$AB59)+(BD$43*$AC59),0)</f>
        <v>459</v>
      </c>
      <c r="AB59" s="934">
        <f>+H59/'1.4.조성법총괄(내부이동률 적용)'!$D$15</f>
        <v>1.6497136507393793E-2</v>
      </c>
      <c r="AC59" s="934">
        <f t="shared" si="56"/>
        <v>2.1168083356183164E-2</v>
      </c>
      <c r="AD59" s="1080"/>
      <c r="AE59" s="711"/>
      <c r="AF59" s="1168"/>
      <c r="AG59" s="1171"/>
      <c r="AH59" s="1129" t="str">
        <f>+'사회적유입인구의 처리구역별 배분(적용)'!C53</f>
        <v>소  계</v>
      </c>
      <c r="AI59" s="862">
        <f>+'사회적유입인구의 처리구역별 배분(적용)'!D53</f>
        <v>0</v>
      </c>
      <c r="AJ59" s="862">
        <f>+'사회적유입인구의 처리구역별 배분(적용)'!E53</f>
        <v>0</v>
      </c>
      <c r="AK59" s="862">
        <f>+'사회적유입인구의 처리구역별 배분(적용)'!F53</f>
        <v>0</v>
      </c>
      <c r="AL59" s="862">
        <f>+'사회적유입인구의 처리구역별 배분(적용)'!G53</f>
        <v>0</v>
      </c>
      <c r="AM59" s="862">
        <f>+'사회적유입인구의 처리구역별 배분(적용)'!H53</f>
        <v>8</v>
      </c>
      <c r="AN59" s="862">
        <f>+'사회적유입인구의 처리구역별 배분(적용)'!I53</f>
        <v>80</v>
      </c>
      <c r="AO59" s="862">
        <f>+'사회적유입인구의 처리구역별 배분(적용)'!J53</f>
        <v>210</v>
      </c>
      <c r="AP59" s="862">
        <f>+'사회적유입인구의 처리구역별 배분(적용)'!K53</f>
        <v>325</v>
      </c>
      <c r="AQ59" s="862">
        <f>+'사회적유입인구의 처리구역별 배분(적용)'!L53</f>
        <v>325</v>
      </c>
      <c r="AR59" s="862">
        <f>+'사회적유입인구의 처리구역별 배분(적용)'!M53</f>
        <v>325</v>
      </c>
      <c r="AS59" s="862">
        <f>+'사회적유입인구의 처리구역별 배분(적용)'!N53</f>
        <v>325</v>
      </c>
      <c r="AT59" s="862">
        <f>+'사회적유입인구의 처리구역별 배분(적용)'!O53</f>
        <v>325</v>
      </c>
      <c r="AU59" s="862">
        <f>+'사회적유입인구의 처리구역별 배분(적용)'!P53</f>
        <v>325</v>
      </c>
      <c r="AV59" s="862">
        <f>+'사회적유입인구의 처리구역별 배분(적용)'!Q53</f>
        <v>325</v>
      </c>
      <c r="AW59" s="862">
        <f>+'사회적유입인구의 처리구역별 배분(적용)'!R53</f>
        <v>325</v>
      </c>
      <c r="AX59" s="862">
        <f>+'사회적유입인구의 처리구역별 배분(적용)'!S53</f>
        <v>325</v>
      </c>
      <c r="AY59" s="862">
        <f>+'사회적유입인구의 처리구역별 배분(적용)'!T53</f>
        <v>325</v>
      </c>
      <c r="AZ59" s="862">
        <f>+'사회적유입인구의 처리구역별 배분(적용)'!U53</f>
        <v>325</v>
      </c>
      <c r="BA59" s="862">
        <f>+'사회적유입인구의 처리구역별 배분(적용)'!V53</f>
        <v>325</v>
      </c>
      <c r="BB59" s="862">
        <f>+'사회적유입인구의 처리구역별 배분(적용)'!W53</f>
        <v>325</v>
      </c>
      <c r="BC59" s="862">
        <f>+'사회적유입인구의 처리구역별 배분(적용)'!X53</f>
        <v>325</v>
      </c>
      <c r="BD59" s="862">
        <f>+'사회적유입인구의 처리구역별 배분(적용)'!Y53</f>
        <v>325</v>
      </c>
      <c r="BE59" s="876">
        <f>+'사회적유입인구의 처리구역별 배분(적용)'!Z53</f>
        <v>0</v>
      </c>
    </row>
    <row r="60" spans="1:57" s="712" customFormat="1" ht="24" customHeight="1" thickBot="1">
      <c r="A60" s="2640"/>
      <c r="B60" s="2678"/>
      <c r="C60" s="2685"/>
      <c r="D60" s="2685"/>
      <c r="E60" s="1104" t="s">
        <v>973</v>
      </c>
      <c r="F60" s="713"/>
      <c r="G60" s="935">
        <f>+'2014처리구역인구 정리'!I54</f>
        <v>1779</v>
      </c>
      <c r="H60" s="935">
        <f>+'2014처리구역인구 정리'!J54</f>
        <v>1932</v>
      </c>
      <c r="I60" s="925">
        <f>ROUND((('1.4.조성법총괄(내부이동률 적용)'!E$11+'1.4.조성법총괄(내부이동률 적용)'!E$14*$AK$2)*$AB60)+(AL$43*$AC60),0)</f>
        <v>1918</v>
      </c>
      <c r="J60" s="925">
        <f>ROUND((('1.4.조성법총괄(내부이동률 적용)'!F$11+'1.4.조성법총괄(내부이동률 적용)'!F$14*$AK$2)*$AB60)+(AM$43*$AC60),0)</f>
        <v>1921</v>
      </c>
      <c r="K60" s="925">
        <f>ROUND((('1.4.조성법총괄(내부이동률 적용)'!G$11+'1.4.조성법총괄(내부이동률 적용)'!G$14*$AK$2)*$AB60)+(AN$43*$AC60),0)</f>
        <v>1924</v>
      </c>
      <c r="L60" s="907">
        <f>ROUND((('1.4.조성법총괄(내부이동률 적용)'!H$11+'1.4.조성법총괄(내부이동률 적용)'!H$14*$AK$2)*$AB60)+(AO$43*$AC60),0)</f>
        <v>1887</v>
      </c>
      <c r="M60" s="925">
        <f>ROUND((('1.4.조성법총괄(내부이동률 적용)'!I$11+'1.4.조성법총괄(내부이동률 적용)'!I$14*$AK$2)*$AB60)+(AP$43*$AC60),0)</f>
        <v>1893</v>
      </c>
      <c r="N60" s="925">
        <f>ROUND((('1.4.조성법총괄(내부이동률 적용)'!J$11+'1.4.조성법총괄(내부이동률 적용)'!J$14*$AK$2)*$AB60)+(AQ$43*$AC60),0)</f>
        <v>1899</v>
      </c>
      <c r="O60" s="925">
        <f>ROUND((('1.4.조성법총괄(내부이동률 적용)'!K$11+'1.4.조성법총괄(내부이동률 적용)'!K$14*$AK$2)*$AB60)+(AR$43*$AC60),0)</f>
        <v>1905</v>
      </c>
      <c r="P60" s="925">
        <f>ROUND((('1.4.조성법총괄(내부이동률 적용)'!L$11+'1.4.조성법총괄(내부이동률 적용)'!L$14*$AK$2)*$AB60)+(AS$43*$AC60),0)</f>
        <v>1911</v>
      </c>
      <c r="Q60" s="907">
        <f>ROUND((('1.4.조성법총괄(내부이동률 적용)'!M$11+'1.4.조성법총괄(내부이동률 적용)'!M$14*$AK$2)*$AB60)+(AT$43*$AC60),0)</f>
        <v>1909</v>
      </c>
      <c r="R60" s="925">
        <f>ROUND((('1.4.조성법총괄(내부이동률 적용)'!N$11+'1.4.조성법총괄(내부이동률 적용)'!N$14*$AK$2)*$AB60)+(AU$43*$AC60),0)</f>
        <v>1913</v>
      </c>
      <c r="S60" s="925">
        <f>ROUND((('1.4.조성법총괄(내부이동률 적용)'!O$11+'1.4.조성법총괄(내부이동률 적용)'!O$14*$AK$2)*$AB60)+(AV$43*$AC60),0)</f>
        <v>1917</v>
      </c>
      <c r="T60" s="925">
        <f>ROUND((('1.4.조성법총괄(내부이동률 적용)'!P$11+'1.4.조성법총괄(내부이동률 적용)'!P$14*$AK$2)*$AB60)+(AW$43*$AC60),0)</f>
        <v>1921</v>
      </c>
      <c r="U60" s="925">
        <f>ROUND((('1.4.조성법총괄(내부이동률 적용)'!Q$11+'1.4.조성법총괄(내부이동률 적용)'!Q$14*$AK$2)*$AB60)+(AX$43*$AC60),0)</f>
        <v>1925</v>
      </c>
      <c r="V60" s="715">
        <f>ROUND((('1.4.조성법총괄(내부이동률 적용)'!R$11+'1.4.조성법총괄(내부이동률 적용)'!R$14*$AK$2)*$AB60)+(AY$43*$AC60),0)</f>
        <v>1928</v>
      </c>
      <c r="W60" s="714">
        <f>ROUND((('1.4.조성법총괄(내부이동률 적용)'!S$11+'1.4.조성법총괄(내부이동률 적용)'!S$14*$AK$2)*$AB60)+(AZ$43*$AC60),0)</f>
        <v>1931</v>
      </c>
      <c r="X60" s="714">
        <f>ROUND((('1.4.조성법총괄(내부이동률 적용)'!T$11+'1.4.조성법총괄(내부이동률 적용)'!T$14*$AK$2)*$AB60)+(BA$43*$AC60),0)</f>
        <v>1934</v>
      </c>
      <c r="Y60" s="714">
        <f>ROUND((('1.4.조성법총괄(내부이동률 적용)'!U$11+'1.4.조성법총괄(내부이동률 적용)'!U$14*$AK$2)*$AB60)+(BB$43*$AC60),0)</f>
        <v>1937</v>
      </c>
      <c r="Z60" s="714">
        <f>ROUND((('1.4.조성법총괄(내부이동률 적용)'!V$11+'1.4.조성법총괄(내부이동률 적용)'!V$14*$AK$2)*$AB60)+(BC$43*$AC60),0)</f>
        <v>1940</v>
      </c>
      <c r="AA60" s="715">
        <f>ROUND((('1.4.조성법총괄(내부이동률 적용)'!W$11+'1.4.조성법총괄(내부이동률 적용)'!W$14*$AK$2)*$AB60)+(BD$43*$AC60),0)</f>
        <v>2296</v>
      </c>
      <c r="AB60" s="934">
        <f>+H60/'1.4.조성법총괄(내부이동률 적용)'!$D$15</f>
        <v>8.2571159928198995E-2</v>
      </c>
      <c r="AC60" s="934">
        <f t="shared" si="56"/>
        <v>0.10595009596928982</v>
      </c>
      <c r="AD60" s="1080"/>
      <c r="AE60" s="711"/>
      <c r="AF60" s="1168"/>
      <c r="AG60" s="1133" t="s">
        <v>24</v>
      </c>
      <c r="AH60" s="1129"/>
      <c r="AI60" s="862">
        <f>+'사회적유입인구의 처리구역별 배분(적용)'!D54</f>
        <v>0</v>
      </c>
      <c r="AJ60" s="862">
        <f>+'사회적유입인구의 처리구역별 배분(적용)'!E54</f>
        <v>0</v>
      </c>
      <c r="AK60" s="862">
        <f>+'사회적유입인구의 처리구역별 배분(적용)'!F54</f>
        <v>0</v>
      </c>
      <c r="AL60" s="862">
        <f>+'사회적유입인구의 처리구역별 배분(적용)'!G54</f>
        <v>0</v>
      </c>
      <c r="AM60" s="862">
        <f>+'사회적유입인구의 처리구역별 배분(적용)'!H54</f>
        <v>8</v>
      </c>
      <c r="AN60" s="862">
        <f>+'사회적유입인구의 처리구역별 배분(적용)'!I54</f>
        <v>80</v>
      </c>
      <c r="AO60" s="862">
        <f>+'사회적유입인구의 처리구역별 배분(적용)'!J54</f>
        <v>210</v>
      </c>
      <c r="AP60" s="862">
        <f>+'사회적유입인구의 처리구역별 배분(적용)'!K54</f>
        <v>325</v>
      </c>
      <c r="AQ60" s="862">
        <f>+'사회적유입인구의 처리구역별 배분(적용)'!L54</f>
        <v>325</v>
      </c>
      <c r="AR60" s="862">
        <f>+'사회적유입인구의 처리구역별 배분(적용)'!M54</f>
        <v>325</v>
      </c>
      <c r="AS60" s="862">
        <f>+'사회적유입인구의 처리구역별 배분(적용)'!N54</f>
        <v>325</v>
      </c>
      <c r="AT60" s="862">
        <f>+'사회적유입인구의 처리구역별 배분(적용)'!O54</f>
        <v>325</v>
      </c>
      <c r="AU60" s="862">
        <f>+'사회적유입인구의 처리구역별 배분(적용)'!P54</f>
        <v>325</v>
      </c>
      <c r="AV60" s="862">
        <f>+'사회적유입인구의 처리구역별 배분(적용)'!Q54</f>
        <v>325</v>
      </c>
      <c r="AW60" s="862">
        <f>+'사회적유입인구의 처리구역별 배분(적용)'!R54</f>
        <v>325</v>
      </c>
      <c r="AX60" s="862">
        <f>+'사회적유입인구의 처리구역별 배분(적용)'!S54</f>
        <v>325</v>
      </c>
      <c r="AY60" s="862">
        <f>+'사회적유입인구의 처리구역별 배분(적용)'!T54</f>
        <v>325</v>
      </c>
      <c r="AZ60" s="862">
        <f>+'사회적유입인구의 처리구역별 배분(적용)'!U54</f>
        <v>325</v>
      </c>
      <c r="BA60" s="862">
        <f>+'사회적유입인구의 처리구역별 배분(적용)'!V54</f>
        <v>325</v>
      </c>
      <c r="BB60" s="862">
        <f>+'사회적유입인구의 처리구역별 배분(적용)'!W54</f>
        <v>325</v>
      </c>
      <c r="BC60" s="862">
        <f>+'사회적유입인구의 처리구역별 배분(적용)'!X54</f>
        <v>325</v>
      </c>
      <c r="BD60" s="862">
        <f>+'사회적유입인구의 처리구역별 배분(적용)'!Y54</f>
        <v>2656</v>
      </c>
      <c r="BE60" s="876">
        <f>+'사회적유입인구의 처리구역별 배분(적용)'!Z54</f>
        <v>0</v>
      </c>
    </row>
    <row r="61" spans="1:57" s="712" customFormat="1" ht="24" customHeight="1" thickTop="1" thickBot="1">
      <c r="A61" s="2640"/>
      <c r="B61" s="2678"/>
      <c r="C61" s="2685"/>
      <c r="D61" s="2685"/>
      <c r="E61" s="1104" t="s">
        <v>974</v>
      </c>
      <c r="F61" s="713"/>
      <c r="G61" s="935">
        <f>+'2014처리구역인구 정리'!I55</f>
        <v>951</v>
      </c>
      <c r="H61" s="935">
        <f>+'2014처리구역인구 정리'!J55</f>
        <v>1039</v>
      </c>
      <c r="I61" s="925">
        <f>ROUND((('1.4.조성법총괄(내부이동률 적용)'!E$11+'1.4.조성법총괄(내부이동률 적용)'!E$14*$AK$2)*$AB61)+(AL$43*$AC61),0)</f>
        <v>1032</v>
      </c>
      <c r="J61" s="925">
        <f>ROUND((('1.4.조성법총괄(내부이동률 적용)'!F$11+'1.4.조성법총괄(내부이동률 적용)'!F$14*$AK$2)*$AB61)+(AM$43*$AC61),0)</f>
        <v>1033</v>
      </c>
      <c r="K61" s="925">
        <f>ROUND((('1.4.조성법총괄(내부이동률 적용)'!G$11+'1.4.조성법총괄(내부이동률 적용)'!G$14*$AK$2)*$AB61)+(AN$43*$AC61),0)</f>
        <v>1035</v>
      </c>
      <c r="L61" s="907">
        <f>ROUND((('1.4.조성법총괄(내부이동률 적용)'!H$11+'1.4.조성법총괄(내부이동률 적용)'!H$14*$AK$2)*$AB61)+(AO$43*$AC61),0)</f>
        <v>1015</v>
      </c>
      <c r="M61" s="925">
        <f>ROUND((('1.4.조성법총괄(내부이동률 적용)'!I$11+'1.4.조성법총괄(내부이동률 적용)'!I$14*$AK$2)*$AB61)+(AP$43*$AC61),0)</f>
        <v>1018</v>
      </c>
      <c r="N61" s="925">
        <f>ROUND((('1.4.조성법총괄(내부이동률 적용)'!J$11+'1.4.조성법총괄(내부이동률 적용)'!J$14*$AK$2)*$AB61)+(AQ$43*$AC61),0)</f>
        <v>1021</v>
      </c>
      <c r="O61" s="925">
        <f>ROUND((('1.4.조성법총괄(내부이동률 적용)'!K$11+'1.4.조성법총괄(내부이동률 적용)'!K$14*$AK$2)*$AB61)+(AR$43*$AC61),0)</f>
        <v>1025</v>
      </c>
      <c r="P61" s="925">
        <f>ROUND((('1.4.조성법총괄(내부이동률 적용)'!L$11+'1.4.조성법총괄(내부이동률 적용)'!L$14*$AK$2)*$AB61)+(AS$43*$AC61),0)</f>
        <v>1028</v>
      </c>
      <c r="Q61" s="907">
        <f>ROUND((('1.4.조성법총괄(내부이동률 적용)'!M$11+'1.4.조성법총괄(내부이동률 적용)'!M$14*$AK$2)*$AB61)+(AT$43*$AC61),0)</f>
        <v>1027</v>
      </c>
      <c r="R61" s="925">
        <f>ROUND((('1.4.조성법총괄(내부이동률 적용)'!N$11+'1.4.조성법총괄(내부이동률 적용)'!N$14*$AK$2)*$AB61)+(AU$43*$AC61),0)</f>
        <v>1029</v>
      </c>
      <c r="S61" s="925">
        <f>ROUND((('1.4.조성법총괄(내부이동률 적용)'!O$11+'1.4.조성법총괄(내부이동률 적용)'!O$14*$AK$2)*$AB61)+(AV$43*$AC61),0)</f>
        <v>1031</v>
      </c>
      <c r="T61" s="925">
        <f>ROUND((('1.4.조성법총괄(내부이동률 적용)'!P$11+'1.4.조성법총괄(내부이동률 적용)'!P$14*$AK$2)*$AB61)+(AW$43*$AC61),0)</f>
        <v>1033</v>
      </c>
      <c r="U61" s="925">
        <f>ROUND((('1.4.조성법총괄(내부이동률 적용)'!Q$11+'1.4.조성법총괄(내부이동률 적용)'!Q$14*$AK$2)*$AB61)+(AX$43*$AC61),0)</f>
        <v>1035</v>
      </c>
      <c r="V61" s="715">
        <f>ROUND((('1.4.조성법총괄(내부이동률 적용)'!R$11+'1.4.조성법총괄(내부이동률 적용)'!R$14*$AK$2)*$AB61)+(AY$43*$AC61),0)</f>
        <v>1037</v>
      </c>
      <c r="W61" s="714">
        <f>ROUND((('1.4.조성법총괄(내부이동률 적용)'!S$11+'1.4.조성법총괄(내부이동률 적용)'!S$14*$AK$2)*$AB61)+(AZ$43*$AC61),0)</f>
        <v>1039</v>
      </c>
      <c r="X61" s="714">
        <f>ROUND((('1.4.조성법총괄(내부이동률 적용)'!T$11+'1.4.조성법총괄(내부이동률 적용)'!T$14*$AK$2)*$AB61)+(BA$43*$AC61),0)</f>
        <v>1040</v>
      </c>
      <c r="Y61" s="714">
        <f>ROUND((('1.4.조성법총괄(내부이동률 적용)'!U$11+'1.4.조성법총괄(내부이동률 적용)'!U$14*$AK$2)*$AB61)+(BB$43*$AC61),0)</f>
        <v>1042</v>
      </c>
      <c r="Z61" s="714">
        <f>ROUND((('1.4.조성법총괄(내부이동률 적용)'!V$11+'1.4.조성법총괄(내부이동률 적용)'!V$14*$AK$2)*$AB61)+(BC$43*$AC61),0)</f>
        <v>1043</v>
      </c>
      <c r="AA61" s="715">
        <f>ROUND((('1.4.조성법총괄(내부이동률 적용)'!W$11+'1.4.조성법총괄(내부이동률 적용)'!W$14*$AK$2)*$AB61)+(BD$43*$AC61),0)</f>
        <v>1235</v>
      </c>
      <c r="AB61" s="934">
        <f>+H61/'1.4.조성법총괄(내부이동률 적용)'!$D$15</f>
        <v>4.4405504743995211E-2</v>
      </c>
      <c r="AC61" s="934">
        <f t="shared" si="56"/>
        <v>5.6978338360296137E-2</v>
      </c>
      <c r="AD61" s="1080"/>
      <c r="AE61" s="711"/>
      <c r="AF61" s="869" t="s">
        <v>1138</v>
      </c>
      <c r="AG61" s="874" t="s">
        <v>94</v>
      </c>
      <c r="AH61" s="877" t="str">
        <f>'사회적유입인구의 처리구역별 배분(적용)'!C55</f>
        <v>대소 삼정지구</v>
      </c>
      <c r="AI61" s="878">
        <f>+'사회적유입인구의 처리구역별 배분(적용)'!D55</f>
        <v>0</v>
      </c>
      <c r="AJ61" s="878">
        <f>+'사회적유입인구의 처리구역별 배분(적용)'!E55</f>
        <v>0</v>
      </c>
      <c r="AK61" s="878">
        <f>+'사회적유입인구의 처리구역별 배분(적용)'!F55</f>
        <v>0</v>
      </c>
      <c r="AL61" s="878">
        <f>+'사회적유입인구의 처리구역별 배분(적용)'!G55</f>
        <v>0</v>
      </c>
      <c r="AM61" s="878">
        <f>+'사회적유입인구의 처리구역별 배분(적용)'!H55</f>
        <v>0</v>
      </c>
      <c r="AN61" s="878">
        <f>+'사회적유입인구의 처리구역별 배분(적용)'!I55</f>
        <v>0</v>
      </c>
      <c r="AO61" s="878">
        <f>+'사회적유입인구의 처리구역별 배분(적용)'!J55</f>
        <v>3346</v>
      </c>
      <c r="AP61" s="878">
        <f>+'사회적유입인구의 처리구역별 배분(적용)'!K55</f>
        <v>3346</v>
      </c>
      <c r="AQ61" s="878">
        <f>+'사회적유입인구의 처리구역별 배분(적용)'!L55</f>
        <v>3346</v>
      </c>
      <c r="AR61" s="878">
        <f>+'사회적유입인구의 처리구역별 배분(적용)'!M55</f>
        <v>3346</v>
      </c>
      <c r="AS61" s="878">
        <f>+'사회적유입인구의 처리구역별 배분(적용)'!N55</f>
        <v>3346</v>
      </c>
      <c r="AT61" s="878">
        <f>+'사회적유입인구의 처리구역별 배분(적용)'!O55</f>
        <v>3346</v>
      </c>
      <c r="AU61" s="878">
        <f>+'사회적유입인구의 처리구역별 배분(적용)'!P55</f>
        <v>3346</v>
      </c>
      <c r="AV61" s="878">
        <f>+'사회적유입인구의 처리구역별 배분(적용)'!Q55</f>
        <v>3346</v>
      </c>
      <c r="AW61" s="878">
        <f>+'사회적유입인구의 처리구역별 배분(적용)'!R55</f>
        <v>3346</v>
      </c>
      <c r="AX61" s="878">
        <f>+'사회적유입인구의 처리구역별 배분(적용)'!S55</f>
        <v>3346</v>
      </c>
      <c r="AY61" s="878">
        <f>+'사회적유입인구의 처리구역별 배분(적용)'!T55</f>
        <v>3346</v>
      </c>
      <c r="AZ61" s="878">
        <f>+'사회적유입인구의 처리구역별 배분(적용)'!U55</f>
        <v>3346</v>
      </c>
      <c r="BA61" s="878">
        <f>+'사회적유입인구의 처리구역별 배분(적용)'!V55</f>
        <v>3346</v>
      </c>
      <c r="BB61" s="878">
        <f>+'사회적유입인구의 처리구역별 배분(적용)'!W55</f>
        <v>3346</v>
      </c>
      <c r="BC61" s="878">
        <f>+'사회적유입인구의 처리구역별 배분(적용)'!X55</f>
        <v>3346</v>
      </c>
      <c r="BD61" s="878">
        <f>+'사회적유입인구의 처리구역별 배분(적용)'!Y55</f>
        <v>3346</v>
      </c>
      <c r="BE61" s="879">
        <f>+'사회적유입인구의 처리구역별 배분(적용)'!Z55</f>
        <v>1</v>
      </c>
    </row>
    <row r="62" spans="1:57" s="712" customFormat="1" ht="24" customHeight="1" thickTop="1">
      <c r="A62" s="2640"/>
      <c r="B62" s="2678"/>
      <c r="C62" s="2685"/>
      <c r="D62" s="2685"/>
      <c r="E62" s="1104" t="s">
        <v>975</v>
      </c>
      <c r="F62" s="713"/>
      <c r="G62" s="935">
        <f>+'2014처리구역인구 정리'!I56</f>
        <v>763</v>
      </c>
      <c r="H62" s="935">
        <f>+'2014처리구역인구 정리'!J56</f>
        <v>824</v>
      </c>
      <c r="I62" s="925">
        <f>ROUND((('1.4.조성법총괄(내부이동률 적용)'!E$11+'1.4.조성법총괄(내부이동률 적용)'!E$14*$AK$2)*$AB62)+(AL$43*$AC62),0)</f>
        <v>818</v>
      </c>
      <c r="J62" s="925">
        <f>ROUND((('1.4.조성법총괄(내부이동률 적용)'!F$11+'1.4.조성법총괄(내부이동률 적용)'!F$14*$AK$2)*$AB62)+(AM$43*$AC62),0)</f>
        <v>819</v>
      </c>
      <c r="K62" s="925">
        <f>ROUND((('1.4.조성법총괄(내부이동률 적용)'!G$11+'1.4.조성법총괄(내부이동률 적용)'!G$14*$AK$2)*$AB62)+(AN$43*$AC62),0)</f>
        <v>821</v>
      </c>
      <c r="L62" s="907">
        <f>ROUND((('1.4.조성법총괄(내부이동률 적용)'!H$11+'1.4.조성법총괄(내부이동률 적용)'!H$14*$AK$2)*$AB62)+(AO$43*$AC62),0)</f>
        <v>805</v>
      </c>
      <c r="M62" s="925">
        <f>ROUND((('1.4.조성법총괄(내부이동률 적용)'!I$11+'1.4.조성법총괄(내부이동률 적용)'!I$14*$AK$2)*$AB62)+(AP$43*$AC62),0)</f>
        <v>807</v>
      </c>
      <c r="N62" s="925">
        <f>ROUND((('1.4.조성법총괄(내부이동률 적용)'!J$11+'1.4.조성법총괄(내부이동률 적용)'!J$14*$AK$2)*$AB62)+(AQ$43*$AC62),0)</f>
        <v>810</v>
      </c>
      <c r="O62" s="925">
        <f>ROUND((('1.4.조성법총괄(내부이동률 적용)'!K$11+'1.4.조성법총괄(내부이동률 적용)'!K$14*$AK$2)*$AB62)+(AR$43*$AC62),0)</f>
        <v>813</v>
      </c>
      <c r="P62" s="925">
        <f>ROUND((('1.4.조성법총괄(내부이동률 적용)'!L$11+'1.4.조성법총괄(내부이동률 적용)'!L$14*$AK$2)*$AB62)+(AS$43*$AC62),0)</f>
        <v>815</v>
      </c>
      <c r="Q62" s="907">
        <f>ROUND((('1.4.조성법총괄(내부이동률 적용)'!M$11+'1.4.조성법총괄(내부이동률 적용)'!M$14*$AK$2)*$AB62)+(AT$43*$AC62),0)</f>
        <v>814</v>
      </c>
      <c r="R62" s="925">
        <f>ROUND((('1.4.조성법총괄(내부이동률 적용)'!N$11+'1.4.조성법총괄(내부이동률 적용)'!N$14*$AK$2)*$AB62)+(AU$43*$AC62),0)</f>
        <v>816</v>
      </c>
      <c r="S62" s="925">
        <f>ROUND((('1.4.조성법총괄(내부이동률 적용)'!O$11+'1.4.조성법총괄(내부이동률 적용)'!O$14*$AK$2)*$AB62)+(AV$43*$AC62),0)</f>
        <v>818</v>
      </c>
      <c r="T62" s="925">
        <f>ROUND((('1.4.조성법총괄(내부이동률 적용)'!P$11+'1.4.조성법총괄(내부이동률 적용)'!P$14*$AK$2)*$AB62)+(AW$43*$AC62),0)</f>
        <v>819</v>
      </c>
      <c r="U62" s="925">
        <f>ROUND((('1.4.조성법총괄(내부이동률 적용)'!Q$11+'1.4.조성법총괄(내부이동률 적용)'!Q$14*$AK$2)*$AB62)+(AX$43*$AC62),0)</f>
        <v>821</v>
      </c>
      <c r="V62" s="715">
        <f>ROUND((('1.4.조성법총괄(내부이동률 적용)'!R$11+'1.4.조성법총괄(내부이동률 적용)'!R$14*$AK$2)*$AB62)+(AY$43*$AC62),0)</f>
        <v>822</v>
      </c>
      <c r="W62" s="714">
        <f>ROUND((('1.4.조성법총괄(내부이동률 적용)'!S$11+'1.4.조성법총괄(내부이동률 적용)'!S$14*$AK$2)*$AB62)+(AZ$43*$AC62),0)</f>
        <v>824</v>
      </c>
      <c r="X62" s="714">
        <f>ROUND((('1.4.조성법총괄(내부이동률 적용)'!T$11+'1.4.조성법총괄(내부이동률 적용)'!T$14*$AK$2)*$AB62)+(BA$43*$AC62),0)</f>
        <v>825</v>
      </c>
      <c r="Y62" s="714">
        <f>ROUND((('1.4.조성법총괄(내부이동률 적용)'!U$11+'1.4.조성법총괄(내부이동률 적용)'!U$14*$AK$2)*$AB62)+(BB$43*$AC62),0)</f>
        <v>826</v>
      </c>
      <c r="Z62" s="714">
        <f>ROUND((('1.4.조성법총괄(내부이동률 적용)'!V$11+'1.4.조성법총괄(내부이동률 적용)'!V$14*$AK$2)*$AB62)+(BC$43*$AC62),0)</f>
        <v>827</v>
      </c>
      <c r="AA62" s="715">
        <f>ROUND((('1.4.조성법총괄(내부이동률 적용)'!W$11+'1.4.조성법총괄(내부이동률 적용)'!W$14*$AK$2)*$AB62)+(BD$43*$AC62),0)</f>
        <v>979</v>
      </c>
      <c r="AB62" s="934">
        <f>+H62/'1.4.조성법총괄(내부이동률 적용)'!$D$15</f>
        <v>3.5216685186768099E-2</v>
      </c>
      <c r="AC62" s="934">
        <f t="shared" si="56"/>
        <v>4.5187825610090486E-2</v>
      </c>
      <c r="AD62" s="1080"/>
      <c r="AE62" s="711"/>
      <c r="AF62" s="1135"/>
      <c r="AG62" s="1170"/>
      <c r="AH62" s="877" t="str">
        <f>'사회적유입인구의 처리구역별 배분(적용)'!C56</f>
        <v>태성지구 도시개발사업</v>
      </c>
      <c r="AI62" s="878">
        <f>+'사회적유입인구의 처리구역별 배분(적용)'!D56</f>
        <v>0</v>
      </c>
      <c r="AJ62" s="878">
        <f>+'사회적유입인구의 처리구역별 배분(적용)'!E56</f>
        <v>0</v>
      </c>
      <c r="AK62" s="878">
        <f>+'사회적유입인구의 처리구역별 배분(적용)'!F56</f>
        <v>0</v>
      </c>
      <c r="AL62" s="878">
        <f>+'사회적유입인구의 처리구역별 배분(적용)'!G56</f>
        <v>0</v>
      </c>
      <c r="AM62" s="878">
        <f>+'사회적유입인구의 처리구역별 배분(적용)'!H56</f>
        <v>0</v>
      </c>
      <c r="AN62" s="878">
        <f>+'사회적유입인구의 처리구역별 배분(적용)'!I56</f>
        <v>0</v>
      </c>
      <c r="AO62" s="878">
        <f>+'사회적유입인구의 처리구역별 배분(적용)'!J56</f>
        <v>0</v>
      </c>
      <c r="AP62" s="878">
        <f>+'사회적유입인구의 처리구역별 배분(적용)'!K56</f>
        <v>0</v>
      </c>
      <c r="AQ62" s="878">
        <f>+'사회적유입인구의 처리구역별 배분(적용)'!L56</f>
        <v>0</v>
      </c>
      <c r="AR62" s="878">
        <f>+'사회적유입인구의 처리구역별 배분(적용)'!M56</f>
        <v>0</v>
      </c>
      <c r="AS62" s="878">
        <f>+'사회적유입인구의 처리구역별 배분(적용)'!N56</f>
        <v>0</v>
      </c>
      <c r="AT62" s="878">
        <f>+'사회적유입인구의 처리구역별 배분(적용)'!O56</f>
        <v>0</v>
      </c>
      <c r="AU62" s="878">
        <f>+'사회적유입인구의 처리구역별 배분(적용)'!P56</f>
        <v>0</v>
      </c>
      <c r="AV62" s="878">
        <f>+'사회적유입인구의 처리구역별 배분(적용)'!Q56</f>
        <v>0</v>
      </c>
      <c r="AW62" s="878">
        <f>+'사회적유입인구의 처리구역별 배분(적용)'!R56</f>
        <v>0</v>
      </c>
      <c r="AX62" s="878">
        <f>+'사회적유입인구의 처리구역별 배분(적용)'!S56</f>
        <v>0</v>
      </c>
      <c r="AY62" s="878">
        <f>+'사회적유입인구의 처리구역별 배분(적용)'!T56</f>
        <v>0</v>
      </c>
      <c r="AZ62" s="878">
        <f>+'사회적유입인구의 처리구역별 배분(적용)'!U56</f>
        <v>0</v>
      </c>
      <c r="BA62" s="878">
        <f>+'사회적유입인구의 처리구역별 배분(적용)'!V56</f>
        <v>0</v>
      </c>
      <c r="BB62" s="878">
        <f>+'사회적유입인구의 처리구역별 배분(적용)'!W56</f>
        <v>0</v>
      </c>
      <c r="BC62" s="878">
        <f>+'사회적유입인구의 처리구역별 배분(적용)'!X56</f>
        <v>0</v>
      </c>
      <c r="BD62" s="878">
        <f>+'사회적유입인구의 처리구역별 배분(적용)'!Y56</f>
        <v>5369</v>
      </c>
      <c r="BE62" s="879">
        <f>+'사회적유입인구의 처리구역별 배분(적용)'!Z56</f>
        <v>1</v>
      </c>
    </row>
    <row r="63" spans="1:57" s="712" customFormat="1" ht="24" customHeight="1" thickBot="1">
      <c r="A63" s="2640"/>
      <c r="B63" s="2678"/>
      <c r="C63" s="2685"/>
      <c r="D63" s="2685"/>
      <c r="E63" s="1104" t="s">
        <v>976</v>
      </c>
      <c r="F63" s="713"/>
      <c r="G63" s="935">
        <f>+'2014처리구역인구 정리'!I57</f>
        <v>1123</v>
      </c>
      <c r="H63" s="935">
        <f>+'2014처리구역인구 정리'!J57</f>
        <v>1222</v>
      </c>
      <c r="I63" s="925">
        <f>ROUND((('1.4.조성법총괄(내부이동률 적용)'!E$11+'1.4.조성법총괄(내부이동률 적용)'!E$14*$AK$2)*$AB63)+(AL$43*$AC63),0)</f>
        <v>1213</v>
      </c>
      <c r="J63" s="925">
        <f>ROUND((('1.4.조성법총괄(내부이동률 적용)'!F$11+'1.4.조성법총괄(내부이동률 적용)'!F$14*$AK$2)*$AB63)+(AM$43*$AC63),0)</f>
        <v>1215</v>
      </c>
      <c r="K63" s="925">
        <f>ROUND((('1.4.조성법총괄(내부이동률 적용)'!G$11+'1.4.조성법총괄(내부이동률 적용)'!G$14*$AK$2)*$AB63)+(AN$43*$AC63),0)</f>
        <v>1217</v>
      </c>
      <c r="L63" s="907">
        <f>ROUND((('1.4.조성법총괄(내부이동률 적용)'!H$11+'1.4.조성법총괄(내부이동률 적용)'!H$14*$AK$2)*$AB63)+(AO$43*$AC63),0)</f>
        <v>1194</v>
      </c>
      <c r="M63" s="925">
        <f>ROUND((('1.4.조성법총괄(내부이동률 적용)'!I$11+'1.4.조성법총괄(내부이동률 적용)'!I$14*$AK$2)*$AB63)+(AP$43*$AC63),0)</f>
        <v>1197</v>
      </c>
      <c r="N63" s="925">
        <f>ROUND((('1.4.조성법총괄(내부이동률 적용)'!J$11+'1.4.조성법총괄(내부이동률 적용)'!J$14*$AK$2)*$AB63)+(AQ$43*$AC63),0)</f>
        <v>1201</v>
      </c>
      <c r="O63" s="925">
        <f>ROUND((('1.4.조성법총괄(내부이동률 적용)'!K$11+'1.4.조성법총괄(내부이동률 적용)'!K$14*$AK$2)*$AB63)+(AR$43*$AC63),0)</f>
        <v>1205</v>
      </c>
      <c r="P63" s="925">
        <f>ROUND((('1.4.조성법총괄(내부이동률 적용)'!L$11+'1.4.조성법총괄(내부이동률 적용)'!L$14*$AK$2)*$AB63)+(AS$43*$AC63),0)</f>
        <v>1209</v>
      </c>
      <c r="Q63" s="907">
        <f>ROUND((('1.4.조성법총괄(내부이동률 적용)'!M$11+'1.4.조성법총괄(내부이동률 적용)'!M$14*$AK$2)*$AB63)+(AT$43*$AC63),0)</f>
        <v>1208</v>
      </c>
      <c r="R63" s="925">
        <f>ROUND((('1.4.조성법총괄(내부이동률 적용)'!N$11+'1.4.조성법총괄(내부이동률 적용)'!N$14*$AK$2)*$AB63)+(AU$43*$AC63),0)</f>
        <v>1210</v>
      </c>
      <c r="S63" s="925">
        <f>ROUND((('1.4.조성법총괄(내부이동률 적용)'!O$11+'1.4.조성법총괄(내부이동률 적용)'!O$14*$AK$2)*$AB63)+(AV$43*$AC63),0)</f>
        <v>1212</v>
      </c>
      <c r="T63" s="925">
        <f>ROUND((('1.4.조성법총괄(내부이동률 적용)'!P$11+'1.4.조성법총괄(내부이동률 적용)'!P$14*$AK$2)*$AB63)+(AW$43*$AC63),0)</f>
        <v>1215</v>
      </c>
      <c r="U63" s="925">
        <f>ROUND((('1.4.조성법총괄(내부이동률 적용)'!Q$11+'1.4.조성법총괄(내부이동률 적용)'!Q$14*$AK$2)*$AB63)+(AX$43*$AC63),0)</f>
        <v>1217</v>
      </c>
      <c r="V63" s="715">
        <f>ROUND((('1.4.조성법총괄(내부이동률 적용)'!R$11+'1.4.조성법총괄(내부이동률 적용)'!R$14*$AK$2)*$AB63)+(AY$43*$AC63),0)</f>
        <v>1220</v>
      </c>
      <c r="W63" s="714">
        <f>ROUND((('1.4.조성법총괄(내부이동률 적용)'!S$11+'1.4.조성법총괄(내부이동률 적용)'!S$14*$AK$2)*$AB63)+(AZ$43*$AC63),0)</f>
        <v>1221</v>
      </c>
      <c r="X63" s="714">
        <f>ROUND((('1.4.조성법총괄(내부이동률 적용)'!T$11+'1.4.조성법총괄(내부이동률 적용)'!T$14*$AK$2)*$AB63)+(BA$43*$AC63),0)</f>
        <v>1223</v>
      </c>
      <c r="Y63" s="714">
        <f>ROUND((('1.4.조성법총괄(내부이동률 적용)'!U$11+'1.4.조성법총괄(내부이동률 적용)'!U$14*$AK$2)*$AB63)+(BB$43*$AC63),0)</f>
        <v>1225</v>
      </c>
      <c r="Z63" s="714">
        <f>ROUND((('1.4.조성법총괄(내부이동률 적용)'!V$11+'1.4.조성법총괄(내부이동률 적용)'!V$14*$AK$2)*$AB63)+(BC$43*$AC63),0)</f>
        <v>1227</v>
      </c>
      <c r="AA63" s="715">
        <f>ROUND((('1.4.조성법총괄(내부이동률 적용)'!W$11+'1.4.조성법총괄(내부이동률 적용)'!W$14*$AK$2)*$AB63)+(BD$43*$AC63),0)</f>
        <v>1453</v>
      </c>
      <c r="AB63" s="934">
        <f>+H63/'1.4.조성법총괄(내부이동률 적용)'!$D$15</f>
        <v>5.2226686041542014E-2</v>
      </c>
      <c r="AC63" s="934">
        <f t="shared" si="56"/>
        <v>6.7013984096517681E-2</v>
      </c>
      <c r="AD63" s="1080"/>
      <c r="AE63" s="711"/>
      <c r="AF63" s="855"/>
      <c r="AG63" s="875"/>
      <c r="AH63" s="880" t="str">
        <f>'사회적유입인구의 처리구역별 배분(적용)'!C57</f>
        <v>소  계</v>
      </c>
      <c r="AI63" s="881">
        <f>+'사회적유입인구의 처리구역별 배분(적용)'!D57</f>
        <v>0</v>
      </c>
      <c r="AJ63" s="881">
        <f>+'사회적유입인구의 처리구역별 배분(적용)'!E57</f>
        <v>0</v>
      </c>
      <c r="AK63" s="881">
        <f>+'사회적유입인구의 처리구역별 배분(적용)'!F57</f>
        <v>0</v>
      </c>
      <c r="AL63" s="881">
        <f>+'사회적유입인구의 처리구역별 배분(적용)'!G57</f>
        <v>0</v>
      </c>
      <c r="AM63" s="881">
        <f>+'사회적유입인구의 처리구역별 배분(적용)'!H57</f>
        <v>0</v>
      </c>
      <c r="AN63" s="881">
        <f>+'사회적유입인구의 처리구역별 배분(적용)'!I57</f>
        <v>0</v>
      </c>
      <c r="AO63" s="881">
        <f>+'사회적유입인구의 처리구역별 배분(적용)'!J57</f>
        <v>3346</v>
      </c>
      <c r="AP63" s="881">
        <f>+'사회적유입인구의 처리구역별 배분(적용)'!K57</f>
        <v>3346</v>
      </c>
      <c r="AQ63" s="881">
        <f>+'사회적유입인구의 처리구역별 배분(적용)'!L57</f>
        <v>3346</v>
      </c>
      <c r="AR63" s="881">
        <f>+'사회적유입인구의 처리구역별 배분(적용)'!M57</f>
        <v>3346</v>
      </c>
      <c r="AS63" s="881">
        <f>+'사회적유입인구의 처리구역별 배분(적용)'!N57</f>
        <v>3346</v>
      </c>
      <c r="AT63" s="881">
        <f>+'사회적유입인구의 처리구역별 배분(적용)'!O57</f>
        <v>3346</v>
      </c>
      <c r="AU63" s="881">
        <f>+'사회적유입인구의 처리구역별 배분(적용)'!P57</f>
        <v>3346</v>
      </c>
      <c r="AV63" s="881">
        <f>+'사회적유입인구의 처리구역별 배분(적용)'!Q57</f>
        <v>3346</v>
      </c>
      <c r="AW63" s="881">
        <f>+'사회적유입인구의 처리구역별 배분(적용)'!R57</f>
        <v>3346</v>
      </c>
      <c r="AX63" s="881">
        <f>+'사회적유입인구의 처리구역별 배분(적용)'!S57</f>
        <v>3346</v>
      </c>
      <c r="AY63" s="881">
        <f>+'사회적유입인구의 처리구역별 배분(적용)'!T57</f>
        <v>3346</v>
      </c>
      <c r="AZ63" s="881">
        <f>+'사회적유입인구의 처리구역별 배분(적용)'!U57</f>
        <v>3346</v>
      </c>
      <c r="BA63" s="881">
        <f>+'사회적유입인구의 처리구역별 배분(적용)'!V57</f>
        <v>3346</v>
      </c>
      <c r="BB63" s="881">
        <f>+'사회적유입인구의 처리구역별 배분(적용)'!W57</f>
        <v>3346</v>
      </c>
      <c r="BC63" s="881">
        <f>+'사회적유입인구의 처리구역별 배분(적용)'!X57</f>
        <v>3346</v>
      </c>
      <c r="BD63" s="881">
        <f>+'사회적유입인구의 처리구역별 배분(적용)'!Y57</f>
        <v>8715</v>
      </c>
      <c r="BE63" s="882">
        <f>+'사회적유입인구의 처리구역별 배분(적용)'!Z57</f>
        <v>0</v>
      </c>
    </row>
    <row r="64" spans="1:57" s="712" customFormat="1" ht="24" customHeight="1" thickTop="1">
      <c r="A64" s="2640"/>
      <c r="B64" s="2678"/>
      <c r="C64" s="2685"/>
      <c r="D64" s="2685"/>
      <c r="E64" s="1104" t="s">
        <v>977</v>
      </c>
      <c r="F64" s="713"/>
      <c r="G64" s="935">
        <f>+'2014처리구역인구 정리'!I58</f>
        <v>755</v>
      </c>
      <c r="H64" s="935">
        <f>+'2014처리구역인구 정리'!J58</f>
        <v>814</v>
      </c>
      <c r="I64" s="925">
        <f>ROUND((('1.4.조성법총괄(내부이동률 적용)'!E$11+'1.4.조성법총괄(내부이동률 적용)'!E$14*$AK$2)*$AB64)+(AL$43*$AC64),0)</f>
        <v>808</v>
      </c>
      <c r="J64" s="925">
        <f>ROUND((('1.4.조성법총괄(내부이동률 적용)'!F$11+'1.4.조성법총괄(내부이동률 적용)'!F$14*$AK$2)*$AB64)+(AM$43*$AC64),0)</f>
        <v>810</v>
      </c>
      <c r="K64" s="925">
        <f>ROUND((('1.4.조성법총괄(내부이동률 적용)'!G$11+'1.4.조성법총괄(내부이동률 적용)'!G$14*$AK$2)*$AB64)+(AN$43*$AC64),0)</f>
        <v>811</v>
      </c>
      <c r="L64" s="907">
        <f>ROUND((('1.4.조성법총괄(내부이동률 적용)'!H$11+'1.4.조성법총괄(내부이동률 적용)'!H$14*$AK$2)*$AB64)+(AO$43*$AC64),0)</f>
        <v>795</v>
      </c>
      <c r="M64" s="925">
        <f>ROUND((('1.4.조성법총괄(내부이동률 적용)'!I$11+'1.4.조성법총괄(내부이동률 적용)'!I$14*$AK$2)*$AB64)+(AP$43*$AC64),0)</f>
        <v>798</v>
      </c>
      <c r="N64" s="925">
        <f>ROUND((('1.4.조성법총괄(내부이동률 적용)'!J$11+'1.4.조성법총괄(내부이동률 적용)'!J$14*$AK$2)*$AB64)+(AQ$43*$AC64),0)</f>
        <v>800</v>
      </c>
      <c r="O64" s="925">
        <f>ROUND((('1.4.조성법총괄(내부이동률 적용)'!K$11+'1.4.조성법총괄(내부이동률 적용)'!K$14*$AK$2)*$AB64)+(AR$43*$AC64),0)</f>
        <v>803</v>
      </c>
      <c r="P64" s="925">
        <f>ROUND((('1.4.조성법총괄(내부이동률 적용)'!L$11+'1.4.조성법총괄(내부이동률 적용)'!L$14*$AK$2)*$AB64)+(AS$43*$AC64),0)</f>
        <v>805</v>
      </c>
      <c r="Q64" s="907">
        <f>ROUND((('1.4.조성법총괄(내부이동률 적용)'!M$11+'1.4.조성법총괄(내부이동률 적용)'!M$14*$AK$2)*$AB64)+(AT$43*$AC64),0)</f>
        <v>804</v>
      </c>
      <c r="R64" s="925">
        <f>ROUND((('1.4.조성법총괄(내부이동률 적용)'!N$11+'1.4.조성법총괄(내부이동률 적용)'!N$14*$AK$2)*$AB64)+(AU$43*$AC64),0)</f>
        <v>806</v>
      </c>
      <c r="S64" s="925">
        <f>ROUND((('1.4.조성법총괄(내부이동률 적용)'!O$11+'1.4.조성법총괄(내부이동률 적용)'!O$14*$AK$2)*$AB64)+(AV$43*$AC64),0)</f>
        <v>808</v>
      </c>
      <c r="T64" s="925">
        <f>ROUND((('1.4.조성법총괄(내부이동률 적용)'!P$11+'1.4.조성법총괄(내부이동률 적용)'!P$14*$AK$2)*$AB64)+(AW$43*$AC64),0)</f>
        <v>809</v>
      </c>
      <c r="U64" s="925">
        <f>ROUND((('1.4.조성법총괄(내부이동률 적용)'!Q$11+'1.4.조성법총괄(내부이동률 적용)'!Q$14*$AK$2)*$AB64)+(AX$43*$AC64),0)</f>
        <v>811</v>
      </c>
      <c r="V64" s="715">
        <f>ROUND((('1.4.조성법총괄(내부이동률 적용)'!R$11+'1.4.조성법총괄(내부이동률 적용)'!R$14*$AK$2)*$AB64)+(AY$43*$AC64),0)</f>
        <v>812</v>
      </c>
      <c r="W64" s="714">
        <f>ROUND((('1.4.조성법총괄(내부이동률 적용)'!S$11+'1.4.조성법총괄(내부이동률 적용)'!S$14*$AK$2)*$AB64)+(AZ$43*$AC64),0)</f>
        <v>814</v>
      </c>
      <c r="X64" s="714">
        <f>ROUND((('1.4.조성법총괄(내부이동률 적용)'!T$11+'1.4.조성법총괄(내부이동률 적용)'!T$14*$AK$2)*$AB64)+(BA$43*$AC64),0)</f>
        <v>815</v>
      </c>
      <c r="Y64" s="714">
        <f>ROUND((('1.4.조성법총괄(내부이동률 적용)'!U$11+'1.4.조성법총괄(내부이동률 적용)'!U$14*$AK$2)*$AB64)+(BB$43*$AC64),0)</f>
        <v>816</v>
      </c>
      <c r="Z64" s="714">
        <f>ROUND((('1.4.조성법총괄(내부이동률 적용)'!V$11+'1.4.조성법총괄(내부이동률 적용)'!V$14*$AK$2)*$AB64)+(BC$43*$AC64),0)</f>
        <v>817</v>
      </c>
      <c r="AA64" s="715">
        <f>ROUND((('1.4.조성법총괄(내부이동률 적용)'!W$11+'1.4.조성법총괄(내부이동률 적용)'!W$14*$AK$2)*$AB64)+(BD$43*$AC64),0)</f>
        <v>968</v>
      </c>
      <c r="AB64" s="934">
        <f>+H64/'1.4.조성법총괄(내부이동률 적용)'!$D$15</f>
        <v>3.4789298230618E-2</v>
      </c>
      <c r="AC64" s="934">
        <f t="shared" si="56"/>
        <v>4.4639429668220452E-2</v>
      </c>
      <c r="AD64" s="1080"/>
      <c r="AE64" s="711"/>
      <c r="AF64" s="855"/>
      <c r="AG64" s="875" t="s">
        <v>95</v>
      </c>
      <c r="AH64" s="885" t="str">
        <f>'사회적유입인구의 처리구역별 배분(적용)'!C58</f>
        <v>부러운아파트</v>
      </c>
      <c r="AI64" s="886">
        <f>+'사회적유입인구의 처리구역별 배분(적용)'!D58</f>
        <v>0</v>
      </c>
      <c r="AJ64" s="886">
        <f>+'사회적유입인구의 처리구역별 배분(적용)'!E58</f>
        <v>0</v>
      </c>
      <c r="AK64" s="886">
        <f>+'사회적유입인구의 처리구역별 배분(적용)'!F58</f>
        <v>0</v>
      </c>
      <c r="AL64" s="886">
        <f>+'사회적유입인구의 처리구역별 배분(적용)'!G58</f>
        <v>0</v>
      </c>
      <c r="AM64" s="886">
        <f>+'사회적유입인구의 처리구역별 배분(적용)'!H58</f>
        <v>0</v>
      </c>
      <c r="AN64" s="886">
        <f>+'사회적유입인구의 처리구역별 배분(적용)'!I58</f>
        <v>237</v>
      </c>
      <c r="AO64" s="886">
        <f>+'사회적유입인구의 처리구역별 배분(적용)'!J58</f>
        <v>237</v>
      </c>
      <c r="AP64" s="886">
        <f>+'사회적유입인구의 처리구역별 배분(적용)'!K58</f>
        <v>237</v>
      </c>
      <c r="AQ64" s="886">
        <f>+'사회적유입인구의 처리구역별 배분(적용)'!L58</f>
        <v>237</v>
      </c>
      <c r="AR64" s="886">
        <f>+'사회적유입인구의 처리구역별 배분(적용)'!M58</f>
        <v>237</v>
      </c>
      <c r="AS64" s="886">
        <f>+'사회적유입인구의 처리구역별 배분(적용)'!N58</f>
        <v>237</v>
      </c>
      <c r="AT64" s="886">
        <f>+'사회적유입인구의 처리구역별 배분(적용)'!O58</f>
        <v>237</v>
      </c>
      <c r="AU64" s="886">
        <f>+'사회적유입인구의 처리구역별 배분(적용)'!P58</f>
        <v>237</v>
      </c>
      <c r="AV64" s="886">
        <f>+'사회적유입인구의 처리구역별 배분(적용)'!Q58</f>
        <v>237</v>
      </c>
      <c r="AW64" s="886">
        <f>+'사회적유입인구의 처리구역별 배분(적용)'!R58</f>
        <v>237</v>
      </c>
      <c r="AX64" s="886">
        <f>+'사회적유입인구의 처리구역별 배분(적용)'!S58</f>
        <v>237</v>
      </c>
      <c r="AY64" s="886">
        <f>+'사회적유입인구의 처리구역별 배분(적용)'!T58</f>
        <v>237</v>
      </c>
      <c r="AZ64" s="886">
        <f>+'사회적유입인구의 처리구역별 배분(적용)'!U58</f>
        <v>237</v>
      </c>
      <c r="BA64" s="886">
        <f>+'사회적유입인구의 처리구역별 배분(적용)'!V58</f>
        <v>237</v>
      </c>
      <c r="BB64" s="886">
        <f>+'사회적유입인구의 처리구역별 배분(적용)'!W58</f>
        <v>237</v>
      </c>
      <c r="BC64" s="886">
        <f>+'사회적유입인구의 처리구역별 배분(적용)'!X58</f>
        <v>237</v>
      </c>
      <c r="BD64" s="886">
        <f>+'사회적유입인구의 처리구역별 배분(적용)'!Y58</f>
        <v>237</v>
      </c>
      <c r="BE64" s="887">
        <f>+'사회적유입인구의 처리구역별 배분(적용)'!Z58</f>
        <v>1</v>
      </c>
    </row>
    <row r="65" spans="1:57" s="712" customFormat="1" ht="24" customHeight="1">
      <c r="A65" s="2640"/>
      <c r="B65" s="2678"/>
      <c r="C65" s="2685"/>
      <c r="D65" s="2685"/>
      <c r="E65" s="1106" t="s">
        <v>1268</v>
      </c>
      <c r="F65" s="713"/>
      <c r="G65" s="935">
        <f t="shared" ref="G65:AA65" si="57">AJ29</f>
        <v>0</v>
      </c>
      <c r="H65" s="935">
        <f t="shared" si="57"/>
        <v>0</v>
      </c>
      <c r="I65" s="925">
        <f t="shared" si="57"/>
        <v>0</v>
      </c>
      <c r="J65" s="925">
        <f t="shared" si="57"/>
        <v>0</v>
      </c>
      <c r="K65" s="925">
        <f t="shared" si="57"/>
        <v>0</v>
      </c>
      <c r="L65" s="907">
        <f t="shared" si="57"/>
        <v>2306</v>
      </c>
      <c r="M65" s="925">
        <f t="shared" si="57"/>
        <v>2306</v>
      </c>
      <c r="N65" s="925">
        <f t="shared" si="57"/>
        <v>2306</v>
      </c>
      <c r="O65" s="925">
        <f t="shared" si="57"/>
        <v>2306</v>
      </c>
      <c r="P65" s="925">
        <f t="shared" si="57"/>
        <v>2306</v>
      </c>
      <c r="Q65" s="907">
        <f t="shared" si="57"/>
        <v>2306</v>
      </c>
      <c r="R65" s="925">
        <f t="shared" si="57"/>
        <v>2306</v>
      </c>
      <c r="S65" s="925">
        <f t="shared" si="57"/>
        <v>2306</v>
      </c>
      <c r="T65" s="925">
        <f t="shared" si="57"/>
        <v>2306</v>
      </c>
      <c r="U65" s="925">
        <f t="shared" si="57"/>
        <v>2306</v>
      </c>
      <c r="V65" s="715">
        <f t="shared" si="57"/>
        <v>2306</v>
      </c>
      <c r="W65" s="714">
        <f t="shared" si="57"/>
        <v>2306</v>
      </c>
      <c r="X65" s="714">
        <f t="shared" si="57"/>
        <v>2306</v>
      </c>
      <c r="Y65" s="714">
        <f t="shared" si="57"/>
        <v>2306</v>
      </c>
      <c r="Z65" s="714">
        <f t="shared" si="57"/>
        <v>2306</v>
      </c>
      <c r="AA65" s="715">
        <f t="shared" si="57"/>
        <v>2306</v>
      </c>
      <c r="AB65" s="934"/>
      <c r="AC65" s="934"/>
      <c r="AD65" s="1080" t="str">
        <f>AH29</f>
        <v>우신아파트</v>
      </c>
      <c r="AE65" s="711" t="s">
        <v>1570</v>
      </c>
      <c r="AF65" s="855"/>
      <c r="AG65" s="875"/>
      <c r="AH65" s="888" t="str">
        <f>'사회적유입인구의 처리구역별 배분(적용)'!C59</f>
        <v>웰메이드타운</v>
      </c>
      <c r="AI65" s="870">
        <f>+'사회적유입인구의 처리구역별 배분(적용)'!D59</f>
        <v>0</v>
      </c>
      <c r="AJ65" s="870">
        <f>+'사회적유입인구의 처리구역별 배분(적용)'!E59</f>
        <v>0</v>
      </c>
      <c r="AK65" s="870">
        <f>+'사회적유입인구의 처리구역별 배분(적용)'!F59</f>
        <v>0</v>
      </c>
      <c r="AL65" s="870">
        <f>+'사회적유입인구의 처리구역별 배분(적용)'!G59</f>
        <v>0</v>
      </c>
      <c r="AM65" s="870">
        <f>+'사회적유입인구의 처리구역별 배분(적용)'!H59</f>
        <v>518</v>
      </c>
      <c r="AN65" s="870">
        <f>+'사회적유입인구의 처리구역별 배분(적용)'!I59</f>
        <v>518</v>
      </c>
      <c r="AO65" s="870">
        <f>+'사회적유입인구의 처리구역별 배분(적용)'!J59</f>
        <v>518</v>
      </c>
      <c r="AP65" s="870">
        <f>+'사회적유입인구의 처리구역별 배분(적용)'!K59</f>
        <v>518</v>
      </c>
      <c r="AQ65" s="870">
        <f>+'사회적유입인구의 처리구역별 배분(적용)'!L59</f>
        <v>518</v>
      </c>
      <c r="AR65" s="870">
        <f>+'사회적유입인구의 처리구역별 배분(적용)'!M59</f>
        <v>518</v>
      </c>
      <c r="AS65" s="870">
        <f>+'사회적유입인구의 처리구역별 배분(적용)'!N59</f>
        <v>518</v>
      </c>
      <c r="AT65" s="870">
        <f>+'사회적유입인구의 처리구역별 배분(적용)'!O59</f>
        <v>518</v>
      </c>
      <c r="AU65" s="870">
        <f>+'사회적유입인구의 처리구역별 배분(적용)'!P59</f>
        <v>518</v>
      </c>
      <c r="AV65" s="870">
        <f>+'사회적유입인구의 처리구역별 배분(적용)'!Q59</f>
        <v>518</v>
      </c>
      <c r="AW65" s="870">
        <f>+'사회적유입인구의 처리구역별 배분(적용)'!R59</f>
        <v>518</v>
      </c>
      <c r="AX65" s="870">
        <f>+'사회적유입인구의 처리구역별 배분(적용)'!S59</f>
        <v>518</v>
      </c>
      <c r="AY65" s="870">
        <f>+'사회적유입인구의 처리구역별 배분(적용)'!T59</f>
        <v>518</v>
      </c>
      <c r="AZ65" s="870">
        <f>+'사회적유입인구의 처리구역별 배분(적용)'!U59</f>
        <v>518</v>
      </c>
      <c r="BA65" s="870">
        <f>+'사회적유입인구의 처리구역별 배분(적용)'!V59</f>
        <v>518</v>
      </c>
      <c r="BB65" s="870">
        <f>+'사회적유입인구의 처리구역별 배분(적용)'!W59</f>
        <v>518</v>
      </c>
      <c r="BC65" s="870">
        <f>+'사회적유입인구의 처리구역별 배분(적용)'!X59</f>
        <v>518</v>
      </c>
      <c r="BD65" s="870">
        <f>+'사회적유입인구의 처리구역별 배분(적용)'!Y59</f>
        <v>518</v>
      </c>
      <c r="BE65" s="889">
        <f>+'사회적유입인구의 처리구역별 배분(적용)'!Z59</f>
        <v>1</v>
      </c>
    </row>
    <row r="66" spans="1:57" s="712" customFormat="1" ht="24" customHeight="1">
      <c r="A66" s="2640"/>
      <c r="B66" s="2678"/>
      <c r="C66" s="2685"/>
      <c r="D66" s="2686"/>
      <c r="E66" s="1244" t="s">
        <v>149</v>
      </c>
      <c r="F66" s="713"/>
      <c r="G66" s="935">
        <f>AJ25</f>
        <v>0</v>
      </c>
      <c r="H66" s="935">
        <f t="shared" ref="H66:AA66" si="58">AK25</f>
        <v>0</v>
      </c>
      <c r="I66" s="925">
        <f t="shared" si="58"/>
        <v>0</v>
      </c>
      <c r="J66" s="925">
        <f t="shared" si="58"/>
        <v>0</v>
      </c>
      <c r="K66" s="925">
        <f t="shared" si="58"/>
        <v>0</v>
      </c>
      <c r="L66" s="907">
        <f t="shared" si="58"/>
        <v>0</v>
      </c>
      <c r="M66" s="925">
        <f t="shared" si="58"/>
        <v>0</v>
      </c>
      <c r="N66" s="925">
        <f t="shared" si="58"/>
        <v>0</v>
      </c>
      <c r="O66" s="925">
        <f t="shared" si="58"/>
        <v>0</v>
      </c>
      <c r="P66" s="925">
        <f t="shared" si="58"/>
        <v>0</v>
      </c>
      <c r="Q66" s="907">
        <f t="shared" si="58"/>
        <v>0</v>
      </c>
      <c r="R66" s="925">
        <f t="shared" si="58"/>
        <v>0</v>
      </c>
      <c r="S66" s="925">
        <f t="shared" si="58"/>
        <v>0</v>
      </c>
      <c r="T66" s="925">
        <f t="shared" si="58"/>
        <v>0</v>
      </c>
      <c r="U66" s="925">
        <f t="shared" si="58"/>
        <v>0</v>
      </c>
      <c r="V66" s="715">
        <f t="shared" si="58"/>
        <v>0</v>
      </c>
      <c r="W66" s="714">
        <f t="shared" si="58"/>
        <v>0</v>
      </c>
      <c r="X66" s="714">
        <f t="shared" si="58"/>
        <v>0</v>
      </c>
      <c r="Y66" s="714">
        <f t="shared" si="58"/>
        <v>0</v>
      </c>
      <c r="Z66" s="714">
        <f t="shared" si="58"/>
        <v>0</v>
      </c>
      <c r="AA66" s="715">
        <f t="shared" si="58"/>
        <v>1554</v>
      </c>
      <c r="AB66" s="934"/>
      <c r="AC66" s="934"/>
      <c r="AD66" s="1248" t="s">
        <v>1493</v>
      </c>
      <c r="AE66" s="711"/>
      <c r="AF66" s="855"/>
      <c r="AG66" s="875"/>
      <c r="AH66" s="888" t="str">
        <f>'사회적유입인구의 처리구역별 배분(적용)'!C60</f>
        <v>대소지역주택조합</v>
      </c>
      <c r="AI66" s="870">
        <f>+'사회적유입인구의 처리구역별 배분(적용)'!D60</f>
        <v>0</v>
      </c>
      <c r="AJ66" s="870">
        <f>+'사회적유입인구의 처리구역별 배분(적용)'!E60</f>
        <v>0</v>
      </c>
      <c r="AK66" s="870">
        <f>+'사회적유입인구의 처리구역별 배분(적용)'!F60</f>
        <v>0</v>
      </c>
      <c r="AL66" s="870">
        <f>+'사회적유입인구의 처리구역별 배분(적용)'!G60</f>
        <v>0</v>
      </c>
      <c r="AM66" s="870">
        <f>+'사회적유입인구의 처리구역별 배분(적용)'!H60</f>
        <v>0</v>
      </c>
      <c r="AN66" s="870">
        <f>+'사회적유입인구의 처리구역별 배분(적용)'!I60</f>
        <v>0</v>
      </c>
      <c r="AO66" s="870">
        <f>+'사회적유입인구의 처리구역별 배분(적용)'!J60</f>
        <v>0</v>
      </c>
      <c r="AP66" s="870">
        <f>+'사회적유입인구의 처리구역별 배분(적용)'!K60</f>
        <v>0</v>
      </c>
      <c r="AQ66" s="870">
        <f>+'사회적유입인구의 처리구역별 배분(적용)'!L60</f>
        <v>0</v>
      </c>
      <c r="AR66" s="870">
        <f>+'사회적유입인구의 처리구역별 배분(적용)'!M60</f>
        <v>0</v>
      </c>
      <c r="AS66" s="870">
        <f>+'사회적유입인구의 처리구역별 배분(적용)'!N60</f>
        <v>0</v>
      </c>
      <c r="AT66" s="870">
        <f>+'사회적유입인구의 처리구역별 배분(적용)'!O60</f>
        <v>195</v>
      </c>
      <c r="AU66" s="870">
        <f>+'사회적유입인구의 처리구역별 배분(적용)'!P60</f>
        <v>195</v>
      </c>
      <c r="AV66" s="870">
        <f>+'사회적유입인구의 처리구역별 배분(적용)'!Q60</f>
        <v>195</v>
      </c>
      <c r="AW66" s="870">
        <f>+'사회적유입인구의 처리구역별 배분(적용)'!R60</f>
        <v>195</v>
      </c>
      <c r="AX66" s="870">
        <f>+'사회적유입인구의 처리구역별 배분(적용)'!S60</f>
        <v>195</v>
      </c>
      <c r="AY66" s="870">
        <f>+'사회적유입인구의 처리구역별 배분(적용)'!T60</f>
        <v>195</v>
      </c>
      <c r="AZ66" s="870">
        <f>+'사회적유입인구의 처리구역별 배분(적용)'!U60</f>
        <v>195</v>
      </c>
      <c r="BA66" s="870">
        <f>+'사회적유입인구의 처리구역별 배분(적용)'!V60</f>
        <v>195</v>
      </c>
      <c r="BB66" s="870">
        <f>+'사회적유입인구의 처리구역별 배분(적용)'!W60</f>
        <v>195</v>
      </c>
      <c r="BC66" s="870">
        <f>+'사회적유입인구의 처리구역별 배분(적용)'!X60</f>
        <v>195</v>
      </c>
      <c r="BD66" s="870">
        <f>+'사회적유입인구의 처리구역별 배분(적용)'!Y60</f>
        <v>195</v>
      </c>
      <c r="BE66" s="889">
        <f>+'사회적유입인구의 처리구역별 배분(적용)'!Z60</f>
        <v>1</v>
      </c>
    </row>
    <row r="67" spans="1:57" s="712" customFormat="1" ht="24" customHeight="1">
      <c r="A67" s="2640"/>
      <c r="B67" s="2678"/>
      <c r="C67" s="2685"/>
      <c r="D67" s="1108" t="s">
        <v>1261</v>
      </c>
      <c r="E67" s="1104" t="s">
        <v>1262</v>
      </c>
      <c r="F67" s="713"/>
      <c r="G67" s="935">
        <f>+'2014처리구역인구 정리'!I59</f>
        <v>1137</v>
      </c>
      <c r="H67" s="935">
        <f>+'2014처리구역인구 정리'!J59</f>
        <v>1232</v>
      </c>
      <c r="I67" s="925">
        <f>ROUND((('1.4.조성법총괄(내부이동률 적용)'!E$11+'1.4.조성법총괄(내부이동률 적용)'!E$14*$AK$2)*$AB67)+(AL$43*$AC67),0)</f>
        <v>1223</v>
      </c>
      <c r="J67" s="925">
        <f>ROUND((('1.4.조성법총괄(내부이동률 적용)'!F$11+'1.4.조성법총괄(내부이동률 적용)'!F$14*$AK$2)*$AB67)+(AM$43*$AC67),0)</f>
        <v>1225</v>
      </c>
      <c r="K67" s="925">
        <f>ROUND((('1.4.조성법총괄(내부이동률 적용)'!G$11+'1.4.조성법총괄(내부이동률 적용)'!G$14*$AK$2)*$AB67)+(AN$43*$AC67),0)</f>
        <v>1227</v>
      </c>
      <c r="L67" s="907">
        <f>ROUND((('1.4.조성법총괄(내부이동률 적용)'!H$11+'1.4.조성법총괄(내부이동률 적용)'!H$14*$AK$2)*$AB67)+(AO$43*$AC67),0)</f>
        <v>1203</v>
      </c>
      <c r="M67" s="925">
        <f>ROUND((('1.4.조성법총괄(내부이동률 적용)'!I$11+'1.4.조성법총괄(내부이동률 적용)'!I$14*$AK$2)*$AB67)+(AP$43*$AC67),0)</f>
        <v>1207</v>
      </c>
      <c r="N67" s="925">
        <f>ROUND((('1.4.조성법총괄(내부이동률 적용)'!J$11+'1.4.조성법총괄(내부이동률 적용)'!J$14*$AK$2)*$AB67)+(AQ$43*$AC67),0)</f>
        <v>1211</v>
      </c>
      <c r="O67" s="925">
        <f>ROUND((('1.4.조성법총괄(내부이동률 적용)'!K$11+'1.4.조성법총괄(내부이동률 적용)'!K$14*$AK$2)*$AB67)+(AR$43*$AC67),0)</f>
        <v>1215</v>
      </c>
      <c r="P67" s="925">
        <f>ROUND((('1.4.조성법총괄(내부이동률 적용)'!L$11+'1.4.조성법총괄(내부이동률 적용)'!L$14*$AK$2)*$AB67)+(AS$43*$AC67),0)</f>
        <v>1219</v>
      </c>
      <c r="Q67" s="907">
        <f>ROUND((('1.4.조성법총괄(내부이동률 적용)'!M$11+'1.4.조성법총괄(내부이동률 적용)'!M$14*$AK$2)*$AB67)+(AT$43*$AC67),0)</f>
        <v>1218</v>
      </c>
      <c r="R67" s="925">
        <f>ROUND((('1.4.조성법총괄(내부이동률 적용)'!N$11+'1.4.조성법총괄(내부이동률 적용)'!N$14*$AK$2)*$AB67)+(AU$43*$AC67),0)</f>
        <v>1220</v>
      </c>
      <c r="S67" s="925">
        <f>ROUND((('1.4.조성법총괄(내부이동률 적용)'!O$11+'1.4.조성법총괄(내부이동률 적용)'!O$14*$AK$2)*$AB67)+(AV$43*$AC67),0)</f>
        <v>1222</v>
      </c>
      <c r="T67" s="925">
        <f>ROUND((('1.4.조성법총괄(내부이동률 적용)'!P$11+'1.4.조성법총괄(내부이동률 적용)'!P$14*$AK$2)*$AB67)+(AW$43*$AC67),0)</f>
        <v>1225</v>
      </c>
      <c r="U67" s="925">
        <f>ROUND((('1.4.조성법총괄(내부이동률 적용)'!Q$11+'1.4.조성법총괄(내부이동률 적용)'!Q$14*$AK$2)*$AB67)+(AX$43*$AC67),0)</f>
        <v>1227</v>
      </c>
      <c r="V67" s="715">
        <f>ROUND((('1.4.조성법총괄(내부이동률 적용)'!R$11+'1.4.조성법총괄(내부이동률 적용)'!R$14*$AK$2)*$AB67)+(AY$43*$AC67),0)</f>
        <v>1230</v>
      </c>
      <c r="W67" s="714">
        <f>ROUND((('1.4.조성법총괄(내부이동률 적용)'!S$11+'1.4.조성법총괄(내부이동률 적용)'!S$14*$AK$2)*$AB67)+(AZ$43*$AC67),0)</f>
        <v>1231</v>
      </c>
      <c r="X67" s="714">
        <f>ROUND((('1.4.조성법총괄(내부이동률 적용)'!T$11+'1.4.조성법총괄(내부이동률 적용)'!T$14*$AK$2)*$AB67)+(BA$43*$AC67),0)</f>
        <v>1233</v>
      </c>
      <c r="Y67" s="714">
        <f>ROUND((('1.4.조성법총괄(내부이동률 적용)'!U$11+'1.4.조성법총괄(내부이동률 적용)'!U$14*$AK$2)*$AB67)+(BB$43*$AC67),0)</f>
        <v>1235</v>
      </c>
      <c r="Z67" s="714">
        <f>ROUND((('1.4.조성법총괄(내부이동률 적용)'!V$11+'1.4.조성법총괄(내부이동률 적용)'!V$14*$AK$2)*$AB67)+(BC$43*$AC67),0)</f>
        <v>1237</v>
      </c>
      <c r="AA67" s="715">
        <f>ROUND((('1.4.조성법총괄(내부이동률 적용)'!W$11+'1.4.조성법총괄(내부이동률 적용)'!W$14*$AK$2)*$AB67)+(BD$43*$AC67),0)</f>
        <v>1464</v>
      </c>
      <c r="AB67" s="934">
        <f>+H67/'1.4.조성법총괄(내부이동률 적용)'!$D$15</f>
        <v>5.2654072997692113E-2</v>
      </c>
      <c r="AC67" s="934">
        <f t="shared" ref="AC67:AC73" si="59">+H67/$AE$41</f>
        <v>6.7562380038387715E-2</v>
      </c>
      <c r="AD67" s="1080"/>
      <c r="AE67" s="711"/>
      <c r="AF67" s="855"/>
      <c r="AG67" s="875"/>
      <c r="AH67" s="888" t="str">
        <f>'사회적유입인구의 처리구역별 배분(적용)'!C61</f>
        <v>음성대소지역주택조합</v>
      </c>
      <c r="AI67" s="870">
        <f>+'사회적유입인구의 처리구역별 배분(적용)'!D61</f>
        <v>0</v>
      </c>
      <c r="AJ67" s="870">
        <f>+'사회적유입인구의 처리구역별 배분(적용)'!E61</f>
        <v>0</v>
      </c>
      <c r="AK67" s="870">
        <f>+'사회적유입인구의 처리구역별 배분(적용)'!F61</f>
        <v>0</v>
      </c>
      <c r="AL67" s="870">
        <f>+'사회적유입인구의 처리구역별 배분(적용)'!G61</f>
        <v>0</v>
      </c>
      <c r="AM67" s="870">
        <f>+'사회적유입인구의 처리구역별 배분(적용)'!H61</f>
        <v>0</v>
      </c>
      <c r="AN67" s="870">
        <f>+'사회적유입인구의 처리구역별 배분(적용)'!I61</f>
        <v>0</v>
      </c>
      <c r="AO67" s="870">
        <f>+'사회적유입인구의 처리구역별 배분(적용)'!J61</f>
        <v>0</v>
      </c>
      <c r="AP67" s="870">
        <f>+'사회적유입인구의 처리구역별 배분(적용)'!K61</f>
        <v>0</v>
      </c>
      <c r="AQ67" s="870">
        <f>+'사회적유입인구의 처리구역별 배분(적용)'!L61</f>
        <v>0</v>
      </c>
      <c r="AR67" s="870">
        <f>+'사회적유입인구의 처리구역별 배분(적용)'!M61</f>
        <v>0</v>
      </c>
      <c r="AS67" s="870">
        <f>+'사회적유입인구의 처리구역별 배분(적용)'!N61</f>
        <v>0</v>
      </c>
      <c r="AT67" s="870">
        <f>+'사회적유입인구의 처리구역별 배분(적용)'!O61</f>
        <v>0</v>
      </c>
      <c r="AU67" s="870">
        <f>+'사회적유입인구의 처리구역별 배분(적용)'!P61</f>
        <v>0</v>
      </c>
      <c r="AV67" s="870">
        <f>+'사회적유입인구의 처리구역별 배분(적용)'!Q61</f>
        <v>0</v>
      </c>
      <c r="AW67" s="870">
        <f>+'사회적유입인구의 처리구역별 배분(적용)'!R61</f>
        <v>0</v>
      </c>
      <c r="AX67" s="870">
        <f>+'사회적유입인구의 처리구역별 배분(적용)'!S61</f>
        <v>0</v>
      </c>
      <c r="AY67" s="870">
        <f>+'사회적유입인구의 처리구역별 배분(적용)'!T61</f>
        <v>823</v>
      </c>
      <c r="AZ67" s="870">
        <f>+'사회적유입인구의 처리구역별 배분(적용)'!U61</f>
        <v>823</v>
      </c>
      <c r="BA67" s="870">
        <f>+'사회적유입인구의 처리구역별 배분(적용)'!V61</f>
        <v>823</v>
      </c>
      <c r="BB67" s="870">
        <f>+'사회적유입인구의 처리구역별 배분(적용)'!W61</f>
        <v>823</v>
      </c>
      <c r="BC67" s="870">
        <f>+'사회적유입인구의 처리구역별 배분(적용)'!X61</f>
        <v>823</v>
      </c>
      <c r="BD67" s="870">
        <f>+'사회적유입인구의 처리구역별 배분(적용)'!Y61</f>
        <v>823</v>
      </c>
      <c r="BE67" s="889">
        <f>+'사회적유입인구의 처리구역별 배분(적용)'!Z61</f>
        <v>1</v>
      </c>
    </row>
    <row r="68" spans="1:57" s="712" customFormat="1" ht="24" customHeight="1">
      <c r="A68" s="2640"/>
      <c r="B68" s="2678"/>
      <c r="C68" s="2685"/>
      <c r="D68" s="2634" t="s">
        <v>978</v>
      </c>
      <c r="E68" s="1104" t="s">
        <v>979</v>
      </c>
      <c r="F68" s="713"/>
      <c r="G68" s="935">
        <f>+'2014처리구역인구 정리'!I60</f>
        <v>258</v>
      </c>
      <c r="H68" s="935">
        <f>+'2014처리구역인구 정리'!J60</f>
        <v>301</v>
      </c>
      <c r="I68" s="925">
        <f>ROUND((('1.4.조성법총괄(내부이동률 적용)'!E$11+'1.4.조성법총괄(내부이동률 적용)'!E$14*$AK$2)*$AB68)+(AL$43*$AC68),0)</f>
        <v>299</v>
      </c>
      <c r="J68" s="925">
        <f>ROUND((('1.4.조성법총괄(내부이동률 적용)'!F$11+'1.4.조성법총괄(내부이동률 적용)'!F$14*$AK$2)*$AB68)+(AM$43*$AC68),0)</f>
        <v>299</v>
      </c>
      <c r="K68" s="925">
        <f>ROUND((('1.4.조성법총괄(내부이동률 적용)'!G$11+'1.4.조성법총괄(내부이동률 적용)'!G$14*$AK$2)*$AB68)+(AN$43*$AC68),0)</f>
        <v>300</v>
      </c>
      <c r="L68" s="907">
        <f>ROUND((('1.4.조성법총괄(내부이동률 적용)'!H$11+'1.4.조성법총괄(내부이동률 적용)'!H$14*$AK$2)*$AB68)+(AO$43*$AC68),0)</f>
        <v>294</v>
      </c>
      <c r="M68" s="925">
        <f>ROUND((('1.4.조성법총괄(내부이동률 적용)'!I$11+'1.4.조성법총괄(내부이동률 적용)'!I$14*$AK$2)*$AB68)+(AP$43*$AC68),0)</f>
        <v>295</v>
      </c>
      <c r="N68" s="925">
        <f>ROUND((('1.4.조성법총괄(내부이동률 적용)'!J$11+'1.4.조성법총괄(내부이동률 적용)'!J$14*$AK$2)*$AB68)+(AQ$43*$AC68),0)</f>
        <v>296</v>
      </c>
      <c r="O68" s="925">
        <f>ROUND((('1.4.조성법총괄(내부이동률 적용)'!K$11+'1.4.조성법총괄(내부이동률 적용)'!K$14*$AK$2)*$AB68)+(AR$43*$AC68),0)</f>
        <v>297</v>
      </c>
      <c r="P68" s="925">
        <f>ROUND((('1.4.조성법총괄(내부이동률 적용)'!L$11+'1.4.조성법총괄(내부이동률 적용)'!L$14*$AK$2)*$AB68)+(AS$43*$AC68),0)</f>
        <v>298</v>
      </c>
      <c r="Q68" s="907">
        <f>ROUND((('1.4.조성법총괄(내부이동률 적용)'!M$11+'1.4.조성법총괄(내부이동률 적용)'!M$14*$AK$2)*$AB68)+(AT$43*$AC68),0)</f>
        <v>297</v>
      </c>
      <c r="R68" s="925">
        <f>ROUND((('1.4.조성법총괄(내부이동률 적용)'!N$11+'1.4.조성법총괄(내부이동률 적용)'!N$14*$AK$2)*$AB68)+(AU$43*$AC68),0)</f>
        <v>298</v>
      </c>
      <c r="S68" s="925">
        <f>ROUND((('1.4.조성법총괄(내부이동률 적용)'!O$11+'1.4.조성법총괄(내부이동률 적용)'!O$14*$AK$2)*$AB68)+(AV$43*$AC68),0)</f>
        <v>299</v>
      </c>
      <c r="T68" s="925">
        <f>ROUND((('1.4.조성법총괄(내부이동률 적용)'!P$11+'1.4.조성법총괄(내부이동률 적용)'!P$14*$AK$2)*$AB68)+(AW$43*$AC68),0)</f>
        <v>299</v>
      </c>
      <c r="U68" s="925">
        <f>ROUND((('1.4.조성법총괄(내부이동률 적용)'!Q$11+'1.4.조성법총괄(내부이동률 적용)'!Q$14*$AK$2)*$AB68)+(AX$43*$AC68),0)</f>
        <v>300</v>
      </c>
      <c r="V68" s="715">
        <f>ROUND((('1.4.조성법총괄(내부이동률 적용)'!R$11+'1.4.조성법총괄(내부이동률 적용)'!R$14*$AK$2)*$AB68)+(AY$43*$AC68),0)</f>
        <v>300</v>
      </c>
      <c r="W68" s="714">
        <f>ROUND((('1.4.조성법총괄(내부이동률 적용)'!S$11+'1.4.조성법총괄(내부이동률 적용)'!S$14*$AK$2)*$AB68)+(AZ$43*$AC68),0)</f>
        <v>301</v>
      </c>
      <c r="X68" s="714">
        <f>ROUND((('1.4.조성법총괄(내부이동률 적용)'!T$11+'1.4.조성법총괄(내부이동률 적용)'!T$14*$AK$2)*$AB68)+(BA$43*$AC68),0)</f>
        <v>301</v>
      </c>
      <c r="Y68" s="714">
        <f>ROUND((('1.4.조성법총괄(내부이동률 적용)'!U$11+'1.4.조성법총괄(내부이동률 적용)'!U$14*$AK$2)*$AB68)+(BB$43*$AC68),0)</f>
        <v>302</v>
      </c>
      <c r="Z68" s="714">
        <f>ROUND((('1.4.조성법총괄(내부이동률 적용)'!V$11+'1.4.조성법총괄(내부이동률 적용)'!V$14*$AK$2)*$AB68)+(BC$43*$AC68),0)</f>
        <v>302</v>
      </c>
      <c r="AA68" s="715">
        <f>ROUND((('1.4.조성법총괄(내부이동률 적용)'!W$11+'1.4.조성법총괄(내부이동률 적용)'!W$14*$AK$2)*$AB68)+(BD$43*$AC68),0)</f>
        <v>358</v>
      </c>
      <c r="AB68" s="934">
        <f>+H68/'1.4.조성법총괄(내부이동률 적용)'!$D$15</f>
        <v>1.286434738011796E-2</v>
      </c>
      <c r="AC68" s="934">
        <f t="shared" si="59"/>
        <v>1.6506717850287907E-2</v>
      </c>
      <c r="AD68" s="1080"/>
      <c r="AE68" s="711"/>
      <c r="AF68" s="855"/>
      <c r="AG68" s="875"/>
      <c r="AH68" s="888" t="str">
        <f>'사회적유입인구의 처리구역별 배분(적용)'!C62</f>
        <v>프리즘환타</v>
      </c>
      <c r="AI68" s="870">
        <f>+'사회적유입인구의 처리구역별 배분(적용)'!D62</f>
        <v>0</v>
      </c>
      <c r="AJ68" s="870">
        <f>+'사회적유입인구의 처리구역별 배분(적용)'!E62</f>
        <v>0</v>
      </c>
      <c r="AK68" s="870">
        <f>+'사회적유입인구의 처리구역별 배분(적용)'!F62</f>
        <v>0</v>
      </c>
      <c r="AL68" s="870">
        <f>+'사회적유입인구의 처리구역별 배분(적용)'!G62</f>
        <v>0</v>
      </c>
      <c r="AM68" s="870">
        <f>+'사회적유입인구의 처리구역별 배분(적용)'!H62</f>
        <v>0</v>
      </c>
      <c r="AN68" s="870">
        <f>+'사회적유입인구의 처리구역별 배분(적용)'!I62</f>
        <v>0</v>
      </c>
      <c r="AO68" s="870">
        <f>+'사회적유입인구의 처리구역별 배분(적용)'!J62</f>
        <v>0</v>
      </c>
      <c r="AP68" s="870">
        <f>+'사회적유입인구의 처리구역별 배분(적용)'!K62</f>
        <v>0</v>
      </c>
      <c r="AQ68" s="870">
        <f>+'사회적유입인구의 처리구역별 배분(적용)'!L62</f>
        <v>0</v>
      </c>
      <c r="AR68" s="870">
        <f>+'사회적유입인구의 처리구역별 배분(적용)'!M62</f>
        <v>0</v>
      </c>
      <c r="AS68" s="870">
        <f>+'사회적유입인구의 처리구역별 배분(적용)'!N62</f>
        <v>0</v>
      </c>
      <c r="AT68" s="870">
        <f>+'사회적유입인구의 처리구역별 배분(적용)'!O62</f>
        <v>0</v>
      </c>
      <c r="AU68" s="870">
        <f>+'사회적유입인구의 처리구역별 배분(적용)'!P62</f>
        <v>0</v>
      </c>
      <c r="AV68" s="870">
        <f>+'사회적유입인구의 처리구역별 배분(적용)'!Q62</f>
        <v>0</v>
      </c>
      <c r="AW68" s="870">
        <f>+'사회적유입인구의 처리구역별 배분(적용)'!R62</f>
        <v>0</v>
      </c>
      <c r="AX68" s="870">
        <f>+'사회적유입인구의 처리구역별 배분(적용)'!S62</f>
        <v>0</v>
      </c>
      <c r="AY68" s="870">
        <f>+'사회적유입인구의 처리구역별 배분(적용)'!T62</f>
        <v>818</v>
      </c>
      <c r="AZ68" s="870">
        <f>+'사회적유입인구의 처리구역별 배분(적용)'!U62</f>
        <v>818</v>
      </c>
      <c r="BA68" s="870">
        <f>+'사회적유입인구의 처리구역별 배분(적용)'!V62</f>
        <v>818</v>
      </c>
      <c r="BB68" s="870">
        <f>+'사회적유입인구의 처리구역별 배분(적용)'!W62</f>
        <v>818</v>
      </c>
      <c r="BC68" s="870">
        <f>+'사회적유입인구의 처리구역별 배분(적용)'!X62</f>
        <v>818</v>
      </c>
      <c r="BD68" s="870">
        <f>+'사회적유입인구의 처리구역별 배분(적용)'!Y62</f>
        <v>818</v>
      </c>
      <c r="BE68" s="889">
        <f>+'사회적유입인구의 처리구역별 배분(적용)'!Z62</f>
        <v>1</v>
      </c>
    </row>
    <row r="69" spans="1:57" ht="39.950000000000003" customHeight="1" thickBot="1">
      <c r="A69" s="2640"/>
      <c r="B69" s="2678"/>
      <c r="C69" s="2685"/>
      <c r="D69" s="2634"/>
      <c r="E69" s="1104" t="s">
        <v>980</v>
      </c>
      <c r="F69" s="713"/>
      <c r="G69" s="935">
        <f>+'2014처리구역인구 정리'!I61</f>
        <v>75</v>
      </c>
      <c r="H69" s="935">
        <f>+'2014처리구역인구 정리'!J61</f>
        <v>86</v>
      </c>
      <c r="I69" s="925">
        <f>ROUND((('1.4.조성법총괄(내부이동률 적용)'!E$11+'1.4.조성법총괄(내부이동률 적용)'!E$14*$AK$2)*$AB69)+(AL$43*$AC69),0)</f>
        <v>85</v>
      </c>
      <c r="J69" s="925">
        <f>ROUND((('1.4.조성법총괄(내부이동률 적용)'!F$11+'1.4.조성법총괄(내부이동률 적용)'!F$14*$AK$2)*$AB69)+(AM$43*$AC69),0)</f>
        <v>86</v>
      </c>
      <c r="K69" s="925">
        <f>ROUND((('1.4.조성법총괄(내부이동률 적용)'!G$11+'1.4.조성법총괄(내부이동률 적용)'!G$14*$AK$2)*$AB69)+(AN$43*$AC69),0)</f>
        <v>86</v>
      </c>
      <c r="L69" s="907">
        <f>ROUND((('1.4.조성법총괄(내부이동률 적용)'!H$11+'1.4.조성법총괄(내부이동률 적용)'!H$14*$AK$2)*$AB69)+(AO$43*$AC69),0)</f>
        <v>84</v>
      </c>
      <c r="M69" s="925">
        <f>ROUND((('1.4.조성법총괄(내부이동률 적용)'!I$11+'1.4.조성법총괄(내부이동률 적용)'!I$14*$AK$2)*$AB69)+(AP$43*$AC69),0)</f>
        <v>84</v>
      </c>
      <c r="N69" s="925">
        <f>ROUND((('1.4.조성법총괄(내부이동률 적용)'!J$11+'1.4.조성법총괄(내부이동률 적용)'!J$14*$AK$2)*$AB69)+(AQ$43*$AC69),0)</f>
        <v>85</v>
      </c>
      <c r="O69" s="925">
        <f>ROUND((('1.4.조성법총괄(내부이동률 적용)'!K$11+'1.4.조성법총괄(내부이동률 적용)'!K$14*$AK$2)*$AB69)+(AR$43*$AC69),0)</f>
        <v>85</v>
      </c>
      <c r="P69" s="925">
        <f>ROUND((('1.4.조성법총괄(내부이동률 적용)'!L$11+'1.4.조성법총괄(내부이동률 적용)'!L$14*$AK$2)*$AB69)+(AS$43*$AC69),0)</f>
        <v>85</v>
      </c>
      <c r="Q69" s="907">
        <f>ROUND((('1.4.조성법총괄(내부이동률 적용)'!M$11+'1.4.조성법총괄(내부이동률 적용)'!M$14*$AK$2)*$AB69)+(AT$43*$AC69),0)</f>
        <v>85</v>
      </c>
      <c r="R69" s="925">
        <f>ROUND((('1.4.조성법총괄(내부이동률 적용)'!N$11+'1.4.조성법총괄(내부이동률 적용)'!N$14*$AK$2)*$AB69)+(AU$43*$AC69),0)</f>
        <v>85</v>
      </c>
      <c r="S69" s="925">
        <f>ROUND((('1.4.조성법총괄(내부이동률 적용)'!O$11+'1.4.조성법총괄(내부이동률 적용)'!O$14*$AK$2)*$AB69)+(AV$43*$AC69),0)</f>
        <v>85</v>
      </c>
      <c r="T69" s="925">
        <f>ROUND((('1.4.조성법총괄(내부이동률 적용)'!P$11+'1.4.조성법총괄(내부이동률 적용)'!P$14*$AK$2)*$AB69)+(AW$43*$AC69),0)</f>
        <v>86</v>
      </c>
      <c r="U69" s="925">
        <f>ROUND((('1.4.조성법총괄(내부이동률 적용)'!Q$11+'1.4.조성법총괄(내부이동률 적용)'!Q$14*$AK$2)*$AB69)+(AX$43*$AC69),0)</f>
        <v>86</v>
      </c>
      <c r="V69" s="715">
        <f>ROUND((('1.4.조성법총괄(내부이동률 적용)'!R$11+'1.4.조성법총괄(내부이동률 적용)'!R$14*$AK$2)*$AB69)+(AY$43*$AC69),0)</f>
        <v>86</v>
      </c>
      <c r="W69" s="714">
        <f>ROUND((('1.4.조성법총괄(내부이동률 적용)'!S$11+'1.4.조성법총괄(내부이동률 적용)'!S$14*$AK$2)*$AB69)+(AZ$43*$AC69),0)</f>
        <v>86</v>
      </c>
      <c r="X69" s="714">
        <f>ROUND((('1.4.조성법총괄(내부이동률 적용)'!T$11+'1.4.조성법총괄(내부이동률 적용)'!T$14*$AK$2)*$AB69)+(BA$43*$AC69),0)</f>
        <v>86</v>
      </c>
      <c r="Y69" s="714">
        <f>ROUND((('1.4.조성법총괄(내부이동률 적용)'!U$11+'1.4.조성법총괄(내부이동률 적용)'!U$14*$AK$2)*$AB69)+(BB$43*$AC69),0)</f>
        <v>86</v>
      </c>
      <c r="Z69" s="714">
        <f>ROUND((('1.4.조성법총괄(내부이동률 적용)'!V$11+'1.4.조성법총괄(내부이동률 적용)'!V$14*$AK$2)*$AB69)+(BC$43*$AC69),0)</f>
        <v>86</v>
      </c>
      <c r="AA69" s="715">
        <f>ROUND((('1.4.조성법총괄(내부이동률 적용)'!W$11+'1.4.조성법총괄(내부이동률 적용)'!W$14*$AK$2)*$AB69)+(BD$43*$AC69),0)</f>
        <v>102</v>
      </c>
      <c r="AB69" s="934">
        <f>+H69/'1.4.조성법총괄(내부이동률 적용)'!$D$15</f>
        <v>3.6755278228908454E-3</v>
      </c>
      <c r="AC69" s="934">
        <f t="shared" si="59"/>
        <v>4.7162051000822595E-3</v>
      </c>
      <c r="AD69" s="1080"/>
      <c r="AE69" s="711"/>
      <c r="AF69" s="855"/>
      <c r="AG69" s="875"/>
      <c r="AH69" s="890" t="str">
        <f>'사회적유입인구의 처리구역별 배분(적용)'!C63</f>
        <v>소석리아파트(3단지)</v>
      </c>
      <c r="AI69" s="891">
        <f>+'사회적유입인구의 처리구역별 배분(적용)'!D63</f>
        <v>0</v>
      </c>
      <c r="AJ69" s="891">
        <f>+'사회적유입인구의 처리구역별 배분(적용)'!E63</f>
        <v>0</v>
      </c>
      <c r="AK69" s="891">
        <f>+'사회적유입인구의 처리구역별 배분(적용)'!F63</f>
        <v>0</v>
      </c>
      <c r="AL69" s="891">
        <f>+'사회적유입인구의 처리구역별 배분(적용)'!G63</f>
        <v>0</v>
      </c>
      <c r="AM69" s="891">
        <f>+'사회적유입인구의 처리구역별 배분(적용)'!H63</f>
        <v>0</v>
      </c>
      <c r="AN69" s="891">
        <f>+'사회적유입인구의 처리구역별 배분(적용)'!I63</f>
        <v>0</v>
      </c>
      <c r="AO69" s="891">
        <f>+'사회적유입인구의 처리구역별 배분(적용)'!J63</f>
        <v>0</v>
      </c>
      <c r="AP69" s="891">
        <f>+'사회적유입인구의 처리구역별 배분(적용)'!K63</f>
        <v>0</v>
      </c>
      <c r="AQ69" s="891">
        <f>+'사회적유입인구의 처리구역별 배분(적용)'!L63</f>
        <v>0</v>
      </c>
      <c r="AR69" s="891">
        <f>+'사회적유입인구의 처리구역별 배분(적용)'!M63</f>
        <v>0</v>
      </c>
      <c r="AS69" s="891">
        <f>+'사회적유입인구의 처리구역별 배분(적용)'!N63</f>
        <v>0</v>
      </c>
      <c r="AT69" s="891">
        <f>+'사회적유입인구의 처리구역별 배분(적용)'!O63</f>
        <v>822</v>
      </c>
      <c r="AU69" s="891">
        <f>+'사회적유입인구의 처리구역별 배분(적용)'!P63</f>
        <v>822</v>
      </c>
      <c r="AV69" s="891">
        <f>+'사회적유입인구의 처리구역별 배분(적용)'!Q63</f>
        <v>822</v>
      </c>
      <c r="AW69" s="891">
        <f>+'사회적유입인구의 처리구역별 배분(적용)'!R63</f>
        <v>822</v>
      </c>
      <c r="AX69" s="891">
        <f>+'사회적유입인구의 처리구역별 배분(적용)'!S63</f>
        <v>822</v>
      </c>
      <c r="AY69" s="891">
        <f>+'사회적유입인구의 처리구역별 배분(적용)'!T63</f>
        <v>822</v>
      </c>
      <c r="AZ69" s="891">
        <f>+'사회적유입인구의 처리구역별 배분(적용)'!U63</f>
        <v>822</v>
      </c>
      <c r="BA69" s="891">
        <f>+'사회적유입인구의 처리구역별 배분(적용)'!V63</f>
        <v>822</v>
      </c>
      <c r="BB69" s="891">
        <f>+'사회적유입인구의 처리구역별 배분(적용)'!W63</f>
        <v>822</v>
      </c>
      <c r="BC69" s="891">
        <f>+'사회적유입인구의 처리구역별 배분(적용)'!X63</f>
        <v>822</v>
      </c>
      <c r="BD69" s="891">
        <f>+'사회적유입인구의 처리구역별 배분(적용)'!Y63</f>
        <v>822</v>
      </c>
      <c r="BE69" s="892">
        <f>+'사회적유입인구의 처리구역별 배분(적용)'!Z63</f>
        <v>1</v>
      </c>
    </row>
    <row r="70" spans="1:57" ht="24" customHeight="1">
      <c r="A70" s="2640"/>
      <c r="B70" s="2678"/>
      <c r="C70" s="2685"/>
      <c r="D70" s="2634" t="s">
        <v>981</v>
      </c>
      <c r="E70" s="1104" t="s">
        <v>982</v>
      </c>
      <c r="F70" s="713"/>
      <c r="G70" s="935">
        <f>+'2014처리구역인구 정리'!I62</f>
        <v>587</v>
      </c>
      <c r="H70" s="935">
        <f>+'2014처리구역인구 정리'!J62</f>
        <v>650</v>
      </c>
      <c r="I70" s="925">
        <f>ROUND((('1.4.조성법총괄(내부이동률 적용)'!E$11+'1.4.조성법총괄(내부이동률 적용)'!E$14*$AK$2)*$AB70)+(AL$43*$AC70),0)</f>
        <v>645</v>
      </c>
      <c r="J70" s="925">
        <f>ROUND((('1.4.조성법총괄(내부이동률 적용)'!F$11+'1.4.조성법총괄(내부이동률 적용)'!F$14*$AK$2)*$AB70)+(AM$43*$AC70),0)</f>
        <v>646</v>
      </c>
      <c r="K70" s="925">
        <f>ROUND((('1.4.조성법총괄(내부이동률 적용)'!G$11+'1.4.조성법총괄(내부이동률 적용)'!G$14*$AK$2)*$AB70)+(AN$43*$AC70),0)</f>
        <v>647</v>
      </c>
      <c r="L70" s="907">
        <f>ROUND((('1.4.조성법총괄(내부이동률 적용)'!H$11+'1.4.조성법총괄(내부이동률 적용)'!H$14*$AK$2)*$AB70)+(AO$43*$AC70),0)</f>
        <v>635</v>
      </c>
      <c r="M70" s="925">
        <f>ROUND((('1.4.조성법총괄(내부이동률 적용)'!I$11+'1.4.조성법총괄(내부이동률 적용)'!I$14*$AK$2)*$AB70)+(AP$43*$AC70),0)</f>
        <v>637</v>
      </c>
      <c r="N70" s="925">
        <f>ROUND((('1.4.조성법총괄(내부이동률 적용)'!J$11+'1.4.조성법총괄(내부이동률 적용)'!J$14*$AK$2)*$AB70)+(AQ$43*$AC70),0)</f>
        <v>639</v>
      </c>
      <c r="O70" s="925">
        <f>ROUND((('1.4.조성법총괄(내부이동률 적용)'!K$11+'1.4.조성법총괄(내부이동률 적용)'!K$14*$AK$2)*$AB70)+(AR$43*$AC70),0)</f>
        <v>641</v>
      </c>
      <c r="P70" s="925">
        <f>ROUND((('1.4.조성법총괄(내부이동률 적용)'!L$11+'1.4.조성법총괄(내부이동률 적용)'!L$14*$AK$2)*$AB70)+(AS$43*$AC70),0)</f>
        <v>643</v>
      </c>
      <c r="Q70" s="907">
        <f>ROUND((('1.4.조성법총괄(내부이동률 적용)'!M$11+'1.4.조성법총괄(내부이동률 적용)'!M$14*$AK$2)*$AB70)+(AT$43*$AC70),0)</f>
        <v>642</v>
      </c>
      <c r="R70" s="925">
        <f>ROUND((('1.4.조성법총괄(내부이동률 적용)'!N$11+'1.4.조성법총괄(내부이동률 적용)'!N$14*$AK$2)*$AB70)+(AU$43*$AC70),0)</f>
        <v>644</v>
      </c>
      <c r="S70" s="925">
        <f>ROUND((('1.4.조성법총괄(내부이동률 적용)'!O$11+'1.4.조성법총괄(내부이동률 적용)'!O$14*$AK$2)*$AB70)+(AV$43*$AC70),0)</f>
        <v>645</v>
      </c>
      <c r="T70" s="925">
        <f>ROUND((('1.4.조성법총괄(내부이동률 적용)'!P$11+'1.4.조성법총괄(내부이동률 적용)'!P$14*$AK$2)*$AB70)+(AW$43*$AC70),0)</f>
        <v>646</v>
      </c>
      <c r="U70" s="925">
        <f>ROUND((('1.4.조성법총괄(내부이동률 적용)'!Q$11+'1.4.조성법총괄(내부이동률 적용)'!Q$14*$AK$2)*$AB70)+(AX$43*$AC70),0)</f>
        <v>647</v>
      </c>
      <c r="V70" s="715">
        <f>ROUND((('1.4.조성법총괄(내부이동률 적용)'!R$11+'1.4.조성법총괄(내부이동률 적용)'!R$14*$AK$2)*$AB70)+(AY$43*$AC70),0)</f>
        <v>649</v>
      </c>
      <c r="W70" s="714">
        <f>ROUND((('1.4.조성법총괄(내부이동률 적용)'!S$11+'1.4.조성법총괄(내부이동률 적용)'!S$14*$AK$2)*$AB70)+(AZ$43*$AC70),0)</f>
        <v>650</v>
      </c>
      <c r="X70" s="714">
        <f>ROUND((('1.4.조성법총괄(내부이동률 적용)'!T$11+'1.4.조성법총괄(내부이동률 적용)'!T$14*$AK$2)*$AB70)+(BA$43*$AC70),0)</f>
        <v>651</v>
      </c>
      <c r="Y70" s="714">
        <f>ROUND((('1.4.조성법총괄(내부이동률 적용)'!U$11+'1.4.조성법총괄(내부이동률 적용)'!U$14*$AK$2)*$AB70)+(BB$43*$AC70),0)</f>
        <v>652</v>
      </c>
      <c r="Z70" s="714">
        <f>ROUND((('1.4.조성법총괄(내부이동률 적용)'!V$11+'1.4.조성법총괄(내부이동률 적용)'!V$14*$AK$2)*$AB70)+(BC$43*$AC70),0)</f>
        <v>653</v>
      </c>
      <c r="AA70" s="715">
        <f>ROUND((('1.4.조성법총괄(내부이동률 적용)'!W$11+'1.4.조성법총괄(내부이동률 적용)'!W$14*$AK$2)*$AB70)+(BD$43*$AC70),0)</f>
        <v>773</v>
      </c>
      <c r="AB70" s="934">
        <f>+H70/'1.4.조성법총괄(내부이동률 적용)'!$D$15</f>
        <v>2.778015214975639E-2</v>
      </c>
      <c r="AC70" s="934">
        <f t="shared" si="59"/>
        <v>3.5645736221551962E-2</v>
      </c>
      <c r="AD70" s="1080"/>
      <c r="AE70" s="711"/>
      <c r="AF70" s="855"/>
      <c r="AG70" s="863"/>
      <c r="AH70" s="867" t="str">
        <f>'사회적유입인구의 처리구역별 배분(적용)'!C64</f>
        <v>소  계</v>
      </c>
      <c r="AI70" s="862">
        <f>+'사회적유입인구의 처리구역별 배분(적용)'!D64</f>
        <v>0</v>
      </c>
      <c r="AJ70" s="862">
        <f>+'사회적유입인구의 처리구역별 배분(적용)'!E64</f>
        <v>0</v>
      </c>
      <c r="AK70" s="862">
        <f>+'사회적유입인구의 처리구역별 배분(적용)'!F64</f>
        <v>0</v>
      </c>
      <c r="AL70" s="862">
        <f>+'사회적유입인구의 처리구역별 배분(적용)'!G64</f>
        <v>0</v>
      </c>
      <c r="AM70" s="862">
        <f>+'사회적유입인구의 처리구역별 배분(적용)'!H64</f>
        <v>518</v>
      </c>
      <c r="AN70" s="862">
        <f>+'사회적유입인구의 처리구역별 배분(적용)'!I64</f>
        <v>755</v>
      </c>
      <c r="AO70" s="862">
        <f>+'사회적유입인구의 처리구역별 배분(적용)'!J64</f>
        <v>755</v>
      </c>
      <c r="AP70" s="862">
        <f>+'사회적유입인구의 처리구역별 배분(적용)'!K64</f>
        <v>755</v>
      </c>
      <c r="AQ70" s="862">
        <f>+'사회적유입인구의 처리구역별 배분(적용)'!L64</f>
        <v>755</v>
      </c>
      <c r="AR70" s="862">
        <f>+'사회적유입인구의 처리구역별 배분(적용)'!M64</f>
        <v>755</v>
      </c>
      <c r="AS70" s="862">
        <f>+'사회적유입인구의 처리구역별 배분(적용)'!N64</f>
        <v>755</v>
      </c>
      <c r="AT70" s="862">
        <f>+'사회적유입인구의 처리구역별 배분(적용)'!O64</f>
        <v>1772</v>
      </c>
      <c r="AU70" s="862">
        <f>+'사회적유입인구의 처리구역별 배분(적용)'!P64</f>
        <v>1772</v>
      </c>
      <c r="AV70" s="862">
        <f>+'사회적유입인구의 처리구역별 배분(적용)'!Q64</f>
        <v>1772</v>
      </c>
      <c r="AW70" s="862">
        <f>+'사회적유입인구의 처리구역별 배분(적용)'!R64</f>
        <v>1772</v>
      </c>
      <c r="AX70" s="862">
        <f>+'사회적유입인구의 처리구역별 배분(적용)'!S64</f>
        <v>1772</v>
      </c>
      <c r="AY70" s="862">
        <f>+'사회적유입인구의 처리구역별 배분(적용)'!T64</f>
        <v>3413</v>
      </c>
      <c r="AZ70" s="862">
        <f>+'사회적유입인구의 처리구역별 배분(적용)'!U64</f>
        <v>3413</v>
      </c>
      <c r="BA70" s="862">
        <f>+'사회적유입인구의 처리구역별 배분(적용)'!V64</f>
        <v>3413</v>
      </c>
      <c r="BB70" s="862">
        <f>+'사회적유입인구의 처리구역별 배분(적용)'!W64</f>
        <v>3413</v>
      </c>
      <c r="BC70" s="862">
        <f>+'사회적유입인구의 처리구역별 배분(적용)'!X64</f>
        <v>3413</v>
      </c>
      <c r="BD70" s="862">
        <f>+'사회적유입인구의 처리구역별 배분(적용)'!Y64</f>
        <v>3413</v>
      </c>
      <c r="BE70" s="876">
        <f>+'사회적유입인구의 처리구역별 배분(적용)'!Z64</f>
        <v>0</v>
      </c>
    </row>
    <row r="71" spans="1:57" ht="24" customHeight="1">
      <c r="A71" s="2640"/>
      <c r="B71" s="2678"/>
      <c r="C71" s="2685"/>
      <c r="D71" s="2634"/>
      <c r="E71" s="1104" t="s">
        <v>983</v>
      </c>
      <c r="F71" s="713"/>
      <c r="G71" s="935">
        <f>+'2014처리구역인구 정리'!I63</f>
        <v>87</v>
      </c>
      <c r="H71" s="935">
        <f>+'2014처리구역인구 정리'!J63</f>
        <v>89</v>
      </c>
      <c r="I71" s="925">
        <f>ROUND((('1.4.조성법총괄(내부이동률 적용)'!E$11+'1.4.조성법총괄(내부이동률 적용)'!E$14*$AK$2)*$AB71)+(AL$43*$AC71),0)</f>
        <v>88</v>
      </c>
      <c r="J71" s="925">
        <f>ROUND((('1.4.조성법총괄(내부이동률 적용)'!F$11+'1.4.조성법총괄(내부이동률 적용)'!F$14*$AK$2)*$AB71)+(AM$43*$AC71),0)</f>
        <v>89</v>
      </c>
      <c r="K71" s="925">
        <f>ROUND((('1.4.조성법총괄(내부이동률 적용)'!G$11+'1.4.조성법총괄(내부이동률 적용)'!G$14*$AK$2)*$AB71)+(AN$43*$AC71),0)</f>
        <v>89</v>
      </c>
      <c r="L71" s="907">
        <f>ROUND((('1.4.조성법총괄(내부이동률 적용)'!H$11+'1.4.조성법총괄(내부이동률 적용)'!H$14*$AK$2)*$AB71)+(AO$43*$AC71),0)</f>
        <v>87</v>
      </c>
      <c r="M71" s="925">
        <f>ROUND((('1.4.조성법총괄(내부이동률 적용)'!I$11+'1.4.조성법총괄(내부이동률 적용)'!I$14*$AK$2)*$AB71)+(AP$43*$AC71),0)</f>
        <v>87</v>
      </c>
      <c r="N71" s="925">
        <f>ROUND((('1.4.조성법총괄(내부이동률 적용)'!J$11+'1.4.조성법총괄(내부이동률 적용)'!J$14*$AK$2)*$AB71)+(AQ$43*$AC71),0)</f>
        <v>87</v>
      </c>
      <c r="O71" s="925">
        <f>ROUND((('1.4.조성법총괄(내부이동률 적용)'!K$11+'1.4.조성법총괄(내부이동률 적용)'!K$14*$AK$2)*$AB71)+(AR$43*$AC71),0)</f>
        <v>88</v>
      </c>
      <c r="P71" s="925">
        <f>ROUND((('1.4.조성법총괄(내부이동률 적용)'!L$11+'1.4.조성법총괄(내부이동률 적용)'!L$14*$AK$2)*$AB71)+(AS$43*$AC71),0)</f>
        <v>88</v>
      </c>
      <c r="Q71" s="907">
        <f>ROUND((('1.4.조성법총괄(내부이동률 적용)'!M$11+'1.4.조성법총괄(내부이동률 적용)'!M$14*$AK$2)*$AB71)+(AT$43*$AC71),0)</f>
        <v>88</v>
      </c>
      <c r="R71" s="925">
        <f>ROUND((('1.4.조성법총괄(내부이동률 적용)'!N$11+'1.4.조성법총괄(내부이동률 적용)'!N$14*$AK$2)*$AB71)+(AU$43*$AC71),0)</f>
        <v>88</v>
      </c>
      <c r="S71" s="925">
        <f>ROUND((('1.4.조성법총괄(내부이동률 적용)'!O$11+'1.4.조성법총괄(내부이동률 적용)'!O$14*$AK$2)*$AB71)+(AV$43*$AC71),0)</f>
        <v>88</v>
      </c>
      <c r="T71" s="925">
        <f>ROUND((('1.4.조성법총괄(내부이동률 적용)'!P$11+'1.4.조성법총괄(내부이동률 적용)'!P$14*$AK$2)*$AB71)+(AW$43*$AC71),0)</f>
        <v>88</v>
      </c>
      <c r="U71" s="925">
        <f>ROUND((('1.4.조성법총괄(내부이동률 적용)'!Q$11+'1.4.조성법총괄(내부이동률 적용)'!Q$14*$AK$2)*$AB71)+(AX$43*$AC71),0)</f>
        <v>89</v>
      </c>
      <c r="V71" s="715">
        <f>ROUND((('1.4.조성법총괄(내부이동률 적용)'!R$11+'1.4.조성법총괄(내부이동률 적용)'!R$14*$AK$2)*$AB71)+(AY$43*$AC71),0)</f>
        <v>89</v>
      </c>
      <c r="W71" s="714">
        <f>ROUND((('1.4.조성법총괄(내부이동률 적용)'!S$11+'1.4.조성법총괄(내부이동률 적용)'!S$14*$AK$2)*$AB71)+(AZ$43*$AC71),0)</f>
        <v>89</v>
      </c>
      <c r="X71" s="714">
        <f>ROUND((('1.4.조성법총괄(내부이동률 적용)'!T$11+'1.4.조성법총괄(내부이동률 적용)'!T$14*$AK$2)*$AB71)+(BA$43*$AC71),0)</f>
        <v>89</v>
      </c>
      <c r="Y71" s="714">
        <f>ROUND((('1.4.조성법총괄(내부이동률 적용)'!U$11+'1.4.조성법총괄(내부이동률 적용)'!U$14*$AK$2)*$AB71)+(BB$43*$AC71),0)</f>
        <v>89</v>
      </c>
      <c r="Z71" s="714">
        <f>ROUND((('1.4.조성법총괄(내부이동률 적용)'!V$11+'1.4.조성법총괄(내부이동률 적용)'!V$14*$AK$2)*$AB71)+(BC$43*$AC71),0)</f>
        <v>89</v>
      </c>
      <c r="AA71" s="715">
        <f>ROUND((('1.4.조성법총괄(내부이동률 적용)'!W$11+'1.4.조성법총괄(내부이동률 적용)'!W$14*$AK$2)*$AB71)+(BD$43*$AC71),0)</f>
        <v>106</v>
      </c>
      <c r="AB71" s="934">
        <f>+H71/'1.4.조성법총괄(내부이동률 적용)'!$D$15</f>
        <v>3.8037439097358748E-3</v>
      </c>
      <c r="AC71" s="934">
        <f t="shared" si="59"/>
        <v>4.8807238826432684E-3</v>
      </c>
      <c r="AD71" s="1080"/>
      <c r="AE71" s="711"/>
      <c r="AF71" s="1005"/>
      <c r="AG71" s="1014"/>
      <c r="AH71" s="1013"/>
      <c r="AI71" s="862"/>
      <c r="AJ71" s="862"/>
      <c r="AK71" s="862"/>
      <c r="AL71" s="862"/>
      <c r="AM71" s="862"/>
      <c r="AN71" s="862"/>
      <c r="AO71" s="862"/>
      <c r="AP71" s="862"/>
      <c r="AQ71" s="862"/>
      <c r="AR71" s="862"/>
      <c r="AS71" s="862"/>
      <c r="AT71" s="862"/>
      <c r="AU71" s="862"/>
      <c r="AV71" s="862"/>
      <c r="AW71" s="862"/>
      <c r="AX71" s="862"/>
      <c r="AY71" s="862"/>
      <c r="AZ71" s="862"/>
      <c r="BA71" s="862"/>
      <c r="BB71" s="862"/>
      <c r="BC71" s="862"/>
      <c r="BD71" s="862"/>
      <c r="BE71" s="876"/>
    </row>
    <row r="72" spans="1:57" ht="24" customHeight="1">
      <c r="A72" s="2640"/>
      <c r="B72" s="2678"/>
      <c r="C72" s="2685"/>
      <c r="D72" s="2634"/>
      <c r="E72" s="1104" t="s">
        <v>984</v>
      </c>
      <c r="F72" s="713"/>
      <c r="G72" s="935">
        <f>+'2014처리구역인구 정리'!I64</f>
        <v>182</v>
      </c>
      <c r="H72" s="935">
        <f>+'2014처리구역인구 정리'!J64</f>
        <v>197</v>
      </c>
      <c r="I72" s="925">
        <f>ROUND((('1.4.조성법총괄(내부이동률 적용)'!E$11+'1.4.조성법총괄(내부이동률 적용)'!E$14*$AK$2)*$AB72)+(AL$43*$AC72),0)</f>
        <v>196</v>
      </c>
      <c r="J72" s="925">
        <f>ROUND((('1.4.조성법총괄(내부이동률 적용)'!F$11+'1.4.조성법총괄(내부이동률 적용)'!F$14*$AK$2)*$AB72)+(AM$43*$AC72),0)</f>
        <v>196</v>
      </c>
      <c r="K72" s="925">
        <f>ROUND((('1.4.조성법총괄(내부이동률 적용)'!G$11+'1.4.조성법총괄(내부이동률 적용)'!G$14*$AK$2)*$AB72)+(AN$43*$AC72),0)</f>
        <v>196</v>
      </c>
      <c r="L72" s="907">
        <f>ROUND((('1.4.조성법총괄(내부이동률 적용)'!H$11+'1.4.조성법총괄(내부이동률 적용)'!H$14*$AK$2)*$AB72)+(AO$43*$AC72),0)</f>
        <v>192</v>
      </c>
      <c r="M72" s="925">
        <f>ROUND((('1.4.조성법총괄(내부이동률 적용)'!I$11+'1.4.조성법총괄(내부이동률 적용)'!I$14*$AK$2)*$AB72)+(AP$43*$AC72),0)</f>
        <v>193</v>
      </c>
      <c r="N72" s="925">
        <f>ROUND((('1.4.조성법총괄(내부이동률 적용)'!J$11+'1.4.조성법총괄(내부이동률 적용)'!J$14*$AK$2)*$AB72)+(AQ$43*$AC72),0)</f>
        <v>194</v>
      </c>
      <c r="O72" s="925">
        <f>ROUND((('1.4.조성법총괄(내부이동률 적용)'!K$11+'1.4.조성법총괄(내부이동률 적용)'!K$14*$AK$2)*$AB72)+(AR$43*$AC72),0)</f>
        <v>194</v>
      </c>
      <c r="P72" s="925">
        <f>ROUND((('1.4.조성법총괄(내부이동률 적용)'!L$11+'1.4.조성법총괄(내부이동률 적용)'!L$14*$AK$2)*$AB72)+(AS$43*$AC72),0)</f>
        <v>195</v>
      </c>
      <c r="Q72" s="907">
        <f>ROUND((('1.4.조성법총괄(내부이동률 적용)'!M$11+'1.4.조성법총괄(내부이동률 적용)'!M$14*$AK$2)*$AB72)+(AT$43*$AC72),0)</f>
        <v>195</v>
      </c>
      <c r="R72" s="925">
        <f>ROUND((('1.4.조성법총괄(내부이동률 적용)'!N$11+'1.4.조성법총괄(내부이동률 적용)'!N$14*$AK$2)*$AB72)+(AU$43*$AC72),0)</f>
        <v>195</v>
      </c>
      <c r="S72" s="925">
        <f>ROUND((('1.4.조성법총괄(내부이동률 적용)'!O$11+'1.4.조성법총괄(내부이동률 적용)'!O$14*$AK$2)*$AB72)+(AV$43*$AC72),0)</f>
        <v>195</v>
      </c>
      <c r="T72" s="925">
        <f>ROUND((('1.4.조성법총괄(내부이동률 적용)'!P$11+'1.4.조성법총괄(내부이동률 적용)'!P$14*$AK$2)*$AB72)+(AW$43*$AC72),0)</f>
        <v>196</v>
      </c>
      <c r="U72" s="925">
        <f>ROUND((('1.4.조성법총괄(내부이동률 적용)'!Q$11+'1.4.조성법총괄(내부이동률 적용)'!Q$14*$AK$2)*$AB72)+(AX$43*$AC72),0)</f>
        <v>196</v>
      </c>
      <c r="V72" s="715">
        <f>ROUND((('1.4.조성법총괄(내부이동률 적용)'!R$11+'1.4.조성법총괄(내부이동률 적용)'!R$14*$AK$2)*$AB72)+(AY$43*$AC72),0)</f>
        <v>197</v>
      </c>
      <c r="W72" s="714">
        <f>ROUND((('1.4.조성법총괄(내부이동률 적용)'!S$11+'1.4.조성법총괄(내부이동률 적용)'!S$14*$AK$2)*$AB72)+(AZ$43*$AC72),0)</f>
        <v>197</v>
      </c>
      <c r="X72" s="714">
        <f>ROUND((('1.4.조성법총괄(내부이동률 적용)'!T$11+'1.4.조성법총괄(내부이동률 적용)'!T$14*$AK$2)*$AB72)+(BA$43*$AC72),0)</f>
        <v>197</v>
      </c>
      <c r="Y72" s="714">
        <f>ROUND((('1.4.조성법총괄(내부이동률 적용)'!U$11+'1.4.조성법총괄(내부이동률 적용)'!U$14*$AK$2)*$AB72)+(BB$43*$AC72),0)</f>
        <v>198</v>
      </c>
      <c r="Z72" s="714">
        <f>ROUND((('1.4.조성법총괄(내부이동률 적용)'!V$11+'1.4.조성법총괄(내부이동률 적용)'!V$14*$AK$2)*$AB72)+(BC$43*$AC72),0)</f>
        <v>198</v>
      </c>
      <c r="AA72" s="715">
        <f>ROUND((('1.4.조성법총괄(내부이동률 적용)'!W$11+'1.4.조성법총괄(내부이동률 적용)'!W$14*$AK$2)*$AB72)+(BD$43*$AC72),0)</f>
        <v>234</v>
      </c>
      <c r="AB72" s="934">
        <f>+H72/'1.4.조성법총괄(내부이동률 적용)'!$D$15</f>
        <v>8.4195230361569368E-3</v>
      </c>
      <c r="AC72" s="934">
        <f t="shared" si="59"/>
        <v>1.0803400054839594E-2</v>
      </c>
      <c r="AD72" s="1080"/>
      <c r="AE72" s="711"/>
      <c r="AF72" s="855"/>
      <c r="AG72" s="863" t="s">
        <v>96</v>
      </c>
      <c r="AH72" s="859" t="str">
        <f>+'사회적유입인구의 처리구역별 배분(적용)'!C26</f>
        <v>리노삼봉산업단지</v>
      </c>
      <c r="AI72" s="872">
        <f>+'사회적유입인구의 처리구역별 배분(적용)'!D65</f>
        <v>0</v>
      </c>
      <c r="AJ72" s="872">
        <f>+'사회적유입인구의 처리구역별 배분(적용)'!E65</f>
        <v>0</v>
      </c>
      <c r="AK72" s="872">
        <f>+'사회적유입인구의 처리구역별 배분(적용)'!F65</f>
        <v>0</v>
      </c>
      <c r="AL72" s="872">
        <f>+'사회적유입인구의 처리구역별 배분(적용)'!G65</f>
        <v>0</v>
      </c>
      <c r="AM72" s="872">
        <f>+'사회적유입인구의 처리구역별 배분(적용)'!H65</f>
        <v>0</v>
      </c>
      <c r="AN72" s="872">
        <f>+'사회적유입인구의 처리구역별 배분(적용)'!I65</f>
        <v>0</v>
      </c>
      <c r="AO72" s="872">
        <f>+'사회적유입인구의 처리구역별 배분(적용)'!J65</f>
        <v>0</v>
      </c>
      <c r="AP72" s="872">
        <f>+'사회적유입인구의 처리구역별 배분(적용)'!K65</f>
        <v>0</v>
      </c>
      <c r="AQ72" s="872">
        <f>+'사회적유입인구의 처리구역별 배분(적용)'!L65</f>
        <v>0</v>
      </c>
      <c r="AR72" s="872">
        <f>+'사회적유입인구의 처리구역별 배분(적용)'!M65</f>
        <v>0</v>
      </c>
      <c r="AS72" s="872">
        <f>+'사회적유입인구의 처리구역별 배분(적용)'!N65</f>
        <v>0</v>
      </c>
      <c r="AT72" s="872">
        <f>+'사회적유입인구의 처리구역별 배분(적용)'!O65</f>
        <v>0</v>
      </c>
      <c r="AU72" s="872">
        <f>+'사회적유입인구의 처리구역별 배분(적용)'!P65</f>
        <v>0</v>
      </c>
      <c r="AV72" s="872">
        <f>+'사회적유입인구의 처리구역별 배분(적용)'!Q65</f>
        <v>0</v>
      </c>
      <c r="AW72" s="872">
        <f>+'사회적유입인구의 처리구역별 배분(적용)'!R65</f>
        <v>0</v>
      </c>
      <c r="AX72" s="872">
        <f>+'사회적유입인구의 처리구역별 배분(적용)'!S65</f>
        <v>0</v>
      </c>
      <c r="AY72" s="872">
        <f>+'사회적유입인구의 처리구역별 배분(적용)'!T65</f>
        <v>0</v>
      </c>
      <c r="AZ72" s="872">
        <f>+'사회적유입인구의 처리구역별 배분(적용)'!U65</f>
        <v>0</v>
      </c>
      <c r="BA72" s="872">
        <f>+'사회적유입인구의 처리구역별 배분(적용)'!V65</f>
        <v>0</v>
      </c>
      <c r="BB72" s="872">
        <f>+'사회적유입인구의 처리구역별 배분(적용)'!W65</f>
        <v>0</v>
      </c>
      <c r="BC72" s="872">
        <f>+'사회적유입인구의 처리구역별 배분(적용)'!X65</f>
        <v>0</v>
      </c>
      <c r="BD72" s="872">
        <f>+'사회적유입인구의 처리구역별 배분(적용)'!Y65</f>
        <v>0</v>
      </c>
      <c r="BE72" s="871">
        <f>+'사회적유입인구의 처리구역별 배분(적용)'!Z26</f>
        <v>0.4</v>
      </c>
    </row>
    <row r="73" spans="1:57" ht="24" customHeight="1">
      <c r="A73" s="2641"/>
      <c r="B73" s="2679"/>
      <c r="C73" s="2686"/>
      <c r="D73" s="1104" t="s">
        <v>989</v>
      </c>
      <c r="E73" s="1104" t="s">
        <v>991</v>
      </c>
      <c r="F73" s="713"/>
      <c r="G73" s="935">
        <f>+'2014처리구역인구 정리'!I65</f>
        <v>188</v>
      </c>
      <c r="H73" s="935">
        <f>+'2014처리구역인구 정리'!J65</f>
        <v>190</v>
      </c>
      <c r="I73" s="925">
        <f>ROUND((('1.4.조성법총괄(내부이동률 적용)'!E$11+'1.4.조성법총괄(내부이동률 적용)'!E$14*$AK$2)*$AB73)+(AL$43*$AC73),0)</f>
        <v>189</v>
      </c>
      <c r="J73" s="925">
        <f>ROUND((('1.4.조성법총괄(내부이동률 적용)'!F$11+'1.4.조성법총괄(내부이동률 적용)'!F$14*$AK$2)*$AB73)+(AM$43*$AC73),0)</f>
        <v>189</v>
      </c>
      <c r="K73" s="925">
        <f>ROUND((('1.4.조성법총괄(내부이동률 적용)'!G$11+'1.4.조성법총괄(내부이동률 적용)'!G$14*$AK$2)*$AB73)+(AN$43*$AC73),0)</f>
        <v>189</v>
      </c>
      <c r="L73" s="907">
        <f>ROUND((('1.4.조성법총괄(내부이동률 적용)'!H$11+'1.4.조성법총괄(내부이동률 적용)'!H$14*$AK$2)*$AB73)+(AO$43*$AC73),0)</f>
        <v>186</v>
      </c>
      <c r="M73" s="925">
        <f>ROUND((('1.4.조성법총괄(내부이동률 적용)'!I$11+'1.4.조성법총괄(내부이동률 적용)'!I$14*$AK$2)*$AB73)+(AP$43*$AC73),0)</f>
        <v>186</v>
      </c>
      <c r="N73" s="925">
        <f>ROUND((('1.4.조성법총괄(내부이동률 적용)'!J$11+'1.4.조성법총괄(내부이동률 적용)'!J$14*$AK$2)*$AB73)+(AQ$43*$AC73),0)</f>
        <v>187</v>
      </c>
      <c r="O73" s="925">
        <f>ROUND((('1.4.조성법총괄(내부이동률 적용)'!K$11+'1.4.조성법총괄(내부이동률 적용)'!K$14*$AK$2)*$AB73)+(AR$43*$AC73),0)</f>
        <v>187</v>
      </c>
      <c r="P73" s="925">
        <f>ROUND((('1.4.조성법총괄(내부이동률 적용)'!L$11+'1.4.조성법총괄(내부이동률 적용)'!L$14*$AK$2)*$AB73)+(AS$43*$AC73),0)</f>
        <v>188</v>
      </c>
      <c r="Q73" s="907">
        <f>ROUND((('1.4.조성법총괄(내부이동률 적용)'!M$11+'1.4.조성법총괄(내부이동률 적용)'!M$14*$AK$2)*$AB73)+(AT$43*$AC73),0)</f>
        <v>188</v>
      </c>
      <c r="R73" s="925">
        <f>ROUND((('1.4.조성법총괄(내부이동률 적용)'!N$11+'1.4.조성법총괄(내부이동률 적용)'!N$14*$AK$2)*$AB73)+(AU$43*$AC73),0)</f>
        <v>188</v>
      </c>
      <c r="S73" s="925">
        <f>ROUND((('1.4.조성법총괄(내부이동률 적용)'!O$11+'1.4.조성법총괄(내부이동률 적용)'!O$14*$AK$2)*$AB73)+(AV$43*$AC73),0)</f>
        <v>189</v>
      </c>
      <c r="T73" s="925">
        <f>ROUND((('1.4.조성법총괄(내부이동률 적용)'!P$11+'1.4.조성법총괄(내부이동률 적용)'!P$14*$AK$2)*$AB73)+(AW$43*$AC73),0)</f>
        <v>189</v>
      </c>
      <c r="U73" s="925">
        <f>ROUND((('1.4.조성법총괄(내부이동률 적용)'!Q$11+'1.4.조성법총괄(내부이동률 적용)'!Q$14*$AK$2)*$AB73)+(AX$43*$AC73),0)</f>
        <v>189</v>
      </c>
      <c r="V73" s="715">
        <f>ROUND((('1.4.조성법총괄(내부이동률 적용)'!R$11+'1.4.조성법총괄(내부이동률 적용)'!R$14*$AK$2)*$AB73)+(AY$43*$AC73),0)</f>
        <v>190</v>
      </c>
      <c r="W73" s="714">
        <f>ROUND((('1.4.조성법총괄(내부이동률 적용)'!S$11+'1.4.조성법총괄(내부이동률 적용)'!S$14*$AK$2)*$AB73)+(AZ$43*$AC73),0)</f>
        <v>190</v>
      </c>
      <c r="X73" s="714">
        <f>ROUND((('1.4.조성법총괄(내부이동률 적용)'!T$11+'1.4.조성법총괄(내부이동률 적용)'!T$14*$AK$2)*$AB73)+(BA$43*$AC73),0)</f>
        <v>190</v>
      </c>
      <c r="Y73" s="714">
        <f>ROUND((('1.4.조성법총괄(내부이동률 적용)'!U$11+'1.4.조성법총괄(내부이동률 적용)'!U$14*$AK$2)*$AB73)+(BB$43*$AC73),0)</f>
        <v>191</v>
      </c>
      <c r="Z73" s="714">
        <f>ROUND((('1.4.조성법총괄(내부이동률 적용)'!V$11+'1.4.조성법총괄(내부이동률 적용)'!V$14*$AK$2)*$AB73)+(BC$43*$AC73),0)</f>
        <v>191</v>
      </c>
      <c r="AA73" s="715">
        <f>ROUND((('1.4.조성법총괄(내부이동률 적용)'!W$11+'1.4.조성법총괄(내부이동률 적용)'!W$14*$AK$2)*$AB73)+(BD$43*$AC73),0)</f>
        <v>226</v>
      </c>
      <c r="AB73" s="934">
        <f>+H73/'1.4.조성법총괄(내부이동률 적용)'!$D$15</f>
        <v>8.1203521668518682E-3</v>
      </c>
      <c r="AC73" s="934">
        <f t="shared" si="59"/>
        <v>1.0419522895530574E-2</v>
      </c>
      <c r="AD73" s="1080"/>
      <c r="AE73" s="711"/>
      <c r="AF73" s="855"/>
      <c r="AG73" s="863"/>
      <c r="AH73" s="865" t="str">
        <f>+'사회적유입인구의 처리구역별 배분(적용)'!C27</f>
        <v>오선산업단지</v>
      </c>
      <c r="AI73" s="872">
        <f>+'사회적유입인구의 처리구역별 배분(적용)'!D66</f>
        <v>0</v>
      </c>
      <c r="AJ73" s="872">
        <f>+'사회적유입인구의 처리구역별 배분(적용)'!E66</f>
        <v>0</v>
      </c>
      <c r="AK73" s="872">
        <f>+'사회적유입인구의 처리구역별 배분(적용)'!F66</f>
        <v>0</v>
      </c>
      <c r="AL73" s="872">
        <f>+'사회적유입인구의 처리구역별 배분(적용)'!G66</f>
        <v>0</v>
      </c>
      <c r="AM73" s="872">
        <f>+'사회적유입인구의 처리구역별 배분(적용)'!H66</f>
        <v>0</v>
      </c>
      <c r="AN73" s="872">
        <f>+'사회적유입인구의 처리구역별 배분(적용)'!I66</f>
        <v>0</v>
      </c>
      <c r="AO73" s="872">
        <f>+'사회적유입인구의 처리구역별 배분(적용)'!J66</f>
        <v>0</v>
      </c>
      <c r="AP73" s="872">
        <f>+'사회적유입인구의 처리구역별 배분(적용)'!K66</f>
        <v>0</v>
      </c>
      <c r="AQ73" s="872">
        <f>+'사회적유입인구의 처리구역별 배분(적용)'!L66</f>
        <v>0</v>
      </c>
      <c r="AR73" s="872">
        <f>+'사회적유입인구의 처리구역별 배분(적용)'!M66</f>
        <v>0</v>
      </c>
      <c r="AS73" s="872">
        <f>+'사회적유입인구의 처리구역별 배분(적용)'!N66</f>
        <v>0</v>
      </c>
      <c r="AT73" s="872">
        <f>+'사회적유입인구의 처리구역별 배분(적용)'!O66</f>
        <v>0</v>
      </c>
      <c r="AU73" s="872">
        <f>+'사회적유입인구의 처리구역별 배분(적용)'!P66</f>
        <v>0</v>
      </c>
      <c r="AV73" s="872">
        <f>+'사회적유입인구의 처리구역별 배분(적용)'!Q66</f>
        <v>0</v>
      </c>
      <c r="AW73" s="872">
        <f>+'사회적유입인구의 처리구역별 배분(적용)'!R66</f>
        <v>0</v>
      </c>
      <c r="AX73" s="872">
        <f>+'사회적유입인구의 처리구역별 배분(적용)'!S66</f>
        <v>0</v>
      </c>
      <c r="AY73" s="872">
        <f>+'사회적유입인구의 처리구역별 배분(적용)'!T66</f>
        <v>0</v>
      </c>
      <c r="AZ73" s="872">
        <f>+'사회적유입인구의 처리구역별 배분(적용)'!U66</f>
        <v>0</v>
      </c>
      <c r="BA73" s="872">
        <f>+'사회적유입인구의 처리구역별 배분(적용)'!V66</f>
        <v>0</v>
      </c>
      <c r="BB73" s="872">
        <f>+'사회적유입인구의 처리구역별 배분(적용)'!W66</f>
        <v>0</v>
      </c>
      <c r="BC73" s="872">
        <f>+'사회적유입인구의 처리구역별 배분(적용)'!X66</f>
        <v>0</v>
      </c>
      <c r="BD73" s="872">
        <f>+'사회적유입인구의 처리구역별 배분(적용)'!Y66</f>
        <v>0</v>
      </c>
      <c r="BE73" s="871">
        <f>+'사회적유입인구의 처리구역별 배분(적용)'!Z27</f>
        <v>0.7</v>
      </c>
    </row>
    <row r="74" spans="1:57" ht="24" customHeight="1">
      <c r="AF74" s="855"/>
      <c r="AG74" s="863"/>
      <c r="AH74" s="865" t="str">
        <f>+'사회적유입인구의 처리구역별 배분(적용)'!C28</f>
        <v>유촌산업단지</v>
      </c>
      <c r="AI74" s="872">
        <f>+'사회적유입인구의 처리구역별 배분(적용)'!D67</f>
        <v>0</v>
      </c>
      <c r="AJ74" s="872">
        <f>+'사회적유입인구의 처리구역별 배분(적용)'!E67</f>
        <v>0</v>
      </c>
      <c r="AK74" s="872">
        <f>+'사회적유입인구의 처리구역별 배분(적용)'!F67</f>
        <v>0</v>
      </c>
      <c r="AL74" s="872">
        <f>+'사회적유입인구의 처리구역별 배분(적용)'!G67</f>
        <v>0</v>
      </c>
      <c r="AM74" s="872">
        <f>+'사회적유입인구의 처리구역별 배분(적용)'!H67</f>
        <v>0</v>
      </c>
      <c r="AN74" s="872">
        <f>+'사회적유입인구의 처리구역별 배분(적용)'!I67</f>
        <v>0</v>
      </c>
      <c r="AO74" s="872">
        <f>+'사회적유입인구의 처리구역별 배분(적용)'!J67</f>
        <v>0</v>
      </c>
      <c r="AP74" s="872">
        <f>+'사회적유입인구의 처리구역별 배분(적용)'!K67</f>
        <v>0</v>
      </c>
      <c r="AQ74" s="872">
        <f>+'사회적유입인구의 처리구역별 배분(적용)'!L67</f>
        <v>0</v>
      </c>
      <c r="AR74" s="872">
        <f>+'사회적유입인구의 처리구역별 배분(적용)'!M67</f>
        <v>0</v>
      </c>
      <c r="AS74" s="872">
        <f>+'사회적유입인구의 처리구역별 배분(적용)'!N67</f>
        <v>0</v>
      </c>
      <c r="AT74" s="872">
        <f>+'사회적유입인구의 처리구역별 배분(적용)'!O67</f>
        <v>0</v>
      </c>
      <c r="AU74" s="872">
        <f>+'사회적유입인구의 처리구역별 배분(적용)'!P67</f>
        <v>0</v>
      </c>
      <c r="AV74" s="872">
        <f>+'사회적유입인구의 처리구역별 배분(적용)'!Q67</f>
        <v>0</v>
      </c>
      <c r="AW74" s="872">
        <f>+'사회적유입인구의 처리구역별 배분(적용)'!R67</f>
        <v>0</v>
      </c>
      <c r="AX74" s="872">
        <f>+'사회적유입인구의 처리구역별 배분(적용)'!S67</f>
        <v>0</v>
      </c>
      <c r="AY74" s="872">
        <f>+'사회적유입인구의 처리구역별 배분(적용)'!T67</f>
        <v>0</v>
      </c>
      <c r="AZ74" s="872">
        <f>+'사회적유입인구의 처리구역별 배분(적용)'!U67</f>
        <v>0</v>
      </c>
      <c r="BA74" s="872">
        <f>+'사회적유입인구의 처리구역별 배분(적용)'!V67</f>
        <v>0</v>
      </c>
      <c r="BB74" s="872">
        <f>+'사회적유입인구의 처리구역별 배분(적용)'!W67</f>
        <v>0</v>
      </c>
      <c r="BC74" s="872">
        <f>+'사회적유입인구의 처리구역별 배분(적용)'!X67</f>
        <v>0</v>
      </c>
      <c r="BD74" s="872">
        <f>+'사회적유입인구의 처리구역별 배분(적용)'!Y67</f>
        <v>0</v>
      </c>
      <c r="BE74" s="871">
        <f>+'사회적유입인구의 처리구역별 배분(적용)'!Z28</f>
        <v>0.5</v>
      </c>
    </row>
    <row r="75" spans="1:57" ht="24" customHeight="1">
      <c r="A75" s="1239" t="s">
        <v>1089</v>
      </c>
      <c r="B75" s="1239"/>
      <c r="C75" s="1239"/>
      <c r="D75" s="1239"/>
      <c r="E75" s="1239"/>
      <c r="AE75" s="676"/>
      <c r="AF75" s="855"/>
      <c r="AG75" s="863"/>
      <c r="AH75" s="865" t="str">
        <f>+'사회적유입인구의 처리구역별 배분(적용)'!C30</f>
        <v>성본산업단지</v>
      </c>
      <c r="AI75" s="872">
        <f>+'사회적유입인구의 처리구역별 배분(적용)'!D68</f>
        <v>0</v>
      </c>
      <c r="AJ75" s="872">
        <f>+'사회적유입인구의 처리구역별 배분(적용)'!E68</f>
        <v>0</v>
      </c>
      <c r="AK75" s="872">
        <f>+'사회적유입인구의 처리구역별 배분(적용)'!F68</f>
        <v>0</v>
      </c>
      <c r="AL75" s="872">
        <f>+'사회적유입인구의 처리구역별 배분(적용)'!G68</f>
        <v>0</v>
      </c>
      <c r="AM75" s="872">
        <f>+'사회적유입인구의 처리구역별 배분(적용)'!H68</f>
        <v>0</v>
      </c>
      <c r="AN75" s="872">
        <f>+'사회적유입인구의 처리구역별 배분(적용)'!I68</f>
        <v>0</v>
      </c>
      <c r="AO75" s="872">
        <f>+'사회적유입인구의 처리구역별 배분(적용)'!J68</f>
        <v>0</v>
      </c>
      <c r="AP75" s="872">
        <f>+'사회적유입인구의 처리구역별 배분(적용)'!K68</f>
        <v>0</v>
      </c>
      <c r="AQ75" s="872">
        <f>+'사회적유입인구의 처리구역별 배분(적용)'!L68</f>
        <v>0</v>
      </c>
      <c r="AR75" s="872">
        <f>+'사회적유입인구의 처리구역별 배분(적용)'!M68</f>
        <v>0</v>
      </c>
      <c r="AS75" s="872">
        <f>+'사회적유입인구의 처리구역별 배분(적용)'!N68</f>
        <v>0</v>
      </c>
      <c r="AT75" s="872">
        <f>+'사회적유입인구의 처리구역별 배분(적용)'!O68</f>
        <v>0</v>
      </c>
      <c r="AU75" s="872">
        <f>+'사회적유입인구의 처리구역별 배분(적용)'!P68</f>
        <v>0</v>
      </c>
      <c r="AV75" s="872">
        <f>+'사회적유입인구의 처리구역별 배분(적용)'!Q68</f>
        <v>0</v>
      </c>
      <c r="AW75" s="872">
        <f>+'사회적유입인구의 처리구역별 배분(적용)'!R68</f>
        <v>0</v>
      </c>
      <c r="AX75" s="872">
        <f>+'사회적유입인구의 처리구역별 배분(적용)'!S68</f>
        <v>0</v>
      </c>
      <c r="AY75" s="872">
        <f>+'사회적유입인구의 처리구역별 배분(적용)'!T68</f>
        <v>0</v>
      </c>
      <c r="AZ75" s="872">
        <f>+'사회적유입인구의 처리구역별 배분(적용)'!U68</f>
        <v>0</v>
      </c>
      <c r="BA75" s="872">
        <f>+'사회적유입인구의 처리구역별 배분(적용)'!V68</f>
        <v>0</v>
      </c>
      <c r="BB75" s="872">
        <f>+'사회적유입인구의 처리구역별 배분(적용)'!W68</f>
        <v>0</v>
      </c>
      <c r="BC75" s="872">
        <f>+'사회적유입인구의 처리구역별 배분(적용)'!X68</f>
        <v>0</v>
      </c>
      <c r="BD75" s="872">
        <f>+'사회적유입인구의 처리구역별 배분(적용)'!Y68</f>
        <v>0</v>
      </c>
      <c r="BE75" s="871">
        <f>+'사회적유입인구의 처리구역별 배분(적용)'!Z68</f>
        <v>0</v>
      </c>
    </row>
    <row r="76" spans="1:57" ht="24" customHeight="1">
      <c r="A76" s="98" t="s">
        <v>0</v>
      </c>
      <c r="B76" s="98" t="s">
        <v>1</v>
      </c>
      <c r="C76" s="99" t="s">
        <v>2</v>
      </c>
      <c r="D76" s="99" t="s">
        <v>3</v>
      </c>
      <c r="E76" s="99" t="s">
        <v>4</v>
      </c>
      <c r="F76" s="99">
        <v>2013</v>
      </c>
      <c r="G76" s="737">
        <v>2015</v>
      </c>
      <c r="H76" s="99">
        <v>2016</v>
      </c>
      <c r="I76" s="99">
        <v>2017</v>
      </c>
      <c r="J76" s="99">
        <v>2018</v>
      </c>
      <c r="K76" s="99">
        <v>2019</v>
      </c>
      <c r="L76" s="99">
        <v>2020</v>
      </c>
      <c r="M76" s="99">
        <v>2021</v>
      </c>
      <c r="N76" s="99">
        <v>2022</v>
      </c>
      <c r="O76" s="99">
        <v>2023</v>
      </c>
      <c r="P76" s="99">
        <v>2024</v>
      </c>
      <c r="Q76" s="99">
        <v>2025</v>
      </c>
      <c r="R76" s="99">
        <v>2026</v>
      </c>
      <c r="S76" s="99">
        <v>2027</v>
      </c>
      <c r="T76" s="99">
        <v>2028</v>
      </c>
      <c r="U76" s="99">
        <v>2029</v>
      </c>
      <c r="V76" s="99">
        <v>2030</v>
      </c>
      <c r="W76" s="99">
        <v>2031</v>
      </c>
      <c r="X76" s="99">
        <v>2032</v>
      </c>
      <c r="Y76" s="99">
        <v>2033</v>
      </c>
      <c r="Z76" s="99">
        <v>2034</v>
      </c>
      <c r="AA76" s="99">
        <v>2035</v>
      </c>
      <c r="AB76" s="98" t="s">
        <v>140</v>
      </c>
      <c r="AC76" s="98" t="s">
        <v>141</v>
      </c>
      <c r="AD76" s="99" t="s">
        <v>139</v>
      </c>
      <c r="AE76" s="674" t="str">
        <f>A75</f>
        <v>1.3 대소 처리구역 인구</v>
      </c>
      <c r="AF76" s="855"/>
      <c r="AG76" s="863"/>
      <c r="AH76" s="865" t="str">
        <f>+'사회적유입인구의 처리구역별 배분(적용)'!C31</f>
        <v>금왕테크노밸리</v>
      </c>
      <c r="AI76" s="872">
        <f>+'사회적유입인구의 처리구역별 배분(적용)'!D69</f>
        <v>0</v>
      </c>
      <c r="AJ76" s="872">
        <f>+'사회적유입인구의 처리구역별 배분(적용)'!E69</f>
        <v>0</v>
      </c>
      <c r="AK76" s="872">
        <f>+'사회적유입인구의 처리구역별 배분(적용)'!F69</f>
        <v>0</v>
      </c>
      <c r="AL76" s="872">
        <f>+'사회적유입인구의 처리구역별 배분(적용)'!G69</f>
        <v>0</v>
      </c>
      <c r="AM76" s="872">
        <f>+'사회적유입인구의 처리구역별 배분(적용)'!H69</f>
        <v>0</v>
      </c>
      <c r="AN76" s="872">
        <f>+'사회적유입인구의 처리구역별 배분(적용)'!I69</f>
        <v>0</v>
      </c>
      <c r="AO76" s="872">
        <f>+'사회적유입인구의 처리구역별 배분(적용)'!J69</f>
        <v>0</v>
      </c>
      <c r="AP76" s="872">
        <f>+'사회적유입인구의 처리구역별 배분(적용)'!K69</f>
        <v>0</v>
      </c>
      <c r="AQ76" s="872">
        <f>+'사회적유입인구의 처리구역별 배분(적용)'!L69</f>
        <v>0</v>
      </c>
      <c r="AR76" s="872">
        <f>+'사회적유입인구의 처리구역별 배분(적용)'!M69</f>
        <v>0</v>
      </c>
      <c r="AS76" s="872">
        <f>+'사회적유입인구의 처리구역별 배분(적용)'!N69</f>
        <v>0</v>
      </c>
      <c r="AT76" s="872">
        <f>+'사회적유입인구의 처리구역별 배분(적용)'!O69</f>
        <v>0</v>
      </c>
      <c r="AU76" s="872">
        <f>+'사회적유입인구의 처리구역별 배분(적용)'!P69</f>
        <v>0</v>
      </c>
      <c r="AV76" s="872">
        <f>+'사회적유입인구의 처리구역별 배분(적용)'!Q69</f>
        <v>0</v>
      </c>
      <c r="AW76" s="872">
        <f>+'사회적유입인구의 처리구역별 배분(적용)'!R69</f>
        <v>0</v>
      </c>
      <c r="AX76" s="872">
        <f>+'사회적유입인구의 처리구역별 배분(적용)'!S69</f>
        <v>0</v>
      </c>
      <c r="AY76" s="872">
        <f>+'사회적유입인구의 처리구역별 배분(적용)'!T69</f>
        <v>0</v>
      </c>
      <c r="AZ76" s="872">
        <f>+'사회적유입인구의 처리구역별 배분(적용)'!U69</f>
        <v>0</v>
      </c>
      <c r="BA76" s="872">
        <f>+'사회적유입인구의 처리구역별 배분(적용)'!V69</f>
        <v>0</v>
      </c>
      <c r="BB76" s="872">
        <f>+'사회적유입인구의 처리구역별 배분(적용)'!W69</f>
        <v>0</v>
      </c>
      <c r="BC76" s="872">
        <f>+'사회적유입인구의 처리구역별 배분(적용)'!X69</f>
        <v>0</v>
      </c>
      <c r="BD76" s="872">
        <f>+'사회적유입인구의 처리구역별 배분(적용)'!Y69</f>
        <v>0</v>
      </c>
      <c r="BE76" s="871">
        <f>+'사회적유입인구의 처리구역별 배분(적용)'!Z69</f>
        <v>0.3</v>
      </c>
    </row>
    <row r="77" spans="1:57" s="712" customFormat="1" ht="24" customHeight="1">
      <c r="A77" s="1818" t="s">
        <v>888</v>
      </c>
      <c r="B77" s="2636" t="s">
        <v>6</v>
      </c>
      <c r="C77" s="2636"/>
      <c r="D77" s="2636"/>
      <c r="E77" s="2636"/>
      <c r="F77" s="713"/>
      <c r="G77" s="907">
        <f t="shared" ref="G77:AA77" si="60">SUM(G78,G108,G121)</f>
        <v>18798</v>
      </c>
      <c r="H77" s="907">
        <f t="shared" si="60"/>
        <v>22173</v>
      </c>
      <c r="I77" s="907">
        <f t="shared" si="60"/>
        <v>22144</v>
      </c>
      <c r="J77" s="907">
        <f t="shared" si="60"/>
        <v>22656</v>
      </c>
      <c r="K77" s="907">
        <f t="shared" si="60"/>
        <v>21659</v>
      </c>
      <c r="L77" s="907">
        <f t="shared" si="60"/>
        <v>25874</v>
      </c>
      <c r="M77" s="907">
        <f t="shared" si="60"/>
        <v>25956</v>
      </c>
      <c r="N77" s="907">
        <f t="shared" si="60"/>
        <v>26036</v>
      </c>
      <c r="O77" s="907">
        <f t="shared" si="60"/>
        <v>26119</v>
      </c>
      <c r="P77" s="907">
        <f t="shared" si="60"/>
        <v>26198</v>
      </c>
      <c r="Q77" s="907">
        <f t="shared" si="60"/>
        <v>27707</v>
      </c>
      <c r="R77" s="907">
        <f t="shared" si="60"/>
        <v>27761</v>
      </c>
      <c r="S77" s="907">
        <f t="shared" si="60"/>
        <v>27817</v>
      </c>
      <c r="T77" s="907">
        <f t="shared" si="60"/>
        <v>27865</v>
      </c>
      <c r="U77" s="907">
        <f t="shared" si="60"/>
        <v>27920</v>
      </c>
      <c r="V77" s="907">
        <f t="shared" si="60"/>
        <v>29610</v>
      </c>
      <c r="W77" s="907">
        <f t="shared" si="60"/>
        <v>29656</v>
      </c>
      <c r="X77" s="907">
        <f t="shared" si="60"/>
        <v>29702</v>
      </c>
      <c r="Y77" s="907">
        <f t="shared" si="60"/>
        <v>29750</v>
      </c>
      <c r="Z77" s="907">
        <f t="shared" si="60"/>
        <v>29792</v>
      </c>
      <c r="AA77" s="907">
        <f t="shared" si="60"/>
        <v>37812</v>
      </c>
      <c r="AB77" s="713"/>
      <c r="AC77" s="713"/>
      <c r="AD77" s="1080"/>
      <c r="AE77" s="675">
        <f>+H78+H108</f>
        <v>15223</v>
      </c>
      <c r="AF77" s="855"/>
      <c r="AG77" s="863"/>
      <c r="AH77" s="865" t="str">
        <f>+'사회적유입인구의 처리구역별 배분(적용)'!C32</f>
        <v>성안산업단지</v>
      </c>
      <c r="AI77" s="872">
        <f>+'사회적유입인구의 처리구역별 배분(적용)'!D70</f>
        <v>0</v>
      </c>
      <c r="AJ77" s="872">
        <f>+'사회적유입인구의 처리구역별 배분(적용)'!E70</f>
        <v>0</v>
      </c>
      <c r="AK77" s="872">
        <f>+'사회적유입인구의 처리구역별 배분(적용)'!F70</f>
        <v>0</v>
      </c>
      <c r="AL77" s="872">
        <f>+'사회적유입인구의 처리구역별 배분(적용)'!G70</f>
        <v>0</v>
      </c>
      <c r="AM77" s="872">
        <f>+'사회적유입인구의 처리구역별 배분(적용)'!H70</f>
        <v>0</v>
      </c>
      <c r="AN77" s="872">
        <f>+'사회적유입인구의 처리구역별 배분(적용)'!I70</f>
        <v>0</v>
      </c>
      <c r="AO77" s="872">
        <f>+'사회적유입인구의 처리구역별 배분(적용)'!J70</f>
        <v>0</v>
      </c>
      <c r="AP77" s="872">
        <f>+'사회적유입인구의 처리구역별 배분(적용)'!K70</f>
        <v>0</v>
      </c>
      <c r="AQ77" s="872">
        <f>+'사회적유입인구의 처리구역별 배분(적용)'!L70</f>
        <v>0</v>
      </c>
      <c r="AR77" s="872">
        <f>+'사회적유입인구의 처리구역별 배분(적용)'!M70</f>
        <v>0</v>
      </c>
      <c r="AS77" s="872">
        <f>+'사회적유입인구의 처리구역별 배분(적용)'!N70</f>
        <v>0</v>
      </c>
      <c r="AT77" s="872">
        <f>+'사회적유입인구의 처리구역별 배분(적용)'!O70</f>
        <v>0</v>
      </c>
      <c r="AU77" s="872">
        <f>+'사회적유입인구의 처리구역별 배분(적용)'!P70</f>
        <v>0</v>
      </c>
      <c r="AV77" s="872">
        <f>+'사회적유입인구의 처리구역별 배분(적용)'!Q70</f>
        <v>0</v>
      </c>
      <c r="AW77" s="872">
        <f>+'사회적유입인구의 처리구역별 배분(적용)'!R70</f>
        <v>0</v>
      </c>
      <c r="AX77" s="872">
        <f>+'사회적유입인구의 처리구역별 배분(적용)'!S70</f>
        <v>0</v>
      </c>
      <c r="AY77" s="872">
        <f>+'사회적유입인구의 처리구역별 배분(적용)'!T70</f>
        <v>0</v>
      </c>
      <c r="AZ77" s="872">
        <f>+'사회적유입인구의 처리구역별 배분(적용)'!U70</f>
        <v>0</v>
      </c>
      <c r="BA77" s="872">
        <f>+'사회적유입인구의 처리구역별 배분(적용)'!V70</f>
        <v>0</v>
      </c>
      <c r="BB77" s="872">
        <f>+'사회적유입인구의 처리구역별 배분(적용)'!W70</f>
        <v>0</v>
      </c>
      <c r="BC77" s="872">
        <f>+'사회적유입인구의 처리구역별 배분(적용)'!X70</f>
        <v>0</v>
      </c>
      <c r="BD77" s="872">
        <f>+'사회적유입인구의 처리구역별 배분(적용)'!Y70</f>
        <v>0</v>
      </c>
      <c r="BE77" s="871">
        <f>+'사회적유입인구의 처리구역별 배분(적용)'!Z70</f>
        <v>0.3</v>
      </c>
    </row>
    <row r="78" spans="1:57" s="712" customFormat="1" ht="39.950000000000003" customHeight="1">
      <c r="A78" s="2639"/>
      <c r="B78" s="2636" t="s">
        <v>1090</v>
      </c>
      <c r="C78" s="2635" t="s">
        <v>7</v>
      </c>
      <c r="D78" s="2635"/>
      <c r="E78" s="2635"/>
      <c r="F78" s="713"/>
      <c r="G78" s="907">
        <f>SUM(G79:G107)</f>
        <v>9873</v>
      </c>
      <c r="H78" s="926">
        <f t="shared" ref="H78:AA78" si="61">SUM(H79:H107)</f>
        <v>11244</v>
      </c>
      <c r="I78" s="926">
        <f t="shared" si="61"/>
        <v>11260</v>
      </c>
      <c r="J78" s="926">
        <f t="shared" si="61"/>
        <v>11798</v>
      </c>
      <c r="K78" s="926">
        <f t="shared" si="61"/>
        <v>10921</v>
      </c>
      <c r="L78" s="907">
        <f t="shared" si="61"/>
        <v>14946</v>
      </c>
      <c r="M78" s="907">
        <f t="shared" si="61"/>
        <v>15014</v>
      </c>
      <c r="N78" s="907">
        <f t="shared" si="61"/>
        <v>15081</v>
      </c>
      <c r="O78" s="907">
        <f t="shared" si="61"/>
        <v>15149</v>
      </c>
      <c r="P78" s="907">
        <f t="shared" si="61"/>
        <v>15214</v>
      </c>
      <c r="Q78" s="907">
        <f t="shared" si="61"/>
        <v>16034</v>
      </c>
      <c r="R78" s="907">
        <f t="shared" si="61"/>
        <v>16089</v>
      </c>
      <c r="S78" s="907">
        <f t="shared" si="61"/>
        <v>16147</v>
      </c>
      <c r="T78" s="907">
        <f t="shared" si="61"/>
        <v>16198</v>
      </c>
      <c r="U78" s="907">
        <f t="shared" si="61"/>
        <v>16254</v>
      </c>
      <c r="V78" s="907">
        <f t="shared" si="61"/>
        <v>17952</v>
      </c>
      <c r="W78" s="907">
        <f t="shared" si="61"/>
        <v>18004</v>
      </c>
      <c r="X78" s="907">
        <f t="shared" si="61"/>
        <v>18060</v>
      </c>
      <c r="Y78" s="907">
        <f t="shared" si="61"/>
        <v>18116</v>
      </c>
      <c r="Z78" s="907">
        <f t="shared" si="61"/>
        <v>18173</v>
      </c>
      <c r="AA78" s="907">
        <f t="shared" si="61"/>
        <v>23477</v>
      </c>
      <c r="AB78" s="713"/>
      <c r="AC78" s="713"/>
      <c r="AD78" s="1080"/>
      <c r="AE78" s="1"/>
      <c r="AF78" s="1134"/>
      <c r="AG78" s="1132"/>
      <c r="AH78" s="1130" t="str">
        <f>+'사회적유입인구의 처리구역별 배분(적용)'!C33</f>
        <v>중부산업단지</v>
      </c>
      <c r="AI78" s="872">
        <f>+'사회적유입인구의 처리구역별 배분(적용)'!D71</f>
        <v>0</v>
      </c>
      <c r="AJ78" s="872">
        <f>+'사회적유입인구의 처리구역별 배분(적용)'!E71</f>
        <v>0</v>
      </c>
      <c r="AK78" s="872">
        <f>+'사회적유입인구의 처리구역별 배분(적용)'!F71</f>
        <v>0</v>
      </c>
      <c r="AL78" s="872">
        <f>+'사회적유입인구의 처리구역별 배분(적용)'!G71</f>
        <v>0</v>
      </c>
      <c r="AM78" s="872">
        <f>+'사회적유입인구의 처리구역별 배분(적용)'!H71</f>
        <v>0</v>
      </c>
      <c r="AN78" s="872">
        <f>+'사회적유입인구의 처리구역별 배분(적용)'!I71</f>
        <v>0</v>
      </c>
      <c r="AO78" s="872">
        <f>+'사회적유입인구의 처리구역별 배분(적용)'!J71</f>
        <v>0</v>
      </c>
      <c r="AP78" s="872">
        <f>+'사회적유입인구의 처리구역별 배분(적용)'!K71</f>
        <v>0</v>
      </c>
      <c r="AQ78" s="872">
        <f>+'사회적유입인구의 처리구역별 배분(적용)'!L71</f>
        <v>0</v>
      </c>
      <c r="AR78" s="872">
        <f>+'사회적유입인구의 처리구역별 배분(적용)'!M71</f>
        <v>0</v>
      </c>
      <c r="AS78" s="872">
        <f>+'사회적유입인구의 처리구역별 배분(적용)'!N71</f>
        <v>0</v>
      </c>
      <c r="AT78" s="872">
        <f>+'사회적유입인구의 처리구역별 배분(적용)'!O71</f>
        <v>0</v>
      </c>
      <c r="AU78" s="872">
        <f>+'사회적유입인구의 처리구역별 배분(적용)'!P71</f>
        <v>0</v>
      </c>
      <c r="AV78" s="872">
        <f>+'사회적유입인구의 처리구역별 배분(적용)'!Q71</f>
        <v>0</v>
      </c>
      <c r="AW78" s="872">
        <f>+'사회적유입인구의 처리구역별 배분(적용)'!R71</f>
        <v>0</v>
      </c>
      <c r="AX78" s="872">
        <f>+'사회적유입인구의 처리구역별 배분(적용)'!S71</f>
        <v>0</v>
      </c>
      <c r="AY78" s="872">
        <f>+'사회적유입인구의 처리구역별 배분(적용)'!T71</f>
        <v>0</v>
      </c>
      <c r="AZ78" s="872">
        <f>+'사회적유입인구의 처리구역별 배분(적용)'!U71</f>
        <v>0</v>
      </c>
      <c r="BA78" s="872">
        <f>+'사회적유입인구의 처리구역별 배분(적용)'!V71</f>
        <v>0</v>
      </c>
      <c r="BB78" s="872">
        <f>+'사회적유입인구의 처리구역별 배분(적용)'!W71</f>
        <v>0</v>
      </c>
      <c r="BC78" s="872">
        <f>+'사회적유입인구의 처리구역별 배분(적용)'!X71</f>
        <v>0</v>
      </c>
      <c r="BD78" s="872">
        <f>+'사회적유입인구의 처리구역별 배분(적용)'!Y71</f>
        <v>0</v>
      </c>
      <c r="BE78" s="871">
        <f>+'사회적유입인구의 처리구역별 배분(적용)'!Z71</f>
        <v>0.8</v>
      </c>
    </row>
    <row r="79" spans="1:57" s="712" customFormat="1" ht="24" customHeight="1">
      <c r="A79" s="2640"/>
      <c r="B79" s="2636"/>
      <c r="C79" s="2636" t="s">
        <v>641</v>
      </c>
      <c r="D79" s="2637" t="s">
        <v>847</v>
      </c>
      <c r="E79" s="1243" t="s">
        <v>853</v>
      </c>
      <c r="F79" s="713"/>
      <c r="G79" s="935">
        <f>+'2014처리구역인구 정리'!I73</f>
        <v>610</v>
      </c>
      <c r="H79" s="935">
        <f>+'2014처리구역인구 정리'!J73</f>
        <v>693</v>
      </c>
      <c r="I79" s="925">
        <f>ROUND((('1.4.조성법총괄(내부이동률 적용)'!E$40+'1.4.조성법총괄(내부이동률 적용)'!E$43*$AK$2)*$AB79)+(AL$80*$AC79),0)</f>
        <v>694</v>
      </c>
      <c r="J79" s="925">
        <f>ROUND((('1.4.조성법총괄(내부이동률 적용)'!F$40+'1.4.조성법총괄(내부이동률 적용)'!F$43*$AK$2)*$AB79)+(AM$80*$AC79),0)</f>
        <v>695</v>
      </c>
      <c r="K79" s="925">
        <f>ROUND((('1.4.조성법총괄(내부이동률 적용)'!G$40+'1.4.조성법총괄(내부이동률 적용)'!G$43*$AK$2)*$AB79)+(AN$80*$AC79),0)</f>
        <v>641</v>
      </c>
      <c r="L79" s="907">
        <f>ROUND((('1.4.조성법총괄(내부이동률 적용)'!H$40+'1.4.조성법총괄(내부이동률 적용)'!H$43*$AK$2)*$AB79)+(AO$80*$AC79),0)</f>
        <v>683</v>
      </c>
      <c r="M79" s="925">
        <f>ROUND((('1.4.조성법총괄(내부이동률 적용)'!I$40+'1.4.조성법총괄(내부이동률 적용)'!I$43*$AK$2)*$AB79)+(AP$80*$AC79),0)</f>
        <v>687</v>
      </c>
      <c r="N79" s="925">
        <f>ROUND((('1.4.조성법총괄(내부이동률 적용)'!J$40+'1.4.조성법총괄(내부이동률 적용)'!J$43*$AK$2)*$AB79)+(AQ$80*$AC79),0)</f>
        <v>691</v>
      </c>
      <c r="O79" s="925">
        <f>ROUND((('1.4.조성법총괄(내부이동률 적용)'!K$40+'1.4.조성법총괄(내부이동률 적용)'!K$43*$AK$2)*$AB79)+(AR$80*$AC79),0)</f>
        <v>695</v>
      </c>
      <c r="P79" s="925">
        <f>ROUND((('1.4.조성법총괄(내부이동률 적용)'!L$40+'1.4.조성법총괄(내부이동률 적용)'!L$43*$AK$2)*$AB79)+(AS$80*$AC79),0)</f>
        <v>700</v>
      </c>
      <c r="Q79" s="907">
        <f>ROUND((('1.4.조성법총괄(내부이동률 적용)'!M$40+'1.4.조성법총괄(내부이동률 적용)'!M$43*$AK$2)*$AB79)+(AT$80*$AC79),0)</f>
        <v>699</v>
      </c>
      <c r="R79" s="925">
        <f>ROUND((('1.4.조성법총괄(내부이동률 적용)'!N$40+'1.4.조성법총괄(내부이동률 적용)'!N$43*$AK$2)*$AB79)+(AU$80*$AC79),0)</f>
        <v>703</v>
      </c>
      <c r="S79" s="925">
        <f>ROUND((('1.4.조성법총괄(내부이동률 적용)'!O$40+'1.4.조성법총괄(내부이동률 적용)'!O$43*$AK$2)*$AB79)+(AV$80*$AC79),0)</f>
        <v>706</v>
      </c>
      <c r="T79" s="925">
        <f>ROUND((('1.4.조성법총괄(내부이동률 적용)'!P$40+'1.4.조성법총괄(내부이동률 적용)'!P$43*$AK$2)*$AB79)+(AW$80*$AC79),0)</f>
        <v>710</v>
      </c>
      <c r="U79" s="925">
        <f>ROUND((('1.4.조성법총괄(내부이동률 적용)'!Q$40+'1.4.조성법총괄(내부이동률 적용)'!Q$43*$AK$2)*$AB79)+(AX$80*$AC79),0)</f>
        <v>713</v>
      </c>
      <c r="V79" s="715">
        <f>ROUND((('1.4.조성법총괄(내부이동률 적용)'!R$40+'1.4.조성법총괄(내부이동률 적용)'!R$43*$AK$2)*$AB79)+(AY$80*$AC79),0)</f>
        <v>716</v>
      </c>
      <c r="W79" s="714">
        <f>ROUND((('1.4.조성법총괄(내부이동률 적용)'!S$40+'1.4.조성법총괄(내부이동률 적용)'!S$43*$AK$2)*$AB79)+(AZ$80*$AC79),0)</f>
        <v>720</v>
      </c>
      <c r="X79" s="714">
        <f>ROUND((('1.4.조성법총괄(내부이동률 적용)'!T$40+'1.4.조성법총괄(내부이동률 적용)'!T$43*$AK$2)*$AB79)+(BA$80*$AC79),0)</f>
        <v>723</v>
      </c>
      <c r="Y79" s="714">
        <f>ROUND((('1.4.조성법총괄(내부이동률 적용)'!U$40+'1.4.조성법총괄(내부이동률 적용)'!U$43*$AK$2)*$AB79)+(BB$80*$AC79),0)</f>
        <v>727</v>
      </c>
      <c r="Z79" s="714">
        <f>ROUND((('1.4.조성법총괄(내부이동률 적용)'!V$40+'1.4.조성법총괄(내부이동률 적용)'!V$43*$AK$2)*$AB79)+(BC$80*$AC79),0)</f>
        <v>730</v>
      </c>
      <c r="AA79" s="715">
        <f>ROUND((('1.4.조성법총괄(내부이동률 적용)'!W$40+'1.4.조성법총괄(내부이동률 적용)'!W$43*$AK$2)*$AB79)+(BD$80*$AC79),0)</f>
        <v>722</v>
      </c>
      <c r="AB79" s="936">
        <f>+H79/'1.4.조성법총괄(내부이동률 적용)'!$D$44</f>
        <v>3.6971830985915492E-2</v>
      </c>
      <c r="AC79" s="934">
        <f t="shared" ref="AC79:AC92" si="62">+H79/$AE$77</f>
        <v>4.5523221441240228E-2</v>
      </c>
      <c r="AD79" s="1080"/>
      <c r="AE79" s="1"/>
      <c r="AF79" s="1544"/>
      <c r="AG79" s="1543"/>
      <c r="AH79" s="1130" t="str">
        <f>+'사회적유입인구의 처리구역별 배분(적용)'!C34</f>
        <v>육령일반산업단지</v>
      </c>
      <c r="AI79" s="872">
        <f>+'사회적유입인구의 처리구역별 배분(적용)'!D72</f>
        <v>0</v>
      </c>
      <c r="AJ79" s="872">
        <f>+'사회적유입인구의 처리구역별 배분(적용)'!E72</f>
        <v>0</v>
      </c>
      <c r="AK79" s="872">
        <f>+'사회적유입인구의 처리구역별 배분(적용)'!F72</f>
        <v>0</v>
      </c>
      <c r="AL79" s="872">
        <f>+'사회적유입인구의 처리구역별 배분(적용)'!G72</f>
        <v>0</v>
      </c>
      <c r="AM79" s="872">
        <f>+'사회적유입인구의 처리구역별 배분(적용)'!H72</f>
        <v>0</v>
      </c>
      <c r="AN79" s="872">
        <f>+'사회적유입인구의 처리구역별 배분(적용)'!I72</f>
        <v>0</v>
      </c>
      <c r="AO79" s="872">
        <f>+'사회적유입인구의 처리구역별 배분(적용)'!J72</f>
        <v>0</v>
      </c>
      <c r="AP79" s="872">
        <f>+'사회적유입인구의 처리구역별 배분(적용)'!K72</f>
        <v>0</v>
      </c>
      <c r="AQ79" s="872">
        <f>+'사회적유입인구의 처리구역별 배분(적용)'!L72</f>
        <v>0</v>
      </c>
      <c r="AR79" s="872">
        <f>+'사회적유입인구의 처리구역별 배분(적용)'!M72</f>
        <v>0</v>
      </c>
      <c r="AS79" s="872">
        <f>+'사회적유입인구의 처리구역별 배분(적용)'!N72</f>
        <v>0</v>
      </c>
      <c r="AT79" s="872">
        <f>+'사회적유입인구의 처리구역별 배분(적용)'!O72</f>
        <v>0</v>
      </c>
      <c r="AU79" s="872">
        <f>+'사회적유입인구의 처리구역별 배분(적용)'!P72</f>
        <v>0</v>
      </c>
      <c r="AV79" s="872">
        <f>+'사회적유입인구의 처리구역별 배분(적용)'!Q72</f>
        <v>0</v>
      </c>
      <c r="AW79" s="872">
        <f>+'사회적유입인구의 처리구역별 배분(적용)'!R72</f>
        <v>0</v>
      </c>
      <c r="AX79" s="872">
        <f>+'사회적유입인구의 처리구역별 배분(적용)'!S72</f>
        <v>0</v>
      </c>
      <c r="AY79" s="872">
        <f>+'사회적유입인구의 처리구역별 배분(적용)'!T72</f>
        <v>0</v>
      </c>
      <c r="AZ79" s="872">
        <f>+'사회적유입인구의 처리구역별 배분(적용)'!U72</f>
        <v>0</v>
      </c>
      <c r="BA79" s="872">
        <f>+'사회적유입인구의 처리구역별 배분(적용)'!V72</f>
        <v>0</v>
      </c>
      <c r="BB79" s="872">
        <f>+'사회적유입인구의 처리구역별 배분(적용)'!W72</f>
        <v>0</v>
      </c>
      <c r="BC79" s="872">
        <f>+'사회적유입인구의 처리구역별 배분(적용)'!X72</f>
        <v>0</v>
      </c>
      <c r="BD79" s="872">
        <f>+'사회적유입인구의 처리구역별 배분(적용)'!Y72</f>
        <v>138</v>
      </c>
      <c r="BE79" s="871">
        <f>+'사회적유입인구의 처리구역별 배분(적용)'!Z72</f>
        <v>1</v>
      </c>
    </row>
    <row r="80" spans="1:57" s="712" customFormat="1" ht="24" customHeight="1">
      <c r="A80" s="2640"/>
      <c r="B80" s="2636"/>
      <c r="C80" s="2636"/>
      <c r="D80" s="2637"/>
      <c r="E80" s="1243" t="s">
        <v>854</v>
      </c>
      <c r="F80" s="713"/>
      <c r="G80" s="935">
        <f>+'2014처리구역인구 정리'!I74</f>
        <v>501</v>
      </c>
      <c r="H80" s="935">
        <f>+'2014처리구역인구 정리'!J74</f>
        <v>553</v>
      </c>
      <c r="I80" s="925">
        <f>ROUND((('1.4.조성법총괄(내부이동률 적용)'!E$40+'1.4.조성법총괄(내부이동률 적용)'!E$43*$AK$2)*$AB80)+(AL$80*$AC80),0)</f>
        <v>554</v>
      </c>
      <c r="J80" s="925">
        <f>ROUND((('1.4.조성법총괄(내부이동률 적용)'!F$40+'1.4.조성법총괄(내부이동률 적용)'!F$43*$AK$2)*$AB80)+(AM$80*$AC80),0)</f>
        <v>555</v>
      </c>
      <c r="K80" s="925">
        <f>ROUND((('1.4.조성법총괄(내부이동률 적용)'!G$40+'1.4.조성법총괄(내부이동률 적용)'!G$43*$AK$2)*$AB80)+(AN$80*$AC80),0)</f>
        <v>512</v>
      </c>
      <c r="L80" s="907">
        <f>ROUND((('1.4.조성법총괄(내부이동률 적용)'!H$40+'1.4.조성법총괄(내부이동률 적용)'!H$43*$AK$2)*$AB80)+(AO$80*$AC80),0)</f>
        <v>545</v>
      </c>
      <c r="M80" s="925">
        <f>ROUND((('1.4.조성법총괄(내부이동률 적용)'!I$40+'1.4.조성법총괄(내부이동률 적용)'!I$43*$AK$2)*$AB80)+(AP$80*$AC80),0)</f>
        <v>548</v>
      </c>
      <c r="N80" s="925">
        <f>ROUND((('1.4.조성법총괄(내부이동률 적용)'!J$40+'1.4.조성법총괄(내부이동률 적용)'!J$43*$AK$2)*$AB80)+(AQ$80*$AC80),0)</f>
        <v>552</v>
      </c>
      <c r="O80" s="925">
        <f>ROUND((('1.4.조성법총괄(내부이동률 적용)'!K$40+'1.4.조성법총괄(내부이동률 적용)'!K$43*$AK$2)*$AB80)+(AR$80*$AC80),0)</f>
        <v>555</v>
      </c>
      <c r="P80" s="925">
        <f>ROUND((('1.4.조성법총괄(내부이동률 적용)'!L$40+'1.4.조성법총괄(내부이동률 적용)'!L$43*$AK$2)*$AB80)+(AS$80*$AC80),0)</f>
        <v>558</v>
      </c>
      <c r="Q80" s="907">
        <f>ROUND((('1.4.조성법총괄(내부이동률 적용)'!M$40+'1.4.조성법총괄(내부이동률 적용)'!M$43*$AK$2)*$AB80)+(AT$80*$AC80),0)</f>
        <v>558</v>
      </c>
      <c r="R80" s="925">
        <f>ROUND((('1.4.조성법총괄(내부이동률 적용)'!N$40+'1.4.조성법총괄(내부이동률 적용)'!N$43*$AK$2)*$AB80)+(AU$80*$AC80),0)</f>
        <v>561</v>
      </c>
      <c r="S80" s="925">
        <f>ROUND((('1.4.조성법총괄(내부이동률 적용)'!O$40+'1.4.조성법총괄(내부이동률 적용)'!O$43*$AK$2)*$AB80)+(AV$80*$AC80),0)</f>
        <v>564</v>
      </c>
      <c r="T80" s="925">
        <f>ROUND((('1.4.조성법총괄(내부이동률 적용)'!P$40+'1.4.조성법총괄(내부이동률 적용)'!P$43*$AK$2)*$AB80)+(AW$80*$AC80),0)</f>
        <v>566</v>
      </c>
      <c r="U80" s="925">
        <f>ROUND((('1.4.조성법총괄(내부이동률 적용)'!Q$40+'1.4.조성법총괄(내부이동률 적용)'!Q$43*$AK$2)*$AB80)+(AX$80*$AC80),0)</f>
        <v>569</v>
      </c>
      <c r="V80" s="715">
        <f>ROUND((('1.4.조성법총괄(내부이동률 적용)'!R$40+'1.4.조성법총괄(내부이동률 적용)'!R$43*$AK$2)*$AB80)+(AY$80*$AC80),0)</f>
        <v>572</v>
      </c>
      <c r="W80" s="714">
        <f>ROUND((('1.4.조성법총괄(내부이동률 적용)'!S$40+'1.4.조성법총괄(내부이동률 적용)'!S$43*$AK$2)*$AB80)+(AZ$80*$AC80),0)</f>
        <v>574</v>
      </c>
      <c r="X80" s="714">
        <f>ROUND((('1.4.조성법총괄(내부이동률 적용)'!T$40+'1.4.조성법총괄(내부이동률 적용)'!T$43*$AK$2)*$AB80)+(BA$80*$AC80),0)</f>
        <v>577</v>
      </c>
      <c r="Y80" s="714">
        <f>ROUND((('1.4.조성법총괄(내부이동률 적용)'!U$40+'1.4.조성법총괄(내부이동률 적용)'!U$43*$AK$2)*$AB80)+(BB$80*$AC80),0)</f>
        <v>580</v>
      </c>
      <c r="Z80" s="714">
        <f>ROUND((('1.4.조성법총괄(내부이동률 적용)'!V$40+'1.4.조성법총괄(내부이동률 적용)'!V$43*$AK$2)*$AB80)+(BC$80*$AC80),0)</f>
        <v>583</v>
      </c>
      <c r="AA80" s="715">
        <f>ROUND((('1.4.조성법총괄(내부이동률 적용)'!W$40+'1.4.조성법총괄(내부이동률 적용)'!W$43*$AK$2)*$AB80)+(BD$80*$AC80),0)</f>
        <v>576</v>
      </c>
      <c r="AB80" s="936">
        <f>+H80/'1.4.조성법총괄(내부이동률 적용)'!$D$44</f>
        <v>2.9502774221084081E-2</v>
      </c>
      <c r="AC80" s="934">
        <f t="shared" si="62"/>
        <v>3.6326611049070485E-2</v>
      </c>
      <c r="AD80" s="1080"/>
      <c r="AE80" s="1"/>
      <c r="AF80" s="855"/>
      <c r="AG80" s="863"/>
      <c r="AH80" s="865" t="str">
        <f>+'사회적유입인구의 처리구역별 배분(적용)'!C37</f>
        <v>소  계</v>
      </c>
      <c r="AI80" s="872">
        <f>+'사회적유입인구의 처리구역별 배분(적용)'!D73</f>
        <v>0</v>
      </c>
      <c r="AJ80" s="872">
        <f>+'사회적유입인구의 처리구역별 배분(적용)'!E73</f>
        <v>0</v>
      </c>
      <c r="AK80" s="872">
        <f>+'사회적유입인구의 처리구역별 배분(적용)'!F73</f>
        <v>0</v>
      </c>
      <c r="AL80" s="872">
        <f>+'사회적유입인구의 처리구역별 배분(적용)'!G73</f>
        <v>0</v>
      </c>
      <c r="AM80" s="872">
        <f>+'사회적유입인구의 처리구역별 배분(적용)'!H73</f>
        <v>0</v>
      </c>
      <c r="AN80" s="872">
        <f>+'사회적유입인구의 처리구역별 배분(적용)'!I73</f>
        <v>0</v>
      </c>
      <c r="AO80" s="872">
        <f>+'사회적유입인구의 처리구역별 배분(적용)'!J73</f>
        <v>0</v>
      </c>
      <c r="AP80" s="872">
        <f>+'사회적유입인구의 처리구역별 배분(적용)'!K73</f>
        <v>0</v>
      </c>
      <c r="AQ80" s="872">
        <f>+'사회적유입인구의 처리구역별 배분(적용)'!L73</f>
        <v>0</v>
      </c>
      <c r="AR80" s="872">
        <f>+'사회적유입인구의 처리구역별 배분(적용)'!M73</f>
        <v>0</v>
      </c>
      <c r="AS80" s="872">
        <f>+'사회적유입인구의 처리구역별 배분(적용)'!N73</f>
        <v>0</v>
      </c>
      <c r="AT80" s="872">
        <f>+'사회적유입인구의 처리구역별 배분(적용)'!O73</f>
        <v>0</v>
      </c>
      <c r="AU80" s="872">
        <f>+'사회적유입인구의 처리구역별 배분(적용)'!P73</f>
        <v>0</v>
      </c>
      <c r="AV80" s="872">
        <f>+'사회적유입인구의 처리구역별 배분(적용)'!Q73</f>
        <v>0</v>
      </c>
      <c r="AW80" s="872">
        <f>+'사회적유입인구의 처리구역별 배분(적용)'!R73</f>
        <v>0</v>
      </c>
      <c r="AX80" s="872">
        <f>+'사회적유입인구의 처리구역별 배분(적용)'!S73</f>
        <v>0</v>
      </c>
      <c r="AY80" s="872">
        <f>+'사회적유입인구의 처리구역별 배분(적용)'!T73</f>
        <v>0</v>
      </c>
      <c r="AZ80" s="872">
        <f>+'사회적유입인구의 처리구역별 배분(적용)'!U73</f>
        <v>0</v>
      </c>
      <c r="BA80" s="872">
        <f>+'사회적유입인구의 처리구역별 배분(적용)'!V73</f>
        <v>0</v>
      </c>
      <c r="BB80" s="872">
        <f>+'사회적유입인구의 처리구역별 배분(적용)'!W73</f>
        <v>0</v>
      </c>
      <c r="BC80" s="872">
        <f>+'사회적유입인구의 처리구역별 배분(적용)'!X73</f>
        <v>0</v>
      </c>
      <c r="BD80" s="872">
        <f>+'사회적유입인구의 처리구역별 배분(적용)'!Y73</f>
        <v>138</v>
      </c>
      <c r="BE80" s="871"/>
    </row>
    <row r="81" spans="1:57" s="712" customFormat="1" ht="24" customHeight="1">
      <c r="A81" s="2640"/>
      <c r="B81" s="2636"/>
      <c r="C81" s="2636"/>
      <c r="D81" s="2637"/>
      <c r="E81" s="1243" t="s">
        <v>855</v>
      </c>
      <c r="F81" s="713"/>
      <c r="G81" s="935">
        <f>+'2014처리구역인구 정리'!I75</f>
        <v>524</v>
      </c>
      <c r="H81" s="935">
        <f>+'2014처리구역인구 정리'!J75</f>
        <v>592</v>
      </c>
      <c r="I81" s="925">
        <f>ROUND((('1.4.조성법총괄(내부이동률 적용)'!E$40+'1.4.조성법총괄(내부이동률 적용)'!E$43*$AK$2)*$AB81)+(AL$80*$AC81),0)</f>
        <v>593</v>
      </c>
      <c r="J81" s="925">
        <f>ROUND((('1.4.조성법총괄(내부이동률 적용)'!F$40+'1.4.조성법총괄(내부이동률 적용)'!F$43*$AK$2)*$AB81)+(AM$80*$AC81),0)</f>
        <v>594</v>
      </c>
      <c r="K81" s="925">
        <f>ROUND((('1.4.조성법총괄(내부이동률 적용)'!G$40+'1.4.조성법총괄(내부이동률 적용)'!G$43*$AK$2)*$AB81)+(AN$80*$AC81),0)</f>
        <v>548</v>
      </c>
      <c r="L81" s="907">
        <f>ROUND((('1.4.조성법총괄(내부이동률 적용)'!H$40+'1.4.조성법총괄(내부이동률 적용)'!H$43*$AK$2)*$AB81)+(AO$80*$AC81),0)</f>
        <v>584</v>
      </c>
      <c r="M81" s="925">
        <f>ROUND((('1.4.조성법총괄(내부이동률 적용)'!I$40+'1.4.조성법총괄(내부이동률 적용)'!I$43*$AK$2)*$AB81)+(AP$80*$AC81),0)</f>
        <v>587</v>
      </c>
      <c r="N81" s="925">
        <f>ROUND((('1.4.조성법총괄(내부이동률 적용)'!J$40+'1.4.조성법총괄(내부이동률 적용)'!J$43*$AK$2)*$AB81)+(AQ$80*$AC81),0)</f>
        <v>591</v>
      </c>
      <c r="O81" s="925">
        <f>ROUND((('1.4.조성법총괄(내부이동률 적용)'!K$40+'1.4.조성법총괄(내부이동률 적용)'!K$43*$AK$2)*$AB81)+(AR$80*$AC81),0)</f>
        <v>594</v>
      </c>
      <c r="P81" s="925">
        <f>ROUND((('1.4.조성법총괄(내부이동률 적용)'!L$40+'1.4.조성법총괄(내부이동률 적용)'!L$43*$AK$2)*$AB81)+(AS$80*$AC81),0)</f>
        <v>598</v>
      </c>
      <c r="Q81" s="907">
        <f>ROUND((('1.4.조성법총괄(내부이동률 적용)'!M$40+'1.4.조성법총괄(내부이동률 적용)'!M$43*$AK$2)*$AB81)+(AT$80*$AC81),0)</f>
        <v>598</v>
      </c>
      <c r="R81" s="925">
        <f>ROUND((('1.4.조성법총괄(내부이동률 적용)'!N$40+'1.4.조성법총괄(내부이동률 적용)'!N$43*$AK$2)*$AB81)+(AU$80*$AC81),0)</f>
        <v>600</v>
      </c>
      <c r="S81" s="925">
        <f>ROUND((('1.4.조성법총괄(내부이동률 적용)'!O$40+'1.4.조성법총괄(내부이동률 적용)'!O$43*$AK$2)*$AB81)+(AV$80*$AC81),0)</f>
        <v>603</v>
      </c>
      <c r="T81" s="925">
        <f>ROUND((('1.4.조성법총괄(내부이동률 적용)'!P$40+'1.4.조성법총괄(내부이동률 적용)'!P$43*$AK$2)*$AB81)+(AW$80*$AC81),0)</f>
        <v>606</v>
      </c>
      <c r="U81" s="925">
        <f>ROUND((('1.4.조성법총괄(내부이동률 적용)'!Q$40+'1.4.조성법총괄(내부이동률 적용)'!Q$43*$AK$2)*$AB81)+(AX$80*$AC81),0)</f>
        <v>609</v>
      </c>
      <c r="V81" s="715">
        <f>ROUND((('1.4.조성법총괄(내부이동률 적용)'!R$40+'1.4.조성법총괄(내부이동률 적용)'!R$43*$AK$2)*$AB81)+(AY$80*$AC81),0)</f>
        <v>612</v>
      </c>
      <c r="W81" s="714">
        <f>ROUND((('1.4.조성법총괄(내부이동률 적용)'!S$40+'1.4.조성법총괄(내부이동률 적용)'!S$43*$AK$2)*$AB81)+(AZ$80*$AC81),0)</f>
        <v>615</v>
      </c>
      <c r="X81" s="714">
        <f>ROUND((('1.4.조성법총괄(내부이동률 적용)'!T$40+'1.4.조성법총괄(내부이동률 적용)'!T$43*$AK$2)*$AB81)+(BA$80*$AC81),0)</f>
        <v>618</v>
      </c>
      <c r="Y81" s="714">
        <f>ROUND((('1.4.조성법총괄(내부이동률 적용)'!U$40+'1.4.조성법총괄(내부이동률 적용)'!U$43*$AK$2)*$AB81)+(BB$80*$AC81),0)</f>
        <v>621</v>
      </c>
      <c r="Z81" s="714">
        <f>ROUND((('1.4.조성법총괄(내부이동률 적용)'!V$40+'1.4.조성법총괄(내부이동률 적용)'!V$43*$AK$2)*$AB81)+(BC$80*$AC81),0)</f>
        <v>624</v>
      </c>
      <c r="AA81" s="715">
        <f>ROUND((('1.4.조성법총괄(내부이동률 적용)'!W$40+'1.4.조성법총괄(내부이동률 적용)'!W$43*$AK$2)*$AB81)+(BD$80*$AC81),0)</f>
        <v>617</v>
      </c>
      <c r="AB81" s="936">
        <f>+H81/'1.4.조성법총괄(내부이동률 적용)'!$D$44</f>
        <v>3.1583440034144261E-2</v>
      </c>
      <c r="AC81" s="934">
        <f t="shared" si="62"/>
        <v>3.8888523944032055E-2</v>
      </c>
      <c r="AD81" s="1080"/>
      <c r="AE81" s="1"/>
      <c r="AF81" s="860"/>
      <c r="AG81" s="861" t="s">
        <v>24</v>
      </c>
      <c r="AH81" s="861"/>
      <c r="AI81" s="872">
        <f>+'사회적유입인구의 처리구역별 배분(적용)'!D74</f>
        <v>0</v>
      </c>
      <c r="AJ81" s="872">
        <f>+'사회적유입인구의 처리구역별 배분(적용)'!E74</f>
        <v>0</v>
      </c>
      <c r="AK81" s="872">
        <f>+'사회적유입인구의 처리구역별 배분(적용)'!F74</f>
        <v>0</v>
      </c>
      <c r="AL81" s="872">
        <f>+'사회적유입인구의 처리구역별 배분(적용)'!G74</f>
        <v>0</v>
      </c>
      <c r="AM81" s="872">
        <f>+'사회적유입인구의 처리구역별 배분(적용)'!H74</f>
        <v>518</v>
      </c>
      <c r="AN81" s="872">
        <f>+'사회적유입인구의 처리구역별 배분(적용)'!I74</f>
        <v>755</v>
      </c>
      <c r="AO81" s="872">
        <f>+'사회적유입인구의 처리구역별 배분(적용)'!J74</f>
        <v>4101</v>
      </c>
      <c r="AP81" s="872">
        <f>+'사회적유입인구의 처리구역별 배분(적용)'!K74</f>
        <v>4101</v>
      </c>
      <c r="AQ81" s="872">
        <f>+'사회적유입인구의 처리구역별 배분(적용)'!L74</f>
        <v>4101</v>
      </c>
      <c r="AR81" s="872">
        <f>+'사회적유입인구의 처리구역별 배분(적용)'!M74</f>
        <v>4101</v>
      </c>
      <c r="AS81" s="872">
        <f>+'사회적유입인구의 처리구역별 배분(적용)'!N74</f>
        <v>4101</v>
      </c>
      <c r="AT81" s="872">
        <f>+'사회적유입인구의 처리구역별 배분(적용)'!O74</f>
        <v>5118</v>
      </c>
      <c r="AU81" s="872">
        <f>+'사회적유입인구의 처리구역별 배분(적용)'!P74</f>
        <v>5118</v>
      </c>
      <c r="AV81" s="872">
        <f>+'사회적유입인구의 처리구역별 배분(적용)'!Q74</f>
        <v>5118</v>
      </c>
      <c r="AW81" s="872">
        <f>+'사회적유입인구의 처리구역별 배분(적용)'!R74</f>
        <v>5118</v>
      </c>
      <c r="AX81" s="872">
        <f>+'사회적유입인구의 처리구역별 배분(적용)'!S74</f>
        <v>5118</v>
      </c>
      <c r="AY81" s="872">
        <f>+'사회적유입인구의 처리구역별 배분(적용)'!T74</f>
        <v>6759</v>
      </c>
      <c r="AZ81" s="872">
        <f>+'사회적유입인구의 처리구역별 배분(적용)'!U74</f>
        <v>6759</v>
      </c>
      <c r="BA81" s="872">
        <f>+'사회적유입인구의 처리구역별 배분(적용)'!V74</f>
        <v>6759</v>
      </c>
      <c r="BB81" s="872">
        <f>+'사회적유입인구의 처리구역별 배분(적용)'!W74</f>
        <v>6759</v>
      </c>
      <c r="BC81" s="872">
        <f>+'사회적유입인구의 처리구역별 배분(적용)'!X74</f>
        <v>6759</v>
      </c>
      <c r="BD81" s="872">
        <f>+'사회적유입인구의 처리구역별 배분(적용)'!Y74</f>
        <v>12266</v>
      </c>
      <c r="BE81" s="873"/>
    </row>
    <row r="82" spans="1:57" s="712" customFormat="1" ht="24" customHeight="1" thickBot="1">
      <c r="A82" s="2640"/>
      <c r="B82" s="2636"/>
      <c r="C82" s="2636"/>
      <c r="D82" s="2637"/>
      <c r="E82" s="1243" t="s">
        <v>852</v>
      </c>
      <c r="F82" s="713"/>
      <c r="G82" s="935">
        <f>+'2014처리구역인구 정리'!I76</f>
        <v>1127</v>
      </c>
      <c r="H82" s="935">
        <f>+'2014처리구역인구 정리'!J76</f>
        <v>1277</v>
      </c>
      <c r="I82" s="925">
        <f>ROUND((('1.4.조성법총괄(내부이동률 적용)'!E$40+'1.4.조성법총괄(내부이동률 적용)'!E$43*$AK$2)*$AB82)+(AL$80*$AC82),0)</f>
        <v>1279</v>
      </c>
      <c r="J82" s="925">
        <f>ROUND((('1.4.조성법총괄(내부이동률 적용)'!F$40+'1.4.조성법총괄(내부이동률 적용)'!F$43*$AK$2)*$AB82)+(AM$80*$AC82),0)</f>
        <v>1281</v>
      </c>
      <c r="K82" s="925">
        <f>ROUND((('1.4.조성법총괄(내부이동률 적용)'!G$40+'1.4.조성법총괄(내부이동률 적용)'!G$43*$AK$2)*$AB82)+(AN$80*$AC82),0)</f>
        <v>1181</v>
      </c>
      <c r="L82" s="907">
        <f>ROUND((('1.4.조성법총괄(내부이동률 적용)'!H$40+'1.4.조성법총괄(내부이동률 적용)'!H$43*$AK$2)*$AB82)+(AO$80*$AC82),0)</f>
        <v>1259</v>
      </c>
      <c r="M82" s="925">
        <f>ROUND((('1.4.조성법총괄(내부이동률 적용)'!I$40+'1.4.조성법총괄(내부이동률 적용)'!I$43*$AK$2)*$AB82)+(AP$80*$AC82),0)</f>
        <v>1266</v>
      </c>
      <c r="N82" s="925">
        <f>ROUND((('1.4.조성법총괄(내부이동률 적용)'!J$40+'1.4.조성법총괄(내부이동률 적용)'!J$43*$AK$2)*$AB82)+(AQ$80*$AC82),0)</f>
        <v>1274</v>
      </c>
      <c r="O82" s="925">
        <f>ROUND((('1.4.조성법총괄(내부이동률 적용)'!K$40+'1.4.조성법총괄(내부이동률 적용)'!K$43*$AK$2)*$AB82)+(AR$80*$AC82),0)</f>
        <v>1282</v>
      </c>
      <c r="P82" s="925">
        <f>ROUND((('1.4.조성법총괄(내부이동률 적용)'!L$40+'1.4.조성법총괄(내부이동률 적용)'!L$43*$AK$2)*$AB82)+(AS$80*$AC82),0)</f>
        <v>1289</v>
      </c>
      <c r="Q82" s="907">
        <f>ROUND((('1.4.조성법총괄(내부이동률 적용)'!M$40+'1.4.조성법총괄(내부이동률 적용)'!M$43*$AK$2)*$AB82)+(AT$80*$AC82),0)</f>
        <v>1289</v>
      </c>
      <c r="R82" s="925">
        <f>ROUND((('1.4.조성법총괄(내부이동률 적용)'!N$40+'1.4.조성법총괄(내부이동률 적용)'!N$43*$AK$2)*$AB82)+(AU$80*$AC82),0)</f>
        <v>1295</v>
      </c>
      <c r="S82" s="925">
        <f>ROUND((('1.4.조성법총괄(내부이동률 적용)'!O$40+'1.4.조성법총괄(내부이동률 적용)'!O$43*$AK$2)*$AB82)+(AV$80*$AC82),0)</f>
        <v>1301</v>
      </c>
      <c r="T82" s="925">
        <f>ROUND((('1.4.조성법총괄(내부이동률 적용)'!P$40+'1.4.조성법총괄(내부이동률 적용)'!P$43*$AK$2)*$AB82)+(AW$80*$AC82),0)</f>
        <v>1308</v>
      </c>
      <c r="U82" s="925">
        <f>ROUND((('1.4.조성법총괄(내부이동률 적용)'!Q$40+'1.4.조성법총괄(내부이동률 적용)'!Q$43*$AK$2)*$AB82)+(AX$80*$AC82),0)</f>
        <v>1314</v>
      </c>
      <c r="V82" s="715">
        <f>ROUND((('1.4.조성법총괄(내부이동률 적용)'!R$40+'1.4.조성법총괄(내부이동률 적용)'!R$43*$AK$2)*$AB82)+(AY$80*$AC82),0)</f>
        <v>1320</v>
      </c>
      <c r="W82" s="714">
        <f>ROUND((('1.4.조성법총괄(내부이동률 적용)'!S$40+'1.4.조성법총괄(내부이동률 적용)'!S$43*$AK$2)*$AB82)+(AZ$80*$AC82),0)</f>
        <v>1326</v>
      </c>
      <c r="X82" s="714">
        <f>ROUND((('1.4.조성법총괄(내부이동률 적용)'!T$40+'1.4.조성법총괄(내부이동률 적용)'!T$43*$AK$2)*$AB82)+(BA$80*$AC82),0)</f>
        <v>1333</v>
      </c>
      <c r="Y82" s="714">
        <f>ROUND((('1.4.조성법총괄(내부이동률 적용)'!U$40+'1.4.조성법총괄(내부이동률 적용)'!U$43*$AK$2)*$AB82)+(BB$80*$AC82),0)</f>
        <v>1339</v>
      </c>
      <c r="Z82" s="714">
        <f>ROUND((('1.4.조성법총괄(내부이동률 적용)'!V$40+'1.4.조성법총괄(내부이동률 적용)'!V$43*$AK$2)*$AB82)+(BC$80*$AC82),0)</f>
        <v>1345</v>
      </c>
      <c r="AA82" s="715">
        <f>ROUND((('1.4.조성법총괄(내부이동률 적용)'!W$40+'1.4.조성법총괄(내부이동률 적용)'!W$43*$AK$2)*$AB82)+(BD$80*$AC82),0)</f>
        <v>1330</v>
      </c>
      <c r="AB82" s="936">
        <f>+H82/'1.4.조성법총괄(내부이동률 적용)'!$D$44</f>
        <v>6.8128467776355103E-2</v>
      </c>
      <c r="AC82" s="934">
        <f t="shared" si="62"/>
        <v>8.3886224791434011E-2</v>
      </c>
      <c r="AD82" s="1080"/>
      <c r="AE82" s="711"/>
      <c r="AF82" s="1131" t="s">
        <v>672</v>
      </c>
      <c r="AG82" s="874" t="s">
        <v>94</v>
      </c>
      <c r="AH82" s="880" t="str">
        <f>'사회적유입인구의 처리구역별 배분(적용)'!C75</f>
        <v>삼성택지지구</v>
      </c>
      <c r="AI82" s="881">
        <f>+'사회적유입인구의 처리구역별 배분(적용)'!D75</f>
        <v>0</v>
      </c>
      <c r="AJ82" s="881">
        <f>+'사회적유입인구의 처리구역별 배분(적용)'!E75</f>
        <v>0</v>
      </c>
      <c r="AK82" s="881">
        <f>+'사회적유입인구의 처리구역별 배분(적용)'!F75</f>
        <v>0</v>
      </c>
      <c r="AL82" s="881">
        <f>+'사회적유입인구의 처리구역별 배분(적용)'!G75</f>
        <v>0</v>
      </c>
      <c r="AM82" s="881">
        <f>+'사회적유입인구의 처리구역별 배분(적용)'!H75</f>
        <v>0</v>
      </c>
      <c r="AN82" s="881">
        <f>+'사회적유입인구의 처리구역별 배분(적용)'!I75</f>
        <v>0</v>
      </c>
      <c r="AO82" s="881">
        <f>+'사회적유입인구의 처리구역별 배분(적용)'!J75</f>
        <v>0</v>
      </c>
      <c r="AP82" s="881">
        <f>+'사회적유입인구의 처리구역별 배분(적용)'!K75</f>
        <v>0</v>
      </c>
      <c r="AQ82" s="881">
        <f>+'사회적유입인구의 처리구역별 배분(적용)'!L75</f>
        <v>0</v>
      </c>
      <c r="AR82" s="881">
        <f>+'사회적유입인구의 처리구역별 배분(적용)'!M75</f>
        <v>0</v>
      </c>
      <c r="AS82" s="881">
        <f>+'사회적유입인구의 처리구역별 배분(적용)'!N75</f>
        <v>0</v>
      </c>
      <c r="AT82" s="881">
        <f>+'사회적유입인구의 처리구역별 배분(적용)'!O75</f>
        <v>0</v>
      </c>
      <c r="AU82" s="881">
        <f>+'사회적유입인구의 처리구역별 배분(적용)'!P75</f>
        <v>0</v>
      </c>
      <c r="AV82" s="881">
        <f>+'사회적유입인구의 처리구역별 배분(적용)'!Q75</f>
        <v>0</v>
      </c>
      <c r="AW82" s="881">
        <f>+'사회적유입인구의 처리구역별 배분(적용)'!R75</f>
        <v>0</v>
      </c>
      <c r="AX82" s="881">
        <f>+'사회적유입인구의 처리구역별 배분(적용)'!S75</f>
        <v>0</v>
      </c>
      <c r="AY82" s="881">
        <f>+'사회적유입인구의 처리구역별 배분(적용)'!T75</f>
        <v>0</v>
      </c>
      <c r="AZ82" s="881">
        <f>+'사회적유입인구의 처리구역별 배분(적용)'!U75</f>
        <v>0</v>
      </c>
      <c r="BA82" s="881">
        <f>+'사회적유입인구의 처리구역별 배분(적용)'!V75</f>
        <v>0</v>
      </c>
      <c r="BB82" s="881">
        <f>+'사회적유입인구의 처리구역별 배분(적용)'!W75</f>
        <v>0</v>
      </c>
      <c r="BC82" s="881">
        <f>+'사회적유입인구의 처리구역별 배분(적용)'!X75</f>
        <v>0</v>
      </c>
      <c r="BD82" s="881">
        <f>+'사회적유입인구의 처리구역별 배분(적용)'!Y75</f>
        <v>3108</v>
      </c>
      <c r="BE82" s="882">
        <f>+'사회적유입인구의 처리구역별 배분(적용)'!Z75</f>
        <v>1</v>
      </c>
    </row>
    <row r="83" spans="1:57" s="712" customFormat="1" ht="24" customHeight="1" thickTop="1" thickBot="1">
      <c r="A83" s="2640"/>
      <c r="B83" s="2636"/>
      <c r="C83" s="2636"/>
      <c r="D83" s="2637" t="s">
        <v>848</v>
      </c>
      <c r="E83" s="1243" t="s">
        <v>851</v>
      </c>
      <c r="F83" s="713"/>
      <c r="G83" s="935">
        <f>+'2014처리구역인구 정리'!I77</f>
        <v>500</v>
      </c>
      <c r="H83" s="935">
        <f>+'2014처리구역인구 정리'!J77</f>
        <v>575</v>
      </c>
      <c r="I83" s="925">
        <f>ROUND((('1.4.조성법총괄(내부이동률 적용)'!E$40+'1.4.조성법총괄(내부이동률 적용)'!E$43*$AK$2)*$AB83)+(AL$80*$AC83),0)</f>
        <v>576</v>
      </c>
      <c r="J83" s="925">
        <f>ROUND((('1.4.조성법총괄(내부이동률 적용)'!F$40+'1.4.조성법총괄(내부이동률 적용)'!F$43*$AK$2)*$AB83)+(AM$80*$AC83),0)</f>
        <v>577</v>
      </c>
      <c r="K83" s="925">
        <f>ROUND((('1.4.조성법총괄(내부이동률 적용)'!G$40+'1.4.조성법총괄(내부이동률 적용)'!G$43*$AK$2)*$AB83)+(AN$80*$AC83),0)</f>
        <v>532</v>
      </c>
      <c r="L83" s="907">
        <f>ROUND((('1.4.조성법총괄(내부이동률 적용)'!H$40+'1.4.조성법총괄(내부이동률 적용)'!H$43*$AK$2)*$AB83)+(AO$80*$AC83),0)</f>
        <v>567</v>
      </c>
      <c r="M83" s="925">
        <f>ROUND((('1.4.조성법총괄(내부이동률 적용)'!I$40+'1.4.조성법총괄(내부이동률 적용)'!I$43*$AK$2)*$AB83)+(AP$80*$AC83),0)</f>
        <v>570</v>
      </c>
      <c r="N83" s="925">
        <f>ROUND((('1.4.조성법총괄(내부이동률 적용)'!J$40+'1.4.조성법총괄(내부이동률 적용)'!J$43*$AK$2)*$AB83)+(AQ$80*$AC83),0)</f>
        <v>574</v>
      </c>
      <c r="O83" s="925">
        <f>ROUND((('1.4.조성법총괄(내부이동률 적용)'!K$40+'1.4.조성법총괄(내부이동률 적용)'!K$43*$AK$2)*$AB83)+(AR$80*$AC83),0)</f>
        <v>577</v>
      </c>
      <c r="P83" s="925">
        <f>ROUND((('1.4.조성법총괄(내부이동률 적용)'!L$40+'1.4.조성법총괄(내부이동률 적용)'!L$43*$AK$2)*$AB83)+(AS$80*$AC83),0)</f>
        <v>581</v>
      </c>
      <c r="Q83" s="907">
        <f>ROUND((('1.4.조성법총괄(내부이동률 적용)'!M$40+'1.4.조성법총괄(내부이동률 적용)'!M$43*$AK$2)*$AB83)+(AT$80*$AC83),0)</f>
        <v>580</v>
      </c>
      <c r="R83" s="925">
        <f>ROUND((('1.4.조성법총괄(내부이동률 적용)'!N$40+'1.4.조성법총괄(내부이동률 적용)'!N$43*$AK$2)*$AB83)+(AU$80*$AC83),0)</f>
        <v>583</v>
      </c>
      <c r="S83" s="925">
        <f>ROUND((('1.4.조성법총괄(내부이동률 적용)'!O$40+'1.4.조성법총괄(내부이동률 적용)'!O$43*$AK$2)*$AB83)+(AV$80*$AC83),0)</f>
        <v>586</v>
      </c>
      <c r="T83" s="925">
        <f>ROUND((('1.4.조성법총괄(내부이동률 적용)'!P$40+'1.4.조성법총괄(내부이동률 적용)'!P$43*$AK$2)*$AB83)+(AW$80*$AC83),0)</f>
        <v>589</v>
      </c>
      <c r="U83" s="925">
        <f>ROUND((('1.4.조성법총괄(내부이동률 적용)'!Q$40+'1.4.조성법총괄(내부이동률 적용)'!Q$43*$AK$2)*$AB83)+(AX$80*$AC83),0)</f>
        <v>592</v>
      </c>
      <c r="V83" s="715">
        <f>ROUND((('1.4.조성법총괄(내부이동률 적용)'!R$40+'1.4.조성법총괄(내부이동률 적용)'!R$43*$AK$2)*$AB83)+(AY$80*$AC83),0)</f>
        <v>594</v>
      </c>
      <c r="W83" s="714">
        <f>ROUND((('1.4.조성법총괄(내부이동률 적용)'!S$40+'1.4.조성법총괄(내부이동률 적용)'!S$43*$AK$2)*$AB83)+(AZ$80*$AC83),0)</f>
        <v>597</v>
      </c>
      <c r="X83" s="714">
        <f>ROUND((('1.4.조성법총괄(내부이동률 적용)'!T$40+'1.4.조성법총괄(내부이동률 적용)'!T$43*$AK$2)*$AB83)+(BA$80*$AC83),0)</f>
        <v>600</v>
      </c>
      <c r="Y83" s="714">
        <f>ROUND((('1.4.조성법총괄(내부이동률 적용)'!U$40+'1.4.조성법총괄(내부이동률 적용)'!U$43*$AK$2)*$AB83)+(BB$80*$AC83),0)</f>
        <v>603</v>
      </c>
      <c r="Z83" s="714">
        <f>ROUND((('1.4.조성법총괄(내부이동률 적용)'!V$40+'1.4.조성법총괄(내부이동률 적용)'!V$43*$AK$2)*$AB83)+(BC$80*$AC83),0)</f>
        <v>606</v>
      </c>
      <c r="AA83" s="715">
        <f>ROUND((('1.4.조성법총괄(내부이동률 적용)'!W$40+'1.4.조성법총괄(내부이동률 적용)'!W$43*$AK$2)*$AB83)+(BD$80*$AC83),0)</f>
        <v>599</v>
      </c>
      <c r="AB83" s="936">
        <f>+H83/'1.4.조성법총괄(내부이동률 적용)'!$D$44</f>
        <v>3.0676483141271874E-2</v>
      </c>
      <c r="AC83" s="934">
        <f t="shared" si="62"/>
        <v>3.7771792682125729E-2</v>
      </c>
      <c r="AD83" s="1080"/>
      <c r="AE83" s="711"/>
      <c r="AF83" s="1168"/>
      <c r="AG83" s="875"/>
      <c r="AH83" s="880" t="str">
        <f>'사회적유입인구의 처리구역별 배분(적용)'!C76</f>
        <v>소  계</v>
      </c>
      <c r="AI83" s="881">
        <f>+'사회적유입인구의 처리구역별 배분(적용)'!D76</f>
        <v>0</v>
      </c>
      <c r="AJ83" s="881">
        <f>+'사회적유입인구의 처리구역별 배분(적용)'!E76</f>
        <v>0</v>
      </c>
      <c r="AK83" s="881">
        <f>+'사회적유입인구의 처리구역별 배분(적용)'!F76</f>
        <v>0</v>
      </c>
      <c r="AL83" s="881">
        <f>+'사회적유입인구의 처리구역별 배분(적용)'!G76</f>
        <v>0</v>
      </c>
      <c r="AM83" s="881">
        <f>+'사회적유입인구의 처리구역별 배분(적용)'!H76</f>
        <v>0</v>
      </c>
      <c r="AN83" s="881">
        <f>+'사회적유입인구의 처리구역별 배분(적용)'!I76</f>
        <v>0</v>
      </c>
      <c r="AO83" s="881">
        <f>+'사회적유입인구의 처리구역별 배분(적용)'!J76</f>
        <v>0</v>
      </c>
      <c r="AP83" s="881">
        <f>+'사회적유입인구의 처리구역별 배분(적용)'!K76</f>
        <v>0</v>
      </c>
      <c r="AQ83" s="881">
        <f>+'사회적유입인구의 처리구역별 배분(적용)'!L76</f>
        <v>0</v>
      </c>
      <c r="AR83" s="881">
        <f>+'사회적유입인구의 처리구역별 배분(적용)'!M76</f>
        <v>0</v>
      </c>
      <c r="AS83" s="881">
        <f>+'사회적유입인구의 처리구역별 배분(적용)'!N76</f>
        <v>0</v>
      </c>
      <c r="AT83" s="881">
        <f>+'사회적유입인구의 처리구역별 배분(적용)'!O76</f>
        <v>0</v>
      </c>
      <c r="AU83" s="881">
        <f>+'사회적유입인구의 처리구역별 배분(적용)'!P76</f>
        <v>0</v>
      </c>
      <c r="AV83" s="881">
        <f>+'사회적유입인구의 처리구역별 배분(적용)'!Q76</f>
        <v>0</v>
      </c>
      <c r="AW83" s="881">
        <f>+'사회적유입인구의 처리구역별 배분(적용)'!R76</f>
        <v>0</v>
      </c>
      <c r="AX83" s="881">
        <f>+'사회적유입인구의 처리구역별 배분(적용)'!S76</f>
        <v>0</v>
      </c>
      <c r="AY83" s="881">
        <f>+'사회적유입인구의 처리구역별 배분(적용)'!T76</f>
        <v>0</v>
      </c>
      <c r="AZ83" s="881">
        <f>+'사회적유입인구의 처리구역별 배분(적용)'!U76</f>
        <v>0</v>
      </c>
      <c r="BA83" s="881">
        <f>+'사회적유입인구의 처리구역별 배분(적용)'!V76</f>
        <v>0</v>
      </c>
      <c r="BB83" s="881">
        <f>+'사회적유입인구의 처리구역별 배분(적용)'!W76</f>
        <v>0</v>
      </c>
      <c r="BC83" s="881">
        <f>+'사회적유입인구의 처리구역별 배분(적용)'!X76</f>
        <v>0</v>
      </c>
      <c r="BD83" s="881">
        <f>+'사회적유입인구의 처리구역별 배분(적용)'!Y76</f>
        <v>3108</v>
      </c>
      <c r="BE83" s="882"/>
    </row>
    <row r="84" spans="1:57" s="712" customFormat="1" ht="24" customHeight="1" thickTop="1">
      <c r="A84" s="2640"/>
      <c r="B84" s="2636"/>
      <c r="C84" s="2636"/>
      <c r="D84" s="2637"/>
      <c r="E84" s="1243" t="s">
        <v>849</v>
      </c>
      <c r="F84" s="713"/>
      <c r="G84" s="935">
        <f>+'2014처리구역인구 정리'!I78</f>
        <v>184</v>
      </c>
      <c r="H84" s="935">
        <f>+'2014처리구역인구 정리'!J78</f>
        <v>213</v>
      </c>
      <c r="I84" s="925">
        <f>ROUND((('1.4.조성법총괄(내부이동률 적용)'!E$40+'1.4.조성법총괄(내부이동률 적용)'!E$43*$AK$2)*$AB84)+(AL$80*$AC84),0)</f>
        <v>213</v>
      </c>
      <c r="J84" s="925">
        <f>ROUND((('1.4.조성법총괄(내부이동률 적용)'!F$40+'1.4.조성법총괄(내부이동률 적용)'!F$43*$AK$2)*$AB84)+(AM$80*$AC84),0)</f>
        <v>214</v>
      </c>
      <c r="K84" s="925">
        <f>ROUND((('1.4.조성법총괄(내부이동률 적용)'!G$40+'1.4.조성법총괄(내부이동률 적용)'!G$43*$AK$2)*$AB84)+(AN$80*$AC84),0)</f>
        <v>197</v>
      </c>
      <c r="L84" s="907">
        <f>ROUND((('1.4.조성법총괄(내부이동률 적용)'!H$40+'1.4.조성법총괄(내부이동률 적용)'!H$43*$AK$2)*$AB84)+(AO$80*$AC84),0)</f>
        <v>210</v>
      </c>
      <c r="M84" s="925">
        <f>ROUND((('1.4.조성법총괄(내부이동률 적용)'!I$40+'1.4.조성법총괄(내부이동률 적용)'!I$43*$AK$2)*$AB84)+(AP$80*$AC84),0)</f>
        <v>211</v>
      </c>
      <c r="N84" s="925">
        <f>ROUND((('1.4.조성법총괄(내부이동률 적용)'!J$40+'1.4.조성법총괄(내부이동률 적용)'!J$43*$AK$2)*$AB84)+(AQ$80*$AC84),0)</f>
        <v>212</v>
      </c>
      <c r="O84" s="925">
        <f>ROUND((('1.4.조성법총괄(내부이동률 적용)'!K$40+'1.4.조성법총괄(내부이동률 적용)'!K$43*$AK$2)*$AB84)+(AR$80*$AC84),0)</f>
        <v>214</v>
      </c>
      <c r="P84" s="925">
        <f>ROUND((('1.4.조성법총괄(내부이동률 적용)'!L$40+'1.4.조성법총괄(내부이동률 적용)'!L$43*$AK$2)*$AB84)+(AS$80*$AC84),0)</f>
        <v>215</v>
      </c>
      <c r="Q84" s="907">
        <f>ROUND((('1.4.조성법총괄(내부이동률 적용)'!M$40+'1.4.조성법총괄(내부이동률 적용)'!M$43*$AK$2)*$AB84)+(AT$80*$AC84),0)</f>
        <v>215</v>
      </c>
      <c r="R84" s="925">
        <f>ROUND((('1.4.조성법총괄(내부이동률 적용)'!N$40+'1.4.조성법총괄(내부이동률 적용)'!N$43*$AK$2)*$AB84)+(AU$80*$AC84),0)</f>
        <v>216</v>
      </c>
      <c r="S84" s="925">
        <f>ROUND((('1.4.조성법총괄(내부이동률 적용)'!O$40+'1.4.조성법총괄(내부이동률 적용)'!O$43*$AK$2)*$AB84)+(AV$80*$AC84),0)</f>
        <v>217</v>
      </c>
      <c r="T84" s="925">
        <f>ROUND((('1.4.조성법총괄(내부이동률 적용)'!P$40+'1.4.조성법총괄(내부이동률 적용)'!P$43*$AK$2)*$AB84)+(AW$80*$AC84),0)</f>
        <v>218</v>
      </c>
      <c r="U84" s="925">
        <f>ROUND((('1.4.조성법총괄(내부이동률 적용)'!Q$40+'1.4.조성법총괄(내부이동률 적용)'!Q$43*$AK$2)*$AB84)+(AX$80*$AC84),0)</f>
        <v>219</v>
      </c>
      <c r="V84" s="715">
        <f>ROUND((('1.4.조성법총괄(내부이동률 적용)'!R$40+'1.4.조성법총괄(내부이동률 적용)'!R$43*$AK$2)*$AB84)+(AY$80*$AC84),0)</f>
        <v>220</v>
      </c>
      <c r="W84" s="714">
        <f>ROUND((('1.4.조성법총괄(내부이동률 적용)'!S$40+'1.4.조성법총괄(내부이동률 적용)'!S$43*$AK$2)*$AB84)+(AZ$80*$AC84),0)</f>
        <v>221</v>
      </c>
      <c r="X84" s="714">
        <f>ROUND((('1.4.조성법총괄(내부이동률 적용)'!T$40+'1.4.조성법총괄(내부이동률 적용)'!T$43*$AK$2)*$AB84)+(BA$80*$AC84),0)</f>
        <v>222</v>
      </c>
      <c r="Y84" s="714">
        <f>ROUND((('1.4.조성법총괄(내부이동률 적용)'!U$40+'1.4.조성법총괄(내부이동률 적용)'!U$43*$AK$2)*$AB84)+(BB$80*$AC84),0)</f>
        <v>223</v>
      </c>
      <c r="Z84" s="714">
        <f>ROUND((('1.4.조성법총괄(내부이동률 적용)'!V$40+'1.4.조성법총괄(내부이동률 적용)'!V$43*$AK$2)*$AB84)+(BC$80*$AC84),0)</f>
        <v>224</v>
      </c>
      <c r="AA84" s="715">
        <f>ROUND((('1.4.조성법총괄(내부이동률 적용)'!W$40+'1.4.조성법총괄(내부이동률 적용)'!W$43*$AK$2)*$AB84)+(BD$80*$AC84),0)</f>
        <v>222</v>
      </c>
      <c r="AB84" s="936">
        <f>+H84/'1.4.조성법총괄(내부이동률 적용)'!$D$44</f>
        <v>1.1363636363636364E-2</v>
      </c>
      <c r="AC84" s="934">
        <f t="shared" si="62"/>
        <v>1.3991985810943967E-2</v>
      </c>
      <c r="AD84" s="1080"/>
      <c r="AE84" s="711"/>
      <c r="AF84" s="998"/>
      <c r="AG84" s="875" t="s">
        <v>95</v>
      </c>
      <c r="AH84" s="885" t="str">
        <f>'사회적유입인구의 처리구역별 배분(적용)'!C77</f>
        <v>덕정리 아파트</v>
      </c>
      <c r="AI84" s="886">
        <f>+'사회적유입인구의 처리구역별 배분(적용)'!D77</f>
        <v>0</v>
      </c>
      <c r="AJ84" s="886">
        <f>+'사회적유입인구의 처리구역별 배분(적용)'!E77</f>
        <v>0</v>
      </c>
      <c r="AK84" s="886">
        <f>+'사회적유입인구의 처리구역별 배분(적용)'!F77</f>
        <v>0</v>
      </c>
      <c r="AL84" s="886">
        <f>+'사회적유입인구의 처리구역별 배분(적용)'!G77</f>
        <v>0</v>
      </c>
      <c r="AM84" s="886">
        <f>+'사회적유입인구의 처리구역별 배분(적용)'!H77</f>
        <v>0</v>
      </c>
      <c r="AN84" s="886">
        <f>+'사회적유입인구의 처리구역별 배분(적용)'!I77</f>
        <v>0</v>
      </c>
      <c r="AO84" s="886">
        <f>+'사회적유입인구의 처리구역별 배분(적용)'!J77</f>
        <v>0</v>
      </c>
      <c r="AP84" s="886">
        <f>+'사회적유입인구의 처리구역별 배분(적용)'!K77</f>
        <v>0</v>
      </c>
      <c r="AQ84" s="886">
        <f>+'사회적유입인구의 처리구역별 배분(적용)'!L77</f>
        <v>0</v>
      </c>
      <c r="AR84" s="886">
        <f>+'사회적유입인구의 처리구역별 배분(적용)'!M77</f>
        <v>0</v>
      </c>
      <c r="AS84" s="886">
        <f>+'사회적유입인구의 처리구역별 배분(적용)'!N77</f>
        <v>0</v>
      </c>
      <c r="AT84" s="886">
        <f>+'사회적유입인구의 처리구역별 배분(적용)'!O77</f>
        <v>537</v>
      </c>
      <c r="AU84" s="886">
        <f>+'사회적유입인구의 처리구역별 배분(적용)'!P77</f>
        <v>537</v>
      </c>
      <c r="AV84" s="886">
        <f>+'사회적유입인구의 처리구역별 배분(적용)'!Q77</f>
        <v>537</v>
      </c>
      <c r="AW84" s="886">
        <f>+'사회적유입인구의 처리구역별 배분(적용)'!R77</f>
        <v>537</v>
      </c>
      <c r="AX84" s="886">
        <f>+'사회적유입인구의 처리구역별 배분(적용)'!S77</f>
        <v>537</v>
      </c>
      <c r="AY84" s="886">
        <f>+'사회적유입인구의 처리구역별 배분(적용)'!T77</f>
        <v>537</v>
      </c>
      <c r="AZ84" s="886">
        <f>+'사회적유입인구의 처리구역별 배분(적용)'!U77</f>
        <v>537</v>
      </c>
      <c r="BA84" s="886">
        <f>+'사회적유입인구의 처리구역별 배분(적용)'!V77</f>
        <v>537</v>
      </c>
      <c r="BB84" s="886">
        <f>+'사회적유입인구의 처리구역별 배분(적용)'!W77</f>
        <v>537</v>
      </c>
      <c r="BC84" s="886">
        <f>+'사회적유입인구의 처리구역별 배분(적용)'!X77</f>
        <v>537</v>
      </c>
      <c r="BD84" s="886">
        <f>+'사회적유입인구의 처리구역별 배분(적용)'!Y77</f>
        <v>537</v>
      </c>
      <c r="BE84" s="887">
        <f>+'사회적유입인구의 처리구역별 배분(적용)'!Z77</f>
        <v>1</v>
      </c>
    </row>
    <row r="85" spans="1:57" s="712" customFormat="1" ht="24" customHeight="1">
      <c r="A85" s="2640"/>
      <c r="B85" s="2636"/>
      <c r="C85" s="2636"/>
      <c r="D85" s="2637"/>
      <c r="E85" s="1243" t="s">
        <v>850</v>
      </c>
      <c r="F85" s="713"/>
      <c r="G85" s="935">
        <f>+'2014처리구역인구 정리'!I79</f>
        <v>171</v>
      </c>
      <c r="H85" s="935">
        <f>+'2014처리구역인구 정리'!J79</f>
        <v>192</v>
      </c>
      <c r="I85" s="925">
        <f>ROUND((('1.4.조성법총괄(내부이동률 적용)'!E$40+'1.4.조성법총괄(내부이동률 적용)'!E$43*$AK$2)*$AB85)+(AL$80*$AC85),0)</f>
        <v>192</v>
      </c>
      <c r="J85" s="925">
        <f>ROUND((('1.4.조성법총괄(내부이동률 적용)'!F$40+'1.4.조성법총괄(내부이동률 적용)'!F$43*$AK$2)*$AB85)+(AM$80*$AC85),0)</f>
        <v>193</v>
      </c>
      <c r="K85" s="925">
        <f>ROUND((('1.4.조성법총괄(내부이동률 적용)'!G$40+'1.4.조성법총괄(내부이동률 적용)'!G$43*$AK$2)*$AB85)+(AN$80*$AC85),0)</f>
        <v>178</v>
      </c>
      <c r="L85" s="907">
        <f>ROUND((('1.4.조성법총괄(내부이동률 적용)'!H$40+'1.4.조성법총괄(내부이동률 적용)'!H$43*$AK$2)*$AB85)+(AO$80*$AC85),0)</f>
        <v>189</v>
      </c>
      <c r="M85" s="925">
        <f>ROUND((('1.4.조성법총괄(내부이동률 적용)'!I$40+'1.4.조성법총괄(내부이동률 적용)'!I$43*$AK$2)*$AB85)+(AP$80*$AC85),0)</f>
        <v>190</v>
      </c>
      <c r="N85" s="925">
        <f>ROUND((('1.4.조성법총괄(내부이동률 적용)'!J$40+'1.4.조성법총괄(내부이동률 적용)'!J$43*$AK$2)*$AB85)+(AQ$80*$AC85),0)</f>
        <v>192</v>
      </c>
      <c r="O85" s="925">
        <f>ROUND((('1.4.조성법총괄(내부이동률 적용)'!K$40+'1.4.조성법총괄(내부이동률 적용)'!K$43*$AK$2)*$AB85)+(AR$80*$AC85),0)</f>
        <v>193</v>
      </c>
      <c r="P85" s="925">
        <f>ROUND((('1.4.조성법총괄(내부이동률 적용)'!L$40+'1.4.조성법총괄(내부이동률 적용)'!L$43*$AK$2)*$AB85)+(AS$80*$AC85),0)</f>
        <v>194</v>
      </c>
      <c r="Q85" s="907">
        <f>ROUND((('1.4.조성법총괄(내부이동률 적용)'!M$40+'1.4.조성법총괄(내부이동률 적용)'!M$43*$AK$2)*$AB85)+(AT$80*$AC85),0)</f>
        <v>194</v>
      </c>
      <c r="R85" s="925">
        <f>ROUND((('1.4.조성법총괄(내부이동률 적용)'!N$40+'1.4.조성법총괄(내부이동률 적용)'!N$43*$AK$2)*$AB85)+(AU$80*$AC85),0)</f>
        <v>195</v>
      </c>
      <c r="S85" s="925">
        <f>ROUND((('1.4.조성법총괄(내부이동률 적용)'!O$40+'1.4.조성법총괄(내부이동률 적용)'!O$43*$AK$2)*$AB85)+(AV$80*$AC85),0)</f>
        <v>196</v>
      </c>
      <c r="T85" s="925">
        <f>ROUND((('1.4.조성법총괄(내부이동률 적용)'!P$40+'1.4.조성법총괄(내부이동률 적용)'!P$43*$AK$2)*$AB85)+(AW$80*$AC85),0)</f>
        <v>197</v>
      </c>
      <c r="U85" s="925">
        <f>ROUND((('1.4.조성법총괄(내부이동률 적용)'!Q$40+'1.4.조성법총괄(내부이동률 적용)'!Q$43*$AK$2)*$AB85)+(AX$80*$AC85),0)</f>
        <v>198</v>
      </c>
      <c r="V85" s="715">
        <f>ROUND((('1.4.조성법총괄(내부이동률 적용)'!R$40+'1.4.조성법총괄(내부이동률 적용)'!R$43*$AK$2)*$AB85)+(AY$80*$AC85),0)</f>
        <v>198</v>
      </c>
      <c r="W85" s="714">
        <f>ROUND((('1.4.조성법총괄(내부이동률 적용)'!S$40+'1.4.조성법총괄(내부이동률 적용)'!S$43*$AK$2)*$AB85)+(AZ$80*$AC85),0)</f>
        <v>199</v>
      </c>
      <c r="X85" s="714">
        <f>ROUND((('1.4.조성법총괄(내부이동률 적용)'!T$40+'1.4.조성법총괄(내부이동률 적용)'!T$43*$AK$2)*$AB85)+(BA$80*$AC85),0)</f>
        <v>200</v>
      </c>
      <c r="Y85" s="714">
        <f>ROUND((('1.4.조성법총괄(내부이동률 적용)'!U$40+'1.4.조성법총괄(내부이동률 적용)'!U$43*$AK$2)*$AB85)+(BB$80*$AC85),0)</f>
        <v>201</v>
      </c>
      <c r="Z85" s="714">
        <f>ROUND((('1.4.조성법총괄(내부이동률 적용)'!V$40+'1.4.조성법총괄(내부이동률 적용)'!V$43*$AK$2)*$AB85)+(BC$80*$AC85),0)</f>
        <v>202</v>
      </c>
      <c r="AA85" s="715">
        <f>ROUND((('1.4.조성법총괄(내부이동률 적용)'!W$40+'1.4.조성법총괄(내부이동률 적용)'!W$43*$AK$2)*$AB85)+(BD$80*$AC85),0)</f>
        <v>200</v>
      </c>
      <c r="AB85" s="936">
        <f>+H85/'1.4.조성법총괄(내부이동률 적용)'!$D$44</f>
        <v>1.0243277848911651E-2</v>
      </c>
      <c r="AC85" s="934">
        <f t="shared" si="62"/>
        <v>1.2612494252118505E-2</v>
      </c>
      <c r="AD85" s="1080"/>
      <c r="AE85" s="711"/>
      <c r="AF85" s="999"/>
      <c r="AG85" s="997"/>
      <c r="AH85" s="996" t="str">
        <f>'사회적유입인구의 처리구역별 배분(적용)'!C78</f>
        <v>소  계</v>
      </c>
      <c r="AI85" s="862">
        <f>+'사회적유입인구의 처리구역별 배분(적용)'!D78</f>
        <v>0</v>
      </c>
      <c r="AJ85" s="862">
        <f>+'사회적유입인구의 처리구역별 배분(적용)'!E78</f>
        <v>0</v>
      </c>
      <c r="AK85" s="862">
        <f>+'사회적유입인구의 처리구역별 배분(적용)'!F78</f>
        <v>0</v>
      </c>
      <c r="AL85" s="862">
        <f>+'사회적유입인구의 처리구역별 배분(적용)'!G78</f>
        <v>0</v>
      </c>
      <c r="AM85" s="862">
        <f>+'사회적유입인구의 처리구역별 배분(적용)'!H78</f>
        <v>0</v>
      </c>
      <c r="AN85" s="862">
        <f>+'사회적유입인구의 처리구역별 배분(적용)'!I78</f>
        <v>0</v>
      </c>
      <c r="AO85" s="862">
        <f>+'사회적유입인구의 처리구역별 배분(적용)'!J78</f>
        <v>0</v>
      </c>
      <c r="AP85" s="862">
        <f>+'사회적유입인구의 처리구역별 배분(적용)'!K78</f>
        <v>0</v>
      </c>
      <c r="AQ85" s="862">
        <f>+'사회적유입인구의 처리구역별 배분(적용)'!L78</f>
        <v>0</v>
      </c>
      <c r="AR85" s="862">
        <f>+'사회적유입인구의 처리구역별 배분(적용)'!M78</f>
        <v>0</v>
      </c>
      <c r="AS85" s="862">
        <f>+'사회적유입인구의 처리구역별 배분(적용)'!N78</f>
        <v>0</v>
      </c>
      <c r="AT85" s="862">
        <f>+'사회적유입인구의 처리구역별 배분(적용)'!O78</f>
        <v>537</v>
      </c>
      <c r="AU85" s="862">
        <f>+'사회적유입인구의 처리구역별 배분(적용)'!P78</f>
        <v>537</v>
      </c>
      <c r="AV85" s="862">
        <f>+'사회적유입인구의 처리구역별 배분(적용)'!Q78</f>
        <v>537</v>
      </c>
      <c r="AW85" s="862">
        <f>+'사회적유입인구의 처리구역별 배분(적용)'!R78</f>
        <v>537</v>
      </c>
      <c r="AX85" s="862">
        <f>+'사회적유입인구의 처리구역별 배분(적용)'!S78</f>
        <v>537</v>
      </c>
      <c r="AY85" s="862">
        <f>+'사회적유입인구의 처리구역별 배분(적용)'!T78</f>
        <v>537</v>
      </c>
      <c r="AZ85" s="862">
        <f>+'사회적유입인구의 처리구역별 배분(적용)'!U78</f>
        <v>537</v>
      </c>
      <c r="BA85" s="862">
        <f>+'사회적유입인구의 처리구역별 배분(적용)'!V78</f>
        <v>537</v>
      </c>
      <c r="BB85" s="862">
        <f>+'사회적유입인구의 처리구역별 배분(적용)'!W78</f>
        <v>537</v>
      </c>
      <c r="BC85" s="862">
        <f>+'사회적유입인구의 처리구역별 배분(적용)'!X78</f>
        <v>537</v>
      </c>
      <c r="BD85" s="862">
        <f>+'사회적유입인구의 처리구역별 배분(적용)'!Y78</f>
        <v>537</v>
      </c>
      <c r="BE85" s="876"/>
    </row>
    <row r="86" spans="1:57" s="712" customFormat="1" ht="24" customHeight="1">
      <c r="A86" s="2640"/>
      <c r="B86" s="2636"/>
      <c r="C86" s="2636"/>
      <c r="D86" s="2637"/>
      <c r="E86" s="1243" t="s">
        <v>870</v>
      </c>
      <c r="F86" s="713"/>
      <c r="G86" s="935">
        <f>+'2014처리구역인구 정리'!I80</f>
        <v>465</v>
      </c>
      <c r="H86" s="935">
        <f>+'2014처리구역인구 정리'!J80</f>
        <v>524</v>
      </c>
      <c r="I86" s="925">
        <f>ROUND((('1.4.조성법총괄(내부이동률 적용)'!E$40+'1.4.조성법총괄(내부이동률 적용)'!E$43*$AK$2)*$AB86)+(AL$80*$AC86),0)</f>
        <v>525</v>
      </c>
      <c r="J86" s="925">
        <f>ROUND((('1.4.조성법총괄(내부이동률 적용)'!F$40+'1.4.조성법총괄(내부이동률 적용)'!F$43*$AK$2)*$AB86)+(AM$80*$AC86),0)</f>
        <v>526</v>
      </c>
      <c r="K86" s="925">
        <f>ROUND((('1.4.조성법총괄(내부이동률 적용)'!G$40+'1.4.조성법총괄(내부이동률 적용)'!G$43*$AK$2)*$AB86)+(AN$80*$AC86),0)</f>
        <v>485</v>
      </c>
      <c r="L86" s="907">
        <f>ROUND((('1.4.조성법총괄(내부이동률 적용)'!H$40+'1.4.조성법총괄(내부이동률 적용)'!H$43*$AK$2)*$AB86)+(AO$80*$AC86),0)</f>
        <v>516</v>
      </c>
      <c r="M86" s="925">
        <f>ROUND((('1.4.조성법총괄(내부이동률 적용)'!I$40+'1.4.조성법총괄(내부이동률 적용)'!I$43*$AK$2)*$AB86)+(AP$80*$AC86),0)</f>
        <v>520</v>
      </c>
      <c r="N86" s="925">
        <f>ROUND((('1.4.조성법총괄(내부이동률 적용)'!J$40+'1.4.조성법총괄(내부이동률 적용)'!J$43*$AK$2)*$AB86)+(AQ$80*$AC86),0)</f>
        <v>523</v>
      </c>
      <c r="O86" s="925">
        <f>ROUND((('1.4.조성법총괄(내부이동률 적용)'!K$40+'1.4.조성법총괄(내부이동률 적용)'!K$43*$AK$2)*$AB86)+(AR$80*$AC86),0)</f>
        <v>526</v>
      </c>
      <c r="P86" s="925">
        <f>ROUND((('1.4.조성법총괄(내부이동률 적용)'!L$40+'1.4.조성법총괄(내부이동률 적용)'!L$43*$AK$2)*$AB86)+(AS$80*$AC86),0)</f>
        <v>529</v>
      </c>
      <c r="Q86" s="907">
        <f>ROUND((('1.4.조성법총괄(내부이동률 적용)'!M$40+'1.4.조성법총괄(내부이동률 적용)'!M$43*$AK$2)*$AB86)+(AT$80*$AC86),0)</f>
        <v>529</v>
      </c>
      <c r="R86" s="925">
        <f>ROUND((('1.4.조성법총괄(내부이동률 적용)'!N$40+'1.4.조성법총괄(내부이동률 적용)'!N$43*$AK$2)*$AB86)+(AU$80*$AC86),0)</f>
        <v>531</v>
      </c>
      <c r="S86" s="925">
        <f>ROUND((('1.4.조성법총괄(내부이동률 적용)'!O$40+'1.4.조성법총괄(내부이동률 적용)'!O$43*$AK$2)*$AB86)+(AV$80*$AC86),0)</f>
        <v>534</v>
      </c>
      <c r="T86" s="925">
        <f>ROUND((('1.4.조성법총괄(내부이동률 적용)'!P$40+'1.4.조성법총괄(내부이동률 적용)'!P$43*$AK$2)*$AB86)+(AW$80*$AC86),0)</f>
        <v>537</v>
      </c>
      <c r="U86" s="925">
        <f>ROUND((('1.4.조성법총괄(내부이동률 적용)'!Q$40+'1.4.조성법총괄(내부이동률 적용)'!Q$43*$AK$2)*$AB86)+(AX$80*$AC86),0)</f>
        <v>539</v>
      </c>
      <c r="V86" s="715">
        <f>ROUND((('1.4.조성법총괄(내부이동률 적용)'!R$40+'1.4.조성법총괄(내부이동률 적용)'!R$43*$AK$2)*$AB86)+(AY$80*$AC86),0)</f>
        <v>542</v>
      </c>
      <c r="W86" s="714">
        <f>ROUND((('1.4.조성법총괄(내부이동률 적용)'!S$40+'1.4.조성법총괄(내부이동률 적용)'!S$43*$AK$2)*$AB86)+(AZ$80*$AC86),0)</f>
        <v>544</v>
      </c>
      <c r="X86" s="714">
        <f>ROUND((('1.4.조성법총괄(내부이동률 적용)'!T$40+'1.4.조성법총괄(내부이동률 적용)'!T$43*$AK$2)*$AB86)+(BA$80*$AC86),0)</f>
        <v>547</v>
      </c>
      <c r="Y86" s="714">
        <f>ROUND((('1.4.조성법총괄(내부이동률 적용)'!U$40+'1.4.조성법총괄(내부이동률 적용)'!U$43*$AK$2)*$AB86)+(BB$80*$AC86),0)</f>
        <v>549</v>
      </c>
      <c r="Z86" s="714">
        <f>ROUND((('1.4.조성법총괄(내부이동률 적용)'!V$40+'1.4.조성법총괄(내부이동률 적용)'!V$43*$AK$2)*$AB86)+(BC$80*$AC86),0)</f>
        <v>552</v>
      </c>
      <c r="AA86" s="715">
        <f>ROUND((('1.4.조성법총괄(내부이동률 적용)'!W$40+'1.4.조성법총괄(내부이동률 적용)'!W$43*$AK$2)*$AB86)+(BD$80*$AC86),0)</f>
        <v>546</v>
      </c>
      <c r="AB86" s="936">
        <f>+H86/'1.4.조성법총괄(내부이동률 적용)'!$D$44</f>
        <v>2.7955612462654718E-2</v>
      </c>
      <c r="AC86" s="934">
        <f t="shared" si="62"/>
        <v>3.4421598896406752E-2</v>
      </c>
      <c r="AD86" s="1080"/>
      <c r="AE86" s="711"/>
      <c r="AF86" s="1135"/>
      <c r="AG86" s="1132" t="s">
        <v>96</v>
      </c>
      <c r="AH86" s="1130" t="str">
        <f>'사회적유입인구의 처리구역별 배분(적용)'!C79</f>
        <v>삼성준산업단지</v>
      </c>
      <c r="AI86" s="862">
        <f>+'사회적유입인구의 처리구역별 배분(적용)'!D79</f>
        <v>0</v>
      </c>
      <c r="AJ86" s="862">
        <f>+'사회적유입인구의 처리구역별 배분(적용)'!E79</f>
        <v>0</v>
      </c>
      <c r="AK86" s="862">
        <f>+'사회적유입인구의 처리구역별 배분(적용)'!F79</f>
        <v>0</v>
      </c>
      <c r="AL86" s="862">
        <f>+'사회적유입인구의 처리구역별 배분(적용)'!G79</f>
        <v>0</v>
      </c>
      <c r="AM86" s="862">
        <f>+'사회적유입인구의 처리구역별 배분(적용)'!H79</f>
        <v>0</v>
      </c>
      <c r="AN86" s="862">
        <f>+'사회적유입인구의 처리구역별 배분(적용)'!I79</f>
        <v>0</v>
      </c>
      <c r="AO86" s="862">
        <f>+'사회적유입인구의 처리구역별 배분(적용)'!J79</f>
        <v>0</v>
      </c>
      <c r="AP86" s="862">
        <f>+'사회적유입인구의 처리구역별 배분(적용)'!K79</f>
        <v>0</v>
      </c>
      <c r="AQ86" s="862">
        <f>+'사회적유입인구의 처리구역별 배분(적용)'!L79</f>
        <v>0</v>
      </c>
      <c r="AR86" s="862">
        <f>+'사회적유입인구의 처리구역별 배분(적용)'!M79</f>
        <v>0</v>
      </c>
      <c r="AS86" s="862">
        <f>+'사회적유입인구의 처리구역별 배분(적용)'!N79</f>
        <v>0</v>
      </c>
      <c r="AT86" s="862">
        <f>+'사회적유입인구의 처리구역별 배분(적용)'!O79</f>
        <v>0</v>
      </c>
      <c r="AU86" s="862">
        <f>+'사회적유입인구의 처리구역별 배분(적용)'!P79</f>
        <v>0</v>
      </c>
      <c r="AV86" s="862">
        <f>+'사회적유입인구의 처리구역별 배분(적용)'!Q79</f>
        <v>0</v>
      </c>
      <c r="AW86" s="862">
        <f>+'사회적유입인구의 처리구역별 배분(적용)'!R79</f>
        <v>0</v>
      </c>
      <c r="AX86" s="862">
        <f>+'사회적유입인구의 처리구역별 배분(적용)'!S79</f>
        <v>0</v>
      </c>
      <c r="AY86" s="862">
        <f>+'사회적유입인구의 처리구역별 배분(적용)'!T79</f>
        <v>0</v>
      </c>
      <c r="AZ86" s="862">
        <f>+'사회적유입인구의 처리구역별 배분(적용)'!U79</f>
        <v>0</v>
      </c>
      <c r="BA86" s="862">
        <f>+'사회적유입인구의 처리구역별 배분(적용)'!V79</f>
        <v>0</v>
      </c>
      <c r="BB86" s="862">
        <f>+'사회적유입인구의 처리구역별 배분(적용)'!W79</f>
        <v>0</v>
      </c>
      <c r="BC86" s="862">
        <f>+'사회적유입인구의 처리구역별 배분(적용)'!X79</f>
        <v>0</v>
      </c>
      <c r="BD86" s="862">
        <f>+'사회적유입인구의 처리구역별 배분(적용)'!Y79</f>
        <v>0</v>
      </c>
      <c r="BE86" s="871">
        <f>+'사회적유입인구의 처리구역별 배분(적용)'!Z79</f>
        <v>1</v>
      </c>
    </row>
    <row r="87" spans="1:57" s="712" customFormat="1" ht="24" customHeight="1">
      <c r="A87" s="2640"/>
      <c r="B87" s="2636"/>
      <c r="C87" s="2636"/>
      <c r="D87" s="2637"/>
      <c r="E87" s="1243" t="s">
        <v>871</v>
      </c>
      <c r="F87" s="713"/>
      <c r="G87" s="935">
        <f>+'2014처리구역인구 정리'!I81</f>
        <v>584</v>
      </c>
      <c r="H87" s="935">
        <f>+'2014처리구역인구 정리'!J81</f>
        <v>668</v>
      </c>
      <c r="I87" s="925">
        <f>ROUND((('1.4.조성법총괄(내부이동률 적용)'!E$40+'1.4.조성법총괄(내부이동률 적용)'!E$43*$AK$2)*$AB87)+(AL$80*$AC87),0)</f>
        <v>669</v>
      </c>
      <c r="J87" s="925">
        <f>ROUND((('1.4.조성법총괄(내부이동률 적용)'!F$40+'1.4.조성법총괄(내부이동률 적용)'!F$43*$AK$2)*$AB87)+(AM$80*$AC87),0)</f>
        <v>670</v>
      </c>
      <c r="K87" s="925">
        <f>ROUND((('1.4.조성법총괄(내부이동률 적용)'!G$40+'1.4.조성법총괄(내부이동률 적용)'!G$43*$AK$2)*$AB87)+(AN$80*$AC87),0)</f>
        <v>618</v>
      </c>
      <c r="L87" s="907">
        <f>ROUND((('1.4.조성법총괄(내부이동률 적용)'!H$40+'1.4.조성법총괄(내부이동률 적용)'!H$43*$AK$2)*$AB87)+(AO$80*$AC87),0)</f>
        <v>658</v>
      </c>
      <c r="M87" s="925">
        <f>ROUND((('1.4.조성법총괄(내부이동률 적용)'!I$40+'1.4.조성법총괄(내부이동률 적용)'!I$43*$AK$2)*$AB87)+(AP$80*$AC87),0)</f>
        <v>662</v>
      </c>
      <c r="N87" s="925">
        <f>ROUND((('1.4.조성법총괄(내부이동률 적용)'!J$40+'1.4.조성법총괄(내부이동률 적용)'!J$43*$AK$2)*$AB87)+(AQ$80*$AC87),0)</f>
        <v>666</v>
      </c>
      <c r="O87" s="925">
        <f>ROUND((('1.4.조성법총괄(내부이동률 적용)'!K$40+'1.4.조성법총괄(내부이동률 적용)'!K$43*$AK$2)*$AB87)+(AR$80*$AC87),0)</f>
        <v>670</v>
      </c>
      <c r="P87" s="925">
        <f>ROUND((('1.4.조성법총괄(내부이동률 적용)'!L$40+'1.4.조성법총괄(내부이동률 적용)'!L$43*$AK$2)*$AB87)+(AS$80*$AC87),0)</f>
        <v>674</v>
      </c>
      <c r="Q87" s="907">
        <f>ROUND((('1.4.조성법총괄(내부이동률 적용)'!M$40+'1.4.조성법총괄(내부이동률 적용)'!M$43*$AK$2)*$AB87)+(AT$80*$AC87),0)</f>
        <v>674</v>
      </c>
      <c r="R87" s="925">
        <f>ROUND((('1.4.조성법총괄(내부이동률 적용)'!N$40+'1.4.조성법총괄(내부이동률 적용)'!N$43*$AK$2)*$AB87)+(AU$80*$AC87),0)</f>
        <v>677</v>
      </c>
      <c r="S87" s="925">
        <f>ROUND((('1.4.조성법총괄(내부이동률 적용)'!O$40+'1.4.조성법총괄(내부이동률 적용)'!O$43*$AK$2)*$AB87)+(AV$80*$AC87),0)</f>
        <v>681</v>
      </c>
      <c r="T87" s="925">
        <f>ROUND((('1.4.조성법총괄(내부이동률 적용)'!P$40+'1.4.조성법총괄(내부이동률 적용)'!P$43*$AK$2)*$AB87)+(AW$80*$AC87),0)</f>
        <v>684</v>
      </c>
      <c r="U87" s="925">
        <f>ROUND((('1.4.조성법총괄(내부이동률 적용)'!Q$40+'1.4.조성법총괄(내부이동률 적용)'!Q$43*$AK$2)*$AB87)+(AX$80*$AC87),0)</f>
        <v>687</v>
      </c>
      <c r="V87" s="715">
        <f>ROUND((('1.4.조성법총괄(내부이동률 적용)'!R$40+'1.4.조성법총괄(내부이동률 적용)'!R$43*$AK$2)*$AB87)+(AY$80*$AC87),0)</f>
        <v>691</v>
      </c>
      <c r="W87" s="714">
        <f>ROUND((('1.4.조성법총괄(내부이동률 적용)'!S$40+'1.4.조성법총괄(내부이동률 적용)'!S$43*$AK$2)*$AB87)+(AZ$80*$AC87),0)</f>
        <v>694</v>
      </c>
      <c r="X87" s="714">
        <f>ROUND((('1.4.조성법총괄(내부이동률 적용)'!T$40+'1.4.조성법총괄(내부이동률 적용)'!T$43*$AK$2)*$AB87)+(BA$80*$AC87),0)</f>
        <v>697</v>
      </c>
      <c r="Y87" s="714">
        <f>ROUND((('1.4.조성법총괄(내부이동률 적용)'!U$40+'1.4.조성법총괄(내부이동률 적용)'!U$43*$AK$2)*$AB87)+(BB$80*$AC87),0)</f>
        <v>700</v>
      </c>
      <c r="Z87" s="714">
        <f>ROUND((('1.4.조성법총괄(내부이동률 적용)'!V$40+'1.4.조성법총괄(내부이동률 적용)'!V$43*$AK$2)*$AB87)+(BC$80*$AC87),0)</f>
        <v>704</v>
      </c>
      <c r="AA87" s="715">
        <f>ROUND((('1.4.조성법총괄(내부이동률 적용)'!W$40+'1.4.조성법총괄(내부이동률 적용)'!W$43*$AK$2)*$AB87)+(BD$80*$AC87),0)</f>
        <v>696</v>
      </c>
      <c r="AB87" s="936">
        <f>+H87/'1.4.조성법총괄(내부이동률 적용)'!$D$44</f>
        <v>3.5638070849338455E-2</v>
      </c>
      <c r="AC87" s="934">
        <f t="shared" si="62"/>
        <v>4.388096958549563E-2</v>
      </c>
      <c r="AD87" s="1080"/>
      <c r="AE87" s="711"/>
      <c r="AF87" s="1135"/>
      <c r="AG87" s="875"/>
      <c r="AH87" s="1130" t="str">
        <f>'사회적유입인구의 처리구역별 배분(적용)'!C80</f>
        <v>태양금속공업 이전</v>
      </c>
      <c r="AI87" s="862">
        <f>+'사회적유입인구의 처리구역별 배분(적용)'!D80</f>
        <v>0</v>
      </c>
      <c r="AJ87" s="862">
        <f>+'사회적유입인구의 처리구역별 배분(적용)'!E80</f>
        <v>0</v>
      </c>
      <c r="AK87" s="862">
        <f>+'사회적유입인구의 처리구역별 배분(적용)'!F80</f>
        <v>0</v>
      </c>
      <c r="AL87" s="862">
        <f>+'사회적유입인구의 처리구역별 배분(적용)'!G80</f>
        <v>0</v>
      </c>
      <c r="AM87" s="862">
        <f>+'사회적유입인구의 처리구역별 배분(적용)'!H80</f>
        <v>0</v>
      </c>
      <c r="AN87" s="862">
        <f>+'사회적유입인구의 처리구역별 배분(적용)'!I80</f>
        <v>0</v>
      </c>
      <c r="AO87" s="862">
        <f>+'사회적유입인구의 처리구역별 배분(적용)'!J80</f>
        <v>0</v>
      </c>
      <c r="AP87" s="862">
        <f>+'사회적유입인구의 처리구역별 배분(적용)'!K80</f>
        <v>0</v>
      </c>
      <c r="AQ87" s="862">
        <f>+'사회적유입인구의 처리구역별 배분(적용)'!L80</f>
        <v>0</v>
      </c>
      <c r="AR87" s="862">
        <f>+'사회적유입인구의 처리구역별 배분(적용)'!M80</f>
        <v>0</v>
      </c>
      <c r="AS87" s="862">
        <f>+'사회적유입인구의 처리구역별 배분(적용)'!N80</f>
        <v>0</v>
      </c>
      <c r="AT87" s="862">
        <f>+'사회적유입인구의 처리구역별 배분(적용)'!O80</f>
        <v>0</v>
      </c>
      <c r="AU87" s="862">
        <f>+'사회적유입인구의 처리구역별 배분(적용)'!P80</f>
        <v>0</v>
      </c>
      <c r="AV87" s="862">
        <f>+'사회적유입인구의 처리구역별 배분(적용)'!Q80</f>
        <v>0</v>
      </c>
      <c r="AW87" s="862">
        <f>+'사회적유입인구의 처리구역별 배분(적용)'!R80</f>
        <v>0</v>
      </c>
      <c r="AX87" s="862">
        <f>+'사회적유입인구의 처리구역별 배분(적용)'!S80</f>
        <v>0</v>
      </c>
      <c r="AY87" s="862">
        <f>+'사회적유입인구의 처리구역별 배분(적용)'!T80</f>
        <v>0</v>
      </c>
      <c r="AZ87" s="862">
        <f>+'사회적유입인구의 처리구역별 배분(적용)'!U80</f>
        <v>0</v>
      </c>
      <c r="BA87" s="862">
        <f>+'사회적유입인구의 처리구역별 배분(적용)'!V80</f>
        <v>0</v>
      </c>
      <c r="BB87" s="862">
        <f>+'사회적유입인구의 처리구역별 배분(적용)'!W80</f>
        <v>0</v>
      </c>
      <c r="BC87" s="862">
        <f>+'사회적유입인구의 처리구역별 배분(적용)'!X80</f>
        <v>0</v>
      </c>
      <c r="BD87" s="862">
        <f>+'사회적유입인구의 처리구역별 배분(적용)'!Y80</f>
        <v>0</v>
      </c>
      <c r="BE87" s="871">
        <f>+'사회적유입인구의 처리구역별 배분(적용)'!Z80</f>
        <v>1</v>
      </c>
    </row>
    <row r="88" spans="1:57" s="712" customFormat="1" ht="24" customHeight="1">
      <c r="A88" s="2640"/>
      <c r="B88" s="2636"/>
      <c r="C88" s="2636"/>
      <c r="D88" s="2637"/>
      <c r="E88" s="1243" t="s">
        <v>872</v>
      </c>
      <c r="F88" s="713"/>
      <c r="G88" s="935">
        <f>+'2014처리구역인구 정리'!I82</f>
        <v>495</v>
      </c>
      <c r="H88" s="935">
        <f>+'2014처리구역인구 정리'!J82</f>
        <v>557</v>
      </c>
      <c r="I88" s="925">
        <f>ROUND((('1.4.조성법총괄(내부이동률 적용)'!E$40+'1.4.조성법총괄(내부이동률 적용)'!E$43*$AK$2)*$AB88)+(AL$80*$AC88),0)</f>
        <v>558</v>
      </c>
      <c r="J88" s="925">
        <f>ROUND((('1.4.조성법총괄(내부이동률 적용)'!F$40+'1.4.조성법총괄(내부이동률 적용)'!F$43*$AK$2)*$AB88)+(AM$80*$AC88),0)</f>
        <v>559</v>
      </c>
      <c r="K88" s="925">
        <f>ROUND((('1.4.조성법총괄(내부이동률 적용)'!G$40+'1.4.조성법총괄(내부이동률 적용)'!G$43*$AK$2)*$AB88)+(AN$80*$AC88),0)</f>
        <v>515</v>
      </c>
      <c r="L88" s="907">
        <f>ROUND((('1.4.조성법총괄(내부이동률 적용)'!H$40+'1.4.조성법총괄(내부이동률 적용)'!H$43*$AK$2)*$AB88)+(AO$80*$AC88),0)</f>
        <v>549</v>
      </c>
      <c r="M88" s="925">
        <f>ROUND((('1.4.조성법총괄(내부이동률 적용)'!I$40+'1.4.조성법총괄(내부이동률 적용)'!I$43*$AK$2)*$AB88)+(AP$80*$AC88),0)</f>
        <v>552</v>
      </c>
      <c r="N88" s="925">
        <f>ROUND((('1.4.조성법총괄(내부이동률 적용)'!J$40+'1.4.조성법총괄(내부이동률 적용)'!J$43*$AK$2)*$AB88)+(AQ$80*$AC88),0)</f>
        <v>556</v>
      </c>
      <c r="O88" s="925">
        <f>ROUND((('1.4.조성법총괄(내부이동률 적용)'!K$40+'1.4.조성법총괄(내부이동률 적용)'!K$43*$AK$2)*$AB88)+(AR$80*$AC88),0)</f>
        <v>559</v>
      </c>
      <c r="P88" s="925">
        <f>ROUND((('1.4.조성법총괄(내부이동률 적용)'!L$40+'1.4.조성법총괄(내부이동률 적용)'!L$43*$AK$2)*$AB88)+(AS$80*$AC88),0)</f>
        <v>562</v>
      </c>
      <c r="Q88" s="907">
        <f>ROUND((('1.4.조성법총괄(내부이동률 적용)'!M$40+'1.4.조성법총괄(내부이동률 적용)'!M$43*$AK$2)*$AB88)+(AT$80*$AC88),0)</f>
        <v>562</v>
      </c>
      <c r="R88" s="925">
        <f>ROUND((('1.4.조성법총괄(내부이동률 적용)'!N$40+'1.4.조성법총괄(내부이동률 적용)'!N$43*$AK$2)*$AB88)+(AU$80*$AC88),0)</f>
        <v>565</v>
      </c>
      <c r="S88" s="925">
        <f>ROUND((('1.4.조성법총괄(내부이동률 적용)'!O$40+'1.4.조성법총괄(내부이동률 적용)'!O$43*$AK$2)*$AB88)+(AV$80*$AC88),0)</f>
        <v>568</v>
      </c>
      <c r="T88" s="925">
        <f>ROUND((('1.4.조성법총괄(내부이동률 적용)'!P$40+'1.4.조성법총괄(내부이동률 적용)'!P$43*$AK$2)*$AB88)+(AW$80*$AC88),0)</f>
        <v>570</v>
      </c>
      <c r="U88" s="925">
        <f>ROUND((('1.4.조성법총괄(내부이동률 적용)'!Q$40+'1.4.조성법총괄(내부이동률 적용)'!Q$43*$AK$2)*$AB88)+(AX$80*$AC88),0)</f>
        <v>573</v>
      </c>
      <c r="V88" s="715">
        <f>ROUND((('1.4.조성법총괄(내부이동률 적용)'!R$40+'1.4.조성법총괄(내부이동률 적용)'!R$43*$AK$2)*$AB88)+(AY$80*$AC88),0)</f>
        <v>576</v>
      </c>
      <c r="W88" s="714">
        <f>ROUND((('1.4.조성법총괄(내부이동률 적용)'!S$40+'1.4.조성법총괄(내부이동률 적용)'!S$43*$AK$2)*$AB88)+(AZ$80*$AC88),0)</f>
        <v>579</v>
      </c>
      <c r="X88" s="714">
        <f>ROUND((('1.4.조성법총괄(내부이동률 적용)'!T$40+'1.4.조성법총괄(내부이동률 적용)'!T$43*$AK$2)*$AB88)+(BA$80*$AC88),0)</f>
        <v>581</v>
      </c>
      <c r="Y88" s="714">
        <f>ROUND((('1.4.조성법총괄(내부이동률 적용)'!U$40+'1.4.조성법총괄(내부이동률 적용)'!U$43*$AK$2)*$AB88)+(BB$80*$AC88),0)</f>
        <v>584</v>
      </c>
      <c r="Z88" s="714">
        <f>ROUND((('1.4.조성법총괄(내부이동률 적용)'!V$40+'1.4.조성법총괄(내부이동률 적용)'!V$43*$AK$2)*$AB88)+(BC$80*$AC88),0)</f>
        <v>587</v>
      </c>
      <c r="AA88" s="715">
        <f>ROUND((('1.4.조성법총괄(내부이동률 적용)'!W$40+'1.4.조성법총괄(내부이동률 적용)'!W$43*$AK$2)*$AB88)+(BD$80*$AC88),0)</f>
        <v>580</v>
      </c>
      <c r="AB88" s="936">
        <f>+H88/'1.4.조성법총괄(내부이동률 적용)'!$D$44</f>
        <v>2.9716175842936406E-2</v>
      </c>
      <c r="AC88" s="934">
        <f t="shared" si="62"/>
        <v>3.6589371345989621E-2</v>
      </c>
      <c r="AD88" s="1080"/>
      <c r="AE88" s="711"/>
      <c r="AF88" s="1135"/>
      <c r="AG88" s="875"/>
      <c r="AH88" s="1130" t="str">
        <f>'사회적유입인구의 처리구역별 배분(적용)'!C81</f>
        <v>상곡농공단지</v>
      </c>
      <c r="AI88" s="862">
        <f>+'사회적유입인구의 처리구역별 배분(적용)'!D81</f>
        <v>0</v>
      </c>
      <c r="AJ88" s="862">
        <f>+'사회적유입인구의 처리구역별 배분(적용)'!E81</f>
        <v>0</v>
      </c>
      <c r="AK88" s="862">
        <f>+'사회적유입인구의 처리구역별 배분(적용)'!F81</f>
        <v>0</v>
      </c>
      <c r="AL88" s="862">
        <f>+'사회적유입인구의 처리구역별 배분(적용)'!G81</f>
        <v>0</v>
      </c>
      <c r="AM88" s="862">
        <f>+'사회적유입인구의 처리구역별 배분(적용)'!H81</f>
        <v>0</v>
      </c>
      <c r="AN88" s="862">
        <f>+'사회적유입인구의 처리구역별 배분(적용)'!I81</f>
        <v>0</v>
      </c>
      <c r="AO88" s="862">
        <f>+'사회적유입인구의 처리구역별 배분(적용)'!J81</f>
        <v>0</v>
      </c>
      <c r="AP88" s="862">
        <f>+'사회적유입인구의 처리구역별 배분(적용)'!K81</f>
        <v>0</v>
      </c>
      <c r="AQ88" s="862">
        <f>+'사회적유입인구의 처리구역별 배분(적용)'!L81</f>
        <v>0</v>
      </c>
      <c r="AR88" s="862">
        <f>+'사회적유입인구의 처리구역별 배분(적용)'!M81</f>
        <v>0</v>
      </c>
      <c r="AS88" s="862">
        <f>+'사회적유입인구의 처리구역별 배분(적용)'!N81</f>
        <v>0</v>
      </c>
      <c r="AT88" s="862">
        <f>+'사회적유입인구의 처리구역별 배분(적용)'!O81</f>
        <v>0</v>
      </c>
      <c r="AU88" s="862">
        <f>+'사회적유입인구의 처리구역별 배분(적용)'!P81</f>
        <v>0</v>
      </c>
      <c r="AV88" s="862">
        <f>+'사회적유입인구의 처리구역별 배분(적용)'!Q81</f>
        <v>0</v>
      </c>
      <c r="AW88" s="862">
        <f>+'사회적유입인구의 처리구역별 배분(적용)'!R81</f>
        <v>0</v>
      </c>
      <c r="AX88" s="862">
        <f>+'사회적유입인구의 처리구역별 배분(적용)'!S81</f>
        <v>0</v>
      </c>
      <c r="AY88" s="862">
        <f>+'사회적유입인구의 처리구역별 배분(적용)'!T81</f>
        <v>0</v>
      </c>
      <c r="AZ88" s="862">
        <f>+'사회적유입인구의 처리구역별 배분(적용)'!U81</f>
        <v>0</v>
      </c>
      <c r="BA88" s="862">
        <f>+'사회적유입인구의 처리구역별 배분(적용)'!V81</f>
        <v>0</v>
      </c>
      <c r="BB88" s="862">
        <f>+'사회적유입인구의 처리구역별 배분(적용)'!W81</f>
        <v>0</v>
      </c>
      <c r="BC88" s="862">
        <f>+'사회적유입인구의 처리구역별 배분(적용)'!X81</f>
        <v>0</v>
      </c>
      <c r="BD88" s="862">
        <f>+'사회적유입인구의 처리구역별 배분(적용)'!Y81</f>
        <v>0</v>
      </c>
      <c r="BE88" s="871">
        <f>+'사회적유입인구의 처리구역별 배분(적용)'!Z81</f>
        <v>1</v>
      </c>
    </row>
    <row r="89" spans="1:57" s="712" customFormat="1" ht="24" customHeight="1">
      <c r="A89" s="2640"/>
      <c r="B89" s="2636"/>
      <c r="C89" s="2636"/>
      <c r="D89" s="2637"/>
      <c r="E89" s="1243" t="s">
        <v>873</v>
      </c>
      <c r="F89" s="713"/>
      <c r="G89" s="935">
        <f>+'2014처리구역인구 정리'!I83</f>
        <v>637</v>
      </c>
      <c r="H89" s="935">
        <f>+'2014처리구역인구 정리'!J83</f>
        <v>727</v>
      </c>
      <c r="I89" s="925">
        <f>ROUND((('1.4.조성법총괄(내부이동률 적용)'!E$40+'1.4.조성법총괄(내부이동률 적용)'!E$43*$AK$2)*$AB89)+(AL$80*$AC89),0)</f>
        <v>728</v>
      </c>
      <c r="J89" s="925">
        <f>ROUND((('1.4.조성법총괄(내부이동률 적용)'!F$40+'1.4.조성법총괄(내부이동률 적용)'!F$43*$AK$2)*$AB89)+(AM$80*$AC89),0)</f>
        <v>729</v>
      </c>
      <c r="K89" s="925">
        <f>ROUND((('1.4.조성법총괄(내부이동률 적용)'!G$40+'1.4.조성법총괄(내부이동률 적용)'!G$43*$AK$2)*$AB89)+(AN$80*$AC89),0)</f>
        <v>673</v>
      </c>
      <c r="L89" s="907">
        <f>ROUND((('1.4.조성법총괄(내부이동률 적용)'!H$40+'1.4.조성법총괄(내부이동률 적용)'!H$43*$AK$2)*$AB89)+(AO$80*$AC89),0)</f>
        <v>717</v>
      </c>
      <c r="M89" s="925">
        <f>ROUND((('1.4.조성법총괄(내부이동률 적용)'!I$40+'1.4.조성법총괄(내부이동률 적용)'!I$43*$AK$2)*$AB89)+(AP$80*$AC89),0)</f>
        <v>721</v>
      </c>
      <c r="N89" s="925">
        <f>ROUND((('1.4.조성법총괄(내부이동률 적용)'!J$40+'1.4.조성법총괄(내부이동률 적용)'!J$43*$AK$2)*$AB89)+(AQ$80*$AC89),0)</f>
        <v>725</v>
      </c>
      <c r="O89" s="925">
        <f>ROUND((('1.4.조성법총괄(내부이동률 적용)'!K$40+'1.4.조성법총괄(내부이동률 적용)'!K$43*$AK$2)*$AB89)+(AR$80*$AC89),0)</f>
        <v>730</v>
      </c>
      <c r="P89" s="925">
        <f>ROUND((('1.4.조성법총괄(내부이동률 적용)'!L$40+'1.4.조성법총괄(내부이동률 적용)'!L$43*$AK$2)*$AB89)+(AS$80*$AC89),0)</f>
        <v>734</v>
      </c>
      <c r="Q89" s="907">
        <f>ROUND((('1.4.조성법총괄(내부이동률 적용)'!M$40+'1.4.조성법총괄(내부이동률 적용)'!M$43*$AK$2)*$AB89)+(AT$80*$AC89),0)</f>
        <v>734</v>
      </c>
      <c r="R89" s="925">
        <f>ROUND((('1.4.조성법총괄(내부이동률 적용)'!N$40+'1.4.조성법총괄(내부이동률 적용)'!N$43*$AK$2)*$AB89)+(AU$80*$AC89),0)</f>
        <v>737</v>
      </c>
      <c r="S89" s="925">
        <f>ROUND((('1.4.조성법총괄(내부이동률 적용)'!O$40+'1.4.조성법총괄(내부이동률 적용)'!O$43*$AK$2)*$AB89)+(AV$80*$AC89),0)</f>
        <v>741</v>
      </c>
      <c r="T89" s="925">
        <f>ROUND((('1.4.조성법총괄(내부이동률 적용)'!P$40+'1.4.조성법총괄(내부이동률 적용)'!P$43*$AK$2)*$AB89)+(AW$80*$AC89),0)</f>
        <v>744</v>
      </c>
      <c r="U89" s="925">
        <f>ROUND((('1.4.조성법총괄(내부이동률 적용)'!Q$40+'1.4.조성법총괄(내부이동률 적용)'!Q$43*$AK$2)*$AB89)+(AX$80*$AC89),0)</f>
        <v>748</v>
      </c>
      <c r="V89" s="715">
        <f>ROUND((('1.4.조성법총괄(내부이동률 적용)'!R$40+'1.4.조성법총괄(내부이동률 적용)'!R$43*$AK$2)*$AB89)+(AY$80*$AC89),0)</f>
        <v>752</v>
      </c>
      <c r="W89" s="714">
        <f>ROUND((('1.4.조성법총괄(내부이동률 적용)'!S$40+'1.4.조성법총괄(내부이동률 적용)'!S$43*$AK$2)*$AB89)+(AZ$80*$AC89),0)</f>
        <v>755</v>
      </c>
      <c r="X89" s="714">
        <f>ROUND((('1.4.조성법총괄(내부이동률 적용)'!T$40+'1.4.조성법총괄(내부이동률 적용)'!T$43*$AK$2)*$AB89)+(BA$80*$AC89),0)</f>
        <v>759</v>
      </c>
      <c r="Y89" s="714">
        <f>ROUND((('1.4.조성법총괄(내부이동률 적용)'!U$40+'1.4.조성법총괄(내부이동률 적용)'!U$43*$AK$2)*$AB89)+(BB$80*$AC89),0)</f>
        <v>762</v>
      </c>
      <c r="Z89" s="714">
        <f>ROUND((('1.4.조성법총괄(내부이동률 적용)'!V$40+'1.4.조성법총괄(내부이동률 적용)'!V$43*$AK$2)*$AB89)+(BC$80*$AC89),0)</f>
        <v>766</v>
      </c>
      <c r="AA89" s="715">
        <f>ROUND((('1.4.조성법총괄(내부이동률 적용)'!W$40+'1.4.조성법총괄(내부이동률 적용)'!W$43*$AK$2)*$AB89)+(BD$80*$AC89),0)</f>
        <v>757</v>
      </c>
      <c r="AB89" s="936">
        <f>+H89/'1.4.조성법총괄(내부이동률 적용)'!$D$44</f>
        <v>3.8785744771660267E-2</v>
      </c>
      <c r="AC89" s="934">
        <f t="shared" si="62"/>
        <v>4.7756683965052879E-2</v>
      </c>
      <c r="AD89" s="1080"/>
      <c r="AE89" s="711"/>
      <c r="AF89" s="1135"/>
      <c r="AG89" s="875"/>
      <c r="AH89" s="1130" t="str">
        <f>'사회적유입인구의 처리구역별 배분(적용)'!C82</f>
        <v>소  계</v>
      </c>
      <c r="AI89" s="862">
        <f>+'사회적유입인구의 처리구역별 배분(적용)'!D82</f>
        <v>0</v>
      </c>
      <c r="AJ89" s="862">
        <f>+'사회적유입인구의 처리구역별 배분(적용)'!E82</f>
        <v>0</v>
      </c>
      <c r="AK89" s="862">
        <f>+'사회적유입인구의 처리구역별 배분(적용)'!F82</f>
        <v>0</v>
      </c>
      <c r="AL89" s="862">
        <f>+'사회적유입인구의 처리구역별 배분(적용)'!G82</f>
        <v>0</v>
      </c>
      <c r="AM89" s="862">
        <f>+'사회적유입인구의 처리구역별 배분(적용)'!H82</f>
        <v>0</v>
      </c>
      <c r="AN89" s="862">
        <f>+'사회적유입인구의 처리구역별 배분(적용)'!I82</f>
        <v>0</v>
      </c>
      <c r="AO89" s="862">
        <f>+'사회적유입인구의 처리구역별 배분(적용)'!J82</f>
        <v>0</v>
      </c>
      <c r="AP89" s="862">
        <f>+'사회적유입인구의 처리구역별 배분(적용)'!K82</f>
        <v>0</v>
      </c>
      <c r="AQ89" s="862">
        <f>+'사회적유입인구의 처리구역별 배분(적용)'!L82</f>
        <v>0</v>
      </c>
      <c r="AR89" s="862">
        <f>+'사회적유입인구의 처리구역별 배분(적용)'!M82</f>
        <v>0</v>
      </c>
      <c r="AS89" s="862">
        <f>+'사회적유입인구의 처리구역별 배분(적용)'!N82</f>
        <v>0</v>
      </c>
      <c r="AT89" s="862">
        <f>+'사회적유입인구의 처리구역별 배분(적용)'!O82</f>
        <v>0</v>
      </c>
      <c r="AU89" s="862">
        <f>+'사회적유입인구의 처리구역별 배분(적용)'!P82</f>
        <v>0</v>
      </c>
      <c r="AV89" s="862">
        <f>+'사회적유입인구의 처리구역별 배분(적용)'!Q82</f>
        <v>0</v>
      </c>
      <c r="AW89" s="862">
        <f>+'사회적유입인구의 처리구역별 배분(적용)'!R82</f>
        <v>0</v>
      </c>
      <c r="AX89" s="862">
        <f>+'사회적유입인구의 처리구역별 배분(적용)'!S82</f>
        <v>0</v>
      </c>
      <c r="AY89" s="862">
        <f>+'사회적유입인구의 처리구역별 배분(적용)'!T82</f>
        <v>0</v>
      </c>
      <c r="AZ89" s="862">
        <f>+'사회적유입인구의 처리구역별 배분(적용)'!U82</f>
        <v>0</v>
      </c>
      <c r="BA89" s="862">
        <f>+'사회적유입인구의 처리구역별 배분(적용)'!V82</f>
        <v>0</v>
      </c>
      <c r="BB89" s="862">
        <f>+'사회적유입인구의 처리구역별 배분(적용)'!W82</f>
        <v>0</v>
      </c>
      <c r="BC89" s="862">
        <f>+'사회적유입인구의 처리구역별 배분(적용)'!X82</f>
        <v>0</v>
      </c>
      <c r="BD89" s="862">
        <f>+'사회적유입인구의 처리구역별 배분(적용)'!Y82</f>
        <v>0</v>
      </c>
      <c r="BE89" s="871"/>
    </row>
    <row r="90" spans="1:57" s="712" customFormat="1" ht="24" customHeight="1">
      <c r="A90" s="2640"/>
      <c r="B90" s="2636"/>
      <c r="C90" s="2636"/>
      <c r="D90" s="2637"/>
      <c r="E90" s="1243" t="s">
        <v>874</v>
      </c>
      <c r="F90" s="713"/>
      <c r="G90" s="935">
        <f>+'2014처리구역인구 정리'!I84</f>
        <v>308</v>
      </c>
      <c r="H90" s="935">
        <f>+'2014처리구역인구 정리'!J84</f>
        <v>343</v>
      </c>
      <c r="I90" s="925">
        <f>ROUND((('1.4.조성법총괄(내부이동률 적용)'!E$40+'1.4.조성법총괄(내부이동률 적용)'!E$43*$AK$2)*$AB90)+(AL$80*$AC90),0)</f>
        <v>344</v>
      </c>
      <c r="J90" s="925">
        <f>ROUND((('1.4.조성법총괄(내부이동률 적용)'!F$40+'1.4.조성법총괄(내부이동률 적용)'!F$43*$AK$2)*$AB90)+(AM$80*$AC90),0)</f>
        <v>344</v>
      </c>
      <c r="K90" s="925">
        <f>ROUND((('1.4.조성법총괄(내부이동률 적용)'!G$40+'1.4.조성법총괄(내부이동률 적용)'!G$43*$AK$2)*$AB90)+(AN$80*$AC90),0)</f>
        <v>317</v>
      </c>
      <c r="L90" s="907">
        <f>ROUND((('1.4.조성법총괄(내부이동률 적용)'!H$40+'1.4.조성법총괄(내부이동률 적용)'!H$43*$AK$2)*$AB90)+(AO$80*$AC90),0)</f>
        <v>338</v>
      </c>
      <c r="M90" s="925">
        <f>ROUND((('1.4.조성법총괄(내부이동률 적용)'!I$40+'1.4.조성법총괄(내부이동률 적용)'!I$43*$AK$2)*$AB90)+(AP$80*$AC90),0)</f>
        <v>340</v>
      </c>
      <c r="N90" s="925">
        <f>ROUND((('1.4.조성법총괄(내부이동률 적용)'!J$40+'1.4.조성법총괄(내부이동률 적용)'!J$43*$AK$2)*$AB90)+(AQ$80*$AC90),0)</f>
        <v>342</v>
      </c>
      <c r="O90" s="925">
        <f>ROUND((('1.4.조성법총괄(내부이동률 적용)'!K$40+'1.4.조성법총괄(내부이동률 적용)'!K$43*$AK$2)*$AB90)+(AR$80*$AC90),0)</f>
        <v>344</v>
      </c>
      <c r="P90" s="925">
        <f>ROUND((('1.4.조성법총괄(내부이동률 적용)'!L$40+'1.4.조성법총괄(내부이동률 적용)'!L$43*$AK$2)*$AB90)+(AS$80*$AC90),0)</f>
        <v>346</v>
      </c>
      <c r="Q90" s="907">
        <f>ROUND((('1.4.조성법총괄(내부이동률 적용)'!M$40+'1.4.조성법총괄(내부이동률 적용)'!M$43*$AK$2)*$AB90)+(AT$80*$AC90),0)</f>
        <v>346</v>
      </c>
      <c r="R90" s="925">
        <f>ROUND((('1.4.조성법총괄(내부이동률 적용)'!N$40+'1.4.조성법총괄(내부이동률 적용)'!N$43*$AK$2)*$AB90)+(AU$80*$AC90),0)</f>
        <v>348</v>
      </c>
      <c r="S90" s="925">
        <f>ROUND((('1.4.조성법총괄(내부이동률 적용)'!O$40+'1.4.조성법총괄(내부이동률 적용)'!O$43*$AK$2)*$AB90)+(AV$80*$AC90),0)</f>
        <v>350</v>
      </c>
      <c r="T90" s="925">
        <f>ROUND((('1.4.조성법총괄(내부이동률 적용)'!P$40+'1.4.조성법총괄(내부이동률 적용)'!P$43*$AK$2)*$AB90)+(AW$80*$AC90),0)</f>
        <v>351</v>
      </c>
      <c r="U90" s="925">
        <f>ROUND((('1.4.조성법총괄(내부이동률 적용)'!Q$40+'1.4.조성법총괄(내부이동률 적용)'!Q$43*$AK$2)*$AB90)+(AX$80*$AC90),0)</f>
        <v>353</v>
      </c>
      <c r="V90" s="715">
        <f>ROUND((('1.4.조성법총괄(내부이동률 적용)'!R$40+'1.4.조성법총괄(내부이동률 적용)'!R$43*$AK$2)*$AB90)+(AY$80*$AC90),0)</f>
        <v>355</v>
      </c>
      <c r="W90" s="714">
        <f>ROUND((('1.4.조성법총괄(내부이동률 적용)'!S$40+'1.4.조성법총괄(내부이동률 적용)'!S$43*$AK$2)*$AB90)+(AZ$80*$AC90),0)</f>
        <v>356</v>
      </c>
      <c r="X90" s="714">
        <f>ROUND((('1.4.조성법총괄(내부이동률 적용)'!T$40+'1.4.조성법총괄(내부이동률 적용)'!T$43*$AK$2)*$AB90)+(BA$80*$AC90),0)</f>
        <v>358</v>
      </c>
      <c r="Y90" s="714">
        <f>ROUND((('1.4.조성법총괄(내부이동률 적용)'!U$40+'1.4.조성법총괄(내부이동률 적용)'!U$43*$AK$2)*$AB90)+(BB$80*$AC90),0)</f>
        <v>360</v>
      </c>
      <c r="Z90" s="714">
        <f>ROUND((('1.4.조성법총괄(내부이동률 적용)'!V$40+'1.4.조성법총괄(내부이동률 적용)'!V$43*$AK$2)*$AB90)+(BC$80*$AC90),0)</f>
        <v>361</v>
      </c>
      <c r="AA90" s="715">
        <f>ROUND((('1.4.조성법총괄(내부이동률 적용)'!W$40+'1.4.조성법총괄(내부이동률 적용)'!W$43*$AK$2)*$AB90)+(BD$80*$AC90),0)</f>
        <v>357</v>
      </c>
      <c r="AB90" s="936">
        <f>+H90/'1.4.조성법총괄(내부이동률 적용)'!$D$44</f>
        <v>1.8299189073836961E-2</v>
      </c>
      <c r="AC90" s="934">
        <f t="shared" si="62"/>
        <v>2.2531695460815869E-2</v>
      </c>
      <c r="AD90" s="1080"/>
      <c r="AE90" s="711"/>
      <c r="AF90" s="1135"/>
      <c r="AG90" s="1133" t="s">
        <v>24</v>
      </c>
      <c r="AH90" s="1169"/>
      <c r="AI90" s="1237">
        <f>+'사회적유입인구의 처리구역별 배분(적용)'!D83</f>
        <v>0</v>
      </c>
      <c r="AJ90" s="1237">
        <f>+'사회적유입인구의 처리구역별 배분(적용)'!E83</f>
        <v>0</v>
      </c>
      <c r="AK90" s="1237">
        <f>+'사회적유입인구의 처리구역별 배분(적용)'!F83</f>
        <v>0</v>
      </c>
      <c r="AL90" s="1237">
        <f>+'사회적유입인구의 처리구역별 배분(적용)'!G83</f>
        <v>0</v>
      </c>
      <c r="AM90" s="1237">
        <f>+'사회적유입인구의 처리구역별 배분(적용)'!H83</f>
        <v>0</v>
      </c>
      <c r="AN90" s="1237">
        <f>+'사회적유입인구의 처리구역별 배분(적용)'!I83</f>
        <v>0</v>
      </c>
      <c r="AO90" s="1237">
        <f>+'사회적유입인구의 처리구역별 배분(적용)'!J83</f>
        <v>0</v>
      </c>
      <c r="AP90" s="1237">
        <f>+'사회적유입인구의 처리구역별 배분(적용)'!K83</f>
        <v>0</v>
      </c>
      <c r="AQ90" s="1237">
        <f>+'사회적유입인구의 처리구역별 배분(적용)'!L83</f>
        <v>0</v>
      </c>
      <c r="AR90" s="1237">
        <f>+'사회적유입인구의 처리구역별 배분(적용)'!M83</f>
        <v>0</v>
      </c>
      <c r="AS90" s="1237">
        <f>+'사회적유입인구의 처리구역별 배분(적용)'!N83</f>
        <v>0</v>
      </c>
      <c r="AT90" s="1237">
        <f>+'사회적유입인구의 처리구역별 배분(적용)'!O83</f>
        <v>537</v>
      </c>
      <c r="AU90" s="1237">
        <f>+'사회적유입인구의 처리구역별 배분(적용)'!P83</f>
        <v>537</v>
      </c>
      <c r="AV90" s="1237">
        <f>+'사회적유입인구의 처리구역별 배분(적용)'!Q83</f>
        <v>537</v>
      </c>
      <c r="AW90" s="1237">
        <f>+'사회적유입인구의 처리구역별 배분(적용)'!R83</f>
        <v>537</v>
      </c>
      <c r="AX90" s="1237">
        <f>+'사회적유입인구의 처리구역별 배분(적용)'!S83</f>
        <v>537</v>
      </c>
      <c r="AY90" s="1237">
        <f>+'사회적유입인구의 처리구역별 배분(적용)'!T83</f>
        <v>537</v>
      </c>
      <c r="AZ90" s="1237">
        <f>+'사회적유입인구의 처리구역별 배분(적용)'!U83</f>
        <v>537</v>
      </c>
      <c r="BA90" s="1237">
        <f>+'사회적유입인구의 처리구역별 배분(적용)'!V83</f>
        <v>537</v>
      </c>
      <c r="BB90" s="1237">
        <f>+'사회적유입인구의 처리구역별 배분(적용)'!W83</f>
        <v>537</v>
      </c>
      <c r="BC90" s="1237">
        <f>+'사회적유입인구의 처리구역별 배분(적용)'!X83</f>
        <v>537</v>
      </c>
      <c r="BD90" s="1237">
        <f>+'사회적유입인구의 처리구역별 배분(적용)'!Y83</f>
        <v>3645</v>
      </c>
      <c r="BE90" s="871"/>
    </row>
    <row r="91" spans="1:57" ht="24" customHeight="1" thickBot="1">
      <c r="A91" s="2640"/>
      <c r="B91" s="2636"/>
      <c r="C91" s="2636"/>
      <c r="D91" s="2637"/>
      <c r="E91" s="1243" t="s">
        <v>875</v>
      </c>
      <c r="F91" s="713"/>
      <c r="G91" s="935">
        <f>+'2014처리구역인구 정리'!I85</f>
        <v>329</v>
      </c>
      <c r="H91" s="935">
        <f>+'2014처리구역인구 정리'!J85</f>
        <v>391</v>
      </c>
      <c r="I91" s="925">
        <f>ROUND((('1.4.조성법총괄(내부이동률 적용)'!E$40+'1.4.조성법총괄(내부이동률 적용)'!E$43*$AK$2)*$AB91)+(AL$80*$AC91),0)</f>
        <v>392</v>
      </c>
      <c r="J91" s="925">
        <f>ROUND((('1.4.조성법총괄(내부이동률 적용)'!F$40+'1.4.조성법총괄(내부이동률 적용)'!F$43*$AK$2)*$AB91)+(AM$80*$AC91),0)</f>
        <v>392</v>
      </c>
      <c r="K91" s="925">
        <f>ROUND((('1.4.조성법총괄(내부이동률 적용)'!G$40+'1.4.조성법총괄(내부이동률 적용)'!G$43*$AK$2)*$AB91)+(AN$80*$AC91),0)</f>
        <v>362</v>
      </c>
      <c r="L91" s="907">
        <f>ROUND((('1.4.조성법총괄(내부이동률 적용)'!H$40+'1.4.조성법총괄(내부이동률 적용)'!H$43*$AK$2)*$AB91)+(AO$80*$AC91),0)</f>
        <v>385</v>
      </c>
      <c r="M91" s="925">
        <f>ROUND((('1.4.조성법총괄(내부이동률 적용)'!I$40+'1.4.조성법총괄(내부이동률 적용)'!I$43*$AK$2)*$AB91)+(AP$80*$AC91),0)</f>
        <v>388</v>
      </c>
      <c r="N91" s="925">
        <f>ROUND((('1.4.조성법총괄(내부이동률 적용)'!J$40+'1.4.조성법총괄(내부이동률 적용)'!J$43*$AK$2)*$AB91)+(AQ$80*$AC91),0)</f>
        <v>390</v>
      </c>
      <c r="O91" s="925">
        <f>ROUND((('1.4.조성법총괄(내부이동률 적용)'!K$40+'1.4.조성법총괄(내부이동률 적용)'!K$43*$AK$2)*$AB91)+(AR$80*$AC91),0)</f>
        <v>392</v>
      </c>
      <c r="P91" s="925">
        <f>ROUND((('1.4.조성법총괄(내부이동률 적용)'!L$40+'1.4.조성법총괄(내부이동률 적용)'!L$43*$AK$2)*$AB91)+(AS$80*$AC91),0)</f>
        <v>395</v>
      </c>
      <c r="Q91" s="907">
        <f>ROUND((('1.4.조성법총괄(내부이동률 적용)'!M$40+'1.4.조성법총괄(내부이동률 적용)'!M$43*$AK$2)*$AB91)+(AT$80*$AC91),0)</f>
        <v>395</v>
      </c>
      <c r="R91" s="925">
        <f>ROUND((('1.4.조성법총괄(내부이동률 적용)'!N$40+'1.4.조성법총괄(내부이동률 적용)'!N$43*$AK$2)*$AB91)+(AU$80*$AC91),0)</f>
        <v>397</v>
      </c>
      <c r="S91" s="925">
        <f>ROUND((('1.4.조성법총괄(내부이동률 적용)'!O$40+'1.4.조성법총괄(내부이동률 적용)'!O$43*$AK$2)*$AB91)+(AV$80*$AC91),0)</f>
        <v>398</v>
      </c>
      <c r="T91" s="925">
        <f>ROUND((('1.4.조성법총괄(내부이동률 적용)'!P$40+'1.4.조성법총괄(내부이동률 적용)'!P$43*$AK$2)*$AB91)+(AW$80*$AC91),0)</f>
        <v>400</v>
      </c>
      <c r="U91" s="925">
        <f>ROUND((('1.4.조성법총괄(내부이동률 적용)'!Q$40+'1.4.조성법총괄(내부이동률 적용)'!Q$43*$AK$2)*$AB91)+(AX$80*$AC91),0)</f>
        <v>402</v>
      </c>
      <c r="V91" s="715">
        <f>ROUND((('1.4.조성법총괄(내부이동률 적용)'!R$40+'1.4.조성법총괄(내부이동률 적용)'!R$43*$AK$2)*$AB91)+(AY$80*$AC91),0)</f>
        <v>404</v>
      </c>
      <c r="W91" s="714">
        <f>ROUND((('1.4.조성법총괄(내부이동률 적용)'!S$40+'1.4.조성법총괄(내부이동률 적용)'!S$43*$AK$2)*$AB91)+(AZ$80*$AC91),0)</f>
        <v>406</v>
      </c>
      <c r="X91" s="714">
        <f>ROUND((('1.4.조성법총괄(내부이동률 적용)'!T$40+'1.4.조성법총괄(내부이동률 적용)'!T$43*$AK$2)*$AB91)+(BA$80*$AC91),0)</f>
        <v>408</v>
      </c>
      <c r="Y91" s="714">
        <f>ROUND((('1.4.조성법총괄(내부이동률 적용)'!U$40+'1.4.조성법총괄(내부이동률 적용)'!U$43*$AK$2)*$AB91)+(BB$80*$AC91),0)</f>
        <v>410</v>
      </c>
      <c r="Z91" s="714">
        <f>ROUND((('1.4.조성법총괄(내부이동률 적용)'!V$40+'1.4.조성법총괄(내부이동률 적용)'!V$43*$AK$2)*$AB91)+(BC$80*$AC91),0)</f>
        <v>412</v>
      </c>
      <c r="AA91" s="715">
        <f>ROUND((('1.4.조성법총괄(내부이동률 적용)'!W$40+'1.4.조성법총괄(내부이동률 적용)'!W$43*$AK$2)*$AB91)+(BD$80*$AC91),0)</f>
        <v>407</v>
      </c>
      <c r="AB91" s="936">
        <f>+H91/'1.4.조성법총괄(내부이동률 적용)'!$D$44</f>
        <v>2.0860008536064872E-2</v>
      </c>
      <c r="AC91" s="934">
        <f t="shared" si="62"/>
        <v>2.5684819023845496E-2</v>
      </c>
      <c r="AD91" s="1080"/>
      <c r="AE91" s="711"/>
      <c r="AF91" s="1131" t="s">
        <v>673</v>
      </c>
      <c r="AG91" s="874" t="s">
        <v>94</v>
      </c>
      <c r="AH91" s="880" t="str">
        <f>'사회적유입인구의 처리구역별 배분(적용)'!C84</f>
        <v>생극택지지구</v>
      </c>
      <c r="AI91" s="881">
        <f>+'사회적유입인구의 처리구역별 배분(적용)'!D84</f>
        <v>0</v>
      </c>
      <c r="AJ91" s="881">
        <f>+'사회적유입인구의 처리구역별 배분(적용)'!E84</f>
        <v>0</v>
      </c>
      <c r="AK91" s="881">
        <f>+'사회적유입인구의 처리구역별 배분(적용)'!F84</f>
        <v>0</v>
      </c>
      <c r="AL91" s="881">
        <f>+'사회적유입인구의 처리구역별 배분(적용)'!G84</f>
        <v>0</v>
      </c>
      <c r="AM91" s="881">
        <f>+'사회적유입인구의 처리구역별 배분(적용)'!H84</f>
        <v>0</v>
      </c>
      <c r="AN91" s="881">
        <f>+'사회적유입인구의 처리구역별 배분(적용)'!I84</f>
        <v>0</v>
      </c>
      <c r="AO91" s="881">
        <f>+'사회적유입인구의 처리구역별 배분(적용)'!J84</f>
        <v>0</v>
      </c>
      <c r="AP91" s="881">
        <f>+'사회적유입인구의 처리구역별 배분(적용)'!K84</f>
        <v>0</v>
      </c>
      <c r="AQ91" s="881">
        <f>+'사회적유입인구의 처리구역별 배분(적용)'!L84</f>
        <v>0</v>
      </c>
      <c r="AR91" s="881">
        <f>+'사회적유입인구의 처리구역별 배분(적용)'!M84</f>
        <v>0</v>
      </c>
      <c r="AS91" s="881">
        <f>+'사회적유입인구의 처리구역별 배분(적용)'!N84</f>
        <v>0</v>
      </c>
      <c r="AT91" s="881">
        <f>+'사회적유입인구의 처리구역별 배분(적용)'!O84</f>
        <v>0</v>
      </c>
      <c r="AU91" s="881">
        <f>+'사회적유입인구의 처리구역별 배분(적용)'!P84</f>
        <v>0</v>
      </c>
      <c r="AV91" s="881">
        <f>+'사회적유입인구의 처리구역별 배분(적용)'!Q84</f>
        <v>0</v>
      </c>
      <c r="AW91" s="881">
        <f>+'사회적유입인구의 처리구역별 배분(적용)'!R84</f>
        <v>0</v>
      </c>
      <c r="AX91" s="881">
        <f>+'사회적유입인구의 처리구역별 배분(적용)'!S84</f>
        <v>0</v>
      </c>
      <c r="AY91" s="881">
        <f>+'사회적유입인구의 처리구역별 배분(적용)'!T84</f>
        <v>0</v>
      </c>
      <c r="AZ91" s="881">
        <f>+'사회적유입인구의 처리구역별 배분(적용)'!U84</f>
        <v>0</v>
      </c>
      <c r="BA91" s="881">
        <f>+'사회적유입인구의 처리구역별 배분(적용)'!V84</f>
        <v>0</v>
      </c>
      <c r="BB91" s="881">
        <f>+'사회적유입인구의 처리구역별 배분(적용)'!W84</f>
        <v>0</v>
      </c>
      <c r="BC91" s="881">
        <f>+'사회적유입인구의 처리구역별 배분(적용)'!X84</f>
        <v>0</v>
      </c>
      <c r="BD91" s="881">
        <f>+'사회적유입인구의 처리구역별 배분(적용)'!Y84</f>
        <v>2331</v>
      </c>
      <c r="BE91" s="882">
        <f>+'사회적유입인구의 처리구역별 배분(적용)'!Z84</f>
        <v>1</v>
      </c>
    </row>
    <row r="92" spans="1:57" s="712" customFormat="1" ht="24" customHeight="1" thickTop="1" thickBot="1">
      <c r="A92" s="2640"/>
      <c r="B92" s="2636"/>
      <c r="C92" s="2636"/>
      <c r="D92" s="2637"/>
      <c r="E92" s="1243" t="s">
        <v>880</v>
      </c>
      <c r="F92" s="713"/>
      <c r="G92" s="935">
        <f>+'2014처리구역인구 정리'!I86</f>
        <v>1088</v>
      </c>
      <c r="H92" s="935">
        <f>+'2014처리구역인구 정리'!J86</f>
        <v>1249</v>
      </c>
      <c r="I92" s="925">
        <f>ROUND((('1.4.조성법총괄(내부이동률 적용)'!E$40+'1.4.조성법총괄(내부이동률 적용)'!E$43*$AK$2)*$AB92)+(AL$80*$AC92),0)</f>
        <v>1251</v>
      </c>
      <c r="J92" s="925">
        <f>ROUND((('1.4.조성법총괄(내부이동률 적용)'!F$40+'1.4.조성법총괄(내부이동률 적용)'!F$43*$AK$2)*$AB92)+(AM$80*$AC92),0)</f>
        <v>1253</v>
      </c>
      <c r="K92" s="925">
        <f>ROUND((('1.4.조성법총괄(내부이동률 적용)'!G$40+'1.4.조성법총괄(내부이동률 적용)'!G$43*$AK$2)*$AB92)+(AN$80*$AC92),0)</f>
        <v>1156</v>
      </c>
      <c r="L92" s="907">
        <f>ROUND((('1.4.조성법총괄(내부이동률 적용)'!H$40+'1.4.조성법총괄(내부이동률 적용)'!H$43*$AK$2)*$AB92)+(AO$80*$AC92),0)</f>
        <v>1231</v>
      </c>
      <c r="M92" s="925">
        <f>ROUND((('1.4.조성법총괄(내부이동률 적용)'!I$40+'1.4.조성법총괄(내부이동률 적용)'!I$43*$AK$2)*$AB92)+(AP$80*$AC92),0)</f>
        <v>1239</v>
      </c>
      <c r="N92" s="925">
        <f>ROUND((('1.4.조성법총괄(내부이동률 적용)'!J$40+'1.4.조성법총괄(내부이동률 적용)'!J$43*$AK$2)*$AB92)+(AQ$80*$AC92),0)</f>
        <v>1246</v>
      </c>
      <c r="O92" s="925">
        <f>ROUND((('1.4.조성법총괄(내부이동률 적용)'!K$40+'1.4.조성법총괄(내부이동률 적용)'!K$43*$AK$2)*$AB92)+(AR$80*$AC92),0)</f>
        <v>1253</v>
      </c>
      <c r="P92" s="925">
        <f>ROUND((('1.4.조성법총괄(내부이동률 적용)'!L$40+'1.4.조성법총괄(내부이동률 적용)'!L$43*$AK$2)*$AB92)+(AS$80*$AC92),0)</f>
        <v>1261</v>
      </c>
      <c r="Q92" s="907">
        <f>ROUND((('1.4.조성법총괄(내부이동률 적용)'!M$40+'1.4.조성법총괄(내부이동률 적용)'!M$43*$AK$2)*$AB92)+(AT$80*$AC92),0)</f>
        <v>1261</v>
      </c>
      <c r="R92" s="925">
        <f>ROUND((('1.4.조성법총괄(내부이동률 적용)'!N$40+'1.4.조성법총괄(내부이동률 적용)'!N$43*$AK$2)*$AB92)+(AU$80*$AC92),0)</f>
        <v>1267</v>
      </c>
      <c r="S92" s="925">
        <f>ROUND((('1.4.조성법총괄(내부이동률 적용)'!O$40+'1.4.조성법총괄(내부이동률 적용)'!O$43*$AK$2)*$AB92)+(AV$80*$AC92),0)</f>
        <v>1273</v>
      </c>
      <c r="T92" s="925">
        <f>ROUND((('1.4.조성법총괄(내부이동률 적용)'!P$40+'1.4.조성법총괄(내부이동률 적용)'!P$43*$AK$2)*$AB92)+(AW$80*$AC92),0)</f>
        <v>1279</v>
      </c>
      <c r="U92" s="925">
        <f>ROUND((('1.4.조성법총괄(내부이동률 적용)'!Q$40+'1.4.조성법총괄(내부이동률 적용)'!Q$43*$AK$2)*$AB92)+(AX$80*$AC92),0)</f>
        <v>1285</v>
      </c>
      <c r="V92" s="715">
        <f>ROUND((('1.4.조성법총괄(내부이동률 적용)'!R$40+'1.4.조성법총괄(내부이동률 적용)'!R$43*$AK$2)*$AB92)+(AY$80*$AC92),0)</f>
        <v>1291</v>
      </c>
      <c r="W92" s="714">
        <f>ROUND((('1.4.조성법총괄(내부이동률 적용)'!S$40+'1.4.조성법총괄(내부이동률 적용)'!S$43*$AK$2)*$AB92)+(AZ$80*$AC92),0)</f>
        <v>1297</v>
      </c>
      <c r="X92" s="714">
        <f>ROUND((('1.4.조성법총괄(내부이동률 적용)'!T$40+'1.4.조성법총괄(내부이동률 적용)'!T$43*$AK$2)*$AB92)+(BA$80*$AC92),0)</f>
        <v>1303</v>
      </c>
      <c r="Y92" s="714">
        <f>ROUND((('1.4.조성법총괄(내부이동률 적용)'!U$40+'1.4.조성법총괄(내부이동률 적용)'!U$43*$AK$2)*$AB92)+(BB$80*$AC92),0)</f>
        <v>1310</v>
      </c>
      <c r="Z92" s="714">
        <f>ROUND((('1.4.조성법총괄(내부이동률 적용)'!V$40+'1.4.조성법총괄(내부이동률 적용)'!V$43*$AK$2)*$AB92)+(BC$80*$AC92),0)</f>
        <v>1316</v>
      </c>
      <c r="AA92" s="715">
        <f>ROUND((('1.4.조성법총괄(내부이동률 적용)'!W$40+'1.4.조성법총괄(내부이동률 적용)'!W$43*$AK$2)*$AB92)+(BD$80*$AC92),0)</f>
        <v>1301</v>
      </c>
      <c r="AB92" s="936">
        <f>+H92/'1.4.조성법총괄(내부이동률 적용)'!$D$44</f>
        <v>6.6634656423388824E-2</v>
      </c>
      <c r="AC92" s="934">
        <f t="shared" si="62"/>
        <v>8.2046902713000067E-2</v>
      </c>
      <c r="AD92" s="1080"/>
      <c r="AE92" s="711"/>
      <c r="AF92" s="1135"/>
      <c r="AG92" s="875"/>
      <c r="AH92" s="880" t="str">
        <f>'사회적유입인구의 처리구역별 배분(적용)'!C85</f>
        <v>소  계</v>
      </c>
      <c r="AI92" s="881">
        <f>+'사회적유입인구의 처리구역별 배분(적용)'!D85</f>
        <v>0</v>
      </c>
      <c r="AJ92" s="881">
        <f>+'사회적유입인구의 처리구역별 배분(적용)'!E85</f>
        <v>0</v>
      </c>
      <c r="AK92" s="881">
        <f>+'사회적유입인구의 처리구역별 배분(적용)'!F85</f>
        <v>0</v>
      </c>
      <c r="AL92" s="881">
        <f>+'사회적유입인구의 처리구역별 배분(적용)'!G85</f>
        <v>0</v>
      </c>
      <c r="AM92" s="881">
        <f>+'사회적유입인구의 처리구역별 배분(적용)'!H85</f>
        <v>0</v>
      </c>
      <c r="AN92" s="881">
        <f>+'사회적유입인구의 처리구역별 배분(적용)'!I85</f>
        <v>0</v>
      </c>
      <c r="AO92" s="881">
        <f>+'사회적유입인구의 처리구역별 배분(적용)'!J85</f>
        <v>0</v>
      </c>
      <c r="AP92" s="881">
        <f>+'사회적유입인구의 처리구역별 배분(적용)'!K85</f>
        <v>0</v>
      </c>
      <c r="AQ92" s="881">
        <f>+'사회적유입인구의 처리구역별 배분(적용)'!L85</f>
        <v>0</v>
      </c>
      <c r="AR92" s="881">
        <f>+'사회적유입인구의 처리구역별 배분(적용)'!M85</f>
        <v>0</v>
      </c>
      <c r="AS92" s="881">
        <f>+'사회적유입인구의 처리구역별 배분(적용)'!N85</f>
        <v>0</v>
      </c>
      <c r="AT92" s="881">
        <f>+'사회적유입인구의 처리구역별 배분(적용)'!O85</f>
        <v>0</v>
      </c>
      <c r="AU92" s="881">
        <f>+'사회적유입인구의 처리구역별 배분(적용)'!P85</f>
        <v>0</v>
      </c>
      <c r="AV92" s="881">
        <f>+'사회적유입인구의 처리구역별 배분(적용)'!Q85</f>
        <v>0</v>
      </c>
      <c r="AW92" s="881">
        <f>+'사회적유입인구의 처리구역별 배분(적용)'!R85</f>
        <v>0</v>
      </c>
      <c r="AX92" s="881">
        <f>+'사회적유입인구의 처리구역별 배분(적용)'!S85</f>
        <v>0</v>
      </c>
      <c r="AY92" s="881">
        <f>+'사회적유입인구의 처리구역별 배분(적용)'!T85</f>
        <v>0</v>
      </c>
      <c r="AZ92" s="881">
        <f>+'사회적유입인구의 처리구역별 배분(적용)'!U85</f>
        <v>0</v>
      </c>
      <c r="BA92" s="881">
        <f>+'사회적유입인구의 처리구역별 배분(적용)'!V85</f>
        <v>0</v>
      </c>
      <c r="BB92" s="881">
        <f>+'사회적유입인구의 처리구역별 배분(적용)'!W85</f>
        <v>0</v>
      </c>
      <c r="BC92" s="881">
        <f>+'사회적유입인구의 처리구역별 배분(적용)'!X85</f>
        <v>0</v>
      </c>
      <c r="BD92" s="881">
        <f>+'사회적유입인구의 처리구역별 배분(적용)'!Y85</f>
        <v>2331</v>
      </c>
      <c r="BE92" s="882"/>
    </row>
    <row r="93" spans="1:57" ht="24" customHeight="1" thickTop="1">
      <c r="A93" s="2640"/>
      <c r="B93" s="2636"/>
      <c r="C93" s="2636"/>
      <c r="D93" s="2637"/>
      <c r="E93" s="1244" t="s">
        <v>1268</v>
      </c>
      <c r="F93" s="713"/>
      <c r="G93" s="935">
        <f t="shared" ref="G93:AA93" si="63">AJ65</f>
        <v>0</v>
      </c>
      <c r="H93" s="935">
        <f t="shared" si="63"/>
        <v>0</v>
      </c>
      <c r="I93" s="935">
        <f t="shared" si="63"/>
        <v>0</v>
      </c>
      <c r="J93" s="935">
        <f t="shared" si="63"/>
        <v>518</v>
      </c>
      <c r="K93" s="935">
        <f t="shared" si="63"/>
        <v>518</v>
      </c>
      <c r="L93" s="935">
        <f t="shared" si="63"/>
        <v>518</v>
      </c>
      <c r="M93" s="935">
        <f t="shared" si="63"/>
        <v>518</v>
      </c>
      <c r="N93" s="935">
        <f t="shared" si="63"/>
        <v>518</v>
      </c>
      <c r="O93" s="935">
        <f t="shared" si="63"/>
        <v>518</v>
      </c>
      <c r="P93" s="935">
        <f t="shared" si="63"/>
        <v>518</v>
      </c>
      <c r="Q93" s="935">
        <f t="shared" si="63"/>
        <v>518</v>
      </c>
      <c r="R93" s="935">
        <f t="shared" si="63"/>
        <v>518</v>
      </c>
      <c r="S93" s="935">
        <f t="shared" si="63"/>
        <v>518</v>
      </c>
      <c r="T93" s="935">
        <f t="shared" si="63"/>
        <v>518</v>
      </c>
      <c r="U93" s="935">
        <f t="shared" si="63"/>
        <v>518</v>
      </c>
      <c r="V93" s="935">
        <f t="shared" si="63"/>
        <v>518</v>
      </c>
      <c r="W93" s="935">
        <f t="shared" si="63"/>
        <v>518</v>
      </c>
      <c r="X93" s="935">
        <f t="shared" si="63"/>
        <v>518</v>
      </c>
      <c r="Y93" s="935">
        <f t="shared" si="63"/>
        <v>518</v>
      </c>
      <c r="Z93" s="935">
        <f t="shared" si="63"/>
        <v>518</v>
      </c>
      <c r="AA93" s="935">
        <f t="shared" si="63"/>
        <v>518</v>
      </c>
      <c r="AB93" s="936"/>
      <c r="AC93" s="934"/>
      <c r="AD93" s="1080" t="str">
        <f>AH65</f>
        <v>웰메이드타운</v>
      </c>
      <c r="AE93" s="711" t="s">
        <v>1571</v>
      </c>
      <c r="AF93" s="1004" t="s">
        <v>1234</v>
      </c>
      <c r="AG93" s="875" t="s">
        <v>95</v>
      </c>
      <c r="AH93" s="885" t="str">
        <f>'사회적유입인구의 처리구역별 배분(적용)'!C86</f>
        <v>태경에코그린</v>
      </c>
      <c r="AI93" s="886">
        <f>+'사회적유입인구의 처리구역별 배분(적용)'!D86</f>
        <v>0</v>
      </c>
      <c r="AJ93" s="886">
        <f>+'사회적유입인구의 처리구역별 배분(적용)'!E86</f>
        <v>0</v>
      </c>
      <c r="AK93" s="886">
        <f>+'사회적유입인구의 처리구역별 배분(적용)'!F86</f>
        <v>0</v>
      </c>
      <c r="AL93" s="886">
        <f>+'사회적유입인구의 처리구역별 배분(적용)'!G86</f>
        <v>0</v>
      </c>
      <c r="AM93" s="886">
        <f>+'사회적유입인구의 처리구역별 배분(적용)'!H86</f>
        <v>0</v>
      </c>
      <c r="AN93" s="886">
        <f>+'사회적유입인구의 처리구역별 배분(적용)'!I86</f>
        <v>83</v>
      </c>
      <c r="AO93" s="886">
        <f>+'사회적유입인구의 처리구역별 배분(적용)'!J86</f>
        <v>83</v>
      </c>
      <c r="AP93" s="886">
        <f>+'사회적유입인구의 처리구역별 배분(적용)'!K86</f>
        <v>83</v>
      </c>
      <c r="AQ93" s="886">
        <f>+'사회적유입인구의 처리구역별 배분(적용)'!L86</f>
        <v>83</v>
      </c>
      <c r="AR93" s="886">
        <f>+'사회적유입인구의 처리구역별 배분(적용)'!M86</f>
        <v>83</v>
      </c>
      <c r="AS93" s="886">
        <f>+'사회적유입인구의 처리구역별 배분(적용)'!N86</f>
        <v>83</v>
      </c>
      <c r="AT93" s="886">
        <f>+'사회적유입인구의 처리구역별 배분(적용)'!O86</f>
        <v>83</v>
      </c>
      <c r="AU93" s="886">
        <f>+'사회적유입인구의 처리구역별 배분(적용)'!P86</f>
        <v>83</v>
      </c>
      <c r="AV93" s="886">
        <f>+'사회적유입인구의 처리구역별 배분(적용)'!Q86</f>
        <v>83</v>
      </c>
      <c r="AW93" s="886">
        <f>+'사회적유입인구의 처리구역별 배분(적용)'!R86</f>
        <v>83</v>
      </c>
      <c r="AX93" s="886">
        <f>+'사회적유입인구의 처리구역별 배분(적용)'!S86</f>
        <v>83</v>
      </c>
      <c r="AY93" s="886">
        <f>+'사회적유입인구의 처리구역별 배분(적용)'!T86</f>
        <v>83</v>
      </c>
      <c r="AZ93" s="886">
        <f>+'사회적유입인구의 처리구역별 배분(적용)'!U86</f>
        <v>83</v>
      </c>
      <c r="BA93" s="886">
        <f>+'사회적유입인구의 처리구역별 배분(적용)'!V86</f>
        <v>83</v>
      </c>
      <c r="BB93" s="886">
        <f>+'사회적유입인구의 처리구역별 배분(적용)'!W86</f>
        <v>83</v>
      </c>
      <c r="BC93" s="886">
        <f>+'사회적유입인구의 처리구역별 배분(적용)'!X86</f>
        <v>83</v>
      </c>
      <c r="BD93" s="886">
        <f>+'사회적유입인구의 처리구역별 배분(적용)'!Y86</f>
        <v>83</v>
      </c>
      <c r="BE93" s="887">
        <f>+'사회적유입인구의 처리구역별 배분(적용)'!Z86</f>
        <v>1</v>
      </c>
    </row>
    <row r="94" spans="1:57" ht="24" customHeight="1">
      <c r="A94" s="2640"/>
      <c r="B94" s="2636"/>
      <c r="C94" s="2636"/>
      <c r="D94" s="2637" t="s">
        <v>856</v>
      </c>
      <c r="E94" s="1243" t="s">
        <v>857</v>
      </c>
      <c r="F94" s="713"/>
      <c r="G94" s="935">
        <f>+'2014처리구역인구 정리'!I87</f>
        <v>227</v>
      </c>
      <c r="H94" s="935">
        <f>+'2014처리구역인구 정리'!J87</f>
        <v>261</v>
      </c>
      <c r="I94" s="925">
        <f>ROUND((('1.4.조성법총괄(내부이동률 적용)'!E$40+'1.4.조성법총괄(내부이동률 적용)'!E$43*$AK$2)*$AB94)+(AL$21*$AC94),0)</f>
        <v>261</v>
      </c>
      <c r="J94" s="925">
        <f>ROUND((('1.4.조성법총괄(내부이동률 적용)'!F$40+'1.4.조성법총괄(내부이동률 적용)'!F$43*$AK$2)*$AB94)+(AM$21*$AC94),0)</f>
        <v>262</v>
      </c>
      <c r="K94" s="925">
        <f>ROUND((('1.4.조성법총괄(내부이동률 적용)'!G$40+'1.4.조성법총괄(내부이동률 적용)'!G$43*$AK$2)*$AB94)+(AN$21*$AC94),0)</f>
        <v>241</v>
      </c>
      <c r="L94" s="907">
        <f>ROUND((('1.4.조성법총괄(내부이동률 적용)'!H$40+'1.4.조성법총괄(내부이동률 적용)'!H$43*$AK$2)*$AB94)+(AO$21*$AC94),0)</f>
        <v>257</v>
      </c>
      <c r="M94" s="925">
        <f>ROUND((('1.4.조성법총괄(내부이동률 적용)'!I$40+'1.4.조성법총괄(내부이동률 적용)'!I$43*$AK$2)*$AB94)+(AP$21*$AC94),0)</f>
        <v>259</v>
      </c>
      <c r="N94" s="925">
        <f>ROUND((('1.4.조성법총괄(내부이동률 적용)'!J$40+'1.4.조성법총괄(내부이동률 적용)'!J$43*$AK$2)*$AB94)+(AQ$21*$AC94),0)</f>
        <v>260</v>
      </c>
      <c r="O94" s="925">
        <f>ROUND((('1.4.조성법총괄(내부이동률 적용)'!K$40+'1.4.조성법총괄(내부이동률 적용)'!K$43*$AK$2)*$AB94)+(AR$21*$AC94),0)</f>
        <v>262</v>
      </c>
      <c r="P94" s="925">
        <f>ROUND((('1.4.조성법총괄(내부이동률 적용)'!L$40+'1.4.조성법총괄(내부이동률 적용)'!L$43*$AK$2)*$AB94)+(AS$21*$AC94),0)</f>
        <v>263</v>
      </c>
      <c r="Q94" s="907">
        <f>ROUND((('1.4.조성법총괄(내부이동률 적용)'!M$40+'1.4.조성법총괄(내부이동률 적용)'!M$43*$AK$2)*$AB94)+(AT$21*$AC94),0)</f>
        <v>263</v>
      </c>
      <c r="R94" s="925">
        <f>ROUND((('1.4.조성법총괄(내부이동률 적용)'!N$40+'1.4.조성법총괄(내부이동률 적용)'!N$43*$AK$2)*$AB94)+(AU$21*$AC94),0)</f>
        <v>265</v>
      </c>
      <c r="S94" s="925">
        <f>ROUND((('1.4.조성법총괄(내부이동률 적용)'!O$40+'1.4.조성법총괄(내부이동률 적용)'!O$43*$AK$2)*$AB94)+(AV$21*$AC94),0)</f>
        <v>266</v>
      </c>
      <c r="T94" s="925">
        <f>ROUND((('1.4.조성법총괄(내부이동률 적용)'!P$40+'1.4.조성법총괄(내부이동률 적용)'!P$43*$AK$2)*$AB94)+(AW$21*$AC94),0)</f>
        <v>267</v>
      </c>
      <c r="U94" s="925">
        <f>ROUND((('1.4.조성법총괄(내부이동률 적용)'!Q$40+'1.4.조성법총괄(내부이동률 적용)'!Q$43*$AK$2)*$AB94)+(AX$21*$AC94),0)</f>
        <v>269</v>
      </c>
      <c r="V94" s="715">
        <f>ROUND((('1.4.조성법총괄(내부이동률 적용)'!R$40+'1.4.조성법총괄(내부이동률 적용)'!R$43*$AK$2)*$AB94)+(AY$21*$AC94),0)</f>
        <v>270</v>
      </c>
      <c r="W94" s="714">
        <f>ROUND((('1.4.조성법총괄(내부이동률 적용)'!S$40+'1.4.조성법총괄(내부이동률 적용)'!S$43*$AK$2)*$AB94)+(AZ$21*$AC94),0)</f>
        <v>271</v>
      </c>
      <c r="X94" s="714">
        <f>ROUND((('1.4.조성법총괄(내부이동률 적용)'!T$40+'1.4.조성법총괄(내부이동률 적용)'!T$43*$AK$2)*$AB94)+(BA$21*$AC94),0)</f>
        <v>272</v>
      </c>
      <c r="Y94" s="714">
        <f>ROUND((('1.4.조성법총괄(내부이동률 적용)'!U$40+'1.4.조성법총괄(내부이동률 적용)'!U$43*$AK$2)*$AB94)+(BB$21*$AC94),0)</f>
        <v>274</v>
      </c>
      <c r="Z94" s="714">
        <f>ROUND((('1.4.조성법총괄(내부이동률 적용)'!V$40+'1.4.조성법총괄(내부이동률 적용)'!V$43*$AK$2)*$AB94)+(BC$21*$AC94),0)</f>
        <v>275</v>
      </c>
      <c r="AA94" s="715">
        <f>ROUND((('1.4.조성법총괄(내부이동률 적용)'!W$40+'1.4.조성법총괄(내부이동률 적용)'!W$43*$AK$2)*$AB94)+(BD$21*$AC94),0)</f>
        <v>341</v>
      </c>
      <c r="AB94" s="936">
        <f>+H94/'1.4.조성법총괄(내부이동률 적용)'!$D$44</f>
        <v>1.3924455825864277E-2</v>
      </c>
      <c r="AC94" s="934">
        <f>+H94/$AE$77</f>
        <v>1.7145109373973594E-2</v>
      </c>
      <c r="AD94" s="1080"/>
      <c r="AE94" s="711"/>
      <c r="AF94" s="1005"/>
      <c r="AG94" s="875"/>
      <c r="AH94" s="888" t="str">
        <f>'사회적유입인구의 처리구역별 배분(적용)'!C87</f>
        <v>소  계</v>
      </c>
      <c r="AI94" s="870">
        <f>+'사회적유입인구의 처리구역별 배분(적용)'!D87</f>
        <v>0</v>
      </c>
      <c r="AJ94" s="870">
        <f>+'사회적유입인구의 처리구역별 배분(적용)'!E87</f>
        <v>0</v>
      </c>
      <c r="AK94" s="870">
        <f>+'사회적유입인구의 처리구역별 배분(적용)'!F87</f>
        <v>0</v>
      </c>
      <c r="AL94" s="870">
        <f>+'사회적유입인구의 처리구역별 배분(적용)'!G87</f>
        <v>0</v>
      </c>
      <c r="AM94" s="870">
        <f>+'사회적유입인구의 처리구역별 배분(적용)'!H87</f>
        <v>0</v>
      </c>
      <c r="AN94" s="870">
        <f>+'사회적유입인구의 처리구역별 배분(적용)'!I87</f>
        <v>83</v>
      </c>
      <c r="AO94" s="870">
        <f>+'사회적유입인구의 처리구역별 배분(적용)'!J87</f>
        <v>83</v>
      </c>
      <c r="AP94" s="870">
        <f>+'사회적유입인구의 처리구역별 배분(적용)'!K87</f>
        <v>83</v>
      </c>
      <c r="AQ94" s="870">
        <f>+'사회적유입인구의 처리구역별 배분(적용)'!L87</f>
        <v>83</v>
      </c>
      <c r="AR94" s="870">
        <f>+'사회적유입인구의 처리구역별 배분(적용)'!M87</f>
        <v>83</v>
      </c>
      <c r="AS94" s="870">
        <f>+'사회적유입인구의 처리구역별 배분(적용)'!N87</f>
        <v>83</v>
      </c>
      <c r="AT94" s="870">
        <f>+'사회적유입인구의 처리구역별 배분(적용)'!O87</f>
        <v>83</v>
      </c>
      <c r="AU94" s="870">
        <f>+'사회적유입인구의 처리구역별 배분(적용)'!P87</f>
        <v>83</v>
      </c>
      <c r="AV94" s="870">
        <f>+'사회적유입인구의 처리구역별 배분(적용)'!Q87</f>
        <v>83</v>
      </c>
      <c r="AW94" s="870">
        <f>+'사회적유입인구의 처리구역별 배분(적용)'!R87</f>
        <v>83</v>
      </c>
      <c r="AX94" s="870">
        <f>+'사회적유입인구의 처리구역별 배분(적용)'!S87</f>
        <v>83</v>
      </c>
      <c r="AY94" s="870">
        <f>+'사회적유입인구의 처리구역별 배분(적용)'!T87</f>
        <v>83</v>
      </c>
      <c r="AZ94" s="870">
        <f>+'사회적유입인구의 처리구역별 배분(적용)'!U87</f>
        <v>83</v>
      </c>
      <c r="BA94" s="870">
        <f>+'사회적유입인구의 처리구역별 배분(적용)'!V87</f>
        <v>83</v>
      </c>
      <c r="BB94" s="870">
        <f>+'사회적유입인구의 처리구역별 배분(적용)'!W87</f>
        <v>83</v>
      </c>
      <c r="BC94" s="870">
        <f>+'사회적유입인구의 처리구역별 배분(적용)'!X87</f>
        <v>83</v>
      </c>
      <c r="BD94" s="870">
        <f>+'사회적유입인구의 처리구역별 배분(적용)'!Y87</f>
        <v>83</v>
      </c>
      <c r="BE94" s="889">
        <f>+'사회적유입인구의 처리구역별 배분(적용)'!Z87</f>
        <v>0</v>
      </c>
    </row>
    <row r="95" spans="1:57" ht="24" customHeight="1">
      <c r="A95" s="2640"/>
      <c r="B95" s="2636"/>
      <c r="C95" s="2636"/>
      <c r="D95" s="2637"/>
      <c r="E95" s="1244" t="s">
        <v>1268</v>
      </c>
      <c r="F95" s="713"/>
      <c r="G95" s="935">
        <f t="shared" ref="G95:P97" si="64">AJ67</f>
        <v>0</v>
      </c>
      <c r="H95" s="935">
        <f t="shared" si="64"/>
        <v>0</v>
      </c>
      <c r="I95" s="935">
        <f t="shared" si="64"/>
        <v>0</v>
      </c>
      <c r="J95" s="935">
        <f t="shared" si="64"/>
        <v>0</v>
      </c>
      <c r="K95" s="935">
        <f t="shared" si="64"/>
        <v>0</v>
      </c>
      <c r="L95" s="935">
        <f t="shared" si="64"/>
        <v>0</v>
      </c>
      <c r="M95" s="935">
        <f t="shared" si="64"/>
        <v>0</v>
      </c>
      <c r="N95" s="935">
        <f t="shared" si="64"/>
        <v>0</v>
      </c>
      <c r="O95" s="935">
        <f t="shared" si="64"/>
        <v>0</v>
      </c>
      <c r="P95" s="935">
        <f t="shared" si="64"/>
        <v>0</v>
      </c>
      <c r="Q95" s="935">
        <f t="shared" ref="Q95:Z97" si="65">AT67</f>
        <v>0</v>
      </c>
      <c r="R95" s="935">
        <f t="shared" si="65"/>
        <v>0</v>
      </c>
      <c r="S95" s="935">
        <f t="shared" si="65"/>
        <v>0</v>
      </c>
      <c r="T95" s="935">
        <f t="shared" si="65"/>
        <v>0</v>
      </c>
      <c r="U95" s="935">
        <f t="shared" si="65"/>
        <v>0</v>
      </c>
      <c r="V95" s="935">
        <f t="shared" si="65"/>
        <v>823</v>
      </c>
      <c r="W95" s="935">
        <f t="shared" si="65"/>
        <v>823</v>
      </c>
      <c r="X95" s="935">
        <f t="shared" si="65"/>
        <v>823</v>
      </c>
      <c r="Y95" s="935">
        <f t="shared" si="65"/>
        <v>823</v>
      </c>
      <c r="Z95" s="935">
        <f t="shared" si="65"/>
        <v>823</v>
      </c>
      <c r="AA95" s="935">
        <f t="shared" ref="AA95:AA97" si="66">BD67</f>
        <v>823</v>
      </c>
      <c r="AB95" s="936"/>
      <c r="AC95" s="934"/>
      <c r="AD95" s="1080" t="str">
        <f>AH67</f>
        <v>음성대소지역주택조합</v>
      </c>
      <c r="AE95" s="711" t="s">
        <v>1572</v>
      </c>
      <c r="AF95" s="1005"/>
      <c r="AG95" s="1003" t="s">
        <v>96</v>
      </c>
      <c r="AH95" s="1002" t="str">
        <f>'사회적유입인구의 처리구역별 배분(적용)'!C88</f>
        <v>생극산업단지</v>
      </c>
      <c r="AI95" s="870">
        <f>+'사회적유입인구의 처리구역별 배분(적용)'!D88</f>
        <v>0</v>
      </c>
      <c r="AJ95" s="870">
        <f>+'사회적유입인구의 처리구역별 배분(적용)'!E88</f>
        <v>0</v>
      </c>
      <c r="AK95" s="870">
        <f>+'사회적유입인구의 처리구역별 배분(적용)'!F88</f>
        <v>0</v>
      </c>
      <c r="AL95" s="870">
        <f>+'사회적유입인구의 처리구역별 배분(적용)'!G88</f>
        <v>0</v>
      </c>
      <c r="AM95" s="870">
        <f>+'사회적유입인구의 처리구역별 배분(적용)'!H88</f>
        <v>0</v>
      </c>
      <c r="AN95" s="870">
        <f>+'사회적유입인구의 처리구역별 배분(적용)'!I88</f>
        <v>153</v>
      </c>
      <c r="AO95" s="870">
        <f>+'사회적유입인구의 처리구역별 배분(적용)'!J88</f>
        <v>331</v>
      </c>
      <c r="AP95" s="870">
        <f>+'사회적유입인구의 처리구역별 배분(적용)'!K88</f>
        <v>331</v>
      </c>
      <c r="AQ95" s="870">
        <f>+'사회적유입인구의 처리구역별 배분(적용)'!L88</f>
        <v>331</v>
      </c>
      <c r="AR95" s="870">
        <f>+'사회적유입인구의 처리구역별 배분(적용)'!M88</f>
        <v>331</v>
      </c>
      <c r="AS95" s="870">
        <f>+'사회적유입인구의 처리구역별 배분(적용)'!N88</f>
        <v>331</v>
      </c>
      <c r="AT95" s="870">
        <f>+'사회적유입인구의 처리구역별 배분(적용)'!O88</f>
        <v>331</v>
      </c>
      <c r="AU95" s="870">
        <f>+'사회적유입인구의 처리구역별 배분(적용)'!P88</f>
        <v>331</v>
      </c>
      <c r="AV95" s="870">
        <f>+'사회적유입인구의 처리구역별 배분(적용)'!Q88</f>
        <v>331</v>
      </c>
      <c r="AW95" s="870">
        <f>+'사회적유입인구의 처리구역별 배분(적용)'!R88</f>
        <v>331</v>
      </c>
      <c r="AX95" s="870">
        <f>+'사회적유입인구의 처리구역별 배분(적용)'!S88</f>
        <v>331</v>
      </c>
      <c r="AY95" s="870">
        <f>+'사회적유입인구의 처리구역별 배분(적용)'!T88</f>
        <v>331</v>
      </c>
      <c r="AZ95" s="870">
        <f>+'사회적유입인구의 처리구역별 배분(적용)'!U88</f>
        <v>331</v>
      </c>
      <c r="BA95" s="870">
        <f>+'사회적유입인구의 처리구역별 배분(적용)'!V88</f>
        <v>331</v>
      </c>
      <c r="BB95" s="870">
        <f>+'사회적유입인구의 처리구역별 배분(적용)'!W88</f>
        <v>331</v>
      </c>
      <c r="BC95" s="870">
        <f>+'사회적유입인구의 처리구역별 배분(적용)'!X88</f>
        <v>331</v>
      </c>
      <c r="BD95" s="870">
        <f>+'사회적유입인구의 처리구역별 배분(적용)'!Y88</f>
        <v>331</v>
      </c>
      <c r="BE95" s="871">
        <f>+'사회적유입인구의 처리구역별 배분(적용)'!Z88</f>
        <v>0.6</v>
      </c>
    </row>
    <row r="96" spans="1:57" s="712" customFormat="1" ht="24" customHeight="1">
      <c r="A96" s="2640"/>
      <c r="B96" s="2636"/>
      <c r="C96" s="2636"/>
      <c r="D96" s="2637"/>
      <c r="E96" s="1244" t="s">
        <v>1268</v>
      </c>
      <c r="F96" s="713"/>
      <c r="G96" s="935">
        <f t="shared" si="64"/>
        <v>0</v>
      </c>
      <c r="H96" s="935">
        <f t="shared" si="64"/>
        <v>0</v>
      </c>
      <c r="I96" s="935">
        <f t="shared" si="64"/>
        <v>0</v>
      </c>
      <c r="J96" s="935">
        <f t="shared" si="64"/>
        <v>0</v>
      </c>
      <c r="K96" s="935">
        <f t="shared" si="64"/>
        <v>0</v>
      </c>
      <c r="L96" s="935">
        <f t="shared" si="64"/>
        <v>0</v>
      </c>
      <c r="M96" s="935">
        <f t="shared" si="64"/>
        <v>0</v>
      </c>
      <c r="N96" s="935">
        <f t="shared" si="64"/>
        <v>0</v>
      </c>
      <c r="O96" s="935">
        <f t="shared" si="64"/>
        <v>0</v>
      </c>
      <c r="P96" s="935">
        <f t="shared" si="64"/>
        <v>0</v>
      </c>
      <c r="Q96" s="935">
        <f t="shared" si="65"/>
        <v>0</v>
      </c>
      <c r="R96" s="935">
        <f t="shared" si="65"/>
        <v>0</v>
      </c>
      <c r="S96" s="935">
        <f t="shared" si="65"/>
        <v>0</v>
      </c>
      <c r="T96" s="935">
        <f t="shared" si="65"/>
        <v>0</v>
      </c>
      <c r="U96" s="935">
        <f t="shared" si="65"/>
        <v>0</v>
      </c>
      <c r="V96" s="935">
        <f t="shared" si="65"/>
        <v>818</v>
      </c>
      <c r="W96" s="935">
        <f t="shared" si="65"/>
        <v>818</v>
      </c>
      <c r="X96" s="935">
        <f t="shared" si="65"/>
        <v>818</v>
      </c>
      <c r="Y96" s="935">
        <f t="shared" si="65"/>
        <v>818</v>
      </c>
      <c r="Z96" s="935">
        <f t="shared" si="65"/>
        <v>818</v>
      </c>
      <c r="AA96" s="935">
        <f t="shared" si="66"/>
        <v>818</v>
      </c>
      <c r="AB96" s="936"/>
      <c r="AC96" s="934"/>
      <c r="AD96" s="1080" t="str">
        <f>AH68</f>
        <v>프리즘환타</v>
      </c>
      <c r="AE96" s="711" t="s">
        <v>1572</v>
      </c>
      <c r="AF96" s="1134"/>
      <c r="AG96" s="1132"/>
      <c r="AH96" s="1130" t="str">
        <f>'사회적유입인구의 처리구역별 배분(적용)'!C89</f>
        <v>육령일반산업단지</v>
      </c>
      <c r="AI96" s="870">
        <f>+'사회적유입인구의 처리구역별 배분(적용)'!D89</f>
        <v>0</v>
      </c>
      <c r="AJ96" s="870">
        <f>+'사회적유입인구의 처리구역별 배분(적용)'!E89</f>
        <v>0</v>
      </c>
      <c r="AK96" s="870">
        <f>+'사회적유입인구의 처리구역별 배분(적용)'!F89</f>
        <v>0</v>
      </c>
      <c r="AL96" s="870">
        <f>+'사회적유입인구의 처리구역별 배분(적용)'!G89</f>
        <v>0</v>
      </c>
      <c r="AM96" s="870">
        <f>+'사회적유입인구의 처리구역별 배분(적용)'!H89</f>
        <v>0</v>
      </c>
      <c r="AN96" s="870">
        <f>+'사회적유입인구의 처리구역별 배분(적용)'!I89</f>
        <v>0</v>
      </c>
      <c r="AO96" s="870">
        <f>+'사회적유입인구의 처리구역별 배분(적용)'!J89</f>
        <v>1</v>
      </c>
      <c r="AP96" s="870">
        <f>+'사회적유입인구의 처리구역별 배분(적용)'!K89</f>
        <v>3</v>
      </c>
      <c r="AQ96" s="870">
        <f>+'사회적유입인구의 처리구역별 배분(적용)'!L89</f>
        <v>5</v>
      </c>
      <c r="AR96" s="870">
        <f>+'사회적유입인구의 처리구역별 배분(적용)'!M89</f>
        <v>5</v>
      </c>
      <c r="AS96" s="870">
        <f>+'사회적유입인구의 처리구역별 배분(적용)'!N89</f>
        <v>5</v>
      </c>
      <c r="AT96" s="870">
        <f>+'사회적유입인구의 처리구역별 배분(적용)'!O89</f>
        <v>5</v>
      </c>
      <c r="AU96" s="870">
        <f>+'사회적유입인구의 처리구역별 배분(적용)'!P89</f>
        <v>5</v>
      </c>
      <c r="AV96" s="870">
        <f>+'사회적유입인구의 처리구역별 배분(적용)'!Q89</f>
        <v>5</v>
      </c>
      <c r="AW96" s="870">
        <f>+'사회적유입인구의 처리구역별 배분(적용)'!R89</f>
        <v>5</v>
      </c>
      <c r="AX96" s="870">
        <f>+'사회적유입인구의 처리구역별 배분(적용)'!S89</f>
        <v>5</v>
      </c>
      <c r="AY96" s="870">
        <f>+'사회적유입인구의 처리구역별 배분(적용)'!T89</f>
        <v>5</v>
      </c>
      <c r="AZ96" s="870">
        <f>+'사회적유입인구의 처리구역별 배분(적용)'!U89</f>
        <v>5</v>
      </c>
      <c r="BA96" s="870">
        <f>+'사회적유입인구의 처리구역별 배분(적용)'!V89</f>
        <v>5</v>
      </c>
      <c r="BB96" s="870">
        <f>+'사회적유입인구의 처리구역별 배분(적용)'!W89</f>
        <v>5</v>
      </c>
      <c r="BC96" s="870">
        <f>+'사회적유입인구의 처리구역별 배분(적용)'!X89</f>
        <v>5</v>
      </c>
      <c r="BD96" s="870">
        <f>+'사회적유입인구의 처리구역별 배분(적용)'!Y89</f>
        <v>5</v>
      </c>
      <c r="BE96" s="871">
        <f>+'사회적유입인구의 처리구역별 배분(적용)'!Z89</f>
        <v>0.2</v>
      </c>
    </row>
    <row r="97" spans="1:57" ht="24" customHeight="1">
      <c r="A97" s="2640"/>
      <c r="B97" s="2636"/>
      <c r="C97" s="2636"/>
      <c r="D97" s="2637"/>
      <c r="E97" s="1244" t="s">
        <v>1268</v>
      </c>
      <c r="F97" s="713"/>
      <c r="G97" s="935">
        <f t="shared" si="64"/>
        <v>0</v>
      </c>
      <c r="H97" s="935">
        <f t="shared" si="64"/>
        <v>0</v>
      </c>
      <c r="I97" s="935">
        <f t="shared" si="64"/>
        <v>0</v>
      </c>
      <c r="J97" s="935">
        <f t="shared" si="64"/>
        <v>0</v>
      </c>
      <c r="K97" s="935">
        <f t="shared" si="64"/>
        <v>0</v>
      </c>
      <c r="L97" s="935">
        <f t="shared" si="64"/>
        <v>0</v>
      </c>
      <c r="M97" s="935">
        <f t="shared" si="64"/>
        <v>0</v>
      </c>
      <c r="N97" s="935">
        <f t="shared" si="64"/>
        <v>0</v>
      </c>
      <c r="O97" s="935">
        <f t="shared" si="64"/>
        <v>0</v>
      </c>
      <c r="P97" s="935">
        <f t="shared" si="64"/>
        <v>0</v>
      </c>
      <c r="Q97" s="935">
        <f t="shared" si="65"/>
        <v>822</v>
      </c>
      <c r="R97" s="935">
        <f t="shared" si="65"/>
        <v>822</v>
      </c>
      <c r="S97" s="935">
        <f t="shared" si="65"/>
        <v>822</v>
      </c>
      <c r="T97" s="935">
        <f t="shared" si="65"/>
        <v>822</v>
      </c>
      <c r="U97" s="935">
        <f t="shared" si="65"/>
        <v>822</v>
      </c>
      <c r="V97" s="935">
        <f t="shared" si="65"/>
        <v>822</v>
      </c>
      <c r="W97" s="935">
        <f t="shared" si="65"/>
        <v>822</v>
      </c>
      <c r="X97" s="935">
        <f t="shared" si="65"/>
        <v>822</v>
      </c>
      <c r="Y97" s="935">
        <f t="shared" si="65"/>
        <v>822</v>
      </c>
      <c r="Z97" s="935">
        <f t="shared" si="65"/>
        <v>822</v>
      </c>
      <c r="AA97" s="935">
        <f t="shared" si="66"/>
        <v>822</v>
      </c>
      <c r="AB97" s="936"/>
      <c r="AC97" s="934"/>
      <c r="AD97" s="1080" t="str">
        <f>AH69</f>
        <v>소석리아파트(3단지)</v>
      </c>
      <c r="AE97" s="711" t="s">
        <v>1572</v>
      </c>
      <c r="AF97" s="1005"/>
      <c r="AG97" s="1003"/>
      <c r="AH97" s="1002" t="str">
        <f>'사회적유입인구의 처리구역별 배분(적용)'!C90</f>
        <v>소  계</v>
      </c>
      <c r="AI97" s="870">
        <f>+'사회적유입인구의 처리구역별 배분(적용)'!D90</f>
        <v>0</v>
      </c>
      <c r="AJ97" s="870">
        <f>+'사회적유입인구의 처리구역별 배분(적용)'!E90</f>
        <v>0</v>
      </c>
      <c r="AK97" s="870">
        <f>+'사회적유입인구의 처리구역별 배분(적용)'!F90</f>
        <v>0</v>
      </c>
      <c r="AL97" s="870">
        <f>+'사회적유입인구의 처리구역별 배분(적용)'!G90</f>
        <v>0</v>
      </c>
      <c r="AM97" s="870">
        <f>+'사회적유입인구의 처리구역별 배분(적용)'!H90</f>
        <v>0</v>
      </c>
      <c r="AN97" s="870">
        <f>+'사회적유입인구의 처리구역별 배분(적용)'!I90</f>
        <v>153</v>
      </c>
      <c r="AO97" s="870">
        <f>+'사회적유입인구의 처리구역별 배분(적용)'!J90</f>
        <v>332</v>
      </c>
      <c r="AP97" s="870">
        <f>+'사회적유입인구의 처리구역별 배분(적용)'!K90</f>
        <v>334</v>
      </c>
      <c r="AQ97" s="870">
        <f>+'사회적유입인구의 처리구역별 배분(적용)'!L90</f>
        <v>336</v>
      </c>
      <c r="AR97" s="870">
        <f>+'사회적유입인구의 처리구역별 배분(적용)'!M90</f>
        <v>336</v>
      </c>
      <c r="AS97" s="870">
        <f>+'사회적유입인구의 처리구역별 배분(적용)'!N90</f>
        <v>336</v>
      </c>
      <c r="AT97" s="870">
        <f>+'사회적유입인구의 처리구역별 배분(적용)'!O90</f>
        <v>336</v>
      </c>
      <c r="AU97" s="870">
        <f>+'사회적유입인구의 처리구역별 배분(적용)'!P90</f>
        <v>336</v>
      </c>
      <c r="AV97" s="870">
        <f>+'사회적유입인구의 처리구역별 배분(적용)'!Q90</f>
        <v>336</v>
      </c>
      <c r="AW97" s="870">
        <f>+'사회적유입인구의 처리구역별 배분(적용)'!R90</f>
        <v>336</v>
      </c>
      <c r="AX97" s="870">
        <f>+'사회적유입인구의 처리구역별 배분(적용)'!S90</f>
        <v>336</v>
      </c>
      <c r="AY97" s="870">
        <f>+'사회적유입인구의 처리구역별 배분(적용)'!T90</f>
        <v>336</v>
      </c>
      <c r="AZ97" s="870">
        <f>+'사회적유입인구의 처리구역별 배분(적용)'!U90</f>
        <v>336</v>
      </c>
      <c r="BA97" s="870">
        <f>+'사회적유입인구의 처리구역별 배분(적용)'!V90</f>
        <v>336</v>
      </c>
      <c r="BB97" s="870">
        <f>+'사회적유입인구의 처리구역별 배분(적용)'!W90</f>
        <v>336</v>
      </c>
      <c r="BC97" s="870">
        <f>+'사회적유입인구의 처리구역별 배분(적용)'!X90</f>
        <v>336</v>
      </c>
      <c r="BD97" s="870">
        <f>+'사회적유입인구의 처리구역별 배분(적용)'!Y90</f>
        <v>336</v>
      </c>
      <c r="BE97" s="871">
        <f>+'사회적유입인구의 처리구역별 배분(적용)'!Z90</f>
        <v>0</v>
      </c>
    </row>
    <row r="98" spans="1:57" ht="24" customHeight="1" thickBot="1">
      <c r="A98" s="2640"/>
      <c r="B98" s="2636"/>
      <c r="C98" s="2636"/>
      <c r="D98" s="2637" t="s">
        <v>863</v>
      </c>
      <c r="E98" s="1243" t="s">
        <v>864</v>
      </c>
      <c r="F98" s="713"/>
      <c r="G98" s="935">
        <f>+'2014처리구역인구 정리'!I88</f>
        <v>228</v>
      </c>
      <c r="H98" s="935">
        <f>+'2014처리구역인구 정리'!J88</f>
        <v>256</v>
      </c>
      <c r="I98" s="925">
        <f>ROUND((('1.4.조성법총괄(내부이동률 적용)'!E$40+'1.4.조성법총괄(내부이동률 적용)'!E$43*$AK$2)*$AB98)+(AL$80*$AC98),0)</f>
        <v>256</v>
      </c>
      <c r="J98" s="925">
        <f>ROUND((('1.4.조성법총괄(내부이동률 적용)'!F$40+'1.4.조성법총괄(내부이동률 적용)'!F$43*$AK$2)*$AB98)+(AM$80*$AC98),0)</f>
        <v>257</v>
      </c>
      <c r="K98" s="925">
        <f>ROUND((('1.4.조성법총괄(내부이동률 적용)'!G$40+'1.4.조성법총괄(내부이동률 적용)'!G$43*$AK$2)*$AB98)+(AN$80*$AC98),0)</f>
        <v>237</v>
      </c>
      <c r="L98" s="907">
        <f>ROUND((('1.4.조성법총괄(내부이동률 적용)'!H$40+'1.4.조성법총괄(내부이동률 적용)'!H$43*$AK$2)*$AB98)+(AO$80*$AC98),0)</f>
        <v>252</v>
      </c>
      <c r="M98" s="925">
        <f>ROUND((('1.4.조성법총괄(내부이동률 적용)'!I$40+'1.4.조성법총괄(내부이동률 적용)'!I$43*$AK$2)*$AB98)+(AP$80*$AC98),0)</f>
        <v>254</v>
      </c>
      <c r="N98" s="925">
        <f>ROUND((('1.4.조성법총괄(내부이동률 적용)'!J$40+'1.4.조성법총괄(내부이동률 적용)'!J$43*$AK$2)*$AB98)+(AQ$80*$AC98),0)</f>
        <v>255</v>
      </c>
      <c r="O98" s="925">
        <f>ROUND((('1.4.조성법총괄(내부이동률 적용)'!K$40+'1.4.조성법총괄(내부이동률 적용)'!K$43*$AK$2)*$AB98)+(AR$80*$AC98),0)</f>
        <v>257</v>
      </c>
      <c r="P98" s="925">
        <f>ROUND((('1.4.조성법총괄(내부이동률 적용)'!L$40+'1.4.조성법총괄(내부이동률 적용)'!L$43*$AK$2)*$AB98)+(AS$80*$AC98),0)</f>
        <v>258</v>
      </c>
      <c r="Q98" s="907">
        <f>ROUND((('1.4.조성법총괄(내부이동률 적용)'!M$40+'1.4.조성법총괄(내부이동률 적용)'!M$43*$AK$2)*$AB98)+(AT$80*$AC98),0)</f>
        <v>258</v>
      </c>
      <c r="R98" s="925">
        <f>ROUND((('1.4.조성법총괄(내부이동률 적용)'!N$40+'1.4.조성법총괄(내부이동률 적용)'!N$43*$AK$2)*$AB98)+(AU$80*$AC98),0)</f>
        <v>260</v>
      </c>
      <c r="S98" s="925">
        <f>ROUND((('1.4.조성법총괄(내부이동률 적용)'!O$40+'1.4.조성법총괄(내부이동률 적용)'!O$43*$AK$2)*$AB98)+(AV$80*$AC98),0)</f>
        <v>261</v>
      </c>
      <c r="T98" s="925">
        <f>ROUND((('1.4.조성법총괄(내부이동률 적용)'!P$40+'1.4.조성법총괄(내부이동률 적용)'!P$43*$AK$2)*$AB98)+(AW$80*$AC98),0)</f>
        <v>262</v>
      </c>
      <c r="U98" s="925">
        <f>ROUND((('1.4.조성법총괄(내부이동률 적용)'!Q$40+'1.4.조성법총괄(내부이동률 적용)'!Q$43*$AK$2)*$AB98)+(AX$80*$AC98),0)</f>
        <v>263</v>
      </c>
      <c r="V98" s="715">
        <f>ROUND((('1.4.조성법총괄(내부이동률 적용)'!R$40+'1.4.조성법총괄(내부이동률 적용)'!R$43*$AK$2)*$AB98)+(AY$80*$AC98),0)</f>
        <v>265</v>
      </c>
      <c r="W98" s="714">
        <f>ROUND((('1.4.조성법총괄(내부이동률 적용)'!S$40+'1.4.조성법총괄(내부이동률 적용)'!S$43*$AK$2)*$AB98)+(AZ$80*$AC98),0)</f>
        <v>266</v>
      </c>
      <c r="X98" s="714">
        <f>ROUND((('1.4.조성법총괄(내부이동률 적용)'!T$40+'1.4.조성법총괄(내부이동률 적용)'!T$43*$AK$2)*$AB98)+(BA$80*$AC98),0)</f>
        <v>267</v>
      </c>
      <c r="Y98" s="714">
        <f>ROUND((('1.4.조성법총괄(내부이동률 적용)'!U$40+'1.4.조성법총괄(내부이동률 적용)'!U$43*$AK$2)*$AB98)+(BB$80*$AC98),0)</f>
        <v>268</v>
      </c>
      <c r="Z98" s="714">
        <f>ROUND((('1.4.조성법총괄(내부이동률 적용)'!V$40+'1.4.조성법총괄(내부이동률 적용)'!V$43*$AK$2)*$AB98)+(BC$80*$AC98),0)</f>
        <v>270</v>
      </c>
      <c r="AA98" s="715">
        <f>ROUND((('1.4.조성법총괄(내부이동률 적용)'!W$40+'1.4.조성법총괄(내부이동률 적용)'!W$43*$AK$2)*$AB98)+(BD$80*$AC98),0)</f>
        <v>267</v>
      </c>
      <c r="AB98" s="936">
        <f>+H98/'1.4.조성법총괄(내부이동률 적용)'!$D$44</f>
        <v>1.365770379854887E-2</v>
      </c>
      <c r="AC98" s="934">
        <f t="shared" ref="AC98:AC104" si="67">+H98/$AE$77</f>
        <v>1.6816659002824672E-2</v>
      </c>
      <c r="AD98" s="1080"/>
      <c r="AE98" s="711"/>
      <c r="AF98" s="860"/>
      <c r="AG98" s="1006" t="s">
        <v>24</v>
      </c>
      <c r="AH98" s="1006"/>
      <c r="AI98" s="872">
        <f>+'사회적유입인구의 처리구역별 배분(적용)'!D91</f>
        <v>0</v>
      </c>
      <c r="AJ98" s="872">
        <f>+'사회적유입인구의 처리구역별 배분(적용)'!E91</f>
        <v>0</v>
      </c>
      <c r="AK98" s="872">
        <f>+'사회적유입인구의 처리구역별 배분(적용)'!F91</f>
        <v>0</v>
      </c>
      <c r="AL98" s="872">
        <f>+'사회적유입인구의 처리구역별 배분(적용)'!G91</f>
        <v>0</v>
      </c>
      <c r="AM98" s="872">
        <f>+'사회적유입인구의 처리구역별 배분(적용)'!H91</f>
        <v>0</v>
      </c>
      <c r="AN98" s="872">
        <f>+'사회적유입인구의 처리구역별 배분(적용)'!I91</f>
        <v>236</v>
      </c>
      <c r="AO98" s="872">
        <f>+'사회적유입인구의 처리구역별 배분(적용)'!J91</f>
        <v>415</v>
      </c>
      <c r="AP98" s="872">
        <f>+'사회적유입인구의 처리구역별 배분(적용)'!K91</f>
        <v>417</v>
      </c>
      <c r="AQ98" s="872">
        <f>+'사회적유입인구의 처리구역별 배분(적용)'!L91</f>
        <v>419</v>
      </c>
      <c r="AR98" s="872">
        <f>+'사회적유입인구의 처리구역별 배분(적용)'!M91</f>
        <v>419</v>
      </c>
      <c r="AS98" s="872">
        <f>+'사회적유입인구의 처리구역별 배분(적용)'!N91</f>
        <v>419</v>
      </c>
      <c r="AT98" s="872">
        <f>+'사회적유입인구의 처리구역별 배분(적용)'!O91</f>
        <v>419</v>
      </c>
      <c r="AU98" s="872">
        <f>+'사회적유입인구의 처리구역별 배분(적용)'!P91</f>
        <v>419</v>
      </c>
      <c r="AV98" s="872">
        <f>+'사회적유입인구의 처리구역별 배분(적용)'!Q91</f>
        <v>419</v>
      </c>
      <c r="AW98" s="872">
        <f>+'사회적유입인구의 처리구역별 배분(적용)'!R91</f>
        <v>419</v>
      </c>
      <c r="AX98" s="872">
        <f>+'사회적유입인구의 처리구역별 배분(적용)'!S91</f>
        <v>419</v>
      </c>
      <c r="AY98" s="872">
        <f>+'사회적유입인구의 처리구역별 배분(적용)'!T91</f>
        <v>419</v>
      </c>
      <c r="AZ98" s="872">
        <f>+'사회적유입인구의 처리구역별 배분(적용)'!U91</f>
        <v>419</v>
      </c>
      <c r="BA98" s="872">
        <f>+'사회적유입인구의 처리구역별 배분(적용)'!V91</f>
        <v>419</v>
      </c>
      <c r="BB98" s="872">
        <f>+'사회적유입인구의 처리구역별 배분(적용)'!W91</f>
        <v>419</v>
      </c>
      <c r="BC98" s="872">
        <f>+'사회적유입인구의 처리구역별 배분(적용)'!X91</f>
        <v>419</v>
      </c>
      <c r="BD98" s="872">
        <f>+'사회적유입인구의 처리구역별 배분(적용)'!Y91</f>
        <v>2750</v>
      </c>
      <c r="BE98" s="873">
        <f>+'사회적유입인구의 처리구역별 배분(적용)'!Z91</f>
        <v>0</v>
      </c>
    </row>
    <row r="99" spans="1:57" s="712" customFormat="1" ht="24" customHeight="1">
      <c r="A99" s="2640"/>
      <c r="B99" s="2636"/>
      <c r="C99" s="2636"/>
      <c r="D99" s="2637"/>
      <c r="E99" s="1243" t="s">
        <v>868</v>
      </c>
      <c r="F99" s="713"/>
      <c r="G99" s="935">
        <f>+'2014처리구역인구 정리'!I89</f>
        <v>257</v>
      </c>
      <c r="H99" s="935">
        <f>+'2014처리구역인구 정리'!J89</f>
        <v>296</v>
      </c>
      <c r="I99" s="925">
        <f>ROUND((('1.4.조성법총괄(내부이동률 적용)'!E$40+'1.4.조성법총괄(내부이동률 적용)'!E$43*$AK$2)*$AB99)+(AL$80*$AC99),0)</f>
        <v>296</v>
      </c>
      <c r="J99" s="925">
        <f>ROUND((('1.4.조성법총괄(내부이동률 적용)'!F$40+'1.4.조성법총괄(내부이동률 적용)'!F$43*$AK$2)*$AB99)+(AM$80*$AC99),0)</f>
        <v>297</v>
      </c>
      <c r="K99" s="925">
        <f>ROUND((('1.4.조성법총괄(내부이동률 적용)'!G$40+'1.4.조성법총괄(내부이동률 적용)'!G$43*$AK$2)*$AB99)+(AN$80*$AC99),0)</f>
        <v>274</v>
      </c>
      <c r="L99" s="907">
        <f>ROUND((('1.4.조성법총괄(내부이동률 적용)'!H$40+'1.4.조성법총괄(내부이동률 적용)'!H$43*$AK$2)*$AB99)+(AO$80*$AC99),0)</f>
        <v>292</v>
      </c>
      <c r="M99" s="925">
        <f>ROUND((('1.4.조성법총괄(내부이동률 적용)'!I$40+'1.4.조성법총괄(내부이동률 적용)'!I$43*$AK$2)*$AB99)+(AP$80*$AC99),0)</f>
        <v>294</v>
      </c>
      <c r="N99" s="925">
        <f>ROUND((('1.4.조성법총괄(내부이동률 적용)'!J$40+'1.4.조성법총괄(내부이동률 적용)'!J$43*$AK$2)*$AB99)+(AQ$80*$AC99),0)</f>
        <v>295</v>
      </c>
      <c r="O99" s="925">
        <f>ROUND((('1.4.조성법총괄(내부이동률 적용)'!K$40+'1.4.조성법총괄(내부이동률 적용)'!K$43*$AK$2)*$AB99)+(AR$80*$AC99),0)</f>
        <v>297</v>
      </c>
      <c r="P99" s="925">
        <f>ROUND((('1.4.조성법총괄(내부이동률 적용)'!L$40+'1.4.조성법총괄(내부이동률 적용)'!L$43*$AK$2)*$AB99)+(AS$80*$AC99),0)</f>
        <v>299</v>
      </c>
      <c r="Q99" s="907">
        <f>ROUND((('1.4.조성법총괄(내부이동률 적용)'!M$40+'1.4.조성법총괄(내부이동률 적용)'!M$43*$AK$2)*$AB99)+(AT$80*$AC99),0)</f>
        <v>299</v>
      </c>
      <c r="R99" s="925">
        <f>ROUND((('1.4.조성법총괄(내부이동률 적용)'!N$40+'1.4.조성법총괄(내부이동률 적용)'!N$43*$AK$2)*$AB99)+(AU$80*$AC99),0)</f>
        <v>300</v>
      </c>
      <c r="S99" s="925">
        <f>ROUND((('1.4.조성법총괄(내부이동률 적용)'!O$40+'1.4.조성법총괄(내부이동률 적용)'!O$43*$AK$2)*$AB99)+(AV$80*$AC99),0)</f>
        <v>302</v>
      </c>
      <c r="T99" s="925">
        <f>ROUND((('1.4.조성법총괄(내부이동률 적용)'!P$40+'1.4.조성법총괄(내부이동률 적용)'!P$43*$AK$2)*$AB99)+(AW$80*$AC99),0)</f>
        <v>303</v>
      </c>
      <c r="U99" s="925">
        <f>ROUND((('1.4.조성법총괄(내부이동률 적용)'!Q$40+'1.4.조성법총괄(내부이동률 적용)'!Q$43*$AK$2)*$AB99)+(AX$80*$AC99),0)</f>
        <v>305</v>
      </c>
      <c r="V99" s="715">
        <f>ROUND((('1.4.조성법총괄(내부이동률 적용)'!R$40+'1.4.조성법총괄(내부이동률 적용)'!R$43*$AK$2)*$AB99)+(AY$80*$AC99),0)</f>
        <v>306</v>
      </c>
      <c r="W99" s="714">
        <f>ROUND((('1.4.조성법총괄(내부이동률 적용)'!S$40+'1.4.조성법총괄(내부이동률 적용)'!S$43*$AK$2)*$AB99)+(AZ$80*$AC99),0)</f>
        <v>307</v>
      </c>
      <c r="X99" s="714">
        <f>ROUND((('1.4.조성법총괄(내부이동률 적용)'!T$40+'1.4.조성법총괄(내부이동률 적용)'!T$43*$AK$2)*$AB99)+(BA$80*$AC99),0)</f>
        <v>309</v>
      </c>
      <c r="Y99" s="714">
        <f>ROUND((('1.4.조성법총괄(내부이동률 적용)'!U$40+'1.4.조성법총괄(내부이동률 적용)'!U$43*$AK$2)*$AB99)+(BB$80*$AC99),0)</f>
        <v>310</v>
      </c>
      <c r="Z99" s="714">
        <f>ROUND((('1.4.조성법총괄(내부이동률 적용)'!V$40+'1.4.조성법총괄(내부이동률 적용)'!V$43*$AK$2)*$AB99)+(BC$80*$AC99),0)</f>
        <v>312</v>
      </c>
      <c r="AA99" s="715">
        <f>ROUND((('1.4.조성법총괄(내부이동률 적용)'!W$40+'1.4.조성법총괄(내부이동률 적용)'!W$43*$AK$2)*$AB99)+(BD$80*$AC99),0)</f>
        <v>308</v>
      </c>
      <c r="AB99" s="936">
        <f>+H99/'1.4.조성법총괄(내부이동률 적용)'!$D$44</f>
        <v>1.5791720017072131E-2</v>
      </c>
      <c r="AC99" s="934">
        <f t="shared" si="67"/>
        <v>1.9444261972016028E-2</v>
      </c>
      <c r="AD99" s="713"/>
      <c r="AE99" s="711"/>
      <c r="AF99" s="869" t="s">
        <v>1139</v>
      </c>
      <c r="AG99" s="875" t="s">
        <v>95</v>
      </c>
      <c r="AH99" s="885" t="str">
        <f>'사회적유입인구의 처리구역별 배분(적용)'!C92</f>
        <v>포그니아파트</v>
      </c>
      <c r="AI99" s="886">
        <f>+'사회적유입인구의 처리구역별 배분(적용)'!D92</f>
        <v>0</v>
      </c>
      <c r="AJ99" s="886">
        <f>+'사회적유입인구의 처리구역별 배분(적용)'!E92</f>
        <v>0</v>
      </c>
      <c r="AK99" s="886">
        <f>+'사회적유입인구의 처리구역별 배분(적용)'!F92</f>
        <v>0</v>
      </c>
      <c r="AL99" s="886">
        <f>+'사회적유입인구의 처리구역별 배분(적용)'!G92</f>
        <v>0</v>
      </c>
      <c r="AM99" s="886">
        <f>+'사회적유입인구의 처리구역별 배분(적용)'!H92</f>
        <v>231</v>
      </c>
      <c r="AN99" s="886">
        <f>+'사회적유입인구의 처리구역별 배분(적용)'!I92</f>
        <v>231</v>
      </c>
      <c r="AO99" s="886">
        <f>+'사회적유입인구의 처리구역별 배분(적용)'!J92</f>
        <v>231</v>
      </c>
      <c r="AP99" s="886">
        <f>+'사회적유입인구의 처리구역별 배분(적용)'!K92</f>
        <v>231</v>
      </c>
      <c r="AQ99" s="886">
        <f>+'사회적유입인구의 처리구역별 배분(적용)'!L92</f>
        <v>231</v>
      </c>
      <c r="AR99" s="886">
        <f>+'사회적유입인구의 처리구역별 배분(적용)'!M92</f>
        <v>231</v>
      </c>
      <c r="AS99" s="886">
        <f>+'사회적유입인구의 처리구역별 배분(적용)'!N92</f>
        <v>231</v>
      </c>
      <c r="AT99" s="886">
        <f>+'사회적유입인구의 처리구역별 배분(적용)'!O92</f>
        <v>231</v>
      </c>
      <c r="AU99" s="886">
        <f>+'사회적유입인구의 처리구역별 배분(적용)'!P92</f>
        <v>231</v>
      </c>
      <c r="AV99" s="886">
        <f>+'사회적유입인구의 처리구역별 배분(적용)'!Q92</f>
        <v>231</v>
      </c>
      <c r="AW99" s="886">
        <f>+'사회적유입인구의 처리구역별 배분(적용)'!R92</f>
        <v>231</v>
      </c>
      <c r="AX99" s="886">
        <f>+'사회적유입인구의 처리구역별 배분(적용)'!S92</f>
        <v>231</v>
      </c>
      <c r="AY99" s="886">
        <f>+'사회적유입인구의 처리구역별 배분(적용)'!T92</f>
        <v>231</v>
      </c>
      <c r="AZ99" s="886">
        <f>+'사회적유입인구의 처리구역별 배분(적용)'!U92</f>
        <v>231</v>
      </c>
      <c r="BA99" s="886">
        <f>+'사회적유입인구의 처리구역별 배분(적용)'!V92</f>
        <v>231</v>
      </c>
      <c r="BB99" s="886">
        <f>+'사회적유입인구의 처리구역별 배분(적용)'!W92</f>
        <v>231</v>
      </c>
      <c r="BC99" s="886">
        <f>+'사회적유입인구의 처리구역별 배분(적용)'!X92</f>
        <v>231</v>
      </c>
      <c r="BD99" s="886">
        <f>+'사회적유입인구의 처리구역별 배분(적용)'!Y92</f>
        <v>231</v>
      </c>
      <c r="BE99" s="887">
        <f>+'사회적유입인구의 처리구역별 배분(적용)'!Z92</f>
        <v>1</v>
      </c>
    </row>
    <row r="100" spans="1:57" s="712" customFormat="1" ht="24" customHeight="1">
      <c r="A100" s="2640"/>
      <c r="B100" s="2636"/>
      <c r="C100" s="2636"/>
      <c r="D100" s="2637"/>
      <c r="E100" s="1243" t="s">
        <v>866</v>
      </c>
      <c r="F100" s="713"/>
      <c r="G100" s="935">
        <f>+'2014처리구역인구 정리'!I90</f>
        <v>394</v>
      </c>
      <c r="H100" s="935">
        <f>+'2014처리구역인구 정리'!J90</f>
        <v>455</v>
      </c>
      <c r="I100" s="925">
        <f>ROUND((('1.4.조성법총괄(내부이동률 적용)'!E$40+'1.4.조성법총괄(내부이동률 적용)'!E$43*$AK$2)*$AB100)+(AL$80*$AC100),0)</f>
        <v>456</v>
      </c>
      <c r="J100" s="925">
        <f>ROUND((('1.4.조성법총괄(내부이동률 적용)'!F$40+'1.4.조성법총괄(내부이동률 적용)'!F$43*$AK$2)*$AB100)+(AM$80*$AC100),0)</f>
        <v>457</v>
      </c>
      <c r="K100" s="925">
        <f>ROUND((('1.4.조성법총괄(내부이동률 적용)'!G$40+'1.4.조성법총괄(내부이동률 적용)'!G$43*$AK$2)*$AB100)+(AN$80*$AC100),0)</f>
        <v>421</v>
      </c>
      <c r="L100" s="907">
        <f>ROUND((('1.4.조성법총괄(내부이동률 적용)'!H$40+'1.4.조성법총괄(내부이동률 적용)'!H$43*$AK$2)*$AB100)+(AO$80*$AC100),0)</f>
        <v>448</v>
      </c>
      <c r="M100" s="925">
        <f>ROUND((('1.4.조성법총괄(내부이동률 적용)'!I$40+'1.4.조성법총괄(내부이동률 적용)'!I$43*$AK$2)*$AB100)+(AP$80*$AC100),0)</f>
        <v>451</v>
      </c>
      <c r="N100" s="925">
        <f>ROUND((('1.4.조성법총괄(내부이동률 적용)'!J$40+'1.4.조성법총괄(내부이동률 적용)'!J$43*$AK$2)*$AB100)+(AQ$80*$AC100),0)</f>
        <v>454</v>
      </c>
      <c r="O100" s="925">
        <f>ROUND((('1.4.조성법총괄(내부이동률 적용)'!K$40+'1.4.조성법총괄(내부이동률 적용)'!K$43*$AK$2)*$AB100)+(AR$80*$AC100),0)</f>
        <v>457</v>
      </c>
      <c r="P100" s="925">
        <f>ROUND((('1.4.조성법총괄(내부이동률 적용)'!L$40+'1.4.조성법총괄(내부이동률 적용)'!L$43*$AK$2)*$AB100)+(AS$80*$AC100),0)</f>
        <v>459</v>
      </c>
      <c r="Q100" s="907">
        <f>ROUND((('1.4.조성법총괄(내부이동률 적용)'!M$40+'1.4.조성법총괄(내부이동률 적용)'!M$43*$AK$2)*$AB100)+(AT$80*$AC100),0)</f>
        <v>459</v>
      </c>
      <c r="R100" s="925">
        <f>ROUND((('1.4.조성법총괄(내부이동률 적용)'!N$40+'1.4.조성법총괄(내부이동률 적용)'!N$43*$AK$2)*$AB100)+(AU$80*$AC100),0)</f>
        <v>461</v>
      </c>
      <c r="S100" s="925">
        <f>ROUND((('1.4.조성법총괄(내부이동률 적용)'!O$40+'1.4.조성법총괄(내부이동률 적용)'!O$43*$AK$2)*$AB100)+(AV$80*$AC100),0)</f>
        <v>464</v>
      </c>
      <c r="T100" s="925">
        <f>ROUND((('1.4.조성법총괄(내부이동률 적용)'!P$40+'1.4.조성법총괄(내부이동률 적용)'!P$43*$AK$2)*$AB100)+(AW$80*$AC100),0)</f>
        <v>466</v>
      </c>
      <c r="U100" s="925">
        <f>ROUND((('1.4.조성법총괄(내부이동률 적용)'!Q$40+'1.4.조성법총괄(내부이동률 적용)'!Q$43*$AK$2)*$AB100)+(AX$80*$AC100),0)</f>
        <v>468</v>
      </c>
      <c r="V100" s="715">
        <f>ROUND((('1.4.조성법총괄(내부이동률 적용)'!R$40+'1.4.조성법총괄(내부이동률 적용)'!R$43*$AK$2)*$AB100)+(AY$80*$AC100),0)</f>
        <v>470</v>
      </c>
      <c r="W100" s="714">
        <f>ROUND((('1.4.조성법총괄(내부이동률 적용)'!S$40+'1.4.조성법총괄(내부이동률 적용)'!S$43*$AK$2)*$AB100)+(AZ$80*$AC100),0)</f>
        <v>473</v>
      </c>
      <c r="X100" s="714">
        <f>ROUND((('1.4.조성법총괄(내부이동률 적용)'!T$40+'1.4.조성법총괄(내부이동률 적용)'!T$43*$AK$2)*$AB100)+(BA$80*$AC100),0)</f>
        <v>475</v>
      </c>
      <c r="Y100" s="714">
        <f>ROUND((('1.4.조성법총괄(내부이동률 적용)'!U$40+'1.4.조성법총괄(내부이동률 적용)'!U$43*$AK$2)*$AB100)+(BB$80*$AC100),0)</f>
        <v>477</v>
      </c>
      <c r="Z100" s="714">
        <f>ROUND((('1.4.조성법총괄(내부이동률 적용)'!V$40+'1.4.조성법총괄(내부이동률 적용)'!V$43*$AK$2)*$AB100)+(BC$80*$AC100),0)</f>
        <v>479</v>
      </c>
      <c r="AA100" s="715">
        <f>ROUND((('1.4.조성법총괄(내부이동률 적용)'!W$40+'1.4.조성법총괄(내부이동률 적용)'!W$43*$AK$2)*$AB100)+(BD$80*$AC100),0)</f>
        <v>474</v>
      </c>
      <c r="AB100" s="936">
        <f>+H100/'1.4.조성법총괄(내부이동률 적용)'!$D$44</f>
        <v>2.4274434485702091E-2</v>
      </c>
      <c r="AC100" s="934">
        <f t="shared" si="67"/>
        <v>2.9888983774551667E-2</v>
      </c>
      <c r="AD100" s="713"/>
      <c r="AE100" s="1"/>
      <c r="AF100" s="855"/>
      <c r="AG100" s="875"/>
      <c r="AH100" s="888" t="str">
        <f>'사회적유입인구의 처리구역별 배분(적용)'!C93</f>
        <v>대신리치빌</v>
      </c>
      <c r="AI100" s="870">
        <f>+'사회적유입인구의 처리구역별 배분(적용)'!D93</f>
        <v>0</v>
      </c>
      <c r="AJ100" s="870">
        <f>+'사회적유입인구의 처리구역별 배분(적용)'!E93</f>
        <v>0</v>
      </c>
      <c r="AK100" s="870">
        <f>+'사회적유입인구의 처리구역별 배분(적용)'!F93</f>
        <v>0</v>
      </c>
      <c r="AL100" s="870">
        <f>+'사회적유입인구의 처리구역별 배분(적용)'!G93</f>
        <v>0</v>
      </c>
      <c r="AM100" s="870">
        <f>+'사회적유입인구의 처리구역별 배분(적용)'!H93</f>
        <v>113</v>
      </c>
      <c r="AN100" s="870">
        <f>+'사회적유입인구의 처리구역별 배분(적용)'!I93</f>
        <v>113</v>
      </c>
      <c r="AO100" s="870">
        <f>+'사회적유입인구의 처리구역별 배분(적용)'!J93</f>
        <v>113</v>
      </c>
      <c r="AP100" s="870">
        <f>+'사회적유입인구의 처리구역별 배분(적용)'!K93</f>
        <v>113</v>
      </c>
      <c r="AQ100" s="870">
        <f>+'사회적유입인구의 처리구역별 배분(적용)'!L93</f>
        <v>113</v>
      </c>
      <c r="AR100" s="870">
        <f>+'사회적유입인구의 처리구역별 배분(적용)'!M93</f>
        <v>113</v>
      </c>
      <c r="AS100" s="870">
        <f>+'사회적유입인구의 처리구역별 배분(적용)'!N93</f>
        <v>113</v>
      </c>
      <c r="AT100" s="870">
        <f>+'사회적유입인구의 처리구역별 배분(적용)'!O93</f>
        <v>113</v>
      </c>
      <c r="AU100" s="870">
        <f>+'사회적유입인구의 처리구역별 배분(적용)'!P93</f>
        <v>113</v>
      </c>
      <c r="AV100" s="870">
        <f>+'사회적유입인구의 처리구역별 배분(적용)'!Q93</f>
        <v>113</v>
      </c>
      <c r="AW100" s="870">
        <f>+'사회적유입인구의 처리구역별 배분(적용)'!R93</f>
        <v>113</v>
      </c>
      <c r="AX100" s="870">
        <f>+'사회적유입인구의 처리구역별 배분(적용)'!S93</f>
        <v>113</v>
      </c>
      <c r="AY100" s="870">
        <f>+'사회적유입인구의 처리구역별 배분(적용)'!T93</f>
        <v>113</v>
      </c>
      <c r="AZ100" s="870">
        <f>+'사회적유입인구의 처리구역별 배분(적용)'!U93</f>
        <v>113</v>
      </c>
      <c r="BA100" s="870">
        <f>+'사회적유입인구의 처리구역별 배분(적용)'!V93</f>
        <v>113</v>
      </c>
      <c r="BB100" s="870">
        <f>+'사회적유입인구의 처리구역별 배분(적용)'!W93</f>
        <v>113</v>
      </c>
      <c r="BC100" s="870">
        <f>+'사회적유입인구의 처리구역별 배분(적용)'!X93</f>
        <v>113</v>
      </c>
      <c r="BD100" s="870">
        <f>+'사회적유입인구의 처리구역별 배분(적용)'!Y93</f>
        <v>113</v>
      </c>
      <c r="BE100" s="889">
        <f>+'사회적유입인구의 처리구역별 배분(적용)'!Z93</f>
        <v>1</v>
      </c>
    </row>
    <row r="101" spans="1:57" s="712" customFormat="1" ht="24" customHeight="1">
      <c r="A101" s="2640"/>
      <c r="B101" s="2636"/>
      <c r="C101" s="2636"/>
      <c r="D101" s="2637" t="s">
        <v>876</v>
      </c>
      <c r="E101" s="1243" t="s">
        <v>1224</v>
      </c>
      <c r="F101" s="713"/>
      <c r="G101" s="935">
        <f>+'2014처리구역인구 정리'!I91</f>
        <v>128</v>
      </c>
      <c r="H101" s="935">
        <f>+'2014처리구역인구 정리'!J91</f>
        <v>143</v>
      </c>
      <c r="I101" s="925">
        <f>ROUND((('1.4.조성법총괄(내부이동률 적용)'!E$40+'1.4.조성법총괄(내부이동률 적용)'!E$43*$AK$2)*$AB101)+(AL$80*$AC101),0)</f>
        <v>143</v>
      </c>
      <c r="J101" s="925">
        <f>ROUND((('1.4.조성법총괄(내부이동률 적용)'!F$40+'1.4.조성법총괄(내부이동률 적용)'!F$43*$AK$2)*$AB101)+(AM$80*$AC101),0)</f>
        <v>143</v>
      </c>
      <c r="K101" s="925">
        <f>ROUND((('1.4.조성법총괄(내부이동률 적용)'!G$40+'1.4.조성법총괄(내부이동률 적용)'!G$43*$AK$2)*$AB101)+(AN$80*$AC101),0)</f>
        <v>132</v>
      </c>
      <c r="L101" s="907">
        <f>ROUND((('1.4.조성법총괄(내부이동률 적용)'!H$40+'1.4.조성법총괄(내부이동률 적용)'!H$43*$AK$2)*$AB101)+(AO$80*$AC101),0)</f>
        <v>141</v>
      </c>
      <c r="M101" s="925">
        <f>ROUND((('1.4.조성법총괄(내부이동률 적용)'!I$40+'1.4.조성법총괄(내부이동률 적용)'!I$43*$AK$2)*$AB101)+(AP$80*$AC101),0)</f>
        <v>142</v>
      </c>
      <c r="N101" s="925">
        <f>ROUND((('1.4.조성법총괄(내부이동률 적용)'!J$40+'1.4.조성법총괄(내부이동률 적용)'!J$43*$AK$2)*$AB101)+(AQ$80*$AC101),0)</f>
        <v>143</v>
      </c>
      <c r="O101" s="925">
        <f>ROUND((('1.4.조성법총괄(내부이동률 적용)'!K$40+'1.4.조성법총괄(내부이동률 적용)'!K$43*$AK$2)*$AB101)+(AR$80*$AC101),0)</f>
        <v>144</v>
      </c>
      <c r="P101" s="925">
        <f>ROUND((('1.4.조성법총괄(내부이동률 적용)'!L$40+'1.4.조성법총괄(내부이동률 적용)'!L$43*$AK$2)*$AB101)+(AS$80*$AC101),0)</f>
        <v>144</v>
      </c>
      <c r="Q101" s="907">
        <f>ROUND((('1.4.조성법총괄(내부이동률 적용)'!M$40+'1.4.조성법총괄(내부이동률 적용)'!M$43*$AK$2)*$AB101)+(AT$80*$AC101),0)</f>
        <v>144</v>
      </c>
      <c r="R101" s="925">
        <f>ROUND((('1.4.조성법총괄(내부이동률 적용)'!N$40+'1.4.조성법총괄(내부이동률 적용)'!N$43*$AK$2)*$AB101)+(AU$80*$AC101),0)</f>
        <v>145</v>
      </c>
      <c r="S101" s="925">
        <f>ROUND((('1.4.조성법총괄(내부이동률 적용)'!O$40+'1.4.조성법총괄(내부이동률 적용)'!O$43*$AK$2)*$AB101)+(AV$80*$AC101),0)</f>
        <v>146</v>
      </c>
      <c r="T101" s="925">
        <f>ROUND((('1.4.조성법총괄(내부이동률 적용)'!P$40+'1.4.조성법총괄(내부이동률 적용)'!P$43*$AK$2)*$AB101)+(AW$80*$AC101),0)</f>
        <v>146</v>
      </c>
      <c r="U101" s="925">
        <f>ROUND((('1.4.조성법총괄(내부이동률 적용)'!Q$40+'1.4.조성법총괄(내부이동률 적용)'!Q$43*$AK$2)*$AB101)+(AX$80*$AC101),0)</f>
        <v>147</v>
      </c>
      <c r="V101" s="715">
        <f>ROUND((('1.4.조성법총괄(내부이동률 적용)'!R$40+'1.4.조성법총괄(내부이동률 적용)'!R$43*$AK$2)*$AB101)+(AY$80*$AC101),0)</f>
        <v>148</v>
      </c>
      <c r="W101" s="714">
        <f>ROUND((('1.4.조성법총괄(내부이동률 적용)'!S$40+'1.4.조성법총괄(내부이동률 적용)'!S$43*$AK$2)*$AB101)+(AZ$80*$AC101),0)</f>
        <v>149</v>
      </c>
      <c r="X101" s="714">
        <f>ROUND((('1.4.조성법총괄(내부이동률 적용)'!T$40+'1.4.조성법총괄(내부이동률 적용)'!T$43*$AK$2)*$AB101)+(BA$80*$AC101),0)</f>
        <v>149</v>
      </c>
      <c r="Y101" s="714">
        <f>ROUND((('1.4.조성법총괄(내부이동률 적용)'!U$40+'1.4.조성법총괄(내부이동률 적용)'!U$43*$AK$2)*$AB101)+(BB$80*$AC101),0)</f>
        <v>150</v>
      </c>
      <c r="Z101" s="714">
        <f>ROUND((('1.4.조성법총괄(내부이동률 적용)'!V$40+'1.4.조성법총괄(내부이동률 적용)'!V$43*$AK$2)*$AB101)+(BC$80*$AC101),0)</f>
        <v>151</v>
      </c>
      <c r="AA101" s="715">
        <f>ROUND((('1.4.조성법총괄(내부이동률 적용)'!W$40+'1.4.조성법총괄(내부이동률 적용)'!W$43*$AK$2)*$AB101)+(BD$80*$AC101),0)</f>
        <v>149</v>
      </c>
      <c r="AB101" s="936">
        <f>+H101/'1.4.조성법총괄(내부이동률 적용)'!$D$44</f>
        <v>7.6291079812206572E-3</v>
      </c>
      <c r="AC101" s="934">
        <f t="shared" si="67"/>
        <v>9.3936806148590939E-3</v>
      </c>
      <c r="AD101" s="713"/>
      <c r="AE101" s="711"/>
      <c r="AF101" s="855"/>
      <c r="AG101" s="875"/>
      <c r="AH101" s="888" t="e">
        <f>'사회적유입인구의 처리구역별 배분(적용)'!#REF!</f>
        <v>#REF!</v>
      </c>
      <c r="AI101" s="870" t="e">
        <f>+'사회적유입인구의 처리구역별 배분(적용)'!#REF!</f>
        <v>#REF!</v>
      </c>
      <c r="AJ101" s="870" t="e">
        <f>+'사회적유입인구의 처리구역별 배분(적용)'!#REF!</f>
        <v>#REF!</v>
      </c>
      <c r="AK101" s="870" t="e">
        <f>+'사회적유입인구의 처리구역별 배분(적용)'!#REF!</f>
        <v>#REF!</v>
      </c>
      <c r="AL101" s="870" t="e">
        <f>+'사회적유입인구의 처리구역별 배분(적용)'!#REF!</f>
        <v>#REF!</v>
      </c>
      <c r="AM101" s="870" t="e">
        <f>+'사회적유입인구의 처리구역별 배분(적용)'!#REF!</f>
        <v>#REF!</v>
      </c>
      <c r="AN101" s="870" t="e">
        <f>+'사회적유입인구의 처리구역별 배분(적용)'!#REF!</f>
        <v>#REF!</v>
      </c>
      <c r="AO101" s="870" t="e">
        <f>+'사회적유입인구의 처리구역별 배분(적용)'!#REF!</f>
        <v>#REF!</v>
      </c>
      <c r="AP101" s="870" t="e">
        <f>+'사회적유입인구의 처리구역별 배분(적용)'!#REF!</f>
        <v>#REF!</v>
      </c>
      <c r="AQ101" s="870" t="e">
        <f>+'사회적유입인구의 처리구역별 배분(적용)'!#REF!</f>
        <v>#REF!</v>
      </c>
      <c r="AR101" s="870" t="e">
        <f>+'사회적유입인구의 처리구역별 배분(적용)'!#REF!</f>
        <v>#REF!</v>
      </c>
      <c r="AS101" s="870" t="e">
        <f>+'사회적유입인구의 처리구역별 배분(적용)'!#REF!</f>
        <v>#REF!</v>
      </c>
      <c r="AT101" s="870" t="e">
        <f>+'사회적유입인구의 처리구역별 배분(적용)'!#REF!</f>
        <v>#REF!</v>
      </c>
      <c r="AU101" s="870" t="e">
        <f>+'사회적유입인구의 처리구역별 배분(적용)'!#REF!</f>
        <v>#REF!</v>
      </c>
      <c r="AV101" s="870" t="e">
        <f>+'사회적유입인구의 처리구역별 배분(적용)'!#REF!</f>
        <v>#REF!</v>
      </c>
      <c r="AW101" s="870" t="e">
        <f>+'사회적유입인구의 처리구역별 배분(적용)'!#REF!</f>
        <v>#REF!</v>
      </c>
      <c r="AX101" s="870" t="e">
        <f>+'사회적유입인구의 처리구역별 배분(적용)'!#REF!</f>
        <v>#REF!</v>
      </c>
      <c r="AY101" s="870" t="e">
        <f>+'사회적유입인구의 처리구역별 배분(적용)'!#REF!</f>
        <v>#REF!</v>
      </c>
      <c r="AZ101" s="870" t="e">
        <f>+'사회적유입인구의 처리구역별 배분(적용)'!#REF!</f>
        <v>#REF!</v>
      </c>
      <c r="BA101" s="870" t="e">
        <f>+'사회적유입인구의 처리구역별 배분(적용)'!#REF!</f>
        <v>#REF!</v>
      </c>
      <c r="BB101" s="870" t="e">
        <f>+'사회적유입인구의 처리구역별 배분(적용)'!#REF!</f>
        <v>#REF!</v>
      </c>
      <c r="BC101" s="870" t="e">
        <f>+'사회적유입인구의 처리구역별 배분(적용)'!#REF!</f>
        <v>#REF!</v>
      </c>
      <c r="BD101" s="870" t="e">
        <f>+'사회적유입인구의 처리구역별 배분(적용)'!#REF!</f>
        <v>#REF!</v>
      </c>
      <c r="BE101" s="889" t="e">
        <f>+'사회적유입인구의 처리구역별 배분(적용)'!#REF!</f>
        <v>#REF!</v>
      </c>
    </row>
    <row r="102" spans="1:57" s="712" customFormat="1" ht="24" customHeight="1">
      <c r="A102" s="2640"/>
      <c r="B102" s="2636"/>
      <c r="C102" s="2636"/>
      <c r="D102" s="2637"/>
      <c r="E102" s="1243" t="s">
        <v>877</v>
      </c>
      <c r="F102" s="713"/>
      <c r="G102" s="935">
        <f>+'2014처리구역인구 정리'!I92</f>
        <v>641</v>
      </c>
      <c r="H102" s="935">
        <f>+'2014처리구역인구 정리'!J92</f>
        <v>727</v>
      </c>
      <c r="I102" s="925">
        <f>ROUND((('1.4.조성법총괄(내부이동률 적용)'!E$40+'1.4.조성법총괄(내부이동률 적용)'!E$43*$AK$2)*$AB102)+(AL$80*$AC102),0)</f>
        <v>728</v>
      </c>
      <c r="J102" s="925">
        <f>ROUND((('1.4.조성법총괄(내부이동률 적용)'!F$40+'1.4.조성법총괄(내부이동률 적용)'!F$43*$AK$2)*$AB102)+(AM$80*$AC102),0)</f>
        <v>729</v>
      </c>
      <c r="K102" s="925">
        <f>ROUND((('1.4.조성법총괄(내부이동률 적용)'!G$40+'1.4.조성법총괄(내부이동률 적용)'!G$43*$AK$2)*$AB102)+(AN$80*$AC102),0)</f>
        <v>673</v>
      </c>
      <c r="L102" s="907">
        <f>ROUND((('1.4.조성법총괄(내부이동률 적용)'!H$40+'1.4.조성법총괄(내부이동률 적용)'!H$43*$AK$2)*$AB102)+(AO$80*$AC102),0)</f>
        <v>717</v>
      </c>
      <c r="M102" s="925">
        <f>ROUND((('1.4.조성법총괄(내부이동률 적용)'!I$40+'1.4.조성법총괄(내부이동률 적용)'!I$43*$AK$2)*$AB102)+(AP$80*$AC102),0)</f>
        <v>721</v>
      </c>
      <c r="N102" s="925">
        <f>ROUND((('1.4.조성법총괄(내부이동률 적용)'!J$40+'1.4.조성법총괄(내부이동률 적용)'!J$43*$AK$2)*$AB102)+(AQ$80*$AC102),0)</f>
        <v>725</v>
      </c>
      <c r="O102" s="925">
        <f>ROUND((('1.4.조성법총괄(내부이동률 적용)'!K$40+'1.4.조성법총괄(내부이동률 적용)'!K$43*$AK$2)*$AB102)+(AR$80*$AC102),0)</f>
        <v>730</v>
      </c>
      <c r="P102" s="925">
        <f>ROUND((('1.4.조성법총괄(내부이동률 적용)'!L$40+'1.4.조성법총괄(내부이동률 적용)'!L$43*$AK$2)*$AB102)+(AS$80*$AC102),0)</f>
        <v>734</v>
      </c>
      <c r="Q102" s="907">
        <f>ROUND((('1.4.조성법총괄(내부이동률 적용)'!M$40+'1.4.조성법총괄(내부이동률 적용)'!M$43*$AK$2)*$AB102)+(AT$80*$AC102),0)</f>
        <v>734</v>
      </c>
      <c r="R102" s="925">
        <f>ROUND((('1.4.조성법총괄(내부이동률 적용)'!N$40+'1.4.조성법총괄(내부이동률 적용)'!N$43*$AK$2)*$AB102)+(AU$80*$AC102),0)</f>
        <v>737</v>
      </c>
      <c r="S102" s="925">
        <f>ROUND((('1.4.조성법총괄(내부이동률 적용)'!O$40+'1.4.조성법총괄(내부이동률 적용)'!O$43*$AK$2)*$AB102)+(AV$80*$AC102),0)</f>
        <v>741</v>
      </c>
      <c r="T102" s="925">
        <f>ROUND((('1.4.조성법총괄(내부이동률 적용)'!P$40+'1.4.조성법총괄(내부이동률 적용)'!P$43*$AK$2)*$AB102)+(AW$80*$AC102),0)</f>
        <v>744</v>
      </c>
      <c r="U102" s="925">
        <f>ROUND((('1.4.조성법총괄(내부이동률 적용)'!Q$40+'1.4.조성법총괄(내부이동률 적용)'!Q$43*$AK$2)*$AB102)+(AX$80*$AC102),0)</f>
        <v>748</v>
      </c>
      <c r="V102" s="715">
        <f>ROUND((('1.4.조성법총괄(내부이동률 적용)'!R$40+'1.4.조성법총괄(내부이동률 적용)'!R$43*$AK$2)*$AB102)+(AY$80*$AC102),0)</f>
        <v>752</v>
      </c>
      <c r="W102" s="714">
        <f>ROUND((('1.4.조성법총괄(내부이동률 적용)'!S$40+'1.4.조성법총괄(내부이동률 적용)'!S$43*$AK$2)*$AB102)+(AZ$80*$AC102),0)</f>
        <v>755</v>
      </c>
      <c r="X102" s="714">
        <f>ROUND((('1.4.조성법총괄(내부이동률 적용)'!T$40+'1.4.조성법총괄(내부이동률 적용)'!T$43*$AK$2)*$AB102)+(BA$80*$AC102),0)</f>
        <v>759</v>
      </c>
      <c r="Y102" s="714">
        <f>ROUND((('1.4.조성법총괄(내부이동률 적용)'!U$40+'1.4.조성법총괄(내부이동률 적용)'!U$43*$AK$2)*$AB102)+(BB$80*$AC102),0)</f>
        <v>762</v>
      </c>
      <c r="Z102" s="714">
        <f>ROUND((('1.4.조성법총괄(내부이동률 적용)'!V$40+'1.4.조성법총괄(내부이동률 적용)'!V$43*$AK$2)*$AB102)+(BC$80*$AC102),0)</f>
        <v>766</v>
      </c>
      <c r="AA102" s="715">
        <f>ROUND((('1.4.조성법총괄(내부이동률 적용)'!W$40+'1.4.조성법총괄(내부이동률 적용)'!W$43*$AK$2)*$AB102)+(BD$80*$AC102),0)</f>
        <v>757</v>
      </c>
      <c r="AB102" s="936">
        <f>+H102/'1.4.조성법총괄(내부이동률 적용)'!$D$44</f>
        <v>3.8785744771660267E-2</v>
      </c>
      <c r="AC102" s="934">
        <f t="shared" si="67"/>
        <v>4.7756683965052879E-2</v>
      </c>
      <c r="AD102" s="713"/>
      <c r="AE102" s="1"/>
      <c r="AF102" s="855"/>
      <c r="AG102" s="875"/>
      <c r="AH102" s="888" t="str">
        <f>'사회적유입인구의 처리구역별 배분(적용)'!C94</f>
        <v>감곡 오향리 아파트</v>
      </c>
      <c r="AI102" s="870">
        <f>+'사회적유입인구의 처리구역별 배분(적용)'!D94</f>
        <v>0</v>
      </c>
      <c r="AJ102" s="870">
        <f>+'사회적유입인구의 처리구역별 배분(적용)'!E94</f>
        <v>0</v>
      </c>
      <c r="AK102" s="870">
        <f>+'사회적유입인구의 처리구역별 배분(적용)'!F94</f>
        <v>0</v>
      </c>
      <c r="AL102" s="870">
        <f>+'사회적유입인구의 처리구역별 배분(적용)'!G94</f>
        <v>0</v>
      </c>
      <c r="AM102" s="870">
        <f>+'사회적유입인구의 처리구역별 배분(적용)'!H94</f>
        <v>0</v>
      </c>
      <c r="AN102" s="870">
        <f>+'사회적유입인구의 처리구역별 배분(적용)'!I94</f>
        <v>0</v>
      </c>
      <c r="AO102" s="870">
        <f>+'사회적유입인구의 처리구역별 배분(적용)'!J94</f>
        <v>0</v>
      </c>
      <c r="AP102" s="870">
        <f>+'사회적유입인구의 처리구역별 배분(적용)'!K94</f>
        <v>0</v>
      </c>
      <c r="AQ102" s="870">
        <f>+'사회적유입인구의 처리구역별 배분(적용)'!L94</f>
        <v>0</v>
      </c>
      <c r="AR102" s="870">
        <f>+'사회적유입인구의 처리구역별 배분(적용)'!M94</f>
        <v>0</v>
      </c>
      <c r="AS102" s="870">
        <f>+'사회적유입인구의 처리구역별 배분(적용)'!N94</f>
        <v>0</v>
      </c>
      <c r="AT102" s="870">
        <f>+'사회적유입인구의 처리구역별 배분(적용)'!O94</f>
        <v>549</v>
      </c>
      <c r="AU102" s="870">
        <f>+'사회적유입인구의 처리구역별 배분(적용)'!P94</f>
        <v>549</v>
      </c>
      <c r="AV102" s="870">
        <f>+'사회적유입인구의 처리구역별 배분(적용)'!Q94</f>
        <v>549</v>
      </c>
      <c r="AW102" s="870">
        <f>+'사회적유입인구의 처리구역별 배분(적용)'!R94</f>
        <v>549</v>
      </c>
      <c r="AX102" s="870">
        <f>+'사회적유입인구의 처리구역별 배분(적용)'!S94</f>
        <v>549</v>
      </c>
      <c r="AY102" s="870">
        <f>+'사회적유입인구의 처리구역별 배분(적용)'!T94</f>
        <v>549</v>
      </c>
      <c r="AZ102" s="870">
        <f>+'사회적유입인구의 처리구역별 배분(적용)'!U94</f>
        <v>549</v>
      </c>
      <c r="BA102" s="870">
        <f>+'사회적유입인구의 처리구역별 배분(적용)'!V94</f>
        <v>549</v>
      </c>
      <c r="BB102" s="870">
        <f>+'사회적유입인구의 처리구역별 배분(적용)'!W94</f>
        <v>549</v>
      </c>
      <c r="BC102" s="870">
        <f>+'사회적유입인구의 처리구역별 배분(적용)'!X94</f>
        <v>549</v>
      </c>
      <c r="BD102" s="870">
        <f>+'사회적유입인구의 처리구역별 배분(적용)'!Y94</f>
        <v>549</v>
      </c>
      <c r="BE102" s="889">
        <f>+'사회적유입인구의 처리구역별 배분(적용)'!Z94</f>
        <v>1</v>
      </c>
    </row>
    <row r="103" spans="1:57" s="712" customFormat="1" ht="24" customHeight="1">
      <c r="A103" s="2640"/>
      <c r="B103" s="2636"/>
      <c r="C103" s="2636"/>
      <c r="D103" s="2637"/>
      <c r="E103" s="1243" t="s">
        <v>878</v>
      </c>
      <c r="F103" s="713"/>
      <c r="G103" s="935">
        <f>+'2014처리구역인구 정리'!I93</f>
        <v>249</v>
      </c>
      <c r="H103" s="935">
        <f>+'2014처리구역인구 정리'!J93</f>
        <v>290</v>
      </c>
      <c r="I103" s="925">
        <f>ROUND((('1.4.조성법총괄(내부이동률 적용)'!E$40+'1.4.조성법총괄(내부이동률 적용)'!E$43*$AK$2)*$AB103)+(AL$80*$AC103),0)</f>
        <v>290</v>
      </c>
      <c r="J103" s="925">
        <f>ROUND((('1.4.조성법총괄(내부이동률 적용)'!F$40+'1.4.조성법총괄(내부이동률 적용)'!F$43*$AK$2)*$AB103)+(AM$80*$AC103),0)</f>
        <v>291</v>
      </c>
      <c r="K103" s="925">
        <f>ROUND((('1.4.조성법총괄(내부이동률 적용)'!G$40+'1.4.조성법총괄(내부이동률 적용)'!G$43*$AK$2)*$AB103)+(AN$80*$AC103),0)</f>
        <v>268</v>
      </c>
      <c r="L103" s="907">
        <f>ROUND((('1.4.조성법총괄(내부이동률 적용)'!H$40+'1.4.조성법총괄(내부이동률 적용)'!H$43*$AK$2)*$AB103)+(AO$80*$AC103),0)</f>
        <v>286</v>
      </c>
      <c r="M103" s="925">
        <f>ROUND((('1.4.조성법총괄(내부이동률 적용)'!I$40+'1.4.조성법총괄(내부이동률 적용)'!I$43*$AK$2)*$AB103)+(AP$80*$AC103),0)</f>
        <v>288</v>
      </c>
      <c r="N103" s="925">
        <f>ROUND((('1.4.조성법총괄(내부이동률 적용)'!J$40+'1.4.조성법총괄(내부이동률 적용)'!J$43*$AK$2)*$AB103)+(AQ$80*$AC103),0)</f>
        <v>289</v>
      </c>
      <c r="O103" s="925">
        <f>ROUND((('1.4.조성법총괄(내부이동률 적용)'!K$40+'1.4.조성법총괄(내부이동률 적용)'!K$43*$AK$2)*$AB103)+(AR$80*$AC103),0)</f>
        <v>291</v>
      </c>
      <c r="P103" s="925">
        <f>ROUND((('1.4.조성법총괄(내부이동률 적용)'!L$40+'1.4.조성법총괄(내부이동률 적용)'!L$43*$AK$2)*$AB103)+(AS$80*$AC103),0)</f>
        <v>293</v>
      </c>
      <c r="Q103" s="907">
        <f>ROUND((('1.4.조성법총괄(내부이동률 적용)'!M$40+'1.4.조성법총괄(내부이동률 적용)'!M$43*$AK$2)*$AB103)+(AT$80*$AC103),0)</f>
        <v>293</v>
      </c>
      <c r="R103" s="925">
        <f>ROUND((('1.4.조성법총괄(내부이동률 적용)'!N$40+'1.4.조성법총괄(내부이동률 적용)'!N$43*$AK$2)*$AB103)+(AU$80*$AC103),0)</f>
        <v>294</v>
      </c>
      <c r="S103" s="925">
        <f>ROUND((('1.4.조성법총괄(내부이동률 적용)'!O$40+'1.4.조성법총괄(내부이동률 적용)'!O$43*$AK$2)*$AB103)+(AV$80*$AC103),0)</f>
        <v>296</v>
      </c>
      <c r="T103" s="925">
        <f>ROUND((('1.4.조성법총괄(내부이동률 적용)'!P$40+'1.4.조성법총괄(내부이동률 적용)'!P$43*$AK$2)*$AB103)+(AW$80*$AC103),0)</f>
        <v>297</v>
      </c>
      <c r="U103" s="925">
        <f>ROUND((('1.4.조성법총괄(내부이동률 적용)'!Q$40+'1.4.조성법총괄(내부이동률 적용)'!Q$43*$AK$2)*$AB103)+(AX$80*$AC103),0)</f>
        <v>298</v>
      </c>
      <c r="V103" s="715">
        <f>ROUND((('1.4.조성법총괄(내부이동률 적용)'!R$40+'1.4.조성법총괄(내부이동률 적용)'!R$43*$AK$2)*$AB103)+(AY$80*$AC103),0)</f>
        <v>300</v>
      </c>
      <c r="W103" s="714">
        <f>ROUND((('1.4.조성법총괄(내부이동률 적용)'!S$40+'1.4.조성법총괄(내부이동률 적용)'!S$43*$AK$2)*$AB103)+(AZ$80*$AC103),0)</f>
        <v>301</v>
      </c>
      <c r="X103" s="714">
        <f>ROUND((('1.4.조성법총괄(내부이동률 적용)'!T$40+'1.4.조성법총괄(내부이동률 적용)'!T$43*$AK$2)*$AB103)+(BA$80*$AC103),0)</f>
        <v>303</v>
      </c>
      <c r="Y103" s="714">
        <f>ROUND((('1.4.조성법총괄(내부이동률 적용)'!U$40+'1.4.조성법총괄(내부이동률 적용)'!U$43*$AK$2)*$AB103)+(BB$80*$AC103),0)</f>
        <v>304</v>
      </c>
      <c r="Z103" s="714">
        <f>ROUND((('1.4.조성법총괄(내부이동률 적용)'!V$40+'1.4.조성법총괄(내부이동률 적용)'!V$43*$AK$2)*$AB103)+(BC$80*$AC103),0)</f>
        <v>305</v>
      </c>
      <c r="AA103" s="715">
        <f>ROUND((('1.4.조성법총괄(내부이동률 적용)'!W$40+'1.4.조성법총괄(내부이동률 적용)'!W$43*$AK$2)*$AB103)+(BD$80*$AC103),0)</f>
        <v>302</v>
      </c>
      <c r="AB103" s="936">
        <f>+H103/'1.4.조성법총괄(내부이동률 적용)'!$D$44</f>
        <v>1.5471617584293641E-2</v>
      </c>
      <c r="AC103" s="934">
        <f t="shared" si="67"/>
        <v>1.9050121526637324E-2</v>
      </c>
      <c r="AD103" s="713"/>
      <c r="AE103" s="1"/>
      <c r="AF103" s="855"/>
      <c r="AG103" s="875"/>
      <c r="AH103" s="888" t="str">
        <f>+'사회적유입인구의 처리구역별 배분(적용)'!C95</f>
        <v>소  계</v>
      </c>
      <c r="AI103" s="870">
        <f>+'사회적유입인구의 처리구역별 배분(적용)'!D95</f>
        <v>0</v>
      </c>
      <c r="AJ103" s="870">
        <f>+'사회적유입인구의 처리구역별 배분(적용)'!E95</f>
        <v>0</v>
      </c>
      <c r="AK103" s="870">
        <f>+'사회적유입인구의 처리구역별 배분(적용)'!F95</f>
        <v>0</v>
      </c>
      <c r="AL103" s="870">
        <f>+'사회적유입인구의 처리구역별 배분(적용)'!G95</f>
        <v>0</v>
      </c>
      <c r="AM103" s="870">
        <f>+'사회적유입인구의 처리구역별 배분(적용)'!H95</f>
        <v>344</v>
      </c>
      <c r="AN103" s="870">
        <f>+'사회적유입인구의 처리구역별 배분(적용)'!I95</f>
        <v>344</v>
      </c>
      <c r="AO103" s="870">
        <f>+'사회적유입인구의 처리구역별 배분(적용)'!J95</f>
        <v>344</v>
      </c>
      <c r="AP103" s="870">
        <f>+'사회적유입인구의 처리구역별 배분(적용)'!K95</f>
        <v>344</v>
      </c>
      <c r="AQ103" s="870">
        <f>+'사회적유입인구의 처리구역별 배분(적용)'!L95</f>
        <v>344</v>
      </c>
      <c r="AR103" s="870">
        <f>+'사회적유입인구의 처리구역별 배분(적용)'!M95</f>
        <v>344</v>
      </c>
      <c r="AS103" s="870">
        <f>+'사회적유입인구의 처리구역별 배분(적용)'!N95</f>
        <v>344</v>
      </c>
      <c r="AT103" s="870">
        <f>+'사회적유입인구의 처리구역별 배분(적용)'!O95</f>
        <v>893</v>
      </c>
      <c r="AU103" s="870">
        <f>+'사회적유입인구의 처리구역별 배분(적용)'!P95</f>
        <v>893</v>
      </c>
      <c r="AV103" s="870">
        <f>+'사회적유입인구의 처리구역별 배분(적용)'!Q95</f>
        <v>893</v>
      </c>
      <c r="AW103" s="870">
        <f>+'사회적유입인구의 처리구역별 배분(적용)'!R95</f>
        <v>893</v>
      </c>
      <c r="AX103" s="870">
        <f>+'사회적유입인구의 처리구역별 배분(적용)'!S95</f>
        <v>893</v>
      </c>
      <c r="AY103" s="870">
        <f>+'사회적유입인구의 처리구역별 배분(적용)'!T95</f>
        <v>893</v>
      </c>
      <c r="AZ103" s="870">
        <f>+'사회적유입인구의 처리구역별 배분(적용)'!U95</f>
        <v>893</v>
      </c>
      <c r="BA103" s="870">
        <f>+'사회적유입인구의 처리구역별 배분(적용)'!V95</f>
        <v>893</v>
      </c>
      <c r="BB103" s="870">
        <f>+'사회적유입인구의 처리구역별 배분(적용)'!W95</f>
        <v>893</v>
      </c>
      <c r="BC103" s="870">
        <f>+'사회적유입인구의 처리구역별 배분(적용)'!X95</f>
        <v>893</v>
      </c>
      <c r="BD103" s="870">
        <f>+'사회적유입인구의 처리구역별 배분(적용)'!Y95</f>
        <v>893</v>
      </c>
      <c r="BE103" s="889">
        <f>+'사회적유입인구의 처리구역별 배분(적용)'!Z95</f>
        <v>0</v>
      </c>
    </row>
    <row r="104" spans="1:57" s="712" customFormat="1" ht="24" customHeight="1" thickBot="1">
      <c r="A104" s="2640"/>
      <c r="B104" s="2636"/>
      <c r="C104" s="2636"/>
      <c r="D104" s="2637"/>
      <c r="E104" s="1243" t="s">
        <v>879</v>
      </c>
      <c r="F104" s="713"/>
      <c r="G104" s="935">
        <f>+'2014처리구역인구 정리'!I94</f>
        <v>100</v>
      </c>
      <c r="H104" s="935">
        <f>+'2014처리구역인구 정리'!J94</f>
        <v>120</v>
      </c>
      <c r="I104" s="925">
        <f>ROUND((('1.4.조성법총괄(내부이동률 적용)'!E$40+'1.4.조성법총괄(내부이동률 적용)'!E$43*$AK$2)*$AB104)+(AL$80*$AC104),0)</f>
        <v>120</v>
      </c>
      <c r="J104" s="925">
        <f>ROUND((('1.4.조성법총괄(내부이동률 적용)'!F$40+'1.4.조성법총괄(내부이동률 적용)'!F$43*$AK$2)*$AB104)+(AM$80*$AC104),0)</f>
        <v>120</v>
      </c>
      <c r="K104" s="925">
        <f>ROUND((('1.4.조성법총괄(내부이동률 적용)'!G$40+'1.4.조성법총괄(내부이동률 적용)'!G$43*$AK$2)*$AB104)+(AN$80*$AC104),0)</f>
        <v>111</v>
      </c>
      <c r="L104" s="907">
        <f>ROUND((('1.4.조성법총괄(내부이동률 적용)'!H$40+'1.4.조성법총괄(내부이동률 적용)'!H$43*$AK$2)*$AB104)+(AO$80*$AC104),0)</f>
        <v>118</v>
      </c>
      <c r="M104" s="925">
        <f>ROUND((('1.4.조성법총괄(내부이동률 적용)'!I$40+'1.4.조성법총괄(내부이동률 적용)'!I$43*$AK$2)*$AB104)+(AP$80*$AC104),0)</f>
        <v>119</v>
      </c>
      <c r="N104" s="925">
        <f>ROUND((('1.4.조성법총괄(내부이동률 적용)'!J$40+'1.4.조성법총괄(내부이동률 적용)'!J$43*$AK$2)*$AB104)+(AQ$80*$AC104),0)</f>
        <v>120</v>
      </c>
      <c r="O104" s="925">
        <f>ROUND((('1.4.조성법총괄(내부이동률 적용)'!K$40+'1.4.조성법총괄(내부이동률 적용)'!K$43*$AK$2)*$AB104)+(AR$80*$AC104),0)</f>
        <v>120</v>
      </c>
      <c r="P104" s="925">
        <f>ROUND((('1.4.조성법총괄(내부이동률 적용)'!L$40+'1.4.조성법총괄(내부이동률 적용)'!L$43*$AK$2)*$AB104)+(AS$80*$AC104),0)</f>
        <v>121</v>
      </c>
      <c r="Q104" s="907">
        <f>ROUND((('1.4.조성법총괄(내부이동률 적용)'!M$40+'1.4.조성법총괄(내부이동률 적용)'!M$43*$AK$2)*$AB104)+(AT$80*$AC104),0)</f>
        <v>121</v>
      </c>
      <c r="R104" s="925">
        <f>ROUND((('1.4.조성법총괄(내부이동률 적용)'!N$40+'1.4.조성법총괄(내부이동률 적용)'!N$43*$AK$2)*$AB104)+(AU$80*$AC104),0)</f>
        <v>122</v>
      </c>
      <c r="S104" s="925">
        <f>ROUND((('1.4.조성법총괄(내부이동률 적용)'!O$40+'1.4.조성법총괄(내부이동률 적용)'!O$43*$AK$2)*$AB104)+(AV$80*$AC104),0)</f>
        <v>122</v>
      </c>
      <c r="T104" s="925">
        <f>ROUND((('1.4.조성법총괄(내부이동률 적용)'!P$40+'1.4.조성법총괄(내부이동률 적용)'!P$43*$AK$2)*$AB104)+(AW$80*$AC104),0)</f>
        <v>123</v>
      </c>
      <c r="U104" s="925">
        <f>ROUND((('1.4.조성법총괄(내부이동률 적용)'!Q$40+'1.4.조성법총괄(내부이동률 적용)'!Q$43*$AK$2)*$AB104)+(AX$80*$AC104),0)</f>
        <v>123</v>
      </c>
      <c r="V104" s="715">
        <f>ROUND((('1.4.조성법총괄(내부이동률 적용)'!R$40+'1.4.조성법총괄(내부이동률 적용)'!R$43*$AK$2)*$AB104)+(AY$80*$AC104),0)</f>
        <v>124</v>
      </c>
      <c r="W104" s="714">
        <f>ROUND((('1.4.조성법총괄(내부이동률 적용)'!S$40+'1.4.조성법총괄(내부이동률 적용)'!S$43*$AK$2)*$AB104)+(AZ$80*$AC104),0)</f>
        <v>125</v>
      </c>
      <c r="X104" s="714">
        <f>ROUND((('1.4.조성법총괄(내부이동률 적용)'!T$40+'1.4.조성법총괄(내부이동률 적용)'!T$43*$AK$2)*$AB104)+(BA$80*$AC104),0)</f>
        <v>125</v>
      </c>
      <c r="Y104" s="714">
        <f>ROUND((('1.4.조성법총괄(내부이동률 적용)'!U$40+'1.4.조성법총괄(내부이동률 적용)'!U$43*$AK$2)*$AB104)+(BB$80*$AC104),0)</f>
        <v>126</v>
      </c>
      <c r="Z104" s="714">
        <f>ROUND((('1.4.조성법총괄(내부이동률 적용)'!V$40+'1.4.조성법총괄(내부이동률 적용)'!V$43*$AK$2)*$AB104)+(BC$80*$AC104),0)</f>
        <v>126</v>
      </c>
      <c r="AA104" s="715">
        <f>ROUND((('1.4.조성법총괄(내부이동률 적용)'!W$40+'1.4.조성법총괄(내부이동률 적용)'!W$43*$AK$2)*$AB104)+(BD$80*$AC104),0)</f>
        <v>125</v>
      </c>
      <c r="AB104" s="936">
        <f>+H104/'1.4.조성법총괄(내부이동률 적용)'!$D$44</f>
        <v>6.4020486555697821E-3</v>
      </c>
      <c r="AC104" s="934">
        <f t="shared" si="67"/>
        <v>7.8828089075740661E-3</v>
      </c>
      <c r="AD104" s="640"/>
      <c r="AE104" s="1"/>
      <c r="AF104" s="855"/>
      <c r="AG104" s="875"/>
      <c r="AH104" s="890"/>
      <c r="AI104" s="891"/>
      <c r="AJ104" s="891"/>
      <c r="AK104" s="891"/>
      <c r="AL104" s="891"/>
      <c r="AM104" s="891"/>
      <c r="AN104" s="891"/>
      <c r="AO104" s="891"/>
      <c r="AP104" s="891"/>
      <c r="AQ104" s="891"/>
      <c r="AR104" s="891"/>
      <c r="AS104" s="891"/>
      <c r="AT104" s="891"/>
      <c r="AU104" s="891"/>
      <c r="AV104" s="891"/>
      <c r="AW104" s="891"/>
      <c r="AX104" s="891"/>
      <c r="AY104" s="891"/>
      <c r="AZ104" s="891"/>
      <c r="BA104" s="891"/>
      <c r="BB104" s="891"/>
      <c r="BC104" s="891"/>
      <c r="BD104" s="891"/>
      <c r="BE104" s="892"/>
    </row>
    <row r="105" spans="1:57" s="712" customFormat="1" ht="24" customHeight="1">
      <c r="A105" s="2640"/>
      <c r="B105" s="2636"/>
      <c r="C105" s="2636"/>
      <c r="D105" s="2637"/>
      <c r="E105" s="1244" t="s">
        <v>1268</v>
      </c>
      <c r="F105" s="713"/>
      <c r="G105" s="935">
        <f t="shared" ref="G105:AA105" si="68">AJ61</f>
        <v>0</v>
      </c>
      <c r="H105" s="935">
        <f t="shared" si="68"/>
        <v>0</v>
      </c>
      <c r="I105" s="1030">
        <f t="shared" si="68"/>
        <v>0</v>
      </c>
      <c r="J105" s="1030">
        <f t="shared" si="68"/>
        <v>0</v>
      </c>
      <c r="K105" s="1030">
        <f t="shared" si="68"/>
        <v>0</v>
      </c>
      <c r="L105" s="935">
        <f t="shared" si="68"/>
        <v>3346</v>
      </c>
      <c r="M105" s="935">
        <f t="shared" si="68"/>
        <v>3346</v>
      </c>
      <c r="N105" s="935">
        <f t="shared" si="68"/>
        <v>3346</v>
      </c>
      <c r="O105" s="935">
        <f t="shared" si="68"/>
        <v>3346</v>
      </c>
      <c r="P105" s="935">
        <f t="shared" si="68"/>
        <v>3346</v>
      </c>
      <c r="Q105" s="935">
        <f t="shared" si="68"/>
        <v>3346</v>
      </c>
      <c r="R105" s="935">
        <f t="shared" si="68"/>
        <v>3346</v>
      </c>
      <c r="S105" s="935">
        <f t="shared" si="68"/>
        <v>3346</v>
      </c>
      <c r="T105" s="935">
        <f t="shared" si="68"/>
        <v>3346</v>
      </c>
      <c r="U105" s="935">
        <f t="shared" si="68"/>
        <v>3346</v>
      </c>
      <c r="V105" s="935">
        <f t="shared" si="68"/>
        <v>3346</v>
      </c>
      <c r="W105" s="935">
        <f t="shared" si="68"/>
        <v>3346</v>
      </c>
      <c r="X105" s="935">
        <f t="shared" si="68"/>
        <v>3346</v>
      </c>
      <c r="Y105" s="935">
        <f t="shared" si="68"/>
        <v>3346</v>
      </c>
      <c r="Z105" s="935">
        <f t="shared" si="68"/>
        <v>3346</v>
      </c>
      <c r="AA105" s="935">
        <f t="shared" si="68"/>
        <v>3346</v>
      </c>
      <c r="AB105" s="936"/>
      <c r="AC105" s="934"/>
      <c r="AD105" s="640" t="str">
        <f>AH61</f>
        <v>대소 삼정지구</v>
      </c>
      <c r="AE105" s="711"/>
      <c r="AF105" s="855"/>
      <c r="AG105" s="863"/>
      <c r="AH105" s="867"/>
      <c r="AI105" s="862"/>
      <c r="AJ105" s="862"/>
      <c r="AK105" s="862"/>
      <c r="AL105" s="862"/>
      <c r="AM105" s="862"/>
      <c r="AN105" s="862"/>
      <c r="AO105" s="862"/>
      <c r="AP105" s="862"/>
      <c r="AQ105" s="862"/>
      <c r="AR105" s="862"/>
      <c r="AS105" s="862"/>
      <c r="AT105" s="862"/>
      <c r="AU105" s="862"/>
      <c r="AV105" s="862"/>
      <c r="AW105" s="862"/>
      <c r="AX105" s="862"/>
      <c r="AY105" s="862"/>
      <c r="AZ105" s="862"/>
      <c r="BA105" s="862"/>
      <c r="BB105" s="862"/>
      <c r="BC105" s="862"/>
      <c r="BD105" s="862"/>
      <c r="BE105" s="876"/>
    </row>
    <row r="106" spans="1:57" s="712" customFormat="1" ht="24" customHeight="1">
      <c r="A106" s="2640"/>
      <c r="B106" s="2636"/>
      <c r="C106" s="2636"/>
      <c r="D106" s="1243" t="s">
        <v>1225</v>
      </c>
      <c r="E106" s="1243" t="s">
        <v>1226</v>
      </c>
      <c r="F106" s="713"/>
      <c r="G106" s="935">
        <f>+'2014처리구역인구 정리'!I95</f>
        <v>126</v>
      </c>
      <c r="H106" s="935">
        <f>+'2014처리구역인구 정리'!J95</f>
        <v>142</v>
      </c>
      <c r="I106" s="925">
        <f>ROUND((('1.4.조성법총괄(내부이동률 적용)'!E$40+'1.4.조성법총괄(내부이동률 적용)'!E$43*$AK$2)*$AB106)+(AL$80*$AC106),0)</f>
        <v>142</v>
      </c>
      <c r="J106" s="925">
        <f>ROUND((('1.4.조성법총괄(내부이동률 적용)'!F$40+'1.4.조성법총괄(내부이동률 적용)'!F$43*$AK$2)*$AB106)+(AM$80*$AC106),0)</f>
        <v>142</v>
      </c>
      <c r="K106" s="925">
        <f>ROUND((('1.4.조성법총괄(내부이동률 적용)'!G$40+'1.4.조성법총괄(내부이동률 적용)'!G$43*$AK$2)*$AB106)+(AN$80*$AC106),0)</f>
        <v>131</v>
      </c>
      <c r="L106" s="907">
        <f>ROUND((('1.4.조성법총괄(내부이동률 적용)'!H$40+'1.4.조성법총괄(내부이동률 적용)'!H$43*$AK$2)*$AB106)+(AO$80*$AC106),0)</f>
        <v>140</v>
      </c>
      <c r="M106" s="925">
        <f>ROUND((('1.4.조성법총괄(내부이동률 적용)'!I$40+'1.4.조성법총괄(내부이동률 적용)'!I$43*$AK$2)*$AB106)+(AP$80*$AC106),0)</f>
        <v>141</v>
      </c>
      <c r="N106" s="925">
        <f>ROUND((('1.4.조성법총괄(내부이동률 적용)'!J$40+'1.4.조성법총괄(내부이동률 적용)'!J$43*$AK$2)*$AB106)+(AQ$80*$AC106),0)</f>
        <v>142</v>
      </c>
      <c r="O106" s="925">
        <f>ROUND((('1.4.조성법총괄(내부이동률 적용)'!K$40+'1.4.조성법총괄(내부이동률 적용)'!K$43*$AK$2)*$AB106)+(AR$80*$AC106),0)</f>
        <v>143</v>
      </c>
      <c r="P106" s="925">
        <f>ROUND((('1.4.조성법총괄(내부이동률 적용)'!L$40+'1.4.조성법총괄(내부이동률 적용)'!L$43*$AK$2)*$AB106)+(AS$80*$AC106),0)</f>
        <v>143</v>
      </c>
      <c r="Q106" s="907">
        <f>ROUND((('1.4.조성법총괄(내부이동률 적용)'!M$40+'1.4.조성법총괄(내부이동률 적용)'!M$43*$AK$2)*$AB106)+(AT$80*$AC106),0)</f>
        <v>143</v>
      </c>
      <c r="R106" s="925">
        <f>ROUND((('1.4.조성법총괄(내부이동률 적용)'!N$40+'1.4.조성법총괄(내부이동률 적용)'!N$43*$AK$2)*$AB106)+(AU$80*$AC106),0)</f>
        <v>144</v>
      </c>
      <c r="S106" s="925">
        <f>ROUND((('1.4.조성법총괄(내부이동률 적용)'!O$40+'1.4.조성법총괄(내부이동률 적용)'!O$43*$AK$2)*$AB106)+(AV$80*$AC106),0)</f>
        <v>145</v>
      </c>
      <c r="T106" s="925">
        <f>ROUND((('1.4.조성법총괄(내부이동률 적용)'!P$40+'1.4.조성법총괄(내부이동률 적용)'!P$43*$AK$2)*$AB106)+(AW$80*$AC106),0)</f>
        <v>145</v>
      </c>
      <c r="U106" s="925">
        <f>ROUND((('1.4.조성법총괄(내부이동률 적용)'!Q$40+'1.4.조성법총괄(내부이동률 적용)'!Q$43*$AK$2)*$AB106)+(AX$80*$AC106),0)</f>
        <v>146</v>
      </c>
      <c r="V106" s="715">
        <f>ROUND((('1.4.조성법총괄(내부이동률 적용)'!R$40+'1.4.조성법총괄(내부이동률 적용)'!R$43*$AK$2)*$AB106)+(AY$80*$AC106),0)</f>
        <v>147</v>
      </c>
      <c r="W106" s="714">
        <f>ROUND((('1.4.조성법총괄(내부이동률 적용)'!S$40+'1.4.조성법총괄(내부이동률 적용)'!S$43*$AK$2)*$AB106)+(AZ$80*$AC106),0)</f>
        <v>147</v>
      </c>
      <c r="X106" s="714">
        <f>ROUND((('1.4.조성법총괄(내부이동률 적용)'!T$40+'1.4.조성법총괄(내부이동률 적용)'!T$43*$AK$2)*$AB106)+(BA$80*$AC106),0)</f>
        <v>148</v>
      </c>
      <c r="Y106" s="714">
        <f>ROUND((('1.4.조성법총괄(내부이동률 적용)'!U$40+'1.4.조성법총괄(내부이동률 적용)'!U$43*$AK$2)*$AB106)+(BB$80*$AC106),0)</f>
        <v>149</v>
      </c>
      <c r="Z106" s="714">
        <f>ROUND((('1.4.조성법총괄(내부이동률 적용)'!V$40+'1.4.조성법총괄(내부이동률 적용)'!V$43*$AK$2)*$AB106)+(BC$80*$AC106),0)</f>
        <v>150</v>
      </c>
      <c r="AA106" s="715">
        <f>ROUND((('1.4.조성법총괄(내부이동률 적용)'!W$40+'1.4.조성법총괄(내부이동률 적용)'!W$43*$AK$2)*$AB106)+(BD$80*$AC106),0)</f>
        <v>148</v>
      </c>
      <c r="AB106" s="936">
        <f>+H106/'1.4.조성법총괄(내부이동률 적용)'!$D$44</f>
        <v>7.575757575757576E-3</v>
      </c>
      <c r="AC106" s="934">
        <f>+H106/$AE$77</f>
        <v>9.3279905406293117E-3</v>
      </c>
      <c r="AD106" s="640"/>
      <c r="AE106" s="711"/>
      <c r="AF106" s="855"/>
      <c r="AG106" s="863" t="s">
        <v>96</v>
      </c>
      <c r="AH106" s="865" t="str">
        <f>'사회적유입인구의 처리구역별 배분(적용)'!C96</f>
        <v>상우산업단지</v>
      </c>
      <c r="AI106" s="872">
        <f>+'사회적유입인구의 처리구역별 배분(적용)'!D96</f>
        <v>0</v>
      </c>
      <c r="AJ106" s="872">
        <f>+'사회적유입인구의 처리구역별 배분(적용)'!E96</f>
        <v>0</v>
      </c>
      <c r="AK106" s="872">
        <f>+'사회적유입인구의 처리구역별 배분(적용)'!F96</f>
        <v>0</v>
      </c>
      <c r="AL106" s="872">
        <f>+'사회적유입인구의 처리구역별 배분(적용)'!G96</f>
        <v>0</v>
      </c>
      <c r="AM106" s="872">
        <f>+'사회적유입인구의 처리구역별 배분(적용)'!H96</f>
        <v>0</v>
      </c>
      <c r="AN106" s="872">
        <f>+'사회적유입인구의 처리구역별 배분(적용)'!I96</f>
        <v>0</v>
      </c>
      <c r="AO106" s="872">
        <f>+'사회적유입인구의 처리구역별 배분(적용)'!J96</f>
        <v>202</v>
      </c>
      <c r="AP106" s="872">
        <f>+'사회적유입인구의 처리구역별 배분(적용)'!K96</f>
        <v>607</v>
      </c>
      <c r="AQ106" s="872">
        <f>+'사회적유입인구의 처리구역별 배분(적용)'!L96</f>
        <v>1012</v>
      </c>
      <c r="AR106" s="872">
        <f>+'사회적유입인구의 처리구역별 배분(적용)'!M96</f>
        <v>1012</v>
      </c>
      <c r="AS106" s="872">
        <f>+'사회적유입인구의 처리구역별 배분(적용)'!N96</f>
        <v>1012</v>
      </c>
      <c r="AT106" s="872">
        <f>+'사회적유입인구의 처리구역별 배분(적용)'!O96</f>
        <v>1012</v>
      </c>
      <c r="AU106" s="872">
        <f>+'사회적유입인구의 처리구역별 배분(적용)'!P96</f>
        <v>1012</v>
      </c>
      <c r="AV106" s="872">
        <f>+'사회적유입인구의 처리구역별 배분(적용)'!Q96</f>
        <v>1012</v>
      </c>
      <c r="AW106" s="872">
        <f>+'사회적유입인구의 처리구역별 배분(적용)'!R96</f>
        <v>1012</v>
      </c>
      <c r="AX106" s="872">
        <f>+'사회적유입인구의 처리구역별 배분(적용)'!S96</f>
        <v>1012</v>
      </c>
      <c r="AY106" s="872">
        <f>+'사회적유입인구의 처리구역별 배분(적용)'!T96</f>
        <v>1012</v>
      </c>
      <c r="AZ106" s="872">
        <f>+'사회적유입인구의 처리구역별 배분(적용)'!U96</f>
        <v>1012</v>
      </c>
      <c r="BA106" s="872">
        <f>+'사회적유입인구의 처리구역별 배분(적용)'!V96</f>
        <v>1012</v>
      </c>
      <c r="BB106" s="872">
        <f>+'사회적유입인구의 처리구역별 배분(적용)'!W96</f>
        <v>1012</v>
      </c>
      <c r="BC106" s="872">
        <f>+'사회적유입인구의 처리구역별 배분(적용)'!X96</f>
        <v>1012</v>
      </c>
      <c r="BD106" s="872">
        <f>+'사회적유입인구의 처리구역별 배분(적용)'!Y96</f>
        <v>1012</v>
      </c>
      <c r="BE106" s="871">
        <f>+'사회적유입인구의 처리구역별 배분(적용)'!Z96</f>
        <v>1</v>
      </c>
    </row>
    <row r="107" spans="1:57" s="712" customFormat="1" ht="24" customHeight="1">
      <c r="A107" s="2640"/>
      <c r="B107" s="2636"/>
      <c r="C107" s="2636"/>
      <c r="D107" s="1243"/>
      <c r="E107" s="1244" t="s">
        <v>149</v>
      </c>
      <c r="F107" s="713"/>
      <c r="G107" s="935">
        <f>AJ62</f>
        <v>0</v>
      </c>
      <c r="H107" s="935">
        <f t="shared" ref="H107:AA107" si="69">AK62</f>
        <v>0</v>
      </c>
      <c r="I107" s="935">
        <f t="shared" si="69"/>
        <v>0</v>
      </c>
      <c r="J107" s="935">
        <f t="shared" si="69"/>
        <v>0</v>
      </c>
      <c r="K107" s="935">
        <f t="shared" si="69"/>
        <v>0</v>
      </c>
      <c r="L107" s="935">
        <f t="shared" si="69"/>
        <v>0</v>
      </c>
      <c r="M107" s="935">
        <f t="shared" si="69"/>
        <v>0</v>
      </c>
      <c r="N107" s="935">
        <f t="shared" si="69"/>
        <v>0</v>
      </c>
      <c r="O107" s="935">
        <f t="shared" si="69"/>
        <v>0</v>
      </c>
      <c r="P107" s="935">
        <f t="shared" si="69"/>
        <v>0</v>
      </c>
      <c r="Q107" s="935">
        <f t="shared" si="69"/>
        <v>0</v>
      </c>
      <c r="R107" s="935">
        <f t="shared" si="69"/>
        <v>0</v>
      </c>
      <c r="S107" s="935">
        <f t="shared" si="69"/>
        <v>0</v>
      </c>
      <c r="T107" s="935">
        <f t="shared" si="69"/>
        <v>0</v>
      </c>
      <c r="U107" s="935">
        <f t="shared" si="69"/>
        <v>0</v>
      </c>
      <c r="V107" s="935">
        <f t="shared" si="69"/>
        <v>0</v>
      </c>
      <c r="W107" s="935">
        <f t="shared" si="69"/>
        <v>0</v>
      </c>
      <c r="X107" s="935">
        <f t="shared" si="69"/>
        <v>0</v>
      </c>
      <c r="Y107" s="935">
        <f t="shared" si="69"/>
        <v>0</v>
      </c>
      <c r="Z107" s="935">
        <f t="shared" si="69"/>
        <v>0</v>
      </c>
      <c r="AA107" s="935">
        <f t="shared" si="69"/>
        <v>5369</v>
      </c>
      <c r="AB107" s="936"/>
      <c r="AC107" s="934"/>
      <c r="AD107" s="640" t="s">
        <v>1494</v>
      </c>
      <c r="AE107" s="711"/>
      <c r="AF107" s="1134"/>
      <c r="AG107" s="1132"/>
      <c r="AH107" s="1130" t="str">
        <f>'사회적유입인구의 처리구역별 배분(적용)'!C97</f>
        <v>사곡산업단지</v>
      </c>
      <c r="AI107" s="872">
        <f>+'사회적유입인구의 처리구역별 배분(적용)'!D97</f>
        <v>0</v>
      </c>
      <c r="AJ107" s="872">
        <f>+'사회적유입인구의 처리구역별 배분(적용)'!E97</f>
        <v>0</v>
      </c>
      <c r="AK107" s="872">
        <f>+'사회적유입인구의 처리구역별 배분(적용)'!F97</f>
        <v>0</v>
      </c>
      <c r="AL107" s="872">
        <f>+'사회적유입인구의 처리구역별 배분(적용)'!G97</f>
        <v>0</v>
      </c>
      <c r="AM107" s="872">
        <f>+'사회적유입인구의 처리구역별 배분(적용)'!H97</f>
        <v>0</v>
      </c>
      <c r="AN107" s="872">
        <f>+'사회적유입인구의 처리구역별 배분(적용)'!I97</f>
        <v>0</v>
      </c>
      <c r="AO107" s="872">
        <f>+'사회적유입인구의 처리구역별 배분(적용)'!J97</f>
        <v>0</v>
      </c>
      <c r="AP107" s="872">
        <f>+'사회적유입인구의 처리구역별 배분(적용)'!K97</f>
        <v>0</v>
      </c>
      <c r="AQ107" s="872">
        <f>+'사회적유입인구의 처리구역별 배분(적용)'!L97</f>
        <v>0</v>
      </c>
      <c r="AR107" s="872">
        <f>+'사회적유입인구의 처리구역별 배분(적용)'!M97</f>
        <v>0</v>
      </c>
      <c r="AS107" s="872">
        <f>+'사회적유입인구의 처리구역별 배분(적용)'!N97</f>
        <v>0</v>
      </c>
      <c r="AT107" s="872">
        <f>+'사회적유입인구의 처리구역별 배분(적용)'!O97</f>
        <v>0</v>
      </c>
      <c r="AU107" s="872">
        <f>+'사회적유입인구의 처리구역별 배분(적용)'!P97</f>
        <v>0</v>
      </c>
      <c r="AV107" s="872">
        <f>+'사회적유입인구의 처리구역별 배분(적용)'!Q97</f>
        <v>0</v>
      </c>
      <c r="AW107" s="872">
        <f>+'사회적유입인구의 처리구역별 배분(적용)'!R97</f>
        <v>0</v>
      </c>
      <c r="AX107" s="872">
        <f>+'사회적유입인구의 처리구역별 배분(적용)'!S97</f>
        <v>0</v>
      </c>
      <c r="AY107" s="872">
        <f>+'사회적유입인구의 처리구역별 배분(적용)'!T97</f>
        <v>0</v>
      </c>
      <c r="AZ107" s="872">
        <f>+'사회적유입인구의 처리구역별 배분(적용)'!U97</f>
        <v>0</v>
      </c>
      <c r="BA107" s="872">
        <f>+'사회적유입인구의 처리구역별 배분(적용)'!V97</f>
        <v>0</v>
      </c>
      <c r="BB107" s="872">
        <f>+'사회적유입인구의 처리구역별 배분(적용)'!W97</f>
        <v>0</v>
      </c>
      <c r="BC107" s="872">
        <f>+'사회적유입인구의 처리구역별 배분(적용)'!X97</f>
        <v>0</v>
      </c>
      <c r="BD107" s="872">
        <f>+'사회적유입인구의 처리구역별 배분(적용)'!Y97</f>
        <v>2228</v>
      </c>
      <c r="BE107" s="871">
        <f>+'사회적유입인구의 처리구역별 배분(적용)'!Z97</f>
        <v>1</v>
      </c>
    </row>
    <row r="108" spans="1:57" ht="24" customHeight="1">
      <c r="A108" s="2640"/>
      <c r="B108" s="2636" t="s">
        <v>1091</v>
      </c>
      <c r="C108" s="2635" t="s">
        <v>7</v>
      </c>
      <c r="D108" s="2635"/>
      <c r="E108" s="2635"/>
      <c r="F108" s="713"/>
      <c r="G108" s="907">
        <f t="shared" ref="G108:AA108" si="70">SUM(G109:G120)</f>
        <v>3473</v>
      </c>
      <c r="H108" s="907">
        <f t="shared" si="70"/>
        <v>3979</v>
      </c>
      <c r="I108" s="907">
        <f t="shared" si="70"/>
        <v>3983</v>
      </c>
      <c r="J108" s="907">
        <f t="shared" si="70"/>
        <v>3993</v>
      </c>
      <c r="K108" s="907">
        <f t="shared" si="70"/>
        <v>3917</v>
      </c>
      <c r="L108" s="907">
        <f t="shared" si="70"/>
        <v>4160</v>
      </c>
      <c r="M108" s="907">
        <f t="shared" si="70"/>
        <v>4183</v>
      </c>
      <c r="N108" s="907">
        <f t="shared" si="70"/>
        <v>4207</v>
      </c>
      <c r="O108" s="907">
        <f t="shared" si="70"/>
        <v>4230</v>
      </c>
      <c r="P108" s="907">
        <f t="shared" si="70"/>
        <v>4256</v>
      </c>
      <c r="Q108" s="907">
        <f t="shared" si="70"/>
        <v>4447</v>
      </c>
      <c r="R108" s="907">
        <f t="shared" si="70"/>
        <v>4467</v>
      </c>
      <c r="S108" s="907">
        <f t="shared" si="70"/>
        <v>4487</v>
      </c>
      <c r="T108" s="907">
        <f t="shared" si="70"/>
        <v>4505</v>
      </c>
      <c r="U108" s="907">
        <f t="shared" si="70"/>
        <v>4527</v>
      </c>
      <c r="V108" s="907">
        <f t="shared" si="70"/>
        <v>4545</v>
      </c>
      <c r="W108" s="907">
        <f t="shared" si="70"/>
        <v>4565</v>
      </c>
      <c r="X108" s="907">
        <f t="shared" si="70"/>
        <v>4585</v>
      </c>
      <c r="Y108" s="907">
        <f t="shared" si="70"/>
        <v>4604</v>
      </c>
      <c r="Z108" s="907">
        <f t="shared" si="70"/>
        <v>4623</v>
      </c>
      <c r="AA108" s="907">
        <f t="shared" si="70"/>
        <v>4578</v>
      </c>
      <c r="AB108" s="713"/>
      <c r="AC108" s="713"/>
      <c r="AD108" s="713"/>
      <c r="AE108" s="1"/>
      <c r="AF108" s="1134"/>
      <c r="AG108" s="1132"/>
      <c r="AH108" s="1130" t="str">
        <f>'사회적유입인구의 처리구역별 배분(적용)'!C98</f>
        <v>원당산업단지</v>
      </c>
      <c r="AI108" s="872">
        <f>+'사회적유입인구의 처리구역별 배분(적용)'!D98</f>
        <v>0</v>
      </c>
      <c r="AJ108" s="872">
        <f>+'사회적유입인구의 처리구역별 배분(적용)'!E98</f>
        <v>0</v>
      </c>
      <c r="AK108" s="872">
        <f>+'사회적유입인구의 처리구역별 배분(적용)'!F98</f>
        <v>0</v>
      </c>
      <c r="AL108" s="872">
        <f>+'사회적유입인구의 처리구역별 배분(적용)'!G98</f>
        <v>0</v>
      </c>
      <c r="AM108" s="872">
        <f>+'사회적유입인구의 처리구역별 배분(적용)'!H98</f>
        <v>0</v>
      </c>
      <c r="AN108" s="872">
        <f>+'사회적유입인구의 처리구역별 배분(적용)'!I98</f>
        <v>0</v>
      </c>
      <c r="AO108" s="872">
        <f>+'사회적유입인구의 처리구역별 배분(적용)'!J98</f>
        <v>0</v>
      </c>
      <c r="AP108" s="872">
        <f>+'사회적유입인구의 처리구역별 배분(적용)'!K98</f>
        <v>0</v>
      </c>
      <c r="AQ108" s="872">
        <f>+'사회적유입인구의 처리구역별 배분(적용)'!L98</f>
        <v>0</v>
      </c>
      <c r="AR108" s="872">
        <f>+'사회적유입인구의 처리구역별 배분(적용)'!M98</f>
        <v>0</v>
      </c>
      <c r="AS108" s="872">
        <f>+'사회적유입인구의 처리구역별 배분(적용)'!N98</f>
        <v>0</v>
      </c>
      <c r="AT108" s="872">
        <f>+'사회적유입인구의 처리구역별 배분(적용)'!O98</f>
        <v>0</v>
      </c>
      <c r="AU108" s="872">
        <f>+'사회적유입인구의 처리구역별 배분(적용)'!P98</f>
        <v>0</v>
      </c>
      <c r="AV108" s="872">
        <f>+'사회적유입인구의 처리구역별 배분(적용)'!Q98</f>
        <v>0</v>
      </c>
      <c r="AW108" s="872">
        <f>+'사회적유입인구의 처리구역별 배분(적용)'!R98</f>
        <v>0</v>
      </c>
      <c r="AX108" s="872">
        <f>+'사회적유입인구의 처리구역별 배분(적용)'!S98</f>
        <v>0</v>
      </c>
      <c r="AY108" s="872">
        <f>+'사회적유입인구의 처리구역별 배분(적용)'!T98</f>
        <v>0</v>
      </c>
      <c r="AZ108" s="872">
        <f>+'사회적유입인구의 처리구역별 배분(적용)'!U98</f>
        <v>0</v>
      </c>
      <c r="BA108" s="872">
        <f>+'사회적유입인구의 처리구역별 배분(적용)'!V98</f>
        <v>0</v>
      </c>
      <c r="BB108" s="872">
        <f>+'사회적유입인구의 처리구역별 배분(적용)'!W98</f>
        <v>0</v>
      </c>
      <c r="BC108" s="872">
        <f>+'사회적유입인구의 처리구역별 배분(적용)'!X98</f>
        <v>0</v>
      </c>
      <c r="BD108" s="872">
        <f>+'사회적유입인구의 처리구역별 배분(적용)'!Y98</f>
        <v>476</v>
      </c>
      <c r="BE108" s="871">
        <f>+'사회적유입인구의 처리구역별 배분(적용)'!Z98</f>
        <v>1</v>
      </c>
    </row>
    <row r="109" spans="1:57" ht="24" customHeight="1">
      <c r="A109" s="2640"/>
      <c r="B109" s="2636"/>
      <c r="C109" s="2636" t="s">
        <v>641</v>
      </c>
      <c r="D109" s="2635" t="s">
        <v>859</v>
      </c>
      <c r="E109" s="1238" t="s">
        <v>860</v>
      </c>
      <c r="F109" s="713"/>
      <c r="G109" s="935">
        <f>+'2014처리구역인구 정리'!I97</f>
        <v>227</v>
      </c>
      <c r="H109" s="935">
        <f>+'2014처리구역인구 정리'!J97</f>
        <v>262</v>
      </c>
      <c r="I109" s="925">
        <f>ROUND((('1.4.조성법총괄(내부이동률 적용)'!E$40+'1.4.조성법총괄(내부이동률 적용)'!E$43*$AK$2)*$AB109)+(AL$80*$AC109),0)</f>
        <v>262</v>
      </c>
      <c r="J109" s="925">
        <f>ROUND((('1.4.조성법총괄(내부이동률 적용)'!F$40+'1.4.조성법총괄(내부이동률 적용)'!F$43*$AK$2)*$AB109)+(AM$80*$AC109),0)</f>
        <v>263</v>
      </c>
      <c r="K109" s="925">
        <f>ROUND((('1.4.조성법총괄(내부이동률 적용)'!G$40+'1.4.조성법총괄(내부이동률 적용)'!G$43*$AK$2)*$AB109)+(AN$80*$AC109),0)</f>
        <v>242</v>
      </c>
      <c r="L109" s="907">
        <f>ROUND((('1.4.조성법총괄(내부이동률 적용)'!H$40+'1.4.조성법총괄(내부이동률 적용)'!H$43*$AK$2)*$AB109)+(AO$80*$AC109),0)</f>
        <v>258</v>
      </c>
      <c r="M109" s="925">
        <f>ROUND((('1.4.조성법총괄(내부이동률 적용)'!I$40+'1.4.조성법총괄(내부이동률 적용)'!I$43*$AK$2)*$AB109)+(AP$80*$AC109),0)</f>
        <v>260</v>
      </c>
      <c r="N109" s="925">
        <f>ROUND((('1.4.조성법총괄(내부이동률 적용)'!J$40+'1.4.조성법총괄(내부이동률 적용)'!J$43*$AK$2)*$AB109)+(AQ$80*$AC109),0)</f>
        <v>261</v>
      </c>
      <c r="O109" s="925">
        <f>ROUND((('1.4.조성법총괄(내부이동률 적용)'!K$40+'1.4.조성법총괄(내부이동률 적용)'!K$43*$AK$2)*$AB109)+(AR$80*$AC109),0)</f>
        <v>263</v>
      </c>
      <c r="P109" s="925">
        <f>ROUND((('1.4.조성법총괄(내부이동률 적용)'!L$40+'1.4.조성법총괄(내부이동률 적용)'!L$43*$AK$2)*$AB109)+(AS$80*$AC109),0)</f>
        <v>265</v>
      </c>
      <c r="Q109" s="907">
        <f>ROUND((('1.4.조성법총괄(내부이동률 적용)'!M$40+'1.4.조성법총괄(내부이동률 적용)'!M$43*$AK$2)*$AB109)+(AT$80*$AC109),0)</f>
        <v>264</v>
      </c>
      <c r="R109" s="925">
        <f>ROUND((('1.4.조성법총괄(내부이동률 적용)'!N$40+'1.4.조성법총괄(내부이동률 적용)'!N$43*$AK$2)*$AB109)+(AU$80*$AC109),0)</f>
        <v>266</v>
      </c>
      <c r="S109" s="925">
        <f>ROUND((('1.4.조성법총괄(내부이동률 적용)'!O$40+'1.4.조성법총괄(내부이동률 적용)'!O$43*$AK$2)*$AB109)+(AV$80*$AC109),0)</f>
        <v>267</v>
      </c>
      <c r="T109" s="925">
        <f>ROUND((('1.4.조성법총괄(내부이동률 적용)'!P$40+'1.4.조성법총괄(내부이동률 적용)'!P$43*$AK$2)*$AB109)+(AW$80*$AC109),0)</f>
        <v>268</v>
      </c>
      <c r="U109" s="925">
        <f>ROUND((('1.4.조성법총괄(내부이동률 적용)'!Q$40+'1.4.조성법총괄(내부이동률 적용)'!Q$43*$AK$2)*$AB109)+(AX$80*$AC109),0)</f>
        <v>270</v>
      </c>
      <c r="V109" s="715">
        <f>ROUND((('1.4.조성법총괄(내부이동률 적용)'!R$40+'1.4.조성법총괄(내부이동률 적용)'!R$43*$AK$2)*$AB109)+(AY$80*$AC109),0)</f>
        <v>271</v>
      </c>
      <c r="W109" s="714">
        <f>ROUND((('1.4.조성법총괄(내부이동률 적용)'!S$40+'1.4.조성법총괄(내부이동률 적용)'!S$43*$AK$2)*$AB109)+(AZ$80*$AC109),0)</f>
        <v>272</v>
      </c>
      <c r="X109" s="714">
        <f>ROUND((('1.4.조성법총괄(내부이동률 적용)'!T$40+'1.4.조성법총괄(내부이동률 적용)'!T$43*$AK$2)*$AB109)+(BA$80*$AC109),0)</f>
        <v>273</v>
      </c>
      <c r="Y109" s="714">
        <f>ROUND((('1.4.조성법총괄(내부이동률 적용)'!U$40+'1.4.조성법총괄(내부이동률 적용)'!U$43*$AK$2)*$AB109)+(BB$80*$AC109),0)</f>
        <v>275</v>
      </c>
      <c r="Z109" s="714">
        <f>ROUND((('1.4.조성법총괄(내부이동률 적용)'!V$40+'1.4.조성법총괄(내부이동률 적용)'!V$43*$AK$2)*$AB109)+(BC$80*$AC109),0)</f>
        <v>276</v>
      </c>
      <c r="AA109" s="715">
        <f>ROUND((('1.4.조성법총괄(내부이동률 적용)'!W$40+'1.4.조성법총괄(내부이동률 적용)'!W$43*$AK$2)*$AB109)+(BD$80*$AC109),0)</f>
        <v>273</v>
      </c>
      <c r="AB109" s="936">
        <f>+H109/'1.4.조성법총괄(내부이동률 적용)'!$D$44</f>
        <v>1.3977806231327359E-2</v>
      </c>
      <c r="AC109" s="934">
        <f t="shared" ref="AC109:AC114" si="71">+H109/$AE$77</f>
        <v>1.7210799448203376E-2</v>
      </c>
      <c r="AD109" s="713"/>
      <c r="AE109" s="1"/>
      <c r="AF109" s="855"/>
      <c r="AG109" s="863"/>
      <c r="AH109" s="865" t="str">
        <f>'사회적유입인구의 처리구역별 배분(적용)'!C99</f>
        <v>소  계</v>
      </c>
      <c r="AI109" s="872">
        <f>+'사회적유입인구의 처리구역별 배분(적용)'!D99</f>
        <v>0</v>
      </c>
      <c r="AJ109" s="872">
        <f>+'사회적유입인구의 처리구역별 배분(적용)'!E99</f>
        <v>0</v>
      </c>
      <c r="AK109" s="872">
        <f>+'사회적유입인구의 처리구역별 배분(적용)'!F99</f>
        <v>0</v>
      </c>
      <c r="AL109" s="872">
        <f>+'사회적유입인구의 처리구역별 배분(적용)'!G99</f>
        <v>0</v>
      </c>
      <c r="AM109" s="872">
        <f>+'사회적유입인구의 처리구역별 배분(적용)'!H99</f>
        <v>0</v>
      </c>
      <c r="AN109" s="872">
        <f>+'사회적유입인구의 처리구역별 배분(적용)'!I99</f>
        <v>0</v>
      </c>
      <c r="AO109" s="872">
        <f>+'사회적유입인구의 처리구역별 배분(적용)'!J99</f>
        <v>202</v>
      </c>
      <c r="AP109" s="872">
        <f>+'사회적유입인구의 처리구역별 배분(적용)'!K99</f>
        <v>607</v>
      </c>
      <c r="AQ109" s="872">
        <f>+'사회적유입인구의 처리구역별 배분(적용)'!L99</f>
        <v>1012</v>
      </c>
      <c r="AR109" s="872">
        <f>+'사회적유입인구의 처리구역별 배분(적용)'!M99</f>
        <v>1012</v>
      </c>
      <c r="AS109" s="872">
        <f>+'사회적유입인구의 처리구역별 배분(적용)'!N99</f>
        <v>1012</v>
      </c>
      <c r="AT109" s="872">
        <f>+'사회적유입인구의 처리구역별 배분(적용)'!O99</f>
        <v>1012</v>
      </c>
      <c r="AU109" s="872">
        <f>+'사회적유입인구의 처리구역별 배분(적용)'!P99</f>
        <v>1012</v>
      </c>
      <c r="AV109" s="872">
        <f>+'사회적유입인구의 처리구역별 배분(적용)'!Q99</f>
        <v>1012</v>
      </c>
      <c r="AW109" s="872">
        <f>+'사회적유입인구의 처리구역별 배분(적용)'!R99</f>
        <v>1012</v>
      </c>
      <c r="AX109" s="872">
        <f>+'사회적유입인구의 처리구역별 배분(적용)'!S99</f>
        <v>1012</v>
      </c>
      <c r="AY109" s="872">
        <f>+'사회적유입인구의 처리구역별 배분(적용)'!T99</f>
        <v>1012</v>
      </c>
      <c r="AZ109" s="872">
        <f>+'사회적유입인구의 처리구역별 배분(적용)'!U99</f>
        <v>1012</v>
      </c>
      <c r="BA109" s="872">
        <f>+'사회적유입인구의 처리구역별 배분(적용)'!V99</f>
        <v>1012</v>
      </c>
      <c r="BB109" s="872">
        <f>+'사회적유입인구의 처리구역별 배분(적용)'!W99</f>
        <v>1012</v>
      </c>
      <c r="BC109" s="872">
        <f>+'사회적유입인구의 처리구역별 배분(적용)'!X99</f>
        <v>1012</v>
      </c>
      <c r="BD109" s="872">
        <f>+'사회적유입인구의 처리구역별 배분(적용)'!Y99</f>
        <v>3716</v>
      </c>
      <c r="BE109" s="871">
        <f>+'사회적유입인구의 처리구역별 배분(적용)'!Z99</f>
        <v>0</v>
      </c>
    </row>
    <row r="110" spans="1:57" s="712" customFormat="1" ht="24" customHeight="1" thickBot="1">
      <c r="A110" s="2640"/>
      <c r="B110" s="2636"/>
      <c r="C110" s="2636"/>
      <c r="D110" s="2635"/>
      <c r="E110" s="1238" t="s">
        <v>861</v>
      </c>
      <c r="F110" s="713"/>
      <c r="G110" s="935">
        <f>+'2014처리구역인구 정리'!I98</f>
        <v>141</v>
      </c>
      <c r="H110" s="935">
        <f>+'2014처리구역인구 정리'!J98</f>
        <v>158</v>
      </c>
      <c r="I110" s="925">
        <f>ROUND((('1.4.조성법총괄(내부이동률 적용)'!E$40+'1.4.조성법총괄(내부이동률 적용)'!E$43*$AK$2)*$AB110)+(AL$80*$AC110),0)</f>
        <v>158</v>
      </c>
      <c r="J110" s="925">
        <f>ROUND((('1.4.조성법총괄(내부이동률 적용)'!F$40+'1.4.조성법총괄(내부이동률 적용)'!F$43*$AK$2)*$AB110)+(AM$80*$AC110),0)</f>
        <v>159</v>
      </c>
      <c r="K110" s="925">
        <f>ROUND((('1.4.조성법총괄(내부이동률 적용)'!G$40+'1.4.조성법총괄(내부이동률 적용)'!G$43*$AK$2)*$AB110)+(AN$80*$AC110),0)</f>
        <v>146</v>
      </c>
      <c r="L110" s="907">
        <f>ROUND((('1.4.조성법총괄(내부이동률 적용)'!H$40+'1.4.조성법총괄(내부이동률 적용)'!H$43*$AK$2)*$AB110)+(AO$80*$AC110),0)</f>
        <v>156</v>
      </c>
      <c r="M110" s="925">
        <f>ROUND((('1.4.조성법총괄(내부이동률 적용)'!I$40+'1.4.조성법총괄(내부이동률 적용)'!I$43*$AK$2)*$AB110)+(AP$80*$AC110),0)</f>
        <v>157</v>
      </c>
      <c r="N110" s="925">
        <f>ROUND((('1.4.조성법총괄(내부이동률 적용)'!J$40+'1.4.조성법총괄(내부이동률 적용)'!J$43*$AK$2)*$AB110)+(AQ$80*$AC110),0)</f>
        <v>158</v>
      </c>
      <c r="O110" s="925">
        <f>ROUND((('1.4.조성법총괄(내부이동률 적용)'!K$40+'1.4.조성법총괄(내부이동률 적용)'!K$43*$AK$2)*$AB110)+(AR$80*$AC110),0)</f>
        <v>159</v>
      </c>
      <c r="P110" s="925">
        <f>ROUND((('1.4.조성법총괄(내부이동률 적용)'!L$40+'1.4.조성법총괄(내부이동률 적용)'!L$43*$AK$2)*$AB110)+(AS$80*$AC110),0)</f>
        <v>160</v>
      </c>
      <c r="Q110" s="907">
        <f>ROUND((('1.4.조성법총괄(내부이동률 적용)'!M$40+'1.4.조성법총괄(내부이동률 적용)'!M$43*$AK$2)*$AB110)+(AT$80*$AC110),0)</f>
        <v>159</v>
      </c>
      <c r="R110" s="925">
        <f>ROUND((('1.4.조성법총괄(내부이동률 적용)'!N$40+'1.4.조성법총괄(내부이동률 적용)'!N$43*$AK$2)*$AB110)+(AU$80*$AC110),0)</f>
        <v>160</v>
      </c>
      <c r="S110" s="925">
        <f>ROUND((('1.4.조성법총괄(내부이동률 적용)'!O$40+'1.4.조성법총괄(내부이동률 적용)'!O$43*$AK$2)*$AB110)+(AV$80*$AC110),0)</f>
        <v>161</v>
      </c>
      <c r="T110" s="925">
        <f>ROUND((('1.4.조성법총괄(내부이동률 적용)'!P$40+'1.4.조성법총괄(내부이동률 적용)'!P$43*$AK$2)*$AB110)+(AW$80*$AC110),0)</f>
        <v>162</v>
      </c>
      <c r="U110" s="925">
        <f>ROUND((('1.4.조성법총괄(내부이동률 적용)'!Q$40+'1.4.조성법총괄(내부이동률 적용)'!Q$43*$AK$2)*$AB110)+(AX$80*$AC110),0)</f>
        <v>163</v>
      </c>
      <c r="V110" s="715">
        <f>ROUND((('1.4.조성법총괄(내부이동률 적용)'!R$40+'1.4.조성법총괄(내부이동률 적용)'!R$43*$AK$2)*$AB110)+(AY$80*$AC110),0)</f>
        <v>163</v>
      </c>
      <c r="W110" s="714">
        <f>ROUND((('1.4.조성법총괄(내부이동률 적용)'!S$40+'1.4.조성법총괄(내부이동률 적용)'!S$43*$AK$2)*$AB110)+(AZ$80*$AC110),0)</f>
        <v>164</v>
      </c>
      <c r="X110" s="714">
        <f>ROUND((('1.4.조성법총괄(내부이동률 적용)'!T$40+'1.4.조성법총괄(내부이동률 적용)'!T$43*$AK$2)*$AB110)+(BA$80*$AC110),0)</f>
        <v>165</v>
      </c>
      <c r="Y110" s="714">
        <f>ROUND((('1.4.조성법총괄(내부이동률 적용)'!U$40+'1.4.조성법총괄(내부이동률 적용)'!U$43*$AK$2)*$AB110)+(BB$80*$AC110),0)</f>
        <v>166</v>
      </c>
      <c r="Z110" s="714">
        <f>ROUND((('1.4.조성법총괄(내부이동률 적용)'!V$40+'1.4.조성법총괄(내부이동률 적용)'!V$43*$AK$2)*$AB110)+(BC$80*$AC110),0)</f>
        <v>166</v>
      </c>
      <c r="AA110" s="715">
        <f>ROUND((('1.4.조성법총괄(내부이동률 적용)'!W$40+'1.4.조성법총괄(내부이동률 적용)'!W$43*$AK$2)*$AB110)+(BD$80*$AC110),0)</f>
        <v>165</v>
      </c>
      <c r="AB110" s="936">
        <f>+H110/'1.4.조성법총괄(내부이동률 적용)'!$D$44</f>
        <v>8.4293640631668797E-3</v>
      </c>
      <c r="AC110" s="934">
        <f t="shared" si="71"/>
        <v>1.0379031728305853E-2</v>
      </c>
      <c r="AD110" s="713"/>
      <c r="AE110" s="711"/>
      <c r="AF110" s="860"/>
      <c r="AG110" s="861" t="s">
        <v>24</v>
      </c>
      <c r="AH110" s="861"/>
      <c r="AI110" s="872">
        <f>+'사회적유입인구의 처리구역별 배분(적용)'!D100</f>
        <v>0</v>
      </c>
      <c r="AJ110" s="872">
        <f>+'사회적유입인구의 처리구역별 배분(적용)'!E100</f>
        <v>0</v>
      </c>
      <c r="AK110" s="872">
        <f>+'사회적유입인구의 처리구역별 배분(적용)'!F100</f>
        <v>0</v>
      </c>
      <c r="AL110" s="872">
        <f>+'사회적유입인구의 처리구역별 배분(적용)'!G100</f>
        <v>0</v>
      </c>
      <c r="AM110" s="872">
        <f>+'사회적유입인구의 처리구역별 배분(적용)'!H100</f>
        <v>344</v>
      </c>
      <c r="AN110" s="872">
        <f>+'사회적유입인구의 처리구역별 배분(적용)'!I100</f>
        <v>344</v>
      </c>
      <c r="AO110" s="872">
        <f>+'사회적유입인구의 처리구역별 배분(적용)'!J100</f>
        <v>546</v>
      </c>
      <c r="AP110" s="872">
        <f>+'사회적유입인구의 처리구역별 배분(적용)'!K100</f>
        <v>951</v>
      </c>
      <c r="AQ110" s="872">
        <f>+'사회적유입인구의 처리구역별 배분(적용)'!L100</f>
        <v>1356</v>
      </c>
      <c r="AR110" s="872">
        <f>+'사회적유입인구의 처리구역별 배분(적용)'!M100</f>
        <v>1356</v>
      </c>
      <c r="AS110" s="872">
        <f>+'사회적유입인구의 처리구역별 배분(적용)'!N100</f>
        <v>1356</v>
      </c>
      <c r="AT110" s="872">
        <f>+'사회적유입인구의 처리구역별 배분(적용)'!O100</f>
        <v>1905</v>
      </c>
      <c r="AU110" s="872">
        <f>+'사회적유입인구의 처리구역별 배분(적용)'!P100</f>
        <v>1905</v>
      </c>
      <c r="AV110" s="872">
        <f>+'사회적유입인구의 처리구역별 배분(적용)'!Q100</f>
        <v>1905</v>
      </c>
      <c r="AW110" s="872">
        <f>+'사회적유입인구의 처리구역별 배분(적용)'!R100</f>
        <v>1905</v>
      </c>
      <c r="AX110" s="872">
        <f>+'사회적유입인구의 처리구역별 배분(적용)'!S100</f>
        <v>1905</v>
      </c>
      <c r="AY110" s="872">
        <f>+'사회적유입인구의 처리구역별 배분(적용)'!T100</f>
        <v>1905</v>
      </c>
      <c r="AZ110" s="872">
        <f>+'사회적유입인구의 처리구역별 배분(적용)'!U100</f>
        <v>1905</v>
      </c>
      <c r="BA110" s="872">
        <f>+'사회적유입인구의 처리구역별 배분(적용)'!V100</f>
        <v>1905</v>
      </c>
      <c r="BB110" s="872">
        <f>+'사회적유입인구의 처리구역별 배분(적용)'!W100</f>
        <v>1905</v>
      </c>
      <c r="BC110" s="872">
        <f>+'사회적유입인구의 처리구역별 배분(적용)'!X100</f>
        <v>1905</v>
      </c>
      <c r="BD110" s="872">
        <f>+'사회적유입인구의 처리구역별 배분(적용)'!Y100</f>
        <v>4609</v>
      </c>
      <c r="BE110" s="873">
        <f>+'사회적유입인구의 처리구역별 배분(적용)'!Z100</f>
        <v>0</v>
      </c>
    </row>
    <row r="111" spans="1:57" s="712" customFormat="1" ht="24" customHeight="1" thickTop="1">
      <c r="A111" s="2640"/>
      <c r="B111" s="2636"/>
      <c r="C111" s="2636"/>
      <c r="D111" s="2635"/>
      <c r="E111" s="1238" t="s">
        <v>862</v>
      </c>
      <c r="F111" s="713"/>
      <c r="G111" s="935">
        <f>+'2014처리구역인구 정리'!I99</f>
        <v>112</v>
      </c>
      <c r="H111" s="935">
        <f>+'2014처리구역인구 정리'!J99</f>
        <v>134</v>
      </c>
      <c r="I111" s="925">
        <f>ROUND((('1.4.조성법총괄(내부이동률 적용)'!E$40+'1.4.조성법총괄(내부이동률 적용)'!E$43*$AK$2)*$AB111)+(AL$80*$AC111),0)</f>
        <v>134</v>
      </c>
      <c r="J111" s="925">
        <f>ROUND((('1.4.조성법총괄(내부이동률 적용)'!F$40+'1.4.조성법총괄(내부이동률 적용)'!F$43*$AK$2)*$AB111)+(AM$80*$AC111),0)</f>
        <v>134</v>
      </c>
      <c r="K111" s="925">
        <f>ROUND((('1.4.조성법총괄(내부이동률 적용)'!G$40+'1.4.조성법총괄(내부이동률 적용)'!G$43*$AK$2)*$AB111)+(AN$80*$AC111),0)</f>
        <v>124</v>
      </c>
      <c r="L111" s="907">
        <f>ROUND((('1.4.조성법총괄(내부이동률 적용)'!H$40+'1.4.조성법총괄(내부이동률 적용)'!H$43*$AK$2)*$AB111)+(AO$80*$AC111),0)</f>
        <v>132</v>
      </c>
      <c r="M111" s="925">
        <f>ROUND((('1.4.조성법총괄(내부이동률 적용)'!I$40+'1.4.조성법총괄(내부이동률 적용)'!I$43*$AK$2)*$AB111)+(AP$80*$AC111),0)</f>
        <v>133</v>
      </c>
      <c r="N111" s="925">
        <f>ROUND((('1.4.조성법총괄(내부이동률 적용)'!J$40+'1.4.조성법총괄(내부이동률 적용)'!J$43*$AK$2)*$AB111)+(AQ$80*$AC111),0)</f>
        <v>134</v>
      </c>
      <c r="O111" s="925">
        <f>ROUND((('1.4.조성법총괄(내부이동률 적용)'!K$40+'1.4.조성법총괄(내부이동률 적용)'!K$43*$AK$2)*$AB111)+(AR$80*$AC111),0)</f>
        <v>134</v>
      </c>
      <c r="P111" s="925">
        <f>ROUND((('1.4.조성법총괄(내부이동률 적용)'!L$40+'1.4.조성법총괄(내부이동률 적용)'!L$43*$AK$2)*$AB111)+(AS$80*$AC111),0)</f>
        <v>135</v>
      </c>
      <c r="Q111" s="907">
        <f>ROUND((('1.4.조성법총괄(내부이동률 적용)'!M$40+'1.4.조성법총괄(내부이동률 적용)'!M$43*$AK$2)*$AB111)+(AT$80*$AC111),0)</f>
        <v>135</v>
      </c>
      <c r="R111" s="925">
        <f>ROUND((('1.4.조성법총괄(내부이동률 적용)'!N$40+'1.4.조성법총괄(내부이동률 적용)'!N$43*$AK$2)*$AB111)+(AU$80*$AC111),0)</f>
        <v>136</v>
      </c>
      <c r="S111" s="925">
        <f>ROUND((('1.4.조성법총괄(내부이동률 적용)'!O$40+'1.4.조성법총괄(내부이동률 적용)'!O$43*$AK$2)*$AB111)+(AV$80*$AC111),0)</f>
        <v>137</v>
      </c>
      <c r="T111" s="925">
        <f>ROUND((('1.4.조성법총괄(내부이동률 적용)'!P$40+'1.4.조성법총괄(내부이동률 적용)'!P$43*$AK$2)*$AB111)+(AW$80*$AC111),0)</f>
        <v>137</v>
      </c>
      <c r="U111" s="925">
        <f>ROUND((('1.4.조성법총괄(내부이동률 적용)'!Q$40+'1.4.조성법총괄(내부이동률 적용)'!Q$43*$AK$2)*$AB111)+(AX$80*$AC111),0)</f>
        <v>138</v>
      </c>
      <c r="V111" s="715">
        <f>ROUND((('1.4.조성법총괄(내부이동률 적용)'!R$40+'1.4.조성법총괄(내부이동률 적용)'!R$43*$AK$2)*$AB111)+(AY$80*$AC111),0)</f>
        <v>139</v>
      </c>
      <c r="W111" s="714">
        <f>ROUND((('1.4.조성법총괄(내부이동률 적용)'!S$40+'1.4.조성법총괄(내부이동률 적용)'!S$43*$AK$2)*$AB111)+(AZ$80*$AC111),0)</f>
        <v>139</v>
      </c>
      <c r="X111" s="714">
        <f>ROUND((('1.4.조성법총괄(내부이동률 적용)'!T$40+'1.4.조성법총괄(내부이동률 적용)'!T$43*$AK$2)*$AB111)+(BA$80*$AC111),0)</f>
        <v>140</v>
      </c>
      <c r="Y111" s="714">
        <f>ROUND((('1.4.조성법총괄(내부이동률 적용)'!U$40+'1.4.조성법총괄(내부이동률 적용)'!U$43*$AK$2)*$AB111)+(BB$80*$AC111),0)</f>
        <v>140</v>
      </c>
      <c r="Z111" s="714">
        <f>ROUND((('1.4.조성법총괄(내부이동률 적용)'!V$40+'1.4.조성법총괄(내부이동률 적용)'!V$43*$AK$2)*$AB111)+(BC$80*$AC111),0)</f>
        <v>141</v>
      </c>
      <c r="AA111" s="715">
        <f>ROUND((('1.4.조성법총괄(내부이동률 적용)'!W$40+'1.4.조성법총괄(내부이동률 적용)'!W$43*$AK$2)*$AB111)+(BD$80*$AC111),0)</f>
        <v>140</v>
      </c>
      <c r="AB111" s="936">
        <f>+H111/'1.4.조성법총괄(내부이동률 적용)'!$D$44</f>
        <v>7.1489543320529233E-3</v>
      </c>
      <c r="AC111" s="934">
        <f t="shared" si="71"/>
        <v>8.8024699467910399E-3</v>
      </c>
      <c r="AD111" s="713"/>
      <c r="AE111" s="711"/>
      <c r="AF111" s="869" t="s">
        <v>1140</v>
      </c>
      <c r="AG111" s="874" t="s">
        <v>94</v>
      </c>
      <c r="AH111" s="877" t="str">
        <f>'사회적유입인구의 처리구역별 배분(적용)'!C101</f>
        <v>충북혁신도시</v>
      </c>
      <c r="AI111" s="878">
        <f>+'사회적유입인구의 처리구역별 배분(적용)'!D101</f>
        <v>0</v>
      </c>
      <c r="AJ111" s="878">
        <f>+'사회적유입인구의 처리구역별 배분(적용)'!E101</f>
        <v>0</v>
      </c>
      <c r="AK111" s="878">
        <f>+'사회적유입인구의 처리구역별 배분(적용)'!F101</f>
        <v>7477</v>
      </c>
      <c r="AL111" s="878">
        <f>+'사회적유입인구의 처리구역별 배분(적용)'!G101</f>
        <v>8665</v>
      </c>
      <c r="AM111" s="878">
        <f>+'사회적유입인구의 처리구역별 배분(적용)'!H101</f>
        <v>9853</v>
      </c>
      <c r="AN111" s="878">
        <f>+'사회적유입인구의 처리구역별 배분(적용)'!I101</f>
        <v>11041</v>
      </c>
      <c r="AO111" s="878">
        <f>+'사회적유입인구의 처리구역별 배분(적용)'!J101</f>
        <v>12230</v>
      </c>
      <c r="AP111" s="878">
        <f>+'사회적유입인구의 처리구역별 배분(적용)'!K101</f>
        <v>12230</v>
      </c>
      <c r="AQ111" s="878">
        <f>+'사회적유입인구의 처리구역별 배분(적용)'!L101</f>
        <v>12230</v>
      </c>
      <c r="AR111" s="878">
        <f>+'사회적유입인구의 처리구역별 배분(적용)'!M101</f>
        <v>12230</v>
      </c>
      <c r="AS111" s="878">
        <f>+'사회적유입인구의 처리구역별 배분(적용)'!N101</f>
        <v>12230</v>
      </c>
      <c r="AT111" s="878">
        <f>+'사회적유입인구의 처리구역별 배분(적용)'!O101</f>
        <v>12230</v>
      </c>
      <c r="AU111" s="878">
        <f>+'사회적유입인구의 처리구역별 배분(적용)'!P101</f>
        <v>12230</v>
      </c>
      <c r="AV111" s="878">
        <f>+'사회적유입인구의 처리구역별 배분(적용)'!Q101</f>
        <v>12230</v>
      </c>
      <c r="AW111" s="878">
        <f>+'사회적유입인구의 처리구역별 배분(적용)'!R101</f>
        <v>12230</v>
      </c>
      <c r="AX111" s="878">
        <f>+'사회적유입인구의 처리구역별 배분(적용)'!S101</f>
        <v>12230</v>
      </c>
      <c r="AY111" s="878">
        <f>+'사회적유입인구의 처리구역별 배분(적용)'!T101</f>
        <v>12230</v>
      </c>
      <c r="AZ111" s="878">
        <f>+'사회적유입인구의 처리구역별 배분(적용)'!U101</f>
        <v>12230</v>
      </c>
      <c r="BA111" s="878">
        <f>+'사회적유입인구의 처리구역별 배분(적용)'!V101</f>
        <v>12230</v>
      </c>
      <c r="BB111" s="878">
        <f>+'사회적유입인구의 처리구역별 배분(적용)'!W101</f>
        <v>12230</v>
      </c>
      <c r="BC111" s="878">
        <f>+'사회적유입인구의 처리구역별 배분(적용)'!X101</f>
        <v>12230</v>
      </c>
      <c r="BD111" s="878">
        <f>+'사회적유입인구의 처리구역별 배분(적용)'!Y101</f>
        <v>12230</v>
      </c>
      <c r="BE111" s="879">
        <f>+'사회적유입인구의 처리구역별 배분(적용)'!Z101</f>
        <v>1</v>
      </c>
    </row>
    <row r="112" spans="1:57" s="712" customFormat="1" ht="24" customHeight="1" thickBot="1">
      <c r="A112" s="2640"/>
      <c r="B112" s="2636"/>
      <c r="C112" s="2636"/>
      <c r="D112" s="2635" t="s">
        <v>863</v>
      </c>
      <c r="E112" s="1238" t="s">
        <v>869</v>
      </c>
      <c r="F112" s="713"/>
      <c r="G112" s="935">
        <f>+'2014처리구역인구 정리'!I100</f>
        <v>160</v>
      </c>
      <c r="H112" s="935">
        <f>+'2014처리구역인구 정리'!J100</f>
        <v>181</v>
      </c>
      <c r="I112" s="925">
        <f>ROUND((('1.4.조성법총괄(내부이동률 적용)'!E$40+'1.4.조성법총괄(내부이동률 적용)'!E$43*$AK$2)*$AB112)+(AL$80*$AC112),0)</f>
        <v>181</v>
      </c>
      <c r="J112" s="925">
        <f>ROUND((('1.4.조성법총괄(내부이동률 적용)'!F$40+'1.4.조성법총괄(내부이동률 적용)'!F$43*$AK$2)*$AB112)+(AM$80*$AC112),0)</f>
        <v>182</v>
      </c>
      <c r="K112" s="925">
        <f>ROUND((('1.4.조성법총괄(내부이동률 적용)'!G$40+'1.4.조성법총괄(내부이동률 적용)'!G$43*$AK$2)*$AB112)+(AN$80*$AC112),0)</f>
        <v>167</v>
      </c>
      <c r="L112" s="907">
        <f>ROUND((('1.4.조성법총괄(내부이동률 적용)'!H$40+'1.4.조성법총괄(내부이동률 적용)'!H$43*$AK$2)*$AB112)+(AO$80*$AC112),0)</f>
        <v>178</v>
      </c>
      <c r="M112" s="925">
        <f>ROUND((('1.4.조성법총괄(내부이동률 적용)'!I$40+'1.4.조성법총괄(내부이동률 적용)'!I$43*$AK$2)*$AB112)+(AP$80*$AC112),0)</f>
        <v>179</v>
      </c>
      <c r="N112" s="925">
        <f>ROUND((('1.4.조성법총괄(내부이동률 적용)'!J$40+'1.4.조성법총괄(내부이동률 적용)'!J$43*$AK$2)*$AB112)+(AQ$80*$AC112),0)</f>
        <v>181</v>
      </c>
      <c r="O112" s="925">
        <f>ROUND((('1.4.조성법총괄(내부이동률 적용)'!K$40+'1.4.조성법총괄(내부이동률 적용)'!K$43*$AK$2)*$AB112)+(AR$80*$AC112),0)</f>
        <v>182</v>
      </c>
      <c r="P112" s="925">
        <f>ROUND((('1.4.조성법총괄(내부이동률 적용)'!L$40+'1.4.조성법총괄(내부이동률 적용)'!L$43*$AK$2)*$AB112)+(AS$80*$AC112),0)</f>
        <v>183</v>
      </c>
      <c r="Q112" s="907">
        <f>ROUND((('1.4.조성법총괄(내부이동률 적용)'!M$40+'1.4.조성법총괄(내부이동률 적용)'!M$43*$AK$2)*$AB112)+(AT$80*$AC112),0)</f>
        <v>183</v>
      </c>
      <c r="R112" s="925">
        <f>ROUND((('1.4.조성법총괄(내부이동률 적용)'!N$40+'1.4.조성법총괄(내부이동률 적용)'!N$43*$AK$2)*$AB112)+(AU$80*$AC112),0)</f>
        <v>184</v>
      </c>
      <c r="S112" s="925">
        <f>ROUND((('1.4.조성법총괄(내부이동률 적용)'!O$40+'1.4.조성법총괄(내부이동률 적용)'!O$43*$AK$2)*$AB112)+(AV$80*$AC112),0)</f>
        <v>184</v>
      </c>
      <c r="T112" s="925">
        <f>ROUND((('1.4.조성법총괄(내부이동률 적용)'!P$40+'1.4.조성법총괄(내부이동률 적용)'!P$43*$AK$2)*$AB112)+(AW$80*$AC112),0)</f>
        <v>185</v>
      </c>
      <c r="U112" s="925">
        <f>ROUND((('1.4.조성법총괄(내부이동률 적용)'!Q$40+'1.4.조성법총괄(내부이동률 적용)'!Q$43*$AK$2)*$AB112)+(AX$80*$AC112),0)</f>
        <v>186</v>
      </c>
      <c r="V112" s="715">
        <f>ROUND((('1.4.조성법총괄(내부이동률 적용)'!R$40+'1.4.조성법총괄(내부이동률 적용)'!R$43*$AK$2)*$AB112)+(AY$80*$AC112),0)</f>
        <v>187</v>
      </c>
      <c r="W112" s="714">
        <f>ROUND((('1.4.조성법총괄(내부이동률 적용)'!S$40+'1.4.조성법총괄(내부이동률 적용)'!S$43*$AK$2)*$AB112)+(AZ$80*$AC112),0)</f>
        <v>188</v>
      </c>
      <c r="X112" s="714">
        <f>ROUND((('1.4.조성법총괄(내부이동률 적용)'!T$40+'1.4.조성법총괄(내부이동률 적용)'!T$43*$AK$2)*$AB112)+(BA$80*$AC112),0)</f>
        <v>189</v>
      </c>
      <c r="Y112" s="714">
        <f>ROUND((('1.4.조성법총괄(내부이동률 적용)'!U$40+'1.4.조성법총괄(내부이동률 적용)'!U$43*$AK$2)*$AB112)+(BB$80*$AC112),0)</f>
        <v>190</v>
      </c>
      <c r="Z112" s="714">
        <f>ROUND((('1.4.조성법총괄(내부이동률 적용)'!V$40+'1.4.조성법총괄(내부이동률 적용)'!V$43*$AK$2)*$AB112)+(BC$80*$AC112),0)</f>
        <v>191</v>
      </c>
      <c r="AA112" s="715">
        <f>ROUND((('1.4.조성법총괄(내부이동률 적용)'!W$40+'1.4.조성법총괄(내부이동률 적용)'!W$43*$AK$2)*$AB112)+(BD$80*$AC112),0)</f>
        <v>189</v>
      </c>
      <c r="AB112" s="936">
        <f>+H112/'1.4.조성법총괄(내부이동률 적용)'!$D$44</f>
        <v>9.6564233888177548E-3</v>
      </c>
      <c r="AC112" s="934">
        <f t="shared" si="71"/>
        <v>1.1889903435590883E-2</v>
      </c>
      <c r="AD112" s="713"/>
      <c r="AE112" s="711"/>
      <c r="AF112" s="855"/>
      <c r="AG112" s="875"/>
      <c r="AH112" s="880" t="str">
        <f>'사회적유입인구의 처리구역별 배분(적용)'!C102</f>
        <v>소  계</v>
      </c>
      <c r="AI112" s="881">
        <f>+'사회적유입인구의 처리구역별 배분(적용)'!D102</f>
        <v>0</v>
      </c>
      <c r="AJ112" s="881">
        <f>+'사회적유입인구의 처리구역별 배분(적용)'!E102</f>
        <v>0</v>
      </c>
      <c r="AK112" s="881">
        <f>+'사회적유입인구의 처리구역별 배분(적용)'!F102</f>
        <v>7477</v>
      </c>
      <c r="AL112" s="881">
        <f>+'사회적유입인구의 처리구역별 배분(적용)'!G102</f>
        <v>8665</v>
      </c>
      <c r="AM112" s="881">
        <f>+'사회적유입인구의 처리구역별 배분(적용)'!H102</f>
        <v>9853</v>
      </c>
      <c r="AN112" s="881">
        <f>+'사회적유입인구의 처리구역별 배분(적용)'!I102</f>
        <v>11041</v>
      </c>
      <c r="AO112" s="881">
        <f>+'사회적유입인구의 처리구역별 배분(적용)'!J102</f>
        <v>12230</v>
      </c>
      <c r="AP112" s="881">
        <f>+'사회적유입인구의 처리구역별 배분(적용)'!K102</f>
        <v>12230</v>
      </c>
      <c r="AQ112" s="881">
        <f>+'사회적유입인구의 처리구역별 배분(적용)'!L102</f>
        <v>12230</v>
      </c>
      <c r="AR112" s="881">
        <f>+'사회적유입인구의 처리구역별 배분(적용)'!M102</f>
        <v>12230</v>
      </c>
      <c r="AS112" s="881">
        <f>+'사회적유입인구의 처리구역별 배분(적용)'!N102</f>
        <v>12230</v>
      </c>
      <c r="AT112" s="881">
        <f>+'사회적유입인구의 처리구역별 배분(적용)'!O102</f>
        <v>12230</v>
      </c>
      <c r="AU112" s="881">
        <f>+'사회적유입인구의 처리구역별 배분(적용)'!P102</f>
        <v>12230</v>
      </c>
      <c r="AV112" s="881">
        <f>+'사회적유입인구의 처리구역별 배분(적용)'!Q102</f>
        <v>12230</v>
      </c>
      <c r="AW112" s="881">
        <f>+'사회적유입인구의 처리구역별 배분(적용)'!R102</f>
        <v>12230</v>
      </c>
      <c r="AX112" s="881">
        <f>+'사회적유입인구의 처리구역별 배분(적용)'!S102</f>
        <v>12230</v>
      </c>
      <c r="AY112" s="881">
        <f>+'사회적유입인구의 처리구역별 배분(적용)'!T102</f>
        <v>12230</v>
      </c>
      <c r="AZ112" s="881">
        <f>+'사회적유입인구의 처리구역별 배분(적용)'!U102</f>
        <v>12230</v>
      </c>
      <c r="BA112" s="881">
        <f>+'사회적유입인구의 처리구역별 배분(적용)'!V102</f>
        <v>12230</v>
      </c>
      <c r="BB112" s="881">
        <f>+'사회적유입인구의 처리구역별 배분(적용)'!W102</f>
        <v>12230</v>
      </c>
      <c r="BC112" s="881">
        <f>+'사회적유입인구의 처리구역별 배분(적용)'!X102</f>
        <v>12230</v>
      </c>
      <c r="BD112" s="881">
        <f>+'사회적유입인구의 처리구역별 배분(적용)'!Y102</f>
        <v>12230</v>
      </c>
      <c r="BE112" s="882">
        <f>+'사회적유입인구의 처리구역별 배분(적용)'!Z102</f>
        <v>0</v>
      </c>
    </row>
    <row r="113" spans="1:57" s="712" customFormat="1" ht="24" customHeight="1" thickTop="1">
      <c r="A113" s="2640"/>
      <c r="B113" s="2636"/>
      <c r="C113" s="2636"/>
      <c r="D113" s="2635"/>
      <c r="E113" s="1238" t="s">
        <v>867</v>
      </c>
      <c r="F113" s="713"/>
      <c r="G113" s="935">
        <f>+'2014처리구역인구 정리'!I101</f>
        <v>422</v>
      </c>
      <c r="H113" s="935">
        <f>+'2014처리구역인구 정리'!J101</f>
        <v>479</v>
      </c>
      <c r="I113" s="925">
        <f>ROUND((('1.4.조성법총괄(내부이동률 적용)'!E$40+'1.4.조성법총괄(내부이동률 적용)'!E$43*$AK$2)*$AB113)+(AL$80*$AC113),0)</f>
        <v>480</v>
      </c>
      <c r="J113" s="925">
        <f>ROUND((('1.4.조성법총괄(내부이동률 적용)'!F$40+'1.4.조성법총괄(내부이동률 적용)'!F$43*$AK$2)*$AB113)+(AM$80*$AC113),0)</f>
        <v>481</v>
      </c>
      <c r="K113" s="925">
        <f>ROUND((('1.4.조성법총괄(내부이동률 적용)'!G$40+'1.4.조성법총괄(내부이동률 적용)'!G$43*$AK$2)*$AB113)+(AN$80*$AC113),0)</f>
        <v>443</v>
      </c>
      <c r="L113" s="907">
        <f>ROUND((('1.4.조성법총괄(내부이동률 적용)'!H$40+'1.4.조성법총괄(내부이동률 적용)'!H$43*$AK$2)*$AB113)+(AO$80*$AC113),0)</f>
        <v>472</v>
      </c>
      <c r="M113" s="925">
        <f>ROUND((('1.4.조성법총괄(내부이동률 적용)'!I$40+'1.4.조성법총괄(내부이동률 적용)'!I$43*$AK$2)*$AB113)+(AP$80*$AC113),0)</f>
        <v>475</v>
      </c>
      <c r="N113" s="925">
        <f>ROUND((('1.4.조성법총괄(내부이동률 적용)'!J$40+'1.4.조성법총괄(내부이동률 적용)'!J$43*$AK$2)*$AB113)+(AQ$80*$AC113),0)</f>
        <v>478</v>
      </c>
      <c r="O113" s="925">
        <f>ROUND((('1.4.조성법총괄(내부이동률 적용)'!K$40+'1.4.조성법총괄(내부이동률 적용)'!K$43*$AK$2)*$AB113)+(AR$80*$AC113),0)</f>
        <v>481</v>
      </c>
      <c r="P113" s="925">
        <f>ROUND((('1.4.조성법총괄(내부이동률 적용)'!L$40+'1.4.조성법총괄(내부이동률 적용)'!L$43*$AK$2)*$AB113)+(AS$80*$AC113),0)</f>
        <v>484</v>
      </c>
      <c r="Q113" s="907">
        <f>ROUND((('1.4.조성법총괄(내부이동률 적용)'!M$40+'1.4.조성법총괄(내부이동률 적용)'!M$43*$AK$2)*$AB113)+(AT$80*$AC113),0)</f>
        <v>483</v>
      </c>
      <c r="R113" s="925">
        <f>ROUND((('1.4.조성법총괄(내부이동률 적용)'!N$40+'1.4.조성법총괄(내부이동률 적용)'!N$43*$AK$2)*$AB113)+(AU$80*$AC113),0)</f>
        <v>486</v>
      </c>
      <c r="S113" s="925">
        <f>ROUND((('1.4.조성법총괄(내부이동률 적용)'!O$40+'1.4.조성법총괄(내부이동률 적용)'!O$43*$AK$2)*$AB113)+(AV$80*$AC113),0)</f>
        <v>488</v>
      </c>
      <c r="T113" s="925">
        <f>ROUND((('1.4.조성법총괄(내부이동률 적용)'!P$40+'1.4.조성법총괄(내부이동률 적용)'!P$43*$AK$2)*$AB113)+(AW$80*$AC113),0)</f>
        <v>490</v>
      </c>
      <c r="U113" s="925">
        <f>ROUND((('1.4.조성법총괄(내부이동률 적용)'!Q$40+'1.4.조성법총괄(내부이동률 적용)'!Q$43*$AK$2)*$AB113)+(AX$80*$AC113),0)</f>
        <v>493</v>
      </c>
      <c r="V113" s="715">
        <f>ROUND((('1.4.조성법총괄(내부이동률 적용)'!R$40+'1.4.조성법총괄(내부이동률 적용)'!R$43*$AK$2)*$AB113)+(AY$80*$AC113),0)</f>
        <v>495</v>
      </c>
      <c r="W113" s="714">
        <f>ROUND((('1.4.조성법총괄(내부이동률 적용)'!S$40+'1.4.조성법총괄(내부이동률 적용)'!S$43*$AK$2)*$AB113)+(AZ$80*$AC113),0)</f>
        <v>498</v>
      </c>
      <c r="X113" s="714">
        <f>ROUND((('1.4.조성법총괄(내부이동률 적용)'!T$40+'1.4.조성법총괄(내부이동률 적용)'!T$43*$AK$2)*$AB113)+(BA$80*$AC113),0)</f>
        <v>500</v>
      </c>
      <c r="Y113" s="714">
        <f>ROUND((('1.4.조성법총괄(내부이동률 적용)'!U$40+'1.4.조성법총괄(내부이동률 적용)'!U$43*$AK$2)*$AB113)+(BB$80*$AC113),0)</f>
        <v>502</v>
      </c>
      <c r="Z113" s="714">
        <f>ROUND((('1.4.조성법총괄(내부이동률 적용)'!V$40+'1.4.조성법총괄(내부이동률 적용)'!V$43*$AK$2)*$AB113)+(BC$80*$AC113),0)</f>
        <v>505</v>
      </c>
      <c r="AA113" s="715">
        <f>ROUND((('1.4.조성법총괄(내부이동률 적용)'!W$40+'1.4.조성법총괄(내부이동률 적용)'!W$43*$AK$2)*$AB113)+(BD$80*$AC113),0)</f>
        <v>499</v>
      </c>
      <c r="AB113" s="936">
        <f>+H113/'1.4.조성법총괄(내부이동률 적용)'!$D$44</f>
        <v>2.5554844216816048E-2</v>
      </c>
      <c r="AC113" s="934">
        <f t="shared" si="71"/>
        <v>3.1465545556066475E-2</v>
      </c>
      <c r="AD113" s="713"/>
      <c r="AE113" s="711"/>
      <c r="AF113" s="860"/>
      <c r="AG113" s="861" t="s">
        <v>24</v>
      </c>
      <c r="AH113" s="861"/>
      <c r="AI113" s="872">
        <f>+'사회적유입인구의 처리구역별 배분(적용)'!D103</f>
        <v>0</v>
      </c>
      <c r="AJ113" s="872">
        <f>+'사회적유입인구의 처리구역별 배분(적용)'!E103</f>
        <v>0</v>
      </c>
      <c r="AK113" s="872">
        <f>+'사회적유입인구의 처리구역별 배분(적용)'!F103</f>
        <v>7477</v>
      </c>
      <c r="AL113" s="872">
        <f>+'사회적유입인구의 처리구역별 배분(적용)'!G103</f>
        <v>8665</v>
      </c>
      <c r="AM113" s="872">
        <f>+'사회적유입인구의 처리구역별 배분(적용)'!H103</f>
        <v>9853</v>
      </c>
      <c r="AN113" s="872">
        <f>+'사회적유입인구의 처리구역별 배분(적용)'!I103</f>
        <v>11041</v>
      </c>
      <c r="AO113" s="872">
        <f>+'사회적유입인구의 처리구역별 배분(적용)'!J103</f>
        <v>12230</v>
      </c>
      <c r="AP113" s="872">
        <f>+'사회적유입인구의 처리구역별 배분(적용)'!K103</f>
        <v>12230</v>
      </c>
      <c r="AQ113" s="872">
        <f>+'사회적유입인구의 처리구역별 배분(적용)'!L103</f>
        <v>12230</v>
      </c>
      <c r="AR113" s="872">
        <f>+'사회적유입인구의 처리구역별 배분(적용)'!M103</f>
        <v>12230</v>
      </c>
      <c r="AS113" s="872">
        <f>+'사회적유입인구의 처리구역별 배분(적용)'!N103</f>
        <v>12230</v>
      </c>
      <c r="AT113" s="872">
        <f>+'사회적유입인구의 처리구역별 배분(적용)'!O103</f>
        <v>12230</v>
      </c>
      <c r="AU113" s="872">
        <f>+'사회적유입인구의 처리구역별 배분(적용)'!P103</f>
        <v>12230</v>
      </c>
      <c r="AV113" s="872">
        <f>+'사회적유입인구의 처리구역별 배분(적용)'!Q103</f>
        <v>12230</v>
      </c>
      <c r="AW113" s="872">
        <f>+'사회적유입인구의 처리구역별 배분(적용)'!R103</f>
        <v>12230</v>
      </c>
      <c r="AX113" s="872">
        <f>+'사회적유입인구의 처리구역별 배분(적용)'!S103</f>
        <v>12230</v>
      </c>
      <c r="AY113" s="872">
        <f>+'사회적유입인구의 처리구역별 배분(적용)'!T103</f>
        <v>12230</v>
      </c>
      <c r="AZ113" s="872">
        <f>+'사회적유입인구의 처리구역별 배분(적용)'!U103</f>
        <v>12230</v>
      </c>
      <c r="BA113" s="872">
        <f>+'사회적유입인구의 처리구역별 배분(적용)'!V103</f>
        <v>12230</v>
      </c>
      <c r="BB113" s="872">
        <f>+'사회적유입인구의 처리구역별 배분(적용)'!W103</f>
        <v>12230</v>
      </c>
      <c r="BC113" s="872">
        <f>+'사회적유입인구의 처리구역별 배분(적용)'!X103</f>
        <v>12230</v>
      </c>
      <c r="BD113" s="872">
        <f>+'사회적유입인구의 처리구역별 배분(적용)'!Y103</f>
        <v>12230</v>
      </c>
      <c r="BE113" s="873"/>
    </row>
    <row r="114" spans="1:57" s="712" customFormat="1" ht="24" customHeight="1">
      <c r="A114" s="2640"/>
      <c r="B114" s="2636"/>
      <c r="C114" s="2636"/>
      <c r="D114" s="2635"/>
      <c r="E114" s="1238" t="s">
        <v>865</v>
      </c>
      <c r="F114" s="713"/>
      <c r="G114" s="935">
        <f>+'2014처리구역인구 정리'!I102</f>
        <v>275</v>
      </c>
      <c r="H114" s="935">
        <f>+'2014처리구역인구 정리'!J102</f>
        <v>304</v>
      </c>
      <c r="I114" s="925">
        <f>ROUND((('1.4.조성법총괄(내부이동률 적용)'!E$40+'1.4.조성법총괄(내부이동률 적용)'!E$43*$AK$2)*$AB114)+(AL$80*$AC114),0)</f>
        <v>304</v>
      </c>
      <c r="J114" s="925">
        <f>ROUND((('1.4.조성법총괄(내부이동률 적용)'!F$40+'1.4.조성법총괄(내부이동률 적용)'!F$43*$AK$2)*$AB114)+(AM$80*$AC114),0)</f>
        <v>305</v>
      </c>
      <c r="K114" s="925">
        <f>ROUND((('1.4.조성법총괄(내부이동률 적용)'!G$40+'1.4.조성법총괄(내부이동률 적용)'!G$43*$AK$2)*$AB114)+(AN$80*$AC114),0)</f>
        <v>281</v>
      </c>
      <c r="L114" s="907">
        <f>ROUND((('1.4.조성법총괄(내부이동률 적용)'!H$40+'1.4.조성법총괄(내부이동률 적용)'!H$43*$AK$2)*$AB114)+(AO$80*$AC114),0)</f>
        <v>300</v>
      </c>
      <c r="M114" s="925">
        <f>ROUND((('1.4.조성법총괄(내부이동률 적용)'!I$40+'1.4.조성법총괄(내부이동률 적용)'!I$43*$AK$2)*$AB114)+(AP$80*$AC114),0)</f>
        <v>301</v>
      </c>
      <c r="N114" s="925">
        <f>ROUND((('1.4.조성법총괄(내부이동률 적용)'!J$40+'1.4.조성법총괄(내부이동률 적용)'!J$43*$AK$2)*$AB114)+(AQ$80*$AC114),0)</f>
        <v>303</v>
      </c>
      <c r="O114" s="925">
        <f>ROUND((('1.4.조성법총괄(내부이동률 적용)'!K$40+'1.4.조성법총괄(내부이동률 적용)'!K$43*$AK$2)*$AB114)+(AR$80*$AC114),0)</f>
        <v>305</v>
      </c>
      <c r="P114" s="925">
        <f>ROUND((('1.4.조성법총괄(내부이동률 적용)'!L$40+'1.4.조성법총괄(내부이동률 적용)'!L$43*$AK$2)*$AB114)+(AS$80*$AC114),0)</f>
        <v>307</v>
      </c>
      <c r="Q114" s="907">
        <f>ROUND((('1.4.조성법총괄(내부이동률 적용)'!M$40+'1.4.조성법총괄(내부이동률 적용)'!M$43*$AK$2)*$AB114)+(AT$80*$AC114),0)</f>
        <v>307</v>
      </c>
      <c r="R114" s="925">
        <f>ROUND((('1.4.조성법총괄(내부이동률 적용)'!N$40+'1.4.조성법총괄(내부이동률 적용)'!N$43*$AK$2)*$AB114)+(AU$80*$AC114),0)</f>
        <v>308</v>
      </c>
      <c r="S114" s="925">
        <f>ROUND((('1.4.조성법총괄(내부이동률 적용)'!O$40+'1.4.조성법총괄(내부이동률 적용)'!O$43*$AK$2)*$AB114)+(AV$80*$AC114),0)</f>
        <v>310</v>
      </c>
      <c r="T114" s="925">
        <f>ROUND((('1.4.조성법총괄(내부이동률 적용)'!P$40+'1.4.조성법총괄(내부이동률 적용)'!P$43*$AK$2)*$AB114)+(AW$80*$AC114),0)</f>
        <v>311</v>
      </c>
      <c r="U114" s="925">
        <f>ROUND((('1.4.조성법총괄(내부이동률 적용)'!Q$40+'1.4.조성법총괄(내부이동률 적용)'!Q$43*$AK$2)*$AB114)+(AX$80*$AC114),0)</f>
        <v>313</v>
      </c>
      <c r="V114" s="715">
        <f>ROUND((('1.4.조성법총괄(내부이동률 적용)'!R$40+'1.4.조성법총괄(내부이동률 적용)'!R$43*$AK$2)*$AB114)+(AY$80*$AC114),0)</f>
        <v>314</v>
      </c>
      <c r="W114" s="714">
        <f>ROUND((('1.4.조성법총괄(내부이동률 적용)'!S$40+'1.4.조성법총괄(내부이동률 적용)'!S$43*$AK$2)*$AB114)+(AZ$80*$AC114),0)</f>
        <v>316</v>
      </c>
      <c r="X114" s="714">
        <f>ROUND((('1.4.조성법총괄(내부이동률 적용)'!T$40+'1.4.조성법총괄(내부이동률 적용)'!T$43*$AK$2)*$AB114)+(BA$80*$AC114),0)</f>
        <v>317</v>
      </c>
      <c r="Y114" s="714">
        <f>ROUND((('1.4.조성법총괄(내부이동률 적용)'!U$40+'1.4.조성법총괄(내부이동률 적용)'!U$43*$AK$2)*$AB114)+(BB$80*$AC114),0)</f>
        <v>319</v>
      </c>
      <c r="Z114" s="714">
        <f>ROUND((('1.4.조성법총괄(내부이동률 적용)'!V$40+'1.4.조성법총괄(내부이동률 적용)'!V$43*$AK$2)*$AB114)+(BC$80*$AC114),0)</f>
        <v>320</v>
      </c>
      <c r="AA114" s="715">
        <f>ROUND((('1.4.조성법총괄(내부이동률 적용)'!W$40+'1.4.조성법총괄(내부이동률 적용)'!W$43*$AK$2)*$AB114)+(BD$80*$AC114),0)</f>
        <v>317</v>
      </c>
      <c r="AB114" s="936">
        <f>+H114/'1.4.조성법총괄(내부이동률 적용)'!$D$44</f>
        <v>1.6218523260776781E-2</v>
      </c>
      <c r="AC114" s="934">
        <f t="shared" si="71"/>
        <v>1.9969782565854299E-2</v>
      </c>
      <c r="AD114" s="713"/>
      <c r="AE114" s="711"/>
    </row>
    <row r="115" spans="1:57" s="712" customFormat="1" ht="24" customHeight="1">
      <c r="A115" s="2640"/>
      <c r="B115" s="2636"/>
      <c r="C115" s="2636"/>
      <c r="D115" s="2635"/>
      <c r="E115" s="1244" t="s">
        <v>1268</v>
      </c>
      <c r="F115" s="713"/>
      <c r="G115" s="935">
        <f t="shared" ref="G115:H115" si="72">AJ64</f>
        <v>0</v>
      </c>
      <c r="H115" s="935">
        <f t="shared" si="72"/>
        <v>0</v>
      </c>
      <c r="I115" s="935">
        <f t="shared" ref="I115" si="73">AL64</f>
        <v>0</v>
      </c>
      <c r="J115" s="935">
        <f t="shared" ref="J115" si="74">AM64</f>
        <v>0</v>
      </c>
      <c r="K115" s="935">
        <f t="shared" ref="K115" si="75">AN64</f>
        <v>237</v>
      </c>
      <c r="L115" s="935">
        <f t="shared" ref="L115" si="76">AO64</f>
        <v>237</v>
      </c>
      <c r="M115" s="935">
        <f t="shared" ref="M115" si="77">AP64</f>
        <v>237</v>
      </c>
      <c r="N115" s="935">
        <f t="shared" ref="N115" si="78">AQ64</f>
        <v>237</v>
      </c>
      <c r="O115" s="935">
        <f t="shared" ref="O115" si="79">AR64</f>
        <v>237</v>
      </c>
      <c r="P115" s="935">
        <f t="shared" ref="P115" si="80">AS64</f>
        <v>237</v>
      </c>
      <c r="Q115" s="935">
        <f t="shared" ref="Q115" si="81">AT64</f>
        <v>237</v>
      </c>
      <c r="R115" s="935">
        <f t="shared" ref="R115" si="82">AU64</f>
        <v>237</v>
      </c>
      <c r="S115" s="935">
        <f t="shared" ref="S115" si="83">AV64</f>
        <v>237</v>
      </c>
      <c r="T115" s="935">
        <f t="shared" ref="T115" si="84">AW64</f>
        <v>237</v>
      </c>
      <c r="U115" s="935">
        <f t="shared" ref="U115" si="85">AX64</f>
        <v>237</v>
      </c>
      <c r="V115" s="935">
        <f t="shared" ref="V115" si="86">AY64</f>
        <v>237</v>
      </c>
      <c r="W115" s="935">
        <f t="shared" ref="W115" si="87">AZ64</f>
        <v>237</v>
      </c>
      <c r="X115" s="935">
        <f t="shared" ref="X115" si="88">BA64</f>
        <v>237</v>
      </c>
      <c r="Y115" s="935">
        <f t="shared" ref="Y115" si="89">BB64</f>
        <v>237</v>
      </c>
      <c r="Z115" s="935">
        <f t="shared" ref="Z115" si="90">BC64</f>
        <v>237</v>
      </c>
      <c r="AA115" s="935">
        <f t="shared" ref="AA115" si="91">BD64</f>
        <v>237</v>
      </c>
      <c r="AB115" s="936"/>
      <c r="AC115" s="934"/>
      <c r="AD115" s="1080" t="str">
        <f>AH64</f>
        <v>부러운아파트</v>
      </c>
      <c r="AE115" s="711" t="s">
        <v>1573</v>
      </c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</row>
    <row r="116" spans="1:57" s="712" customFormat="1" ht="24" customHeight="1">
      <c r="A116" s="2640"/>
      <c r="B116" s="2636"/>
      <c r="C116" s="2636"/>
      <c r="D116" s="2635"/>
      <c r="E116" s="1244" t="s">
        <v>1268</v>
      </c>
      <c r="F116" s="713"/>
      <c r="G116" s="935">
        <f t="shared" ref="G116:H116" si="92">AJ66</f>
        <v>0</v>
      </c>
      <c r="H116" s="935">
        <f t="shared" si="92"/>
        <v>0</v>
      </c>
      <c r="I116" s="935">
        <f t="shared" ref="I116" si="93">AL66</f>
        <v>0</v>
      </c>
      <c r="J116" s="935">
        <f t="shared" ref="J116" si="94">AM66</f>
        <v>0</v>
      </c>
      <c r="K116" s="935">
        <f t="shared" ref="K116" si="95">AN66</f>
        <v>0</v>
      </c>
      <c r="L116" s="935">
        <f t="shared" ref="L116" si="96">AO66</f>
        <v>0</v>
      </c>
      <c r="M116" s="935">
        <f t="shared" ref="M116" si="97">AP66</f>
        <v>0</v>
      </c>
      <c r="N116" s="935">
        <f t="shared" ref="N116" si="98">AQ66</f>
        <v>0</v>
      </c>
      <c r="O116" s="935">
        <f t="shared" ref="O116" si="99">AR66</f>
        <v>0</v>
      </c>
      <c r="P116" s="935">
        <f t="shared" ref="P116" si="100">AS66</f>
        <v>0</v>
      </c>
      <c r="Q116" s="935">
        <f t="shared" ref="Q116" si="101">AT66</f>
        <v>195</v>
      </c>
      <c r="R116" s="935">
        <f t="shared" ref="R116" si="102">AU66</f>
        <v>195</v>
      </c>
      <c r="S116" s="935">
        <f t="shared" ref="S116" si="103">AV66</f>
        <v>195</v>
      </c>
      <c r="T116" s="935">
        <f t="shared" ref="T116" si="104">AW66</f>
        <v>195</v>
      </c>
      <c r="U116" s="935">
        <f t="shared" ref="U116" si="105">AX66</f>
        <v>195</v>
      </c>
      <c r="V116" s="935">
        <f t="shared" ref="V116" si="106">AY66</f>
        <v>195</v>
      </c>
      <c r="W116" s="935">
        <f t="shared" ref="W116" si="107">AZ66</f>
        <v>195</v>
      </c>
      <c r="X116" s="935">
        <f t="shared" ref="X116" si="108">BA66</f>
        <v>195</v>
      </c>
      <c r="Y116" s="935">
        <f t="shared" ref="Y116" si="109">BB66</f>
        <v>195</v>
      </c>
      <c r="Z116" s="935">
        <f t="shared" ref="Z116" si="110">BC66</f>
        <v>195</v>
      </c>
      <c r="AA116" s="935">
        <f t="shared" ref="AA116" si="111">BD66</f>
        <v>195</v>
      </c>
      <c r="AB116" s="936"/>
      <c r="AC116" s="934"/>
      <c r="AD116" s="1080" t="str">
        <f>AH66</f>
        <v>대소지역주택조합</v>
      </c>
      <c r="AE116" s="711" t="s">
        <v>1573</v>
      </c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</row>
    <row r="117" spans="1:57" s="712" customFormat="1" ht="24" customHeight="1">
      <c r="A117" s="2640"/>
      <c r="B117" s="2636"/>
      <c r="C117" s="2636"/>
      <c r="D117" s="2635" t="s">
        <v>881</v>
      </c>
      <c r="E117" s="1238" t="s">
        <v>882</v>
      </c>
      <c r="F117" s="713"/>
      <c r="G117" s="935">
        <f>+'2014처리구역인구 정리'!I103</f>
        <v>268</v>
      </c>
      <c r="H117" s="935">
        <f>+'2014처리구역인구 정리'!J103</f>
        <v>298</v>
      </c>
      <c r="I117" s="925">
        <f>ROUND((('1.4.조성법총괄(내부이동률 적용)'!E$40+'1.4.조성법총괄(내부이동률 적용)'!E$43*$AK$2)*$AB117)+(AL$80*$AC117),0)</f>
        <v>298</v>
      </c>
      <c r="J117" s="925">
        <f>ROUND((('1.4.조성법총괄(내부이동률 적용)'!F$40+'1.4.조성법총괄(내부이동률 적용)'!F$43*$AK$2)*$AB117)+(AM$80*$AC117),0)</f>
        <v>299</v>
      </c>
      <c r="K117" s="925">
        <f>ROUND((('1.4.조성법총괄(내부이동률 적용)'!G$40+'1.4.조성법총괄(내부이동률 적용)'!G$43*$AK$2)*$AB117)+(AN$80*$AC117),0)</f>
        <v>276</v>
      </c>
      <c r="L117" s="907">
        <f>ROUND((('1.4.조성법총괄(내부이동률 적용)'!H$40+'1.4.조성법총괄(내부이동률 적용)'!H$43*$AK$2)*$AB117)+(AO$80*$AC117),0)</f>
        <v>294</v>
      </c>
      <c r="M117" s="925">
        <f>ROUND((('1.4.조성법총괄(내부이동률 적용)'!I$40+'1.4.조성법총괄(내부이동률 적용)'!I$43*$AK$2)*$AB117)+(AP$80*$AC117),0)</f>
        <v>296</v>
      </c>
      <c r="N117" s="925">
        <f>ROUND((('1.4.조성법총괄(내부이동률 적용)'!J$40+'1.4.조성법총괄(내부이동률 적용)'!J$43*$AK$2)*$AB117)+(AQ$80*$AC117),0)</f>
        <v>297</v>
      </c>
      <c r="O117" s="925">
        <f>ROUND((('1.4.조성법총괄(내부이동률 적용)'!K$40+'1.4.조성법총괄(내부이동률 적용)'!K$43*$AK$2)*$AB117)+(AR$80*$AC117),0)</f>
        <v>299</v>
      </c>
      <c r="P117" s="925">
        <f>ROUND((('1.4.조성법총괄(내부이동률 적용)'!L$40+'1.4.조성법총괄(내부이동률 적용)'!L$43*$AK$2)*$AB117)+(AS$80*$AC117),0)</f>
        <v>301</v>
      </c>
      <c r="Q117" s="907">
        <f>ROUND((('1.4.조성법총괄(내부이동률 적용)'!M$40+'1.4.조성법총괄(내부이동률 적용)'!M$43*$AK$2)*$AB117)+(AT$80*$AC117),0)</f>
        <v>301</v>
      </c>
      <c r="R117" s="925">
        <f>ROUND((('1.4.조성법총괄(내부이동률 적용)'!N$40+'1.4.조성법총괄(내부이동률 적용)'!N$43*$AK$2)*$AB117)+(AU$80*$AC117),0)</f>
        <v>302</v>
      </c>
      <c r="S117" s="925">
        <f>ROUND((('1.4.조성법총괄(내부이동률 적용)'!O$40+'1.4.조성법총괄(내부이동률 적용)'!O$43*$AK$2)*$AB117)+(AV$80*$AC117),0)</f>
        <v>304</v>
      </c>
      <c r="T117" s="925">
        <f>ROUND((('1.4.조성법총괄(내부이동률 적용)'!P$40+'1.4.조성법총괄(내부이동률 적용)'!P$43*$AK$2)*$AB117)+(AW$80*$AC117),0)</f>
        <v>305</v>
      </c>
      <c r="U117" s="925">
        <f>ROUND((('1.4.조성법총괄(내부이동률 적용)'!Q$40+'1.4.조성법총괄(내부이동률 적용)'!Q$43*$AK$2)*$AB117)+(AX$80*$AC117),0)</f>
        <v>307</v>
      </c>
      <c r="V117" s="715">
        <f>ROUND((('1.4.조성법총괄(내부이동률 적용)'!R$40+'1.4.조성법총괄(내부이동률 적용)'!R$43*$AK$2)*$AB117)+(AY$80*$AC117),0)</f>
        <v>308</v>
      </c>
      <c r="W117" s="714">
        <f>ROUND((('1.4.조성법총괄(내부이동률 적용)'!S$40+'1.4.조성법총괄(내부이동률 적용)'!S$43*$AK$2)*$AB117)+(AZ$80*$AC117),0)</f>
        <v>310</v>
      </c>
      <c r="X117" s="714">
        <f>ROUND((('1.4.조성법총괄(내부이동률 적용)'!T$40+'1.4.조성법총괄(내부이동률 적용)'!T$43*$AK$2)*$AB117)+(BA$80*$AC117),0)</f>
        <v>311</v>
      </c>
      <c r="Y117" s="714">
        <f>ROUND((('1.4.조성법총괄(내부이동률 적용)'!U$40+'1.4.조성법총괄(내부이동률 적용)'!U$43*$AK$2)*$AB117)+(BB$80*$AC117),0)</f>
        <v>312</v>
      </c>
      <c r="Z117" s="714">
        <f>ROUND((('1.4.조성법총괄(내부이동률 적용)'!V$40+'1.4.조성법총괄(내부이동률 적용)'!V$43*$AK$2)*$AB117)+(BC$80*$AC117),0)</f>
        <v>314</v>
      </c>
      <c r="AA117" s="715">
        <f>ROUND((('1.4.조성법총괄(내부이동률 적용)'!W$40+'1.4.조성법총괄(내부이동률 적용)'!W$43*$AK$2)*$AB117)+(BD$80*$AC117),0)</f>
        <v>310</v>
      </c>
      <c r="AB117" s="936">
        <f>+H117/'1.4.조성법총괄(내부이동률 적용)'!$D$44</f>
        <v>1.5898420827998291E-2</v>
      </c>
      <c r="AC117" s="934">
        <f>+H117/$AE$77</f>
        <v>1.9575642120475596E-2</v>
      </c>
      <c r="AD117" s="713"/>
      <c r="AE117" s="711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</row>
    <row r="118" spans="1:57" s="712" customFormat="1" ht="24" customHeight="1">
      <c r="A118" s="2640"/>
      <c r="B118" s="2636"/>
      <c r="C118" s="2636"/>
      <c r="D118" s="2635"/>
      <c r="E118" s="1238" t="s">
        <v>883</v>
      </c>
      <c r="F118" s="713"/>
      <c r="G118" s="935">
        <f>+'2014처리구역인구 정리'!I104</f>
        <v>63</v>
      </c>
      <c r="H118" s="935">
        <f>+'2014처리구역인구 정리'!J104</f>
        <v>81</v>
      </c>
      <c r="I118" s="925">
        <f>ROUND((('1.4.조성법총괄(내부이동률 적용)'!E$40+'1.4.조성법총괄(내부이동률 적용)'!E$43*$AK$2)*$AB118)+(AL$80*$AC118),0)</f>
        <v>81</v>
      </c>
      <c r="J118" s="925">
        <f>ROUND((('1.4.조성법총괄(내부이동률 적용)'!F$40+'1.4.조성법총괄(내부이동률 적용)'!F$43*$AK$2)*$AB118)+(AM$80*$AC118),0)</f>
        <v>81</v>
      </c>
      <c r="K118" s="925">
        <f>ROUND((('1.4.조성법총괄(내부이동률 적용)'!G$40+'1.4.조성법총괄(내부이동률 적용)'!G$43*$AK$2)*$AB118)+(AN$80*$AC118),0)</f>
        <v>75</v>
      </c>
      <c r="L118" s="907">
        <f>ROUND((('1.4.조성법총괄(내부이동률 적용)'!H$40+'1.4.조성법총괄(내부이동률 적용)'!H$43*$AK$2)*$AB118)+(AO$80*$AC118),0)</f>
        <v>80</v>
      </c>
      <c r="M118" s="925">
        <f>ROUND((('1.4.조성법총괄(내부이동률 적용)'!I$40+'1.4.조성법총괄(내부이동률 적용)'!I$43*$AK$2)*$AB118)+(AP$80*$AC118),0)</f>
        <v>80</v>
      </c>
      <c r="N118" s="925">
        <f>ROUND((('1.4.조성법총괄(내부이동률 적용)'!J$40+'1.4.조성법총괄(내부이동률 적용)'!J$43*$AK$2)*$AB118)+(AQ$80*$AC118),0)</f>
        <v>81</v>
      </c>
      <c r="O118" s="925">
        <f>ROUND((('1.4.조성법총괄(내부이동률 적용)'!K$40+'1.4.조성법총괄(내부이동률 적용)'!K$43*$AK$2)*$AB118)+(AR$80*$AC118),0)</f>
        <v>81</v>
      </c>
      <c r="P118" s="925">
        <f>ROUND((('1.4.조성법총괄(내부이동률 적용)'!L$40+'1.4.조성법총괄(내부이동률 적용)'!L$43*$AK$2)*$AB118)+(AS$80*$AC118),0)</f>
        <v>82</v>
      </c>
      <c r="Q118" s="907">
        <f>ROUND((('1.4.조성법총괄(내부이동률 적용)'!M$40+'1.4.조성법총괄(내부이동률 적용)'!M$43*$AK$2)*$AB118)+(AT$80*$AC118),0)</f>
        <v>82</v>
      </c>
      <c r="R118" s="925">
        <f>ROUND((('1.4.조성법총괄(내부이동률 적용)'!N$40+'1.4.조성법총괄(내부이동률 적용)'!N$43*$AK$2)*$AB118)+(AU$80*$AC118),0)</f>
        <v>82</v>
      </c>
      <c r="S118" s="925">
        <f>ROUND((('1.4.조성법총괄(내부이동률 적용)'!O$40+'1.4.조성법총괄(내부이동률 적용)'!O$43*$AK$2)*$AB118)+(AV$80*$AC118),0)</f>
        <v>83</v>
      </c>
      <c r="T118" s="925">
        <f>ROUND((('1.4.조성법총괄(내부이동률 적용)'!P$40+'1.4.조성법총괄(내부이동률 적용)'!P$43*$AK$2)*$AB118)+(AW$80*$AC118),0)</f>
        <v>83</v>
      </c>
      <c r="U118" s="925">
        <f>ROUND((('1.4.조성법총괄(내부이동률 적용)'!Q$40+'1.4.조성법총괄(내부이동률 적용)'!Q$43*$AK$2)*$AB118)+(AX$80*$AC118),0)</f>
        <v>83</v>
      </c>
      <c r="V118" s="715">
        <f>ROUND((('1.4.조성법총괄(내부이동률 적용)'!R$40+'1.4.조성법총괄(내부이동률 적용)'!R$43*$AK$2)*$AB118)+(AY$80*$AC118),0)</f>
        <v>84</v>
      </c>
      <c r="W118" s="714">
        <f>ROUND((('1.4.조성법총괄(내부이동률 적용)'!S$40+'1.4.조성법총괄(내부이동률 적용)'!S$43*$AK$2)*$AB118)+(AZ$80*$AC118),0)</f>
        <v>84</v>
      </c>
      <c r="X118" s="714">
        <f>ROUND((('1.4.조성법총괄(내부이동률 적용)'!T$40+'1.4.조성법총괄(내부이동률 적용)'!T$43*$AK$2)*$AB118)+(BA$80*$AC118),0)</f>
        <v>85</v>
      </c>
      <c r="Y118" s="714">
        <f>ROUND((('1.4.조성법총괄(내부이동률 적용)'!U$40+'1.4.조성법총괄(내부이동률 적용)'!U$43*$AK$2)*$AB118)+(BB$80*$AC118),0)</f>
        <v>85</v>
      </c>
      <c r="Z118" s="714">
        <f>ROUND((('1.4.조성법총괄(내부이동률 적용)'!V$40+'1.4.조성법총괄(내부이동률 적용)'!V$43*$AK$2)*$AB118)+(BC$80*$AC118),0)</f>
        <v>85</v>
      </c>
      <c r="AA118" s="715">
        <f>ROUND((('1.4.조성법총괄(내부이동률 적용)'!W$40+'1.4.조성법총괄(내부이동률 적용)'!W$43*$AK$2)*$AB118)+(BD$80*$AC118),0)</f>
        <v>84</v>
      </c>
      <c r="AB118" s="936">
        <f>+H118/'1.4.조성법총괄(내부이동률 적용)'!$D$44</f>
        <v>4.3213828425096032E-3</v>
      </c>
      <c r="AC118" s="934">
        <f>+H118/$AE$77</f>
        <v>5.3208960126124938E-3</v>
      </c>
      <c r="AD118" s="713"/>
      <c r="AE118" s="711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</row>
    <row r="119" spans="1:57" s="712" customFormat="1" ht="24" customHeight="1">
      <c r="A119" s="2640"/>
      <c r="B119" s="2636"/>
      <c r="C119" s="2636"/>
      <c r="D119" s="2635"/>
      <c r="E119" s="1238" t="s">
        <v>884</v>
      </c>
      <c r="F119" s="713"/>
      <c r="G119" s="935">
        <f>+'2014처리구역인구 정리'!I105</f>
        <v>742</v>
      </c>
      <c r="H119" s="935">
        <f>+'2014처리구역인구 정리'!J105</f>
        <v>866</v>
      </c>
      <c r="I119" s="925">
        <f>ROUND((('1.4.조성법총괄(내부이동률 적용)'!E$40+'1.4.조성법총괄(내부이동률 적용)'!E$43*$AK$2)*$AB119)+(AL$80*$AC119),0)</f>
        <v>867</v>
      </c>
      <c r="J119" s="925">
        <f>ROUND((('1.4.조성법총괄(내부이동률 적용)'!F$40+'1.4.조성법총괄(내부이동률 적용)'!F$43*$AK$2)*$AB119)+(AM$80*$AC119),0)</f>
        <v>869</v>
      </c>
      <c r="K119" s="925">
        <f>ROUND((('1.4.조성법총괄(내부이동률 적용)'!G$40+'1.4.조성법총괄(내부이동률 적용)'!G$43*$AK$2)*$AB119)+(AN$80*$AC119),0)</f>
        <v>801</v>
      </c>
      <c r="L119" s="907">
        <f>ROUND((('1.4.조성법총괄(내부이동률 적용)'!H$40+'1.4.조성법총괄(내부이동률 적용)'!H$43*$AK$2)*$AB119)+(AO$80*$AC119),0)</f>
        <v>854</v>
      </c>
      <c r="M119" s="925">
        <f>ROUND((('1.4.조성법총괄(내부이동률 적용)'!I$40+'1.4.조성법총괄(내부이동률 적용)'!I$43*$AK$2)*$AB119)+(AP$80*$AC119),0)</f>
        <v>859</v>
      </c>
      <c r="N119" s="925">
        <f>ROUND((('1.4.조성법총괄(내부이동률 적용)'!J$40+'1.4.조성법총괄(내부이동률 적용)'!J$43*$AK$2)*$AB119)+(AQ$80*$AC119),0)</f>
        <v>864</v>
      </c>
      <c r="O119" s="925">
        <f>ROUND((('1.4.조성법총괄(내부이동률 적용)'!K$40+'1.4.조성법총괄(내부이동률 적용)'!K$43*$AK$2)*$AB119)+(AR$80*$AC119),0)</f>
        <v>869</v>
      </c>
      <c r="P119" s="925">
        <f>ROUND((('1.4.조성법총괄(내부이동률 적용)'!L$40+'1.4.조성법총괄(내부이동률 적용)'!L$43*$AK$2)*$AB119)+(AS$80*$AC119),0)</f>
        <v>874</v>
      </c>
      <c r="Q119" s="907">
        <f>ROUND((('1.4.조성법총괄(내부이동률 적용)'!M$40+'1.4.조성법총괄(내부이동률 적용)'!M$43*$AK$2)*$AB119)+(AT$80*$AC119),0)</f>
        <v>874</v>
      </c>
      <c r="R119" s="925">
        <f>ROUND((('1.4.조성법총괄(내부이동률 적용)'!N$40+'1.4.조성법총괄(내부이동률 적용)'!N$43*$AK$2)*$AB119)+(AU$80*$AC119),0)</f>
        <v>878</v>
      </c>
      <c r="S119" s="925">
        <f>ROUND((('1.4.조성법총괄(내부이동률 적용)'!O$40+'1.4.조성법총괄(내부이동률 적용)'!O$43*$AK$2)*$AB119)+(AV$80*$AC119),0)</f>
        <v>882</v>
      </c>
      <c r="T119" s="925">
        <f>ROUND((('1.4.조성법총괄(내부이동률 적용)'!P$40+'1.4.조성법총괄(내부이동률 적용)'!P$43*$AK$2)*$AB119)+(AW$80*$AC119),0)</f>
        <v>887</v>
      </c>
      <c r="U119" s="925">
        <f>ROUND((('1.4.조성법총괄(내부이동률 적용)'!Q$40+'1.4.조성법총괄(내부이동률 적용)'!Q$43*$AK$2)*$AB119)+(AX$80*$AC119),0)</f>
        <v>891</v>
      </c>
      <c r="V119" s="715">
        <f>ROUND((('1.4.조성법총괄(내부이동률 적용)'!R$40+'1.4.조성법총괄(내부이동률 적용)'!R$43*$AK$2)*$AB119)+(AY$80*$AC119),0)</f>
        <v>895</v>
      </c>
      <c r="W119" s="714">
        <f>ROUND((('1.4.조성법총괄(내부이동률 적용)'!S$40+'1.4.조성법총괄(내부이동률 적용)'!S$43*$AK$2)*$AB119)+(AZ$80*$AC119),0)</f>
        <v>899</v>
      </c>
      <c r="X119" s="714">
        <f>ROUND((('1.4.조성법총괄(내부이동률 적용)'!T$40+'1.4.조성법총괄(내부이동률 적용)'!T$43*$AK$2)*$AB119)+(BA$80*$AC119),0)</f>
        <v>904</v>
      </c>
      <c r="Y119" s="714">
        <f>ROUND((('1.4.조성법총괄(내부이동률 적용)'!U$40+'1.4.조성법총괄(내부이동률 적용)'!U$43*$AK$2)*$AB119)+(BB$80*$AC119),0)</f>
        <v>908</v>
      </c>
      <c r="Z119" s="714">
        <f>ROUND((('1.4.조성법총괄(내부이동률 적용)'!V$40+'1.4.조성법총괄(내부이동률 적용)'!V$43*$AK$2)*$AB119)+(BC$80*$AC119),0)</f>
        <v>912</v>
      </c>
      <c r="AA119" s="715">
        <f>ROUND((('1.4.조성법총괄(내부이동률 적용)'!W$40+'1.4.조성법총괄(내부이동률 적용)'!W$43*$AK$2)*$AB119)+(BD$80*$AC119),0)</f>
        <v>902</v>
      </c>
      <c r="AB119" s="936">
        <f>+H119/'1.4.조성법총괄(내부이동률 적용)'!$D$44</f>
        <v>4.6201451131028595E-2</v>
      </c>
      <c r="AC119" s="934">
        <f>+H119/$AE$77</f>
        <v>5.6887604282992839E-2</v>
      </c>
      <c r="AD119" s="713"/>
      <c r="AE119" s="711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</row>
    <row r="120" spans="1:57" s="712" customFormat="1" ht="24" customHeight="1">
      <c r="A120" s="2640"/>
      <c r="B120" s="2636"/>
      <c r="C120" s="2636"/>
      <c r="D120" s="2635"/>
      <c r="E120" s="1243" t="s">
        <v>885</v>
      </c>
      <c r="F120" s="713"/>
      <c r="G120" s="935">
        <f>+'2014처리구역인구 정리'!I106</f>
        <v>1063</v>
      </c>
      <c r="H120" s="935">
        <f>+'2014처리구역인구 정리'!J106</f>
        <v>1216</v>
      </c>
      <c r="I120" s="925">
        <f>ROUND((('1.4.조성법총괄(내부이동률 적용)'!E$40+'1.4.조성법총괄(내부이동률 적용)'!E$43*$AK$2)*$AB120)+(AL$80*$AC120),0)</f>
        <v>1218</v>
      </c>
      <c r="J120" s="925">
        <f>ROUND((('1.4.조성법총괄(내부이동률 적용)'!F$40+'1.4.조성법총괄(내부이동률 적용)'!F$43*$AK$2)*$AB120)+(AM$80*$AC120),0)</f>
        <v>1220</v>
      </c>
      <c r="K120" s="925">
        <f>ROUND((('1.4.조성법총괄(내부이동률 적용)'!G$40+'1.4.조성법총괄(내부이동률 적용)'!G$43*$AK$2)*$AB120)+(AN$80*$AC120),0)</f>
        <v>1125</v>
      </c>
      <c r="L120" s="907">
        <f>ROUND((('1.4.조성법총괄(내부이동률 적용)'!H$40+'1.4.조성법총괄(내부이동률 적용)'!H$43*$AK$2)*$AB120)+(AO$80*$AC120),0)</f>
        <v>1199</v>
      </c>
      <c r="M120" s="925">
        <f>ROUND((('1.4.조성법총괄(내부이동률 적용)'!I$40+'1.4.조성법총괄(내부이동률 적용)'!I$43*$AK$2)*$AB120)+(AP$80*$AC120),0)</f>
        <v>1206</v>
      </c>
      <c r="N120" s="925">
        <f>ROUND((('1.4.조성법총괄(내부이동률 적용)'!J$40+'1.4.조성법총괄(내부이동률 적용)'!J$43*$AK$2)*$AB120)+(AQ$80*$AC120),0)</f>
        <v>1213</v>
      </c>
      <c r="O120" s="925">
        <f>ROUND((('1.4.조성법총괄(내부이동률 적용)'!K$40+'1.4.조성법총괄(내부이동률 적용)'!K$43*$AK$2)*$AB120)+(AR$80*$AC120),0)</f>
        <v>1220</v>
      </c>
      <c r="P120" s="925">
        <f>ROUND((('1.4.조성법총괄(내부이동률 적용)'!L$40+'1.4.조성법총괄(내부이동률 적용)'!L$43*$AK$2)*$AB120)+(AS$80*$AC120),0)</f>
        <v>1228</v>
      </c>
      <c r="Q120" s="907">
        <f>ROUND((('1.4.조성법총괄(내부이동률 적용)'!M$40+'1.4.조성법총괄(내부이동률 적용)'!M$43*$AK$2)*$AB120)+(AT$80*$AC120),0)</f>
        <v>1227</v>
      </c>
      <c r="R120" s="925">
        <f>ROUND((('1.4.조성법총괄(내부이동률 적용)'!N$40+'1.4.조성법총괄(내부이동률 적용)'!N$43*$AK$2)*$AB120)+(AU$80*$AC120),0)</f>
        <v>1233</v>
      </c>
      <c r="S120" s="925">
        <f>ROUND((('1.4.조성법총괄(내부이동률 적용)'!O$40+'1.4.조성법총괄(내부이동률 적용)'!O$43*$AK$2)*$AB120)+(AV$80*$AC120),0)</f>
        <v>1239</v>
      </c>
      <c r="T120" s="925">
        <f>ROUND((('1.4.조성법총괄(내부이동률 적용)'!P$40+'1.4.조성법총괄(내부이동률 적용)'!P$43*$AK$2)*$AB120)+(AW$80*$AC120),0)</f>
        <v>1245</v>
      </c>
      <c r="U120" s="925">
        <f>ROUND((('1.4.조성법총괄(내부이동률 적용)'!Q$40+'1.4.조성법총괄(내부이동률 적용)'!Q$43*$AK$2)*$AB120)+(AX$80*$AC120),0)</f>
        <v>1251</v>
      </c>
      <c r="V120" s="715">
        <f>ROUND((('1.4.조성법총괄(내부이동률 적용)'!R$40+'1.4.조성법총괄(내부이동률 적용)'!R$43*$AK$2)*$AB120)+(AY$80*$AC120),0)</f>
        <v>1257</v>
      </c>
      <c r="W120" s="714">
        <f>ROUND((('1.4.조성법총괄(내부이동률 적용)'!S$40+'1.4.조성법총괄(내부이동률 적용)'!S$43*$AK$2)*$AB120)+(AZ$80*$AC120),0)</f>
        <v>1263</v>
      </c>
      <c r="X120" s="714">
        <f>ROUND((('1.4.조성법총괄(내부이동률 적용)'!T$40+'1.4.조성법총괄(내부이동률 적용)'!T$43*$AK$2)*$AB120)+(BA$80*$AC120),0)</f>
        <v>1269</v>
      </c>
      <c r="Y120" s="714">
        <f>ROUND((('1.4.조성법총괄(내부이동률 적용)'!U$40+'1.4.조성법총괄(내부이동률 적용)'!U$43*$AK$2)*$AB120)+(BB$80*$AC120),0)</f>
        <v>1275</v>
      </c>
      <c r="Z120" s="714">
        <f>ROUND((('1.4.조성법총괄(내부이동률 적용)'!V$40+'1.4.조성법총괄(내부이동률 적용)'!V$43*$AK$2)*$AB120)+(BC$80*$AC120),0)</f>
        <v>1281</v>
      </c>
      <c r="AA120" s="715">
        <f>ROUND((('1.4.조성법총괄(내부이동률 적용)'!W$40+'1.4.조성법총괄(내부이동률 적용)'!W$43*$AK$2)*$AB120)+(BD$80*$AC120),0)</f>
        <v>1267</v>
      </c>
      <c r="AB120" s="936">
        <f>+H120/'1.4.조성법총괄(내부이동률 적용)'!$D$44</f>
        <v>6.4874093043107123E-2</v>
      </c>
      <c r="AC120" s="934">
        <f>+H120/$AE$77</f>
        <v>7.9879130263417197E-2</v>
      </c>
      <c r="AD120" s="713"/>
      <c r="AE120" s="711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</row>
    <row r="121" spans="1:57" s="712" customFormat="1" ht="24" customHeight="1">
      <c r="A121" s="2640"/>
      <c r="B121" s="2668" t="s">
        <v>1092</v>
      </c>
      <c r="C121" s="2635" t="s">
        <v>32</v>
      </c>
      <c r="D121" s="2635"/>
      <c r="E121" s="2635"/>
      <c r="F121" s="713"/>
      <c r="G121" s="907">
        <f t="shared" ref="G121:AA121" si="112">SUM(G122:G143)</f>
        <v>5452</v>
      </c>
      <c r="H121" s="907">
        <f t="shared" si="112"/>
        <v>6950</v>
      </c>
      <c r="I121" s="907">
        <f t="shared" si="112"/>
        <v>6901</v>
      </c>
      <c r="J121" s="925">
        <f t="shared" si="112"/>
        <v>6865</v>
      </c>
      <c r="K121" s="925">
        <f t="shared" si="112"/>
        <v>6821</v>
      </c>
      <c r="L121" s="907">
        <f t="shared" si="112"/>
        <v>6768</v>
      </c>
      <c r="M121" s="925">
        <f t="shared" si="112"/>
        <v>6759</v>
      </c>
      <c r="N121" s="925">
        <f t="shared" si="112"/>
        <v>6748</v>
      </c>
      <c r="O121" s="925">
        <f t="shared" si="112"/>
        <v>6740</v>
      </c>
      <c r="P121" s="925">
        <f t="shared" si="112"/>
        <v>6728</v>
      </c>
      <c r="Q121" s="907">
        <f t="shared" si="112"/>
        <v>7226</v>
      </c>
      <c r="R121" s="925">
        <f t="shared" si="112"/>
        <v>7205</v>
      </c>
      <c r="S121" s="925">
        <f t="shared" si="112"/>
        <v>7183</v>
      </c>
      <c r="T121" s="925">
        <f t="shared" si="112"/>
        <v>7162</v>
      </c>
      <c r="U121" s="925">
        <f t="shared" si="112"/>
        <v>7139</v>
      </c>
      <c r="V121" s="715">
        <f t="shared" si="112"/>
        <v>7113</v>
      </c>
      <c r="W121" s="714">
        <f t="shared" si="112"/>
        <v>7087</v>
      </c>
      <c r="X121" s="714">
        <f t="shared" si="112"/>
        <v>7057</v>
      </c>
      <c r="Y121" s="714">
        <f t="shared" si="112"/>
        <v>7030</v>
      </c>
      <c r="Z121" s="714">
        <f t="shared" si="112"/>
        <v>6996</v>
      </c>
      <c r="AA121" s="715">
        <f t="shared" si="112"/>
        <v>9757</v>
      </c>
      <c r="AB121" s="934"/>
      <c r="AC121" s="713"/>
      <c r="AD121" s="713"/>
      <c r="AE121" s="675">
        <f>+H121</f>
        <v>6950</v>
      </c>
    </row>
    <row r="122" spans="1:57" s="712" customFormat="1" ht="24" customHeight="1">
      <c r="A122" s="2640"/>
      <c r="B122" s="2669"/>
      <c r="C122" s="2668" t="s">
        <v>642</v>
      </c>
      <c r="D122" s="2635" t="s">
        <v>889</v>
      </c>
      <c r="E122" s="1238" t="s">
        <v>896</v>
      </c>
      <c r="F122" s="713"/>
      <c r="G122" s="935">
        <f>+'2014처리구역인구 정리'!I108</f>
        <v>826</v>
      </c>
      <c r="H122" s="935">
        <f>+'2014처리구역인구 정리'!J108</f>
        <v>1033</v>
      </c>
      <c r="I122" s="925">
        <f>ROUND((('1.4.조성법총괄(내부이동률 적용)'!E$47+'1.4.조성법총괄(내부이동률 적용)'!E$50*$AK$2)*$AB122)+(AL$89*$AC122),0)</f>
        <v>1026</v>
      </c>
      <c r="J122" s="925">
        <f>ROUND((('1.4.조성법총괄(내부이동률 적용)'!F$47+'1.4.조성법총괄(내부이동률 적용)'!F$50*$AK$2)*$AB122)+(AM$89*$AC122),0)</f>
        <v>1020</v>
      </c>
      <c r="K122" s="925">
        <f>ROUND((('1.4.조성법총괄(내부이동률 적용)'!G$47+'1.4.조성법총괄(내부이동률 적용)'!G$50*$AK$2)*$AB122)+(AN$89*$AC122),0)</f>
        <v>1014</v>
      </c>
      <c r="L122" s="907">
        <f>ROUND((('1.4.조성법총괄(내부이동률 적용)'!H$47+'1.4.조성법총괄(내부이동률 적용)'!H$50*$AK$2)*$AB122)+(AO$89*$AC122),0)</f>
        <v>1006</v>
      </c>
      <c r="M122" s="925">
        <f>ROUND((('1.4.조성법총괄(내부이동률 적용)'!I$47+'1.4.조성법총괄(내부이동률 적용)'!I$50*$AK$2)*$AB122)+(AP$89*$AC122),0)</f>
        <v>1005</v>
      </c>
      <c r="N122" s="925">
        <f>ROUND((('1.4.조성법총괄(내부이동률 적용)'!J$47+'1.4.조성법총괄(내부이동률 적용)'!J$50*$AK$2)*$AB122)+(AQ$89*$AC122),0)</f>
        <v>1003</v>
      </c>
      <c r="O122" s="925">
        <f>ROUND((('1.4.조성법총괄(내부이동률 적용)'!K$47+'1.4.조성법총괄(내부이동률 적용)'!K$50*$AK$2)*$AB122)+(AR$89*$AC122),0)</f>
        <v>1002</v>
      </c>
      <c r="P122" s="925">
        <f>ROUND((('1.4.조성법총괄(내부이동률 적용)'!L$47+'1.4.조성법총괄(내부이동률 적용)'!L$50*$AK$2)*$AB122)+(AS$89*$AC122),0)</f>
        <v>1000</v>
      </c>
      <c r="Q122" s="907">
        <f>ROUND((('1.4.조성법총괄(내부이동률 적용)'!M$47+'1.4.조성법총괄(내부이동률 적용)'!M$50*$AK$2)*$AB122)+(AT$89*$AC122),0)</f>
        <v>994</v>
      </c>
      <c r="R122" s="925">
        <f>ROUND((('1.4.조성법총괄(내부이동률 적용)'!N$47+'1.4.조성법총괄(내부이동률 적용)'!N$50*$AK$2)*$AB122)+(AU$89*$AC122),0)</f>
        <v>991</v>
      </c>
      <c r="S122" s="925">
        <f>ROUND((('1.4.조성법총괄(내부이동률 적용)'!O$47+'1.4.조성법총괄(내부이동률 적용)'!O$50*$AK$2)*$AB122)+(AV$89*$AC122),0)</f>
        <v>988</v>
      </c>
      <c r="T122" s="925">
        <f>ROUND((('1.4.조성법총괄(내부이동률 적용)'!P$47+'1.4.조성법총괄(내부이동률 적용)'!P$50*$AK$2)*$AB122)+(AW$89*$AC122),0)</f>
        <v>984</v>
      </c>
      <c r="U122" s="925">
        <f>ROUND((('1.4.조성법총괄(내부이동률 적용)'!Q$47+'1.4.조성법총괄(내부이동률 적용)'!Q$50*$AK$2)*$AB122)+(AX$89*$AC122),0)</f>
        <v>981</v>
      </c>
      <c r="V122" s="715">
        <f>ROUND((('1.4.조성법총괄(내부이동률 적용)'!R$47+'1.4.조성법총괄(내부이동률 적용)'!R$50*$AK$2)*$AB122)+(AY$89*$AC122),0)</f>
        <v>978</v>
      </c>
      <c r="W122" s="714">
        <f>ROUND((('1.4.조성법총괄(내부이동률 적용)'!S$47+'1.4.조성법총괄(내부이동률 적용)'!S$50*$AK$2)*$AB122)+(AZ$89*$AC122),0)</f>
        <v>974</v>
      </c>
      <c r="X122" s="714">
        <f>ROUND((('1.4.조성법총괄(내부이동률 적용)'!T$47+'1.4.조성법총괄(내부이동률 적용)'!T$50*$AK$2)*$AB122)+(BA$89*$AC122),0)</f>
        <v>969</v>
      </c>
      <c r="Y122" s="714">
        <f>ROUND((('1.4.조성법총괄(내부이동률 적용)'!U$47+'1.4.조성법총괄(내부이동률 적용)'!U$50*$AK$2)*$AB122)+(BB$89*$AC122),0)</f>
        <v>965</v>
      </c>
      <c r="Z122" s="714">
        <f>ROUND((('1.4.조성법총괄(내부이동률 적용)'!V$47+'1.4.조성법총괄(내부이동률 적용)'!V$50*$AK$2)*$AB122)+(BC$89*$AC122),0)</f>
        <v>960</v>
      </c>
      <c r="AA122" s="715">
        <f>ROUND((('1.4.조성법총괄(내부이동률 적용)'!W$47+'1.4.조성법총괄(내부이동률 적용)'!W$50*$AK$2)*$AB122)+(BD$89*$AC122),0)</f>
        <v>908</v>
      </c>
      <c r="AB122" s="936">
        <f>+H122/'1.4.조성법총괄(내부이동률 적용)'!$D$51</f>
        <v>0.10745864974513679</v>
      </c>
      <c r="AC122" s="934">
        <f t="shared" ref="AC122:AC131" si="113">+H122/$AE$121</f>
        <v>0.14863309352517987</v>
      </c>
      <c r="AD122" s="713"/>
      <c r="AE122" s="1"/>
    </row>
    <row r="123" spans="1:57" ht="39.950000000000003" customHeight="1">
      <c r="A123" s="2640"/>
      <c r="B123" s="2669"/>
      <c r="C123" s="2669"/>
      <c r="D123" s="2635"/>
      <c r="E123" s="1238" t="s">
        <v>890</v>
      </c>
      <c r="F123" s="713"/>
      <c r="G123" s="935">
        <f>+'2014처리구역인구 정리'!I109</f>
        <v>346</v>
      </c>
      <c r="H123" s="935">
        <f>+'2014처리구역인구 정리'!J109</f>
        <v>407</v>
      </c>
      <c r="I123" s="925">
        <f>ROUND((('1.4.조성법총괄(내부이동률 적용)'!E$47+'1.4.조성법총괄(내부이동률 적용)'!E$50*$AK$2)*$AB123)+(AL$89*$AC123),0)</f>
        <v>404</v>
      </c>
      <c r="J123" s="925">
        <f>ROUND((('1.4.조성법총괄(내부이동률 적용)'!F$47+'1.4.조성법총괄(내부이동률 적용)'!F$50*$AK$2)*$AB123)+(AM$89*$AC123),0)</f>
        <v>402</v>
      </c>
      <c r="K123" s="925">
        <f>ROUND((('1.4.조성법총괄(내부이동률 적용)'!G$47+'1.4.조성법총괄(내부이동률 적용)'!G$50*$AK$2)*$AB123)+(AN$89*$AC123),0)</f>
        <v>399</v>
      </c>
      <c r="L123" s="907">
        <f>ROUND((('1.4.조성법총괄(내부이동률 적용)'!H$47+'1.4.조성법총괄(내부이동률 적용)'!H$50*$AK$2)*$AB123)+(AO$89*$AC123),0)</f>
        <v>396</v>
      </c>
      <c r="M123" s="925">
        <f>ROUND((('1.4.조성법총괄(내부이동률 적용)'!I$47+'1.4.조성법총괄(내부이동률 적용)'!I$50*$AK$2)*$AB123)+(AP$89*$AC123),0)</f>
        <v>396</v>
      </c>
      <c r="N123" s="925">
        <f>ROUND((('1.4.조성법총괄(내부이동률 적용)'!J$47+'1.4.조성법총괄(내부이동률 적용)'!J$50*$AK$2)*$AB123)+(AQ$89*$AC123),0)</f>
        <v>395</v>
      </c>
      <c r="O123" s="925">
        <f>ROUND((('1.4.조성법총괄(내부이동률 적용)'!K$47+'1.4.조성법총괄(내부이동률 적용)'!K$50*$AK$2)*$AB123)+(AR$89*$AC123),0)</f>
        <v>395</v>
      </c>
      <c r="P123" s="925">
        <f>ROUND((('1.4.조성법총괄(내부이동률 적용)'!L$47+'1.4.조성법총괄(내부이동률 적용)'!L$50*$AK$2)*$AB123)+(AS$89*$AC123),0)</f>
        <v>394</v>
      </c>
      <c r="Q123" s="907">
        <f>ROUND((('1.4.조성법총괄(내부이동률 적용)'!M$47+'1.4.조성법총괄(내부이동률 적용)'!M$50*$AK$2)*$AB123)+(AT$89*$AC123),0)</f>
        <v>392</v>
      </c>
      <c r="R123" s="925">
        <f>ROUND((('1.4.조성법총괄(내부이동률 적용)'!N$47+'1.4.조성법총괄(내부이동률 적용)'!N$50*$AK$2)*$AB123)+(AU$89*$AC123),0)</f>
        <v>391</v>
      </c>
      <c r="S123" s="925">
        <f>ROUND((('1.4.조성법총괄(내부이동률 적용)'!O$47+'1.4.조성법총괄(내부이동률 적용)'!O$50*$AK$2)*$AB123)+(AV$89*$AC123),0)</f>
        <v>389</v>
      </c>
      <c r="T123" s="925">
        <f>ROUND((('1.4.조성법총괄(내부이동률 적용)'!P$47+'1.4.조성법총괄(내부이동률 적용)'!P$50*$AK$2)*$AB123)+(AW$89*$AC123),0)</f>
        <v>388</v>
      </c>
      <c r="U123" s="925">
        <f>ROUND((('1.4.조성법총괄(내부이동률 적용)'!Q$47+'1.4.조성법총괄(내부이동률 적용)'!Q$50*$AK$2)*$AB123)+(AX$89*$AC123),0)</f>
        <v>387</v>
      </c>
      <c r="V123" s="715">
        <f>ROUND((('1.4.조성법총괄(내부이동률 적용)'!R$47+'1.4.조성법총괄(내부이동률 적용)'!R$50*$AK$2)*$AB123)+(AY$89*$AC123),0)</f>
        <v>385</v>
      </c>
      <c r="W123" s="714">
        <f>ROUND((('1.4.조성법총괄(내부이동률 적용)'!S$47+'1.4.조성법총괄(내부이동률 적용)'!S$50*$AK$2)*$AB123)+(AZ$89*$AC123),0)</f>
        <v>384</v>
      </c>
      <c r="X123" s="714">
        <f>ROUND((('1.4.조성법총괄(내부이동률 적용)'!T$47+'1.4.조성법총괄(내부이동률 적용)'!T$50*$AK$2)*$AB123)+(BA$89*$AC123),0)</f>
        <v>382</v>
      </c>
      <c r="Y123" s="714">
        <f>ROUND((('1.4.조성법총괄(내부이동률 적용)'!U$47+'1.4.조성법총괄(내부이동률 적용)'!U$50*$AK$2)*$AB123)+(BB$89*$AC123),0)</f>
        <v>380</v>
      </c>
      <c r="Z123" s="714">
        <f>ROUND((('1.4.조성법총괄(내부이동률 적용)'!V$47+'1.4.조성법총괄(내부이동률 적용)'!V$50*$AK$2)*$AB123)+(BC$89*$AC123),0)</f>
        <v>378</v>
      </c>
      <c r="AA123" s="715">
        <f>ROUND((('1.4.조성법총괄(내부이동률 적용)'!W$47+'1.4.조성법총괄(내부이동률 적용)'!W$50*$AK$2)*$AB123)+(BD$89*$AC123),0)</f>
        <v>358</v>
      </c>
      <c r="AB123" s="936">
        <f>+H123/'1.4.조성법총괄(내부이동률 적용)'!$D$51</f>
        <v>4.23384999479871E-2</v>
      </c>
      <c r="AC123" s="934">
        <f t="shared" si="113"/>
        <v>5.8561151079136689E-2</v>
      </c>
      <c r="AD123" s="713"/>
      <c r="AE123" s="711"/>
      <c r="AF123" s="712"/>
      <c r="AG123" s="712"/>
      <c r="AH123" s="712"/>
      <c r="AI123" s="712"/>
      <c r="AJ123" s="712"/>
      <c r="AK123" s="712"/>
      <c r="AL123" s="712"/>
      <c r="AM123" s="712"/>
      <c r="AN123" s="712"/>
      <c r="AO123" s="712"/>
      <c r="AP123" s="712"/>
      <c r="AQ123" s="712"/>
      <c r="AR123" s="712"/>
      <c r="AS123" s="712"/>
      <c r="AT123" s="712"/>
      <c r="AU123" s="712"/>
      <c r="AV123" s="712"/>
      <c r="AW123" s="712"/>
      <c r="AX123" s="712"/>
      <c r="AY123" s="712"/>
      <c r="AZ123" s="712"/>
      <c r="BA123" s="712"/>
      <c r="BB123" s="712"/>
      <c r="BC123" s="712"/>
      <c r="BD123" s="712"/>
      <c r="BE123" s="712"/>
    </row>
    <row r="124" spans="1:57" ht="24" customHeight="1">
      <c r="A124" s="2640"/>
      <c r="B124" s="2669"/>
      <c r="C124" s="2669"/>
      <c r="D124" s="2635"/>
      <c r="E124" s="1238" t="s">
        <v>891</v>
      </c>
      <c r="F124" s="713"/>
      <c r="G124" s="935">
        <f>+'2014처리구역인구 정리'!I110</f>
        <v>228</v>
      </c>
      <c r="H124" s="935">
        <f>+'2014처리구역인구 정리'!J110</f>
        <v>275</v>
      </c>
      <c r="I124" s="925">
        <f>ROUND((('1.4.조성법총괄(내부이동률 적용)'!E$47+'1.4.조성법총괄(내부이동률 적용)'!E$50*$AK$2)*$AB124)+(AL$89*$AC124),0)</f>
        <v>273</v>
      </c>
      <c r="J124" s="925">
        <f>ROUND((('1.4.조성법총괄(내부이동률 적용)'!F$47+'1.4.조성법총괄(내부이동률 적용)'!F$50*$AK$2)*$AB124)+(AM$89*$AC124),0)</f>
        <v>272</v>
      </c>
      <c r="K124" s="925">
        <f>ROUND((('1.4.조성법총괄(내부이동률 적용)'!G$47+'1.4.조성법총괄(내부이동률 적용)'!G$50*$AK$2)*$AB124)+(AN$89*$AC124),0)</f>
        <v>270</v>
      </c>
      <c r="L124" s="907">
        <f>ROUND((('1.4.조성법총괄(내부이동률 적용)'!H$47+'1.4.조성법총괄(내부이동률 적용)'!H$50*$AK$2)*$AB124)+(AO$89*$AC124),0)</f>
        <v>268</v>
      </c>
      <c r="M124" s="925">
        <f>ROUND((('1.4.조성법총괄(내부이동률 적용)'!I$47+'1.4.조성법총괄(내부이동률 적용)'!I$50*$AK$2)*$AB124)+(AP$89*$AC124),0)</f>
        <v>267</v>
      </c>
      <c r="N124" s="925">
        <f>ROUND((('1.4.조성법총괄(내부이동률 적용)'!J$47+'1.4.조성법총괄(내부이동률 적용)'!J$50*$AK$2)*$AB124)+(AQ$89*$AC124),0)</f>
        <v>267</v>
      </c>
      <c r="O124" s="925">
        <f>ROUND((('1.4.조성법총괄(내부이동률 적용)'!K$47+'1.4.조성법총괄(내부이동률 적용)'!K$50*$AK$2)*$AB124)+(AR$89*$AC124),0)</f>
        <v>267</v>
      </c>
      <c r="P124" s="925">
        <f>ROUND((('1.4.조성법총괄(내부이동률 적용)'!L$47+'1.4.조성법총괄(내부이동률 적용)'!L$50*$AK$2)*$AB124)+(AS$89*$AC124),0)</f>
        <v>266</v>
      </c>
      <c r="Q124" s="907">
        <f>ROUND((('1.4.조성법총괄(내부이동률 적용)'!M$47+'1.4.조성법총괄(내부이동률 적용)'!M$50*$AK$2)*$AB124)+(AT$89*$AC124),0)</f>
        <v>265</v>
      </c>
      <c r="R124" s="925">
        <f>ROUND((('1.4.조성법총괄(내부이동률 적용)'!N$47+'1.4.조성법총괄(내부이동률 적용)'!N$50*$AK$2)*$AB124)+(AU$89*$AC124),0)</f>
        <v>264</v>
      </c>
      <c r="S124" s="925">
        <f>ROUND((('1.4.조성법총괄(내부이동률 적용)'!O$47+'1.4.조성법총괄(내부이동률 적용)'!O$50*$AK$2)*$AB124)+(AV$89*$AC124),0)</f>
        <v>263</v>
      </c>
      <c r="T124" s="925">
        <f>ROUND((('1.4.조성법총괄(내부이동률 적용)'!P$47+'1.4.조성법총괄(내부이동률 적용)'!P$50*$AK$2)*$AB124)+(AW$89*$AC124),0)</f>
        <v>262</v>
      </c>
      <c r="U124" s="925">
        <f>ROUND((('1.4.조성법총괄(내부이동률 적용)'!Q$47+'1.4.조성법총괄(내부이동률 적용)'!Q$50*$AK$2)*$AB124)+(AX$89*$AC124),0)</f>
        <v>261</v>
      </c>
      <c r="V124" s="715">
        <f>ROUND((('1.4.조성법총괄(내부이동률 적용)'!R$47+'1.4.조성법총괄(내부이동률 적용)'!R$50*$AK$2)*$AB124)+(AY$89*$AC124),0)</f>
        <v>260</v>
      </c>
      <c r="W124" s="714">
        <f>ROUND((('1.4.조성법총괄(내부이동률 적용)'!S$47+'1.4.조성법총괄(내부이동률 적용)'!S$50*$AK$2)*$AB124)+(AZ$89*$AC124),0)</f>
        <v>259</v>
      </c>
      <c r="X124" s="714">
        <f>ROUND((('1.4.조성법총괄(내부이동률 적용)'!T$47+'1.4.조성법총괄(내부이동률 적용)'!T$50*$AK$2)*$AB124)+(BA$89*$AC124),0)</f>
        <v>258</v>
      </c>
      <c r="Y124" s="714">
        <f>ROUND((('1.4.조성법총괄(내부이동률 적용)'!U$47+'1.4.조성법총괄(내부이동률 적용)'!U$50*$AK$2)*$AB124)+(BB$89*$AC124),0)</f>
        <v>257</v>
      </c>
      <c r="Z124" s="714">
        <f>ROUND((('1.4.조성법총괄(내부이동률 적용)'!V$47+'1.4.조성법총괄(내부이동률 적용)'!V$50*$AK$2)*$AB124)+(BC$89*$AC124),0)</f>
        <v>256</v>
      </c>
      <c r="AA124" s="715">
        <f>ROUND((('1.4.조성법총괄(내부이동률 적용)'!W$47+'1.4.조성법총괄(내부이동률 적용)'!W$50*$AK$2)*$AB124)+(BD$89*$AC124),0)</f>
        <v>242</v>
      </c>
      <c r="AB124" s="936">
        <f>+H124/'1.4.조성법총괄(내부이동률 적용)'!$D$51</f>
        <v>2.8607094559450742E-2</v>
      </c>
      <c r="AC124" s="934">
        <f t="shared" si="113"/>
        <v>3.9568345323741004E-2</v>
      </c>
      <c r="AD124" s="713"/>
      <c r="AE124" s="711"/>
      <c r="AF124" s="712"/>
      <c r="AG124" s="712"/>
      <c r="AH124" s="712"/>
      <c r="AI124" s="712"/>
      <c r="AJ124" s="712"/>
      <c r="AK124" s="712"/>
      <c r="AL124" s="712"/>
      <c r="AM124" s="712"/>
      <c r="AN124" s="712"/>
      <c r="AO124" s="712"/>
      <c r="AP124" s="712"/>
      <c r="AQ124" s="712"/>
      <c r="AR124" s="712"/>
      <c r="AS124" s="712"/>
      <c r="AT124" s="712"/>
      <c r="AU124" s="712"/>
      <c r="AV124" s="712"/>
      <c r="AW124" s="712"/>
      <c r="AX124" s="712"/>
      <c r="AY124" s="712"/>
      <c r="AZ124" s="712"/>
      <c r="BA124" s="712"/>
      <c r="BB124" s="712"/>
      <c r="BC124" s="712"/>
      <c r="BD124" s="712"/>
      <c r="BE124" s="712"/>
    </row>
    <row r="125" spans="1:57" ht="24" customHeight="1">
      <c r="A125" s="2640"/>
      <c r="B125" s="2669"/>
      <c r="C125" s="2669"/>
      <c r="D125" s="2635"/>
      <c r="E125" s="1238" t="s">
        <v>892</v>
      </c>
      <c r="F125" s="713"/>
      <c r="G125" s="935">
        <f>+'2014처리구역인구 정리'!I111</f>
        <v>318</v>
      </c>
      <c r="H125" s="935">
        <f>+'2014처리구역인구 정리'!J111</f>
        <v>366</v>
      </c>
      <c r="I125" s="925">
        <f>ROUND((('1.4.조성법총괄(내부이동률 적용)'!E$47+'1.4.조성법총괄(내부이동률 적용)'!E$50*$AK$2)*$AB125)+(AL$89*$AC125),0)</f>
        <v>363</v>
      </c>
      <c r="J125" s="925">
        <f>ROUND((('1.4.조성법총괄(내부이동률 적용)'!F$47+'1.4.조성법총괄(내부이동률 적용)'!F$50*$AK$2)*$AB125)+(AM$89*$AC125),0)</f>
        <v>361</v>
      </c>
      <c r="K125" s="925">
        <f>ROUND((('1.4.조성법총괄(내부이동률 적용)'!G$47+'1.4.조성법총괄(내부이동률 적용)'!G$50*$AK$2)*$AB125)+(AN$89*$AC125),0)</f>
        <v>359</v>
      </c>
      <c r="L125" s="907">
        <f>ROUND((('1.4.조성법총괄(내부이동률 적용)'!H$47+'1.4.조성법총괄(내부이동률 적용)'!H$50*$AK$2)*$AB125)+(AO$89*$AC125),0)</f>
        <v>356</v>
      </c>
      <c r="M125" s="925">
        <f>ROUND((('1.4.조성법총괄(내부이동률 적용)'!I$47+'1.4.조성법총괄(내부이동률 적용)'!I$50*$AK$2)*$AB125)+(AP$89*$AC125),0)</f>
        <v>356</v>
      </c>
      <c r="N125" s="925">
        <f>ROUND((('1.4.조성법총괄(내부이동률 적용)'!J$47+'1.4.조성법총괄(내부이동률 적용)'!J$50*$AK$2)*$AB125)+(AQ$89*$AC125),0)</f>
        <v>355</v>
      </c>
      <c r="O125" s="925">
        <f>ROUND((('1.4.조성법총괄(내부이동률 적용)'!K$47+'1.4.조성법총괄(내부이동률 적용)'!K$50*$AK$2)*$AB125)+(AR$89*$AC125),0)</f>
        <v>355</v>
      </c>
      <c r="P125" s="925">
        <f>ROUND((('1.4.조성법총괄(내부이동률 적용)'!L$47+'1.4.조성법총괄(내부이동률 적용)'!L$50*$AK$2)*$AB125)+(AS$89*$AC125),0)</f>
        <v>354</v>
      </c>
      <c r="Q125" s="907">
        <f>ROUND((('1.4.조성법총괄(내부이동률 적용)'!M$47+'1.4.조성법총괄(내부이동률 적용)'!M$50*$AK$2)*$AB125)+(AT$89*$AC125),0)</f>
        <v>352</v>
      </c>
      <c r="R125" s="925">
        <f>ROUND((('1.4.조성법총괄(내부이동률 적용)'!N$47+'1.4.조성법총괄(내부이동률 적용)'!N$50*$AK$2)*$AB125)+(AU$89*$AC125),0)</f>
        <v>351</v>
      </c>
      <c r="S125" s="925">
        <f>ROUND((('1.4.조성법총괄(내부이동률 적용)'!O$47+'1.4.조성법총괄(내부이동률 적용)'!O$50*$AK$2)*$AB125)+(AV$89*$AC125),0)</f>
        <v>350</v>
      </c>
      <c r="T125" s="925">
        <f>ROUND((('1.4.조성법총괄(내부이동률 적용)'!P$47+'1.4.조성법총괄(내부이동률 적용)'!P$50*$AK$2)*$AB125)+(AW$89*$AC125),0)</f>
        <v>349</v>
      </c>
      <c r="U125" s="925">
        <f>ROUND((('1.4.조성법총괄(내부이동률 적용)'!Q$47+'1.4.조성법총괄(내부이동률 적용)'!Q$50*$AK$2)*$AB125)+(AX$89*$AC125),0)</f>
        <v>348</v>
      </c>
      <c r="V125" s="715">
        <f>ROUND((('1.4.조성법총괄(내부이동률 적용)'!R$47+'1.4.조성법총괄(내부이동률 적용)'!R$50*$AK$2)*$AB125)+(AY$89*$AC125),0)</f>
        <v>346</v>
      </c>
      <c r="W125" s="714">
        <f>ROUND((('1.4.조성법총괄(내부이동률 적용)'!S$47+'1.4.조성법총괄(내부이동률 적용)'!S$50*$AK$2)*$AB125)+(AZ$89*$AC125),0)</f>
        <v>345</v>
      </c>
      <c r="X125" s="714">
        <f>ROUND((('1.4.조성법총괄(내부이동률 적용)'!T$47+'1.4.조성법총괄(내부이동률 적용)'!T$50*$AK$2)*$AB125)+(BA$89*$AC125),0)</f>
        <v>343</v>
      </c>
      <c r="Y125" s="714">
        <f>ROUND((('1.4.조성법총괄(내부이동률 적용)'!U$47+'1.4.조성법총괄(내부이동률 적용)'!U$50*$AK$2)*$AB125)+(BB$89*$AC125),0)</f>
        <v>342</v>
      </c>
      <c r="Z125" s="714">
        <f>ROUND((('1.4.조성법총괄(내부이동률 적용)'!V$47+'1.4.조성법총괄(내부이동률 적용)'!V$50*$AK$2)*$AB125)+(BC$89*$AC125),0)</f>
        <v>340</v>
      </c>
      <c r="AA125" s="715">
        <f>ROUND((('1.4.조성법총괄(내부이동률 적용)'!W$47+'1.4.조성법총괄(내부이동률 적용)'!W$50*$AK$2)*$AB125)+(BD$89*$AC125),0)</f>
        <v>322</v>
      </c>
      <c r="AB125" s="936">
        <f>+H125/'1.4.조성법총괄(내부이동률 적용)'!$D$51</f>
        <v>3.8073442213668991E-2</v>
      </c>
      <c r="AC125" s="934">
        <f t="shared" si="113"/>
        <v>5.2661870503597122E-2</v>
      </c>
      <c r="AD125" s="713"/>
      <c r="AE125" s="711"/>
      <c r="AF125" s="712"/>
      <c r="AG125" s="712"/>
      <c r="AH125" s="712"/>
      <c r="AI125" s="712"/>
      <c r="AJ125" s="712"/>
      <c r="AK125" s="712"/>
      <c r="AL125" s="712"/>
      <c r="AM125" s="712"/>
      <c r="AN125" s="712"/>
      <c r="AO125" s="712"/>
      <c r="AP125" s="712"/>
      <c r="AQ125" s="712"/>
      <c r="AR125" s="712"/>
      <c r="AS125" s="712"/>
      <c r="AT125" s="712"/>
      <c r="AU125" s="712"/>
      <c r="AV125" s="712"/>
      <c r="AW125" s="712"/>
      <c r="AX125" s="712"/>
      <c r="AY125" s="712"/>
      <c r="AZ125" s="712"/>
      <c r="BA125" s="712"/>
      <c r="BB125" s="712"/>
      <c r="BC125" s="712"/>
      <c r="BD125" s="712"/>
      <c r="BE125" s="712"/>
    </row>
    <row r="126" spans="1:57" ht="24" customHeight="1">
      <c r="A126" s="2640"/>
      <c r="B126" s="2669"/>
      <c r="C126" s="2669"/>
      <c r="D126" s="2635"/>
      <c r="E126" s="1238" t="s">
        <v>893</v>
      </c>
      <c r="F126" s="713"/>
      <c r="G126" s="935">
        <f>+'2014처리구역인구 정리'!I112</f>
        <v>395</v>
      </c>
      <c r="H126" s="935">
        <f>+'2014처리구역인구 정리'!J112</f>
        <v>520</v>
      </c>
      <c r="I126" s="925">
        <f>ROUND((('1.4.조성법총괄(내부이동률 적용)'!E$47+'1.4.조성법총괄(내부이동률 적용)'!E$50*$AK$2)*$AB126)+(AL$89*$AC126),0)</f>
        <v>516</v>
      </c>
      <c r="J126" s="925">
        <f>ROUND((('1.4.조성법총괄(내부이동률 적용)'!F$47+'1.4.조성법총괄(내부이동률 적용)'!F$50*$AK$2)*$AB126)+(AM$89*$AC126),0)</f>
        <v>514</v>
      </c>
      <c r="K126" s="925">
        <f>ROUND((('1.4.조성법총괄(내부이동률 적용)'!G$47+'1.4.조성법총괄(내부이동률 적용)'!G$50*$AK$2)*$AB126)+(AN$89*$AC126),0)</f>
        <v>510</v>
      </c>
      <c r="L126" s="907">
        <f>ROUND((('1.4.조성법총괄(내부이동률 적용)'!H$47+'1.4.조성법총괄(내부이동률 적용)'!H$50*$AK$2)*$AB126)+(AO$89*$AC126),0)</f>
        <v>506</v>
      </c>
      <c r="M126" s="925">
        <f>ROUND((('1.4.조성법총괄(내부이동률 적용)'!I$47+'1.4.조성법총괄(내부이동률 적용)'!I$50*$AK$2)*$AB126)+(AP$89*$AC126),0)</f>
        <v>506</v>
      </c>
      <c r="N126" s="925">
        <f>ROUND((('1.4.조성법총괄(내부이동률 적용)'!J$47+'1.4.조성법총괄(내부이동률 적용)'!J$50*$AK$2)*$AB126)+(AQ$89*$AC126),0)</f>
        <v>505</v>
      </c>
      <c r="O126" s="925">
        <f>ROUND((('1.4.조성법총괄(내부이동률 적용)'!K$47+'1.4.조성법총괄(내부이동률 적용)'!K$50*$AK$2)*$AB126)+(AR$89*$AC126),0)</f>
        <v>504</v>
      </c>
      <c r="P126" s="925">
        <f>ROUND((('1.4.조성법총괄(내부이동률 적용)'!L$47+'1.4.조성법총괄(내부이동률 적용)'!L$50*$AK$2)*$AB126)+(AS$89*$AC126),0)</f>
        <v>503</v>
      </c>
      <c r="Q126" s="907">
        <f>ROUND((('1.4.조성법총괄(내부이동률 적용)'!M$47+'1.4.조성법총괄(내부이동률 적용)'!M$50*$AK$2)*$AB126)+(AT$89*$AC126),0)</f>
        <v>501</v>
      </c>
      <c r="R126" s="925">
        <f>ROUND((('1.4.조성법총괄(내부이동률 적용)'!N$47+'1.4.조성법총괄(내부이동률 적용)'!N$50*$AK$2)*$AB126)+(AU$89*$AC126),0)</f>
        <v>499</v>
      </c>
      <c r="S126" s="925">
        <f>ROUND((('1.4.조성법총괄(내부이동률 적용)'!O$47+'1.4.조성법총괄(내부이동률 적용)'!O$50*$AK$2)*$AB126)+(AV$89*$AC126),0)</f>
        <v>497</v>
      </c>
      <c r="T126" s="925">
        <f>ROUND((('1.4.조성법총괄(내부이동률 적용)'!P$47+'1.4.조성법총괄(내부이동률 적용)'!P$50*$AK$2)*$AB126)+(AW$89*$AC126),0)</f>
        <v>496</v>
      </c>
      <c r="U126" s="925">
        <f>ROUND((('1.4.조성법총괄(내부이동률 적용)'!Q$47+'1.4.조성법총괄(내부이동률 적용)'!Q$50*$AK$2)*$AB126)+(AX$89*$AC126),0)</f>
        <v>494</v>
      </c>
      <c r="V126" s="715">
        <f>ROUND((('1.4.조성법총괄(내부이동률 적용)'!R$47+'1.4.조성법총괄(내부이동률 적용)'!R$50*$AK$2)*$AB126)+(AY$89*$AC126),0)</f>
        <v>492</v>
      </c>
      <c r="W126" s="714">
        <f>ROUND((('1.4.조성법총괄(내부이동률 적용)'!S$47+'1.4.조성법총괄(내부이동률 적용)'!S$50*$AK$2)*$AB126)+(AZ$89*$AC126),0)</f>
        <v>490</v>
      </c>
      <c r="X126" s="714">
        <f>ROUND((('1.4.조성법총괄(내부이동률 적용)'!T$47+'1.4.조성법총괄(내부이동률 적용)'!T$50*$AK$2)*$AB126)+(BA$89*$AC126),0)</f>
        <v>488</v>
      </c>
      <c r="Y126" s="714">
        <f>ROUND((('1.4.조성법총괄(내부이동률 적용)'!U$47+'1.4.조성법총괄(내부이동률 적용)'!U$50*$AK$2)*$AB126)+(BB$89*$AC126),0)</f>
        <v>486</v>
      </c>
      <c r="Z126" s="714">
        <f>ROUND((('1.4.조성법총괄(내부이동률 적용)'!V$47+'1.4.조성법총괄(내부이동률 적용)'!V$50*$AK$2)*$AB126)+(BC$89*$AC126),0)</f>
        <v>483</v>
      </c>
      <c r="AA126" s="715">
        <f>ROUND((('1.4.조성법총괄(내부이동률 적용)'!W$47+'1.4.조성법총괄(내부이동률 적용)'!W$50*$AK$2)*$AB126)+(BD$89*$AC126),0)</f>
        <v>457</v>
      </c>
      <c r="AB126" s="936">
        <f>+H126/'1.4.조성법총괄(내부이동률 적용)'!$D$51</f>
        <v>5.4093415166961409E-2</v>
      </c>
      <c r="AC126" s="934">
        <f t="shared" si="113"/>
        <v>7.4820143884892082E-2</v>
      </c>
      <c r="AD126" s="713"/>
      <c r="AE126" s="711"/>
      <c r="AF126" s="712"/>
      <c r="AG126" s="712"/>
      <c r="AH126" s="712"/>
      <c r="AI126" s="712"/>
      <c r="AJ126" s="712"/>
      <c r="AK126" s="712"/>
      <c r="AL126" s="712"/>
      <c r="AM126" s="712"/>
      <c r="AN126" s="712"/>
      <c r="AO126" s="712"/>
      <c r="AP126" s="712"/>
      <c r="AQ126" s="712"/>
      <c r="AR126" s="712"/>
      <c r="AS126" s="712"/>
      <c r="AT126" s="712"/>
      <c r="AU126" s="712"/>
      <c r="AV126" s="712"/>
      <c r="AW126" s="712"/>
      <c r="AX126" s="712"/>
      <c r="AY126" s="712"/>
      <c r="AZ126" s="712"/>
      <c r="BA126" s="712"/>
      <c r="BB126" s="712"/>
      <c r="BC126" s="712"/>
      <c r="BD126" s="712"/>
      <c r="BE126" s="712"/>
    </row>
    <row r="127" spans="1:57" ht="24" customHeight="1">
      <c r="A127" s="2640"/>
      <c r="B127" s="2669"/>
      <c r="C127" s="2669"/>
      <c r="D127" s="2635"/>
      <c r="E127" s="1238" t="s">
        <v>894</v>
      </c>
      <c r="F127" s="713"/>
      <c r="G127" s="935">
        <f>+'2014처리구역인구 정리'!I113</f>
        <v>223</v>
      </c>
      <c r="H127" s="935">
        <f>+'2014처리구역인구 정리'!J113</f>
        <v>278</v>
      </c>
      <c r="I127" s="925">
        <f>ROUND((('1.4.조성법총괄(내부이동률 적용)'!E$47+'1.4.조성법총괄(내부이동률 적용)'!E$50*$AK$2)*$AB127)+(AL$89*$AC127),0)</f>
        <v>276</v>
      </c>
      <c r="J127" s="925">
        <f>ROUND((('1.4.조성법총괄(내부이동률 적용)'!F$47+'1.4.조성법총괄(내부이동률 적용)'!F$50*$AK$2)*$AB127)+(AM$89*$AC127),0)</f>
        <v>275</v>
      </c>
      <c r="K127" s="925">
        <f>ROUND((('1.4.조성법총괄(내부이동률 적용)'!G$47+'1.4.조성법총괄(내부이동률 적용)'!G$50*$AK$2)*$AB127)+(AN$89*$AC127),0)</f>
        <v>273</v>
      </c>
      <c r="L127" s="907">
        <f>ROUND((('1.4.조성법총괄(내부이동률 적용)'!H$47+'1.4.조성법총괄(내부이동률 적용)'!H$50*$AK$2)*$AB127)+(AO$89*$AC127),0)</f>
        <v>271</v>
      </c>
      <c r="M127" s="925">
        <f>ROUND((('1.4.조성법총괄(내부이동률 적용)'!I$47+'1.4.조성법총괄(내부이동률 적용)'!I$50*$AK$2)*$AB127)+(AP$89*$AC127),0)</f>
        <v>270</v>
      </c>
      <c r="N127" s="925">
        <f>ROUND((('1.4.조성법총괄(내부이동률 적용)'!J$47+'1.4.조성법총괄(내부이동률 적용)'!J$50*$AK$2)*$AB127)+(AQ$89*$AC127),0)</f>
        <v>270</v>
      </c>
      <c r="O127" s="925">
        <f>ROUND((('1.4.조성법총괄(내부이동률 적용)'!K$47+'1.4.조성법총괄(내부이동률 적용)'!K$50*$AK$2)*$AB127)+(AR$89*$AC127),0)</f>
        <v>270</v>
      </c>
      <c r="P127" s="925">
        <f>ROUND((('1.4.조성법총괄(내부이동률 적용)'!L$47+'1.4.조성법총괄(내부이동률 적용)'!L$50*$AK$2)*$AB127)+(AS$89*$AC127),0)</f>
        <v>269</v>
      </c>
      <c r="Q127" s="907">
        <f>ROUND((('1.4.조성법총괄(내부이동률 적용)'!M$47+'1.4.조성법총괄(내부이동률 적용)'!M$50*$AK$2)*$AB127)+(AT$89*$AC127),0)</f>
        <v>268</v>
      </c>
      <c r="R127" s="925">
        <f>ROUND((('1.4.조성법총괄(내부이동률 적용)'!N$47+'1.4.조성법총괄(내부이동률 적용)'!N$50*$AK$2)*$AB127)+(AU$89*$AC127),0)</f>
        <v>267</v>
      </c>
      <c r="S127" s="925">
        <f>ROUND((('1.4.조성법총괄(내부이동률 적용)'!O$47+'1.4.조성법총괄(내부이동률 적용)'!O$50*$AK$2)*$AB127)+(AV$89*$AC127),0)</f>
        <v>266</v>
      </c>
      <c r="T127" s="925">
        <f>ROUND((('1.4.조성법총괄(내부이동률 적용)'!P$47+'1.4.조성법총괄(내부이동률 적용)'!P$50*$AK$2)*$AB127)+(AW$89*$AC127),0)</f>
        <v>265</v>
      </c>
      <c r="U127" s="925">
        <f>ROUND((('1.4.조성법총괄(내부이동률 적용)'!Q$47+'1.4.조성법총괄(내부이동률 적용)'!Q$50*$AK$2)*$AB127)+(AX$89*$AC127),0)</f>
        <v>264</v>
      </c>
      <c r="V127" s="715">
        <f>ROUND((('1.4.조성법총괄(내부이동률 적용)'!R$47+'1.4.조성법총괄(내부이동률 적용)'!R$50*$AK$2)*$AB127)+(AY$89*$AC127),0)</f>
        <v>263</v>
      </c>
      <c r="W127" s="714">
        <f>ROUND((('1.4.조성법총괄(내부이동률 적용)'!S$47+'1.4.조성법총괄(내부이동률 적용)'!S$50*$AK$2)*$AB127)+(AZ$89*$AC127),0)</f>
        <v>262</v>
      </c>
      <c r="X127" s="714">
        <f>ROUND((('1.4.조성법총괄(내부이동률 적용)'!T$47+'1.4.조성법총괄(내부이동률 적용)'!T$50*$AK$2)*$AB127)+(BA$89*$AC127),0)</f>
        <v>261</v>
      </c>
      <c r="Y127" s="714">
        <f>ROUND((('1.4.조성법총괄(내부이동률 적용)'!U$47+'1.4.조성법총괄(내부이동률 적용)'!U$50*$AK$2)*$AB127)+(BB$89*$AC127),0)</f>
        <v>260</v>
      </c>
      <c r="Z127" s="714">
        <f>ROUND((('1.4.조성법총괄(내부이동률 적용)'!V$47+'1.4.조성법총괄(내부이동률 적용)'!V$50*$AK$2)*$AB127)+(BC$89*$AC127),0)</f>
        <v>258</v>
      </c>
      <c r="AA127" s="715">
        <f>ROUND((('1.4.조성법총괄(내부이동률 적용)'!W$47+'1.4.조성법총괄(내부이동률 적용)'!W$50*$AK$2)*$AB127)+(BD$89*$AC127),0)</f>
        <v>244</v>
      </c>
      <c r="AB127" s="936">
        <f>+H127/'1.4.조성법총괄(내부이동률 적용)'!$D$51</f>
        <v>2.8919171954644753E-2</v>
      </c>
      <c r="AC127" s="934">
        <f t="shared" si="113"/>
        <v>0.04</v>
      </c>
      <c r="AD127" s="713"/>
      <c r="AE127" s="711"/>
      <c r="AF127" s="712"/>
      <c r="AG127" s="712"/>
      <c r="AH127" s="712"/>
      <c r="AI127" s="712"/>
      <c r="AJ127" s="712"/>
      <c r="AK127" s="712"/>
      <c r="AL127" s="712"/>
      <c r="AM127" s="712"/>
      <c r="AN127" s="712"/>
      <c r="AO127" s="712"/>
      <c r="AP127" s="712"/>
      <c r="AQ127" s="712"/>
      <c r="AR127" s="712"/>
      <c r="AS127" s="712"/>
      <c r="AT127" s="712"/>
      <c r="AU127" s="712"/>
      <c r="AV127" s="712"/>
      <c r="AW127" s="712"/>
      <c r="AX127" s="712"/>
      <c r="AY127" s="712"/>
      <c r="AZ127" s="712"/>
      <c r="BA127" s="712"/>
      <c r="BB127" s="712"/>
      <c r="BC127" s="712"/>
      <c r="BD127" s="712"/>
      <c r="BE127" s="712"/>
    </row>
    <row r="128" spans="1:57" ht="24" customHeight="1">
      <c r="A128" s="2640"/>
      <c r="B128" s="2669"/>
      <c r="C128" s="2669"/>
      <c r="D128" s="2635"/>
      <c r="E128" s="1238" t="s">
        <v>895</v>
      </c>
      <c r="F128" s="713"/>
      <c r="G128" s="935">
        <f>+'2014처리구역인구 정리'!I114</f>
        <v>82</v>
      </c>
      <c r="H128" s="935">
        <f>+'2014처리구역인구 정리'!J114</f>
        <v>94</v>
      </c>
      <c r="I128" s="925">
        <f>ROUND((('1.4.조성법총괄(내부이동률 적용)'!E$47+'1.4.조성법총괄(내부이동률 적용)'!E$50*$AK$2)*$AB128)+(AL$89*$AC128),0)</f>
        <v>93</v>
      </c>
      <c r="J128" s="925">
        <f>ROUND((('1.4.조성법총괄(내부이동률 적용)'!F$47+'1.4.조성법총괄(내부이동률 적용)'!F$50*$AK$2)*$AB128)+(AM$89*$AC128),0)</f>
        <v>93</v>
      </c>
      <c r="K128" s="925">
        <f>ROUND((('1.4.조성법총괄(내부이동률 적용)'!G$47+'1.4.조성법총괄(내부이동률 적용)'!G$50*$AK$2)*$AB128)+(AN$89*$AC128),0)</f>
        <v>92</v>
      </c>
      <c r="L128" s="907">
        <f>ROUND((('1.4.조성법총괄(내부이동률 적용)'!H$47+'1.4.조성법총괄(내부이동률 적용)'!H$50*$AK$2)*$AB128)+(AO$89*$AC128),0)</f>
        <v>92</v>
      </c>
      <c r="M128" s="925">
        <f>ROUND((('1.4.조성법총괄(내부이동률 적용)'!I$47+'1.4.조성법총괄(내부이동률 적용)'!I$50*$AK$2)*$AB128)+(AP$89*$AC128),0)</f>
        <v>91</v>
      </c>
      <c r="N128" s="925">
        <f>ROUND((('1.4.조성법총괄(내부이동률 적용)'!J$47+'1.4.조성법총괄(내부이동률 적용)'!J$50*$AK$2)*$AB128)+(AQ$89*$AC128),0)</f>
        <v>91</v>
      </c>
      <c r="O128" s="925">
        <f>ROUND((('1.4.조성법총괄(내부이동률 적용)'!K$47+'1.4.조성법총괄(내부이동률 적용)'!K$50*$AK$2)*$AB128)+(AR$89*$AC128),0)</f>
        <v>91</v>
      </c>
      <c r="P128" s="925">
        <f>ROUND((('1.4.조성법총괄(내부이동률 적용)'!L$47+'1.4.조성법총괄(내부이동률 적용)'!L$50*$AK$2)*$AB128)+(AS$89*$AC128),0)</f>
        <v>91</v>
      </c>
      <c r="Q128" s="907">
        <f>ROUND((('1.4.조성법총괄(내부이동률 적용)'!M$47+'1.4.조성법총괄(내부이동률 적용)'!M$50*$AK$2)*$AB128)+(AT$89*$AC128),0)</f>
        <v>90</v>
      </c>
      <c r="R128" s="925">
        <f>ROUND((('1.4.조성법총괄(내부이동률 적용)'!N$47+'1.4.조성법총괄(내부이동률 적용)'!N$50*$AK$2)*$AB128)+(AU$89*$AC128),0)</f>
        <v>90</v>
      </c>
      <c r="S128" s="925">
        <f>ROUND((('1.4.조성법총괄(내부이동률 적용)'!O$47+'1.4.조성법총괄(내부이동률 적용)'!O$50*$AK$2)*$AB128)+(AV$89*$AC128),0)</f>
        <v>90</v>
      </c>
      <c r="T128" s="925">
        <f>ROUND((('1.4.조성법총괄(내부이동률 적용)'!P$47+'1.4.조성법총괄(내부이동률 적용)'!P$50*$AK$2)*$AB128)+(AW$89*$AC128),0)</f>
        <v>90</v>
      </c>
      <c r="U128" s="925">
        <f>ROUND((('1.4.조성법총괄(내부이동률 적용)'!Q$47+'1.4.조성법총괄(내부이동률 적용)'!Q$50*$AK$2)*$AB128)+(AX$89*$AC128),0)</f>
        <v>89</v>
      </c>
      <c r="V128" s="715">
        <f>ROUND((('1.4.조성법총괄(내부이동률 적용)'!R$47+'1.4.조성법총괄(내부이동률 적용)'!R$50*$AK$2)*$AB128)+(AY$89*$AC128),0)</f>
        <v>89</v>
      </c>
      <c r="W128" s="714">
        <f>ROUND((('1.4.조성법총괄(내부이동률 적용)'!S$47+'1.4.조성법총괄(내부이동률 적용)'!S$50*$AK$2)*$AB128)+(AZ$89*$AC128),0)</f>
        <v>89</v>
      </c>
      <c r="X128" s="714">
        <f>ROUND((('1.4.조성법총괄(내부이동률 적용)'!T$47+'1.4.조성법총괄(내부이동률 적용)'!T$50*$AK$2)*$AB128)+(BA$89*$AC128),0)</f>
        <v>88</v>
      </c>
      <c r="Y128" s="714">
        <f>ROUND((('1.4.조성법총괄(내부이동률 적용)'!U$47+'1.4.조성법총괄(내부이동률 적용)'!U$50*$AK$2)*$AB128)+(BB$89*$AC128),0)</f>
        <v>88</v>
      </c>
      <c r="Z128" s="714">
        <f>ROUND((('1.4.조성법총괄(내부이동률 적용)'!V$47+'1.4.조성법총괄(내부이동률 적용)'!V$50*$AK$2)*$AB128)+(BC$89*$AC128),0)</f>
        <v>87</v>
      </c>
      <c r="AA128" s="715">
        <f>ROUND((('1.4.조성법총괄(내부이동률 적용)'!W$47+'1.4.조성법총괄(내부이동률 적용)'!W$50*$AK$2)*$AB128)+(BD$89*$AC128),0)</f>
        <v>83</v>
      </c>
      <c r="AB128" s="936">
        <f>+H128/'1.4.조성법총괄(내부이동률 적용)'!$D$51</f>
        <v>9.7784250494122541E-3</v>
      </c>
      <c r="AC128" s="934">
        <f t="shared" si="113"/>
        <v>1.3525179856115108E-2</v>
      </c>
      <c r="AD128" s="713"/>
      <c r="AE128" s="711"/>
      <c r="AF128" s="712"/>
      <c r="AG128" s="712"/>
      <c r="AH128" s="712"/>
      <c r="AI128" s="712"/>
      <c r="AJ128" s="712"/>
      <c r="AK128" s="712"/>
      <c r="AL128" s="712"/>
      <c r="AM128" s="712"/>
      <c r="AN128" s="712"/>
      <c r="AO128" s="712"/>
      <c r="AP128" s="712"/>
      <c r="AQ128" s="712"/>
      <c r="AR128" s="712"/>
      <c r="AS128" s="712"/>
      <c r="AT128" s="712"/>
      <c r="AU128" s="712"/>
      <c r="AV128" s="712"/>
      <c r="AW128" s="712"/>
      <c r="AX128" s="712"/>
      <c r="AY128" s="712"/>
      <c r="AZ128" s="712"/>
      <c r="BA128" s="712"/>
      <c r="BB128" s="712"/>
      <c r="BC128" s="712"/>
      <c r="BD128" s="712"/>
      <c r="BE128" s="712"/>
    </row>
    <row r="129" spans="1:57" ht="24" customHeight="1">
      <c r="A129" s="2640"/>
      <c r="B129" s="2669"/>
      <c r="C129" s="2669"/>
      <c r="D129" s="2635"/>
      <c r="E129" s="1238" t="s">
        <v>1272</v>
      </c>
      <c r="F129" s="713"/>
      <c r="G129" s="935">
        <f>+'2014처리구역인구 정리'!I115</f>
        <v>297</v>
      </c>
      <c r="H129" s="935">
        <f>+'2014처리구역인구 정리'!J115</f>
        <v>341</v>
      </c>
      <c r="I129" s="925">
        <f>ROUND((('1.4.조성법총괄(내부이동률 적용)'!E$47+'1.4.조성법총괄(내부이동률 적용)'!E$50*$AK$2)*$AB129)+(AL$89*$AC129),0)</f>
        <v>339</v>
      </c>
      <c r="J129" s="925">
        <f>ROUND((('1.4.조성법총괄(내부이동률 적용)'!F$47+'1.4.조성법총괄(내부이동률 적용)'!F$50*$AK$2)*$AB129)+(AM$89*$AC129),0)</f>
        <v>337</v>
      </c>
      <c r="K129" s="925">
        <f>ROUND((('1.4.조성법총괄(내부이동률 적용)'!G$47+'1.4.조성법총괄(내부이동률 적용)'!G$50*$AK$2)*$AB129)+(AN$89*$AC129),0)</f>
        <v>335</v>
      </c>
      <c r="L129" s="907">
        <f>ROUND((('1.4.조성법총괄(내부이동률 적용)'!H$47+'1.4.조성법총괄(내부이동률 적용)'!H$50*$AK$2)*$AB129)+(AO$89*$AC129),0)</f>
        <v>332</v>
      </c>
      <c r="M129" s="925">
        <f>ROUND((('1.4.조성법총괄(내부이동률 적용)'!I$47+'1.4.조성법총괄(내부이동률 적용)'!I$50*$AK$2)*$AB129)+(AP$89*$AC129),0)</f>
        <v>332</v>
      </c>
      <c r="N129" s="925">
        <f>ROUND((('1.4.조성법총괄(내부이동률 적용)'!J$47+'1.4.조성법총괄(내부이동률 적용)'!J$50*$AK$2)*$AB129)+(AQ$89*$AC129),0)</f>
        <v>331</v>
      </c>
      <c r="O129" s="925">
        <f>ROUND((('1.4.조성법총괄(내부이동률 적용)'!K$47+'1.4.조성법총괄(내부이동률 적용)'!K$50*$AK$2)*$AB129)+(AR$89*$AC129),0)</f>
        <v>331</v>
      </c>
      <c r="P129" s="925">
        <f>ROUND((('1.4.조성법총괄(내부이동률 적용)'!L$47+'1.4.조성법총괄(내부이동률 적용)'!L$50*$AK$2)*$AB129)+(AS$89*$AC129),0)</f>
        <v>330</v>
      </c>
      <c r="Q129" s="907">
        <f>ROUND((('1.4.조성법총괄(내부이동률 적용)'!M$47+'1.4.조성법총괄(내부이동률 적용)'!M$50*$AK$2)*$AB129)+(AT$89*$AC129),0)</f>
        <v>328</v>
      </c>
      <c r="R129" s="925">
        <f>ROUND((('1.4.조성법총괄(내부이동률 적용)'!N$47+'1.4.조성법총괄(내부이동률 적용)'!N$50*$AK$2)*$AB129)+(AU$89*$AC129),0)</f>
        <v>327</v>
      </c>
      <c r="S129" s="925">
        <f>ROUND((('1.4.조성법총괄(내부이동률 적용)'!O$47+'1.4.조성법총괄(내부이동률 적용)'!O$50*$AK$2)*$AB129)+(AV$89*$AC129),0)</f>
        <v>326</v>
      </c>
      <c r="T129" s="925">
        <f>ROUND((('1.4.조성법총괄(내부이동률 적용)'!P$47+'1.4.조성법총괄(내부이동률 적용)'!P$50*$AK$2)*$AB129)+(AW$89*$AC129),0)</f>
        <v>325</v>
      </c>
      <c r="U129" s="925">
        <f>ROUND((('1.4.조성법총괄(내부이동률 적용)'!Q$47+'1.4.조성법총괄(내부이동률 적용)'!Q$50*$AK$2)*$AB129)+(AX$89*$AC129),0)</f>
        <v>324</v>
      </c>
      <c r="V129" s="715">
        <f>ROUND((('1.4.조성법총괄(내부이동률 적용)'!R$47+'1.4.조성법총괄(내부이동률 적용)'!R$50*$AK$2)*$AB129)+(AY$89*$AC129),0)</f>
        <v>323</v>
      </c>
      <c r="W129" s="714">
        <f>ROUND((('1.4.조성법총괄(내부이동률 적용)'!S$47+'1.4.조성법총괄(내부이동률 적용)'!S$50*$AK$2)*$AB129)+(AZ$89*$AC129),0)</f>
        <v>321</v>
      </c>
      <c r="X129" s="714">
        <f>ROUND((('1.4.조성법총괄(내부이동률 적용)'!T$47+'1.4.조성법총괄(내부이동률 적용)'!T$50*$AK$2)*$AB129)+(BA$89*$AC129),0)</f>
        <v>320</v>
      </c>
      <c r="Y129" s="714">
        <f>ROUND((('1.4.조성법총괄(내부이동률 적용)'!U$47+'1.4.조성법총괄(내부이동률 적용)'!U$50*$AK$2)*$AB129)+(BB$89*$AC129),0)</f>
        <v>318</v>
      </c>
      <c r="Z129" s="714">
        <f>ROUND((('1.4.조성법총괄(내부이동률 적용)'!V$47+'1.4.조성법총괄(내부이동률 적용)'!V$50*$AK$2)*$AB129)+(BC$89*$AC129),0)</f>
        <v>317</v>
      </c>
      <c r="AA129" s="715">
        <f>ROUND((('1.4.조성법총괄(내부이동률 적용)'!W$47+'1.4.조성법총괄(내부이동률 적용)'!W$50*$AK$2)*$AB129)+(BD$89*$AC129),0)</f>
        <v>300</v>
      </c>
      <c r="AB129" s="936">
        <f>+H129/'1.4.조성법총괄(내부이동률 적용)'!$D$51</f>
        <v>3.5472797253718921E-2</v>
      </c>
      <c r="AC129" s="934">
        <f t="shared" si="113"/>
        <v>4.906474820143885E-2</v>
      </c>
      <c r="AD129" s="713"/>
      <c r="AE129" s="711"/>
      <c r="AF129" s="712"/>
      <c r="AG129" s="712"/>
      <c r="AH129" s="712"/>
      <c r="AI129" s="712"/>
      <c r="AJ129" s="712"/>
      <c r="AK129" s="712"/>
      <c r="AL129" s="712"/>
      <c r="AM129" s="712"/>
      <c r="AN129" s="712"/>
      <c r="AO129" s="712"/>
      <c r="AP129" s="712"/>
      <c r="AQ129" s="712"/>
      <c r="AR129" s="712"/>
      <c r="AS129" s="712"/>
      <c r="AT129" s="712"/>
      <c r="AU129" s="712"/>
      <c r="AV129" s="712"/>
      <c r="AW129" s="712"/>
      <c r="AX129" s="712"/>
      <c r="AY129" s="712"/>
      <c r="AZ129" s="712"/>
      <c r="BA129" s="712"/>
      <c r="BB129" s="712"/>
      <c r="BC129" s="712"/>
      <c r="BD129" s="712"/>
      <c r="BE129" s="712"/>
    </row>
    <row r="130" spans="1:57" ht="24" customHeight="1">
      <c r="A130" s="2640"/>
      <c r="B130" s="2669"/>
      <c r="C130" s="2669"/>
      <c r="D130" s="2635"/>
      <c r="E130" s="1238" t="s">
        <v>897</v>
      </c>
      <c r="F130" s="713"/>
      <c r="G130" s="935">
        <f>+'2014처리구역인구 정리'!I116</f>
        <v>334</v>
      </c>
      <c r="H130" s="935">
        <f>+'2014처리구역인구 정리'!J116</f>
        <v>394</v>
      </c>
      <c r="I130" s="925">
        <f>ROUND((('1.4.조성법총괄(내부이동률 적용)'!E$47+'1.4.조성법총괄(내부이동률 적용)'!E$50*$AK$2)*$AB130)+(AL$89*$AC130),0)</f>
        <v>391</v>
      </c>
      <c r="J130" s="925">
        <f>ROUND((('1.4.조성법총괄(내부이동률 적용)'!F$47+'1.4.조성법총괄(내부이동률 적용)'!F$50*$AK$2)*$AB130)+(AM$89*$AC130),0)</f>
        <v>389</v>
      </c>
      <c r="K130" s="925">
        <f>ROUND((('1.4.조성법총괄(내부이동률 적용)'!G$47+'1.4.조성법총괄(내부이동률 적용)'!G$50*$AK$2)*$AB130)+(AN$89*$AC130),0)</f>
        <v>387</v>
      </c>
      <c r="L130" s="907">
        <f>ROUND((('1.4.조성법총괄(내부이동률 적용)'!H$47+'1.4.조성법총괄(내부이동률 적용)'!H$50*$AK$2)*$AB130)+(AO$89*$AC130),0)</f>
        <v>384</v>
      </c>
      <c r="M130" s="925">
        <f>ROUND((('1.4.조성법총괄(내부이동률 적용)'!I$47+'1.4.조성법총괄(내부이동률 적용)'!I$50*$AK$2)*$AB130)+(AP$89*$AC130),0)</f>
        <v>383</v>
      </c>
      <c r="N130" s="925">
        <f>ROUND((('1.4.조성법총괄(내부이동률 적용)'!J$47+'1.4.조성법총괄(내부이동률 적용)'!J$50*$AK$2)*$AB130)+(AQ$89*$AC130),0)</f>
        <v>383</v>
      </c>
      <c r="O130" s="925">
        <f>ROUND((('1.4.조성법총괄(내부이동률 적용)'!K$47+'1.4.조성법총괄(내부이동률 적용)'!K$50*$AK$2)*$AB130)+(AR$89*$AC130),0)</f>
        <v>382</v>
      </c>
      <c r="P130" s="925">
        <f>ROUND((('1.4.조성법총괄(내부이동률 적용)'!L$47+'1.4.조성법총괄(내부이동률 적용)'!L$50*$AK$2)*$AB130)+(AS$89*$AC130),0)</f>
        <v>381</v>
      </c>
      <c r="Q130" s="907">
        <f>ROUND((('1.4.조성법총괄(내부이동률 적용)'!M$47+'1.4.조성법총괄(내부이동률 적용)'!M$50*$AK$2)*$AB130)+(AT$89*$AC130),0)</f>
        <v>379</v>
      </c>
      <c r="R130" s="925">
        <f>ROUND((('1.4.조성법총괄(내부이동률 적용)'!N$47+'1.4.조성법총괄(내부이동률 적용)'!N$50*$AK$2)*$AB130)+(AU$89*$AC130),0)</f>
        <v>378</v>
      </c>
      <c r="S130" s="925">
        <f>ROUND((('1.4.조성법총괄(내부이동률 적용)'!O$47+'1.4.조성법총괄(내부이동률 적용)'!O$50*$AK$2)*$AB130)+(AV$89*$AC130),0)</f>
        <v>377</v>
      </c>
      <c r="T130" s="925">
        <f>ROUND((('1.4.조성법총괄(내부이동률 적용)'!P$47+'1.4.조성법총괄(내부이동률 적용)'!P$50*$AK$2)*$AB130)+(AW$89*$AC130),0)</f>
        <v>375</v>
      </c>
      <c r="U130" s="925">
        <f>ROUND((('1.4.조성법총괄(내부이동률 적용)'!Q$47+'1.4.조성법총괄(내부이동률 적용)'!Q$50*$AK$2)*$AB130)+(AX$89*$AC130),0)</f>
        <v>374</v>
      </c>
      <c r="V130" s="715">
        <f>ROUND((('1.4.조성법총괄(내부이동률 적용)'!R$47+'1.4.조성법총괄(내부이동률 적용)'!R$50*$AK$2)*$AB130)+(AY$89*$AC130),0)</f>
        <v>373</v>
      </c>
      <c r="W130" s="714">
        <f>ROUND((('1.4.조성법총괄(내부이동률 적용)'!S$47+'1.4.조성법총괄(내부이동률 적용)'!S$50*$AK$2)*$AB130)+(AZ$89*$AC130),0)</f>
        <v>371</v>
      </c>
      <c r="X130" s="714">
        <f>ROUND((('1.4.조성법총괄(내부이동률 적용)'!T$47+'1.4.조성법총괄(내부이동률 적용)'!T$50*$AK$2)*$AB130)+(BA$89*$AC130),0)</f>
        <v>370</v>
      </c>
      <c r="Y130" s="714">
        <f>ROUND((('1.4.조성법총괄(내부이동률 적용)'!U$47+'1.4.조성법총괄(내부이동률 적용)'!U$50*$AK$2)*$AB130)+(BB$89*$AC130),0)</f>
        <v>368</v>
      </c>
      <c r="Z130" s="714">
        <f>ROUND((('1.4.조성법총괄(내부이동률 적용)'!V$47+'1.4.조성법총괄(내부이동률 적용)'!V$50*$AK$2)*$AB130)+(BC$89*$AC130),0)</f>
        <v>366</v>
      </c>
      <c r="AA130" s="715">
        <f>ROUND((('1.4.조성법총괄(내부이동률 적용)'!W$47+'1.4.조성법총괄(내부이동률 적용)'!W$50*$AK$2)*$AB130)+(BD$89*$AC130),0)</f>
        <v>346</v>
      </c>
      <c r="AB130" s="936">
        <f>+H130/'1.4.조성법총괄(내부이동률 적용)'!$D$51</f>
        <v>4.0986164568813065E-2</v>
      </c>
      <c r="AC130" s="934">
        <f t="shared" si="113"/>
        <v>5.669064748201439E-2</v>
      </c>
      <c r="AD130" s="713"/>
      <c r="AE130" s="711"/>
    </row>
    <row r="131" spans="1:57" s="712" customFormat="1" ht="24" customHeight="1">
      <c r="A131" s="2640"/>
      <c r="B131" s="2669"/>
      <c r="C131" s="2669"/>
      <c r="D131" s="2635"/>
      <c r="E131" s="1238" t="s">
        <v>1273</v>
      </c>
      <c r="F131" s="713"/>
      <c r="G131" s="935">
        <f>+'2014처리구역인구 정리'!I117</f>
        <v>821</v>
      </c>
      <c r="H131" s="935">
        <f>+'2014처리구역인구 정리'!J117</f>
        <v>1029</v>
      </c>
      <c r="I131" s="925">
        <f>ROUND((('1.4.조성법총괄(내부이동률 적용)'!E$47+'1.4.조성법총괄(내부이동률 적용)'!E$50*$AK$2)*$AB131)+(AL$89*$AC131),0)</f>
        <v>1022</v>
      </c>
      <c r="J131" s="925">
        <f>ROUND((('1.4.조성법총괄(내부이동률 적용)'!F$47+'1.4.조성법총괄(내부이동률 적용)'!F$50*$AK$2)*$AB131)+(AM$89*$AC131),0)</f>
        <v>1016</v>
      </c>
      <c r="K131" s="925">
        <f>ROUND((('1.4.조성법총괄(내부이동률 적용)'!G$47+'1.4.조성법총괄(내부이동률 적용)'!G$50*$AK$2)*$AB131)+(AN$89*$AC131),0)</f>
        <v>1010</v>
      </c>
      <c r="L131" s="907">
        <f>ROUND((('1.4.조성법총괄(내부이동률 적용)'!H$47+'1.4.조성법총괄(내부이동률 적용)'!H$50*$AK$2)*$AB131)+(AO$89*$AC131),0)</f>
        <v>1002</v>
      </c>
      <c r="M131" s="925">
        <f>ROUND((('1.4.조성법총괄(내부이동률 적용)'!I$47+'1.4.조성법총괄(내부이동률 적용)'!I$50*$AK$2)*$AB131)+(AP$89*$AC131),0)</f>
        <v>1001</v>
      </c>
      <c r="N131" s="925">
        <f>ROUND((('1.4.조성법총괄(내부이동률 적용)'!J$47+'1.4.조성법총괄(내부이동률 적용)'!J$50*$AK$2)*$AB131)+(AQ$89*$AC131),0)</f>
        <v>999</v>
      </c>
      <c r="O131" s="925">
        <f>ROUND((('1.4.조성법총괄(내부이동률 적용)'!K$47+'1.4.조성법총괄(내부이동률 적용)'!K$50*$AK$2)*$AB131)+(AR$89*$AC131),0)</f>
        <v>998</v>
      </c>
      <c r="P131" s="925">
        <f>ROUND((('1.4.조성법총괄(내부이동률 적용)'!L$47+'1.4.조성법총괄(내부이동률 적용)'!L$50*$AK$2)*$AB131)+(AS$89*$AC131),0)</f>
        <v>996</v>
      </c>
      <c r="Q131" s="907">
        <f>ROUND((('1.4.조성법총괄(내부이동률 적용)'!M$47+'1.4.조성법총괄(내부이동률 적용)'!M$50*$AK$2)*$AB131)+(AT$89*$AC131),0)</f>
        <v>991</v>
      </c>
      <c r="R131" s="925">
        <f>ROUND((('1.4.조성법총괄(내부이동률 적용)'!N$47+'1.4.조성법총괄(내부이동률 적용)'!N$50*$AK$2)*$AB131)+(AU$89*$AC131),0)</f>
        <v>987</v>
      </c>
      <c r="S131" s="925">
        <f>ROUND((('1.4.조성법총괄(내부이동률 적용)'!O$47+'1.4.조성법총괄(내부이동률 적용)'!O$50*$AK$2)*$AB131)+(AV$89*$AC131),0)</f>
        <v>984</v>
      </c>
      <c r="T131" s="925">
        <f>ROUND((('1.4.조성법총괄(내부이동률 적용)'!P$47+'1.4.조성법총괄(내부이동률 적용)'!P$50*$AK$2)*$AB131)+(AW$89*$AC131),0)</f>
        <v>981</v>
      </c>
      <c r="U131" s="925">
        <f>ROUND((('1.4.조성법총괄(내부이동률 적용)'!Q$47+'1.4.조성법총괄(내부이동률 적용)'!Q$50*$AK$2)*$AB131)+(AX$89*$AC131),0)</f>
        <v>977</v>
      </c>
      <c r="V131" s="715">
        <f>ROUND((('1.4.조성법총괄(내부이동률 적용)'!R$47+'1.4.조성법총괄(내부이동률 적용)'!R$50*$AK$2)*$AB131)+(AY$89*$AC131),0)</f>
        <v>974</v>
      </c>
      <c r="W131" s="714">
        <f>ROUND((('1.4.조성법총괄(내부이동률 적용)'!S$47+'1.4.조성법총괄(내부이동률 적용)'!S$50*$AK$2)*$AB131)+(AZ$89*$AC131),0)</f>
        <v>970</v>
      </c>
      <c r="X131" s="714">
        <f>ROUND((('1.4.조성법총괄(내부이동률 적용)'!T$47+'1.4.조성법총괄(내부이동률 적용)'!T$50*$AK$2)*$AB131)+(BA$89*$AC131),0)</f>
        <v>965</v>
      </c>
      <c r="Y131" s="714">
        <f>ROUND((('1.4.조성법총괄(내부이동률 적용)'!U$47+'1.4.조성법총괄(내부이동률 적용)'!U$50*$AK$2)*$AB131)+(BB$89*$AC131),0)</f>
        <v>961</v>
      </c>
      <c r="Z131" s="714">
        <f>ROUND((('1.4.조성법총괄(내부이동률 적용)'!V$47+'1.4.조성법총괄(내부이동률 적용)'!V$50*$AK$2)*$AB131)+(BC$89*$AC131),0)</f>
        <v>957</v>
      </c>
      <c r="AA131" s="715">
        <f>ROUND((('1.4.조성법총괄(내부이동률 적용)'!W$47+'1.4.조성법총괄(내부이동률 적용)'!W$50*$AK$2)*$AB131)+(BD$89*$AC131),0)</f>
        <v>905</v>
      </c>
      <c r="AB131" s="936">
        <f>+H131/'1.4.조성법총괄(내부이동률 적용)'!$D$51</f>
        <v>0.10704254655154478</v>
      </c>
      <c r="AC131" s="934">
        <f t="shared" si="113"/>
        <v>0.14805755395683454</v>
      </c>
      <c r="AD131" s="713"/>
      <c r="AE131" s="711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</row>
    <row r="132" spans="1:57" ht="24" customHeight="1">
      <c r="A132" s="2640"/>
      <c r="B132" s="2669"/>
      <c r="C132" s="2669"/>
      <c r="D132" s="2635"/>
      <c r="E132" s="1244" t="s">
        <v>1268</v>
      </c>
      <c r="F132" s="713"/>
      <c r="G132" s="935">
        <f t="shared" ref="G132:AA132" si="114">AJ84</f>
        <v>0</v>
      </c>
      <c r="H132" s="935">
        <f t="shared" si="114"/>
        <v>0</v>
      </c>
      <c r="I132" s="925">
        <f t="shared" si="114"/>
        <v>0</v>
      </c>
      <c r="J132" s="925">
        <f t="shared" si="114"/>
        <v>0</v>
      </c>
      <c r="K132" s="925">
        <f t="shared" si="114"/>
        <v>0</v>
      </c>
      <c r="L132" s="907">
        <f t="shared" si="114"/>
        <v>0</v>
      </c>
      <c r="M132" s="925">
        <f t="shared" si="114"/>
        <v>0</v>
      </c>
      <c r="N132" s="925">
        <f t="shared" si="114"/>
        <v>0</v>
      </c>
      <c r="O132" s="925">
        <f t="shared" si="114"/>
        <v>0</v>
      </c>
      <c r="P132" s="925">
        <f t="shared" si="114"/>
        <v>0</v>
      </c>
      <c r="Q132" s="907">
        <f t="shared" si="114"/>
        <v>537</v>
      </c>
      <c r="R132" s="925">
        <f t="shared" si="114"/>
        <v>537</v>
      </c>
      <c r="S132" s="925">
        <f t="shared" si="114"/>
        <v>537</v>
      </c>
      <c r="T132" s="925">
        <f t="shared" si="114"/>
        <v>537</v>
      </c>
      <c r="U132" s="925">
        <f t="shared" si="114"/>
        <v>537</v>
      </c>
      <c r="V132" s="715">
        <f t="shared" si="114"/>
        <v>537</v>
      </c>
      <c r="W132" s="714">
        <f t="shared" si="114"/>
        <v>537</v>
      </c>
      <c r="X132" s="714">
        <f t="shared" si="114"/>
        <v>537</v>
      </c>
      <c r="Y132" s="714">
        <f t="shared" si="114"/>
        <v>537</v>
      </c>
      <c r="Z132" s="714">
        <f t="shared" si="114"/>
        <v>537</v>
      </c>
      <c r="AA132" s="715">
        <f t="shared" si="114"/>
        <v>537</v>
      </c>
      <c r="AB132" s="936"/>
      <c r="AC132" s="934"/>
      <c r="AD132" s="1080" t="str">
        <f>AH84</f>
        <v>덕정리 아파트</v>
      </c>
      <c r="AE132" s="711" t="s">
        <v>1574</v>
      </c>
      <c r="AF132" s="712"/>
      <c r="AG132" s="712"/>
      <c r="AH132" s="712"/>
      <c r="AI132" s="712"/>
      <c r="AJ132" s="712"/>
      <c r="AK132" s="712"/>
      <c r="AL132" s="712"/>
      <c r="AM132" s="712"/>
      <c r="AN132" s="712"/>
      <c r="AO132" s="712"/>
      <c r="AP132" s="712"/>
      <c r="AQ132" s="712"/>
      <c r="AR132" s="712"/>
      <c r="AS132" s="712"/>
      <c r="AT132" s="712"/>
      <c r="AU132" s="712"/>
      <c r="AV132" s="712"/>
      <c r="AW132" s="712"/>
      <c r="AX132" s="712"/>
      <c r="AY132" s="712"/>
      <c r="AZ132" s="712"/>
      <c r="BA132" s="712"/>
      <c r="BB132" s="712"/>
      <c r="BC132" s="712"/>
      <c r="BD132" s="712"/>
      <c r="BE132" s="712"/>
    </row>
    <row r="133" spans="1:57" s="712" customFormat="1" ht="24" customHeight="1">
      <c r="A133" s="2640"/>
      <c r="B133" s="2669"/>
      <c r="C133" s="2669"/>
      <c r="D133" s="2668" t="s">
        <v>898</v>
      </c>
      <c r="E133" s="1814" t="s">
        <v>2228</v>
      </c>
      <c r="F133" s="713"/>
      <c r="G133" s="935"/>
      <c r="H133" s="935">
        <f>+'2014처리구역인구 정리'!J118</f>
        <v>291</v>
      </c>
      <c r="I133" s="925">
        <f>ROUND((('1.4.조성법총괄(내부이동률 적용)'!E$47+'1.4.조성법총괄(내부이동률 적용)'!E$50*$AK$2)*$AB133)+(AL$89*$AC133),0)</f>
        <v>289</v>
      </c>
      <c r="J133" s="925">
        <f>ROUND((('1.4.조성법총괄(내부이동률 적용)'!F$47+'1.4.조성법총괄(내부이동률 적용)'!F$50*$AK$2)*$AB133)+(AM$89*$AC133),0)</f>
        <v>287</v>
      </c>
      <c r="K133" s="925">
        <f>ROUND((('1.4.조성법총괄(내부이동률 적용)'!G$47+'1.4.조성법총괄(내부이동률 적용)'!G$50*$AK$2)*$AB133)+(AN$89*$AC133),0)</f>
        <v>286</v>
      </c>
      <c r="L133" s="907">
        <f>ROUND((('1.4.조성법총괄(내부이동률 적용)'!H$47+'1.4.조성법총괄(내부이동률 적용)'!H$50*$AK$2)*$AB133)+(AO$89*$AC133),0)</f>
        <v>283</v>
      </c>
      <c r="M133" s="925">
        <f>ROUND((('1.4.조성법총괄(내부이동률 적용)'!I$47+'1.4.조성법총괄(내부이동률 적용)'!I$50*$AK$2)*$AB133)+(AP$89*$AC133),0)</f>
        <v>283</v>
      </c>
      <c r="N133" s="925">
        <f>ROUND((('1.4.조성법총괄(내부이동률 적용)'!J$47+'1.4.조성법총괄(내부이동률 적용)'!J$50*$AK$2)*$AB133)+(AQ$89*$AC133),0)</f>
        <v>283</v>
      </c>
      <c r="O133" s="925">
        <f>ROUND((('1.4.조성법총괄(내부이동률 적용)'!K$47+'1.4.조성법총괄(내부이동률 적용)'!K$50*$AK$2)*$AB133)+(AR$89*$AC133),0)</f>
        <v>282</v>
      </c>
      <c r="P133" s="925">
        <f>ROUND((('1.4.조성법총괄(내부이동률 적용)'!L$47+'1.4.조성법총괄(내부이동률 적용)'!L$50*$AK$2)*$AB133)+(AS$89*$AC133),0)</f>
        <v>282</v>
      </c>
      <c r="Q133" s="907">
        <f>ROUND((('1.4.조성법총괄(내부이동률 적용)'!M$47+'1.4.조성법총괄(내부이동률 적용)'!M$50*$AK$2)*$AB133)+(AT$89*$AC133),0)</f>
        <v>280</v>
      </c>
      <c r="R133" s="925">
        <f>ROUND((('1.4.조성법총괄(내부이동률 적용)'!N$47+'1.4.조성법총괄(내부이동률 적용)'!N$50*$AK$2)*$AB133)+(AU$89*$AC133),0)</f>
        <v>279</v>
      </c>
      <c r="S133" s="925">
        <f>ROUND((('1.4.조성법총괄(내부이동률 적용)'!O$47+'1.4.조성법총괄(내부이동률 적용)'!O$50*$AK$2)*$AB133)+(AV$89*$AC133),0)</f>
        <v>278</v>
      </c>
      <c r="T133" s="925">
        <f>ROUND((('1.4.조성법총괄(내부이동률 적용)'!P$47+'1.4.조성법총괄(내부이동률 적용)'!P$50*$AK$2)*$AB133)+(AW$89*$AC133),0)</f>
        <v>277</v>
      </c>
      <c r="U133" s="925">
        <f>ROUND((('1.4.조성법총괄(내부이동률 적용)'!Q$47+'1.4.조성법총괄(내부이동률 적용)'!Q$50*$AK$2)*$AB133)+(AX$89*$AC133),0)</f>
        <v>276</v>
      </c>
      <c r="V133" s="715">
        <f>ROUND((('1.4.조성법총괄(내부이동률 적용)'!R$47+'1.4.조성법총괄(내부이동률 적용)'!R$50*$AK$2)*$AB133)+(AY$89*$AC133),0)</f>
        <v>275</v>
      </c>
      <c r="W133" s="714">
        <f>ROUND((('1.4.조성법총괄(내부이동률 적용)'!S$47+'1.4.조성법총괄(내부이동률 적용)'!S$50*$AK$2)*$AB133)+(AZ$89*$AC133),0)</f>
        <v>274</v>
      </c>
      <c r="X133" s="714">
        <f>ROUND((('1.4.조성법총괄(내부이동률 적용)'!T$47+'1.4.조성법총괄(내부이동률 적용)'!T$50*$AK$2)*$AB133)+(BA$89*$AC133),0)</f>
        <v>273</v>
      </c>
      <c r="Y133" s="714">
        <f>ROUND((('1.4.조성법총괄(내부이동률 적용)'!U$47+'1.4.조성법총괄(내부이동률 적용)'!U$50*$AK$2)*$AB133)+(BB$89*$AC133),0)</f>
        <v>272</v>
      </c>
      <c r="Z133" s="714">
        <f>ROUND((('1.4.조성법총괄(내부이동률 적용)'!V$47+'1.4.조성법총괄(내부이동률 적용)'!V$50*$AK$2)*$AB133)+(BC$89*$AC133),0)</f>
        <v>271</v>
      </c>
      <c r="AA133" s="715">
        <f>ROUND((('1.4.조성법총괄(내부이동률 적용)'!W$47+'1.4.조성법총괄(내부이동률 적용)'!W$50*$AK$2)*$AB133)+(BD$89*$AC133),0)</f>
        <v>256</v>
      </c>
      <c r="AB133" s="936">
        <f>+H133/'1.4.조성법총괄(내부이동률 적용)'!$D$51</f>
        <v>3.0271507333818788E-2</v>
      </c>
      <c r="AC133" s="934">
        <f t="shared" ref="AC133:AC142" si="115">+H133/$AE$121</f>
        <v>4.1870503597122299E-2</v>
      </c>
      <c r="AD133" s="1080"/>
      <c r="AE133" s="711"/>
    </row>
    <row r="134" spans="1:57" s="712" customFormat="1" ht="24" customHeight="1">
      <c r="A134" s="2640"/>
      <c r="B134" s="2669"/>
      <c r="C134" s="2669"/>
      <c r="D134" s="2670"/>
      <c r="E134" s="1238" t="s">
        <v>899</v>
      </c>
      <c r="F134" s="713"/>
      <c r="G134" s="935">
        <f>+'2014처리구역인구 정리'!I119</f>
        <v>150</v>
      </c>
      <c r="H134" s="935">
        <f>+'2014처리구역인구 정리'!J119</f>
        <v>183</v>
      </c>
      <c r="I134" s="925">
        <f>ROUND((('1.4.조성법총괄(내부이동률 적용)'!E$47+'1.4.조성법총괄(내부이동률 적용)'!E$50*$AK$2)*$AB134)+(AL$89*$AC134),0)</f>
        <v>182</v>
      </c>
      <c r="J134" s="925">
        <f>ROUND((('1.4.조성법총괄(내부이동률 적용)'!F$47+'1.4.조성법총괄(내부이동률 적용)'!F$50*$AK$2)*$AB134)+(AM$89*$AC134),0)</f>
        <v>181</v>
      </c>
      <c r="K134" s="925">
        <f>ROUND((('1.4.조성법총괄(내부이동률 적용)'!G$47+'1.4.조성법총괄(내부이동률 적용)'!G$50*$AK$2)*$AB134)+(AN$89*$AC134),0)</f>
        <v>180</v>
      </c>
      <c r="L134" s="907">
        <f>ROUND((('1.4.조성법총괄(내부이동률 적용)'!H$47+'1.4.조성법총괄(내부이동률 적용)'!H$50*$AK$2)*$AB134)+(AO$89*$AC134),0)</f>
        <v>178</v>
      </c>
      <c r="M134" s="925">
        <f>ROUND((('1.4.조성법총괄(내부이동률 적용)'!I$47+'1.4.조성법총괄(내부이동률 적용)'!I$50*$AK$2)*$AB134)+(AP$89*$AC134),0)</f>
        <v>178</v>
      </c>
      <c r="N134" s="925">
        <f>ROUND((('1.4.조성법총괄(내부이동률 적용)'!J$47+'1.4.조성법총괄(내부이동률 적용)'!J$50*$AK$2)*$AB134)+(AQ$89*$AC134),0)</f>
        <v>178</v>
      </c>
      <c r="O134" s="925">
        <f>ROUND((('1.4.조성법총괄(내부이동률 적용)'!K$47+'1.4.조성법총괄(내부이동률 적용)'!K$50*$AK$2)*$AB134)+(AR$89*$AC134),0)</f>
        <v>177</v>
      </c>
      <c r="P134" s="925">
        <f>ROUND((('1.4.조성법총괄(내부이동률 적용)'!L$47+'1.4.조성법총괄(내부이동률 적용)'!L$50*$AK$2)*$AB134)+(AS$89*$AC134),0)</f>
        <v>177</v>
      </c>
      <c r="Q134" s="907">
        <f>ROUND((('1.4.조성법총괄(내부이동률 적용)'!M$47+'1.4.조성법총괄(내부이동률 적용)'!M$50*$AK$2)*$AB134)+(AT$89*$AC134),0)</f>
        <v>176</v>
      </c>
      <c r="R134" s="925">
        <f>ROUND((('1.4.조성법총괄(내부이동률 적용)'!N$47+'1.4.조성법총괄(내부이동률 적용)'!N$50*$AK$2)*$AB134)+(AU$89*$AC134),0)</f>
        <v>176</v>
      </c>
      <c r="S134" s="925">
        <f>ROUND((('1.4.조성법총괄(내부이동률 적용)'!O$47+'1.4.조성법총괄(내부이동률 적용)'!O$50*$AK$2)*$AB134)+(AV$89*$AC134),0)</f>
        <v>175</v>
      </c>
      <c r="T134" s="925">
        <f>ROUND((('1.4.조성법총괄(내부이동률 적용)'!P$47+'1.4.조성법총괄(내부이동률 적용)'!P$50*$AK$2)*$AB134)+(AW$89*$AC134),0)</f>
        <v>174</v>
      </c>
      <c r="U134" s="925">
        <f>ROUND((('1.4.조성법총괄(내부이동률 적용)'!Q$47+'1.4.조성법총괄(내부이동률 적용)'!Q$50*$AK$2)*$AB134)+(AX$89*$AC134),0)</f>
        <v>174</v>
      </c>
      <c r="V134" s="715">
        <f>ROUND((('1.4.조성법총괄(내부이동률 적용)'!R$47+'1.4.조성법총괄(내부이동률 적용)'!R$50*$AK$2)*$AB134)+(AY$89*$AC134),0)</f>
        <v>173</v>
      </c>
      <c r="W134" s="714">
        <f>ROUND((('1.4.조성법총괄(내부이동률 적용)'!S$47+'1.4.조성법총괄(내부이동률 적용)'!S$50*$AK$2)*$AB134)+(AZ$89*$AC134),0)</f>
        <v>172</v>
      </c>
      <c r="X134" s="714">
        <f>ROUND((('1.4.조성법총괄(내부이동률 적용)'!T$47+'1.4.조성법총괄(내부이동률 적용)'!T$50*$AK$2)*$AB134)+(BA$89*$AC134),0)</f>
        <v>172</v>
      </c>
      <c r="Y134" s="714">
        <f>ROUND((('1.4.조성법총괄(내부이동률 적용)'!U$47+'1.4.조성법총괄(내부이동률 적용)'!U$50*$AK$2)*$AB134)+(BB$89*$AC134),0)</f>
        <v>171</v>
      </c>
      <c r="Z134" s="714">
        <f>ROUND((('1.4.조성법총괄(내부이동률 적용)'!V$47+'1.4.조성법총괄(내부이동률 적용)'!V$50*$AK$2)*$AB134)+(BC$89*$AC134),0)</f>
        <v>170</v>
      </c>
      <c r="AA134" s="715">
        <f>ROUND((('1.4.조성법총괄(내부이동률 적용)'!W$47+'1.4.조성법총괄(내부이동률 적용)'!W$50*$AK$2)*$AB134)+(BD$89*$AC134),0)</f>
        <v>161</v>
      </c>
      <c r="AB134" s="936">
        <f>+H134/'1.4.조성법총괄(내부이동률 적용)'!$D$51</f>
        <v>1.9036721106834496E-2</v>
      </c>
      <c r="AC134" s="934">
        <f t="shared" si="115"/>
        <v>2.6330935251798561E-2</v>
      </c>
      <c r="AD134" s="713"/>
      <c r="AE134" s="711"/>
    </row>
    <row r="135" spans="1:57" s="712" customFormat="1" ht="24" customHeight="1">
      <c r="A135" s="2640"/>
      <c r="B135" s="2669"/>
      <c r="C135" s="2669"/>
      <c r="D135" s="2635" t="s">
        <v>900</v>
      </c>
      <c r="E135" s="1238" t="s">
        <v>901</v>
      </c>
      <c r="F135" s="713"/>
      <c r="G135" s="935">
        <f>+'2014처리구역인구 정리'!I120</f>
        <v>240</v>
      </c>
      <c r="H135" s="935">
        <f>+'2014처리구역인구 정리'!J120</f>
        <v>294</v>
      </c>
      <c r="I135" s="925">
        <f>ROUND((('1.4.조성법총괄(내부이동률 적용)'!E$47+'1.4.조성법총괄(내부이동률 적용)'!E$50*$AK$2)*$AB135)+(AL$89*$AC135),0)</f>
        <v>292</v>
      </c>
      <c r="J135" s="925">
        <f>ROUND((('1.4.조성법총괄(내부이동률 적용)'!F$47+'1.4.조성법총괄(내부이동률 적용)'!F$50*$AK$2)*$AB135)+(AM$89*$AC135),0)</f>
        <v>290</v>
      </c>
      <c r="K135" s="925">
        <f>ROUND((('1.4.조성법총괄(내부이동률 적용)'!G$47+'1.4.조성법총괄(내부이동률 적용)'!G$50*$AK$2)*$AB135)+(AN$89*$AC135),0)</f>
        <v>288</v>
      </c>
      <c r="L135" s="907">
        <f>ROUND((('1.4.조성법총괄(내부이동률 적용)'!H$47+'1.4.조성법총괄(내부이동률 적용)'!H$50*$AK$2)*$AB135)+(AO$89*$AC135),0)</f>
        <v>286</v>
      </c>
      <c r="M135" s="925">
        <f>ROUND((('1.4.조성법총괄(내부이동률 적용)'!I$47+'1.4.조성법총괄(내부이동률 적용)'!I$50*$AK$2)*$AB135)+(AP$89*$AC135),0)</f>
        <v>286</v>
      </c>
      <c r="N135" s="925">
        <f>ROUND((('1.4.조성법총괄(내부이동률 적용)'!J$47+'1.4.조성법총괄(내부이동률 적용)'!J$50*$AK$2)*$AB135)+(AQ$89*$AC135),0)</f>
        <v>285</v>
      </c>
      <c r="O135" s="925">
        <f>ROUND((('1.4.조성법총괄(내부이동률 적용)'!K$47+'1.4.조성법총괄(내부이동률 적용)'!K$50*$AK$2)*$AB135)+(AR$89*$AC135),0)</f>
        <v>285</v>
      </c>
      <c r="P135" s="925">
        <f>ROUND((('1.4.조성법총괄(내부이동률 적용)'!L$47+'1.4.조성법총괄(내부이동률 적용)'!L$50*$AK$2)*$AB135)+(AS$89*$AC135),0)</f>
        <v>285</v>
      </c>
      <c r="Q135" s="907">
        <f>ROUND((('1.4.조성법총괄(내부이동률 적용)'!M$47+'1.4.조성법총괄(내부이동률 적용)'!M$50*$AK$2)*$AB135)+(AT$89*$AC135),0)</f>
        <v>283</v>
      </c>
      <c r="R135" s="925">
        <f>ROUND((('1.4.조성법총괄(내부이동률 적용)'!N$47+'1.4.조성법총괄(내부이동률 적용)'!N$50*$AK$2)*$AB135)+(AU$89*$AC135),0)</f>
        <v>282</v>
      </c>
      <c r="S135" s="925">
        <f>ROUND((('1.4.조성법총괄(내부이동률 적용)'!O$47+'1.4.조성법총괄(내부이동률 적용)'!O$50*$AK$2)*$AB135)+(AV$89*$AC135),0)</f>
        <v>281</v>
      </c>
      <c r="T135" s="925">
        <f>ROUND((('1.4.조성법총괄(내부이동률 적용)'!P$47+'1.4.조성법총괄(내부이동률 적용)'!P$50*$AK$2)*$AB135)+(AW$89*$AC135),0)</f>
        <v>280</v>
      </c>
      <c r="U135" s="925">
        <f>ROUND((('1.4.조성법총괄(내부이동률 적용)'!Q$47+'1.4.조성법총괄(내부이동률 적용)'!Q$50*$AK$2)*$AB135)+(AX$89*$AC135),0)</f>
        <v>279</v>
      </c>
      <c r="V135" s="715">
        <f>ROUND((('1.4.조성법총괄(내부이동률 적용)'!R$47+'1.4.조성법총괄(내부이동률 적용)'!R$50*$AK$2)*$AB135)+(AY$89*$AC135),0)</f>
        <v>278</v>
      </c>
      <c r="W135" s="714">
        <f>ROUND((('1.4.조성법총괄(내부이동률 적용)'!S$47+'1.4.조성법총괄(내부이동률 적용)'!S$50*$AK$2)*$AB135)+(AZ$89*$AC135),0)</f>
        <v>277</v>
      </c>
      <c r="X135" s="714">
        <f>ROUND((('1.4.조성법총괄(내부이동률 적용)'!T$47+'1.4.조성법총괄(내부이동률 적용)'!T$50*$AK$2)*$AB135)+(BA$89*$AC135),0)</f>
        <v>276</v>
      </c>
      <c r="Y135" s="714">
        <f>ROUND((('1.4.조성법총괄(내부이동률 적용)'!U$47+'1.4.조성법총괄(내부이동률 적용)'!U$50*$AK$2)*$AB135)+(BB$89*$AC135),0)</f>
        <v>275</v>
      </c>
      <c r="Z135" s="714">
        <f>ROUND((('1.4.조성법총괄(내부이동률 적용)'!V$47+'1.4.조성법총괄(내부이동률 적용)'!V$50*$AK$2)*$AB135)+(BC$89*$AC135),0)</f>
        <v>273</v>
      </c>
      <c r="AA135" s="715">
        <f>ROUND((('1.4.조성법총괄(내부이동률 적용)'!W$47+'1.4.조성법총괄(내부이동률 적용)'!W$50*$AK$2)*$AB135)+(BD$89*$AC135),0)</f>
        <v>258</v>
      </c>
      <c r="AB135" s="936">
        <f>+H135/'1.4.조성법총괄(내부이동률 적용)'!$D$51</f>
        <v>3.0583584729012795E-2</v>
      </c>
      <c r="AC135" s="934">
        <f t="shared" si="115"/>
        <v>4.2302158273381296E-2</v>
      </c>
      <c r="AD135" s="713"/>
      <c r="AE135" s="711"/>
    </row>
    <row r="136" spans="1:57" s="712" customFormat="1" ht="24" customHeight="1">
      <c r="A136" s="2640"/>
      <c r="B136" s="2669"/>
      <c r="C136" s="2669"/>
      <c r="D136" s="2635"/>
      <c r="E136" s="1238" t="s">
        <v>902</v>
      </c>
      <c r="F136" s="713"/>
      <c r="G136" s="935">
        <f>+'2014처리구역인구 정리'!I121</f>
        <v>201</v>
      </c>
      <c r="H136" s="935">
        <f>+'2014처리구역인구 정리'!J121</f>
        <v>243</v>
      </c>
      <c r="I136" s="925">
        <f>ROUND((('1.4.조성법총괄(내부이동률 적용)'!E$47+'1.4.조성법총괄(내부이동률 적용)'!E$50*$AK$2)*$AB136)+(AL$89*$AC136),0)</f>
        <v>241</v>
      </c>
      <c r="J136" s="925">
        <f>ROUND((('1.4.조성법총괄(내부이동률 적용)'!F$47+'1.4.조성법총괄(내부이동률 적용)'!F$50*$AK$2)*$AB136)+(AM$89*$AC136),0)</f>
        <v>240</v>
      </c>
      <c r="K136" s="925">
        <f>ROUND((('1.4.조성법총괄(내부이동률 적용)'!G$47+'1.4.조성법총괄(내부이동률 적용)'!G$50*$AK$2)*$AB136)+(AN$89*$AC136),0)</f>
        <v>238</v>
      </c>
      <c r="L136" s="907">
        <f>ROUND((('1.4.조성법총괄(내부이동률 적용)'!H$47+'1.4.조성법총괄(내부이동률 적용)'!H$50*$AK$2)*$AB136)+(AO$89*$AC136),0)</f>
        <v>237</v>
      </c>
      <c r="M136" s="925">
        <f>ROUND((('1.4.조성법총괄(내부이동률 적용)'!I$47+'1.4.조성법총괄(내부이동률 적용)'!I$50*$AK$2)*$AB136)+(AP$89*$AC136),0)</f>
        <v>236</v>
      </c>
      <c r="N136" s="925">
        <f>ROUND((('1.4.조성법총괄(내부이동률 적용)'!J$47+'1.4.조성법총괄(내부이동률 적용)'!J$50*$AK$2)*$AB136)+(AQ$89*$AC136),0)</f>
        <v>236</v>
      </c>
      <c r="O136" s="925">
        <f>ROUND((('1.4.조성법총괄(내부이동률 적용)'!K$47+'1.4.조성법총괄(내부이동률 적용)'!K$50*$AK$2)*$AB136)+(AR$89*$AC136),0)</f>
        <v>236</v>
      </c>
      <c r="P136" s="925">
        <f>ROUND((('1.4.조성법총괄(내부이동률 적용)'!L$47+'1.4.조성법총괄(내부이동률 적용)'!L$50*$AK$2)*$AB136)+(AS$89*$AC136),0)</f>
        <v>235</v>
      </c>
      <c r="Q136" s="907">
        <f>ROUND((('1.4.조성법총괄(내부이동률 적용)'!M$47+'1.4.조성법총괄(내부이동률 적용)'!M$50*$AK$2)*$AB136)+(AT$89*$AC136),0)</f>
        <v>234</v>
      </c>
      <c r="R136" s="925">
        <f>ROUND((('1.4.조성법총괄(내부이동률 적용)'!N$47+'1.4.조성법총괄(내부이동률 적용)'!N$50*$AK$2)*$AB136)+(AU$89*$AC136),0)</f>
        <v>233</v>
      </c>
      <c r="S136" s="925">
        <f>ROUND((('1.4.조성법총괄(내부이동률 적용)'!O$47+'1.4.조성법총괄(내부이동률 적용)'!O$50*$AK$2)*$AB136)+(AV$89*$AC136),0)</f>
        <v>232</v>
      </c>
      <c r="T136" s="925">
        <f>ROUND((('1.4.조성법총괄(내부이동률 적용)'!P$47+'1.4.조성법총괄(내부이동률 적용)'!P$50*$AK$2)*$AB136)+(AW$89*$AC136),0)</f>
        <v>232</v>
      </c>
      <c r="U136" s="925">
        <f>ROUND((('1.4.조성법총괄(내부이동률 적용)'!Q$47+'1.4.조성법총괄(내부이동률 적용)'!Q$50*$AK$2)*$AB136)+(AX$89*$AC136),0)</f>
        <v>231</v>
      </c>
      <c r="V136" s="715">
        <f>ROUND((('1.4.조성법총괄(내부이동률 적용)'!R$47+'1.4.조성법총괄(내부이동률 적용)'!R$50*$AK$2)*$AB136)+(AY$89*$AC136),0)</f>
        <v>230</v>
      </c>
      <c r="W136" s="714">
        <f>ROUND((('1.4.조성법총괄(내부이동률 적용)'!S$47+'1.4.조성법총괄(내부이동률 적용)'!S$50*$AK$2)*$AB136)+(AZ$89*$AC136),0)</f>
        <v>229</v>
      </c>
      <c r="X136" s="714">
        <f>ROUND((('1.4.조성법총괄(내부이동률 적용)'!T$47+'1.4.조성법총괄(내부이동률 적용)'!T$50*$AK$2)*$AB136)+(BA$89*$AC136),0)</f>
        <v>228</v>
      </c>
      <c r="Y136" s="714">
        <f>ROUND((('1.4.조성법총괄(내부이동률 적용)'!U$47+'1.4.조성법총괄(내부이동률 적용)'!U$50*$AK$2)*$AB136)+(BB$89*$AC136),0)</f>
        <v>227</v>
      </c>
      <c r="Z136" s="714">
        <f>ROUND((('1.4.조성법총괄(내부이동률 적용)'!V$47+'1.4.조성법총괄(내부이동률 적용)'!V$50*$AK$2)*$AB136)+(BC$89*$AC136),0)</f>
        <v>226</v>
      </c>
      <c r="AA136" s="715">
        <f>ROUND((('1.4.조성법총괄(내부이동률 적용)'!W$47+'1.4.조성법총괄(내부이동률 적용)'!W$50*$AK$2)*$AB136)+(BD$89*$AC136),0)</f>
        <v>214</v>
      </c>
      <c r="AB136" s="936">
        <f>+H136/'1.4.조성법총괄(내부이동률 적용)'!$D$51</f>
        <v>2.5278269010714657E-2</v>
      </c>
      <c r="AC136" s="934">
        <f t="shared" si="115"/>
        <v>3.496402877697842E-2</v>
      </c>
      <c r="AD136" s="713"/>
      <c r="AE136" s="711"/>
    </row>
    <row r="137" spans="1:57" s="712" customFormat="1" ht="24" customHeight="1">
      <c r="A137" s="2640"/>
      <c r="B137" s="2669"/>
      <c r="C137" s="2669"/>
      <c r="D137" s="2635" t="s">
        <v>903</v>
      </c>
      <c r="E137" s="1238" t="s">
        <v>1274</v>
      </c>
      <c r="F137" s="713"/>
      <c r="G137" s="935">
        <f>+'2014처리구역인구 정리'!I122</f>
        <v>219</v>
      </c>
      <c r="H137" s="935">
        <f>+'2014처리구역인구 정리'!J122</f>
        <v>260</v>
      </c>
      <c r="I137" s="925">
        <f>ROUND((('1.4.조성법총괄(내부이동률 적용)'!E$47+'1.4.조성법총괄(내부이동률 적용)'!E$50*$AK$2)*$AB137)+(AL$89*$AC137),0)</f>
        <v>258</v>
      </c>
      <c r="J137" s="925">
        <f>ROUND((('1.4.조성법총괄(내부이동률 적용)'!F$47+'1.4.조성법총괄(내부이동률 적용)'!F$50*$AK$2)*$AB137)+(AM$89*$AC137),0)</f>
        <v>257</v>
      </c>
      <c r="K137" s="925">
        <f>ROUND((('1.4.조성법총괄(내부이동률 적용)'!G$47+'1.4.조성법총괄(내부이동률 적용)'!G$50*$AK$2)*$AB137)+(AN$89*$AC137),0)</f>
        <v>255</v>
      </c>
      <c r="L137" s="907">
        <f>ROUND((('1.4.조성법총괄(내부이동률 적용)'!H$47+'1.4.조성법총괄(내부이동률 적용)'!H$50*$AK$2)*$AB137)+(AO$89*$AC137),0)</f>
        <v>253</v>
      </c>
      <c r="M137" s="925">
        <f>ROUND((('1.4.조성법총괄(내부이동률 적용)'!I$47+'1.4.조성법총괄(내부이동률 적용)'!I$50*$AK$2)*$AB137)+(AP$89*$AC137),0)</f>
        <v>253</v>
      </c>
      <c r="N137" s="925">
        <f>ROUND((('1.4.조성법총괄(내부이동률 적용)'!J$47+'1.4.조성법총괄(내부이동률 적용)'!J$50*$AK$2)*$AB137)+(AQ$89*$AC137),0)</f>
        <v>252</v>
      </c>
      <c r="O137" s="925">
        <f>ROUND((('1.4.조성법총괄(내부이동률 적용)'!K$47+'1.4.조성법총괄(내부이동률 적용)'!K$50*$AK$2)*$AB137)+(AR$89*$AC137),0)</f>
        <v>252</v>
      </c>
      <c r="P137" s="925">
        <f>ROUND((('1.4.조성법총괄(내부이동률 적용)'!L$47+'1.4.조성법총괄(내부이동률 적용)'!L$50*$AK$2)*$AB137)+(AS$89*$AC137),0)</f>
        <v>252</v>
      </c>
      <c r="Q137" s="907">
        <f>ROUND((('1.4.조성법총괄(내부이동률 적용)'!M$47+'1.4.조성법총괄(내부이동률 적용)'!M$50*$AK$2)*$AB137)+(AT$89*$AC137),0)</f>
        <v>250</v>
      </c>
      <c r="R137" s="925">
        <f>ROUND((('1.4.조성법총괄(내부이동률 적용)'!N$47+'1.4.조성법총괄(내부이동률 적용)'!N$50*$AK$2)*$AB137)+(AU$89*$AC137),0)</f>
        <v>249</v>
      </c>
      <c r="S137" s="925">
        <f>ROUND((('1.4.조성법총괄(내부이동률 적용)'!O$47+'1.4.조성법총괄(내부이동률 적용)'!O$50*$AK$2)*$AB137)+(AV$89*$AC137),0)</f>
        <v>249</v>
      </c>
      <c r="T137" s="925">
        <f>ROUND((('1.4.조성법총괄(내부이동률 적용)'!P$47+'1.4.조성법총괄(내부이동률 적용)'!P$50*$AK$2)*$AB137)+(AW$89*$AC137),0)</f>
        <v>248</v>
      </c>
      <c r="U137" s="925">
        <f>ROUND((('1.4.조성법총괄(내부이동률 적용)'!Q$47+'1.4.조성법총괄(내부이동률 적용)'!Q$50*$AK$2)*$AB137)+(AX$89*$AC137),0)</f>
        <v>247</v>
      </c>
      <c r="V137" s="715">
        <f>ROUND((('1.4.조성법총괄(내부이동률 적용)'!R$47+'1.4.조성법총괄(내부이동률 적용)'!R$50*$AK$2)*$AB137)+(AY$89*$AC137),0)</f>
        <v>246</v>
      </c>
      <c r="W137" s="714">
        <f>ROUND((('1.4.조성법총괄(내부이동률 적용)'!S$47+'1.4.조성법총괄(내부이동률 적용)'!S$50*$AK$2)*$AB137)+(AZ$89*$AC137),0)</f>
        <v>245</v>
      </c>
      <c r="X137" s="714">
        <f>ROUND((('1.4.조성법총괄(내부이동률 적용)'!T$47+'1.4.조성법총괄(내부이동률 적용)'!T$50*$AK$2)*$AB137)+(BA$89*$AC137),0)</f>
        <v>244</v>
      </c>
      <c r="Y137" s="714">
        <f>ROUND((('1.4.조성법총괄(내부이동률 적용)'!U$47+'1.4.조성법총괄(내부이동률 적용)'!U$50*$AK$2)*$AB137)+(BB$89*$AC137),0)</f>
        <v>243</v>
      </c>
      <c r="Z137" s="714">
        <f>ROUND((('1.4.조성법총괄(내부이동률 적용)'!V$47+'1.4.조성법총괄(내부이동률 적용)'!V$50*$AK$2)*$AB137)+(BC$89*$AC137),0)</f>
        <v>242</v>
      </c>
      <c r="AA137" s="715">
        <f>ROUND((('1.4.조성법총괄(내부이동률 적용)'!W$47+'1.4.조성법총괄(내부이동률 적용)'!W$50*$AK$2)*$AB137)+(BD$89*$AC137),0)</f>
        <v>229</v>
      </c>
      <c r="AB137" s="936">
        <f>+H137/'1.4.조성법총괄(내부이동률 적용)'!$D$51</f>
        <v>2.7046707583480704E-2</v>
      </c>
      <c r="AC137" s="934">
        <f t="shared" si="115"/>
        <v>3.7410071942446041E-2</v>
      </c>
      <c r="AD137" s="713"/>
      <c r="AE137" s="711"/>
    </row>
    <row r="138" spans="1:57" s="712" customFormat="1" ht="24" customHeight="1">
      <c r="A138" s="2640"/>
      <c r="B138" s="2669"/>
      <c r="C138" s="2669"/>
      <c r="D138" s="2635"/>
      <c r="E138" s="1238" t="s">
        <v>904</v>
      </c>
      <c r="F138" s="713"/>
      <c r="G138" s="935">
        <f>+'2014처리구역인구 정리'!I123</f>
        <v>232</v>
      </c>
      <c r="H138" s="935">
        <f>+'2014처리구역인구 정리'!J123</f>
        <v>283</v>
      </c>
      <c r="I138" s="925">
        <f>ROUND((('1.4.조성법총괄(내부이동률 적용)'!E$47+'1.4.조성법총괄(내부이동률 적용)'!E$50*$AK$2)*$AB138)+(AL$89*$AC138),0)</f>
        <v>281</v>
      </c>
      <c r="J138" s="925">
        <f>ROUND((('1.4.조성법총괄(내부이동률 적용)'!F$47+'1.4.조성법총괄(내부이동률 적용)'!F$50*$AK$2)*$AB138)+(AM$89*$AC138),0)</f>
        <v>280</v>
      </c>
      <c r="K138" s="925">
        <f>ROUND((('1.4.조성법총괄(내부이동률 적용)'!G$47+'1.4.조성법총괄(내부이동률 적용)'!G$50*$AK$2)*$AB138)+(AN$89*$AC138),0)</f>
        <v>278</v>
      </c>
      <c r="L138" s="907">
        <f>ROUND((('1.4.조성법총괄(내부이동률 적용)'!H$47+'1.4.조성법총괄(내부이동률 적용)'!H$50*$AK$2)*$AB138)+(AO$89*$AC138),0)</f>
        <v>276</v>
      </c>
      <c r="M138" s="925">
        <f>ROUND((('1.4.조성법총괄(내부이동률 적용)'!I$47+'1.4.조성법총괄(내부이동률 적용)'!I$50*$AK$2)*$AB138)+(AP$89*$AC138),0)</f>
        <v>275</v>
      </c>
      <c r="N138" s="925">
        <f>ROUND((('1.4.조성법총괄(내부이동률 적용)'!J$47+'1.4.조성법총괄(내부이동률 적용)'!J$50*$AK$2)*$AB138)+(AQ$89*$AC138),0)</f>
        <v>275</v>
      </c>
      <c r="O138" s="925">
        <f>ROUND((('1.4.조성법총괄(내부이동률 적용)'!K$47+'1.4.조성법총괄(내부이동률 적용)'!K$50*$AK$2)*$AB138)+(AR$89*$AC138),0)</f>
        <v>274</v>
      </c>
      <c r="P138" s="925">
        <f>ROUND((('1.4.조성법총괄(내부이동률 적용)'!L$47+'1.4.조성법총괄(내부이동률 적용)'!L$50*$AK$2)*$AB138)+(AS$89*$AC138),0)</f>
        <v>274</v>
      </c>
      <c r="Q138" s="907">
        <f>ROUND((('1.4.조성법총괄(내부이동률 적용)'!M$47+'1.4.조성법총괄(내부이동률 적용)'!M$50*$AK$2)*$AB138)+(AT$89*$AC138),0)</f>
        <v>272</v>
      </c>
      <c r="R138" s="925">
        <f>ROUND((('1.4.조성법총괄(내부이동률 적용)'!N$47+'1.4.조성법총괄(내부이동률 적용)'!N$50*$AK$2)*$AB138)+(AU$89*$AC138),0)</f>
        <v>272</v>
      </c>
      <c r="S138" s="925">
        <f>ROUND((('1.4.조성법총괄(내부이동률 적용)'!O$47+'1.4.조성법총괄(내부이동률 적용)'!O$50*$AK$2)*$AB138)+(AV$89*$AC138),0)</f>
        <v>271</v>
      </c>
      <c r="T138" s="925">
        <f>ROUND((('1.4.조성법총괄(내부이동률 적용)'!P$47+'1.4.조성법총괄(내부이동률 적용)'!P$50*$AK$2)*$AB138)+(AW$89*$AC138),0)</f>
        <v>270</v>
      </c>
      <c r="U138" s="925">
        <f>ROUND((('1.4.조성법총괄(내부이동률 적용)'!Q$47+'1.4.조성법총괄(내부이동률 적용)'!Q$50*$AK$2)*$AB138)+(AX$89*$AC138),0)</f>
        <v>269</v>
      </c>
      <c r="V138" s="715">
        <f>ROUND((('1.4.조성법총괄(내부이동률 적용)'!R$47+'1.4.조성법총괄(내부이동률 적용)'!R$50*$AK$2)*$AB138)+(AY$89*$AC138),0)</f>
        <v>268</v>
      </c>
      <c r="W138" s="714">
        <f>ROUND((('1.4.조성법총괄(내부이동률 적용)'!S$47+'1.4.조성법총괄(내부이동률 적용)'!S$50*$AK$2)*$AB138)+(AZ$89*$AC138),0)</f>
        <v>267</v>
      </c>
      <c r="X138" s="714">
        <f>ROUND((('1.4.조성법총괄(내부이동률 적용)'!T$47+'1.4.조성법총괄(내부이동률 적용)'!T$50*$AK$2)*$AB138)+(BA$89*$AC138),0)</f>
        <v>265</v>
      </c>
      <c r="Y138" s="714">
        <f>ROUND((('1.4.조성법총괄(내부이동률 적용)'!U$47+'1.4.조성법총괄(내부이동률 적용)'!U$50*$AK$2)*$AB138)+(BB$89*$AC138),0)</f>
        <v>264</v>
      </c>
      <c r="Z138" s="714">
        <f>ROUND((('1.4.조성법총괄(내부이동률 적용)'!V$47+'1.4.조성법총괄(내부이동률 적용)'!V$50*$AK$2)*$AB138)+(BC$89*$AC138),0)</f>
        <v>263</v>
      </c>
      <c r="AA138" s="715">
        <f>ROUND((('1.4.조성법총괄(내부이동률 적용)'!W$47+'1.4.조성법총괄(내부이동률 적용)'!W$50*$AK$2)*$AB138)+(BD$89*$AC138),0)</f>
        <v>249</v>
      </c>
      <c r="AB138" s="936">
        <f>+H138/'1.4.조성법총괄(내부이동률 적용)'!$D$51</f>
        <v>2.9439300946634765E-2</v>
      </c>
      <c r="AC138" s="934">
        <f t="shared" si="115"/>
        <v>4.0719424460431655E-2</v>
      </c>
      <c r="AD138" s="713"/>
      <c r="AE138" s="711"/>
    </row>
    <row r="139" spans="1:57" ht="24" customHeight="1">
      <c r="A139" s="2640"/>
      <c r="B139" s="2669"/>
      <c r="C139" s="2669"/>
      <c r="D139" s="2635" t="s">
        <v>905</v>
      </c>
      <c r="E139" s="1238" t="s">
        <v>906</v>
      </c>
      <c r="F139" s="713"/>
      <c r="G139" s="935">
        <f>+'2014처리구역인구 정리'!I124</f>
        <v>165</v>
      </c>
      <c r="H139" s="935">
        <f>+'2014처리구역인구 정리'!J124</f>
        <v>200</v>
      </c>
      <c r="I139" s="925">
        <f>ROUND((('1.4.조성법총괄(내부이동률 적용)'!E$47+'1.4.조성법총괄(내부이동률 적용)'!E$50*$AK$2)*$AB139)+(AL$89*$AC139),0)</f>
        <v>199</v>
      </c>
      <c r="J139" s="925">
        <f>ROUND((('1.4.조성법총괄(내부이동률 적용)'!F$47+'1.4.조성법총괄(내부이동률 적용)'!F$50*$AK$2)*$AB139)+(AM$89*$AC139),0)</f>
        <v>198</v>
      </c>
      <c r="K139" s="925">
        <f>ROUND((('1.4.조성법총괄(내부이동률 적용)'!G$47+'1.4.조성법총괄(내부이동률 적용)'!G$50*$AK$2)*$AB139)+(AN$89*$AC139),0)</f>
        <v>196</v>
      </c>
      <c r="L139" s="907">
        <f>ROUND((('1.4.조성법총괄(내부이동률 적용)'!H$47+'1.4.조성법총괄(내부이동률 적용)'!H$50*$AK$2)*$AB139)+(AO$89*$AC139),0)</f>
        <v>195</v>
      </c>
      <c r="M139" s="925">
        <f>ROUND((('1.4.조성법총괄(내부이동률 적용)'!I$47+'1.4.조성법총괄(내부이동률 적용)'!I$50*$AK$2)*$AB139)+(AP$89*$AC139),0)</f>
        <v>195</v>
      </c>
      <c r="N139" s="925">
        <f>ROUND((('1.4.조성법총괄(내부이동률 적용)'!J$47+'1.4.조성법총괄(내부이동률 적용)'!J$50*$AK$2)*$AB139)+(AQ$89*$AC139),0)</f>
        <v>194</v>
      </c>
      <c r="O139" s="925">
        <f>ROUND((('1.4.조성법총괄(내부이동률 적용)'!K$47+'1.4.조성법총괄(내부이동률 적용)'!K$50*$AK$2)*$AB139)+(AR$89*$AC139),0)</f>
        <v>194</v>
      </c>
      <c r="P139" s="925">
        <f>ROUND((('1.4.조성법총괄(내부이동률 적용)'!L$47+'1.4.조성법총괄(내부이동률 적용)'!L$50*$AK$2)*$AB139)+(AS$89*$AC139),0)</f>
        <v>194</v>
      </c>
      <c r="Q139" s="907">
        <f>ROUND((('1.4.조성법총괄(내부이동률 적용)'!M$47+'1.4.조성법총괄(내부이동률 적용)'!M$50*$AK$2)*$AB139)+(AT$89*$AC139),0)</f>
        <v>193</v>
      </c>
      <c r="R139" s="925">
        <f>ROUND((('1.4.조성법총괄(내부이동률 적용)'!N$47+'1.4.조성법총괄(내부이동률 적용)'!N$50*$AK$2)*$AB139)+(AU$89*$AC139),0)</f>
        <v>192</v>
      </c>
      <c r="S139" s="925">
        <f>ROUND((('1.4.조성법총괄(내부이동률 적용)'!O$47+'1.4.조성법총괄(내부이동률 적용)'!O$50*$AK$2)*$AB139)+(AV$89*$AC139),0)</f>
        <v>191</v>
      </c>
      <c r="T139" s="925">
        <f>ROUND((('1.4.조성법총괄(내부이동률 적용)'!P$47+'1.4.조성법총괄(내부이동률 적용)'!P$50*$AK$2)*$AB139)+(AW$89*$AC139),0)</f>
        <v>191</v>
      </c>
      <c r="U139" s="925">
        <f>ROUND((('1.4.조성법총괄(내부이동률 적용)'!Q$47+'1.4.조성법총괄(내부이동률 적용)'!Q$50*$AK$2)*$AB139)+(AX$89*$AC139),0)</f>
        <v>190</v>
      </c>
      <c r="V139" s="715">
        <f>ROUND((('1.4.조성법총괄(내부이동률 적용)'!R$47+'1.4.조성법총괄(내부이동률 적용)'!R$50*$AK$2)*$AB139)+(AY$89*$AC139),0)</f>
        <v>189</v>
      </c>
      <c r="W139" s="714">
        <f>ROUND((('1.4.조성법총괄(내부이동률 적용)'!S$47+'1.4.조성법총괄(내부이동률 적용)'!S$50*$AK$2)*$AB139)+(AZ$89*$AC139),0)</f>
        <v>188</v>
      </c>
      <c r="X139" s="714">
        <f>ROUND((('1.4.조성법총괄(내부이동률 적용)'!T$47+'1.4.조성법총괄(내부이동률 적용)'!T$50*$AK$2)*$AB139)+(BA$89*$AC139),0)</f>
        <v>188</v>
      </c>
      <c r="Y139" s="714">
        <f>ROUND((('1.4.조성법총괄(내부이동률 적용)'!U$47+'1.4.조성법총괄(내부이동률 적용)'!U$50*$AK$2)*$AB139)+(BB$89*$AC139),0)</f>
        <v>187</v>
      </c>
      <c r="Z139" s="714">
        <f>ROUND((('1.4.조성법총괄(내부이동률 적용)'!V$47+'1.4.조성법총괄(내부이동률 적용)'!V$50*$AK$2)*$AB139)+(BC$89*$AC139),0)</f>
        <v>186</v>
      </c>
      <c r="AA139" s="715">
        <f>ROUND((('1.4.조성법총괄(내부이동률 적용)'!W$47+'1.4.조성법총괄(내부이동률 적용)'!W$50*$AK$2)*$AB139)+(BD$89*$AC139),0)</f>
        <v>176</v>
      </c>
      <c r="AB139" s="936">
        <f>+H139/'1.4.조성법총괄(내부이동률 적용)'!$D$51</f>
        <v>2.0805159679600543E-2</v>
      </c>
      <c r="AC139" s="934">
        <f t="shared" si="115"/>
        <v>2.8776978417266189E-2</v>
      </c>
      <c r="AD139" s="713"/>
      <c r="AE139" s="711"/>
      <c r="AF139" s="712"/>
      <c r="AG139" s="712"/>
      <c r="AH139" s="712"/>
      <c r="AI139" s="712"/>
      <c r="AJ139" s="712"/>
      <c r="AK139" s="712"/>
      <c r="AL139" s="712"/>
      <c r="AM139" s="712"/>
      <c r="AN139" s="712"/>
      <c r="AO139" s="712"/>
      <c r="AP139" s="712"/>
      <c r="AQ139" s="712"/>
      <c r="AR139" s="712"/>
      <c r="AS139" s="712"/>
      <c r="AT139" s="712"/>
      <c r="AU139" s="712"/>
      <c r="AV139" s="712"/>
      <c r="AW139" s="712"/>
      <c r="AX139" s="712"/>
      <c r="AY139" s="712"/>
      <c r="AZ139" s="712"/>
      <c r="BA139" s="712"/>
      <c r="BB139" s="712"/>
      <c r="BC139" s="712"/>
      <c r="BD139" s="712"/>
      <c r="BE139" s="712"/>
    </row>
    <row r="140" spans="1:57" ht="24" customHeight="1">
      <c r="A140" s="2640"/>
      <c r="B140" s="2669"/>
      <c r="C140" s="2669"/>
      <c r="D140" s="2635"/>
      <c r="E140" s="1238" t="s">
        <v>1275</v>
      </c>
      <c r="F140" s="713"/>
      <c r="G140" s="935">
        <f>+'2014처리구역인구 정리'!I125</f>
        <v>58</v>
      </c>
      <c r="H140" s="935">
        <f>+'2014처리구역인구 정리'!J125</f>
        <v>68</v>
      </c>
      <c r="I140" s="925">
        <f>ROUND((('1.4.조성법총괄(내부이동률 적용)'!E$47+'1.4.조성법총괄(내부이동률 적용)'!E$50*$AK$2)*$AB140)+(AL$89*$AC140),0)</f>
        <v>68</v>
      </c>
      <c r="J140" s="925">
        <f>ROUND((('1.4.조성법총괄(내부이동률 적용)'!F$47+'1.4.조성법총괄(내부이동률 적용)'!F$50*$AK$2)*$AB140)+(AM$89*$AC140),0)</f>
        <v>67</v>
      </c>
      <c r="K140" s="925">
        <f>ROUND((('1.4.조성법총괄(내부이동률 적용)'!G$47+'1.4.조성법총괄(내부이동률 적용)'!G$50*$AK$2)*$AB140)+(AN$89*$AC140),0)</f>
        <v>67</v>
      </c>
      <c r="L140" s="907">
        <f>ROUND((('1.4.조성법총괄(내부이동률 적용)'!H$47+'1.4.조성법총괄(내부이동률 적용)'!H$50*$AK$2)*$AB140)+(AO$89*$AC140),0)</f>
        <v>66</v>
      </c>
      <c r="M140" s="925">
        <f>ROUND((('1.4.조성법총괄(내부이동률 적용)'!I$47+'1.4.조성법총괄(내부이동률 적용)'!I$50*$AK$2)*$AB140)+(AP$89*$AC140),0)</f>
        <v>66</v>
      </c>
      <c r="N140" s="925">
        <f>ROUND((('1.4.조성법총괄(내부이동률 적용)'!J$47+'1.4.조성법총괄(내부이동률 적용)'!J$50*$AK$2)*$AB140)+(AQ$89*$AC140),0)</f>
        <v>66</v>
      </c>
      <c r="O140" s="925">
        <f>ROUND((('1.4.조성법총괄(내부이동률 적용)'!K$47+'1.4.조성법총괄(내부이동률 적용)'!K$50*$AK$2)*$AB140)+(AR$89*$AC140),0)</f>
        <v>66</v>
      </c>
      <c r="P140" s="925">
        <f>ROUND((('1.4.조성법총괄(내부이동률 적용)'!L$47+'1.4.조성법총괄(내부이동률 적용)'!L$50*$AK$2)*$AB140)+(AS$89*$AC140),0)</f>
        <v>66</v>
      </c>
      <c r="Q140" s="907">
        <f>ROUND((('1.4.조성법총괄(내부이동률 적용)'!M$47+'1.4.조성법총괄(내부이동률 적용)'!M$50*$AK$2)*$AB140)+(AT$89*$AC140),0)</f>
        <v>65</v>
      </c>
      <c r="R140" s="925">
        <f>ROUND((('1.4.조성법총괄(내부이동률 적용)'!N$47+'1.4.조성법총괄(내부이동률 적용)'!N$50*$AK$2)*$AB140)+(AU$89*$AC140),0)</f>
        <v>65</v>
      </c>
      <c r="S140" s="925">
        <f>ROUND((('1.4.조성법총괄(내부이동률 적용)'!O$47+'1.4.조성법총괄(내부이동률 적용)'!O$50*$AK$2)*$AB140)+(AV$89*$AC140),0)</f>
        <v>65</v>
      </c>
      <c r="T140" s="925">
        <f>ROUND((('1.4.조성법총괄(내부이동률 적용)'!P$47+'1.4.조성법총괄(내부이동률 적용)'!P$50*$AK$2)*$AB140)+(AW$89*$AC140),0)</f>
        <v>65</v>
      </c>
      <c r="U140" s="925">
        <f>ROUND((('1.4.조성법총괄(내부이동률 적용)'!Q$47+'1.4.조성법총괄(내부이동률 적용)'!Q$50*$AK$2)*$AB140)+(AX$89*$AC140),0)</f>
        <v>65</v>
      </c>
      <c r="V140" s="715">
        <f>ROUND((('1.4.조성법총괄(내부이동률 적용)'!R$47+'1.4.조성법총괄(내부이동률 적용)'!R$50*$AK$2)*$AB140)+(AY$89*$AC140),0)</f>
        <v>64</v>
      </c>
      <c r="W140" s="714">
        <f>ROUND((('1.4.조성법총괄(내부이동률 적용)'!S$47+'1.4.조성법총괄(내부이동률 적용)'!S$50*$AK$2)*$AB140)+(AZ$89*$AC140),0)</f>
        <v>64</v>
      </c>
      <c r="X140" s="714">
        <f>ROUND((('1.4.조성법총괄(내부이동률 적용)'!T$47+'1.4.조성법총괄(내부이동률 적용)'!T$50*$AK$2)*$AB140)+(BA$89*$AC140),0)</f>
        <v>64</v>
      </c>
      <c r="Y140" s="714">
        <f>ROUND((('1.4.조성법총괄(내부이동률 적용)'!U$47+'1.4.조성법총괄(내부이동률 적용)'!U$50*$AK$2)*$AB140)+(BB$89*$AC140),0)</f>
        <v>64</v>
      </c>
      <c r="Z140" s="714">
        <f>ROUND((('1.4.조성법총괄(내부이동률 적용)'!V$47+'1.4.조성법총괄(내부이동률 적용)'!V$50*$AK$2)*$AB140)+(BC$89*$AC140),0)</f>
        <v>63</v>
      </c>
      <c r="AA140" s="715">
        <f>ROUND((('1.4.조성법총괄(내부이동률 적용)'!W$47+'1.4.조성법총괄(내부이동률 적용)'!W$50*$AK$2)*$AB140)+(BD$89*$AC140),0)</f>
        <v>60</v>
      </c>
      <c r="AB140" s="936">
        <f>+H140/'1.4.조성법총괄(내부이동률 적용)'!$D$51</f>
        <v>7.0737542910641838E-3</v>
      </c>
      <c r="AC140" s="934">
        <f t="shared" si="115"/>
        <v>9.7841726618705036E-3</v>
      </c>
      <c r="AD140" s="713"/>
      <c r="AE140" s="711"/>
      <c r="AF140" s="712"/>
      <c r="AG140" s="712"/>
      <c r="AH140" s="712"/>
      <c r="AI140" s="712"/>
      <c r="AJ140" s="712"/>
      <c r="AK140" s="712"/>
      <c r="AL140" s="712"/>
      <c r="AM140" s="712"/>
      <c r="AN140" s="712"/>
      <c r="AO140" s="712"/>
      <c r="AP140" s="712"/>
      <c r="AQ140" s="712"/>
      <c r="AR140" s="712"/>
      <c r="AS140" s="712"/>
      <c r="AT140" s="712"/>
      <c r="AU140" s="712"/>
      <c r="AV140" s="712"/>
      <c r="AW140" s="712"/>
      <c r="AX140" s="712"/>
      <c r="AY140" s="712"/>
      <c r="AZ140" s="712"/>
      <c r="BA140" s="712"/>
      <c r="BB140" s="712"/>
      <c r="BC140" s="712"/>
      <c r="BD140" s="712"/>
      <c r="BE140" s="712"/>
    </row>
    <row r="141" spans="1:57" s="712" customFormat="1" ht="24" customHeight="1">
      <c r="A141" s="2640"/>
      <c r="B141" s="2669"/>
      <c r="C141" s="2669"/>
      <c r="D141" s="2635" t="s">
        <v>907</v>
      </c>
      <c r="E141" s="1238" t="s">
        <v>908</v>
      </c>
      <c r="F141" s="713"/>
      <c r="G141" s="935">
        <f>+'2014처리구역인구 정리'!I126</f>
        <v>232</v>
      </c>
      <c r="H141" s="935">
        <f>+'2014처리구역인구 정리'!J126</f>
        <v>284</v>
      </c>
      <c r="I141" s="925">
        <f>ROUND((('1.4.조성법총괄(내부이동률 적용)'!E$47+'1.4.조성법총괄(내부이동률 적용)'!E$50*$AK$2)*$AB141)+(AL$89*$AC141),0)</f>
        <v>282</v>
      </c>
      <c r="J141" s="925">
        <f>ROUND((('1.4.조성법총괄(내부이동률 적용)'!F$47+'1.4.조성법총괄(내부이동률 적용)'!F$50*$AK$2)*$AB141)+(AM$89*$AC141),0)</f>
        <v>280</v>
      </c>
      <c r="K141" s="925">
        <f>ROUND((('1.4.조성법총괄(내부이동률 적용)'!G$47+'1.4.조성법총괄(내부이동률 적용)'!G$50*$AK$2)*$AB141)+(AN$89*$AC141),0)</f>
        <v>279</v>
      </c>
      <c r="L141" s="907">
        <f>ROUND((('1.4.조성법총괄(내부이동률 적용)'!H$47+'1.4.조성법총괄(내부이동률 적용)'!H$50*$AK$2)*$AB141)+(AO$89*$AC141),0)</f>
        <v>277</v>
      </c>
      <c r="M141" s="925">
        <f>ROUND((('1.4.조성법총괄(내부이동률 적용)'!I$47+'1.4.조성법총괄(내부이동률 적용)'!I$50*$AK$2)*$AB141)+(AP$89*$AC141),0)</f>
        <v>276</v>
      </c>
      <c r="N141" s="925">
        <f>ROUND((('1.4.조성법총괄(내부이동률 적용)'!J$47+'1.4.조성법총괄(내부이동률 적용)'!J$50*$AK$2)*$AB141)+(AQ$89*$AC141),0)</f>
        <v>276</v>
      </c>
      <c r="O141" s="925">
        <f>ROUND((('1.4.조성법총괄(내부이동률 적용)'!K$47+'1.4.조성법총괄(내부이동률 적용)'!K$50*$AK$2)*$AB141)+(AR$89*$AC141),0)</f>
        <v>275</v>
      </c>
      <c r="P141" s="925">
        <f>ROUND((('1.4.조성법총괄(내부이동률 적용)'!L$47+'1.4.조성법총괄(내부이동률 적용)'!L$50*$AK$2)*$AB141)+(AS$89*$AC141),0)</f>
        <v>275</v>
      </c>
      <c r="Q141" s="907">
        <f>ROUND((('1.4.조성법총괄(내부이동률 적용)'!M$47+'1.4.조성법총괄(내부이동률 적용)'!M$50*$AK$2)*$AB141)+(AT$89*$AC141),0)</f>
        <v>273</v>
      </c>
      <c r="R141" s="925">
        <f>ROUND((('1.4.조성법총괄(내부이동률 적용)'!N$47+'1.4.조성법총괄(내부이동률 적용)'!N$50*$AK$2)*$AB141)+(AU$89*$AC141),0)</f>
        <v>272</v>
      </c>
      <c r="S141" s="925">
        <f>ROUND((('1.4.조성법총괄(내부이동률 적용)'!O$47+'1.4.조성법총괄(내부이동률 적용)'!O$50*$AK$2)*$AB141)+(AV$89*$AC141),0)</f>
        <v>272</v>
      </c>
      <c r="T141" s="925">
        <f>ROUND((('1.4.조성법총괄(내부이동률 적용)'!P$47+'1.4.조성법총괄(내부이동률 적용)'!P$50*$AK$2)*$AB141)+(AW$89*$AC141),0)</f>
        <v>271</v>
      </c>
      <c r="U141" s="925">
        <f>ROUND((('1.4.조성법총괄(내부이동률 적용)'!Q$47+'1.4.조성법총괄(내부이동률 적용)'!Q$50*$AK$2)*$AB141)+(AX$89*$AC141),0)</f>
        <v>270</v>
      </c>
      <c r="V141" s="715">
        <f>ROUND((('1.4.조성법총괄(내부이동률 적용)'!R$47+'1.4.조성법총괄(내부이동률 적용)'!R$50*$AK$2)*$AB141)+(AY$89*$AC141),0)</f>
        <v>269</v>
      </c>
      <c r="W141" s="714">
        <f>ROUND((('1.4.조성법총괄(내부이동률 적용)'!S$47+'1.4.조성법총괄(내부이동률 적용)'!S$50*$AK$2)*$AB141)+(AZ$89*$AC141),0)</f>
        <v>268</v>
      </c>
      <c r="X141" s="714">
        <f>ROUND((('1.4.조성법총괄(내부이동률 적용)'!T$47+'1.4.조성법총괄(내부이동률 적용)'!T$50*$AK$2)*$AB141)+(BA$89*$AC141),0)</f>
        <v>266</v>
      </c>
      <c r="Y141" s="714">
        <f>ROUND((('1.4.조성법총괄(내부이동률 적용)'!U$47+'1.4.조성법총괄(내부이동률 적용)'!U$50*$AK$2)*$AB141)+(BB$89*$AC141),0)</f>
        <v>265</v>
      </c>
      <c r="Z141" s="714">
        <f>ROUND((('1.4.조성법총괄(내부이동률 적용)'!V$47+'1.4.조성법총괄(내부이동률 적용)'!V$50*$AK$2)*$AB141)+(BC$89*$AC141),0)</f>
        <v>264</v>
      </c>
      <c r="AA141" s="715">
        <f>ROUND((('1.4.조성법총괄(내부이동률 적용)'!W$47+'1.4.조성법총괄(내부이동률 적용)'!W$50*$AK$2)*$AB141)+(BD$89*$AC141),0)</f>
        <v>250</v>
      </c>
      <c r="AB141" s="936">
        <f>+H141/'1.4.조성법총괄(내부이동률 적용)'!$D$51</f>
        <v>2.954332674503277E-2</v>
      </c>
      <c r="AC141" s="934">
        <f t="shared" si="115"/>
        <v>4.0863309352517987E-2</v>
      </c>
      <c r="AD141" s="713"/>
      <c r="AE141" s="711"/>
    </row>
    <row r="142" spans="1:57" s="712" customFormat="1" ht="24" customHeight="1">
      <c r="A142" s="2640"/>
      <c r="B142" s="2669"/>
      <c r="C142" s="2669"/>
      <c r="D142" s="2635"/>
      <c r="E142" s="1238" t="s">
        <v>1276</v>
      </c>
      <c r="F142" s="713"/>
      <c r="G142" s="935">
        <f>+'2014처리구역인구 정리'!I127</f>
        <v>85</v>
      </c>
      <c r="H142" s="935">
        <f>+'2014처리구역인구 정리'!J127</f>
        <v>107</v>
      </c>
      <c r="I142" s="925">
        <f>ROUND((('1.4.조성법총괄(내부이동률 적용)'!E$47+'1.4.조성법총괄(내부이동률 적용)'!E$50*$AK$2)*$AB142)+(AL$89*$AC142),0)</f>
        <v>106</v>
      </c>
      <c r="J142" s="925">
        <f>ROUND((('1.4.조성법총괄(내부이동률 적용)'!F$47+'1.4.조성법총괄(내부이동률 적용)'!F$50*$AK$2)*$AB142)+(AM$89*$AC142),0)</f>
        <v>106</v>
      </c>
      <c r="K142" s="925">
        <f>ROUND((('1.4.조성법총괄(내부이동률 적용)'!G$47+'1.4.조성법총괄(내부이동률 적용)'!G$50*$AK$2)*$AB142)+(AN$89*$AC142),0)</f>
        <v>105</v>
      </c>
      <c r="L142" s="907">
        <f>ROUND((('1.4.조성법총괄(내부이동률 적용)'!H$47+'1.4.조성법총괄(내부이동률 적용)'!H$50*$AK$2)*$AB142)+(AO$89*$AC142),0)</f>
        <v>104</v>
      </c>
      <c r="M142" s="925">
        <f>ROUND((('1.4.조성법총괄(내부이동률 적용)'!I$47+'1.4.조성법총괄(내부이동률 적용)'!I$50*$AK$2)*$AB142)+(AP$89*$AC142),0)</f>
        <v>104</v>
      </c>
      <c r="N142" s="925">
        <f>ROUND((('1.4.조성법총괄(내부이동률 적용)'!J$47+'1.4.조성법총괄(내부이동률 적용)'!J$50*$AK$2)*$AB142)+(AQ$89*$AC142),0)</f>
        <v>104</v>
      </c>
      <c r="O142" s="925">
        <f>ROUND((('1.4.조성법총괄(내부이동률 적용)'!K$47+'1.4.조성법총괄(내부이동률 적용)'!K$50*$AK$2)*$AB142)+(AR$89*$AC142),0)</f>
        <v>104</v>
      </c>
      <c r="P142" s="925">
        <f>ROUND((('1.4.조성법총괄(내부이동률 적용)'!L$47+'1.4.조성법총괄(내부이동률 적용)'!L$50*$AK$2)*$AB142)+(AS$89*$AC142),0)</f>
        <v>104</v>
      </c>
      <c r="Q142" s="907">
        <f>ROUND((('1.4.조성법총괄(내부이동률 적용)'!M$47+'1.4.조성법총괄(내부이동률 적용)'!M$50*$AK$2)*$AB142)+(AT$89*$AC142),0)</f>
        <v>103</v>
      </c>
      <c r="R142" s="925">
        <f>ROUND((('1.4.조성법총괄(내부이동률 적용)'!N$47+'1.4.조성법총괄(내부이동률 적용)'!N$50*$AK$2)*$AB142)+(AU$89*$AC142),0)</f>
        <v>103</v>
      </c>
      <c r="S142" s="925">
        <f>ROUND((('1.4.조성법총괄(내부이동률 적용)'!O$47+'1.4.조성법총괄(내부이동률 적용)'!O$50*$AK$2)*$AB142)+(AV$89*$AC142),0)</f>
        <v>102</v>
      </c>
      <c r="T142" s="925">
        <f>ROUND((('1.4.조성법총괄(내부이동률 적용)'!P$47+'1.4.조성법총괄(내부이동률 적용)'!P$50*$AK$2)*$AB142)+(AW$89*$AC142),0)</f>
        <v>102</v>
      </c>
      <c r="U142" s="925">
        <f>ROUND((('1.4.조성법총괄(내부이동률 적용)'!Q$47+'1.4.조성법총괄(내부이동률 적용)'!Q$50*$AK$2)*$AB142)+(AX$89*$AC142),0)</f>
        <v>102</v>
      </c>
      <c r="V142" s="715">
        <f>ROUND((('1.4.조성법총괄(내부이동률 적용)'!R$47+'1.4.조성법총괄(내부이동률 적용)'!R$50*$AK$2)*$AB142)+(AY$89*$AC142),0)</f>
        <v>101</v>
      </c>
      <c r="W142" s="714">
        <f>ROUND((('1.4.조성법총괄(내부이동률 적용)'!S$47+'1.4.조성법총괄(내부이동률 적용)'!S$50*$AK$2)*$AB142)+(AZ$89*$AC142),0)</f>
        <v>101</v>
      </c>
      <c r="X142" s="714">
        <f>ROUND((('1.4.조성법총괄(내부이동률 적용)'!T$47+'1.4.조성법총괄(내부이동률 적용)'!T$50*$AK$2)*$AB142)+(BA$89*$AC142),0)</f>
        <v>100</v>
      </c>
      <c r="Y142" s="714">
        <f>ROUND((('1.4.조성법총괄(내부이동률 적용)'!U$47+'1.4.조성법총괄(내부이동률 적용)'!U$50*$AK$2)*$AB142)+(BB$89*$AC142),0)</f>
        <v>100</v>
      </c>
      <c r="Z142" s="714">
        <f>ROUND((('1.4.조성법총괄(내부이동률 적용)'!V$47+'1.4.조성법총괄(내부이동률 적용)'!V$50*$AK$2)*$AB142)+(BC$89*$AC142),0)</f>
        <v>99</v>
      </c>
      <c r="AA142" s="715">
        <f>ROUND((('1.4.조성법총괄(내부이동률 적용)'!W$47+'1.4.조성법총괄(내부이동률 적용)'!W$50*$AK$2)*$AB142)+(BD$89*$AC142),0)</f>
        <v>94</v>
      </c>
      <c r="AB142" s="936">
        <f>+H142/'1.4.조성법총괄(내부이동률 적용)'!$D$51</f>
        <v>1.113076042858629E-2</v>
      </c>
      <c r="AC142" s="934">
        <f t="shared" si="115"/>
        <v>1.539568345323741E-2</v>
      </c>
      <c r="AD142" s="713"/>
      <c r="AE142" s="711"/>
    </row>
    <row r="143" spans="1:57" s="712" customFormat="1" ht="24" customHeight="1">
      <c r="A143" s="2641"/>
      <c r="B143" s="2670"/>
      <c r="C143" s="2670"/>
      <c r="D143" s="1238"/>
      <c r="E143" s="1244" t="s">
        <v>149</v>
      </c>
      <c r="F143" s="713"/>
      <c r="G143" s="935">
        <f>AJ82</f>
        <v>0</v>
      </c>
      <c r="H143" s="935">
        <f t="shared" ref="H143:AA143" si="116">AK82</f>
        <v>0</v>
      </c>
      <c r="I143" s="925">
        <f t="shared" si="116"/>
        <v>0</v>
      </c>
      <c r="J143" s="925">
        <f t="shared" si="116"/>
        <v>0</v>
      </c>
      <c r="K143" s="925">
        <f t="shared" si="116"/>
        <v>0</v>
      </c>
      <c r="L143" s="907">
        <f t="shared" si="116"/>
        <v>0</v>
      </c>
      <c r="M143" s="925">
        <f t="shared" si="116"/>
        <v>0</v>
      </c>
      <c r="N143" s="925">
        <f t="shared" si="116"/>
        <v>0</v>
      </c>
      <c r="O143" s="925">
        <f t="shared" si="116"/>
        <v>0</v>
      </c>
      <c r="P143" s="925">
        <f t="shared" si="116"/>
        <v>0</v>
      </c>
      <c r="Q143" s="907">
        <f t="shared" si="116"/>
        <v>0</v>
      </c>
      <c r="R143" s="925">
        <f t="shared" si="116"/>
        <v>0</v>
      </c>
      <c r="S143" s="925">
        <f t="shared" si="116"/>
        <v>0</v>
      </c>
      <c r="T143" s="925">
        <f t="shared" si="116"/>
        <v>0</v>
      </c>
      <c r="U143" s="925">
        <f t="shared" si="116"/>
        <v>0</v>
      </c>
      <c r="V143" s="715">
        <f t="shared" si="116"/>
        <v>0</v>
      </c>
      <c r="W143" s="714">
        <f t="shared" si="116"/>
        <v>0</v>
      </c>
      <c r="X143" s="714">
        <f t="shared" si="116"/>
        <v>0</v>
      </c>
      <c r="Y143" s="714">
        <f t="shared" si="116"/>
        <v>0</v>
      </c>
      <c r="Z143" s="714">
        <f t="shared" si="116"/>
        <v>0</v>
      </c>
      <c r="AA143" s="715">
        <f t="shared" si="116"/>
        <v>3108</v>
      </c>
      <c r="AB143" s="936"/>
      <c r="AC143" s="934"/>
      <c r="AD143" s="713" t="s">
        <v>1495</v>
      </c>
      <c r="AE143" s="711"/>
    </row>
    <row r="144" spans="1:57" s="712" customFormat="1" ht="24" customHeight="1">
      <c r="A144" s="1"/>
      <c r="B144" s="1"/>
      <c r="C144" s="1"/>
      <c r="D144" s="1"/>
      <c r="E144" s="1"/>
      <c r="F144" s="1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57" s="712" customFormat="1" ht="24" customHeight="1">
      <c r="A145" s="1239" t="s">
        <v>1093</v>
      </c>
      <c r="B145" s="1239"/>
      <c r="C145" s="1239"/>
      <c r="D145" s="1239"/>
      <c r="E145" s="1239"/>
      <c r="F145" s="1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676"/>
    </row>
    <row r="146" spans="1:57" s="712" customFormat="1" ht="39.950000000000003" customHeight="1">
      <c r="A146" s="98" t="s">
        <v>0</v>
      </c>
      <c r="B146" s="98" t="s">
        <v>1</v>
      </c>
      <c r="C146" s="99" t="s">
        <v>2</v>
      </c>
      <c r="D146" s="99" t="s">
        <v>3</v>
      </c>
      <c r="E146" s="99" t="s">
        <v>4</v>
      </c>
      <c r="F146" s="99">
        <v>2013</v>
      </c>
      <c r="G146" s="737">
        <v>2015</v>
      </c>
      <c r="H146" s="99">
        <v>2016</v>
      </c>
      <c r="I146" s="99">
        <v>2017</v>
      </c>
      <c r="J146" s="99">
        <v>2018</v>
      </c>
      <c r="K146" s="99">
        <v>2019</v>
      </c>
      <c r="L146" s="99">
        <v>2020</v>
      </c>
      <c r="M146" s="99">
        <v>2021</v>
      </c>
      <c r="N146" s="99">
        <v>2022</v>
      </c>
      <c r="O146" s="99">
        <v>2023</v>
      </c>
      <c r="P146" s="99">
        <v>2024</v>
      </c>
      <c r="Q146" s="99">
        <v>2025</v>
      </c>
      <c r="R146" s="99">
        <v>2026</v>
      </c>
      <c r="S146" s="99">
        <v>2027</v>
      </c>
      <c r="T146" s="99">
        <v>2028</v>
      </c>
      <c r="U146" s="99">
        <v>2029</v>
      </c>
      <c r="V146" s="99">
        <v>2030</v>
      </c>
      <c r="W146" s="99">
        <v>2031</v>
      </c>
      <c r="X146" s="99">
        <v>2032</v>
      </c>
      <c r="Y146" s="99">
        <v>2033</v>
      </c>
      <c r="Z146" s="99">
        <v>2034</v>
      </c>
      <c r="AA146" s="99">
        <v>2035</v>
      </c>
      <c r="AB146" s="98" t="s">
        <v>140</v>
      </c>
      <c r="AC146" s="98" t="s">
        <v>141</v>
      </c>
      <c r="AD146" s="99" t="s">
        <v>139</v>
      </c>
      <c r="AE146" s="674" t="str">
        <f>A145</f>
        <v>1.4 감곡 처리구역 인구</v>
      </c>
    </row>
    <row r="147" spans="1:57" s="712" customFormat="1" ht="24" customHeight="1">
      <c r="A147" s="2668" t="s">
        <v>1094</v>
      </c>
      <c r="B147" s="2636" t="s">
        <v>6</v>
      </c>
      <c r="C147" s="2636"/>
      <c r="D147" s="2636"/>
      <c r="E147" s="2636"/>
      <c r="F147" s="713"/>
      <c r="G147" s="907">
        <f t="shared" ref="G147:AA147" si="117">SUM(G148,G161)</f>
        <v>7747</v>
      </c>
      <c r="H147" s="907">
        <f t="shared" si="117"/>
        <v>8037</v>
      </c>
      <c r="I147" s="907">
        <f t="shared" si="117"/>
        <v>8017</v>
      </c>
      <c r="J147" s="907">
        <f t="shared" si="117"/>
        <v>8210</v>
      </c>
      <c r="K147" s="907">
        <f t="shared" si="117"/>
        <v>8199</v>
      </c>
      <c r="L147" s="907">
        <f t="shared" si="117"/>
        <v>8387</v>
      </c>
      <c r="M147" s="907">
        <f t="shared" si="117"/>
        <v>8801</v>
      </c>
      <c r="N147" s="907">
        <f t="shared" si="117"/>
        <v>9212</v>
      </c>
      <c r="O147" s="907">
        <f t="shared" si="117"/>
        <v>9217</v>
      </c>
      <c r="P147" s="907">
        <f t="shared" si="117"/>
        <v>9223</v>
      </c>
      <c r="Q147" s="907">
        <f t="shared" si="117"/>
        <v>9559</v>
      </c>
      <c r="R147" s="907">
        <f t="shared" si="117"/>
        <v>9548</v>
      </c>
      <c r="S147" s="907">
        <f t="shared" si="117"/>
        <v>9540</v>
      </c>
      <c r="T147" s="907">
        <f t="shared" si="117"/>
        <v>9529</v>
      </c>
      <c r="U147" s="907">
        <f t="shared" si="117"/>
        <v>9518</v>
      </c>
      <c r="V147" s="907">
        <f t="shared" si="117"/>
        <v>9508</v>
      </c>
      <c r="W147" s="907">
        <f t="shared" si="117"/>
        <v>9490</v>
      </c>
      <c r="X147" s="907">
        <f t="shared" si="117"/>
        <v>9475</v>
      </c>
      <c r="Y147" s="907">
        <f t="shared" si="117"/>
        <v>9458</v>
      </c>
      <c r="Z147" s="907">
        <f t="shared" si="117"/>
        <v>9436</v>
      </c>
      <c r="AA147" s="907">
        <f t="shared" si="117"/>
        <v>12125</v>
      </c>
      <c r="AB147" s="713"/>
      <c r="AC147" s="713"/>
      <c r="AD147" s="713"/>
      <c r="AE147" s="675">
        <f>+H148+H161</f>
        <v>8037</v>
      </c>
    </row>
    <row r="148" spans="1:57" s="712" customFormat="1" ht="24" customHeight="1">
      <c r="A148" s="2669"/>
      <c r="B148" s="2668" t="s">
        <v>1095</v>
      </c>
      <c r="C148" s="2635" t="s">
        <v>7</v>
      </c>
      <c r="D148" s="2635"/>
      <c r="E148" s="2635"/>
      <c r="F148" s="713"/>
      <c r="G148" s="907">
        <f t="shared" ref="G148:AA148" si="118">SUM(G149:G160)</f>
        <v>5690</v>
      </c>
      <c r="H148" s="907">
        <f t="shared" si="118"/>
        <v>5909</v>
      </c>
      <c r="I148" s="926">
        <f t="shared" si="118"/>
        <v>5895</v>
      </c>
      <c r="J148" s="926">
        <f t="shared" si="118"/>
        <v>6127</v>
      </c>
      <c r="K148" s="926">
        <f t="shared" si="118"/>
        <v>6120</v>
      </c>
      <c r="L148" s="907">
        <f t="shared" si="118"/>
        <v>6259</v>
      </c>
      <c r="M148" s="907">
        <f t="shared" si="118"/>
        <v>6562</v>
      </c>
      <c r="N148" s="907">
        <f t="shared" si="118"/>
        <v>6864</v>
      </c>
      <c r="O148" s="907">
        <f t="shared" si="118"/>
        <v>6868</v>
      </c>
      <c r="P148" s="907">
        <f t="shared" si="118"/>
        <v>6872</v>
      </c>
      <c r="Q148" s="907">
        <f t="shared" si="118"/>
        <v>7264</v>
      </c>
      <c r="R148" s="907">
        <f t="shared" si="118"/>
        <v>7256</v>
      </c>
      <c r="S148" s="907">
        <f t="shared" si="118"/>
        <v>7251</v>
      </c>
      <c r="T148" s="907">
        <f t="shared" si="118"/>
        <v>7242</v>
      </c>
      <c r="U148" s="907">
        <f t="shared" si="118"/>
        <v>7235</v>
      </c>
      <c r="V148" s="907">
        <f t="shared" si="118"/>
        <v>7226</v>
      </c>
      <c r="W148" s="907">
        <f t="shared" si="118"/>
        <v>7214</v>
      </c>
      <c r="X148" s="907">
        <f t="shared" si="118"/>
        <v>7203</v>
      </c>
      <c r="Y148" s="907">
        <f t="shared" si="118"/>
        <v>7191</v>
      </c>
      <c r="Z148" s="907">
        <f t="shared" si="118"/>
        <v>7174</v>
      </c>
      <c r="AA148" s="907">
        <f t="shared" si="118"/>
        <v>9151</v>
      </c>
      <c r="AB148" s="713"/>
      <c r="AC148" s="713"/>
      <c r="AD148" s="713"/>
      <c r="AE148" s="1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</row>
    <row r="149" spans="1:57" s="712" customFormat="1" ht="24" customHeight="1">
      <c r="A149" s="2669"/>
      <c r="B149" s="2669"/>
      <c r="C149" s="2668" t="s">
        <v>644</v>
      </c>
      <c r="D149" s="2653" t="s">
        <v>998</v>
      </c>
      <c r="E149" s="772" t="s">
        <v>999</v>
      </c>
      <c r="F149" s="713"/>
      <c r="G149" s="935">
        <f>+'2014처리구역인구 정리'!I133</f>
        <v>862</v>
      </c>
      <c r="H149" s="935">
        <f>+'2014처리구역인구 정리'!J133</f>
        <v>899</v>
      </c>
      <c r="I149" s="925">
        <f>ROUND((('1.4.조성법총괄(내부이동률 적용)'!E$61+'1.4.조성법총괄(내부이동률 적용)'!E$64*$AK$2)*$AB149)+(AL$109*$AC149),0)</f>
        <v>897</v>
      </c>
      <c r="J149" s="925">
        <f>ROUND((('1.4.조성법총괄(내부이동률 적용)'!F$61+'1.4.조성법총괄(내부이동률 적용)'!F$64*$AK$2)*$AB149)+(AM$109*$AC149),0)</f>
        <v>880</v>
      </c>
      <c r="K149" s="925">
        <f>ROUND((('1.4.조성법총괄(내부이동률 적용)'!G$61+'1.4.조성법총괄(내부이동률 적용)'!G$64*$AK$2)*$AB149)+(AN$109*$AC149),0)</f>
        <v>879</v>
      </c>
      <c r="L149" s="907">
        <f>ROUND((('1.4.조성법총괄(내부이동률 적용)'!H$61+'1.4.조성법총괄(내부이동률 적용)'!H$64*$AK$2)*$AB149)+(AO$109*$AC149),0)</f>
        <v>900</v>
      </c>
      <c r="M149" s="925">
        <f>ROUND((('1.4.조성법총괄(내부이동률 적용)'!I$61+'1.4.조성법총괄(내부이동률 적용)'!I$64*$AK$2)*$AB149)+(AP$109*$AC149),0)</f>
        <v>946</v>
      </c>
      <c r="N149" s="925">
        <f>ROUND((('1.4.조성법총괄(내부이동률 적용)'!J$61+'1.4.조성법총괄(내부이동률 적용)'!J$64*$AK$2)*$AB149)+(AQ$109*$AC149),0)</f>
        <v>992</v>
      </c>
      <c r="O149" s="925">
        <f>ROUND((('1.4.조성법총괄(내부이동률 적용)'!K$61+'1.4.조성법총괄(내부이동률 적용)'!K$64*$AK$2)*$AB149)+(AR$109*$AC149),0)</f>
        <v>993</v>
      </c>
      <c r="P149" s="925">
        <f>ROUND((('1.4.조성법총괄(내부이동률 적용)'!L$61+'1.4.조성법총괄(내부이동률 적용)'!L$64*$AK$2)*$AB149)+(AS$109*$AC149),0)</f>
        <v>993</v>
      </c>
      <c r="Q149" s="907">
        <f>ROUND((('1.4.조성법총괄(내부이동률 적용)'!M$61+'1.4.조성법총괄(내부이동률 적용)'!M$64*$AK$2)*$AB149)+(AT$109*$AC149),0)</f>
        <v>969</v>
      </c>
      <c r="R149" s="925">
        <f>ROUND((('1.4.조성법총괄(내부이동률 적용)'!N$61+'1.4.조성법총괄(내부이동률 적용)'!N$64*$AK$2)*$AB149)+(AU$109*$AC149),0)</f>
        <v>968</v>
      </c>
      <c r="S149" s="925">
        <f>ROUND((('1.4.조성법총괄(내부이동률 적용)'!O$61+'1.4.조성법총괄(내부이동률 적용)'!O$64*$AK$2)*$AB149)+(AV$109*$AC149),0)</f>
        <v>967</v>
      </c>
      <c r="T149" s="925">
        <f>ROUND((('1.4.조성법총괄(내부이동률 적용)'!P$61+'1.4.조성법총괄(내부이동률 적용)'!P$64*$AK$2)*$AB149)+(AW$109*$AC149),0)</f>
        <v>966</v>
      </c>
      <c r="U149" s="925">
        <f>ROUND((('1.4.조성법총괄(내부이동률 적용)'!Q$61+'1.4.조성법총괄(내부이동률 적용)'!Q$64*$AK$2)*$AB149)+(AX$109*$AC149),0)</f>
        <v>965</v>
      </c>
      <c r="V149" s="715">
        <f>ROUND((('1.4.조성법총괄(내부이동률 적용)'!R$61+'1.4.조성법총괄(내부이동률 적용)'!R$64*$AK$2)*$AB149)+(AY$109*$AC149),0)</f>
        <v>964</v>
      </c>
      <c r="W149" s="714">
        <f>ROUND((('1.4.조성법총괄(내부이동률 적용)'!S$61+'1.4.조성법총괄(내부이동률 적용)'!S$64*$AK$2)*$AB149)+(AZ$109*$AC149),0)</f>
        <v>962</v>
      </c>
      <c r="X149" s="714">
        <f>ROUND((('1.4.조성법총괄(내부이동률 적용)'!T$61+'1.4.조성법총괄(내부이동률 적용)'!T$64*$AK$2)*$AB149)+(BA$109*$AC149),0)</f>
        <v>960</v>
      </c>
      <c r="Y149" s="714">
        <f>ROUND((('1.4.조성법총괄(내부이동률 적용)'!U$61+'1.4.조성법총괄(내부이동률 적용)'!U$64*$AK$2)*$AB149)+(BB$109*$AC149),0)</f>
        <v>958</v>
      </c>
      <c r="Z149" s="714">
        <f>ROUND((('1.4.조성법총괄(내부이동률 적용)'!V$61+'1.4.조성법총괄(내부이동률 적용)'!V$64*$AK$2)*$AB149)+(BC$109*$AC149),0)</f>
        <v>956</v>
      </c>
      <c r="AA149" s="715">
        <f>ROUND((('1.4.조성법총괄(내부이동률 적용)'!W$61+'1.4.조성법총괄(내부이동률 적용)'!W$64*$AK$2)*$AB149)+(BD$109*$AC149),0)</f>
        <v>1256</v>
      </c>
      <c r="AB149" s="936">
        <f>+H149/'1.4.조성법총괄(내부이동률 적용)'!$D$65</f>
        <v>7.8908101465812341E-2</v>
      </c>
      <c r="AC149" s="934">
        <f t="shared" ref="AC149:AC156" si="119">+H149/$AE$147</f>
        <v>0.11185765833022272</v>
      </c>
      <c r="AD149" s="713"/>
      <c r="AE149" s="1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</row>
    <row r="150" spans="1:57" s="712" customFormat="1" ht="24" customHeight="1">
      <c r="A150" s="2669"/>
      <c r="B150" s="2669"/>
      <c r="C150" s="2669"/>
      <c r="D150" s="2654"/>
      <c r="E150" s="772" t="s">
        <v>1000</v>
      </c>
      <c r="F150" s="713"/>
      <c r="G150" s="935">
        <f>+'2014처리구역인구 정리'!I134</f>
        <v>549</v>
      </c>
      <c r="H150" s="935">
        <f>+'2014처리구역인구 정리'!J134</f>
        <v>561</v>
      </c>
      <c r="I150" s="925">
        <f>ROUND((('1.4.조성법총괄(내부이동률 적용)'!E$61+'1.4.조성법총괄(내부이동률 적용)'!E$64*$AK$2)*$AB150)+(AL$109*$AC150),0)</f>
        <v>560</v>
      </c>
      <c r="J150" s="925">
        <f>ROUND((('1.4.조성법총괄(내부이동률 적용)'!F$61+'1.4.조성법총괄(내부이동률 적용)'!F$64*$AK$2)*$AB150)+(AM$109*$AC150),0)</f>
        <v>549</v>
      </c>
      <c r="K150" s="925">
        <f>ROUND((('1.4.조성법총괄(내부이동률 적용)'!G$61+'1.4.조성법총괄(내부이동률 적용)'!G$64*$AK$2)*$AB150)+(AN$109*$AC150),0)</f>
        <v>548</v>
      </c>
      <c r="L150" s="907">
        <f>ROUND((('1.4.조성법총괄(내부이동률 적용)'!H$61+'1.4.조성법총괄(내부이동률 적용)'!H$64*$AK$2)*$AB150)+(AO$109*$AC150),0)</f>
        <v>562</v>
      </c>
      <c r="M150" s="925">
        <f>ROUND((('1.4.조성법총괄(내부이동률 적용)'!I$61+'1.4.조성법총괄(내부이동률 적용)'!I$64*$AK$2)*$AB150)+(AP$109*$AC150),0)</f>
        <v>590</v>
      </c>
      <c r="N150" s="925">
        <f>ROUND((('1.4.조성법총괄(내부이동률 적용)'!J$61+'1.4.조성법총괄(내부이동률 적용)'!J$64*$AK$2)*$AB150)+(AQ$109*$AC150),0)</f>
        <v>619</v>
      </c>
      <c r="O150" s="925">
        <f>ROUND((('1.4.조성법총괄(내부이동률 적용)'!K$61+'1.4.조성법총괄(내부이동률 적용)'!K$64*$AK$2)*$AB150)+(AR$109*$AC150),0)</f>
        <v>619</v>
      </c>
      <c r="P150" s="925">
        <f>ROUND((('1.4.조성법총괄(내부이동률 적용)'!L$61+'1.4.조성법총괄(내부이동률 적용)'!L$64*$AK$2)*$AB150)+(AS$109*$AC150),0)</f>
        <v>620</v>
      </c>
      <c r="Q150" s="907">
        <f>ROUND((('1.4.조성법총괄(내부이동률 적용)'!M$61+'1.4.조성법총괄(내부이동률 적용)'!M$64*$AK$2)*$AB150)+(AT$109*$AC150),0)</f>
        <v>605</v>
      </c>
      <c r="R150" s="925">
        <f>ROUND((('1.4.조성법총괄(내부이동률 적용)'!N$61+'1.4.조성법총괄(내부이동률 적용)'!N$64*$AK$2)*$AB150)+(AU$109*$AC150),0)</f>
        <v>604</v>
      </c>
      <c r="S150" s="925">
        <f>ROUND((('1.4.조성법총괄(내부이동률 적용)'!O$61+'1.4.조성법총괄(내부이동률 적용)'!O$64*$AK$2)*$AB150)+(AV$109*$AC150),0)</f>
        <v>604</v>
      </c>
      <c r="T150" s="925">
        <f>ROUND((('1.4.조성법총괄(내부이동률 적용)'!P$61+'1.4.조성법총괄(내부이동률 적용)'!P$64*$AK$2)*$AB150)+(AW$109*$AC150),0)</f>
        <v>603</v>
      </c>
      <c r="U150" s="925">
        <f>ROUND((('1.4.조성법총괄(내부이동률 적용)'!Q$61+'1.4.조성법총괄(내부이동률 적용)'!Q$64*$AK$2)*$AB150)+(AX$109*$AC150),0)</f>
        <v>602</v>
      </c>
      <c r="V150" s="715">
        <f>ROUND((('1.4.조성법총괄(내부이동률 적용)'!R$61+'1.4.조성법총괄(내부이동률 적용)'!R$64*$AK$2)*$AB150)+(AY$109*$AC150),0)</f>
        <v>601</v>
      </c>
      <c r="W150" s="714">
        <f>ROUND((('1.4.조성법총괄(내부이동률 적용)'!S$61+'1.4.조성법총괄(내부이동률 적용)'!S$64*$AK$2)*$AB150)+(AZ$109*$AC150),0)</f>
        <v>600</v>
      </c>
      <c r="X150" s="714">
        <f>ROUND((('1.4.조성법총괄(내부이동률 적용)'!T$61+'1.4.조성법총괄(내부이동률 적용)'!T$64*$AK$2)*$AB150)+(BA$109*$AC150),0)</f>
        <v>599</v>
      </c>
      <c r="Y150" s="714">
        <f>ROUND((('1.4.조성법총괄(내부이동률 적용)'!U$61+'1.4.조성법총괄(내부이동률 적용)'!U$64*$AK$2)*$AB150)+(BB$109*$AC150),0)</f>
        <v>598</v>
      </c>
      <c r="Z150" s="714">
        <f>ROUND((('1.4.조성법총괄(내부이동률 적용)'!V$61+'1.4.조성법총괄(내부이동률 적용)'!V$64*$AK$2)*$AB150)+(BC$109*$AC150),0)</f>
        <v>596</v>
      </c>
      <c r="AA150" s="715">
        <f>ROUND((('1.4.조성법총괄(내부이동률 적용)'!W$61+'1.4.조성법총괄(내부이동률 적용)'!W$64*$AK$2)*$AB150)+(BD$109*$AC150),0)</f>
        <v>784</v>
      </c>
      <c r="AB150" s="936">
        <f>+H150/'1.4.조성법총괄(내부이동률 적용)'!$D$65</f>
        <v>4.92407618713245E-2</v>
      </c>
      <c r="AC150" s="934">
        <f t="shared" si="119"/>
        <v>6.9802164986935422E-2</v>
      </c>
      <c r="AD150" s="713"/>
      <c r="AE150" s="1"/>
      <c r="AF150" s="2"/>
      <c r="AG150" s="675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</row>
    <row r="151" spans="1:57" s="712" customFormat="1" ht="24" customHeight="1">
      <c r="A151" s="2669"/>
      <c r="B151" s="2669"/>
      <c r="C151" s="2669"/>
      <c r="D151" s="2654"/>
      <c r="E151" s="772" t="s">
        <v>1001</v>
      </c>
      <c r="F151" s="713"/>
      <c r="G151" s="935">
        <f>+'2014처리구역인구 정리'!I135</f>
        <v>211</v>
      </c>
      <c r="H151" s="935">
        <f>+'2014처리구역인구 정리'!J135</f>
        <v>224</v>
      </c>
      <c r="I151" s="925">
        <f>ROUND((('1.4.조성법총괄(내부이동률 적용)'!E$61+'1.4.조성법총괄(내부이동률 적용)'!E$64*$AK$2)*$AB151)+(AL$109*$AC151),0)</f>
        <v>223</v>
      </c>
      <c r="J151" s="925">
        <f>ROUND((('1.4.조성법총괄(내부이동률 적용)'!F$61+'1.4.조성법총괄(내부이동률 적용)'!F$64*$AK$2)*$AB151)+(AM$109*$AC151),0)</f>
        <v>219</v>
      </c>
      <c r="K151" s="925">
        <f>ROUND((('1.4.조성법총괄(내부이동률 적용)'!G$61+'1.4.조성법총괄(내부이동률 적용)'!G$64*$AK$2)*$AB151)+(AN$109*$AC151),0)</f>
        <v>219</v>
      </c>
      <c r="L151" s="907">
        <f>ROUND((('1.4.조성법총괄(내부이동률 적용)'!H$61+'1.4.조성법총괄(내부이동률 적용)'!H$64*$AK$2)*$AB151)+(AO$109*$AC151),0)</f>
        <v>224</v>
      </c>
      <c r="M151" s="925">
        <f>ROUND((('1.4.조성법총괄(내부이동률 적용)'!I$61+'1.4.조성법총괄(내부이동률 적용)'!I$64*$AK$2)*$AB151)+(AP$109*$AC151),0)</f>
        <v>236</v>
      </c>
      <c r="N151" s="925">
        <f>ROUND((('1.4.조성법총괄(내부이동률 적용)'!J$61+'1.4.조성법총괄(내부이동률 적용)'!J$64*$AK$2)*$AB151)+(AQ$109*$AC151),0)</f>
        <v>247</v>
      </c>
      <c r="O151" s="925">
        <f>ROUND((('1.4.조성법총괄(내부이동률 적용)'!K$61+'1.4.조성법총괄(내부이동률 적용)'!K$64*$AK$2)*$AB151)+(AR$109*$AC151),0)</f>
        <v>247</v>
      </c>
      <c r="P151" s="925">
        <f>ROUND((('1.4.조성법총괄(내부이동률 적용)'!L$61+'1.4.조성법총괄(내부이동률 적용)'!L$64*$AK$2)*$AB151)+(AS$109*$AC151),0)</f>
        <v>247</v>
      </c>
      <c r="Q151" s="907">
        <f>ROUND((('1.4.조성법총괄(내부이동률 적용)'!M$61+'1.4.조성법총괄(내부이동률 적용)'!M$64*$AK$2)*$AB151)+(AT$109*$AC151),0)</f>
        <v>242</v>
      </c>
      <c r="R151" s="925">
        <f>ROUND((('1.4.조성법총괄(내부이동률 적용)'!N$61+'1.4.조성법총괄(내부이동률 적용)'!N$64*$AK$2)*$AB151)+(AU$109*$AC151),0)</f>
        <v>241</v>
      </c>
      <c r="S151" s="925">
        <f>ROUND((('1.4.조성법총괄(내부이동률 적용)'!O$61+'1.4.조성법총괄(내부이동률 적용)'!O$64*$AK$2)*$AB151)+(AV$109*$AC151),0)</f>
        <v>241</v>
      </c>
      <c r="T151" s="925">
        <f>ROUND((('1.4.조성법총괄(내부이동률 적용)'!P$61+'1.4.조성법총괄(내부이동률 적용)'!P$64*$AK$2)*$AB151)+(AW$109*$AC151),0)</f>
        <v>241</v>
      </c>
      <c r="U151" s="925">
        <f>ROUND((('1.4.조성법총괄(내부이동률 적용)'!Q$61+'1.4.조성법총괄(내부이동률 적용)'!Q$64*$AK$2)*$AB151)+(AX$109*$AC151),0)</f>
        <v>240</v>
      </c>
      <c r="V151" s="715">
        <f>ROUND((('1.4.조성법총괄(내부이동률 적용)'!R$61+'1.4.조성법총괄(내부이동률 적용)'!R$64*$AK$2)*$AB151)+(AY$109*$AC151),0)</f>
        <v>240</v>
      </c>
      <c r="W151" s="714">
        <f>ROUND((('1.4.조성법총괄(내부이동률 적용)'!S$61+'1.4.조성법총괄(내부이동률 적용)'!S$64*$AK$2)*$AB151)+(AZ$109*$AC151),0)</f>
        <v>240</v>
      </c>
      <c r="X151" s="714">
        <f>ROUND((('1.4.조성법총괄(내부이동률 적용)'!T$61+'1.4.조성법총괄(내부이동률 적용)'!T$64*$AK$2)*$AB151)+(BA$109*$AC151),0)</f>
        <v>239</v>
      </c>
      <c r="Y151" s="714">
        <f>ROUND((('1.4.조성법총괄(내부이동률 적용)'!U$61+'1.4.조성법총괄(내부이동률 적용)'!U$64*$AK$2)*$AB151)+(BB$109*$AC151),0)</f>
        <v>239</v>
      </c>
      <c r="Z151" s="714">
        <f>ROUND((('1.4.조성법총괄(내부이동률 적용)'!V$61+'1.4.조성법총괄(내부이동률 적용)'!V$64*$AK$2)*$AB151)+(BC$109*$AC151),0)</f>
        <v>238</v>
      </c>
      <c r="AA151" s="715">
        <f>ROUND((('1.4.조성법총괄(내부이동률 적용)'!W$61+'1.4.조성법총괄(내부이동률 적용)'!W$64*$AK$2)*$AB151)+(BD$109*$AC151),0)</f>
        <v>313</v>
      </c>
      <c r="AB151" s="936">
        <f>+H151/'1.4.조성법총괄(내부이동률 적용)'!$D$65</f>
        <v>1.9661195470903187E-2</v>
      </c>
      <c r="AC151" s="934">
        <f t="shared" si="119"/>
        <v>2.787109618016673E-2</v>
      </c>
      <c r="AD151" s="713"/>
      <c r="AE151" s="1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</row>
    <row r="152" spans="1:57" s="712" customFormat="1" ht="24" customHeight="1">
      <c r="A152" s="2669"/>
      <c r="B152" s="2669"/>
      <c r="C152" s="2669"/>
      <c r="D152" s="2654"/>
      <c r="E152" s="772" t="s">
        <v>1002</v>
      </c>
      <c r="F152" s="713"/>
      <c r="G152" s="935">
        <f>+'2014처리구역인구 정리'!I136</f>
        <v>555</v>
      </c>
      <c r="H152" s="935">
        <f>+'2014처리구역인구 정리'!J136</f>
        <v>590</v>
      </c>
      <c r="I152" s="925">
        <f>ROUND((('1.4.조성법총괄(내부이동률 적용)'!E$61+'1.4.조성법총괄(내부이동률 적용)'!E$64*$AK$2)*$AB152)+(AL$109*$AC152),0)</f>
        <v>589</v>
      </c>
      <c r="J152" s="925">
        <f>ROUND((('1.4.조성법총괄(내부이동률 적용)'!F$61+'1.4.조성법총괄(내부이동률 적용)'!F$64*$AK$2)*$AB152)+(AM$109*$AC152),0)</f>
        <v>577</v>
      </c>
      <c r="K152" s="925">
        <f>ROUND((('1.4.조성법총괄(내부이동률 적용)'!G$61+'1.4.조성법총괄(내부이동률 적용)'!G$64*$AK$2)*$AB152)+(AN$109*$AC152),0)</f>
        <v>577</v>
      </c>
      <c r="L152" s="907">
        <f>ROUND((('1.4.조성법총괄(내부이동률 적용)'!H$61+'1.4.조성법총괄(내부이동률 적용)'!H$64*$AK$2)*$AB152)+(AO$109*$AC152),0)</f>
        <v>591</v>
      </c>
      <c r="M152" s="925">
        <f>ROUND((('1.4.조성법총괄(내부이동률 적용)'!I$61+'1.4.조성법총괄(내부이동률 적용)'!I$64*$AK$2)*$AB152)+(AP$109*$AC152),0)</f>
        <v>621</v>
      </c>
      <c r="N152" s="925">
        <f>ROUND((('1.4.조성법총괄(내부이동률 적용)'!J$61+'1.4.조성법총괄(내부이동률 적용)'!J$64*$AK$2)*$AB152)+(AQ$109*$AC152),0)</f>
        <v>651</v>
      </c>
      <c r="O152" s="925">
        <f>ROUND((('1.4.조성법총괄(내부이동률 적용)'!K$61+'1.4.조성법총괄(내부이동률 적용)'!K$64*$AK$2)*$AB152)+(AR$109*$AC152),0)</f>
        <v>651</v>
      </c>
      <c r="P152" s="925">
        <f>ROUND((('1.4.조성법총괄(내부이동률 적용)'!L$61+'1.4.조성법총괄(내부이동률 적용)'!L$64*$AK$2)*$AB152)+(AS$109*$AC152),0)</f>
        <v>652</v>
      </c>
      <c r="Q152" s="907">
        <f>ROUND((('1.4.조성법총괄(내부이동률 적용)'!M$61+'1.4.조성법총괄(내부이동률 적용)'!M$64*$AK$2)*$AB152)+(AT$109*$AC152),0)</f>
        <v>636</v>
      </c>
      <c r="R152" s="925">
        <f>ROUND((('1.4.조성법총괄(내부이동률 적용)'!N$61+'1.4.조성법총괄(내부이동률 적용)'!N$64*$AK$2)*$AB152)+(AU$109*$AC152),0)</f>
        <v>635</v>
      </c>
      <c r="S152" s="925">
        <f>ROUND((('1.4.조성법총괄(내부이동률 적용)'!O$61+'1.4.조성법총괄(내부이동률 적용)'!O$64*$AK$2)*$AB152)+(AV$109*$AC152),0)</f>
        <v>635</v>
      </c>
      <c r="T152" s="925">
        <f>ROUND((('1.4.조성법총괄(내부이동률 적용)'!P$61+'1.4.조성법총괄(내부이동률 적용)'!P$64*$AK$2)*$AB152)+(AW$109*$AC152),0)</f>
        <v>634</v>
      </c>
      <c r="U152" s="925">
        <f>ROUND((('1.4.조성법총괄(내부이동률 적용)'!Q$61+'1.4.조성법총괄(내부이동률 적용)'!Q$64*$AK$2)*$AB152)+(AX$109*$AC152),0)</f>
        <v>633</v>
      </c>
      <c r="V152" s="715">
        <f>ROUND((('1.4.조성법총괄(내부이동률 적용)'!R$61+'1.4.조성법총괄(내부이동률 적용)'!R$64*$AK$2)*$AB152)+(AY$109*$AC152),0)</f>
        <v>632</v>
      </c>
      <c r="W152" s="714">
        <f>ROUND((('1.4.조성법총괄(내부이동률 적용)'!S$61+'1.4.조성법총괄(내부이동률 적용)'!S$64*$AK$2)*$AB152)+(AZ$109*$AC152),0)</f>
        <v>631</v>
      </c>
      <c r="X152" s="714">
        <f>ROUND((('1.4.조성법총괄(내부이동률 적용)'!T$61+'1.4.조성법총괄(내부이동률 적용)'!T$64*$AK$2)*$AB152)+(BA$109*$AC152),0)</f>
        <v>630</v>
      </c>
      <c r="Y152" s="714">
        <f>ROUND((('1.4.조성법총괄(내부이동률 적용)'!U$61+'1.4.조성법총괄(내부이동률 적용)'!U$64*$AK$2)*$AB152)+(BB$109*$AC152),0)</f>
        <v>629</v>
      </c>
      <c r="Z152" s="714">
        <f>ROUND((('1.4.조성법총괄(내부이동률 적용)'!V$61+'1.4.조성법총괄(내부이동률 적용)'!V$64*$AK$2)*$AB152)+(BC$109*$AC152),0)</f>
        <v>627</v>
      </c>
      <c r="AA152" s="715">
        <f>ROUND((('1.4.조성법총괄(내부이동률 적용)'!W$61+'1.4.조성법총괄(내부이동률 적용)'!W$64*$AK$2)*$AB152)+(BD$109*$AC152),0)</f>
        <v>825</v>
      </c>
      <c r="AB152" s="936">
        <f>+H152/'1.4.조성법총괄(내부이동률 적용)'!$D$65</f>
        <v>5.1786184499253929E-2</v>
      </c>
      <c r="AC152" s="934">
        <f t="shared" si="119"/>
        <v>7.3410476545974865E-2</v>
      </c>
      <c r="AD152" s="713"/>
      <c r="AE152" s="1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</row>
    <row r="153" spans="1:57" ht="39.950000000000003" customHeight="1">
      <c r="A153" s="2669"/>
      <c r="B153" s="2669"/>
      <c r="C153" s="2669"/>
      <c r="D153" s="2654"/>
      <c r="E153" s="1011" t="s">
        <v>1249</v>
      </c>
      <c r="F153" s="713"/>
      <c r="G153" s="935">
        <f>+'2014처리구역인구 정리'!I137</f>
        <v>498</v>
      </c>
      <c r="H153" s="935">
        <f>+'2014처리구역인구 정리'!J137</f>
        <v>528</v>
      </c>
      <c r="I153" s="925">
        <f>ROUND((('1.4.조성법총괄(내부이동률 적용)'!E$61+'1.4.조성법총괄(내부이동률 적용)'!E$64*$AK$2)*$AB153)+(AL$109*$AC153),0)</f>
        <v>527</v>
      </c>
      <c r="J153" s="925">
        <f>ROUND((('1.4.조성법총괄(내부이동률 적용)'!F$61+'1.4.조성법총괄(내부이동률 적용)'!F$64*$AK$2)*$AB153)+(AM$109*$AC153),0)</f>
        <v>517</v>
      </c>
      <c r="K153" s="925">
        <f>ROUND((('1.4.조성법총괄(내부이동률 적용)'!G$61+'1.4.조성법총괄(내부이동률 적용)'!G$64*$AK$2)*$AB153)+(AN$109*$AC153),0)</f>
        <v>516</v>
      </c>
      <c r="L153" s="907">
        <f>ROUND((('1.4.조성법총괄(내부이동률 적용)'!H$61+'1.4.조성법총괄(내부이동률 적용)'!H$64*$AK$2)*$AB153)+(AO$109*$AC153),0)</f>
        <v>529</v>
      </c>
      <c r="M153" s="925">
        <f>ROUND((('1.4.조성법총괄(내부이동률 적용)'!I$61+'1.4.조성법총괄(내부이동률 적용)'!I$64*$AK$2)*$AB153)+(AP$109*$AC153),0)</f>
        <v>556</v>
      </c>
      <c r="N153" s="925">
        <f>ROUND((('1.4.조성법총괄(내부이동률 적용)'!J$61+'1.4.조성법총괄(내부이동률 적용)'!J$64*$AK$2)*$AB153)+(AQ$109*$AC153),0)</f>
        <v>583</v>
      </c>
      <c r="O153" s="925">
        <f>ROUND((('1.4.조성법총괄(내부이동률 적용)'!K$61+'1.4.조성법총괄(내부이동률 적용)'!K$64*$AK$2)*$AB153)+(AR$109*$AC153),0)</f>
        <v>583</v>
      </c>
      <c r="P153" s="925">
        <f>ROUND((('1.4.조성법총괄(내부이동률 적용)'!L$61+'1.4.조성법총괄(내부이동률 적용)'!L$64*$AK$2)*$AB153)+(AS$109*$AC153),0)</f>
        <v>583</v>
      </c>
      <c r="Q153" s="907">
        <f>ROUND((('1.4.조성법총괄(내부이동률 적용)'!M$61+'1.4.조성법총괄(내부이동률 적용)'!M$64*$AK$2)*$AB153)+(AT$109*$AC153),0)</f>
        <v>569</v>
      </c>
      <c r="R153" s="925">
        <f>ROUND((('1.4.조성법총괄(내부이동률 적용)'!N$61+'1.4.조성법총괄(내부이동률 적용)'!N$64*$AK$2)*$AB153)+(AU$109*$AC153),0)</f>
        <v>569</v>
      </c>
      <c r="S153" s="925">
        <f>ROUND((('1.4.조성법총괄(내부이동률 적용)'!O$61+'1.4.조성법총괄(내부이동률 적용)'!O$64*$AK$2)*$AB153)+(AV$109*$AC153),0)</f>
        <v>568</v>
      </c>
      <c r="T153" s="925">
        <f>ROUND((('1.4.조성법총괄(내부이동률 적용)'!P$61+'1.4.조성법총괄(내부이동률 적용)'!P$64*$AK$2)*$AB153)+(AW$109*$AC153),0)</f>
        <v>567</v>
      </c>
      <c r="U153" s="925">
        <f>ROUND((('1.4.조성법총괄(내부이동률 적용)'!Q$61+'1.4.조성법총괄(내부이동률 적용)'!Q$64*$AK$2)*$AB153)+(AX$109*$AC153),0)</f>
        <v>567</v>
      </c>
      <c r="V153" s="715">
        <f>ROUND((('1.4.조성법총괄(내부이동률 적용)'!R$61+'1.4.조성법총괄(내부이동률 적용)'!R$64*$AK$2)*$AB153)+(AY$109*$AC153),0)</f>
        <v>566</v>
      </c>
      <c r="W153" s="714">
        <f>ROUND((('1.4.조성법총괄(내부이동률 적용)'!S$61+'1.4.조성법총괄(내부이동률 적용)'!S$64*$AK$2)*$AB153)+(AZ$109*$AC153),0)</f>
        <v>565</v>
      </c>
      <c r="X153" s="714">
        <f>ROUND((('1.4.조성법총괄(내부이동률 적용)'!T$61+'1.4.조성법총괄(내부이동률 적용)'!T$64*$AK$2)*$AB153)+(BA$109*$AC153),0)</f>
        <v>564</v>
      </c>
      <c r="Y153" s="714">
        <f>ROUND((('1.4.조성법총괄(내부이동률 적용)'!U$61+'1.4.조성법총괄(내부이동률 적용)'!U$64*$AK$2)*$AB153)+(BB$109*$AC153),0)</f>
        <v>563</v>
      </c>
      <c r="Z153" s="714">
        <f>ROUND((('1.4.조성법총괄(내부이동률 적용)'!V$61+'1.4.조성법총괄(내부이동률 적용)'!V$64*$AK$2)*$AB153)+(BC$109*$AC153),0)</f>
        <v>561</v>
      </c>
      <c r="AA153" s="715">
        <f>ROUND((('1.4.조성법총괄(내부이동률 적용)'!W$61+'1.4.조성법총괄(내부이동률 적용)'!W$64*$AK$2)*$AB153)+(BD$109*$AC153),0)</f>
        <v>738</v>
      </c>
      <c r="AB153" s="936">
        <f>+H153/'1.4.조성법총괄(내부이동률 적용)'!$D$65</f>
        <v>4.6344246467128938E-2</v>
      </c>
      <c r="AC153" s="934">
        <f t="shared" si="119"/>
        <v>6.5696155281821572E-2</v>
      </c>
      <c r="AD153" s="713"/>
      <c r="AE153" s="711"/>
    </row>
    <row r="154" spans="1:57" ht="24" customHeight="1">
      <c r="A154" s="2669"/>
      <c r="B154" s="2669"/>
      <c r="C154" s="2669"/>
      <c r="D154" s="2654"/>
      <c r="E154" s="1011" t="s">
        <v>1251</v>
      </c>
      <c r="F154" s="713"/>
      <c r="G154" s="935">
        <f>+'2014처리구역인구 정리'!I138</f>
        <v>272</v>
      </c>
      <c r="H154" s="935">
        <f>+'2014처리구역인구 정리'!J138</f>
        <v>284</v>
      </c>
      <c r="I154" s="925">
        <f>ROUND((('1.4.조성법총괄(내부이동률 적용)'!E$61+'1.4.조성법총괄(내부이동률 적용)'!E$64*$AK$2)*$AB154)+(AL$109*$AC154),0)</f>
        <v>283</v>
      </c>
      <c r="J154" s="925">
        <f>ROUND((('1.4.조성법총괄(내부이동률 적용)'!F$61+'1.4.조성법총괄(내부이동률 적용)'!F$64*$AK$2)*$AB154)+(AM$109*$AC154),0)</f>
        <v>278</v>
      </c>
      <c r="K154" s="925">
        <f>ROUND((('1.4.조성법총괄(내부이동률 적용)'!G$61+'1.4.조성법총괄(내부이동률 적용)'!G$64*$AK$2)*$AB154)+(AN$109*$AC154),0)</f>
        <v>278</v>
      </c>
      <c r="L154" s="907">
        <f>ROUND((('1.4.조성법총괄(내부이동률 적용)'!H$61+'1.4.조성법총괄(내부이동률 적용)'!H$64*$AK$2)*$AB154)+(AO$109*$AC154),0)</f>
        <v>284</v>
      </c>
      <c r="M154" s="925">
        <f>ROUND((('1.4.조성법총괄(내부이동률 적용)'!I$61+'1.4.조성법총괄(내부이동률 적용)'!I$64*$AK$2)*$AB154)+(AP$109*$AC154),0)</f>
        <v>299</v>
      </c>
      <c r="N154" s="925">
        <f>ROUND((('1.4.조성법총괄(내부이동률 적용)'!J$61+'1.4.조성법총괄(내부이동률 적용)'!J$64*$AK$2)*$AB154)+(AQ$109*$AC154),0)</f>
        <v>313</v>
      </c>
      <c r="O154" s="925">
        <f>ROUND((('1.4.조성법총괄(내부이동률 적용)'!K$61+'1.4.조성법총괄(내부이동률 적용)'!K$64*$AK$2)*$AB154)+(AR$109*$AC154),0)</f>
        <v>314</v>
      </c>
      <c r="P154" s="925">
        <f>ROUND((('1.4.조성법총괄(내부이동률 적용)'!L$61+'1.4.조성법총괄(내부이동률 적용)'!L$64*$AK$2)*$AB154)+(AS$109*$AC154),0)</f>
        <v>314</v>
      </c>
      <c r="Q154" s="907">
        <f>ROUND((('1.4.조성법총괄(내부이동률 적용)'!M$61+'1.4.조성법총괄(내부이동률 적용)'!M$64*$AK$2)*$AB154)+(AT$109*$AC154),0)</f>
        <v>306</v>
      </c>
      <c r="R154" s="925">
        <f>ROUND((('1.4.조성법총괄(내부이동률 적용)'!N$61+'1.4.조성법총괄(내부이동률 적용)'!N$64*$AK$2)*$AB154)+(AU$109*$AC154),0)</f>
        <v>306</v>
      </c>
      <c r="S154" s="925">
        <f>ROUND((('1.4.조성법총괄(내부이동률 적용)'!O$61+'1.4.조성법총괄(내부이동률 적용)'!O$64*$AK$2)*$AB154)+(AV$109*$AC154),0)</f>
        <v>306</v>
      </c>
      <c r="T154" s="925">
        <f>ROUND((('1.4.조성법총괄(내부이동률 적용)'!P$61+'1.4.조성법총괄(내부이동률 적용)'!P$64*$AK$2)*$AB154)+(AW$109*$AC154),0)</f>
        <v>305</v>
      </c>
      <c r="U154" s="925">
        <f>ROUND((('1.4.조성법총괄(내부이동률 적용)'!Q$61+'1.4.조성법총괄(내부이동률 적용)'!Q$64*$AK$2)*$AB154)+(AX$109*$AC154),0)</f>
        <v>305</v>
      </c>
      <c r="V154" s="715">
        <f>ROUND((('1.4.조성법총괄(내부이동률 적용)'!R$61+'1.4.조성법총괄(내부이동률 적용)'!R$64*$AK$2)*$AB154)+(AY$109*$AC154),0)</f>
        <v>304</v>
      </c>
      <c r="W154" s="714">
        <f>ROUND((('1.4.조성법총괄(내부이동률 적용)'!S$61+'1.4.조성법총괄(내부이동률 적용)'!S$64*$AK$2)*$AB154)+(AZ$109*$AC154),0)</f>
        <v>304</v>
      </c>
      <c r="X154" s="714">
        <f>ROUND((('1.4.조성법총괄(내부이동률 적용)'!T$61+'1.4.조성법총괄(내부이동률 적용)'!T$64*$AK$2)*$AB154)+(BA$109*$AC154),0)</f>
        <v>303</v>
      </c>
      <c r="Y154" s="714">
        <f>ROUND((('1.4.조성법총괄(내부이동률 적용)'!U$61+'1.4.조성법총괄(내부이동률 적용)'!U$64*$AK$2)*$AB154)+(BB$109*$AC154),0)</f>
        <v>303</v>
      </c>
      <c r="Z154" s="714">
        <f>ROUND((('1.4.조성법총괄(내부이동률 적용)'!V$61+'1.4.조성법총괄(내부이동률 적용)'!V$64*$AK$2)*$AB154)+(BC$109*$AC154),0)</f>
        <v>302</v>
      </c>
      <c r="AA154" s="715">
        <f>ROUND((('1.4.조성법총괄(내부이동률 적용)'!W$61+'1.4.조성법총괄(내부이동률 적용)'!W$64*$AK$2)*$AB154)+(BD$109*$AC154),0)</f>
        <v>397</v>
      </c>
      <c r="AB154" s="936">
        <f>+H154/'1.4.조성법총괄(내부이동률 적용)'!$D$65</f>
        <v>2.4927587114895112E-2</v>
      </c>
      <c r="AC154" s="934">
        <f t="shared" si="119"/>
        <v>3.5336568371282816E-2</v>
      </c>
      <c r="AD154" s="713"/>
      <c r="AE154" s="711"/>
    </row>
    <row r="155" spans="1:57" ht="24" customHeight="1">
      <c r="A155" s="2669"/>
      <c r="B155" s="2669"/>
      <c r="C155" s="2669"/>
      <c r="D155" s="2654"/>
      <c r="E155" s="1011" t="s">
        <v>1253</v>
      </c>
      <c r="F155" s="713"/>
      <c r="G155" s="935">
        <f>+'2014처리구역인구 정리'!I139</f>
        <v>1186</v>
      </c>
      <c r="H155" s="935">
        <f>+'2014처리구역인구 정리'!J139</f>
        <v>1225</v>
      </c>
      <c r="I155" s="925">
        <f>ROUND((('1.4.조성법총괄(내부이동률 적용)'!E$61+'1.4.조성법총괄(내부이동률 적용)'!E$64*$AK$2)*$AB155)+(AL$109*$AC155),0)</f>
        <v>1222</v>
      </c>
      <c r="J155" s="925">
        <f>ROUND((('1.4.조성법총괄(내부이동률 적용)'!F$61+'1.4.조성법총괄(내부이동률 적용)'!F$64*$AK$2)*$AB155)+(AM$109*$AC155),0)</f>
        <v>1199</v>
      </c>
      <c r="K155" s="925">
        <f>ROUND((('1.4.조성법총괄(내부이동률 적용)'!G$61+'1.4.조성법총괄(내부이동률 적용)'!G$64*$AK$2)*$AB155)+(AN$109*$AC155),0)</f>
        <v>1197</v>
      </c>
      <c r="L155" s="907">
        <f>ROUND((('1.4.조성법총괄(내부이동률 적용)'!H$61+'1.4.조성법총괄(내부이동률 적용)'!H$64*$AK$2)*$AB155)+(AO$109*$AC155),0)</f>
        <v>1226</v>
      </c>
      <c r="M155" s="925">
        <f>ROUND((('1.4.조성법총괄(내부이동률 적용)'!I$61+'1.4.조성법총괄(내부이동률 적용)'!I$64*$AK$2)*$AB155)+(AP$109*$AC155),0)</f>
        <v>1289</v>
      </c>
      <c r="N155" s="925">
        <f>ROUND((('1.4.조성법총괄(내부이동률 적용)'!J$61+'1.4.조성법총괄(내부이동률 적용)'!J$64*$AK$2)*$AB155)+(AQ$109*$AC155),0)</f>
        <v>1352</v>
      </c>
      <c r="O155" s="925">
        <f>ROUND((('1.4.조성법총괄(내부이동률 적용)'!K$61+'1.4.조성법총괄(내부이동률 적용)'!K$64*$AK$2)*$AB155)+(AR$109*$AC155),0)</f>
        <v>1353</v>
      </c>
      <c r="P155" s="925">
        <f>ROUND((('1.4.조성법총괄(내부이동률 적용)'!L$61+'1.4.조성법총괄(내부이동률 적용)'!L$64*$AK$2)*$AB155)+(AS$109*$AC155),0)</f>
        <v>1353</v>
      </c>
      <c r="Q155" s="907">
        <f>ROUND((('1.4.조성법총괄(내부이동률 적용)'!M$61+'1.4.조성법총괄(내부이동률 적용)'!M$64*$AK$2)*$AB155)+(AT$109*$AC155),0)</f>
        <v>1321</v>
      </c>
      <c r="R155" s="925">
        <f>ROUND((('1.4.조성법총괄(내부이동률 적용)'!N$61+'1.4.조성법총괄(내부이동률 적용)'!N$64*$AK$2)*$AB155)+(AU$109*$AC155),0)</f>
        <v>1319</v>
      </c>
      <c r="S155" s="925">
        <f>ROUND((('1.4.조성법총괄(내부이동률 적용)'!O$61+'1.4.조성법총괄(내부이동률 적용)'!O$64*$AK$2)*$AB155)+(AV$109*$AC155),0)</f>
        <v>1318</v>
      </c>
      <c r="T155" s="925">
        <f>ROUND((('1.4.조성법총괄(내부이동률 적용)'!P$61+'1.4.조성법총괄(내부이동률 적용)'!P$64*$AK$2)*$AB155)+(AW$109*$AC155),0)</f>
        <v>1316</v>
      </c>
      <c r="U155" s="925">
        <f>ROUND((('1.4.조성법총괄(내부이동률 적용)'!Q$61+'1.4.조성법총괄(내부이동률 적용)'!Q$64*$AK$2)*$AB155)+(AX$109*$AC155),0)</f>
        <v>1315</v>
      </c>
      <c r="V155" s="715">
        <f>ROUND((('1.4.조성법총괄(내부이동률 적용)'!R$61+'1.4.조성법총괄(내부이동률 적용)'!R$64*$AK$2)*$AB155)+(AY$109*$AC155),0)</f>
        <v>1313</v>
      </c>
      <c r="W155" s="714">
        <f>ROUND((('1.4.조성법총괄(내부이동률 적용)'!S$61+'1.4.조성법총괄(내부이동률 적용)'!S$64*$AK$2)*$AB155)+(AZ$109*$AC155),0)</f>
        <v>1310</v>
      </c>
      <c r="X155" s="714">
        <f>ROUND((('1.4.조성법총괄(내부이동률 적용)'!T$61+'1.4.조성법총괄(내부이동률 적용)'!T$64*$AK$2)*$AB155)+(BA$109*$AC155),0)</f>
        <v>1308</v>
      </c>
      <c r="Y155" s="714">
        <f>ROUND((('1.4.조성법총괄(내부이동률 적용)'!U$61+'1.4.조성법총괄(내부이동률 적용)'!U$64*$AK$2)*$AB155)+(BB$109*$AC155),0)</f>
        <v>1305</v>
      </c>
      <c r="Z155" s="714">
        <f>ROUND((('1.4.조성법총괄(내부이동률 적용)'!V$61+'1.4.조성법총괄(내부이동률 적용)'!V$64*$AK$2)*$AB155)+(BC$109*$AC155),0)</f>
        <v>1302</v>
      </c>
      <c r="AA155" s="715">
        <f>ROUND((('1.4.조성법총괄(내부이동률 적용)'!W$61+'1.4.조성법총괄(내부이동률 적용)'!W$64*$AK$2)*$AB155)+(BD$109*$AC155),0)</f>
        <v>1712</v>
      </c>
      <c r="AB155" s="936">
        <f>+H155/'1.4.조성법총괄(내부이동률 적용)'!$D$65</f>
        <v>0.10752216273150179</v>
      </c>
      <c r="AC155" s="934">
        <f t="shared" si="119"/>
        <v>0.15242005723528679</v>
      </c>
      <c r="AD155" s="713"/>
      <c r="AE155" s="711"/>
    </row>
    <row r="156" spans="1:57" ht="24" customHeight="1">
      <c r="A156" s="2669"/>
      <c r="B156" s="2669"/>
      <c r="C156" s="2669"/>
      <c r="D156" s="2654"/>
      <c r="E156" s="1011" t="s">
        <v>1255</v>
      </c>
      <c r="F156" s="713"/>
      <c r="G156" s="935">
        <f>+'2014처리구역인구 정리'!I140</f>
        <v>1163</v>
      </c>
      <c r="H156" s="935">
        <f>+'2014처리구역인구 정리'!J140</f>
        <v>1191</v>
      </c>
      <c r="I156" s="925">
        <f>ROUND((('1.4.조성법총괄(내부이동률 적용)'!E$61+'1.4.조성법총괄(내부이동률 적용)'!E$64*$AK$2)*$AB156)+(AL$109*$AC156),0)</f>
        <v>1188</v>
      </c>
      <c r="J156" s="925">
        <f>ROUND((('1.4.조성법총괄(내부이동률 적용)'!F$61+'1.4.조성법총괄(내부이동률 적용)'!F$64*$AK$2)*$AB156)+(AM$109*$AC156),0)</f>
        <v>1166</v>
      </c>
      <c r="K156" s="925">
        <f>ROUND((('1.4.조성법총괄(내부이동률 적용)'!G$61+'1.4.조성법총괄(내부이동률 적용)'!G$64*$AK$2)*$AB156)+(AN$109*$AC156),0)</f>
        <v>1164</v>
      </c>
      <c r="L156" s="907">
        <f>ROUND((('1.4.조성법총괄(내부이동률 적용)'!H$61+'1.4.조성법총괄(내부이동률 적용)'!H$64*$AK$2)*$AB156)+(AO$109*$AC156),0)</f>
        <v>1192</v>
      </c>
      <c r="M156" s="925">
        <f>ROUND((('1.4.조성법총괄(내부이동률 적용)'!I$61+'1.4.조성법총괄(내부이동률 적용)'!I$64*$AK$2)*$AB156)+(AP$109*$AC156),0)</f>
        <v>1253</v>
      </c>
      <c r="N156" s="925">
        <f>ROUND((('1.4.조성법총괄(내부이동률 적용)'!J$61+'1.4.조성법총괄(내부이동률 적용)'!J$64*$AK$2)*$AB156)+(AQ$109*$AC156),0)</f>
        <v>1314</v>
      </c>
      <c r="O156" s="925">
        <f>ROUND((('1.4.조성법총괄(내부이동률 적용)'!K$61+'1.4.조성법총괄(내부이동률 적용)'!K$64*$AK$2)*$AB156)+(AR$109*$AC156),0)</f>
        <v>1315</v>
      </c>
      <c r="P156" s="925">
        <f>ROUND((('1.4.조성법총괄(내부이동률 적용)'!L$61+'1.4.조성법총괄(내부이동률 적용)'!L$64*$AK$2)*$AB156)+(AS$109*$AC156),0)</f>
        <v>1316</v>
      </c>
      <c r="Q156" s="907">
        <f>ROUND((('1.4.조성법총괄(내부이동률 적용)'!M$61+'1.4.조성법총괄(내부이동률 적용)'!M$64*$AK$2)*$AB156)+(AT$109*$AC156),0)</f>
        <v>1284</v>
      </c>
      <c r="R156" s="925">
        <f>ROUND((('1.4.조성법총괄(내부이동률 적용)'!N$61+'1.4.조성법총괄(내부이동률 적용)'!N$64*$AK$2)*$AB156)+(AU$109*$AC156),0)</f>
        <v>1283</v>
      </c>
      <c r="S156" s="925">
        <f>ROUND((('1.4.조성법총괄(내부이동률 적용)'!O$61+'1.4.조성법총괄(내부이동률 적용)'!O$64*$AK$2)*$AB156)+(AV$109*$AC156),0)</f>
        <v>1281</v>
      </c>
      <c r="T156" s="925">
        <f>ROUND((('1.4.조성법총괄(내부이동률 적용)'!P$61+'1.4.조성법총괄(내부이동률 적용)'!P$64*$AK$2)*$AB156)+(AW$109*$AC156),0)</f>
        <v>1280</v>
      </c>
      <c r="U156" s="925">
        <f>ROUND((('1.4.조성법총괄(내부이동률 적용)'!Q$61+'1.4.조성법총괄(내부이동률 적용)'!Q$64*$AK$2)*$AB156)+(AX$109*$AC156),0)</f>
        <v>1278</v>
      </c>
      <c r="V156" s="715">
        <f>ROUND((('1.4.조성법총괄(내부이동률 적용)'!R$61+'1.4.조성법총괄(내부이동률 적용)'!R$64*$AK$2)*$AB156)+(AY$109*$AC156),0)</f>
        <v>1277</v>
      </c>
      <c r="W156" s="714">
        <f>ROUND((('1.4.조성법총괄(내부이동률 적용)'!S$61+'1.4.조성법총괄(내부이동률 적용)'!S$64*$AK$2)*$AB156)+(AZ$109*$AC156),0)</f>
        <v>1274</v>
      </c>
      <c r="X156" s="714">
        <f>ROUND((('1.4.조성법총괄(내부이동률 적용)'!T$61+'1.4.조성법총괄(내부이동률 적용)'!T$64*$AK$2)*$AB156)+(BA$109*$AC156),0)</f>
        <v>1272</v>
      </c>
      <c r="Y156" s="714">
        <f>ROUND((('1.4.조성법총괄(내부이동률 적용)'!U$61+'1.4.조성법총괄(내부이동률 적용)'!U$64*$AK$2)*$AB156)+(BB$109*$AC156),0)</f>
        <v>1269</v>
      </c>
      <c r="Z156" s="714">
        <f>ROUND((('1.4.조성법총괄(내부이동률 적용)'!V$61+'1.4.조성법총괄(내부이동률 적용)'!V$64*$AK$2)*$AB156)+(BC$109*$AC156),0)</f>
        <v>1266</v>
      </c>
      <c r="AA156" s="715">
        <f>ROUND((('1.4.조성법총괄(내부이동률 적용)'!W$61+'1.4.조성법총괄(내부이동률 적용)'!W$64*$AK$2)*$AB156)+(BD$109*$AC156),0)</f>
        <v>1664</v>
      </c>
      <c r="AB156" s="936">
        <f>+H156/'1.4.조성법총괄(내부이동률 적용)'!$D$65</f>
        <v>0.10453787413323971</v>
      </c>
      <c r="AC156" s="934">
        <f t="shared" si="119"/>
        <v>0.14818962299365435</v>
      </c>
      <c r="AD156" s="713"/>
      <c r="AE156" s="711"/>
    </row>
    <row r="157" spans="1:57" ht="39.950000000000003" customHeight="1">
      <c r="A157" s="2669"/>
      <c r="B157" s="2669"/>
      <c r="C157" s="2669"/>
      <c r="D157" s="2654"/>
      <c r="E157" s="1033" t="s">
        <v>1268</v>
      </c>
      <c r="F157" s="713"/>
      <c r="G157" s="935">
        <f t="shared" ref="G157:P158" si="120">AJ99</f>
        <v>0</v>
      </c>
      <c r="H157" s="935">
        <f t="shared" si="120"/>
        <v>0</v>
      </c>
      <c r="I157" s="935">
        <f t="shared" si="120"/>
        <v>0</v>
      </c>
      <c r="J157" s="935">
        <f t="shared" si="120"/>
        <v>231</v>
      </c>
      <c r="K157" s="935">
        <f t="shared" si="120"/>
        <v>231</v>
      </c>
      <c r="L157" s="935">
        <f t="shared" si="120"/>
        <v>231</v>
      </c>
      <c r="M157" s="935">
        <f t="shared" si="120"/>
        <v>231</v>
      </c>
      <c r="N157" s="935">
        <f t="shared" si="120"/>
        <v>231</v>
      </c>
      <c r="O157" s="935">
        <f t="shared" si="120"/>
        <v>231</v>
      </c>
      <c r="P157" s="935">
        <f t="shared" si="120"/>
        <v>231</v>
      </c>
      <c r="Q157" s="935">
        <f t="shared" ref="Q157:Z158" si="121">AT99</f>
        <v>231</v>
      </c>
      <c r="R157" s="935">
        <f t="shared" si="121"/>
        <v>231</v>
      </c>
      <c r="S157" s="935">
        <f t="shared" si="121"/>
        <v>231</v>
      </c>
      <c r="T157" s="935">
        <f t="shared" si="121"/>
        <v>231</v>
      </c>
      <c r="U157" s="935">
        <f t="shared" si="121"/>
        <v>231</v>
      </c>
      <c r="V157" s="935">
        <f t="shared" si="121"/>
        <v>231</v>
      </c>
      <c r="W157" s="935">
        <f t="shared" si="121"/>
        <v>231</v>
      </c>
      <c r="X157" s="935">
        <f t="shared" si="121"/>
        <v>231</v>
      </c>
      <c r="Y157" s="935">
        <f t="shared" si="121"/>
        <v>231</v>
      </c>
      <c r="Z157" s="935">
        <f t="shared" si="121"/>
        <v>231</v>
      </c>
      <c r="AA157" s="935">
        <f t="shared" ref="AA157:AA158" si="122">BD99</f>
        <v>231</v>
      </c>
      <c r="AB157" s="936"/>
      <c r="AC157" s="934"/>
      <c r="AD157" s="1080" t="str">
        <f>AH99</f>
        <v>포그니아파트</v>
      </c>
      <c r="AE157" s="711" t="s">
        <v>1575</v>
      </c>
    </row>
    <row r="158" spans="1:57" ht="24" customHeight="1">
      <c r="A158" s="2669"/>
      <c r="B158" s="2669"/>
      <c r="C158" s="2669"/>
      <c r="D158" s="2654"/>
      <c r="E158" s="1033" t="s">
        <v>1268</v>
      </c>
      <c r="F158" s="713"/>
      <c r="G158" s="935">
        <f t="shared" si="120"/>
        <v>0</v>
      </c>
      <c r="H158" s="935">
        <f t="shared" si="120"/>
        <v>0</v>
      </c>
      <c r="I158" s="935">
        <f t="shared" si="120"/>
        <v>0</v>
      </c>
      <c r="J158" s="935">
        <f t="shared" si="120"/>
        <v>113</v>
      </c>
      <c r="K158" s="935">
        <f t="shared" si="120"/>
        <v>113</v>
      </c>
      <c r="L158" s="935">
        <f t="shared" si="120"/>
        <v>113</v>
      </c>
      <c r="M158" s="935">
        <f t="shared" si="120"/>
        <v>113</v>
      </c>
      <c r="N158" s="935">
        <f t="shared" si="120"/>
        <v>113</v>
      </c>
      <c r="O158" s="935">
        <f t="shared" si="120"/>
        <v>113</v>
      </c>
      <c r="P158" s="935">
        <f t="shared" si="120"/>
        <v>113</v>
      </c>
      <c r="Q158" s="935">
        <f t="shared" si="121"/>
        <v>113</v>
      </c>
      <c r="R158" s="935">
        <f t="shared" si="121"/>
        <v>113</v>
      </c>
      <c r="S158" s="935">
        <f t="shared" si="121"/>
        <v>113</v>
      </c>
      <c r="T158" s="935">
        <f t="shared" si="121"/>
        <v>113</v>
      </c>
      <c r="U158" s="935">
        <f t="shared" si="121"/>
        <v>113</v>
      </c>
      <c r="V158" s="935">
        <f t="shared" si="121"/>
        <v>113</v>
      </c>
      <c r="W158" s="935">
        <f t="shared" si="121"/>
        <v>113</v>
      </c>
      <c r="X158" s="935">
        <f t="shared" si="121"/>
        <v>113</v>
      </c>
      <c r="Y158" s="935">
        <f t="shared" si="121"/>
        <v>113</v>
      </c>
      <c r="Z158" s="935">
        <f t="shared" si="121"/>
        <v>113</v>
      </c>
      <c r="AA158" s="935">
        <f t="shared" si="122"/>
        <v>113</v>
      </c>
      <c r="AB158" s="936"/>
      <c r="AC158" s="934"/>
      <c r="AD158" s="1080" t="str">
        <f>AH100</f>
        <v>대신리치빌</v>
      </c>
      <c r="AE158" s="711" t="s">
        <v>1575</v>
      </c>
    </row>
    <row r="159" spans="1:57" ht="24" customHeight="1">
      <c r="A159" s="2669"/>
      <c r="B159" s="2669"/>
      <c r="C159" s="2669"/>
      <c r="D159" s="1034" t="s">
        <v>1270</v>
      </c>
      <c r="E159" s="1033" t="s">
        <v>1268</v>
      </c>
      <c r="F159" s="713"/>
      <c r="G159" s="935">
        <f t="shared" ref="G159:AA159" si="123">AJ102</f>
        <v>0</v>
      </c>
      <c r="H159" s="935">
        <f t="shared" si="123"/>
        <v>0</v>
      </c>
      <c r="I159" s="935">
        <f t="shared" si="123"/>
        <v>0</v>
      </c>
      <c r="J159" s="935">
        <f t="shared" si="123"/>
        <v>0</v>
      </c>
      <c r="K159" s="935">
        <f t="shared" si="123"/>
        <v>0</v>
      </c>
      <c r="L159" s="935">
        <f t="shared" si="123"/>
        <v>0</v>
      </c>
      <c r="M159" s="935">
        <f t="shared" si="123"/>
        <v>0</v>
      </c>
      <c r="N159" s="935">
        <f t="shared" si="123"/>
        <v>0</v>
      </c>
      <c r="O159" s="935">
        <f t="shared" si="123"/>
        <v>0</v>
      </c>
      <c r="P159" s="935">
        <f t="shared" si="123"/>
        <v>0</v>
      </c>
      <c r="Q159" s="935">
        <f t="shared" si="123"/>
        <v>549</v>
      </c>
      <c r="R159" s="935">
        <f t="shared" si="123"/>
        <v>549</v>
      </c>
      <c r="S159" s="935">
        <f t="shared" si="123"/>
        <v>549</v>
      </c>
      <c r="T159" s="935">
        <f t="shared" si="123"/>
        <v>549</v>
      </c>
      <c r="U159" s="935">
        <f t="shared" si="123"/>
        <v>549</v>
      </c>
      <c r="V159" s="935">
        <f t="shared" si="123"/>
        <v>549</v>
      </c>
      <c r="W159" s="935">
        <f t="shared" si="123"/>
        <v>549</v>
      </c>
      <c r="X159" s="935">
        <f t="shared" si="123"/>
        <v>549</v>
      </c>
      <c r="Y159" s="935">
        <f t="shared" si="123"/>
        <v>549</v>
      </c>
      <c r="Z159" s="935">
        <f t="shared" si="123"/>
        <v>549</v>
      </c>
      <c r="AA159" s="935">
        <f t="shared" si="123"/>
        <v>549</v>
      </c>
      <c r="AB159" s="936"/>
      <c r="AC159" s="934"/>
      <c r="AD159" s="1080" t="str">
        <f>AH102</f>
        <v>감곡 오향리 아파트</v>
      </c>
      <c r="AE159" s="711" t="s">
        <v>1576</v>
      </c>
      <c r="AF159" s="712"/>
      <c r="AG159" s="712"/>
      <c r="AH159" s="712"/>
      <c r="AI159" s="712"/>
      <c r="AJ159" s="712"/>
      <c r="AK159" s="712"/>
      <c r="AL159" s="712"/>
      <c r="AM159" s="712"/>
      <c r="AN159" s="712"/>
      <c r="AO159" s="712"/>
      <c r="AP159" s="712"/>
      <c r="AQ159" s="712"/>
      <c r="AR159" s="712"/>
      <c r="AS159" s="712"/>
      <c r="AT159" s="712"/>
      <c r="AU159" s="712"/>
      <c r="AV159" s="712"/>
      <c r="AW159" s="712"/>
      <c r="AX159" s="712"/>
      <c r="AY159" s="712"/>
      <c r="AZ159" s="712"/>
      <c r="BA159" s="712"/>
      <c r="BB159" s="712"/>
      <c r="BC159" s="712"/>
      <c r="BD159" s="712"/>
      <c r="BE159" s="712"/>
    </row>
    <row r="160" spans="1:57" ht="24" customHeight="1">
      <c r="A160" s="2669"/>
      <c r="B160" s="2670"/>
      <c r="C160" s="2670"/>
      <c r="D160" s="772" t="s">
        <v>1015</v>
      </c>
      <c r="E160" s="772" t="s">
        <v>1016</v>
      </c>
      <c r="F160" s="713"/>
      <c r="G160" s="935">
        <f>+'2014처리구역인구 정리'!I141</f>
        <v>394</v>
      </c>
      <c r="H160" s="935">
        <f>+'2014처리구역인구 정리'!J141</f>
        <v>407</v>
      </c>
      <c r="I160" s="925">
        <f>ROUND((('1.4.조성법총괄(내부이동률 적용)'!E$61+'1.4.조성법총괄(내부이동률 적용)'!E$64*$AK$2)*$AB160)+(AL$109*$AC160),0)</f>
        <v>406</v>
      </c>
      <c r="J160" s="925">
        <f>ROUND((('1.4.조성법총괄(내부이동률 적용)'!F$61+'1.4.조성법총괄(내부이동률 적용)'!F$64*$AK$2)*$AB160)+(AM$109*$AC160),0)</f>
        <v>398</v>
      </c>
      <c r="K160" s="925">
        <f>ROUND((('1.4.조성법총괄(내부이동률 적용)'!G$61+'1.4.조성법총괄(내부이동률 적용)'!G$64*$AK$2)*$AB160)+(AN$109*$AC160),0)</f>
        <v>398</v>
      </c>
      <c r="L160" s="907">
        <f>ROUND((('1.4.조성법총괄(내부이동률 적용)'!H$61+'1.4.조성법총괄(내부이동률 적용)'!H$64*$AK$2)*$AB160)+(AO$109*$AC160),0)</f>
        <v>407</v>
      </c>
      <c r="M160" s="925">
        <f>ROUND((('1.4.조성법총괄(내부이동률 적용)'!I$61+'1.4.조성법총괄(내부이동률 적용)'!I$64*$AK$2)*$AB160)+(AP$109*$AC160),0)</f>
        <v>428</v>
      </c>
      <c r="N160" s="925">
        <f>ROUND((('1.4.조성법총괄(내부이동률 적용)'!J$61+'1.4.조성법총괄(내부이동률 적용)'!J$64*$AK$2)*$AB160)+(AQ$109*$AC160),0)</f>
        <v>449</v>
      </c>
      <c r="O160" s="925">
        <f>ROUND((('1.4.조성법총괄(내부이동률 적용)'!K$61+'1.4.조성법총괄(내부이동률 적용)'!K$64*$AK$2)*$AB160)+(AR$109*$AC160),0)</f>
        <v>449</v>
      </c>
      <c r="P160" s="925">
        <f>ROUND((('1.4.조성법총괄(내부이동률 적용)'!L$61+'1.4.조성법총괄(내부이동률 적용)'!L$64*$AK$2)*$AB160)+(AS$109*$AC160),0)</f>
        <v>450</v>
      </c>
      <c r="Q160" s="907">
        <f>ROUND((('1.4.조성법총괄(내부이동률 적용)'!M$61+'1.4.조성법총괄(내부이동률 적용)'!M$64*$AK$2)*$AB160)+(AT$109*$AC160),0)</f>
        <v>439</v>
      </c>
      <c r="R160" s="925">
        <f>ROUND((('1.4.조성법총괄(내부이동률 적용)'!N$61+'1.4.조성법총괄(내부이동률 적용)'!N$64*$AK$2)*$AB160)+(AU$109*$AC160),0)</f>
        <v>438</v>
      </c>
      <c r="S160" s="925">
        <f>ROUND((('1.4.조성법총괄(내부이동률 적용)'!O$61+'1.4.조성법총괄(내부이동률 적용)'!O$64*$AK$2)*$AB160)+(AV$109*$AC160),0)</f>
        <v>438</v>
      </c>
      <c r="T160" s="925">
        <f>ROUND((('1.4.조성법총괄(내부이동률 적용)'!P$61+'1.4.조성법총괄(내부이동률 적용)'!P$64*$AK$2)*$AB160)+(AW$109*$AC160),0)</f>
        <v>437</v>
      </c>
      <c r="U160" s="925">
        <f>ROUND((('1.4.조성법총괄(내부이동률 적용)'!Q$61+'1.4.조성법총괄(내부이동률 적용)'!Q$64*$AK$2)*$AB160)+(AX$109*$AC160),0)</f>
        <v>437</v>
      </c>
      <c r="V160" s="715">
        <f>ROUND((('1.4.조성법총괄(내부이동률 적용)'!R$61+'1.4.조성법총괄(내부이동률 적용)'!R$64*$AK$2)*$AB160)+(AY$109*$AC160),0)</f>
        <v>436</v>
      </c>
      <c r="W160" s="714">
        <f>ROUND((('1.4.조성법총괄(내부이동률 적용)'!S$61+'1.4.조성법총괄(내부이동률 적용)'!S$64*$AK$2)*$AB160)+(AZ$109*$AC160),0)</f>
        <v>435</v>
      </c>
      <c r="X160" s="714">
        <f>ROUND((('1.4.조성법총괄(내부이동률 적용)'!T$61+'1.4.조성법총괄(내부이동률 적용)'!T$64*$AK$2)*$AB160)+(BA$109*$AC160),0)</f>
        <v>435</v>
      </c>
      <c r="Y160" s="714">
        <f>ROUND((('1.4.조성법총괄(내부이동률 적용)'!U$61+'1.4.조성법총괄(내부이동률 적용)'!U$64*$AK$2)*$AB160)+(BB$109*$AC160),0)</f>
        <v>434</v>
      </c>
      <c r="Z160" s="714">
        <f>ROUND((('1.4.조성법총괄(내부이동률 적용)'!V$61+'1.4.조성법총괄(내부이동률 적용)'!V$64*$AK$2)*$AB160)+(BC$109*$AC160),0)</f>
        <v>433</v>
      </c>
      <c r="AA160" s="715">
        <f>ROUND((('1.4.조성법총괄(내부이동률 적용)'!W$61+'1.4.조성법총괄(내부이동률 적용)'!W$64*$AK$2)*$AB160)+(BD$109*$AC160),0)</f>
        <v>569</v>
      </c>
      <c r="AB160" s="936">
        <f>+H160/'1.4.조성법총괄(내부이동률 적용)'!$D$65</f>
        <v>3.5723689985078556E-2</v>
      </c>
      <c r="AC160" s="934">
        <f>+H160/$AE$147</f>
        <v>5.0640786363070796E-2</v>
      </c>
      <c r="AD160" s="713"/>
      <c r="AE160" s="1"/>
      <c r="AF160" s="712"/>
      <c r="AG160" s="712"/>
      <c r="AH160" s="712"/>
      <c r="AI160" s="712"/>
      <c r="AJ160" s="712"/>
      <c r="AK160" s="712"/>
      <c r="AL160" s="712"/>
      <c r="AM160" s="712"/>
      <c r="AN160" s="712"/>
      <c r="AO160" s="712"/>
      <c r="AP160" s="712"/>
      <c r="AQ160" s="712"/>
      <c r="AR160" s="712"/>
      <c r="AS160" s="712"/>
      <c r="AT160" s="712"/>
      <c r="AU160" s="712"/>
      <c r="AV160" s="712"/>
      <c r="AW160" s="712"/>
      <c r="AX160" s="712"/>
      <c r="AY160" s="712"/>
      <c r="AZ160" s="712"/>
      <c r="BA160" s="712"/>
      <c r="BB160" s="712"/>
      <c r="BC160" s="712"/>
      <c r="BD160" s="712"/>
      <c r="BE160" s="712"/>
    </row>
    <row r="161" spans="1:57" ht="24" customHeight="1">
      <c r="A161" s="2669"/>
      <c r="B161" s="2668" t="s">
        <v>1096</v>
      </c>
      <c r="C161" s="2635" t="s">
        <v>7</v>
      </c>
      <c r="D161" s="2635"/>
      <c r="E161" s="2635"/>
      <c r="F161" s="713"/>
      <c r="G161" s="907">
        <f t="shared" ref="G161:AA161" si="124">SUM(G162:G168)</f>
        <v>2057</v>
      </c>
      <c r="H161" s="907">
        <f t="shared" si="124"/>
        <v>2128</v>
      </c>
      <c r="I161" s="925">
        <f t="shared" si="124"/>
        <v>2122</v>
      </c>
      <c r="J161" s="925">
        <f t="shared" si="124"/>
        <v>2083</v>
      </c>
      <c r="K161" s="925">
        <f t="shared" si="124"/>
        <v>2079</v>
      </c>
      <c r="L161" s="907">
        <f t="shared" si="124"/>
        <v>2128</v>
      </c>
      <c r="M161" s="925">
        <f t="shared" si="124"/>
        <v>2239</v>
      </c>
      <c r="N161" s="925">
        <f t="shared" si="124"/>
        <v>2348</v>
      </c>
      <c r="O161" s="925">
        <f t="shared" si="124"/>
        <v>2349</v>
      </c>
      <c r="P161" s="925">
        <f t="shared" si="124"/>
        <v>2351</v>
      </c>
      <c r="Q161" s="907">
        <f t="shared" si="124"/>
        <v>2295</v>
      </c>
      <c r="R161" s="925">
        <f t="shared" si="124"/>
        <v>2292</v>
      </c>
      <c r="S161" s="925">
        <f t="shared" si="124"/>
        <v>2289</v>
      </c>
      <c r="T161" s="925">
        <f t="shared" si="124"/>
        <v>2287</v>
      </c>
      <c r="U161" s="925">
        <f t="shared" si="124"/>
        <v>2283</v>
      </c>
      <c r="V161" s="715">
        <f t="shared" si="124"/>
        <v>2282</v>
      </c>
      <c r="W161" s="714">
        <f t="shared" si="124"/>
        <v>2276</v>
      </c>
      <c r="X161" s="714">
        <f t="shared" si="124"/>
        <v>2272</v>
      </c>
      <c r="Y161" s="714">
        <f t="shared" si="124"/>
        <v>2267</v>
      </c>
      <c r="Z161" s="714">
        <f t="shared" si="124"/>
        <v>2262</v>
      </c>
      <c r="AA161" s="715">
        <f t="shared" si="124"/>
        <v>2974</v>
      </c>
      <c r="AB161" s="713"/>
      <c r="AC161" s="934"/>
      <c r="AD161" s="713"/>
      <c r="AE161" s="1"/>
      <c r="AF161" s="712"/>
      <c r="AG161" s="712"/>
      <c r="AH161" s="712"/>
      <c r="AI161" s="712"/>
      <c r="AJ161" s="712"/>
      <c r="AK161" s="712"/>
      <c r="AL161" s="712"/>
      <c r="AM161" s="712"/>
      <c r="AN161" s="712"/>
      <c r="AO161" s="712"/>
      <c r="AP161" s="712"/>
      <c r="AQ161" s="712"/>
      <c r="AR161" s="712"/>
      <c r="AS161" s="712"/>
      <c r="AT161" s="712"/>
      <c r="AU161" s="712"/>
      <c r="AV161" s="712"/>
      <c r="AW161" s="712"/>
      <c r="AX161" s="712"/>
      <c r="AY161" s="712"/>
      <c r="AZ161" s="712"/>
      <c r="BA161" s="712"/>
      <c r="BB161" s="712"/>
      <c r="BC161" s="712"/>
      <c r="BD161" s="712"/>
      <c r="BE161" s="712"/>
    </row>
    <row r="162" spans="1:57" ht="24" customHeight="1">
      <c r="A162" s="2669"/>
      <c r="B162" s="2669"/>
      <c r="C162" s="2668" t="s">
        <v>644</v>
      </c>
      <c r="D162" s="2668" t="s">
        <v>1004</v>
      </c>
      <c r="E162" s="770" t="s">
        <v>1005</v>
      </c>
      <c r="F162" s="713"/>
      <c r="G162" s="935">
        <f>+'2014처리구역인구 정리'!I143</f>
        <v>301</v>
      </c>
      <c r="H162" s="935">
        <f>+'2014처리구역인구 정리'!J143</f>
        <v>319</v>
      </c>
      <c r="I162" s="925">
        <f>ROUND((('1.4.조성법총괄(내부이동률 적용)'!E$61+'1.4.조성법총괄(내부이동률 적용)'!E$64*$AK$2)*$AB162)+(AL$109*$AC162),0)</f>
        <v>318</v>
      </c>
      <c r="J162" s="925">
        <f>ROUND((('1.4.조성법총괄(내부이동률 적용)'!F$61+'1.4.조성법총괄(내부이동률 적용)'!F$64*$AK$2)*$AB162)+(AM$109*$AC162),0)</f>
        <v>312</v>
      </c>
      <c r="K162" s="925">
        <f>ROUND((('1.4.조성법총괄(내부이동률 적용)'!G$61+'1.4.조성법총괄(내부이동률 적용)'!G$64*$AK$2)*$AB162)+(AN$109*$AC162),0)</f>
        <v>312</v>
      </c>
      <c r="L162" s="907">
        <f>ROUND((('1.4.조성법총괄(내부이동률 적용)'!H$61+'1.4.조성법총괄(내부이동률 적용)'!H$64*$AK$2)*$AB162)+(AO$109*$AC162),0)</f>
        <v>319</v>
      </c>
      <c r="M162" s="925">
        <f>ROUND((('1.4.조성법총괄(내부이동률 적용)'!I$61+'1.4.조성법총괄(내부이동률 적용)'!I$64*$AK$2)*$AB162)+(AP$109*$AC162),0)</f>
        <v>336</v>
      </c>
      <c r="N162" s="925">
        <f>ROUND((('1.4.조성법총괄(내부이동률 적용)'!J$61+'1.4.조성법총괄(내부이동률 적용)'!J$64*$AK$2)*$AB162)+(AQ$109*$AC162),0)</f>
        <v>352</v>
      </c>
      <c r="O162" s="925">
        <f>ROUND((('1.4.조성법총괄(내부이동률 적용)'!K$61+'1.4.조성법총괄(내부이동률 적용)'!K$64*$AK$2)*$AB162)+(AR$109*$AC162),0)</f>
        <v>352</v>
      </c>
      <c r="P162" s="925">
        <f>ROUND((('1.4.조성법총괄(내부이동률 적용)'!L$61+'1.4.조성법총괄(내부이동률 적용)'!L$64*$AK$2)*$AB162)+(AS$109*$AC162),0)</f>
        <v>352</v>
      </c>
      <c r="Q162" s="907">
        <f>ROUND((('1.4.조성법총괄(내부이동률 적용)'!M$61+'1.4.조성법총괄(내부이동률 적용)'!M$64*$AK$2)*$AB162)+(AT$109*$AC162),0)</f>
        <v>344</v>
      </c>
      <c r="R162" s="925">
        <f>ROUND((('1.4.조성법총괄(내부이동률 적용)'!N$61+'1.4.조성법총괄(내부이동률 적용)'!N$64*$AK$2)*$AB162)+(AU$109*$AC162),0)</f>
        <v>344</v>
      </c>
      <c r="S162" s="925">
        <f>ROUND((('1.4.조성법총괄(내부이동률 적용)'!O$61+'1.4.조성법총괄(내부이동률 적용)'!O$64*$AK$2)*$AB162)+(AV$109*$AC162),0)</f>
        <v>343</v>
      </c>
      <c r="T162" s="925">
        <f>ROUND((('1.4.조성법총괄(내부이동률 적용)'!P$61+'1.4.조성법총괄(내부이동률 적용)'!P$64*$AK$2)*$AB162)+(AW$109*$AC162),0)</f>
        <v>343</v>
      </c>
      <c r="U162" s="925">
        <f>ROUND((('1.4.조성법총괄(내부이동률 적용)'!Q$61+'1.4.조성법총괄(내부이동률 적용)'!Q$64*$AK$2)*$AB162)+(AX$109*$AC162),0)</f>
        <v>342</v>
      </c>
      <c r="V162" s="715">
        <f>ROUND((('1.4.조성법총괄(내부이동률 적용)'!R$61+'1.4.조성법총괄(내부이동률 적용)'!R$64*$AK$2)*$AB162)+(AY$109*$AC162),0)</f>
        <v>342</v>
      </c>
      <c r="W162" s="714">
        <f>ROUND((('1.4.조성법총괄(내부이동률 적용)'!S$61+'1.4.조성법총괄(내부이동률 적용)'!S$64*$AK$2)*$AB162)+(AZ$109*$AC162),0)</f>
        <v>341</v>
      </c>
      <c r="X162" s="714">
        <f>ROUND((('1.4.조성법총괄(내부이동률 적용)'!T$61+'1.4.조성법총괄(내부이동률 적용)'!T$64*$AK$2)*$AB162)+(BA$109*$AC162),0)</f>
        <v>341</v>
      </c>
      <c r="Y162" s="714">
        <f>ROUND((('1.4.조성법총괄(내부이동률 적용)'!U$61+'1.4.조성법총괄(내부이동률 적용)'!U$64*$AK$2)*$AB162)+(BB$109*$AC162),0)</f>
        <v>340</v>
      </c>
      <c r="Z162" s="714">
        <f>ROUND((('1.4.조성법총괄(내부이동률 적용)'!V$61+'1.4.조성법총괄(내부이동률 적용)'!V$64*$AK$2)*$AB162)+(BC$109*$AC162),0)</f>
        <v>339</v>
      </c>
      <c r="AA162" s="715">
        <f>ROUND((('1.4.조성법총괄(내부이동률 적용)'!W$61+'1.4.조성법총괄(내부이동률 적용)'!W$64*$AK$2)*$AB162)+(BD$109*$AC162),0)</f>
        <v>446</v>
      </c>
      <c r="AB162" s="936">
        <f>+H162/'1.4.조성법총괄(내부이동률 적용)'!$D$65</f>
        <v>2.7999648907223732E-2</v>
      </c>
      <c r="AC162" s="934">
        <f t="shared" ref="AC162:AC168" si="125">+H162/$AE$147</f>
        <v>3.9691427149433869E-2</v>
      </c>
      <c r="AD162" s="713"/>
      <c r="AE162" s="711"/>
      <c r="AF162" s="712"/>
      <c r="AG162" s="712"/>
      <c r="AH162" s="712"/>
      <c r="AI162" s="712"/>
      <c r="AJ162" s="712"/>
      <c r="AK162" s="712"/>
      <c r="AL162" s="712"/>
      <c r="AM162" s="712"/>
      <c r="AN162" s="712"/>
      <c r="AO162" s="712"/>
      <c r="AP162" s="712"/>
      <c r="AQ162" s="712"/>
      <c r="AR162" s="712"/>
      <c r="AS162" s="712"/>
      <c r="AT162" s="712"/>
      <c r="AU162" s="712"/>
      <c r="AV162" s="712"/>
      <c r="AW162" s="712"/>
      <c r="AX162" s="712"/>
      <c r="AY162" s="712"/>
      <c r="AZ162" s="712"/>
      <c r="BA162" s="712"/>
      <c r="BB162" s="712"/>
      <c r="BC162" s="712"/>
      <c r="BD162" s="712"/>
      <c r="BE162" s="712"/>
    </row>
    <row r="163" spans="1:57" ht="24" customHeight="1">
      <c r="A163" s="2669"/>
      <c r="B163" s="2669"/>
      <c r="C163" s="2669"/>
      <c r="D163" s="2669"/>
      <c r="E163" s="770" t="s">
        <v>1008</v>
      </c>
      <c r="F163" s="713"/>
      <c r="G163" s="935">
        <f>+'2014처리구역인구 정리'!I144</f>
        <v>374</v>
      </c>
      <c r="H163" s="935">
        <f>+'2014처리구역인구 정리'!J144</f>
        <v>380</v>
      </c>
      <c r="I163" s="925">
        <f>ROUND((('1.4.조성법총괄(내부이동률 적용)'!E$61+'1.4.조성법총괄(내부이동률 적용)'!E$64*$AK$2)*$AB163)+(AL$109*$AC163),0)</f>
        <v>379</v>
      </c>
      <c r="J163" s="925">
        <f>ROUND((('1.4.조성법총괄(내부이동률 적용)'!F$61+'1.4.조성법총괄(내부이동률 적용)'!F$64*$AK$2)*$AB163)+(AM$109*$AC163),0)</f>
        <v>372</v>
      </c>
      <c r="K163" s="925">
        <f>ROUND((('1.4.조성법총괄(내부이동률 적용)'!G$61+'1.4.조성법총괄(내부이동률 적용)'!G$64*$AK$2)*$AB163)+(AN$109*$AC163),0)</f>
        <v>371</v>
      </c>
      <c r="L163" s="907">
        <f>ROUND((('1.4.조성법총괄(내부이동률 적용)'!H$61+'1.4.조성법총괄(내부이동률 적용)'!H$64*$AK$2)*$AB163)+(AO$109*$AC163),0)</f>
        <v>380</v>
      </c>
      <c r="M163" s="925">
        <f>ROUND((('1.4.조성법총괄(내부이동률 적용)'!I$61+'1.4.조성법총괄(내부이동률 적용)'!I$64*$AK$2)*$AB163)+(AP$109*$AC163),0)</f>
        <v>400</v>
      </c>
      <c r="N163" s="925">
        <f>ROUND((('1.4.조성법총괄(내부이동률 적용)'!J$61+'1.4.조성법총괄(내부이동률 적용)'!J$64*$AK$2)*$AB163)+(AQ$109*$AC163),0)</f>
        <v>419</v>
      </c>
      <c r="O163" s="925">
        <f>ROUND((('1.4.조성법총괄(내부이동률 적용)'!K$61+'1.4.조성법총괄(내부이동률 적용)'!K$64*$AK$2)*$AB163)+(AR$109*$AC163),0)</f>
        <v>420</v>
      </c>
      <c r="P163" s="925">
        <f>ROUND((('1.4.조성법총괄(내부이동률 적용)'!L$61+'1.4.조성법총괄(내부이동률 적용)'!L$64*$AK$2)*$AB163)+(AS$109*$AC163),0)</f>
        <v>420</v>
      </c>
      <c r="Q163" s="907">
        <f>ROUND((('1.4.조성법총괄(내부이동률 적용)'!M$61+'1.4.조성법총괄(내부이동률 적용)'!M$64*$AK$2)*$AB163)+(AT$109*$AC163),0)</f>
        <v>410</v>
      </c>
      <c r="R163" s="925">
        <f>ROUND((('1.4.조성법총괄(내부이동률 적용)'!N$61+'1.4.조성법총괄(내부이동률 적용)'!N$64*$AK$2)*$AB163)+(AU$109*$AC163),0)</f>
        <v>409</v>
      </c>
      <c r="S163" s="925">
        <f>ROUND((('1.4.조성법총괄(내부이동률 적용)'!O$61+'1.4.조성법총괄(내부이동률 적용)'!O$64*$AK$2)*$AB163)+(AV$109*$AC163),0)</f>
        <v>409</v>
      </c>
      <c r="T163" s="925">
        <f>ROUND((('1.4.조성법총괄(내부이동률 적용)'!P$61+'1.4.조성법총괄(내부이동률 적용)'!P$64*$AK$2)*$AB163)+(AW$109*$AC163),0)</f>
        <v>408</v>
      </c>
      <c r="U163" s="925">
        <f>ROUND((('1.4.조성법총괄(내부이동률 적용)'!Q$61+'1.4.조성법총괄(내부이동률 적용)'!Q$64*$AK$2)*$AB163)+(AX$109*$AC163),0)</f>
        <v>408</v>
      </c>
      <c r="V163" s="715">
        <f>ROUND((('1.4.조성법총괄(내부이동률 적용)'!R$61+'1.4.조성법총괄(내부이동률 적용)'!R$64*$AK$2)*$AB163)+(AY$109*$AC163),0)</f>
        <v>407</v>
      </c>
      <c r="W163" s="714">
        <f>ROUND((('1.4.조성법총괄(내부이동률 적용)'!S$61+'1.4.조성법총괄(내부이동률 적용)'!S$64*$AK$2)*$AB163)+(AZ$109*$AC163),0)</f>
        <v>407</v>
      </c>
      <c r="X163" s="714">
        <f>ROUND((('1.4.조성법총괄(내부이동률 적용)'!T$61+'1.4.조성법총괄(내부이동률 적용)'!T$64*$AK$2)*$AB163)+(BA$109*$AC163),0)</f>
        <v>406</v>
      </c>
      <c r="Y163" s="714">
        <f>ROUND((('1.4.조성법총괄(내부이동률 적용)'!U$61+'1.4.조성법총괄(내부이동률 적용)'!U$64*$AK$2)*$AB163)+(BB$109*$AC163),0)</f>
        <v>405</v>
      </c>
      <c r="Z163" s="714">
        <f>ROUND((('1.4.조성법총괄(내부이동률 적용)'!V$61+'1.4.조성법총괄(내부이동률 적용)'!V$64*$AK$2)*$AB163)+(BC$109*$AC163),0)</f>
        <v>404</v>
      </c>
      <c r="AA163" s="715">
        <f>ROUND((('1.4.조성법총괄(내부이동률 적용)'!W$61+'1.4.조성법총괄(내부이동률 적용)'!W$64*$AK$2)*$AB163)+(BD$109*$AC163),0)</f>
        <v>531</v>
      </c>
      <c r="AB163" s="936">
        <f>+H163/'1.4.조성법총괄(내부이동률 적용)'!$D$65</f>
        <v>3.3353813745282193E-2</v>
      </c>
      <c r="AC163" s="934">
        <f t="shared" si="125"/>
        <v>4.7281323877068557E-2</v>
      </c>
      <c r="AD163" s="713"/>
      <c r="AE163" s="711"/>
      <c r="AF163" s="712"/>
      <c r="AG163" s="712"/>
      <c r="AH163" s="712"/>
      <c r="AI163" s="712"/>
      <c r="AJ163" s="712"/>
      <c r="AK163" s="712"/>
      <c r="AL163" s="712"/>
      <c r="AM163" s="712"/>
      <c r="AN163" s="712"/>
      <c r="AO163" s="712"/>
      <c r="AP163" s="712"/>
      <c r="AQ163" s="712"/>
      <c r="AR163" s="712"/>
      <c r="AS163" s="712"/>
      <c r="AT163" s="712"/>
      <c r="AU163" s="712"/>
      <c r="AV163" s="712"/>
      <c r="AW163" s="712"/>
      <c r="AX163" s="712"/>
      <c r="AY163" s="712"/>
      <c r="AZ163" s="712"/>
      <c r="BA163" s="712"/>
      <c r="BB163" s="712"/>
      <c r="BC163" s="712"/>
      <c r="BD163" s="712"/>
      <c r="BE163" s="712"/>
    </row>
    <row r="164" spans="1:57" ht="24" customHeight="1">
      <c r="A164" s="2669"/>
      <c r="B164" s="2669"/>
      <c r="C164" s="2669"/>
      <c r="D164" s="2669"/>
      <c r="E164" s="770" t="s">
        <v>1006</v>
      </c>
      <c r="F164" s="713"/>
      <c r="G164" s="935">
        <f>+'2014처리구역인구 정리'!I145</f>
        <v>371</v>
      </c>
      <c r="H164" s="935">
        <f>+'2014처리구역인구 정리'!J145</f>
        <v>387</v>
      </c>
      <c r="I164" s="925">
        <f>ROUND((('1.4.조성법총괄(내부이동률 적용)'!E$61+'1.4.조성법총괄(내부이동률 적용)'!E$64*$AK$2)*$AB164)+(AL$109*$AC164),0)</f>
        <v>386</v>
      </c>
      <c r="J164" s="925">
        <f>ROUND((('1.4.조성법총괄(내부이동률 적용)'!F$61+'1.4.조성법총괄(내부이동률 적용)'!F$64*$AK$2)*$AB164)+(AM$109*$AC164),0)</f>
        <v>379</v>
      </c>
      <c r="K164" s="925">
        <f>ROUND((('1.4.조성법총괄(내부이동률 적용)'!G$61+'1.4.조성법총괄(내부이동률 적용)'!G$64*$AK$2)*$AB164)+(AN$109*$AC164),0)</f>
        <v>378</v>
      </c>
      <c r="L164" s="907">
        <f>ROUND((('1.4.조성법총괄(내부이동률 적용)'!H$61+'1.4.조성법총괄(내부이동률 적용)'!H$64*$AK$2)*$AB164)+(AO$109*$AC164),0)</f>
        <v>387</v>
      </c>
      <c r="M164" s="925">
        <f>ROUND((('1.4.조성법총괄(내부이동률 적용)'!I$61+'1.4.조성법총괄(내부이동률 적용)'!I$64*$AK$2)*$AB164)+(AP$109*$AC164),0)</f>
        <v>407</v>
      </c>
      <c r="N164" s="925">
        <f>ROUND((('1.4.조성법총괄(내부이동률 적용)'!J$61+'1.4.조성법총괄(내부이동률 적용)'!J$64*$AK$2)*$AB164)+(AQ$109*$AC164),0)</f>
        <v>427</v>
      </c>
      <c r="O164" s="925">
        <f>ROUND((('1.4.조성법총괄(내부이동률 적용)'!K$61+'1.4.조성법총괄(내부이동률 적용)'!K$64*$AK$2)*$AB164)+(AR$109*$AC164),0)</f>
        <v>427</v>
      </c>
      <c r="P164" s="925">
        <f>ROUND((('1.4.조성법총괄(내부이동률 적용)'!L$61+'1.4.조성법총괄(내부이동률 적용)'!L$64*$AK$2)*$AB164)+(AS$109*$AC164),0)</f>
        <v>428</v>
      </c>
      <c r="Q164" s="907">
        <f>ROUND((('1.4.조성법총괄(내부이동률 적용)'!M$61+'1.4.조성법총괄(내부이동률 적용)'!M$64*$AK$2)*$AB164)+(AT$109*$AC164),0)</f>
        <v>417</v>
      </c>
      <c r="R164" s="925">
        <f>ROUND((('1.4.조성법총괄(내부이동률 적용)'!N$61+'1.4.조성법총괄(내부이동률 적용)'!N$64*$AK$2)*$AB164)+(AU$109*$AC164),0)</f>
        <v>417</v>
      </c>
      <c r="S164" s="925">
        <f>ROUND((('1.4.조성법총괄(내부이동률 적용)'!O$61+'1.4.조성법총괄(내부이동률 적용)'!O$64*$AK$2)*$AB164)+(AV$109*$AC164),0)</f>
        <v>416</v>
      </c>
      <c r="T164" s="925">
        <f>ROUND((('1.4.조성법총괄(내부이동률 적용)'!P$61+'1.4.조성법총괄(내부이동률 적용)'!P$64*$AK$2)*$AB164)+(AW$109*$AC164),0)</f>
        <v>416</v>
      </c>
      <c r="U164" s="925">
        <f>ROUND((('1.4.조성법총괄(내부이동률 적용)'!Q$61+'1.4.조성법총괄(내부이동률 적용)'!Q$64*$AK$2)*$AB164)+(AX$109*$AC164),0)</f>
        <v>415</v>
      </c>
      <c r="V164" s="715">
        <f>ROUND((('1.4.조성법총괄(내부이동률 적용)'!R$61+'1.4.조성법총괄(내부이동률 적용)'!R$64*$AK$2)*$AB164)+(AY$109*$AC164),0)</f>
        <v>415</v>
      </c>
      <c r="W164" s="714">
        <f>ROUND((('1.4.조성법총괄(내부이동률 적용)'!S$61+'1.4.조성법총괄(내부이동률 적용)'!S$64*$AK$2)*$AB164)+(AZ$109*$AC164),0)</f>
        <v>414</v>
      </c>
      <c r="X164" s="714">
        <f>ROUND((('1.4.조성법총괄(내부이동률 적용)'!T$61+'1.4.조성법총괄(내부이동률 적용)'!T$64*$AK$2)*$AB164)+(BA$109*$AC164),0)</f>
        <v>413</v>
      </c>
      <c r="Y164" s="714">
        <f>ROUND((('1.4.조성법총괄(내부이동률 적용)'!U$61+'1.4.조성법총괄(내부이동률 적용)'!U$64*$AK$2)*$AB164)+(BB$109*$AC164),0)</f>
        <v>412</v>
      </c>
      <c r="Z164" s="714">
        <f>ROUND((('1.4.조성법총괄(내부이동률 적용)'!V$61+'1.4.조성법총괄(내부이동률 적용)'!V$64*$AK$2)*$AB164)+(BC$109*$AC164),0)</f>
        <v>411</v>
      </c>
      <c r="AA164" s="715">
        <f>ROUND((('1.4.조성법총괄(내부이동률 적용)'!W$61+'1.4.조성법총괄(내부이동률 적용)'!W$64*$AK$2)*$AB164)+(BD$109*$AC164),0)</f>
        <v>541</v>
      </c>
      <c r="AB164" s="936">
        <f>+H164/'1.4.조성법총괄(내부이동률 적용)'!$D$65</f>
        <v>3.3968226103747917E-2</v>
      </c>
      <c r="AC164" s="934">
        <f t="shared" si="125"/>
        <v>4.8152295632698766E-2</v>
      </c>
      <c r="AD164" s="713"/>
      <c r="AE164" s="711"/>
      <c r="AF164" s="712"/>
      <c r="AG164" s="712"/>
      <c r="AH164" s="712"/>
      <c r="AI164" s="712"/>
      <c r="AJ164" s="712"/>
      <c r="AK164" s="712"/>
      <c r="AL164" s="712"/>
      <c r="AM164" s="712"/>
      <c r="AN164" s="712"/>
      <c r="AO164" s="712"/>
      <c r="AP164" s="712"/>
      <c r="AQ164" s="712"/>
      <c r="AR164" s="712"/>
      <c r="AS164" s="712"/>
      <c r="AT164" s="712"/>
      <c r="AU164" s="712"/>
      <c r="AV164" s="712"/>
      <c r="AW164" s="712"/>
      <c r="AX164" s="712"/>
      <c r="AY164" s="712"/>
      <c r="AZ164" s="712"/>
      <c r="BA164" s="712"/>
      <c r="BB164" s="712"/>
      <c r="BC164" s="712"/>
      <c r="BD164" s="712"/>
      <c r="BE164" s="712"/>
    </row>
    <row r="165" spans="1:57" ht="24" customHeight="1">
      <c r="A165" s="2669"/>
      <c r="B165" s="2669"/>
      <c r="C165" s="2669"/>
      <c r="D165" s="2669"/>
      <c r="E165" s="770" t="s">
        <v>1007</v>
      </c>
      <c r="F165" s="713"/>
      <c r="G165" s="935">
        <f>+'2014처리구역인구 정리'!I146</f>
        <v>371</v>
      </c>
      <c r="H165" s="935">
        <f>+'2014처리구역인구 정리'!J146</f>
        <v>386</v>
      </c>
      <c r="I165" s="925">
        <f>ROUND((('1.4.조성법총괄(내부이동률 적용)'!E$61+'1.4.조성법총괄(내부이동률 적용)'!E$64*$AK$2)*$AB165)+(AL$109*$AC165),0)</f>
        <v>385</v>
      </c>
      <c r="J165" s="925">
        <f>ROUND((('1.4.조성법총괄(내부이동률 적용)'!F$61+'1.4.조성법총괄(내부이동률 적용)'!F$64*$AK$2)*$AB165)+(AM$109*$AC165),0)</f>
        <v>378</v>
      </c>
      <c r="K165" s="925">
        <f>ROUND((('1.4.조성법총괄(내부이동률 적용)'!G$61+'1.4.조성법총괄(내부이동률 적용)'!G$64*$AK$2)*$AB165)+(AN$109*$AC165),0)</f>
        <v>377</v>
      </c>
      <c r="L165" s="907">
        <f>ROUND((('1.4.조성법총괄(내부이동률 적용)'!H$61+'1.4.조성법총괄(내부이동률 적용)'!H$64*$AK$2)*$AB165)+(AO$109*$AC165),0)</f>
        <v>386</v>
      </c>
      <c r="M165" s="925">
        <f>ROUND((('1.4.조성법총괄(내부이동률 적용)'!I$61+'1.4.조성법총괄(내부이동률 적용)'!I$64*$AK$2)*$AB165)+(AP$109*$AC165),0)</f>
        <v>406</v>
      </c>
      <c r="N165" s="925">
        <f>ROUND((('1.4.조성법총괄(내부이동률 적용)'!J$61+'1.4.조성법총괄(내부이동률 적용)'!J$64*$AK$2)*$AB165)+(AQ$109*$AC165),0)</f>
        <v>426</v>
      </c>
      <c r="O165" s="925">
        <f>ROUND((('1.4.조성법총괄(내부이동률 적용)'!K$61+'1.4.조성법총괄(내부이동률 적용)'!K$64*$AK$2)*$AB165)+(AR$109*$AC165),0)</f>
        <v>426</v>
      </c>
      <c r="P165" s="925">
        <f>ROUND((('1.4.조성법총괄(내부이동률 적용)'!L$61+'1.4.조성법총괄(내부이동률 적용)'!L$64*$AK$2)*$AB165)+(AS$109*$AC165),0)</f>
        <v>426</v>
      </c>
      <c r="Q165" s="907">
        <f>ROUND((('1.4.조성법총괄(내부이동률 적용)'!M$61+'1.4.조성법총괄(내부이동률 적용)'!M$64*$AK$2)*$AB165)+(AT$109*$AC165),0)</f>
        <v>416</v>
      </c>
      <c r="R165" s="925">
        <f>ROUND((('1.4.조성법총괄(내부이동률 적용)'!N$61+'1.4.조성법총괄(내부이동률 적용)'!N$64*$AK$2)*$AB165)+(AU$109*$AC165),0)</f>
        <v>416</v>
      </c>
      <c r="S165" s="925">
        <f>ROUND((('1.4.조성법총괄(내부이동률 적용)'!O$61+'1.4.조성법총괄(내부이동률 적용)'!O$64*$AK$2)*$AB165)+(AV$109*$AC165),0)</f>
        <v>415</v>
      </c>
      <c r="T165" s="925">
        <f>ROUND((('1.4.조성법총괄(내부이동률 적용)'!P$61+'1.4.조성법총괄(내부이동률 적용)'!P$64*$AK$2)*$AB165)+(AW$109*$AC165),0)</f>
        <v>415</v>
      </c>
      <c r="U165" s="925">
        <f>ROUND((('1.4.조성법총괄(내부이동률 적용)'!Q$61+'1.4.조성법총괄(내부이동률 적용)'!Q$64*$AK$2)*$AB165)+(AX$109*$AC165),0)</f>
        <v>414</v>
      </c>
      <c r="V165" s="715">
        <f>ROUND((('1.4.조성법총괄(내부이동률 적용)'!R$61+'1.4.조성법총괄(내부이동률 적용)'!R$64*$AK$2)*$AB165)+(AY$109*$AC165),0)</f>
        <v>414</v>
      </c>
      <c r="W165" s="714">
        <f>ROUND((('1.4.조성법총괄(내부이동률 적용)'!S$61+'1.4.조성법총괄(내부이동률 적용)'!S$64*$AK$2)*$AB165)+(AZ$109*$AC165),0)</f>
        <v>413</v>
      </c>
      <c r="X165" s="714">
        <f>ROUND((('1.4.조성법총괄(내부이동률 적용)'!T$61+'1.4.조성법총괄(내부이동률 적용)'!T$64*$AK$2)*$AB165)+(BA$109*$AC165),0)</f>
        <v>412</v>
      </c>
      <c r="Y165" s="714">
        <f>ROUND((('1.4.조성법총괄(내부이동률 적용)'!U$61+'1.4.조성법총괄(내부이동률 적용)'!U$64*$AK$2)*$AB165)+(BB$109*$AC165),0)</f>
        <v>411</v>
      </c>
      <c r="Z165" s="714">
        <f>ROUND((('1.4.조성법총괄(내부이동률 적용)'!V$61+'1.4.조성법총괄(내부이동률 적용)'!V$64*$AK$2)*$AB165)+(BC$109*$AC165),0)</f>
        <v>410</v>
      </c>
      <c r="AA165" s="715">
        <f>ROUND((('1.4.조성법총괄(내부이동률 적용)'!W$61+'1.4.조성법총괄(내부이동률 적용)'!W$64*$AK$2)*$AB165)+(BD$109*$AC165),0)</f>
        <v>539</v>
      </c>
      <c r="AB165" s="936">
        <f>+H165/'1.4.조성법총괄(내부이동률 적용)'!$D$65</f>
        <v>3.3880452909681384E-2</v>
      </c>
      <c r="AC165" s="934">
        <f t="shared" si="125"/>
        <v>4.8027871096180168E-2</v>
      </c>
      <c r="AD165" s="713"/>
      <c r="AE165" s="711"/>
      <c r="AF165" s="712"/>
      <c r="AG165" s="712"/>
      <c r="AH165" s="712"/>
      <c r="AI165" s="712"/>
      <c r="AJ165" s="712"/>
      <c r="AK165" s="712"/>
      <c r="AL165" s="712"/>
      <c r="AM165" s="712"/>
      <c r="AN165" s="712"/>
      <c r="AO165" s="712"/>
      <c r="AP165" s="712"/>
      <c r="AQ165" s="712"/>
      <c r="AR165" s="712"/>
      <c r="AS165" s="712"/>
      <c r="AT165" s="712"/>
      <c r="AU165" s="712"/>
      <c r="AV165" s="712"/>
      <c r="AW165" s="712"/>
      <c r="AX165" s="712"/>
      <c r="AY165" s="712"/>
      <c r="AZ165" s="712"/>
      <c r="BA165" s="712"/>
      <c r="BB165" s="712"/>
      <c r="BC165" s="712"/>
      <c r="BD165" s="712"/>
      <c r="BE165" s="712"/>
    </row>
    <row r="166" spans="1:57" ht="24" customHeight="1">
      <c r="A166" s="2669"/>
      <c r="B166" s="2669"/>
      <c r="C166" s="2669"/>
      <c r="D166" s="2670"/>
      <c r="E166" s="770" t="s">
        <v>1009</v>
      </c>
      <c r="F166" s="713"/>
      <c r="G166" s="935">
        <f>+'2014처리구역인구 정리'!I147</f>
        <v>208</v>
      </c>
      <c r="H166" s="935">
        <f>+'2014처리구역인구 정리'!J147</f>
        <v>205</v>
      </c>
      <c r="I166" s="925">
        <f>ROUND((('1.4.조성법총괄(내부이동률 적용)'!E$61+'1.4.조성법총괄(내부이동률 적용)'!E$64*$AK$2)*$AB166)+(AL$109*$AC166),0)</f>
        <v>204</v>
      </c>
      <c r="J166" s="925">
        <f>ROUND((('1.4.조성법총괄(내부이동률 적용)'!F$61+'1.4.조성법총괄(내부이동률 적용)'!F$64*$AK$2)*$AB166)+(AM$109*$AC166),0)</f>
        <v>201</v>
      </c>
      <c r="K166" s="925">
        <f>ROUND((('1.4.조성법총괄(내부이동률 적용)'!G$61+'1.4.조성법총괄(내부이동률 적용)'!G$64*$AK$2)*$AB166)+(AN$109*$AC166),0)</f>
        <v>200</v>
      </c>
      <c r="L166" s="907">
        <f>ROUND((('1.4.조성법총괄(내부이동률 적용)'!H$61+'1.4.조성법총괄(내부이동률 적용)'!H$64*$AK$2)*$AB166)+(AO$109*$AC166),0)</f>
        <v>205</v>
      </c>
      <c r="M166" s="925">
        <f>ROUND((('1.4.조성법총괄(내부이동률 적용)'!I$61+'1.4.조성법총괄(내부이동률 적용)'!I$64*$AK$2)*$AB166)+(AP$109*$AC166),0)</f>
        <v>216</v>
      </c>
      <c r="N166" s="925">
        <f>ROUND((('1.4.조성법총괄(내부이동률 적용)'!J$61+'1.4.조성법총괄(내부이동률 적용)'!J$64*$AK$2)*$AB166)+(AQ$109*$AC166),0)</f>
        <v>226</v>
      </c>
      <c r="O166" s="925">
        <f>ROUND((('1.4.조성법총괄(내부이동률 적용)'!K$61+'1.4.조성법총괄(내부이동률 적용)'!K$64*$AK$2)*$AB166)+(AR$109*$AC166),0)</f>
        <v>226</v>
      </c>
      <c r="P166" s="925">
        <f>ROUND((('1.4.조성법총괄(내부이동률 적용)'!L$61+'1.4.조성법총괄(내부이동률 적용)'!L$64*$AK$2)*$AB166)+(AS$109*$AC166),0)</f>
        <v>227</v>
      </c>
      <c r="Q166" s="907">
        <f>ROUND((('1.4.조성법총괄(내부이동률 적용)'!M$61+'1.4.조성법총괄(내부이동률 적용)'!M$64*$AK$2)*$AB166)+(AT$109*$AC166),0)</f>
        <v>221</v>
      </c>
      <c r="R166" s="925">
        <f>ROUND((('1.4.조성법총괄(내부이동률 적용)'!N$61+'1.4.조성법총괄(내부이동률 적용)'!N$64*$AK$2)*$AB166)+(AU$109*$AC166),0)</f>
        <v>221</v>
      </c>
      <c r="S166" s="925">
        <f>ROUND((('1.4.조성법총괄(내부이동률 적용)'!O$61+'1.4.조성법총괄(내부이동률 적용)'!O$64*$AK$2)*$AB166)+(AV$109*$AC166),0)</f>
        <v>221</v>
      </c>
      <c r="T166" s="925">
        <f>ROUND((('1.4.조성법총괄(내부이동률 적용)'!P$61+'1.4.조성법총괄(내부이동률 적용)'!P$64*$AK$2)*$AB166)+(AW$109*$AC166),0)</f>
        <v>220</v>
      </c>
      <c r="U166" s="925">
        <f>ROUND((('1.4.조성법총괄(내부이동률 적용)'!Q$61+'1.4.조성법총괄(내부이동률 적용)'!Q$64*$AK$2)*$AB166)+(AX$109*$AC166),0)</f>
        <v>220</v>
      </c>
      <c r="V166" s="715">
        <f>ROUND((('1.4.조성법총괄(내부이동률 적용)'!R$61+'1.4.조성법총괄(내부이동률 적용)'!R$64*$AK$2)*$AB166)+(AY$109*$AC166),0)</f>
        <v>220</v>
      </c>
      <c r="W166" s="714">
        <f>ROUND((('1.4.조성법총괄(내부이동률 적용)'!S$61+'1.4.조성법총괄(내부이동률 적용)'!S$64*$AK$2)*$AB166)+(AZ$109*$AC166),0)</f>
        <v>219</v>
      </c>
      <c r="X166" s="714">
        <f>ROUND((('1.4.조성법총괄(내부이동률 적용)'!T$61+'1.4.조성법총괄(내부이동률 적용)'!T$64*$AK$2)*$AB166)+(BA$109*$AC166),0)</f>
        <v>219</v>
      </c>
      <c r="Y166" s="714">
        <f>ROUND((('1.4.조성법총괄(내부이동률 적용)'!U$61+'1.4.조성법총괄(내부이동률 적용)'!U$64*$AK$2)*$AB166)+(BB$109*$AC166),0)</f>
        <v>218</v>
      </c>
      <c r="Z166" s="714">
        <f>ROUND((('1.4.조성법총괄(내부이동률 적용)'!V$61+'1.4.조성법총괄(내부이동률 적용)'!V$64*$AK$2)*$AB166)+(BC$109*$AC166),0)</f>
        <v>218</v>
      </c>
      <c r="AA166" s="715">
        <f>ROUND((('1.4.조성법총괄(내부이동률 적용)'!W$61+'1.4.조성법총괄(내부이동률 적용)'!W$64*$AK$2)*$AB166)+(BD$109*$AC166),0)</f>
        <v>286</v>
      </c>
      <c r="AB166" s="936">
        <f>+H166/'1.4.조성법총괄(내부이동률 적용)'!$D$65</f>
        <v>1.7993504783639078E-2</v>
      </c>
      <c r="AC166" s="934">
        <f t="shared" si="125"/>
        <v>2.5507029986313302E-2</v>
      </c>
      <c r="AD166" s="713"/>
      <c r="AE166" s="711"/>
      <c r="AF166" s="712"/>
      <c r="AG166" s="712"/>
      <c r="AH166" s="712"/>
      <c r="AI166" s="712"/>
      <c r="AJ166" s="712"/>
      <c r="AK166" s="712"/>
      <c r="AL166" s="712"/>
      <c r="AM166" s="712"/>
      <c r="AN166" s="712"/>
      <c r="AO166" s="712"/>
      <c r="AP166" s="712"/>
      <c r="AQ166" s="712"/>
      <c r="AR166" s="712"/>
      <c r="AS166" s="712"/>
      <c r="AT166" s="712"/>
      <c r="AU166" s="712"/>
      <c r="AV166" s="712"/>
      <c r="AW166" s="712"/>
      <c r="AX166" s="712"/>
      <c r="AY166" s="712"/>
      <c r="AZ166" s="712"/>
      <c r="BA166" s="712"/>
      <c r="BB166" s="712"/>
      <c r="BC166" s="712"/>
      <c r="BD166" s="712"/>
      <c r="BE166" s="712"/>
    </row>
    <row r="167" spans="1:57" ht="24" customHeight="1">
      <c r="A167" s="2669"/>
      <c r="B167" s="2669"/>
      <c r="C167" s="2669"/>
      <c r="D167" s="770" t="s">
        <v>1010</v>
      </c>
      <c r="E167" s="770" t="s">
        <v>1011</v>
      </c>
      <c r="F167" s="713"/>
      <c r="G167" s="935">
        <f>+'2014처리구역인구 정리'!I149</f>
        <v>134</v>
      </c>
      <c r="H167" s="935">
        <f>+'2014처리구역인구 정리'!J149</f>
        <v>135</v>
      </c>
      <c r="I167" s="925">
        <f>ROUND((('1.4.조성법총괄(내부이동률 적용)'!E$61+'1.4.조성법총괄(내부이동률 적용)'!E$64*$AK$2)*$AB167)+(AL$109*$AC167),0)</f>
        <v>135</v>
      </c>
      <c r="J167" s="925">
        <f>ROUND((('1.4.조성법총괄(내부이동률 적용)'!F$61+'1.4.조성법총괄(내부이동률 적용)'!F$64*$AK$2)*$AB167)+(AM$109*$AC167),0)</f>
        <v>132</v>
      </c>
      <c r="K167" s="925">
        <f>ROUND((('1.4.조성법총괄(내부이동률 적용)'!G$61+'1.4.조성법총괄(내부이동률 적용)'!G$64*$AK$2)*$AB167)+(AN$109*$AC167),0)</f>
        <v>132</v>
      </c>
      <c r="L167" s="907">
        <f>ROUND((('1.4.조성법총괄(내부이동률 적용)'!H$61+'1.4.조성법총괄(내부이동률 적용)'!H$64*$AK$2)*$AB167)+(AO$109*$AC167),0)</f>
        <v>135</v>
      </c>
      <c r="M167" s="925">
        <f>ROUND((('1.4.조성법총괄(내부이동률 적용)'!I$61+'1.4.조성법총괄(내부이동률 적용)'!I$64*$AK$2)*$AB167)+(AP$109*$AC167),0)</f>
        <v>142</v>
      </c>
      <c r="N167" s="925">
        <f>ROUND((('1.4.조성법총괄(내부이동률 적용)'!J$61+'1.4.조성법총괄(내부이동률 적용)'!J$64*$AK$2)*$AB167)+(AQ$109*$AC167),0)</f>
        <v>149</v>
      </c>
      <c r="O167" s="925">
        <f>ROUND((('1.4.조성법총괄(내부이동률 적용)'!K$61+'1.4.조성법총괄(내부이동률 적용)'!K$64*$AK$2)*$AB167)+(AR$109*$AC167),0)</f>
        <v>149</v>
      </c>
      <c r="P167" s="925">
        <f>ROUND((('1.4.조성법총괄(내부이동률 적용)'!L$61+'1.4.조성법총괄(내부이동률 적용)'!L$64*$AK$2)*$AB167)+(AS$109*$AC167),0)</f>
        <v>149</v>
      </c>
      <c r="Q167" s="907">
        <f>ROUND((('1.4.조성법총괄(내부이동률 적용)'!M$61+'1.4.조성법총괄(내부이동률 적용)'!M$64*$AK$2)*$AB167)+(AT$109*$AC167),0)</f>
        <v>146</v>
      </c>
      <c r="R167" s="925">
        <f>ROUND((('1.4.조성법총괄(내부이동률 적용)'!N$61+'1.4.조성법총괄(내부이동률 적용)'!N$64*$AK$2)*$AB167)+(AU$109*$AC167),0)</f>
        <v>145</v>
      </c>
      <c r="S167" s="925">
        <f>ROUND((('1.4.조성법총괄(내부이동률 적용)'!O$61+'1.4.조성법총괄(내부이동률 적용)'!O$64*$AK$2)*$AB167)+(AV$109*$AC167),0)</f>
        <v>145</v>
      </c>
      <c r="T167" s="925">
        <f>ROUND((('1.4.조성법총괄(내부이동률 적용)'!P$61+'1.4.조성법총괄(내부이동률 적용)'!P$64*$AK$2)*$AB167)+(AW$109*$AC167),0)</f>
        <v>145</v>
      </c>
      <c r="U167" s="925">
        <f>ROUND((('1.4.조성법총괄(내부이동률 적용)'!Q$61+'1.4.조성법총괄(내부이동률 적용)'!Q$64*$AK$2)*$AB167)+(AX$109*$AC167),0)</f>
        <v>145</v>
      </c>
      <c r="V167" s="715">
        <f>ROUND((('1.4.조성법총괄(내부이동률 적용)'!R$61+'1.4.조성법총괄(내부이동률 적용)'!R$64*$AK$2)*$AB167)+(AY$109*$AC167),0)</f>
        <v>145</v>
      </c>
      <c r="W167" s="714">
        <f>ROUND((('1.4.조성법총괄(내부이동률 적용)'!S$61+'1.4.조성법총괄(내부이동률 적용)'!S$64*$AK$2)*$AB167)+(AZ$109*$AC167),0)</f>
        <v>144</v>
      </c>
      <c r="X167" s="714">
        <f>ROUND((('1.4.조성법총괄(내부이동률 적용)'!T$61+'1.4.조성법총괄(내부이동률 적용)'!T$64*$AK$2)*$AB167)+(BA$109*$AC167),0)</f>
        <v>144</v>
      </c>
      <c r="Y167" s="714">
        <f>ROUND((('1.4.조성법총괄(내부이동률 적용)'!U$61+'1.4.조성법총괄(내부이동률 적용)'!U$64*$AK$2)*$AB167)+(BB$109*$AC167),0)</f>
        <v>144</v>
      </c>
      <c r="Z167" s="714">
        <f>ROUND((('1.4.조성법총괄(내부이동률 적용)'!V$61+'1.4.조성법총괄(내부이동률 적용)'!V$64*$AK$2)*$AB167)+(BC$109*$AC167),0)</f>
        <v>144</v>
      </c>
      <c r="AA167" s="715">
        <f>ROUND((('1.4.조성법총괄(내부이동률 적용)'!W$61+'1.4.조성법총괄(내부이동률 적용)'!W$64*$AK$2)*$AB167)+(BD$109*$AC167),0)</f>
        <v>189</v>
      </c>
      <c r="AB167" s="936">
        <f>+H167/'1.4.조성법총괄(내부이동률 적용)'!$D$65</f>
        <v>1.184938119898183E-2</v>
      </c>
      <c r="AC167" s="934">
        <f t="shared" si="125"/>
        <v>1.6797312430011199E-2</v>
      </c>
      <c r="AD167" s="713"/>
      <c r="AE167" s="711"/>
    </row>
    <row r="168" spans="1:57" ht="24" customHeight="1">
      <c r="A168" s="2670"/>
      <c r="B168" s="2670"/>
      <c r="C168" s="2670"/>
      <c r="D168" s="1105" t="s">
        <v>1013</v>
      </c>
      <c r="E168" s="770" t="s">
        <v>1017</v>
      </c>
      <c r="F168" s="713"/>
      <c r="G168" s="935">
        <f>+'2014처리구역인구 정리'!I150</f>
        <v>298</v>
      </c>
      <c r="H168" s="935">
        <f>+'2014처리구역인구 정리'!J150</f>
        <v>316</v>
      </c>
      <c r="I168" s="925">
        <f>ROUND((('1.4.조성법총괄(내부이동률 적용)'!E$61+'1.4.조성법총괄(내부이동률 적용)'!E$64*$AK$2)*$AB168)+(AL$109*$AC168),0)</f>
        <v>315</v>
      </c>
      <c r="J168" s="925">
        <f>ROUND((('1.4.조성법총괄(내부이동률 적용)'!F$61+'1.4.조성법총괄(내부이동률 적용)'!F$64*$AK$2)*$AB168)+(AM$109*$AC168),0)</f>
        <v>309</v>
      </c>
      <c r="K168" s="925">
        <f>ROUND((('1.4.조성법총괄(내부이동률 적용)'!G$61+'1.4.조성법총괄(내부이동률 적용)'!G$64*$AK$2)*$AB168)+(AN$109*$AC168),0)</f>
        <v>309</v>
      </c>
      <c r="L168" s="907">
        <f>ROUND((('1.4.조성법총괄(내부이동률 적용)'!H$61+'1.4.조성법총괄(내부이동률 적용)'!H$64*$AK$2)*$AB168)+(AO$109*$AC168),0)</f>
        <v>316</v>
      </c>
      <c r="M168" s="925">
        <f>ROUND((('1.4.조성법총괄(내부이동률 적용)'!I$61+'1.4.조성법총괄(내부이동률 적용)'!I$64*$AK$2)*$AB168)+(AP$109*$AC168),0)</f>
        <v>332</v>
      </c>
      <c r="N168" s="925">
        <f>ROUND((('1.4.조성법총괄(내부이동률 적용)'!J$61+'1.4.조성법총괄(내부이동률 적용)'!J$64*$AK$2)*$AB168)+(AQ$109*$AC168),0)</f>
        <v>349</v>
      </c>
      <c r="O168" s="925">
        <f>ROUND((('1.4.조성법총괄(내부이동률 적용)'!K$61+'1.4.조성법총괄(내부이동률 적용)'!K$64*$AK$2)*$AB168)+(AR$109*$AC168),0)</f>
        <v>349</v>
      </c>
      <c r="P168" s="925">
        <f>ROUND((('1.4.조성법총괄(내부이동률 적용)'!L$61+'1.4.조성법총괄(내부이동률 적용)'!L$64*$AK$2)*$AB168)+(AS$109*$AC168),0)</f>
        <v>349</v>
      </c>
      <c r="Q168" s="907">
        <f>ROUND((('1.4.조성법총괄(내부이동률 적용)'!M$61+'1.4.조성법총괄(내부이동률 적용)'!M$64*$AK$2)*$AB168)+(AT$109*$AC168),0)</f>
        <v>341</v>
      </c>
      <c r="R168" s="925">
        <f>ROUND((('1.4.조성법총괄(내부이동률 적용)'!N$61+'1.4.조성법총괄(내부이동률 적용)'!N$64*$AK$2)*$AB168)+(AU$109*$AC168),0)</f>
        <v>340</v>
      </c>
      <c r="S168" s="925">
        <f>ROUND((('1.4.조성법총괄(내부이동률 적용)'!O$61+'1.4.조성법총괄(내부이동률 적용)'!O$64*$AK$2)*$AB168)+(AV$109*$AC168),0)</f>
        <v>340</v>
      </c>
      <c r="T168" s="925">
        <f>ROUND((('1.4.조성법총괄(내부이동률 적용)'!P$61+'1.4.조성법총괄(내부이동률 적용)'!P$64*$AK$2)*$AB168)+(AW$109*$AC168),0)</f>
        <v>340</v>
      </c>
      <c r="U168" s="925">
        <f>ROUND((('1.4.조성법총괄(내부이동률 적용)'!Q$61+'1.4.조성법총괄(내부이동률 적용)'!Q$64*$AK$2)*$AB168)+(AX$109*$AC168),0)</f>
        <v>339</v>
      </c>
      <c r="V168" s="715">
        <f>ROUND((('1.4.조성법총괄(내부이동률 적용)'!R$61+'1.4.조성법총괄(내부이동률 적용)'!R$64*$AK$2)*$AB168)+(AY$109*$AC168),0)</f>
        <v>339</v>
      </c>
      <c r="W168" s="714">
        <f>ROUND((('1.4.조성법총괄(내부이동률 적용)'!S$61+'1.4.조성법총괄(내부이동률 적용)'!S$64*$AK$2)*$AB168)+(AZ$109*$AC168),0)</f>
        <v>338</v>
      </c>
      <c r="X168" s="714">
        <f>ROUND((('1.4.조성법총괄(내부이동률 적용)'!T$61+'1.4.조성법총괄(내부이동률 적용)'!T$64*$AK$2)*$AB168)+(BA$109*$AC168),0)</f>
        <v>337</v>
      </c>
      <c r="Y168" s="714">
        <f>ROUND((('1.4.조성법총괄(내부이동률 적용)'!U$61+'1.4.조성법총괄(내부이동률 적용)'!U$64*$AK$2)*$AB168)+(BB$109*$AC168),0)</f>
        <v>337</v>
      </c>
      <c r="Z168" s="714">
        <f>ROUND((('1.4.조성법총괄(내부이동률 적용)'!V$61+'1.4.조성법총괄(내부이동률 적용)'!V$64*$AK$2)*$AB168)+(BC$109*$AC168),0)</f>
        <v>336</v>
      </c>
      <c r="AA168" s="715">
        <f>ROUND((('1.4.조성법총괄(내부이동률 적용)'!W$61+'1.4.조성법총괄(내부이동률 적용)'!W$64*$AK$2)*$AB168)+(BD$109*$AC168),0)</f>
        <v>442</v>
      </c>
      <c r="AB168" s="936">
        <f>+H168/'1.4.조성법총괄(내부이동률 적용)'!$D$65</f>
        <v>2.7736329325024137E-2</v>
      </c>
      <c r="AC168" s="934">
        <f t="shared" si="125"/>
        <v>3.9318153539878067E-2</v>
      </c>
      <c r="AD168" s="713"/>
      <c r="AE168" s="711"/>
    </row>
    <row r="169" spans="1:57" ht="24" customHeight="1">
      <c r="A169" s="65"/>
      <c r="B169" s="65"/>
      <c r="C169" s="66"/>
      <c r="D169" s="67"/>
      <c r="E169" s="67"/>
      <c r="F169" s="73"/>
      <c r="AB169" s="72"/>
      <c r="AC169" s="72"/>
      <c r="AF169" s="712"/>
      <c r="AG169" s="712"/>
      <c r="AH169" s="712"/>
      <c r="AI169" s="712"/>
      <c r="AJ169" s="712"/>
      <c r="AK169" s="712"/>
      <c r="AL169" s="712"/>
      <c r="AM169" s="712"/>
      <c r="AN169" s="712"/>
      <c r="AO169" s="712"/>
      <c r="AP169" s="712"/>
      <c r="AQ169" s="712"/>
      <c r="AR169" s="712"/>
      <c r="AS169" s="712"/>
      <c r="AT169" s="712"/>
      <c r="AU169" s="712"/>
      <c r="AV169" s="712"/>
      <c r="AW169" s="712"/>
      <c r="AX169" s="712"/>
      <c r="AY169" s="712"/>
      <c r="AZ169" s="712"/>
      <c r="BA169" s="712"/>
      <c r="BB169" s="712"/>
      <c r="BC169" s="712"/>
      <c r="BD169" s="712"/>
      <c r="BE169" s="712"/>
    </row>
    <row r="170" spans="1:57" ht="24" customHeight="1">
      <c r="A170" s="1932" t="s">
        <v>2256</v>
      </c>
      <c r="B170" s="1932"/>
      <c r="C170" s="1932"/>
      <c r="D170" s="1932"/>
      <c r="E170" s="1932"/>
      <c r="F170" s="711"/>
      <c r="G170" s="712"/>
      <c r="H170" s="712"/>
      <c r="I170" s="712"/>
      <c r="J170" s="712"/>
      <c r="K170" s="712"/>
      <c r="L170" s="712"/>
      <c r="M170" s="712"/>
      <c r="N170" s="712"/>
      <c r="O170" s="712"/>
      <c r="P170" s="712"/>
      <c r="Q170" s="712"/>
      <c r="R170" s="712"/>
      <c r="S170" s="712"/>
      <c r="T170" s="712"/>
      <c r="U170" s="712"/>
      <c r="V170" s="712"/>
      <c r="W170" s="712"/>
      <c r="X170" s="712"/>
      <c r="Y170" s="712"/>
      <c r="Z170" s="712"/>
      <c r="AA170" s="712"/>
      <c r="AB170" s="712"/>
      <c r="AC170" s="712"/>
      <c r="AD170" s="712"/>
      <c r="AE170" s="712"/>
      <c r="AF170" s="712"/>
      <c r="AG170" s="712"/>
      <c r="AH170" s="712"/>
      <c r="AI170" s="712"/>
      <c r="AJ170" s="712"/>
      <c r="AK170" s="712"/>
      <c r="AL170" s="712"/>
      <c r="AM170" s="712"/>
      <c r="AN170" s="712"/>
      <c r="AO170" s="712"/>
      <c r="AP170" s="712"/>
      <c r="AQ170" s="712"/>
      <c r="AR170" s="712"/>
      <c r="AS170" s="712"/>
      <c r="AT170" s="712"/>
      <c r="AU170" s="712"/>
      <c r="AV170" s="712"/>
      <c r="AW170" s="712"/>
      <c r="AX170" s="712"/>
      <c r="AY170" s="712"/>
      <c r="AZ170" s="712"/>
      <c r="BA170" s="712"/>
      <c r="BB170" s="712"/>
      <c r="BC170" s="712"/>
      <c r="BD170" s="712"/>
      <c r="BE170" s="712"/>
    </row>
    <row r="171" spans="1:57" ht="39.950000000000003" customHeight="1">
      <c r="A171" s="736" t="s">
        <v>0</v>
      </c>
      <c r="B171" s="736" t="s">
        <v>1</v>
      </c>
      <c r="C171" s="737" t="s">
        <v>2</v>
      </c>
      <c r="D171" s="737" t="s">
        <v>3</v>
      </c>
      <c r="E171" s="737" t="s">
        <v>4</v>
      </c>
      <c r="F171" s="737">
        <v>2013</v>
      </c>
      <c r="G171" s="737">
        <v>2015</v>
      </c>
      <c r="H171" s="737">
        <v>2016</v>
      </c>
      <c r="I171" s="737">
        <v>2017</v>
      </c>
      <c r="J171" s="737">
        <v>2018</v>
      </c>
      <c r="K171" s="737">
        <v>2019</v>
      </c>
      <c r="L171" s="737">
        <v>2020</v>
      </c>
      <c r="M171" s="737">
        <v>2021</v>
      </c>
      <c r="N171" s="737">
        <v>2022</v>
      </c>
      <c r="O171" s="737">
        <v>2023</v>
      </c>
      <c r="P171" s="737">
        <v>2024</v>
      </c>
      <c r="Q171" s="737">
        <v>2025</v>
      </c>
      <c r="R171" s="737">
        <v>2026</v>
      </c>
      <c r="S171" s="737">
        <v>2027</v>
      </c>
      <c r="T171" s="737">
        <v>2028</v>
      </c>
      <c r="U171" s="737">
        <v>2029</v>
      </c>
      <c r="V171" s="737">
        <v>2030</v>
      </c>
      <c r="W171" s="737">
        <v>2031</v>
      </c>
      <c r="X171" s="737">
        <v>2032</v>
      </c>
      <c r="Y171" s="737">
        <v>2033</v>
      </c>
      <c r="Z171" s="737">
        <v>2034</v>
      </c>
      <c r="AA171" s="737">
        <v>2035</v>
      </c>
      <c r="AB171" s="736" t="s">
        <v>140</v>
      </c>
      <c r="AC171" s="736" t="s">
        <v>141</v>
      </c>
      <c r="AD171" s="737" t="s">
        <v>139</v>
      </c>
      <c r="AE171" s="674" t="str">
        <f>A170</f>
        <v>1.6 생극 처리구역 인구</v>
      </c>
      <c r="AF171" s="712"/>
      <c r="AG171" s="712"/>
      <c r="AH171" s="712"/>
      <c r="AI171" s="712"/>
      <c r="AJ171" s="712"/>
      <c r="AK171" s="712"/>
      <c r="AL171" s="712"/>
      <c r="AM171" s="712"/>
      <c r="AN171" s="712"/>
      <c r="AO171" s="712"/>
      <c r="AP171" s="712"/>
      <c r="AQ171" s="712"/>
      <c r="AR171" s="712"/>
      <c r="AS171" s="712"/>
      <c r="AT171" s="712"/>
      <c r="AU171" s="712"/>
      <c r="AV171" s="712"/>
      <c r="AW171" s="712"/>
      <c r="AX171" s="712"/>
      <c r="AY171" s="712"/>
      <c r="AZ171" s="712"/>
      <c r="BA171" s="712"/>
      <c r="BB171" s="712"/>
      <c r="BC171" s="712"/>
      <c r="BD171" s="712"/>
      <c r="BE171" s="712"/>
    </row>
    <row r="172" spans="1:57" s="599" customFormat="1" ht="24" customHeight="1">
      <c r="A172" s="2671" t="s">
        <v>1018</v>
      </c>
      <c r="B172" s="2672"/>
      <c r="C172" s="2636" t="s">
        <v>7</v>
      </c>
      <c r="D172" s="2636"/>
      <c r="E172" s="2636"/>
      <c r="F172" s="97"/>
      <c r="G172" s="922">
        <f>SUM(G173:G187)</f>
        <v>3144</v>
      </c>
      <c r="H172" s="922">
        <f t="shared" ref="H172:AA172" si="126">SUM(H173:H187)</f>
        <v>3157</v>
      </c>
      <c r="I172" s="922">
        <f t="shared" si="126"/>
        <v>2915</v>
      </c>
      <c r="J172" s="922">
        <f t="shared" si="126"/>
        <v>2863</v>
      </c>
      <c r="K172" s="922">
        <f t="shared" si="126"/>
        <v>3042</v>
      </c>
      <c r="L172" s="922">
        <f t="shared" si="126"/>
        <v>3166</v>
      </c>
      <c r="M172" s="922">
        <f t="shared" si="126"/>
        <v>3152</v>
      </c>
      <c r="N172" s="922">
        <f t="shared" si="126"/>
        <v>3137</v>
      </c>
      <c r="O172" s="922">
        <f t="shared" si="126"/>
        <v>3118</v>
      </c>
      <c r="P172" s="922">
        <f t="shared" si="126"/>
        <v>3101</v>
      </c>
      <c r="Q172" s="922">
        <f t="shared" si="126"/>
        <v>3087</v>
      </c>
      <c r="R172" s="922">
        <f t="shared" si="126"/>
        <v>3063</v>
      </c>
      <c r="S172" s="922">
        <f t="shared" si="126"/>
        <v>3040</v>
      </c>
      <c r="T172" s="922">
        <f t="shared" si="126"/>
        <v>3016</v>
      </c>
      <c r="U172" s="922">
        <f t="shared" si="126"/>
        <v>2994</v>
      </c>
      <c r="V172" s="922">
        <f t="shared" si="126"/>
        <v>2970</v>
      </c>
      <c r="W172" s="922">
        <f t="shared" si="126"/>
        <v>2946</v>
      </c>
      <c r="X172" s="922">
        <f t="shared" si="126"/>
        <v>2919</v>
      </c>
      <c r="Y172" s="922">
        <f t="shared" si="126"/>
        <v>2895</v>
      </c>
      <c r="Z172" s="922">
        <f t="shared" si="126"/>
        <v>2871</v>
      </c>
      <c r="AA172" s="922">
        <f t="shared" si="126"/>
        <v>5092</v>
      </c>
      <c r="AB172" s="97"/>
      <c r="AC172" s="97"/>
      <c r="AD172" s="97"/>
      <c r="AE172" s="675">
        <f>+H172</f>
        <v>3157</v>
      </c>
      <c r="AF172" s="712"/>
      <c r="AG172" s="712"/>
      <c r="AH172" s="712"/>
      <c r="AI172" s="712"/>
      <c r="AJ172" s="712"/>
      <c r="AK172" s="712"/>
      <c r="AL172" s="712"/>
      <c r="AM172" s="712"/>
      <c r="AN172" s="712"/>
      <c r="AO172" s="712"/>
      <c r="AP172" s="712"/>
      <c r="AQ172" s="712"/>
      <c r="AR172" s="712"/>
      <c r="AS172" s="712"/>
      <c r="AT172" s="712"/>
      <c r="AU172" s="712"/>
      <c r="AV172" s="712"/>
      <c r="AW172" s="712"/>
      <c r="AX172" s="712"/>
      <c r="AY172" s="712"/>
      <c r="AZ172" s="712"/>
      <c r="BA172" s="712"/>
      <c r="BB172" s="712"/>
      <c r="BC172" s="712"/>
      <c r="BD172" s="712"/>
      <c r="BE172" s="712"/>
    </row>
    <row r="173" spans="1:57" s="599" customFormat="1" ht="24" customHeight="1">
      <c r="A173" s="2673"/>
      <c r="B173" s="2674"/>
      <c r="C173" s="2677" t="s">
        <v>1019</v>
      </c>
      <c r="D173" s="2668" t="s">
        <v>1020</v>
      </c>
      <c r="E173" s="770" t="s">
        <v>1021</v>
      </c>
      <c r="F173" s="97"/>
      <c r="G173" s="922">
        <f>+'2014처리구역인구 정리'!I190</f>
        <v>554</v>
      </c>
      <c r="H173" s="922">
        <f>+'2014처리구역인구 정리'!J190</f>
        <v>625</v>
      </c>
      <c r="I173" s="925">
        <f>ROUND((('1.4.조성법총괄(내부이동률 적용)'!E$54+'1.4.조성법총괄(내부이동률 적용)'!E$57*$AK$2)*$AB173)+(AL$97*$AC173),0)</f>
        <v>577</v>
      </c>
      <c r="J173" s="925">
        <f>ROUND((('1.4.조성법총괄(내부이동률 적용)'!F$54+'1.4.조성법총괄(내부이동률 적용)'!F$57*$AK$2)*$AB173)+(AM$97*$AC173),0)</f>
        <v>567</v>
      </c>
      <c r="K173" s="925">
        <f>ROUND((('1.4.조성법총괄(내부이동률 적용)'!G$54+'1.4.조성법총괄(내부이동률 적용)'!G$57*$AK$2)*$AB173)+(AN$97*$AC173),0)</f>
        <v>586</v>
      </c>
      <c r="L173" s="907">
        <f>ROUND((('1.4.조성법총괄(내부이동률 적용)'!H$54+'1.4.조성법총괄(내부이동률 적용)'!H$57*$AK$2)*$AB173)+(AO$97*$AC173),0)</f>
        <v>610</v>
      </c>
      <c r="M173" s="925">
        <f>ROUND((('1.4.조성법총괄(내부이동률 적용)'!I$54+'1.4.조성법총괄(내부이동률 적용)'!I$57*$AK$2)*$AB173)+(AP$97*$AC173),0)</f>
        <v>607</v>
      </c>
      <c r="N173" s="925">
        <f>ROUND((('1.4.조성법총괄(내부이동률 적용)'!J$54+'1.4.조성법총괄(내부이동률 적용)'!J$57*$AK$2)*$AB173)+(AQ$97*$AC173),0)</f>
        <v>605</v>
      </c>
      <c r="O173" s="925">
        <f>ROUND((('1.4.조성법총괄(내부이동률 적용)'!K$54+'1.4.조성법총괄(내부이동률 적용)'!K$57*$AK$2)*$AB173)+(AR$97*$AC173),0)</f>
        <v>601</v>
      </c>
      <c r="P173" s="925">
        <f>ROUND((('1.4.조성법총괄(내부이동률 적용)'!L$54+'1.4.조성법총괄(내부이동률 적용)'!L$57*$AK$2)*$AB173)+(AS$97*$AC173),0)</f>
        <v>598</v>
      </c>
      <c r="Q173" s="907">
        <f>ROUND((('1.4.조성법총괄(내부이동률 적용)'!M$54+'1.4.조성법총괄(내부이동률 적용)'!M$57*$AK$2)*$AB173)+(AT$97*$AC173),0)</f>
        <v>595</v>
      </c>
      <c r="R173" s="925">
        <f>ROUND((('1.4.조성법총괄(내부이동률 적용)'!N$54+'1.4.조성법총괄(내부이동률 적용)'!N$57*$AK$2)*$AB173)+(AU$97*$AC173),0)</f>
        <v>590</v>
      </c>
      <c r="S173" s="925">
        <f>ROUND((('1.4.조성법총괄(내부이동률 적용)'!O$54+'1.4.조성법총괄(내부이동률 적용)'!O$57*$AK$2)*$AB173)+(AV$97*$AC173),0)</f>
        <v>585</v>
      </c>
      <c r="T173" s="925">
        <f>ROUND((('1.4.조성법총괄(내부이동률 적용)'!P$54+'1.4.조성법총괄(내부이동률 적용)'!P$57*$AK$2)*$AB173)+(AW$97*$AC173),0)</f>
        <v>581</v>
      </c>
      <c r="U173" s="925">
        <f>ROUND((('1.4.조성법총괄(내부이동률 적용)'!Q$54+'1.4.조성법총괄(내부이동률 적용)'!Q$57*$AK$2)*$AB173)+(AX$97*$AC173),0)</f>
        <v>576</v>
      </c>
      <c r="V173" s="715">
        <f>ROUND((('1.4.조성법총괄(내부이동률 적용)'!R$54+'1.4.조성법총괄(내부이동률 적용)'!R$57*$AK$2)*$AB173)+(AY$97*$AC173),0)</f>
        <v>572</v>
      </c>
      <c r="W173" s="714">
        <f>ROUND((('1.4.조성법총괄(내부이동률 적용)'!S$54+'1.4.조성법총괄(내부이동률 적용)'!S$57*$AK$2)*$AB173)+(AZ$97*$AC173),0)</f>
        <v>567</v>
      </c>
      <c r="X173" s="714">
        <f>ROUND((('1.4.조성법총괄(내부이동률 적용)'!T$54+'1.4.조성법총괄(내부이동률 적용)'!T$57*$AK$2)*$AB173)+(BA$97*$AC173),0)</f>
        <v>562</v>
      </c>
      <c r="Y173" s="714">
        <f>ROUND((('1.4.조성법총괄(내부이동률 적용)'!U$54+'1.4.조성법총괄(내부이동률 적용)'!U$57*$AK$2)*$AB173)+(BB$97*$AC173),0)</f>
        <v>557</v>
      </c>
      <c r="Z173" s="714">
        <f>ROUND((('1.4.조성법총괄(내부이동률 적용)'!V$54+'1.4.조성법총괄(내부이동률 적용)'!V$57*$AK$2)*$AB173)+(BC$97*$AC173),0)</f>
        <v>552</v>
      </c>
      <c r="AA173" s="715">
        <f>ROUND((('1.4.조성법총괄(내부이동률 적용)'!W$54+'1.4.조성법총괄(내부이동률 적용)'!W$57*$AK$2)*$AB173)+(BD$97*$AC173),0)</f>
        <v>530</v>
      </c>
      <c r="AB173" s="934">
        <f>+H173/'1.4.조성법총괄(내부이동률 적용)'!$D$58</f>
        <v>0.11567647603183416</v>
      </c>
      <c r="AC173" s="934">
        <f>+H173/$AE$172</f>
        <v>0.19797275894836872</v>
      </c>
      <c r="AD173" s="97"/>
      <c r="AE173" s="8"/>
      <c r="AF173" s="712"/>
      <c r="AG173" s="712"/>
      <c r="AH173" s="712"/>
      <c r="AI173" s="712"/>
      <c r="AJ173" s="712"/>
      <c r="AK173" s="712"/>
      <c r="AL173" s="712"/>
      <c r="AM173" s="712"/>
      <c r="AN173" s="712"/>
      <c r="AO173" s="712"/>
      <c r="AP173" s="712"/>
      <c r="AQ173" s="712"/>
      <c r="AR173" s="712"/>
      <c r="AS173" s="712"/>
      <c r="AT173" s="712"/>
      <c r="AU173" s="712"/>
      <c r="AV173" s="712"/>
      <c r="AW173" s="712"/>
      <c r="AX173" s="712"/>
      <c r="AY173" s="712"/>
      <c r="AZ173" s="712"/>
      <c r="BA173" s="712"/>
      <c r="BB173" s="712"/>
      <c r="BC173" s="712"/>
      <c r="BD173" s="712"/>
      <c r="BE173" s="712"/>
    </row>
    <row r="174" spans="1:57" s="599" customFormat="1" ht="39.950000000000003" customHeight="1">
      <c r="A174" s="2673"/>
      <c r="B174" s="2674"/>
      <c r="C174" s="2678"/>
      <c r="D174" s="2669"/>
      <c r="E174" s="770" t="s">
        <v>1022</v>
      </c>
      <c r="F174" s="713"/>
      <c r="G174" s="922">
        <f>+'2014처리구역인구 정리'!I191</f>
        <v>228</v>
      </c>
      <c r="H174" s="922">
        <f>+'2014처리구역인구 정리'!J191</f>
        <v>253</v>
      </c>
      <c r="I174" s="925">
        <f>ROUND((('1.4.조성법총괄(내부이동률 적용)'!E$54+'1.4.조성법총괄(내부이동률 적용)'!E$57*$AK$2)*$AB174)+(AL$97*$AC174),0)</f>
        <v>234</v>
      </c>
      <c r="J174" s="925">
        <f>ROUND((('1.4.조성법총괄(내부이동률 적용)'!F$54+'1.4.조성법총괄(내부이동률 적용)'!F$57*$AK$2)*$AB174)+(AM$97*$AC174),0)</f>
        <v>229</v>
      </c>
      <c r="K174" s="925">
        <f>ROUND((('1.4.조성법총괄(내부이동률 적용)'!G$54+'1.4.조성법총괄(내부이동률 적용)'!G$57*$AK$2)*$AB174)+(AN$97*$AC174),0)</f>
        <v>237</v>
      </c>
      <c r="L174" s="907">
        <f>ROUND((('1.4.조성법총괄(내부이동률 적용)'!H$54+'1.4.조성법총괄(내부이동률 적용)'!H$57*$AK$2)*$AB174)+(AO$97*$AC174),0)</f>
        <v>247</v>
      </c>
      <c r="M174" s="925">
        <f>ROUND((('1.4.조성법총괄(내부이동률 적용)'!I$54+'1.4.조성법총괄(내부이동률 적용)'!I$57*$AK$2)*$AB174)+(AP$97*$AC174),0)</f>
        <v>246</v>
      </c>
      <c r="N174" s="925">
        <f>ROUND((('1.4.조성법총괄(내부이동률 적용)'!J$54+'1.4.조성법총괄(내부이동률 적용)'!J$57*$AK$2)*$AB174)+(AQ$97*$AC174),0)</f>
        <v>245</v>
      </c>
      <c r="O174" s="925">
        <f>ROUND((('1.4.조성법총괄(내부이동률 적용)'!K$54+'1.4.조성법총괄(내부이동률 적용)'!K$57*$AK$2)*$AB174)+(AR$97*$AC174),0)</f>
        <v>243</v>
      </c>
      <c r="P174" s="925">
        <f>ROUND((('1.4.조성법총괄(내부이동률 적용)'!L$54+'1.4.조성법총괄(내부이동률 적용)'!L$57*$AK$2)*$AB174)+(AS$97*$AC174),0)</f>
        <v>242</v>
      </c>
      <c r="Q174" s="907">
        <f>ROUND((('1.4.조성법총괄(내부이동률 적용)'!M$54+'1.4.조성법총괄(내부이동률 적용)'!M$57*$AK$2)*$AB174)+(AT$97*$AC174),0)</f>
        <v>241</v>
      </c>
      <c r="R174" s="925">
        <f>ROUND((('1.4.조성법총괄(내부이동률 적용)'!N$54+'1.4.조성법총괄(내부이동률 적용)'!N$57*$AK$2)*$AB174)+(AU$97*$AC174),0)</f>
        <v>239</v>
      </c>
      <c r="S174" s="925">
        <f>ROUND((('1.4.조성법총괄(내부이동률 적용)'!O$54+'1.4.조성법총괄(내부이동률 적용)'!O$57*$AK$2)*$AB174)+(AV$97*$AC174),0)</f>
        <v>237</v>
      </c>
      <c r="T174" s="925">
        <f>ROUND((('1.4.조성법총괄(내부이동률 적용)'!P$54+'1.4.조성법총괄(내부이동률 적용)'!P$57*$AK$2)*$AB174)+(AW$97*$AC174),0)</f>
        <v>235</v>
      </c>
      <c r="U174" s="925">
        <f>ROUND((('1.4.조성법총괄(내부이동률 적용)'!Q$54+'1.4.조성법총괄(내부이동률 적용)'!Q$57*$AK$2)*$AB174)+(AX$97*$AC174),0)</f>
        <v>233</v>
      </c>
      <c r="V174" s="715">
        <f>ROUND((('1.4.조성법총괄(내부이동률 적용)'!R$54+'1.4.조성법총괄(내부이동률 적용)'!R$57*$AK$2)*$AB174)+(AY$97*$AC174),0)</f>
        <v>231</v>
      </c>
      <c r="W174" s="714">
        <f>ROUND((('1.4.조성법총괄(내부이동률 적용)'!S$54+'1.4.조성법총괄(내부이동률 적용)'!S$57*$AK$2)*$AB174)+(AZ$97*$AC174),0)</f>
        <v>229</v>
      </c>
      <c r="X174" s="714">
        <f>ROUND((('1.4.조성법총괄(내부이동률 적용)'!T$54+'1.4.조성법총괄(내부이동률 적용)'!T$57*$AK$2)*$AB174)+(BA$97*$AC174),0)</f>
        <v>227</v>
      </c>
      <c r="Y174" s="714">
        <f>ROUND((('1.4.조성법총괄(내부이동률 적용)'!U$54+'1.4.조성법총괄(내부이동률 적용)'!U$57*$AK$2)*$AB174)+(BB$97*$AC174),0)</f>
        <v>225</v>
      </c>
      <c r="Z174" s="714">
        <f>ROUND((('1.4.조성법총괄(내부이동률 적용)'!V$54+'1.4.조성법총괄(내부이동률 적용)'!V$57*$AK$2)*$AB174)+(BC$97*$AC174),0)</f>
        <v>223</v>
      </c>
      <c r="AA174" s="715">
        <f>ROUND((('1.4.조성법총괄(내부이동률 적용)'!W$54+'1.4.조성법총괄(내부이동률 적용)'!W$57*$AK$2)*$AB174)+(BD$97*$AC174),0)</f>
        <v>215</v>
      </c>
      <c r="AB174" s="934">
        <f>+H174/'1.4.조성법총괄(내부이동률 적용)'!$D$58</f>
        <v>4.6825837497686471E-2</v>
      </c>
      <c r="AC174" s="934">
        <f>+H174/$AE$172</f>
        <v>8.0139372822299645E-2</v>
      </c>
      <c r="AD174" s="97"/>
      <c r="AE174" s="8"/>
      <c r="AF174" s="712"/>
      <c r="AG174" s="712"/>
      <c r="AH174" s="712"/>
      <c r="AI174" s="712"/>
      <c r="AJ174" s="712"/>
      <c r="AK174" s="712"/>
      <c r="AL174" s="712"/>
      <c r="AM174" s="712"/>
      <c r="AN174" s="712"/>
      <c r="AO174" s="712"/>
      <c r="AP174" s="712"/>
      <c r="AQ174" s="712"/>
      <c r="AR174" s="712"/>
      <c r="AS174" s="712"/>
      <c r="AT174" s="712"/>
      <c r="AU174" s="712"/>
      <c r="AV174" s="712"/>
      <c r="AW174" s="712"/>
      <c r="AX174" s="712"/>
      <c r="AY174" s="712"/>
      <c r="AZ174" s="712"/>
      <c r="BA174" s="712"/>
      <c r="BB174" s="712"/>
      <c r="BC174" s="712"/>
      <c r="BD174" s="712"/>
      <c r="BE174" s="712"/>
    </row>
    <row r="175" spans="1:57" customFormat="1" ht="24" customHeight="1">
      <c r="A175" s="2673"/>
      <c r="B175" s="2674"/>
      <c r="C175" s="2678"/>
      <c r="D175" s="2669"/>
      <c r="E175" s="770" t="s">
        <v>1023</v>
      </c>
      <c r="F175" s="713"/>
      <c r="G175" s="922">
        <f>+'2014처리구역인구 정리'!I192</f>
        <v>423</v>
      </c>
      <c r="H175" s="922">
        <f>+'2014처리구역인구 정리'!J192</f>
        <v>441</v>
      </c>
      <c r="I175" s="925">
        <f>ROUND((('1.4.조성법총괄(내부이동률 적용)'!E$54+'1.4.조성법총괄(내부이동률 적용)'!E$57*$AK$2)*$AB175)+(AL$97*$AC175),0)</f>
        <v>407</v>
      </c>
      <c r="J175" s="925">
        <f>ROUND((('1.4.조성법총괄(내부이동률 적용)'!F$54+'1.4.조성법총괄(내부이동률 적용)'!F$57*$AK$2)*$AB175)+(AM$97*$AC175),0)</f>
        <v>400</v>
      </c>
      <c r="K175" s="925">
        <f>ROUND((('1.4.조성법총괄(내부이동률 적용)'!G$54+'1.4.조성법총괄(내부이동률 적용)'!G$57*$AK$2)*$AB175)+(AN$97*$AC175),0)</f>
        <v>413</v>
      </c>
      <c r="L175" s="907">
        <f>ROUND((('1.4.조성법총괄(내부이동률 적용)'!H$54+'1.4.조성법총괄(내부이동률 적용)'!H$57*$AK$2)*$AB175)+(AO$97*$AC175),0)</f>
        <v>431</v>
      </c>
      <c r="M175" s="925">
        <f>ROUND((('1.4.조성법총괄(내부이동률 적용)'!I$54+'1.4.조성법총괄(내부이동률 적용)'!I$57*$AK$2)*$AB175)+(AP$97*$AC175),0)</f>
        <v>429</v>
      </c>
      <c r="N175" s="925">
        <f>ROUND((('1.4.조성법총괄(내부이동률 적용)'!J$54+'1.4.조성법총괄(내부이동률 적용)'!J$57*$AK$2)*$AB175)+(AQ$97*$AC175),0)</f>
        <v>427</v>
      </c>
      <c r="O175" s="925">
        <f>ROUND((('1.4.조성법총괄(내부이동률 적용)'!K$54+'1.4.조성법총괄(내부이동률 적용)'!K$57*$AK$2)*$AB175)+(AR$97*$AC175),0)</f>
        <v>424</v>
      </c>
      <c r="P175" s="925">
        <f>ROUND((('1.4.조성법총괄(내부이동률 적용)'!L$54+'1.4.조성법총괄(내부이동률 적용)'!L$57*$AK$2)*$AB175)+(AS$97*$AC175),0)</f>
        <v>422</v>
      </c>
      <c r="Q175" s="907">
        <f>ROUND((('1.4.조성법총괄(내부이동률 적용)'!M$54+'1.4.조성법총괄(내부이동률 적용)'!M$57*$AK$2)*$AB175)+(AT$97*$AC175),0)</f>
        <v>420</v>
      </c>
      <c r="R175" s="925">
        <f>ROUND((('1.4.조성법총괄(내부이동률 적용)'!N$54+'1.4.조성법총괄(내부이동률 적용)'!N$57*$AK$2)*$AB175)+(AU$97*$AC175),0)</f>
        <v>416</v>
      </c>
      <c r="S175" s="925">
        <f>ROUND((('1.4.조성법총괄(내부이동률 적용)'!O$54+'1.4.조성법총괄(내부이동률 적용)'!O$57*$AK$2)*$AB175)+(AV$97*$AC175),0)</f>
        <v>413</v>
      </c>
      <c r="T175" s="925">
        <f>ROUND((('1.4.조성법총괄(내부이동률 적용)'!P$54+'1.4.조성법총괄(내부이동률 적용)'!P$57*$AK$2)*$AB175)+(AW$97*$AC175),0)</f>
        <v>410</v>
      </c>
      <c r="U175" s="925">
        <f>ROUND((('1.4.조성법총괄(내부이동률 적용)'!Q$54+'1.4.조성법총괄(내부이동률 적용)'!Q$57*$AK$2)*$AB175)+(AX$97*$AC175),0)</f>
        <v>407</v>
      </c>
      <c r="V175" s="715">
        <f>ROUND((('1.4.조성법총괄(내부이동률 적용)'!R$54+'1.4.조성법총괄(내부이동률 적용)'!R$57*$AK$2)*$AB175)+(AY$97*$AC175),0)</f>
        <v>403</v>
      </c>
      <c r="W175" s="714">
        <f>ROUND((('1.4.조성법총괄(내부이동률 적용)'!S$54+'1.4.조성법총괄(내부이동률 적용)'!S$57*$AK$2)*$AB175)+(AZ$97*$AC175),0)</f>
        <v>400</v>
      </c>
      <c r="X175" s="714">
        <f>ROUND((('1.4.조성법총괄(내부이동률 적용)'!T$54+'1.4.조성법총괄(내부이동률 적용)'!T$57*$AK$2)*$AB175)+(BA$97*$AC175),0)</f>
        <v>396</v>
      </c>
      <c r="Y175" s="714">
        <f>ROUND((('1.4.조성법총괄(내부이동률 적용)'!U$54+'1.4.조성법총괄(내부이동률 적용)'!U$57*$AK$2)*$AB175)+(BB$97*$AC175),0)</f>
        <v>393</v>
      </c>
      <c r="Z175" s="714">
        <f>ROUND((('1.4.조성법총괄(내부이동률 적용)'!V$54+'1.4.조성법총괄(내부이동률 적용)'!V$57*$AK$2)*$AB175)+(BC$97*$AC175),0)</f>
        <v>389</v>
      </c>
      <c r="AA175" s="715">
        <f>ROUND((('1.4.조성법총괄(내부이동률 적용)'!W$54+'1.4.조성법총괄(내부이동률 적용)'!W$57*$AK$2)*$AB175)+(BD$97*$AC175),0)</f>
        <v>374</v>
      </c>
      <c r="AB175" s="934">
        <f>+H175/'1.4.조성법총괄(내부이동률 적용)'!$D$58</f>
        <v>8.1621321488062185E-2</v>
      </c>
      <c r="AC175" s="934">
        <f>+H175/$AE$172</f>
        <v>0.13968957871396895</v>
      </c>
      <c r="AD175" s="97"/>
      <c r="AE175" s="8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</row>
    <row r="176" spans="1:57" customFormat="1" ht="24" customHeight="1">
      <c r="A176" s="2673"/>
      <c r="B176" s="2674"/>
      <c r="C176" s="2678"/>
      <c r="D176" s="2669"/>
      <c r="E176" s="771" t="s">
        <v>1024</v>
      </c>
      <c r="F176" s="713"/>
      <c r="G176" s="922">
        <f>+'2014처리구역인구 정리'!I193</f>
        <v>140</v>
      </c>
      <c r="H176" s="922">
        <f>+'2014처리구역인구 정리'!J193</f>
        <v>157</v>
      </c>
      <c r="I176" s="925">
        <f>ROUND((('1.4.조성법총괄(내부이동률 적용)'!E$54+'1.4.조성법총괄(내부이동률 적용)'!E$57*$AK$2)*$AB176)+(AL$97*$AC176),0)</f>
        <v>145</v>
      </c>
      <c r="J176" s="925">
        <f>ROUND((('1.4.조성법총괄(내부이동률 적용)'!F$54+'1.4.조성법총괄(내부이동률 적용)'!F$57*$AK$2)*$AB176)+(AM$97*$AC176),0)</f>
        <v>142</v>
      </c>
      <c r="K176" s="925">
        <f>ROUND((('1.4.조성법총괄(내부이동률 적용)'!G$54+'1.4.조성법총괄(내부이동률 적용)'!G$57*$AK$2)*$AB176)+(AN$97*$AC176),0)</f>
        <v>147</v>
      </c>
      <c r="L176" s="907">
        <f>ROUND((('1.4.조성법총괄(내부이동률 적용)'!H$54+'1.4.조성법총괄(내부이동률 적용)'!H$57*$AK$2)*$AB176)+(AO$97*$AC176),0)</f>
        <v>153</v>
      </c>
      <c r="M176" s="925">
        <f>ROUND((('1.4.조성법총괄(내부이동률 적용)'!I$54+'1.4.조성법총괄(내부이동률 적용)'!I$57*$AK$2)*$AB176)+(AP$97*$AC176),0)</f>
        <v>153</v>
      </c>
      <c r="N176" s="925">
        <f>ROUND((('1.4.조성법총괄(내부이동률 적용)'!J$54+'1.4.조성법총괄(내부이동률 적용)'!J$57*$AK$2)*$AB176)+(AQ$97*$AC176),0)</f>
        <v>152</v>
      </c>
      <c r="O176" s="925">
        <f>ROUND((('1.4.조성법총괄(내부이동률 적용)'!K$54+'1.4.조성법총괄(내부이동률 적용)'!K$57*$AK$2)*$AB176)+(AR$97*$AC176),0)</f>
        <v>151</v>
      </c>
      <c r="P176" s="925">
        <f>ROUND((('1.4.조성법총괄(내부이동률 적용)'!L$54+'1.4.조성법총괄(내부이동률 적용)'!L$57*$AK$2)*$AB176)+(AS$97*$AC176),0)</f>
        <v>150</v>
      </c>
      <c r="Q176" s="907">
        <f>ROUND((('1.4.조성법총괄(내부이동률 적용)'!M$54+'1.4.조성법총괄(내부이동률 적용)'!M$57*$AK$2)*$AB176)+(AT$97*$AC176),0)</f>
        <v>149</v>
      </c>
      <c r="R176" s="925">
        <f>ROUND((('1.4.조성법총괄(내부이동률 적용)'!N$54+'1.4.조성법총괄(내부이동률 적용)'!N$57*$AK$2)*$AB176)+(AU$97*$AC176),0)</f>
        <v>148</v>
      </c>
      <c r="S176" s="925">
        <f>ROUND((('1.4.조성법총괄(내부이동률 적용)'!O$54+'1.4.조성법총괄(내부이동률 적용)'!O$57*$AK$2)*$AB176)+(AV$97*$AC176),0)</f>
        <v>147</v>
      </c>
      <c r="T176" s="925">
        <f>ROUND((('1.4.조성법총괄(내부이동률 적용)'!P$54+'1.4.조성법총괄(내부이동률 적용)'!P$57*$AK$2)*$AB176)+(AW$97*$AC176),0)</f>
        <v>146</v>
      </c>
      <c r="U176" s="925">
        <f>ROUND((('1.4.조성법총괄(내부이동률 적용)'!Q$54+'1.4.조성법총괄(내부이동률 적용)'!Q$57*$AK$2)*$AB176)+(AX$97*$AC176),0)</f>
        <v>145</v>
      </c>
      <c r="V176" s="715">
        <f>ROUND((('1.4.조성법총괄(내부이동률 적용)'!R$54+'1.4.조성법총괄(내부이동률 적용)'!R$57*$AK$2)*$AB176)+(AY$97*$AC176),0)</f>
        <v>144</v>
      </c>
      <c r="W176" s="714">
        <f>ROUND((('1.4.조성법총괄(내부이동률 적용)'!S$54+'1.4.조성법총괄(내부이동률 적용)'!S$57*$AK$2)*$AB176)+(AZ$97*$AC176),0)</f>
        <v>142</v>
      </c>
      <c r="X176" s="714">
        <f>ROUND((('1.4.조성법총괄(내부이동률 적용)'!T$54+'1.4.조성법총괄(내부이동률 적용)'!T$57*$AK$2)*$AB176)+(BA$97*$AC176),0)</f>
        <v>141</v>
      </c>
      <c r="Y176" s="714">
        <f>ROUND((('1.4.조성법총괄(내부이동률 적용)'!U$54+'1.4.조성법총괄(내부이동률 적용)'!U$57*$AK$2)*$AB176)+(BB$97*$AC176),0)</f>
        <v>140</v>
      </c>
      <c r="Z176" s="714">
        <f>ROUND((('1.4.조성법총괄(내부이동률 적용)'!V$54+'1.4.조성법총괄(내부이동률 적용)'!V$57*$AK$2)*$AB176)+(BC$97*$AC176),0)</f>
        <v>139</v>
      </c>
      <c r="AA176" s="715">
        <f>ROUND((('1.4.조성법총괄(내부이동률 적용)'!W$54+'1.4.조성법총괄(내부이동률 적용)'!W$57*$AK$2)*$AB176)+(BD$97*$AC176),0)</f>
        <v>133</v>
      </c>
      <c r="AB176" s="934">
        <f>+H176/'1.4.조성법총괄(내부이동률 적용)'!$D$58</f>
        <v>2.9057930779196741E-2</v>
      </c>
      <c r="AC176" s="934">
        <f>+H176/$AE$172</f>
        <v>4.9730757047830219E-2</v>
      </c>
      <c r="AD176" s="97"/>
      <c r="AE176" s="8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</row>
    <row r="177" spans="1:57" s="599" customFormat="1" ht="24" customHeight="1">
      <c r="A177" s="2673"/>
      <c r="B177" s="2674"/>
      <c r="C177" s="2678"/>
      <c r="D177" s="2670"/>
      <c r="E177" s="1033" t="s">
        <v>1268</v>
      </c>
      <c r="F177" s="713"/>
      <c r="G177" s="922">
        <f t="shared" ref="G177:AA177" si="127">AJ93</f>
        <v>0</v>
      </c>
      <c r="H177" s="922">
        <f t="shared" si="127"/>
        <v>0</v>
      </c>
      <c r="I177" s="922">
        <f t="shared" si="127"/>
        <v>0</v>
      </c>
      <c r="J177" s="922">
        <f t="shared" si="127"/>
        <v>0</v>
      </c>
      <c r="K177" s="922">
        <f t="shared" si="127"/>
        <v>83</v>
      </c>
      <c r="L177" s="922">
        <f t="shared" si="127"/>
        <v>83</v>
      </c>
      <c r="M177" s="922">
        <f t="shared" si="127"/>
        <v>83</v>
      </c>
      <c r="N177" s="922">
        <f t="shared" si="127"/>
        <v>83</v>
      </c>
      <c r="O177" s="922">
        <f t="shared" si="127"/>
        <v>83</v>
      </c>
      <c r="P177" s="922">
        <f t="shared" si="127"/>
        <v>83</v>
      </c>
      <c r="Q177" s="922">
        <f t="shared" si="127"/>
        <v>83</v>
      </c>
      <c r="R177" s="922">
        <f t="shared" si="127"/>
        <v>83</v>
      </c>
      <c r="S177" s="922">
        <f t="shared" si="127"/>
        <v>83</v>
      </c>
      <c r="T177" s="922">
        <f t="shared" si="127"/>
        <v>83</v>
      </c>
      <c r="U177" s="922">
        <f t="shared" si="127"/>
        <v>83</v>
      </c>
      <c r="V177" s="922">
        <f t="shared" si="127"/>
        <v>83</v>
      </c>
      <c r="W177" s="922">
        <f t="shared" si="127"/>
        <v>83</v>
      </c>
      <c r="X177" s="922">
        <f t="shared" si="127"/>
        <v>83</v>
      </c>
      <c r="Y177" s="922">
        <f t="shared" si="127"/>
        <v>83</v>
      </c>
      <c r="Z177" s="922">
        <f t="shared" si="127"/>
        <v>83</v>
      </c>
      <c r="AA177" s="922">
        <f t="shared" si="127"/>
        <v>83</v>
      </c>
      <c r="AB177" s="934"/>
      <c r="AC177" s="934"/>
      <c r="AD177" s="1089" t="str">
        <f>AH93</f>
        <v>태경에코그린</v>
      </c>
      <c r="AE177" s="8" t="s">
        <v>1577</v>
      </c>
    </row>
    <row r="178" spans="1:57" s="599" customFormat="1" ht="24" customHeight="1">
      <c r="A178" s="2673"/>
      <c r="B178" s="2674"/>
      <c r="C178" s="2678"/>
      <c r="D178" s="2681" t="s">
        <v>1025</v>
      </c>
      <c r="E178" s="771" t="s">
        <v>1026</v>
      </c>
      <c r="F178" s="97"/>
      <c r="G178" s="922">
        <f>+'2014처리구역인구 정리'!I194</f>
        <v>298</v>
      </c>
      <c r="H178" s="922">
        <f>+'2014처리구역인구 정리'!J194</f>
        <v>335</v>
      </c>
      <c r="I178" s="925">
        <f>ROUND((('1.4.조성법총괄(내부이동률 적용)'!E$54+'1.4.조성법총괄(내부이동률 적용)'!E$57*$AK$2)*$AB178)+(AL$97*$AC178),0)</f>
        <v>309</v>
      </c>
      <c r="J178" s="925">
        <f>ROUND((('1.4.조성법총괄(내부이동률 적용)'!F$54+'1.4.조성법총괄(내부이동률 적용)'!F$57*$AK$2)*$AB178)+(AM$97*$AC178),0)</f>
        <v>304</v>
      </c>
      <c r="K178" s="925">
        <f>ROUND((('1.4.조성법총괄(내부이동률 적용)'!G$54+'1.4.조성법총괄(내부이동률 적용)'!G$57*$AK$2)*$AB178)+(AN$97*$AC178),0)</f>
        <v>314</v>
      </c>
      <c r="L178" s="907">
        <f>ROUND((('1.4.조성법총괄(내부이동률 적용)'!H$54+'1.4.조성법총괄(내부이동률 적용)'!H$57*$AK$2)*$AB178)+(AO$97*$AC178),0)</f>
        <v>327</v>
      </c>
      <c r="M178" s="925">
        <f>ROUND((('1.4.조성법총괄(내부이동률 적용)'!I$54+'1.4.조성법총괄(내부이동률 적용)'!I$57*$AK$2)*$AB178)+(AP$97*$AC178),0)</f>
        <v>326</v>
      </c>
      <c r="N178" s="925">
        <f>ROUND((('1.4.조성법총괄(내부이동률 적용)'!J$54+'1.4.조성법총괄(내부이동률 적용)'!J$57*$AK$2)*$AB178)+(AQ$97*$AC178),0)</f>
        <v>324</v>
      </c>
      <c r="O178" s="925">
        <f>ROUND((('1.4.조성법총괄(내부이동률 적용)'!K$54+'1.4.조성법총괄(내부이동률 적용)'!K$57*$AK$2)*$AB178)+(AR$97*$AC178),0)</f>
        <v>322</v>
      </c>
      <c r="P178" s="925">
        <f>ROUND((('1.4.조성법총괄(내부이동률 적용)'!L$54+'1.4.조성법총괄(내부이동률 적용)'!L$57*$AK$2)*$AB178)+(AS$97*$AC178),0)</f>
        <v>320</v>
      </c>
      <c r="Q178" s="907">
        <f>ROUND((('1.4.조성법총괄(내부이동률 적용)'!M$54+'1.4.조성법총괄(내부이동률 적용)'!M$57*$AK$2)*$AB178)+(AT$97*$AC178),0)</f>
        <v>319</v>
      </c>
      <c r="R178" s="925">
        <f>ROUND((('1.4.조성법총괄(내부이동률 적용)'!N$54+'1.4.조성법총괄(내부이동률 적용)'!N$57*$AK$2)*$AB178)+(AU$97*$AC178),0)</f>
        <v>316</v>
      </c>
      <c r="S178" s="925">
        <f>ROUND((('1.4.조성법총괄(내부이동률 적용)'!O$54+'1.4.조성법총괄(내부이동률 적용)'!O$57*$AK$2)*$AB178)+(AV$97*$AC178),0)</f>
        <v>314</v>
      </c>
      <c r="T178" s="925">
        <f>ROUND((('1.4.조성법총괄(내부이동률 적용)'!P$54+'1.4.조성법총괄(내부이동률 적용)'!P$57*$AK$2)*$AB178)+(AW$97*$AC178),0)</f>
        <v>311</v>
      </c>
      <c r="U178" s="925">
        <f>ROUND((('1.4.조성법총괄(내부이동률 적용)'!Q$54+'1.4.조성법총괄(내부이동률 적용)'!Q$57*$AK$2)*$AB178)+(AX$97*$AC178),0)</f>
        <v>309</v>
      </c>
      <c r="V178" s="715">
        <f>ROUND((('1.4.조성법총괄(내부이동률 적용)'!R$54+'1.4.조성법총괄(내부이동률 적용)'!R$57*$AK$2)*$AB178)+(AY$97*$AC178),0)</f>
        <v>306</v>
      </c>
      <c r="W178" s="714">
        <f>ROUND((('1.4.조성법총괄(내부이동률 적용)'!S$54+'1.4.조성법총괄(내부이동률 적용)'!S$57*$AK$2)*$AB178)+(AZ$97*$AC178),0)</f>
        <v>304</v>
      </c>
      <c r="X178" s="714">
        <f>ROUND((('1.4.조성법총괄(내부이동률 적용)'!T$54+'1.4.조성법총괄(내부이동률 적용)'!T$57*$AK$2)*$AB178)+(BA$97*$AC178),0)</f>
        <v>301</v>
      </c>
      <c r="Y178" s="714">
        <f>ROUND((('1.4.조성법총괄(내부이동률 적용)'!U$54+'1.4.조성법총괄(내부이동률 적용)'!U$57*$AK$2)*$AB178)+(BB$97*$AC178),0)</f>
        <v>298</v>
      </c>
      <c r="Z178" s="714">
        <f>ROUND((('1.4.조성법총괄(내부이동률 적용)'!V$54+'1.4.조성법총괄(내부이동률 적용)'!V$57*$AK$2)*$AB178)+(BC$97*$AC178),0)</f>
        <v>296</v>
      </c>
      <c r="AA178" s="715">
        <f>ROUND((('1.4.조성법총괄(내부이동률 적용)'!W$54+'1.4.조성법총괄(내부이동률 적용)'!W$57*$AK$2)*$AB178)+(BD$97*$AC178),0)</f>
        <v>284</v>
      </c>
      <c r="AB178" s="934">
        <f>+H178/'1.4.조성법총괄(내부이동률 적용)'!$D$58</f>
        <v>6.2002591153063114E-2</v>
      </c>
      <c r="AC178" s="934">
        <f t="shared" ref="AC178:AC186" si="128">+H178/$AE$172</f>
        <v>0.10611339879632563</v>
      </c>
      <c r="AD178" s="97"/>
      <c r="AE178" s="8"/>
    </row>
    <row r="179" spans="1:57" s="599" customFormat="1" ht="24" customHeight="1">
      <c r="A179" s="2673"/>
      <c r="B179" s="2674"/>
      <c r="C179" s="2678"/>
      <c r="D179" s="2683"/>
      <c r="E179" s="770" t="s">
        <v>1027</v>
      </c>
      <c r="F179" s="713"/>
      <c r="G179" s="922">
        <f>+'2014처리구역인구 정리'!I195</f>
        <v>116</v>
      </c>
      <c r="H179" s="922">
        <f>+'2014처리구역인구 정리'!J195</f>
        <v>128</v>
      </c>
      <c r="I179" s="925">
        <f>ROUND((('1.4.조성법총괄(내부이동률 적용)'!E$54+'1.4.조성법총괄(내부이동률 적용)'!E$57*$AK$2)*$AB179)+(AL$97*$AC179),0)</f>
        <v>118</v>
      </c>
      <c r="J179" s="925">
        <f>ROUND((('1.4.조성법총괄(내부이동률 적용)'!F$54+'1.4.조성법총괄(내부이동률 적용)'!F$57*$AK$2)*$AB179)+(AM$97*$AC179),0)</f>
        <v>116</v>
      </c>
      <c r="K179" s="925">
        <f>ROUND((('1.4.조성법총괄(내부이동률 적용)'!G$54+'1.4.조성법총괄(내부이동률 적용)'!G$57*$AK$2)*$AB179)+(AN$97*$AC179),0)</f>
        <v>120</v>
      </c>
      <c r="L179" s="907">
        <f>ROUND((('1.4.조성법총괄(내부이동률 적용)'!H$54+'1.4.조성법총괄(내부이동률 적용)'!H$57*$AK$2)*$AB179)+(AO$97*$AC179),0)</f>
        <v>125</v>
      </c>
      <c r="M179" s="925">
        <f>ROUND((('1.4.조성법총괄(내부이동률 적용)'!I$54+'1.4.조성법총괄(내부이동률 적용)'!I$57*$AK$2)*$AB179)+(AP$97*$AC179),0)</f>
        <v>124</v>
      </c>
      <c r="N179" s="925">
        <f>ROUND((('1.4.조성법총괄(내부이동률 적용)'!J$54+'1.4.조성법총괄(내부이동률 적용)'!J$57*$AK$2)*$AB179)+(AQ$97*$AC179),0)</f>
        <v>124</v>
      </c>
      <c r="O179" s="925">
        <f>ROUND((('1.4.조성법총괄(내부이동률 적용)'!K$54+'1.4.조성법총괄(내부이동률 적용)'!K$57*$AK$2)*$AB179)+(AR$97*$AC179),0)</f>
        <v>123</v>
      </c>
      <c r="P179" s="925">
        <f>ROUND((('1.4.조성법총괄(내부이동률 적용)'!L$54+'1.4.조성법총괄(내부이동률 적용)'!L$57*$AK$2)*$AB179)+(AS$97*$AC179),0)</f>
        <v>122</v>
      </c>
      <c r="Q179" s="907">
        <f>ROUND((('1.4.조성법총괄(내부이동률 적용)'!M$54+'1.4.조성법총괄(내부이동률 적용)'!M$57*$AK$2)*$AB179)+(AT$97*$AC179),0)</f>
        <v>122</v>
      </c>
      <c r="R179" s="925">
        <f>ROUND((('1.4.조성법총괄(내부이동률 적용)'!N$54+'1.4.조성법총괄(내부이동률 적용)'!N$57*$AK$2)*$AB179)+(AU$97*$AC179),0)</f>
        <v>121</v>
      </c>
      <c r="S179" s="925">
        <f>ROUND((('1.4.조성법총괄(내부이동률 적용)'!O$54+'1.4.조성법총괄(내부이동률 적용)'!O$57*$AK$2)*$AB179)+(AV$97*$AC179),0)</f>
        <v>120</v>
      </c>
      <c r="T179" s="925">
        <f>ROUND((('1.4.조성법총괄(내부이동률 적용)'!P$54+'1.4.조성법총괄(내부이동률 적용)'!P$57*$AK$2)*$AB179)+(AW$97*$AC179),0)</f>
        <v>119</v>
      </c>
      <c r="U179" s="925">
        <f>ROUND((('1.4.조성법총괄(내부이동률 적용)'!Q$54+'1.4.조성법총괄(내부이동률 적용)'!Q$57*$AK$2)*$AB179)+(AX$97*$AC179),0)</f>
        <v>118</v>
      </c>
      <c r="V179" s="715">
        <f>ROUND((('1.4.조성법총괄(내부이동률 적용)'!R$54+'1.4.조성법총괄(내부이동률 적용)'!R$57*$AK$2)*$AB179)+(AY$97*$AC179),0)</f>
        <v>117</v>
      </c>
      <c r="W179" s="714">
        <f>ROUND((('1.4.조성법총괄(내부이동률 적용)'!S$54+'1.4.조성법총괄(내부이동률 적용)'!S$57*$AK$2)*$AB179)+(AZ$97*$AC179),0)</f>
        <v>116</v>
      </c>
      <c r="X179" s="714">
        <f>ROUND((('1.4.조성법총괄(내부이동률 적용)'!T$54+'1.4.조성법총괄(내부이동률 적용)'!T$57*$AK$2)*$AB179)+(BA$97*$AC179),0)</f>
        <v>115</v>
      </c>
      <c r="Y179" s="714">
        <f>ROUND((('1.4.조성법총괄(내부이동률 적용)'!U$54+'1.4.조성법총괄(내부이동률 적용)'!U$57*$AK$2)*$AB179)+(BB$97*$AC179),0)</f>
        <v>114</v>
      </c>
      <c r="Z179" s="714">
        <f>ROUND((('1.4.조성법총괄(내부이동률 적용)'!V$54+'1.4.조성법총괄(내부이동률 적용)'!V$57*$AK$2)*$AB179)+(BC$97*$AC179),0)</f>
        <v>113</v>
      </c>
      <c r="AA179" s="715">
        <f>ROUND((('1.4.조성법총괄(내부이동률 적용)'!W$54+'1.4.조성법총괄(내부이동률 적용)'!W$57*$AK$2)*$AB179)+(BD$97*$AC179),0)</f>
        <v>109</v>
      </c>
      <c r="AB179" s="934">
        <f>+H179/'1.4.조성법총괄(내부이동률 적용)'!$D$58</f>
        <v>2.3690542291319637E-2</v>
      </c>
      <c r="AC179" s="934">
        <f t="shared" si="128"/>
        <v>4.0544821032625911E-2</v>
      </c>
      <c r="AD179" s="97"/>
      <c r="AE179" s="8"/>
    </row>
    <row r="180" spans="1:57" s="599" customFormat="1" ht="24" customHeight="1">
      <c r="A180" s="2673"/>
      <c r="B180" s="2674"/>
      <c r="C180" s="2678"/>
      <c r="D180" s="2637" t="s">
        <v>1028</v>
      </c>
      <c r="E180" s="771" t="s">
        <v>1029</v>
      </c>
      <c r="F180" s="713"/>
      <c r="G180" s="922">
        <f>+'2014처리구역인구 정리'!I196</f>
        <v>220</v>
      </c>
      <c r="H180" s="922">
        <f>+'2014처리구역인구 정리'!J196</f>
        <v>249</v>
      </c>
      <c r="I180" s="925">
        <f>ROUND((('1.4.조성법총괄(내부이동률 적용)'!E$54+'1.4.조성법총괄(내부이동률 적용)'!E$57*$AK$2)*$AB180)+(AL$97*$AC180),0)</f>
        <v>230</v>
      </c>
      <c r="J180" s="925">
        <f>ROUND((('1.4.조성법총괄(내부이동률 적용)'!F$54+'1.4.조성법총괄(내부이동률 적용)'!F$57*$AK$2)*$AB180)+(AM$97*$AC180),0)</f>
        <v>226</v>
      </c>
      <c r="K180" s="925">
        <f>ROUND((('1.4.조성법총괄(내부이동률 적용)'!G$54+'1.4.조성법총괄(내부이동률 적용)'!G$57*$AK$2)*$AB180)+(AN$97*$AC180),0)</f>
        <v>233</v>
      </c>
      <c r="L180" s="907">
        <f>ROUND((('1.4.조성법총괄(내부이동률 적용)'!H$54+'1.4.조성법총괄(내부이동률 적용)'!H$57*$AK$2)*$AB180)+(AO$97*$AC180),0)</f>
        <v>243</v>
      </c>
      <c r="M180" s="925">
        <f>ROUND((('1.4.조성법총괄(내부이동률 적용)'!I$54+'1.4.조성법총괄(내부이동률 적용)'!I$57*$AK$2)*$AB180)+(AP$97*$AC180),0)</f>
        <v>242</v>
      </c>
      <c r="N180" s="925">
        <f>ROUND((('1.4.조성법총괄(내부이동률 적용)'!J$54+'1.4.조성법총괄(내부이동률 적용)'!J$57*$AK$2)*$AB180)+(AQ$97*$AC180),0)</f>
        <v>241</v>
      </c>
      <c r="O180" s="925">
        <f>ROUND((('1.4.조성법총괄(내부이동률 적용)'!K$54+'1.4.조성법총괄(내부이동률 적용)'!K$57*$AK$2)*$AB180)+(AR$97*$AC180),0)</f>
        <v>240</v>
      </c>
      <c r="P180" s="925">
        <f>ROUND((('1.4.조성법총괄(내부이동률 적용)'!L$54+'1.4.조성법총괄(내부이동률 적용)'!L$57*$AK$2)*$AB180)+(AS$97*$AC180),0)</f>
        <v>238</v>
      </c>
      <c r="Q180" s="907">
        <f>ROUND((('1.4.조성법총괄(내부이동률 적용)'!M$54+'1.4.조성법총괄(내부이동률 적용)'!M$57*$AK$2)*$AB180)+(AT$97*$AC180),0)</f>
        <v>237</v>
      </c>
      <c r="R180" s="925">
        <f>ROUND((('1.4.조성법총괄(내부이동률 적용)'!N$54+'1.4.조성법총괄(내부이동률 적용)'!N$57*$AK$2)*$AB180)+(AU$97*$AC180),0)</f>
        <v>235</v>
      </c>
      <c r="S180" s="925">
        <f>ROUND((('1.4.조성법총괄(내부이동률 적용)'!O$54+'1.4.조성법총괄(내부이동률 적용)'!O$57*$AK$2)*$AB180)+(AV$97*$AC180),0)</f>
        <v>233</v>
      </c>
      <c r="T180" s="925">
        <f>ROUND((('1.4.조성법총괄(내부이동률 적용)'!P$54+'1.4.조성법총괄(내부이동률 적용)'!P$57*$AK$2)*$AB180)+(AW$97*$AC180),0)</f>
        <v>231</v>
      </c>
      <c r="U180" s="925">
        <f>ROUND((('1.4.조성법총괄(내부이동률 적용)'!Q$54+'1.4.조성법총괄(내부이동률 적용)'!Q$57*$AK$2)*$AB180)+(AX$97*$AC180),0)</f>
        <v>230</v>
      </c>
      <c r="V180" s="715">
        <f>ROUND((('1.4.조성법총괄(내부이동률 적용)'!R$54+'1.4.조성법총괄(내부이동률 적용)'!R$57*$AK$2)*$AB180)+(AY$97*$AC180),0)</f>
        <v>228</v>
      </c>
      <c r="W180" s="714">
        <f>ROUND((('1.4.조성법총괄(내부이동률 적용)'!S$54+'1.4.조성법총괄(내부이동률 적용)'!S$57*$AK$2)*$AB180)+(AZ$97*$AC180),0)</f>
        <v>226</v>
      </c>
      <c r="X180" s="714">
        <f>ROUND((('1.4.조성법총괄(내부이동률 적용)'!T$54+'1.4.조성법총괄(내부이동률 적용)'!T$57*$AK$2)*$AB180)+(BA$97*$AC180),0)</f>
        <v>224</v>
      </c>
      <c r="Y180" s="714">
        <f>ROUND((('1.4.조성법총괄(내부이동률 적용)'!U$54+'1.4.조성법총괄(내부이동률 적용)'!U$57*$AK$2)*$AB180)+(BB$97*$AC180),0)</f>
        <v>222</v>
      </c>
      <c r="Z180" s="714">
        <f>ROUND((('1.4.조성법총괄(내부이동률 적용)'!V$54+'1.4.조성법총괄(내부이동률 적용)'!V$57*$AK$2)*$AB180)+(BC$97*$AC180),0)</f>
        <v>220</v>
      </c>
      <c r="AA180" s="715">
        <f>ROUND((('1.4.조성법총괄(내부이동률 적용)'!W$54+'1.4.조성법총괄(내부이동률 적용)'!W$57*$AK$2)*$AB180)+(BD$97*$AC180),0)</f>
        <v>211</v>
      </c>
      <c r="AB180" s="934">
        <f>+H180/'1.4.조성법총괄(내부이동률 적용)'!$D$58</f>
        <v>4.6085508051082733E-2</v>
      </c>
      <c r="AC180" s="934">
        <f t="shared" si="128"/>
        <v>7.8872347165030096E-2</v>
      </c>
      <c r="AD180" s="97"/>
      <c r="AE180" s="8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</row>
    <row r="181" spans="1:57" ht="24" customHeight="1">
      <c r="A181" s="2673"/>
      <c r="B181" s="2674"/>
      <c r="C181" s="2678"/>
      <c r="D181" s="2637"/>
      <c r="E181" s="771" t="s">
        <v>1030</v>
      </c>
      <c r="F181" s="713"/>
      <c r="G181" s="922">
        <f>+'2014처리구역인구 정리'!I197</f>
        <v>166</v>
      </c>
      <c r="H181" s="922">
        <f>+'2014처리구역인구 정리'!J197</f>
        <v>183</v>
      </c>
      <c r="I181" s="925">
        <f>ROUND((('1.4.조성법총괄(내부이동률 적용)'!E$54+'1.4.조성법총괄(내부이동률 적용)'!E$57*$AK$2)*$AB181)+(AL$97*$AC181),0)</f>
        <v>169</v>
      </c>
      <c r="J181" s="925">
        <f>ROUND((('1.4.조성법총괄(내부이동률 적용)'!F$54+'1.4.조성법총괄(내부이동률 적용)'!F$57*$AK$2)*$AB181)+(AM$97*$AC181),0)</f>
        <v>166</v>
      </c>
      <c r="K181" s="925">
        <f>ROUND((('1.4.조성법총괄(내부이동률 적용)'!G$54+'1.4.조성법총괄(내부이동률 적용)'!G$57*$AK$2)*$AB181)+(AN$97*$AC181),0)</f>
        <v>172</v>
      </c>
      <c r="L181" s="907">
        <f>ROUND((('1.4.조성법총괄(내부이동률 적용)'!H$54+'1.4.조성법총괄(내부이동률 적용)'!H$57*$AK$2)*$AB181)+(AO$97*$AC181),0)</f>
        <v>179</v>
      </c>
      <c r="M181" s="925">
        <f>ROUND((('1.4.조성법총괄(내부이동률 적용)'!I$54+'1.4.조성법총괄(내부이동률 적용)'!I$57*$AK$2)*$AB181)+(AP$97*$AC181),0)</f>
        <v>178</v>
      </c>
      <c r="N181" s="925">
        <f>ROUND((('1.4.조성법총괄(내부이동률 적용)'!J$54+'1.4.조성법총괄(내부이동률 적용)'!J$57*$AK$2)*$AB181)+(AQ$97*$AC181),0)</f>
        <v>177</v>
      </c>
      <c r="O181" s="925">
        <f>ROUND((('1.4.조성법총괄(내부이동률 적용)'!K$54+'1.4.조성법총괄(내부이동률 적용)'!K$57*$AK$2)*$AB181)+(AR$97*$AC181),0)</f>
        <v>176</v>
      </c>
      <c r="P181" s="925">
        <f>ROUND((('1.4.조성법총괄(내부이동률 적용)'!L$54+'1.4.조성법총괄(내부이동률 적용)'!L$57*$AK$2)*$AB181)+(AS$97*$AC181),0)</f>
        <v>175</v>
      </c>
      <c r="Q181" s="907">
        <f>ROUND((('1.4.조성법총괄(내부이동률 적용)'!M$54+'1.4.조성법총괄(내부이동률 적용)'!M$57*$AK$2)*$AB181)+(AT$97*$AC181),0)</f>
        <v>174</v>
      </c>
      <c r="R181" s="925">
        <f>ROUND((('1.4.조성법총괄(내부이동률 적용)'!N$54+'1.4.조성법총괄(내부이동률 적용)'!N$57*$AK$2)*$AB181)+(AU$97*$AC181),0)</f>
        <v>173</v>
      </c>
      <c r="S181" s="925">
        <f>ROUND((('1.4.조성법총괄(내부이동률 적용)'!O$54+'1.4.조성법총괄(내부이동률 적용)'!O$57*$AK$2)*$AB181)+(AV$97*$AC181),0)</f>
        <v>171</v>
      </c>
      <c r="T181" s="925">
        <f>ROUND((('1.4.조성법총괄(내부이동률 적용)'!P$54+'1.4.조성법총괄(내부이동률 적용)'!P$57*$AK$2)*$AB181)+(AW$97*$AC181),0)</f>
        <v>170</v>
      </c>
      <c r="U181" s="925">
        <f>ROUND((('1.4.조성법총괄(내부이동률 적용)'!Q$54+'1.4.조성법총괄(내부이동률 적용)'!Q$57*$AK$2)*$AB181)+(AX$97*$AC181),0)</f>
        <v>169</v>
      </c>
      <c r="V181" s="715">
        <f>ROUND((('1.4.조성법총괄(내부이동률 적용)'!R$54+'1.4.조성법총괄(내부이동률 적용)'!R$57*$AK$2)*$AB181)+(AY$97*$AC181),0)</f>
        <v>167</v>
      </c>
      <c r="W181" s="714">
        <f>ROUND((('1.4.조성법총괄(내부이동률 적용)'!S$54+'1.4.조성법총괄(내부이동률 적용)'!S$57*$AK$2)*$AB181)+(AZ$97*$AC181),0)</f>
        <v>166</v>
      </c>
      <c r="X181" s="714">
        <f>ROUND((('1.4.조성법총괄(내부이동률 적용)'!T$54+'1.4.조성법총괄(내부이동률 적용)'!T$57*$AK$2)*$AB181)+(BA$97*$AC181),0)</f>
        <v>164</v>
      </c>
      <c r="Y181" s="714">
        <f>ROUND((('1.4.조성법총괄(내부이동률 적용)'!U$54+'1.4.조성법총괄(내부이동률 적용)'!U$57*$AK$2)*$AB181)+(BB$97*$AC181),0)</f>
        <v>163</v>
      </c>
      <c r="Z181" s="714">
        <f>ROUND((('1.4.조성법총괄(내부이동률 적용)'!V$54+'1.4.조성법총괄(내부이동률 적용)'!V$57*$AK$2)*$AB181)+(BC$97*$AC181),0)</f>
        <v>162</v>
      </c>
      <c r="AA181" s="715">
        <f>ROUND((('1.4.조성법총괄(내부이동률 적용)'!W$54+'1.4.조성법총괄(내부이동률 적용)'!W$57*$AK$2)*$AB181)+(BD$97*$AC181),0)</f>
        <v>155</v>
      </c>
      <c r="AB181" s="934">
        <f>+H181/'1.4.조성법총괄(내부이동률 적용)'!$D$58</f>
        <v>3.3870072182121042E-2</v>
      </c>
      <c r="AC181" s="934">
        <f t="shared" si="128"/>
        <v>5.7966423820082359E-2</v>
      </c>
      <c r="AD181" s="97"/>
      <c r="AE181" s="8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</row>
    <row r="182" spans="1:57" ht="24" customHeight="1">
      <c r="A182" s="2673"/>
      <c r="B182" s="2674"/>
      <c r="C182" s="2678"/>
      <c r="D182" s="2637" t="s">
        <v>1031</v>
      </c>
      <c r="E182" s="771" t="s">
        <v>1032</v>
      </c>
      <c r="F182" s="713"/>
      <c r="G182" s="922">
        <f>+'2014처리구역인구 정리'!I198</f>
        <v>163</v>
      </c>
      <c r="H182" s="922">
        <f>+'2014처리구역인구 정리'!J198</f>
        <v>177</v>
      </c>
      <c r="I182" s="925">
        <f>ROUND((('1.4.조성법총괄(내부이동률 적용)'!E$54+'1.4.조성법총괄(내부이동률 적용)'!E$57*$AK$2)*$AB182)+(AL$97*$AC182),0)</f>
        <v>164</v>
      </c>
      <c r="J182" s="925">
        <f>ROUND((('1.4.조성법총괄(내부이동률 적용)'!F$54+'1.4.조성법총괄(내부이동률 적용)'!F$57*$AK$2)*$AB182)+(AM$97*$AC182),0)</f>
        <v>160</v>
      </c>
      <c r="K182" s="925">
        <f>ROUND((('1.4.조성법총괄(내부이동률 적용)'!G$54+'1.4.조성법총괄(내부이동률 적용)'!G$57*$AK$2)*$AB182)+(AN$97*$AC182),0)</f>
        <v>166</v>
      </c>
      <c r="L182" s="907">
        <f>ROUND((('1.4.조성법총괄(내부이동률 적용)'!H$54+'1.4.조성법총괄(내부이동률 적용)'!H$57*$AK$2)*$AB182)+(AO$97*$AC182),0)</f>
        <v>173</v>
      </c>
      <c r="M182" s="925">
        <f>ROUND((('1.4.조성법총괄(내부이동률 적용)'!I$54+'1.4.조성법총괄(내부이동률 적용)'!I$57*$AK$2)*$AB182)+(AP$97*$AC182),0)</f>
        <v>172</v>
      </c>
      <c r="N182" s="925">
        <f>ROUND((('1.4.조성법총괄(내부이동률 적용)'!J$54+'1.4.조성법총괄(내부이동률 적용)'!J$57*$AK$2)*$AB182)+(AQ$97*$AC182),0)</f>
        <v>171</v>
      </c>
      <c r="O182" s="925">
        <f>ROUND((('1.4.조성법총괄(내부이동률 적용)'!K$54+'1.4.조성법총괄(내부이동률 적용)'!K$57*$AK$2)*$AB182)+(AR$97*$AC182),0)</f>
        <v>170</v>
      </c>
      <c r="P182" s="925">
        <f>ROUND((('1.4.조성법총괄(내부이동률 적용)'!L$54+'1.4.조성법총괄(내부이동률 적용)'!L$57*$AK$2)*$AB182)+(AS$97*$AC182),0)</f>
        <v>169</v>
      </c>
      <c r="Q182" s="907">
        <f>ROUND((('1.4.조성법총괄(내부이동률 적용)'!M$54+'1.4.조성법총괄(내부이동률 적용)'!M$57*$AK$2)*$AB182)+(AT$97*$AC182),0)</f>
        <v>168</v>
      </c>
      <c r="R182" s="925">
        <f>ROUND((('1.4.조성법총괄(내부이동률 적용)'!N$54+'1.4.조성법총괄(내부이동률 적용)'!N$57*$AK$2)*$AB182)+(AU$97*$AC182),0)</f>
        <v>167</v>
      </c>
      <c r="S182" s="925">
        <f>ROUND((('1.4.조성법총괄(내부이동률 적용)'!O$54+'1.4.조성법총괄(내부이동률 적용)'!O$57*$AK$2)*$AB182)+(AV$97*$AC182),0)</f>
        <v>166</v>
      </c>
      <c r="T182" s="925">
        <f>ROUND((('1.4.조성법총괄(내부이동률 적용)'!P$54+'1.4.조성법총괄(내부이동률 적용)'!P$57*$AK$2)*$AB182)+(AW$97*$AC182),0)</f>
        <v>164</v>
      </c>
      <c r="U182" s="925">
        <f>ROUND((('1.4.조성법총괄(내부이동률 적용)'!Q$54+'1.4.조성법총괄(내부이동률 적용)'!Q$57*$AK$2)*$AB182)+(AX$97*$AC182),0)</f>
        <v>163</v>
      </c>
      <c r="V182" s="715">
        <f>ROUND((('1.4.조성법총괄(내부이동률 적용)'!R$54+'1.4.조성법총괄(내부이동률 적용)'!R$57*$AK$2)*$AB182)+(AY$97*$AC182),0)</f>
        <v>162</v>
      </c>
      <c r="W182" s="714">
        <f>ROUND((('1.4.조성법총괄(내부이동률 적용)'!S$54+'1.4.조성법총괄(내부이동률 적용)'!S$57*$AK$2)*$AB182)+(AZ$97*$AC182),0)</f>
        <v>160</v>
      </c>
      <c r="X182" s="714">
        <f>ROUND((('1.4.조성법총괄(내부이동률 적용)'!T$54+'1.4.조성법총괄(내부이동률 적용)'!T$57*$AK$2)*$AB182)+(BA$97*$AC182),0)</f>
        <v>159</v>
      </c>
      <c r="Y182" s="714">
        <f>ROUND((('1.4.조성법총괄(내부이동률 적용)'!U$54+'1.4.조성법총괄(내부이동률 적용)'!U$57*$AK$2)*$AB182)+(BB$97*$AC182),0)</f>
        <v>158</v>
      </c>
      <c r="Z182" s="714">
        <f>ROUND((('1.4.조성법총괄(내부이동률 적용)'!V$54+'1.4.조성법총괄(내부이동률 적용)'!V$57*$AK$2)*$AB182)+(BC$97*$AC182),0)</f>
        <v>156</v>
      </c>
      <c r="AA182" s="715">
        <f>ROUND((('1.4.조성법총괄(내부이동률 적용)'!W$54+'1.4.조성법총괄(내부이동률 적용)'!W$57*$AK$2)*$AB182)+(BD$97*$AC182),0)</f>
        <v>150</v>
      </c>
      <c r="AB182" s="934">
        <f>+H182/'1.4.조성법총괄(내부이동률 적용)'!$D$58</f>
        <v>3.2759578012215435E-2</v>
      </c>
      <c r="AC182" s="934">
        <f t="shared" si="128"/>
        <v>5.6065885334178014E-2</v>
      </c>
      <c r="AD182" s="97"/>
      <c r="AE182" s="8"/>
      <c r="AF182" s="599"/>
      <c r="AG182" s="599"/>
      <c r="AH182" s="599"/>
      <c r="AI182" s="599"/>
      <c r="AJ182" s="599"/>
      <c r="AK182" s="599"/>
      <c r="AL182" s="599"/>
      <c r="AM182" s="599"/>
      <c r="AN182" s="599"/>
      <c r="AO182" s="599"/>
      <c r="AP182" s="599"/>
      <c r="AQ182" s="599"/>
      <c r="AR182" s="599"/>
      <c r="AS182" s="599"/>
      <c r="AT182" s="599"/>
      <c r="AU182" s="599"/>
      <c r="AV182" s="599"/>
      <c r="AW182" s="599"/>
      <c r="AX182" s="599"/>
      <c r="AY182" s="599"/>
      <c r="AZ182" s="599"/>
      <c r="BA182" s="599"/>
      <c r="BB182" s="599"/>
      <c r="BC182" s="599"/>
      <c r="BD182" s="599"/>
      <c r="BE182" s="599"/>
    </row>
    <row r="183" spans="1:57" ht="24" customHeight="1">
      <c r="A183" s="2673"/>
      <c r="B183" s="2674"/>
      <c r="C183" s="2678"/>
      <c r="D183" s="2637"/>
      <c r="E183" s="771" t="s">
        <v>1033</v>
      </c>
      <c r="F183" s="97"/>
      <c r="G183" s="922">
        <f>+'2014처리구역인구 정리'!I199</f>
        <v>306</v>
      </c>
      <c r="H183" s="922">
        <f>+'2014처리구역인구 정리'!J199</f>
        <v>335</v>
      </c>
      <c r="I183" s="925">
        <f>ROUND((('1.4.조성법총괄(내부이동률 적용)'!E$54+'1.4.조성법총괄(내부이동률 적용)'!E$57*$AK$2)*$AB183)+(AL$97*$AC183),0)</f>
        <v>309</v>
      </c>
      <c r="J183" s="925">
        <f>ROUND((('1.4.조성법총괄(내부이동률 적용)'!F$54+'1.4.조성법총괄(내부이동률 적용)'!F$57*$AK$2)*$AB183)+(AM$97*$AC183),0)</f>
        <v>304</v>
      </c>
      <c r="K183" s="925">
        <f>ROUND((('1.4.조성법총괄(내부이동률 적용)'!G$54+'1.4.조성법총괄(내부이동률 적용)'!G$57*$AK$2)*$AB183)+(AN$97*$AC183),0)</f>
        <v>314</v>
      </c>
      <c r="L183" s="907">
        <f>ROUND((('1.4.조성법총괄(내부이동률 적용)'!H$54+'1.4.조성법총괄(내부이동률 적용)'!H$57*$AK$2)*$AB183)+(AO$97*$AC183),0)</f>
        <v>327</v>
      </c>
      <c r="M183" s="925">
        <f>ROUND((('1.4.조성법총괄(내부이동률 적용)'!I$54+'1.4.조성법총괄(내부이동률 적용)'!I$57*$AK$2)*$AB183)+(AP$97*$AC183),0)</f>
        <v>326</v>
      </c>
      <c r="N183" s="925">
        <f>ROUND((('1.4.조성법총괄(내부이동률 적용)'!J$54+'1.4.조성법총괄(내부이동률 적용)'!J$57*$AK$2)*$AB183)+(AQ$97*$AC183),0)</f>
        <v>324</v>
      </c>
      <c r="O183" s="925">
        <f>ROUND((('1.4.조성법총괄(내부이동률 적용)'!K$54+'1.4.조성법총괄(내부이동률 적용)'!K$57*$AK$2)*$AB183)+(AR$97*$AC183),0)</f>
        <v>322</v>
      </c>
      <c r="P183" s="925">
        <f>ROUND((('1.4.조성법총괄(내부이동률 적용)'!L$54+'1.4.조성법총괄(내부이동률 적용)'!L$57*$AK$2)*$AB183)+(AS$97*$AC183),0)</f>
        <v>320</v>
      </c>
      <c r="Q183" s="907">
        <f>ROUND((('1.4.조성법총괄(내부이동률 적용)'!M$54+'1.4.조성법총괄(내부이동률 적용)'!M$57*$AK$2)*$AB183)+(AT$97*$AC183),0)</f>
        <v>319</v>
      </c>
      <c r="R183" s="925">
        <f>ROUND((('1.4.조성법총괄(내부이동률 적용)'!N$54+'1.4.조성법총괄(내부이동률 적용)'!N$57*$AK$2)*$AB183)+(AU$97*$AC183),0)</f>
        <v>316</v>
      </c>
      <c r="S183" s="925">
        <f>ROUND((('1.4.조성법총괄(내부이동률 적용)'!O$54+'1.4.조성법총괄(내부이동률 적용)'!O$57*$AK$2)*$AB183)+(AV$97*$AC183),0)</f>
        <v>314</v>
      </c>
      <c r="T183" s="925">
        <f>ROUND((('1.4.조성법총괄(내부이동률 적용)'!P$54+'1.4.조성법총괄(내부이동률 적용)'!P$57*$AK$2)*$AB183)+(AW$97*$AC183),0)</f>
        <v>311</v>
      </c>
      <c r="U183" s="925">
        <f>ROUND((('1.4.조성법총괄(내부이동률 적용)'!Q$54+'1.4.조성법총괄(내부이동률 적용)'!Q$57*$AK$2)*$AB183)+(AX$97*$AC183),0)</f>
        <v>309</v>
      </c>
      <c r="V183" s="715">
        <f>ROUND((('1.4.조성법총괄(내부이동률 적용)'!R$54+'1.4.조성법총괄(내부이동률 적용)'!R$57*$AK$2)*$AB183)+(AY$97*$AC183),0)</f>
        <v>306</v>
      </c>
      <c r="W183" s="714">
        <f>ROUND((('1.4.조성법총괄(내부이동률 적용)'!S$54+'1.4.조성법총괄(내부이동률 적용)'!S$57*$AK$2)*$AB183)+(AZ$97*$AC183),0)</f>
        <v>304</v>
      </c>
      <c r="X183" s="714">
        <f>ROUND((('1.4.조성법총괄(내부이동률 적용)'!T$54+'1.4.조성법총괄(내부이동률 적용)'!T$57*$AK$2)*$AB183)+(BA$97*$AC183),0)</f>
        <v>301</v>
      </c>
      <c r="Y183" s="714">
        <f>ROUND((('1.4.조성법총괄(내부이동률 적용)'!U$54+'1.4.조성법총괄(내부이동률 적용)'!U$57*$AK$2)*$AB183)+(BB$97*$AC183),0)</f>
        <v>298</v>
      </c>
      <c r="Z183" s="714">
        <f>ROUND((('1.4.조성법총괄(내부이동률 적용)'!V$54+'1.4.조성법총괄(내부이동률 적용)'!V$57*$AK$2)*$AB183)+(BC$97*$AC183),0)</f>
        <v>296</v>
      </c>
      <c r="AA183" s="715">
        <f>ROUND((('1.4.조성법총괄(내부이동률 적용)'!W$54+'1.4.조성법총괄(내부이동률 적용)'!W$57*$AK$2)*$AB183)+(BD$97*$AC183),0)</f>
        <v>284</v>
      </c>
      <c r="AB183" s="934">
        <f>+H183/'1.4.조성법총괄(내부이동률 적용)'!$D$58</f>
        <v>6.2002591153063114E-2</v>
      </c>
      <c r="AC183" s="934">
        <f t="shared" si="128"/>
        <v>0.10611339879632563</v>
      </c>
      <c r="AD183" s="97"/>
      <c r="AE183" s="8"/>
      <c r="AF183" s="599"/>
      <c r="AG183" s="599"/>
      <c r="AH183" s="599"/>
      <c r="AI183" s="599"/>
      <c r="AJ183" s="599"/>
      <c r="AK183" s="599"/>
      <c r="AL183" s="599"/>
      <c r="AM183" s="599"/>
      <c r="AN183" s="599"/>
      <c r="AO183" s="599"/>
      <c r="AP183" s="599"/>
      <c r="AQ183" s="599"/>
      <c r="AR183" s="599"/>
      <c r="AS183" s="599"/>
      <c r="AT183" s="599"/>
      <c r="AU183" s="599"/>
      <c r="AV183" s="599"/>
      <c r="AW183" s="599"/>
      <c r="AX183" s="599"/>
      <c r="AY183" s="599"/>
      <c r="AZ183" s="599"/>
      <c r="BA183" s="599"/>
      <c r="BB183" s="599"/>
      <c r="BC183" s="599"/>
      <c r="BD183" s="599"/>
      <c r="BE183" s="599"/>
    </row>
    <row r="184" spans="1:57" ht="24" customHeight="1">
      <c r="A184" s="2673"/>
      <c r="B184" s="2674"/>
      <c r="C184" s="2678"/>
      <c r="D184" s="771" t="s">
        <v>1034</v>
      </c>
      <c r="E184" s="771" t="s">
        <v>1035</v>
      </c>
      <c r="F184" s="97"/>
      <c r="G184" s="922">
        <f>+'2014처리구역인구 정리'!I200</f>
        <v>215</v>
      </c>
      <c r="H184" s="922">
        <f>+'2014처리구역인구 정리'!J200</f>
        <v>238</v>
      </c>
      <c r="I184" s="925">
        <f>ROUND((('1.4.조성법총괄(내부이동률 적용)'!E$54+'1.4.조성법총괄(내부이동률 적용)'!E$57*$AK$2)*$AB184)+(AL$97*$AC184),0)</f>
        <v>220</v>
      </c>
      <c r="J184" s="925">
        <f>ROUND((('1.4.조성법총괄(내부이동률 적용)'!F$54+'1.4.조성법총괄(내부이동률 적용)'!F$57*$AK$2)*$AB184)+(AM$97*$AC184),0)</f>
        <v>216</v>
      </c>
      <c r="K184" s="925">
        <f>ROUND((('1.4.조성법총괄(내부이동률 적용)'!G$54+'1.4.조성법총괄(내부이동률 적용)'!G$57*$AK$2)*$AB184)+(AN$97*$AC184),0)</f>
        <v>223</v>
      </c>
      <c r="L184" s="907">
        <f>ROUND((('1.4.조성법총괄(내부이동률 적용)'!H$54+'1.4.조성법총괄(내부이동률 적용)'!H$57*$AK$2)*$AB184)+(AO$97*$AC184),0)</f>
        <v>232</v>
      </c>
      <c r="M184" s="925">
        <f>ROUND((('1.4.조성법총괄(내부이동률 적용)'!I$54+'1.4.조성법총괄(내부이동률 적용)'!I$57*$AK$2)*$AB184)+(AP$97*$AC184),0)</f>
        <v>231</v>
      </c>
      <c r="N184" s="925">
        <f>ROUND((('1.4.조성법총괄(내부이동률 적용)'!J$54+'1.4.조성법총괄(내부이동률 적용)'!J$57*$AK$2)*$AB184)+(AQ$97*$AC184),0)</f>
        <v>230</v>
      </c>
      <c r="O184" s="925">
        <f>ROUND((('1.4.조성법총괄(내부이동률 적용)'!K$54+'1.4.조성법총괄(내부이동률 적용)'!K$57*$AK$2)*$AB184)+(AR$97*$AC184),0)</f>
        <v>229</v>
      </c>
      <c r="P184" s="925">
        <f>ROUND((('1.4.조성법총괄(내부이동률 적용)'!L$54+'1.4.조성법총괄(내부이동률 적용)'!L$57*$AK$2)*$AB184)+(AS$97*$AC184),0)</f>
        <v>228</v>
      </c>
      <c r="Q184" s="907">
        <f>ROUND((('1.4.조성법총괄(내부이동률 적용)'!M$54+'1.4.조성법총괄(내부이동률 적용)'!M$57*$AK$2)*$AB184)+(AT$97*$AC184),0)</f>
        <v>226</v>
      </c>
      <c r="R184" s="925">
        <f>ROUND((('1.4.조성법총괄(내부이동률 적용)'!N$54+'1.4.조성법총괄(내부이동률 적용)'!N$57*$AK$2)*$AB184)+(AU$97*$AC184),0)</f>
        <v>225</v>
      </c>
      <c r="S184" s="925">
        <f>ROUND((('1.4.조성법총괄(내부이동률 적용)'!O$54+'1.4.조성법총괄(내부이동률 적용)'!O$57*$AK$2)*$AB184)+(AV$97*$AC184),0)</f>
        <v>223</v>
      </c>
      <c r="T184" s="925">
        <f>ROUND((('1.4.조성법총괄(내부이동률 적용)'!P$54+'1.4.조성법총괄(내부이동률 적용)'!P$57*$AK$2)*$AB184)+(AW$97*$AC184),0)</f>
        <v>221</v>
      </c>
      <c r="U184" s="925">
        <f>ROUND((('1.4.조성법총괄(내부이동률 적용)'!Q$54+'1.4.조성법총괄(내부이동률 적용)'!Q$57*$AK$2)*$AB184)+(AX$97*$AC184),0)</f>
        <v>219</v>
      </c>
      <c r="V184" s="715">
        <f>ROUND((('1.4.조성법총괄(내부이동률 적용)'!R$54+'1.4.조성법총괄(내부이동률 적용)'!R$57*$AK$2)*$AB184)+(AY$97*$AC184),0)</f>
        <v>218</v>
      </c>
      <c r="W184" s="714">
        <f>ROUND((('1.4.조성법총괄(내부이동률 적용)'!S$54+'1.4.조성법총괄(내부이동률 적용)'!S$57*$AK$2)*$AB184)+(AZ$97*$AC184),0)</f>
        <v>216</v>
      </c>
      <c r="X184" s="714">
        <f>ROUND((('1.4.조성법총괄(내부이동률 적용)'!T$54+'1.4.조성법총괄(내부이동률 적용)'!T$57*$AK$2)*$AB184)+(BA$97*$AC184),0)</f>
        <v>214</v>
      </c>
      <c r="Y184" s="714">
        <f>ROUND((('1.4.조성법총괄(내부이동률 적용)'!U$54+'1.4.조성법총괄(내부이동률 적용)'!U$57*$AK$2)*$AB184)+(BB$97*$AC184),0)</f>
        <v>212</v>
      </c>
      <c r="Z184" s="714">
        <f>ROUND((('1.4.조성법총괄(내부이동률 적용)'!V$54+'1.4.조성법총괄(내부이동률 적용)'!V$57*$AK$2)*$AB184)+(BC$97*$AC184),0)</f>
        <v>210</v>
      </c>
      <c r="AA184" s="715">
        <f>ROUND((('1.4.조성법총괄(내부이동률 적용)'!W$54+'1.4.조성법총괄(내부이동률 적용)'!W$57*$AK$2)*$AB184)+(BD$97*$AC184),0)</f>
        <v>202</v>
      </c>
      <c r="AB184" s="934">
        <f>+H184/'1.4.조성법총괄(내부이동률 적용)'!$D$58</f>
        <v>4.4049602072922453E-2</v>
      </c>
      <c r="AC184" s="934">
        <f t="shared" si="128"/>
        <v>7.5388026607538808E-2</v>
      </c>
      <c r="AD184" s="97"/>
      <c r="AE184" s="8"/>
      <c r="AF184" s="599"/>
      <c r="AG184" s="599"/>
      <c r="AH184" s="599"/>
      <c r="AI184" s="599"/>
      <c r="AJ184" s="599"/>
      <c r="AK184" s="599"/>
      <c r="AL184" s="599"/>
      <c r="AM184" s="599"/>
      <c r="AN184" s="599"/>
      <c r="AO184" s="599"/>
      <c r="AP184" s="599"/>
      <c r="AQ184" s="599"/>
      <c r="AR184" s="599"/>
      <c r="AS184" s="599"/>
      <c r="AT184" s="599"/>
      <c r="AU184" s="599"/>
      <c r="AV184" s="599"/>
      <c r="AW184" s="599"/>
      <c r="AX184" s="599"/>
      <c r="AY184" s="599"/>
      <c r="AZ184" s="599"/>
      <c r="BA184" s="599"/>
      <c r="BB184" s="599"/>
      <c r="BC184" s="599"/>
      <c r="BD184" s="599"/>
      <c r="BE184" s="599"/>
    </row>
    <row r="185" spans="1:57" ht="24" customHeight="1">
      <c r="A185" s="2673"/>
      <c r="B185" s="2674"/>
      <c r="C185" s="2678"/>
      <c r="D185" s="1537" t="s">
        <v>1578</v>
      </c>
      <c r="E185" s="1537" t="s">
        <v>1580</v>
      </c>
      <c r="F185" s="97"/>
      <c r="G185" s="922">
        <f>+'2014처리구역인구 정리'!I201</f>
        <v>137</v>
      </c>
      <c r="H185" s="922">
        <f>+'2014처리구역인구 정리'!J201</f>
        <v>16</v>
      </c>
      <c r="I185" s="925">
        <f>ROUND((('1.4.조성법총괄(내부이동률 적용)'!E$54+'1.4.조성법총괄(내부이동률 적용)'!E$57*$AK$2)*$AB185)+(AL$97*$AC185),0)</f>
        <v>15</v>
      </c>
      <c r="J185" s="925">
        <f>ROUND((('1.4.조성법총괄(내부이동률 적용)'!F$54+'1.4.조성법총괄(내부이동률 적용)'!F$57*$AK$2)*$AB185)+(AM$97*$AC185),0)</f>
        <v>15</v>
      </c>
      <c r="K185" s="925">
        <f>ROUND((('1.4.조성법총괄(내부이동률 적용)'!G$54+'1.4.조성법총괄(내부이동률 적용)'!G$57*$AK$2)*$AB185)+(AN$97*$AC185),0)</f>
        <v>15</v>
      </c>
      <c r="L185" s="907">
        <f>ROUND((('1.4.조성법총괄(내부이동률 적용)'!H$54+'1.4.조성법총괄(내부이동률 적용)'!H$57*$AK$2)*$AB185)+(AO$97*$AC185),0)</f>
        <v>16</v>
      </c>
      <c r="M185" s="925">
        <f>ROUND((('1.4.조성법총괄(내부이동률 적용)'!I$54+'1.4.조성법총괄(내부이동률 적용)'!I$57*$AK$2)*$AB185)+(AP$97*$AC185),0)</f>
        <v>16</v>
      </c>
      <c r="N185" s="925">
        <f>ROUND((('1.4.조성법총괄(내부이동률 적용)'!J$54+'1.4.조성법총괄(내부이동률 적용)'!J$57*$AK$2)*$AB185)+(AQ$97*$AC185),0)</f>
        <v>15</v>
      </c>
      <c r="O185" s="925">
        <f>ROUND((('1.4.조성법총괄(내부이동률 적용)'!K$54+'1.4.조성법총괄(내부이동률 적용)'!K$57*$AK$2)*$AB185)+(AR$97*$AC185),0)</f>
        <v>15</v>
      </c>
      <c r="P185" s="925">
        <f>ROUND((('1.4.조성법총괄(내부이동률 적용)'!L$54+'1.4.조성법총괄(내부이동률 적용)'!L$57*$AK$2)*$AB185)+(AS$97*$AC185),0)</f>
        <v>15</v>
      </c>
      <c r="Q185" s="907">
        <f>ROUND((('1.4.조성법총괄(내부이동률 적용)'!M$54+'1.4.조성법총괄(내부이동률 적용)'!M$57*$AK$2)*$AB185)+(AT$97*$AC185),0)</f>
        <v>15</v>
      </c>
      <c r="R185" s="925">
        <f>ROUND((('1.4.조성법총괄(내부이동률 적용)'!N$54+'1.4.조성법총괄(내부이동률 적용)'!N$57*$AK$2)*$AB185)+(AU$97*$AC185),0)</f>
        <v>15</v>
      </c>
      <c r="S185" s="925">
        <f>ROUND((('1.4.조성법총괄(내부이동률 적용)'!O$54+'1.4.조성법총괄(내부이동률 적용)'!O$57*$AK$2)*$AB185)+(AV$97*$AC185),0)</f>
        <v>15</v>
      </c>
      <c r="T185" s="925">
        <f>ROUND((('1.4.조성법총괄(내부이동률 적용)'!P$54+'1.4.조성법총괄(내부이동률 적용)'!P$57*$AK$2)*$AB185)+(AW$97*$AC185),0)</f>
        <v>15</v>
      </c>
      <c r="U185" s="925">
        <f>ROUND((('1.4.조성법총괄(내부이동률 적용)'!Q$54+'1.4.조성법총괄(내부이동률 적용)'!Q$57*$AK$2)*$AB185)+(AX$97*$AC185),0)</f>
        <v>15</v>
      </c>
      <c r="V185" s="715">
        <f>ROUND((('1.4.조성법총괄(내부이동률 적용)'!R$54+'1.4.조성법총괄(내부이동률 적용)'!R$57*$AK$2)*$AB185)+(AY$97*$AC185),0)</f>
        <v>15</v>
      </c>
      <c r="W185" s="714">
        <f>ROUND((('1.4.조성법총괄(내부이동률 적용)'!S$54+'1.4.조성법총괄(내부이동률 적용)'!S$57*$AK$2)*$AB185)+(AZ$97*$AC185),0)</f>
        <v>15</v>
      </c>
      <c r="X185" s="714">
        <f>ROUND((('1.4.조성법총괄(내부이동률 적용)'!T$54+'1.4.조성법총괄(내부이동률 적용)'!T$57*$AK$2)*$AB185)+(BA$97*$AC185),0)</f>
        <v>14</v>
      </c>
      <c r="Y185" s="714">
        <f>ROUND((('1.4.조성법총괄(내부이동률 적용)'!U$54+'1.4.조성법총괄(내부이동률 적용)'!U$57*$AK$2)*$AB185)+(BB$97*$AC185),0)</f>
        <v>14</v>
      </c>
      <c r="Z185" s="714">
        <f>ROUND((('1.4.조성법총괄(내부이동률 적용)'!V$54+'1.4.조성법총괄(내부이동률 적용)'!V$57*$AK$2)*$AB185)+(BC$97*$AC185),0)</f>
        <v>14</v>
      </c>
      <c r="AA185" s="715">
        <f>ROUND((('1.4.조성법총괄(내부이동률 적용)'!W$54+'1.4.조성법총괄(내부이동률 적용)'!W$57*$AK$2)*$AB185)+(BD$97*$AC185),0)</f>
        <v>14</v>
      </c>
      <c r="AB185" s="934">
        <f>+H185/'1.4.조성법총괄(내부이동률 적용)'!$D$58</f>
        <v>2.9613177864149546E-3</v>
      </c>
      <c r="AC185" s="934">
        <f t="shared" si="128"/>
        <v>5.0681026290782388E-3</v>
      </c>
      <c r="AD185" s="97"/>
      <c r="AE185" s="8"/>
      <c r="AF185" s="599"/>
      <c r="AG185" s="599"/>
      <c r="AH185" s="599"/>
      <c r="AI185" s="599"/>
      <c r="AJ185" s="599"/>
      <c r="AK185" s="599"/>
      <c r="AL185" s="599"/>
      <c r="AM185" s="599"/>
      <c r="AN185" s="599"/>
      <c r="AO185" s="599"/>
      <c r="AP185" s="599"/>
      <c r="AQ185" s="599"/>
      <c r="AR185" s="599"/>
      <c r="AS185" s="599"/>
      <c r="AT185" s="599"/>
      <c r="AU185" s="599"/>
      <c r="AV185" s="599"/>
      <c r="AW185" s="599"/>
      <c r="AX185" s="599"/>
      <c r="AY185" s="599"/>
      <c r="AZ185" s="599"/>
      <c r="BA185" s="599"/>
      <c r="BB185" s="599"/>
      <c r="BC185" s="599"/>
      <c r="BD185" s="599"/>
      <c r="BE185" s="599"/>
    </row>
    <row r="186" spans="1:57" ht="24" customHeight="1">
      <c r="A186" s="2673"/>
      <c r="B186" s="2674"/>
      <c r="C186" s="2678"/>
      <c r="D186" s="1114" t="s">
        <v>1579</v>
      </c>
      <c r="E186" s="1114" t="s">
        <v>1581</v>
      </c>
      <c r="F186" s="97"/>
      <c r="G186" s="922">
        <f>+'2014처리구역인구 정리'!I202</f>
        <v>178</v>
      </c>
      <c r="H186" s="922">
        <f>+'2014처리구역인구 정리'!J202</f>
        <v>20</v>
      </c>
      <c r="I186" s="925">
        <f>ROUND((('1.4.조성법총괄(내부이동률 적용)'!E$54+'1.4.조성법총괄(내부이동률 적용)'!E$57*$AK$2)*$AB186)+(AL$97*$AC186),0)</f>
        <v>18</v>
      </c>
      <c r="J186" s="925">
        <f>ROUND((('1.4.조성법총괄(내부이동률 적용)'!F$54+'1.4.조성법총괄(내부이동률 적용)'!F$57*$AK$2)*$AB186)+(AM$97*$AC186),0)</f>
        <v>18</v>
      </c>
      <c r="K186" s="925">
        <f>ROUND((('1.4.조성법총괄(내부이동률 적용)'!G$54+'1.4.조성법총괄(내부이동률 적용)'!G$57*$AK$2)*$AB186)+(AN$97*$AC186),0)</f>
        <v>19</v>
      </c>
      <c r="L186" s="907">
        <f>ROUND((('1.4.조성법총괄(내부이동률 적용)'!H$54+'1.4.조성법총괄(내부이동률 적용)'!H$57*$AK$2)*$AB186)+(AO$97*$AC186),0)</f>
        <v>20</v>
      </c>
      <c r="M186" s="925">
        <f>ROUND((('1.4.조성법총괄(내부이동률 적용)'!I$54+'1.4.조성법총괄(내부이동률 적용)'!I$57*$AK$2)*$AB186)+(AP$97*$AC186),0)</f>
        <v>19</v>
      </c>
      <c r="N186" s="925">
        <f>ROUND((('1.4.조성법총괄(내부이동률 적용)'!J$54+'1.4.조성법총괄(내부이동률 적용)'!J$57*$AK$2)*$AB186)+(AQ$97*$AC186),0)</f>
        <v>19</v>
      </c>
      <c r="O186" s="925">
        <f>ROUND((('1.4.조성법총괄(내부이동률 적용)'!K$54+'1.4.조성법총괄(내부이동률 적용)'!K$57*$AK$2)*$AB186)+(AR$97*$AC186),0)</f>
        <v>19</v>
      </c>
      <c r="P186" s="925">
        <f>ROUND((('1.4.조성법총괄(내부이동률 적용)'!L$54+'1.4.조성법총괄(내부이동률 적용)'!L$57*$AK$2)*$AB186)+(AS$97*$AC186),0)</f>
        <v>19</v>
      </c>
      <c r="Q186" s="907">
        <f>ROUND((('1.4.조성법총괄(내부이동률 적용)'!M$54+'1.4.조성법총괄(내부이동률 적용)'!M$57*$AK$2)*$AB186)+(AT$97*$AC186),0)</f>
        <v>19</v>
      </c>
      <c r="R186" s="925">
        <f>ROUND((('1.4.조성법총괄(내부이동률 적용)'!N$54+'1.4.조성법총괄(내부이동률 적용)'!N$57*$AK$2)*$AB186)+(AU$97*$AC186),0)</f>
        <v>19</v>
      </c>
      <c r="S186" s="925">
        <f>ROUND((('1.4.조성법총괄(내부이동률 적용)'!O$54+'1.4.조성법총괄(내부이동률 적용)'!O$57*$AK$2)*$AB186)+(AV$97*$AC186),0)</f>
        <v>19</v>
      </c>
      <c r="T186" s="925">
        <f>ROUND((('1.4.조성법총괄(내부이동률 적용)'!P$54+'1.4.조성법총괄(내부이동률 적용)'!P$57*$AK$2)*$AB186)+(AW$97*$AC186),0)</f>
        <v>19</v>
      </c>
      <c r="U186" s="925">
        <f>ROUND((('1.4.조성법총괄(내부이동률 적용)'!Q$54+'1.4.조성법총괄(내부이동률 적용)'!Q$57*$AK$2)*$AB186)+(AX$97*$AC186),0)</f>
        <v>18</v>
      </c>
      <c r="V186" s="715">
        <f>ROUND((('1.4.조성법총괄(내부이동률 적용)'!R$54+'1.4.조성법총괄(내부이동률 적용)'!R$57*$AK$2)*$AB186)+(AY$97*$AC186),0)</f>
        <v>18</v>
      </c>
      <c r="W186" s="714">
        <f>ROUND((('1.4.조성법총괄(내부이동률 적용)'!S$54+'1.4.조성법총괄(내부이동률 적용)'!S$57*$AK$2)*$AB186)+(AZ$97*$AC186),0)</f>
        <v>18</v>
      </c>
      <c r="X186" s="714">
        <f>ROUND((('1.4.조성법총괄(내부이동률 적용)'!T$54+'1.4.조성법총괄(내부이동률 적용)'!T$57*$AK$2)*$AB186)+(BA$97*$AC186),0)</f>
        <v>18</v>
      </c>
      <c r="Y186" s="714">
        <f>ROUND((('1.4.조성법총괄(내부이동률 적용)'!U$54+'1.4.조성법총괄(내부이동률 적용)'!U$57*$AK$2)*$AB186)+(BB$97*$AC186),0)</f>
        <v>18</v>
      </c>
      <c r="Z186" s="714">
        <f>ROUND((('1.4.조성법총괄(내부이동률 적용)'!V$54+'1.4.조성법총괄(내부이동률 적용)'!V$57*$AK$2)*$AB186)+(BC$97*$AC186),0)</f>
        <v>18</v>
      </c>
      <c r="AA186" s="715">
        <f>ROUND((('1.4.조성법총괄(내부이동률 적용)'!W$54+'1.4.조성법총괄(내부이동률 적용)'!W$57*$AK$2)*$AB186)+(BD$97*$AC186),0)</f>
        <v>17</v>
      </c>
      <c r="AB186" s="934">
        <f>+H186/'1.4.조성법총괄(내부이동률 적용)'!$D$58</f>
        <v>3.7016472330186935E-3</v>
      </c>
      <c r="AC186" s="934">
        <f t="shared" si="128"/>
        <v>6.3351282863477985E-3</v>
      </c>
      <c r="AD186" s="97"/>
      <c r="AE186" s="8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</row>
    <row r="187" spans="1:57" ht="24" customHeight="1">
      <c r="A187" s="2675"/>
      <c r="B187" s="2676"/>
      <c r="C187" s="2679"/>
      <c r="D187" s="1243"/>
      <c r="E187" s="1244" t="s">
        <v>149</v>
      </c>
      <c r="F187" s="97"/>
      <c r="G187" s="922">
        <f t="shared" ref="G187:AA187" si="129">AJ91</f>
        <v>0</v>
      </c>
      <c r="H187" s="922">
        <f t="shared" si="129"/>
        <v>0</v>
      </c>
      <c r="I187" s="925">
        <f t="shared" si="129"/>
        <v>0</v>
      </c>
      <c r="J187" s="925">
        <f t="shared" si="129"/>
        <v>0</v>
      </c>
      <c r="K187" s="925">
        <f t="shared" si="129"/>
        <v>0</v>
      </c>
      <c r="L187" s="907">
        <f t="shared" si="129"/>
        <v>0</v>
      </c>
      <c r="M187" s="925">
        <f t="shared" si="129"/>
        <v>0</v>
      </c>
      <c r="N187" s="925">
        <f t="shared" si="129"/>
        <v>0</v>
      </c>
      <c r="O187" s="925">
        <f t="shared" si="129"/>
        <v>0</v>
      </c>
      <c r="P187" s="925">
        <f t="shared" si="129"/>
        <v>0</v>
      </c>
      <c r="Q187" s="907">
        <f t="shared" si="129"/>
        <v>0</v>
      </c>
      <c r="R187" s="925">
        <f t="shared" si="129"/>
        <v>0</v>
      </c>
      <c r="S187" s="925">
        <f t="shared" si="129"/>
        <v>0</v>
      </c>
      <c r="T187" s="925">
        <f t="shared" si="129"/>
        <v>0</v>
      </c>
      <c r="U187" s="925">
        <f t="shared" si="129"/>
        <v>0</v>
      </c>
      <c r="V187" s="715">
        <f t="shared" si="129"/>
        <v>0</v>
      </c>
      <c r="W187" s="714">
        <f t="shared" si="129"/>
        <v>0</v>
      </c>
      <c r="X187" s="714">
        <f t="shared" si="129"/>
        <v>0</v>
      </c>
      <c r="Y187" s="714">
        <f t="shared" si="129"/>
        <v>0</v>
      </c>
      <c r="Z187" s="714">
        <f t="shared" si="129"/>
        <v>0</v>
      </c>
      <c r="AA187" s="715">
        <f t="shared" si="129"/>
        <v>2331</v>
      </c>
      <c r="AB187" s="934"/>
      <c r="AC187" s="934"/>
      <c r="AD187" s="97" t="s">
        <v>1496</v>
      </c>
      <c r="AE187" s="8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</row>
    <row r="188" spans="1:57" s="712" customFormat="1" ht="24" customHeight="1">
      <c r="A188" s="1934"/>
      <c r="B188" s="1934"/>
      <c r="C188" s="921"/>
      <c r="D188" s="921"/>
      <c r="E188" s="921"/>
      <c r="F188" s="921"/>
      <c r="G188" s="921"/>
      <c r="H188" s="921"/>
      <c r="I188" s="921"/>
      <c r="J188" s="921"/>
      <c r="K188" s="921"/>
      <c r="L188" s="921"/>
      <c r="M188" s="921"/>
      <c r="N188" s="921"/>
      <c r="O188" s="921"/>
      <c r="P188" s="921"/>
      <c r="Q188" s="921"/>
      <c r="R188" s="921"/>
      <c r="S188" s="921"/>
      <c r="T188" s="921"/>
      <c r="U188" s="921"/>
      <c r="V188" s="921"/>
      <c r="W188" s="921"/>
      <c r="X188" s="921"/>
      <c r="Y188" s="921"/>
      <c r="Z188" s="921"/>
      <c r="AA188" s="921"/>
      <c r="AB188" s="1934"/>
      <c r="AC188" s="1934"/>
      <c r="AD188" s="921"/>
      <c r="AE188" s="1935"/>
      <c r="AF188" s="599"/>
      <c r="AG188" s="599"/>
      <c r="AH188" s="599"/>
      <c r="AI188" s="599"/>
      <c r="AJ188" s="599"/>
      <c r="AK188" s="599"/>
      <c r="AL188" s="599"/>
      <c r="AM188" s="599"/>
      <c r="AN188" s="599"/>
      <c r="AO188" s="599"/>
      <c r="AP188" s="599"/>
      <c r="AQ188" s="599"/>
      <c r="AR188" s="599"/>
      <c r="AS188" s="599"/>
      <c r="AT188" s="599"/>
      <c r="AU188" s="599"/>
      <c r="AV188" s="599"/>
      <c r="AW188" s="599"/>
      <c r="AX188" s="599"/>
      <c r="AY188" s="599"/>
      <c r="AZ188" s="599"/>
      <c r="BA188" s="599"/>
      <c r="BB188" s="599"/>
      <c r="BC188" s="599"/>
      <c r="BD188" s="599"/>
      <c r="BE188" s="599"/>
    </row>
    <row r="189" spans="1:57" ht="24" customHeight="1">
      <c r="A189" s="1932" t="s">
        <v>2254</v>
      </c>
      <c r="B189" s="1934"/>
      <c r="C189" s="921"/>
      <c r="D189" s="921"/>
      <c r="E189" s="921"/>
      <c r="F189" s="921"/>
      <c r="G189" s="921"/>
      <c r="H189" s="921"/>
      <c r="I189" s="921"/>
      <c r="J189" s="921"/>
      <c r="K189" s="921"/>
      <c r="L189" s="921"/>
      <c r="M189" s="921"/>
      <c r="N189" s="921"/>
      <c r="O189" s="921"/>
      <c r="P189" s="921"/>
      <c r="Q189" s="921"/>
      <c r="R189" s="921"/>
      <c r="S189" s="921"/>
      <c r="T189" s="921"/>
      <c r="U189" s="921"/>
      <c r="V189" s="921"/>
      <c r="W189" s="921"/>
      <c r="X189" s="921"/>
      <c r="Y189" s="921"/>
      <c r="Z189" s="921"/>
      <c r="AA189" s="921"/>
      <c r="AB189" s="1934"/>
      <c r="AC189" s="1934"/>
      <c r="AD189" s="921"/>
      <c r="AE189" s="1935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</row>
    <row r="190" spans="1:57" s="599" customFormat="1" ht="24" customHeight="1">
      <c r="A190" s="736" t="s">
        <v>0</v>
      </c>
      <c r="B190" s="736" t="s">
        <v>1</v>
      </c>
      <c r="C190" s="737" t="s">
        <v>2</v>
      </c>
      <c r="D190" s="737" t="s">
        <v>3</v>
      </c>
      <c r="E190" s="737" t="s">
        <v>4</v>
      </c>
      <c r="F190" s="737">
        <v>2013</v>
      </c>
      <c r="G190" s="737">
        <v>2015</v>
      </c>
      <c r="H190" s="737">
        <v>2016</v>
      </c>
      <c r="I190" s="737">
        <v>2017</v>
      </c>
      <c r="J190" s="737">
        <v>2018</v>
      </c>
      <c r="K190" s="737">
        <v>2019</v>
      </c>
      <c r="L190" s="737">
        <v>2020</v>
      </c>
      <c r="M190" s="737">
        <v>2021</v>
      </c>
      <c r="N190" s="737">
        <v>2022</v>
      </c>
      <c r="O190" s="737">
        <v>2023</v>
      </c>
      <c r="P190" s="737">
        <v>2024</v>
      </c>
      <c r="Q190" s="737">
        <v>2025</v>
      </c>
      <c r="R190" s="737">
        <v>2026</v>
      </c>
      <c r="S190" s="737">
        <v>2027</v>
      </c>
      <c r="T190" s="737">
        <v>2028</v>
      </c>
      <c r="U190" s="737">
        <v>2029</v>
      </c>
      <c r="V190" s="737">
        <v>2030</v>
      </c>
      <c r="W190" s="737">
        <v>2031</v>
      </c>
      <c r="X190" s="737">
        <v>2032</v>
      </c>
      <c r="Y190" s="737">
        <v>2033</v>
      </c>
      <c r="Z190" s="737">
        <v>2034</v>
      </c>
      <c r="AA190" s="737">
        <v>2035</v>
      </c>
      <c r="AB190" s="736" t="s">
        <v>140</v>
      </c>
      <c r="AC190" s="736" t="s">
        <v>141</v>
      </c>
      <c r="AD190" s="737" t="s">
        <v>139</v>
      </c>
      <c r="AE190" s="100"/>
      <c r="AF190" s="712"/>
      <c r="AG190" s="712"/>
      <c r="AH190" s="712"/>
      <c r="AI190" s="712"/>
      <c r="AJ190" s="712"/>
      <c r="AK190" s="712"/>
      <c r="AL190" s="712"/>
      <c r="AM190" s="712"/>
      <c r="AN190" s="712"/>
      <c r="AO190" s="712"/>
      <c r="AP190" s="712"/>
      <c r="AQ190" s="712"/>
      <c r="AR190" s="712"/>
      <c r="AS190" s="712"/>
      <c r="AT190" s="712"/>
      <c r="AU190" s="712"/>
      <c r="AV190" s="712"/>
      <c r="AW190" s="712"/>
      <c r="AX190" s="712"/>
      <c r="AY190" s="712"/>
      <c r="AZ190" s="712"/>
      <c r="BA190" s="712"/>
      <c r="BB190" s="712"/>
      <c r="BC190" s="712"/>
      <c r="BD190" s="712"/>
      <c r="BE190" s="712"/>
    </row>
    <row r="191" spans="1:57" s="599" customFormat="1" ht="24" customHeight="1">
      <c r="A191" s="2687" t="s">
        <v>1070</v>
      </c>
      <c r="B191" s="2688"/>
      <c r="C191" s="2635" t="s">
        <v>32</v>
      </c>
      <c r="D191" s="2635"/>
      <c r="E191" s="2635"/>
      <c r="F191" s="713"/>
      <c r="G191" s="907">
        <f>SUM(G192:G196)</f>
        <v>1237</v>
      </c>
      <c r="H191" s="907">
        <f t="shared" ref="H191:AA191" si="130">SUM(H192:H196)</f>
        <v>1293</v>
      </c>
      <c r="I191" s="907">
        <f t="shared" si="130"/>
        <v>1217</v>
      </c>
      <c r="J191" s="907">
        <f t="shared" si="130"/>
        <v>1213</v>
      </c>
      <c r="K191" s="907">
        <f t="shared" si="130"/>
        <v>1217</v>
      </c>
      <c r="L191" s="907">
        <f t="shared" si="130"/>
        <v>1225</v>
      </c>
      <c r="M191" s="907">
        <f t="shared" si="130"/>
        <v>1244</v>
      </c>
      <c r="N191" s="907">
        <f t="shared" si="130"/>
        <v>1251</v>
      </c>
      <c r="O191" s="907">
        <f t="shared" si="130"/>
        <v>1258</v>
      </c>
      <c r="P191" s="907">
        <f t="shared" si="130"/>
        <v>1263</v>
      </c>
      <c r="Q191" s="907">
        <f t="shared" si="130"/>
        <v>1270</v>
      </c>
      <c r="R191" s="907">
        <f t="shared" si="130"/>
        <v>1272</v>
      </c>
      <c r="S191" s="907">
        <f t="shared" si="130"/>
        <v>1274</v>
      </c>
      <c r="T191" s="907">
        <f t="shared" si="130"/>
        <v>1277</v>
      </c>
      <c r="U191" s="907">
        <f t="shared" si="130"/>
        <v>1278</v>
      </c>
      <c r="V191" s="907">
        <f t="shared" si="130"/>
        <v>1281</v>
      </c>
      <c r="W191" s="907">
        <f t="shared" si="130"/>
        <v>1278</v>
      </c>
      <c r="X191" s="907">
        <f t="shared" si="130"/>
        <v>1278</v>
      </c>
      <c r="Y191" s="907">
        <f t="shared" si="130"/>
        <v>1276</v>
      </c>
      <c r="Z191" s="907">
        <f t="shared" si="130"/>
        <v>1275</v>
      </c>
      <c r="AA191" s="907">
        <f t="shared" si="130"/>
        <v>3574</v>
      </c>
      <c r="AB191" s="713"/>
      <c r="AC191" s="713"/>
      <c r="AD191" s="713"/>
      <c r="AE191" s="1"/>
      <c r="AF191" s="712"/>
      <c r="AG191" s="712"/>
      <c r="AH191" s="712"/>
      <c r="AI191" s="712"/>
      <c r="AJ191" s="712"/>
      <c r="AK191" s="712"/>
      <c r="AL191" s="712"/>
      <c r="AM191" s="712"/>
      <c r="AN191" s="712"/>
      <c r="AO191" s="712"/>
      <c r="AP191" s="712"/>
      <c r="AQ191" s="712"/>
      <c r="AR191" s="712"/>
      <c r="AS191" s="712"/>
      <c r="AT191" s="712"/>
      <c r="AU191" s="712"/>
      <c r="AV191" s="712"/>
      <c r="AW191" s="712"/>
      <c r="AX191" s="712"/>
      <c r="AY191" s="712"/>
      <c r="AZ191" s="712"/>
      <c r="BA191" s="712"/>
      <c r="BB191" s="712"/>
      <c r="BC191" s="712"/>
      <c r="BD191" s="712"/>
      <c r="BE191" s="712"/>
    </row>
    <row r="192" spans="1:57" s="712" customFormat="1" ht="24" customHeight="1">
      <c r="A192" s="2689"/>
      <c r="B192" s="2690"/>
      <c r="C192" s="2668" t="s">
        <v>1069</v>
      </c>
      <c r="D192" s="2635" t="s">
        <v>1071</v>
      </c>
      <c r="E192" s="770" t="s">
        <v>1072</v>
      </c>
      <c r="F192" s="713"/>
      <c r="G192" s="937">
        <f>+'2014처리구역인구 정리'!I175</f>
        <v>321</v>
      </c>
      <c r="H192" s="1010">
        <f>+'2014처리구역인구 정리'!J175</f>
        <v>339</v>
      </c>
      <c r="I192" s="925">
        <f>ROUND(('1.4.조성법총괄(내부이동률 적용)'!E$36*$AB192)+(AL$59*$AC192),0)</f>
        <v>319</v>
      </c>
      <c r="J192" s="925">
        <f>ROUND(('1.4.조성법총괄(내부이동률 적용)'!F$36*$AB192)+(AM$59*$AC192),0)</f>
        <v>318</v>
      </c>
      <c r="K192" s="925">
        <f>ROUND(('1.4.조성법총괄(내부이동률 적용)'!G$36*$AB192)+(AN$59*$AC192),0)</f>
        <v>319</v>
      </c>
      <c r="L192" s="907">
        <f>ROUND(('1.4.조성법총괄(내부이동률 적용)'!H$36*$AB192)+(AO$59*$AC192),0)</f>
        <v>321</v>
      </c>
      <c r="M192" s="925">
        <f>ROUND(('1.4.조성법총괄(내부이동률 적용)'!I$36*$AB192)+(AP$59*$AC192),0)</f>
        <v>326</v>
      </c>
      <c r="N192" s="925">
        <f>ROUND(('1.4.조성법총괄(내부이동률 적용)'!J$36*$AB192)+(AQ$59*$AC192),0)</f>
        <v>328</v>
      </c>
      <c r="O192" s="925">
        <f>ROUND(('1.4.조성법총괄(내부이동률 적용)'!K$36*$AB192)+(AR$59*$AC192),0)</f>
        <v>330</v>
      </c>
      <c r="P192" s="925">
        <f>ROUND(('1.4.조성법총괄(내부이동률 적용)'!L$36*$AB192)+(AS$59*$AC192),0)</f>
        <v>331</v>
      </c>
      <c r="Q192" s="907">
        <f>ROUND(('1.4.조성법총괄(내부이동률 적용)'!M$36*$AB192)+(AT$59*$AC192),0)</f>
        <v>333</v>
      </c>
      <c r="R192" s="925">
        <f>ROUND(('1.4.조성법총괄(내부이동률 적용)'!N$36*$AB192)+(AU$59*$AC192),0)</f>
        <v>333</v>
      </c>
      <c r="S192" s="925">
        <f>ROUND(('1.4.조성법총괄(내부이동률 적용)'!O$36*$AB192)+(AV$59*$AC192),0)</f>
        <v>334</v>
      </c>
      <c r="T192" s="925">
        <f>ROUND(('1.4.조성법총괄(내부이동률 적용)'!P$36*$AB192)+(AW$59*$AC192),0)</f>
        <v>335</v>
      </c>
      <c r="U192" s="925">
        <f>ROUND(('1.4.조성법총괄(내부이동률 적용)'!Q$36*$AB192)+(AX$59*$AC192),0)</f>
        <v>335</v>
      </c>
      <c r="V192" s="715">
        <f>ROUND(('1.4.조성법총괄(내부이동률 적용)'!R$36*$AB192)+(AY$59*$AC192),0)</f>
        <v>336</v>
      </c>
      <c r="W192" s="714">
        <f>ROUND(('1.4.조성법총괄(내부이동률 적용)'!S$36*$AB192)+(AZ$59*$AC192),0)</f>
        <v>335</v>
      </c>
      <c r="X192" s="714">
        <f>ROUND(('1.4.조성법총괄(내부이동률 적용)'!T$36*$AB192)+(BA$59*$AC192),0)</f>
        <v>335</v>
      </c>
      <c r="Y192" s="714">
        <f>ROUND(('1.4.조성법총괄(내부이동률 적용)'!U$36*$AB192)+(BB$59*$AC192),0)</f>
        <v>334</v>
      </c>
      <c r="Z192" s="714">
        <f>ROUND(('1.4.조성법총괄(내부이동률 적용)'!V$36*$AB192)+(BC$59*$AC192),0)</f>
        <v>334</v>
      </c>
      <c r="AA192" s="715">
        <f>ROUND(('1.4.조성법총괄(내부이동률 적용)'!W$36*$AB192)+(BD$59*$AC192),0)</f>
        <v>326</v>
      </c>
      <c r="AB192" s="936">
        <f>+H192/'1.4.조성법총괄(내부이동률 적용)'!$D$36</f>
        <v>2.7664436102497143E-2</v>
      </c>
      <c r="AC192" s="934">
        <f>+H192/'1.4.조성법총괄(내부이동률 적용)'!$D$36</f>
        <v>2.7664436102497143E-2</v>
      </c>
      <c r="AD192" s="713"/>
      <c r="AE192" s="1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</row>
    <row r="193" spans="1:57" s="599" customFormat="1" ht="24" customHeight="1">
      <c r="A193" s="2689"/>
      <c r="B193" s="2690"/>
      <c r="C193" s="2669"/>
      <c r="D193" s="2635"/>
      <c r="E193" s="770" t="s">
        <v>1278</v>
      </c>
      <c r="F193" s="713"/>
      <c r="G193" s="937">
        <f>+'2014처리구역인구 정리'!I176</f>
        <v>97</v>
      </c>
      <c r="H193" s="1010">
        <f>+'2014처리구역인구 정리'!J176</f>
        <v>102</v>
      </c>
      <c r="I193" s="925">
        <f>ROUND(('1.4.조성법총괄(내부이동률 적용)'!E$36*$AB193)+(AL$59*$AC193),0)</f>
        <v>96</v>
      </c>
      <c r="J193" s="925">
        <f>ROUND(('1.4.조성법총괄(내부이동률 적용)'!F$36*$AB193)+(AM$59*$AC193),0)</f>
        <v>96</v>
      </c>
      <c r="K193" s="925">
        <f>ROUND(('1.4.조성법총괄(내부이동률 적용)'!G$36*$AB193)+(AN$59*$AC193),0)</f>
        <v>96</v>
      </c>
      <c r="L193" s="907">
        <f>ROUND(('1.4.조성법총괄(내부이동률 적용)'!H$36*$AB193)+(AO$59*$AC193),0)</f>
        <v>97</v>
      </c>
      <c r="M193" s="925">
        <f>ROUND(('1.4.조성법총괄(내부이동률 적용)'!I$36*$AB193)+(AP$59*$AC193),0)</f>
        <v>98</v>
      </c>
      <c r="N193" s="925">
        <f>ROUND(('1.4.조성법총괄(내부이동률 적용)'!J$36*$AB193)+(AQ$59*$AC193),0)</f>
        <v>99</v>
      </c>
      <c r="O193" s="925">
        <f>ROUND(('1.4.조성법총괄(내부이동률 적용)'!K$36*$AB193)+(AR$59*$AC193),0)</f>
        <v>99</v>
      </c>
      <c r="P193" s="925">
        <f>ROUND(('1.4.조성법총괄(내부이동률 적용)'!L$36*$AB193)+(AS$59*$AC193),0)</f>
        <v>100</v>
      </c>
      <c r="Q193" s="907">
        <f>ROUND(('1.4.조성법총괄(내부이동률 적용)'!M$36*$AB193)+(AT$59*$AC193),0)</f>
        <v>100</v>
      </c>
      <c r="R193" s="925">
        <f>ROUND(('1.4.조성법총괄(내부이동률 적용)'!N$36*$AB193)+(AU$59*$AC193),0)</f>
        <v>100</v>
      </c>
      <c r="S193" s="925">
        <f>ROUND(('1.4.조성법총괄(내부이동률 적용)'!O$36*$AB193)+(AV$59*$AC193),0)</f>
        <v>101</v>
      </c>
      <c r="T193" s="925">
        <f>ROUND(('1.4.조성법총괄(내부이동률 적용)'!P$36*$AB193)+(AW$59*$AC193),0)</f>
        <v>101</v>
      </c>
      <c r="U193" s="925">
        <f>ROUND(('1.4.조성법총괄(내부이동률 적용)'!Q$36*$AB193)+(AX$59*$AC193),0)</f>
        <v>101</v>
      </c>
      <c r="V193" s="715">
        <f>ROUND(('1.4.조성법총괄(내부이동률 적용)'!R$36*$AB193)+(AY$59*$AC193),0)</f>
        <v>101</v>
      </c>
      <c r="W193" s="714">
        <f>ROUND(('1.4.조성법총괄(내부이동률 적용)'!S$36*$AB193)+(AZ$59*$AC193),0)</f>
        <v>101</v>
      </c>
      <c r="X193" s="714">
        <f>ROUND(('1.4.조성법총괄(내부이동률 적용)'!T$36*$AB193)+(BA$59*$AC193),0)</f>
        <v>101</v>
      </c>
      <c r="Y193" s="714">
        <f>ROUND(('1.4.조성법총괄(내부이동률 적용)'!U$36*$AB193)+(BB$59*$AC193),0)</f>
        <v>101</v>
      </c>
      <c r="Z193" s="714">
        <f>ROUND(('1.4.조성법총괄(내부이동률 적용)'!V$36*$AB193)+(BC$59*$AC193),0)</f>
        <v>101</v>
      </c>
      <c r="AA193" s="715">
        <f>ROUND(('1.4.조성법총괄(내부이동률 적용)'!W$36*$AB193)+(BD$59*$AC193),0)</f>
        <v>98</v>
      </c>
      <c r="AB193" s="936">
        <f>+H193/'1.4.조성법총괄(내부이동률 적용)'!$D$36</f>
        <v>8.3238126326097596E-3</v>
      </c>
      <c r="AC193" s="934">
        <f>+H193/'1.4.조성법총괄(내부이동률 적용)'!$D$36</f>
        <v>8.3238126326097596E-3</v>
      </c>
      <c r="AD193" s="713"/>
      <c r="AE193" s="1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</row>
    <row r="194" spans="1:57" customFormat="1" ht="24" customHeight="1">
      <c r="A194" s="2689"/>
      <c r="B194" s="2690"/>
      <c r="C194" s="2669"/>
      <c r="D194" s="2635"/>
      <c r="E194" s="1040" t="s">
        <v>1279</v>
      </c>
      <c r="F194" s="713"/>
      <c r="G194" s="937">
        <f>+'2014처리구역인구 정리'!I177</f>
        <v>336</v>
      </c>
      <c r="H194" s="1010">
        <f>+'2014처리구역인구 정리'!J177</f>
        <v>337</v>
      </c>
      <c r="I194" s="925">
        <f>ROUND(('1.4.조성법총괄(내부이동률 적용)'!E$36*$AB194)+(AL$59*$AC194),0)</f>
        <v>317</v>
      </c>
      <c r="J194" s="925">
        <f>ROUND(('1.4.조성법총괄(내부이동률 적용)'!F$36*$AB194)+(AM$59*$AC194),0)</f>
        <v>316</v>
      </c>
      <c r="K194" s="925">
        <f>ROUND(('1.4.조성법총괄(내부이동률 적용)'!G$36*$AB194)+(AN$59*$AC194),0)</f>
        <v>317</v>
      </c>
      <c r="L194" s="907">
        <f>ROUND(('1.4.조성법총괄(내부이동률 적용)'!H$36*$AB194)+(AO$59*$AC194),0)</f>
        <v>319</v>
      </c>
      <c r="M194" s="925">
        <f>ROUND(('1.4.조성법총괄(내부이동률 적용)'!I$36*$AB194)+(AP$59*$AC194),0)</f>
        <v>324</v>
      </c>
      <c r="N194" s="925">
        <f>ROUND(('1.4.조성법총괄(내부이동률 적용)'!J$36*$AB194)+(AQ$59*$AC194),0)</f>
        <v>326</v>
      </c>
      <c r="O194" s="925">
        <f>ROUND(('1.4.조성법총괄(내부이동률 적용)'!K$36*$AB194)+(AR$59*$AC194),0)</f>
        <v>328</v>
      </c>
      <c r="P194" s="925">
        <f>ROUND(('1.4.조성법총괄(내부이동률 적용)'!L$36*$AB194)+(AS$59*$AC194),0)</f>
        <v>329</v>
      </c>
      <c r="Q194" s="907">
        <f>ROUND(('1.4.조성법총괄(내부이동률 적용)'!M$36*$AB194)+(AT$59*$AC194),0)</f>
        <v>331</v>
      </c>
      <c r="R194" s="925">
        <f>ROUND(('1.4.조성법총괄(내부이동률 적용)'!N$36*$AB194)+(AU$59*$AC194),0)</f>
        <v>332</v>
      </c>
      <c r="S194" s="925">
        <f>ROUND(('1.4.조성법총괄(내부이동률 적용)'!O$36*$AB194)+(AV$59*$AC194),0)</f>
        <v>332</v>
      </c>
      <c r="T194" s="925">
        <f>ROUND(('1.4.조성법총괄(내부이동률 적용)'!P$36*$AB194)+(AW$59*$AC194),0)</f>
        <v>333</v>
      </c>
      <c r="U194" s="925">
        <f>ROUND(('1.4.조성법총괄(내부이동률 적용)'!Q$36*$AB194)+(AX$59*$AC194),0)</f>
        <v>333</v>
      </c>
      <c r="V194" s="715">
        <f>ROUND(('1.4.조성법총괄(내부이동률 적용)'!R$36*$AB194)+(AY$59*$AC194),0)</f>
        <v>334</v>
      </c>
      <c r="W194" s="714">
        <f>ROUND(('1.4.조성법총괄(내부이동률 적용)'!S$36*$AB194)+(AZ$59*$AC194),0)</f>
        <v>333</v>
      </c>
      <c r="X194" s="714">
        <f>ROUND(('1.4.조성법총괄(내부이동률 적용)'!T$36*$AB194)+(BA$59*$AC194),0)</f>
        <v>333</v>
      </c>
      <c r="Y194" s="714">
        <f>ROUND(('1.4.조성법총괄(내부이동률 적용)'!U$36*$AB194)+(BB$59*$AC194),0)</f>
        <v>333</v>
      </c>
      <c r="Z194" s="714">
        <f>ROUND(('1.4.조성법총괄(내부이동률 적용)'!V$36*$AB194)+(BC$59*$AC194),0)</f>
        <v>332</v>
      </c>
      <c r="AA194" s="715">
        <f>ROUND(('1.4.조성법총괄(내부이동률 적용)'!W$36*$AB194)+(BD$59*$AC194),0)</f>
        <v>324</v>
      </c>
      <c r="AB194" s="936">
        <f>+H194/'1.4.조성법총괄(내부이동률 적용)'!$D$36</f>
        <v>2.7501224090093031E-2</v>
      </c>
      <c r="AC194" s="934">
        <f>+H194/'1.4.조성법총괄(내부이동률 적용)'!$D$36</f>
        <v>2.7501224090093031E-2</v>
      </c>
      <c r="AD194" s="713"/>
      <c r="AE194" s="711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</row>
    <row r="195" spans="1:57" customFormat="1" ht="24" customHeight="1">
      <c r="A195" s="2689"/>
      <c r="B195" s="2690"/>
      <c r="C195" s="2669"/>
      <c r="D195" s="2635"/>
      <c r="E195" s="770" t="s">
        <v>1280</v>
      </c>
      <c r="F195" s="713"/>
      <c r="G195" s="937">
        <f>+'2014처리구역인구 정리'!I178</f>
        <v>483</v>
      </c>
      <c r="H195" s="1010">
        <f>+'2014처리구역인구 정리'!J178</f>
        <v>515</v>
      </c>
      <c r="I195" s="925">
        <f>ROUND(('1.4.조성법총괄(내부이동률 적용)'!E$36*$AB195)+(AL$59*$AC195),0)</f>
        <v>485</v>
      </c>
      <c r="J195" s="925">
        <f>ROUND(('1.4.조성법총괄(내부이동률 적용)'!F$36*$AB195)+(AM$59*$AC195),0)</f>
        <v>483</v>
      </c>
      <c r="K195" s="925">
        <f>ROUND(('1.4.조성법총괄(내부이동률 적용)'!G$36*$AB195)+(AN$59*$AC195),0)</f>
        <v>485</v>
      </c>
      <c r="L195" s="907">
        <f>ROUND(('1.4.조성법총괄(내부이동률 적용)'!H$36*$AB195)+(AO$59*$AC195),0)</f>
        <v>488</v>
      </c>
      <c r="M195" s="925">
        <f>ROUND(('1.4.조성법총괄(내부이동률 적용)'!I$36*$AB195)+(AP$59*$AC195),0)</f>
        <v>496</v>
      </c>
      <c r="N195" s="925">
        <f>ROUND(('1.4.조성법총괄(내부이동률 적용)'!J$36*$AB195)+(AQ$59*$AC195),0)</f>
        <v>498</v>
      </c>
      <c r="O195" s="925">
        <f>ROUND(('1.4.조성법총괄(내부이동률 적용)'!K$36*$AB195)+(AR$59*$AC195),0)</f>
        <v>501</v>
      </c>
      <c r="P195" s="925">
        <f>ROUND(('1.4.조성법총괄(내부이동률 적용)'!L$36*$AB195)+(AS$59*$AC195),0)</f>
        <v>503</v>
      </c>
      <c r="Q195" s="907">
        <f>ROUND(('1.4.조성법총괄(내부이동률 적용)'!M$36*$AB195)+(AT$59*$AC195),0)</f>
        <v>506</v>
      </c>
      <c r="R195" s="925">
        <f>ROUND(('1.4.조성법총괄(내부이동률 적용)'!N$36*$AB195)+(AU$59*$AC195),0)</f>
        <v>507</v>
      </c>
      <c r="S195" s="925">
        <f>ROUND(('1.4.조성법총괄(내부이동률 적용)'!O$36*$AB195)+(AV$59*$AC195),0)</f>
        <v>507</v>
      </c>
      <c r="T195" s="925">
        <f>ROUND(('1.4.조성법총괄(내부이동률 적용)'!P$36*$AB195)+(AW$59*$AC195),0)</f>
        <v>508</v>
      </c>
      <c r="U195" s="925">
        <f>ROUND(('1.4.조성법총괄(내부이동률 적용)'!Q$36*$AB195)+(AX$59*$AC195),0)</f>
        <v>509</v>
      </c>
      <c r="V195" s="715">
        <f>ROUND(('1.4.조성법총괄(내부이동률 적용)'!R$36*$AB195)+(AY$59*$AC195),0)</f>
        <v>510</v>
      </c>
      <c r="W195" s="714">
        <f>ROUND(('1.4.조성법총괄(내부이동률 적용)'!S$36*$AB195)+(AZ$59*$AC195),0)</f>
        <v>509</v>
      </c>
      <c r="X195" s="714">
        <f>ROUND(('1.4.조성법총괄(내부이동률 적용)'!T$36*$AB195)+(BA$59*$AC195),0)</f>
        <v>509</v>
      </c>
      <c r="Y195" s="714">
        <f>ROUND(('1.4.조성법총괄(내부이동률 적용)'!U$36*$AB195)+(BB$59*$AC195),0)</f>
        <v>508</v>
      </c>
      <c r="Z195" s="714">
        <f>ROUND(('1.4.조성법총괄(내부이동률 적용)'!V$36*$AB195)+(BC$59*$AC195),0)</f>
        <v>508</v>
      </c>
      <c r="AA195" s="715">
        <f>ROUND(('1.4.조성법총괄(내부이동률 적용)'!W$36*$AB195)+(BD$59*$AC195),0)</f>
        <v>495</v>
      </c>
      <c r="AB195" s="936">
        <f>+H195/'1.4.조성법총괄(내부이동률 적용)'!$D$36</f>
        <v>4.2027093194059083E-2</v>
      </c>
      <c r="AC195" s="934">
        <f>+H195/'1.4.조성법총괄(내부이동률 적용)'!$D$36</f>
        <v>4.2027093194059083E-2</v>
      </c>
      <c r="AD195" s="713"/>
      <c r="AE195" s="1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</row>
    <row r="196" spans="1:57" customFormat="1" ht="24" customHeight="1">
      <c r="A196" s="2691"/>
      <c r="B196" s="2692"/>
      <c r="C196" s="2670"/>
      <c r="D196" s="1246"/>
      <c r="E196" s="1247" t="s">
        <v>149</v>
      </c>
      <c r="F196" s="713"/>
      <c r="G196" s="935">
        <f t="shared" ref="G196:AA196" si="131">AJ51</f>
        <v>0</v>
      </c>
      <c r="H196" s="935">
        <f t="shared" si="131"/>
        <v>0</v>
      </c>
      <c r="I196" s="925">
        <f t="shared" si="131"/>
        <v>0</v>
      </c>
      <c r="J196" s="925">
        <f t="shared" si="131"/>
        <v>0</v>
      </c>
      <c r="K196" s="925">
        <f t="shared" si="131"/>
        <v>0</v>
      </c>
      <c r="L196" s="907">
        <f t="shared" si="131"/>
        <v>0</v>
      </c>
      <c r="M196" s="925">
        <f t="shared" si="131"/>
        <v>0</v>
      </c>
      <c r="N196" s="925">
        <f t="shared" si="131"/>
        <v>0</v>
      </c>
      <c r="O196" s="925">
        <f t="shared" si="131"/>
        <v>0</v>
      </c>
      <c r="P196" s="925">
        <f t="shared" si="131"/>
        <v>0</v>
      </c>
      <c r="Q196" s="907">
        <f t="shared" si="131"/>
        <v>0</v>
      </c>
      <c r="R196" s="925">
        <f t="shared" si="131"/>
        <v>0</v>
      </c>
      <c r="S196" s="925">
        <f t="shared" si="131"/>
        <v>0</v>
      </c>
      <c r="T196" s="925">
        <f t="shared" si="131"/>
        <v>0</v>
      </c>
      <c r="U196" s="925">
        <f t="shared" si="131"/>
        <v>0</v>
      </c>
      <c r="V196" s="715">
        <f t="shared" si="131"/>
        <v>0</v>
      </c>
      <c r="W196" s="714">
        <f t="shared" si="131"/>
        <v>0</v>
      </c>
      <c r="X196" s="714">
        <f t="shared" si="131"/>
        <v>0</v>
      </c>
      <c r="Y196" s="714">
        <f t="shared" si="131"/>
        <v>0</v>
      </c>
      <c r="Z196" s="714">
        <f t="shared" si="131"/>
        <v>0</v>
      </c>
      <c r="AA196" s="715">
        <f t="shared" si="131"/>
        <v>2331</v>
      </c>
      <c r="AB196" s="936"/>
      <c r="AC196" s="934"/>
      <c r="AD196" s="1080" t="str">
        <f>AH51</f>
        <v>맹동 택지개발</v>
      </c>
      <c r="AE196" s="711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</row>
    <row r="197" spans="1:57" customFormat="1" ht="24" customHeight="1">
      <c r="A197" s="1936"/>
      <c r="B197" s="1936"/>
      <c r="C197" s="1933"/>
      <c r="D197" s="1933"/>
      <c r="E197" s="176"/>
      <c r="F197" s="711"/>
      <c r="G197" s="1937"/>
      <c r="H197" s="1937"/>
      <c r="I197" s="1938"/>
      <c r="J197" s="1938"/>
      <c r="K197" s="1938"/>
      <c r="L197" s="1939"/>
      <c r="M197" s="1938"/>
      <c r="N197" s="1938"/>
      <c r="O197" s="1938"/>
      <c r="P197" s="1938"/>
      <c r="Q197" s="1939"/>
      <c r="R197" s="1938"/>
      <c r="S197" s="1938"/>
      <c r="T197" s="1938"/>
      <c r="U197" s="1938"/>
      <c r="V197" s="1940"/>
      <c r="W197" s="3"/>
      <c r="X197" s="3"/>
      <c r="Y197" s="3"/>
      <c r="Z197" s="3"/>
      <c r="AA197" s="1940"/>
      <c r="AB197" s="1941"/>
      <c r="AC197" s="1942"/>
      <c r="AD197" s="1081"/>
      <c r="AE197" s="711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</row>
    <row r="198" spans="1:57" s="599" customFormat="1" ht="24" customHeight="1">
      <c r="A198" s="1239" t="s">
        <v>2258</v>
      </c>
      <c r="B198" s="1239"/>
      <c r="C198" s="1239"/>
      <c r="D198" s="1239"/>
      <c r="E198" s="1239"/>
      <c r="F198" s="71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</row>
    <row r="199" spans="1:57" s="599" customFormat="1" ht="24" customHeight="1">
      <c r="A199" s="98" t="s">
        <v>0</v>
      </c>
      <c r="B199" s="98" t="s">
        <v>1</v>
      </c>
      <c r="C199" s="99" t="s">
        <v>2</v>
      </c>
      <c r="D199" s="99" t="s">
        <v>3</v>
      </c>
      <c r="E199" s="99" t="s">
        <v>4</v>
      </c>
      <c r="F199" s="99">
        <v>2013</v>
      </c>
      <c r="G199" s="737">
        <v>2015</v>
      </c>
      <c r="H199" s="99">
        <v>2016</v>
      </c>
      <c r="I199" s="99">
        <v>2017</v>
      </c>
      <c r="J199" s="99">
        <v>2018</v>
      </c>
      <c r="K199" s="99">
        <v>2019</v>
      </c>
      <c r="L199" s="99">
        <v>2020</v>
      </c>
      <c r="M199" s="99">
        <v>2021</v>
      </c>
      <c r="N199" s="99">
        <v>2022</v>
      </c>
      <c r="O199" s="99">
        <v>2023</v>
      </c>
      <c r="P199" s="99">
        <v>2024</v>
      </c>
      <c r="Q199" s="99">
        <v>2025</v>
      </c>
      <c r="R199" s="99">
        <v>2026</v>
      </c>
      <c r="S199" s="99">
        <v>2027</v>
      </c>
      <c r="T199" s="99">
        <v>2028</v>
      </c>
      <c r="U199" s="99">
        <v>2029</v>
      </c>
      <c r="V199" s="99">
        <v>2030</v>
      </c>
      <c r="W199" s="99">
        <v>2031</v>
      </c>
      <c r="X199" s="99">
        <v>2032</v>
      </c>
      <c r="Y199" s="99">
        <v>2033</v>
      </c>
      <c r="Z199" s="99">
        <v>2034</v>
      </c>
      <c r="AA199" s="99">
        <v>2035</v>
      </c>
      <c r="AB199" s="98" t="s">
        <v>140</v>
      </c>
      <c r="AC199" s="98" t="s">
        <v>141</v>
      </c>
      <c r="AD199" s="99" t="s">
        <v>139</v>
      </c>
      <c r="AE199" s="100"/>
      <c r="AF199" s="712"/>
      <c r="AG199" s="712"/>
      <c r="AH199" s="712"/>
      <c r="AI199" s="712"/>
      <c r="AJ199" s="712"/>
      <c r="AK199" s="712"/>
      <c r="AL199" s="712"/>
      <c r="AM199" s="712"/>
      <c r="AN199" s="712"/>
      <c r="AO199" s="712"/>
      <c r="AP199" s="712"/>
      <c r="AQ199" s="712"/>
      <c r="AR199" s="712"/>
      <c r="AS199" s="712"/>
      <c r="AT199" s="712"/>
      <c r="AU199" s="712"/>
      <c r="AV199" s="712"/>
      <c r="AW199" s="712"/>
      <c r="AX199" s="712"/>
      <c r="AY199" s="712"/>
      <c r="AZ199" s="712"/>
      <c r="BA199" s="712"/>
      <c r="BB199" s="712"/>
      <c r="BC199" s="712"/>
      <c r="BD199" s="712"/>
      <c r="BE199" s="712"/>
    </row>
    <row r="200" spans="1:57" ht="24" customHeight="1">
      <c r="A200" s="1240" t="s">
        <v>151</v>
      </c>
      <c r="B200" s="1241"/>
      <c r="C200" s="1241"/>
      <c r="D200" s="1241"/>
      <c r="E200" s="1242"/>
      <c r="G200" s="101"/>
      <c r="H200" s="74">
        <f>'2014처리구역인구 정리'!J155</f>
        <v>7477</v>
      </c>
      <c r="I200" s="74">
        <f>+'1.4.조성법총괄(내부이동률 적용)'!E73</f>
        <v>8665</v>
      </c>
      <c r="J200" s="74">
        <f>+'1.4.조성법총괄(내부이동률 적용)'!F73</f>
        <v>9853</v>
      </c>
      <c r="K200" s="74">
        <f>+'1.4.조성법총괄(내부이동률 적용)'!G73</f>
        <v>11041</v>
      </c>
      <c r="L200" s="101">
        <f>+'1.4.조성법총괄(내부이동률 적용)'!H73</f>
        <v>12230</v>
      </c>
      <c r="M200" s="74">
        <f>+'1.4.조성법총괄(내부이동률 적용)'!I73</f>
        <v>12230</v>
      </c>
      <c r="N200" s="74">
        <f>+'1.4.조성법총괄(내부이동률 적용)'!J73</f>
        <v>12230</v>
      </c>
      <c r="O200" s="74">
        <f>+'1.4.조성법총괄(내부이동률 적용)'!K73</f>
        <v>12230</v>
      </c>
      <c r="P200" s="74">
        <f>+'1.4.조성법총괄(내부이동률 적용)'!L73</f>
        <v>12230</v>
      </c>
      <c r="Q200" s="101">
        <f>+'1.4.조성법총괄(내부이동률 적용)'!M73</f>
        <v>12230</v>
      </c>
      <c r="R200" s="74">
        <f>+'1.4.조성법총괄(내부이동률 적용)'!N73</f>
        <v>12230</v>
      </c>
      <c r="S200" s="74">
        <f>+'1.4.조성법총괄(내부이동률 적용)'!O73</f>
        <v>12230</v>
      </c>
      <c r="T200" s="74">
        <f>+'1.4.조성법총괄(내부이동률 적용)'!P73</f>
        <v>12230</v>
      </c>
      <c r="U200" s="74">
        <f>+'1.4.조성법총괄(내부이동률 적용)'!Q73</f>
        <v>12230</v>
      </c>
      <c r="V200" s="101">
        <f>+'1.4.조성법총괄(내부이동률 적용)'!R73</f>
        <v>12230</v>
      </c>
      <c r="W200" s="74">
        <f>+'1.4.조성법총괄(내부이동률 적용)'!S73</f>
        <v>12230</v>
      </c>
      <c r="X200" s="74">
        <f>+'1.4.조성법총괄(내부이동률 적용)'!T73</f>
        <v>12230</v>
      </c>
      <c r="Y200" s="74">
        <f>+'1.4.조성법총괄(내부이동률 적용)'!U73</f>
        <v>12230</v>
      </c>
      <c r="Z200" s="74">
        <f>+'1.4.조성법총괄(내부이동률 적용)'!V73</f>
        <v>12230</v>
      </c>
      <c r="AA200" s="101">
        <f>+'1.4.조성법총괄(내부이동률 적용)'!W73</f>
        <v>12230</v>
      </c>
      <c r="AB200" s="31"/>
      <c r="AC200" s="31"/>
      <c r="AD200" s="31"/>
      <c r="AE200" s="1"/>
      <c r="AF200" s="712"/>
      <c r="AG200" s="712"/>
      <c r="AH200" s="712"/>
      <c r="AI200" s="712"/>
      <c r="AJ200" s="712"/>
      <c r="AK200" s="712"/>
      <c r="AL200" s="712"/>
      <c r="AM200" s="712"/>
      <c r="AN200" s="712"/>
      <c r="AO200" s="712"/>
      <c r="AP200" s="712"/>
      <c r="AQ200" s="712"/>
      <c r="AR200" s="712"/>
      <c r="AS200" s="712"/>
      <c r="AT200" s="712"/>
      <c r="AU200" s="712"/>
      <c r="AV200" s="712"/>
      <c r="AW200" s="712"/>
      <c r="AX200" s="712"/>
      <c r="AY200" s="712"/>
      <c r="AZ200" s="712"/>
      <c r="BA200" s="712"/>
      <c r="BB200" s="712"/>
      <c r="BC200" s="712"/>
      <c r="BD200" s="712"/>
      <c r="BE200" s="712"/>
    </row>
    <row r="201" spans="1:57" ht="24" customHeight="1">
      <c r="A201" s="65"/>
      <c r="B201" s="65"/>
      <c r="C201" s="66"/>
      <c r="D201" s="67"/>
      <c r="E201" s="67"/>
      <c r="F201" s="71"/>
      <c r="H201" s="2">
        <v>4882</v>
      </c>
      <c r="M201" s="9"/>
      <c r="N201" s="9"/>
      <c r="O201" s="9"/>
      <c r="P201" s="9"/>
      <c r="R201" s="9"/>
      <c r="S201" s="9"/>
      <c r="T201" s="9"/>
      <c r="U201" s="9"/>
      <c r="W201" s="9"/>
      <c r="X201" s="9"/>
      <c r="Y201" s="9"/>
      <c r="Z201" s="9"/>
      <c r="AF201" s="712"/>
      <c r="AG201" s="712"/>
      <c r="AH201" s="712"/>
      <c r="AI201" s="712"/>
      <c r="AJ201" s="712"/>
      <c r="AK201" s="712"/>
      <c r="AL201" s="712"/>
      <c r="AM201" s="712"/>
      <c r="AN201" s="712"/>
      <c r="AO201" s="712"/>
      <c r="AP201" s="712"/>
      <c r="AQ201" s="712"/>
      <c r="AR201" s="712"/>
      <c r="AS201" s="712"/>
      <c r="AT201" s="712"/>
      <c r="AU201" s="712"/>
      <c r="AV201" s="712"/>
      <c r="AW201" s="712"/>
      <c r="AX201" s="712"/>
      <c r="AY201" s="712"/>
      <c r="AZ201" s="712"/>
      <c r="BA201" s="712"/>
      <c r="BB201" s="712"/>
      <c r="BC201" s="712"/>
      <c r="BD201" s="712"/>
      <c r="BE201" s="712"/>
    </row>
    <row r="202" spans="1:57" ht="24" customHeight="1">
      <c r="A202" s="1239" t="s">
        <v>2260</v>
      </c>
      <c r="B202" s="1239"/>
      <c r="C202" s="1239"/>
      <c r="D202" s="1239"/>
      <c r="E202" s="1239"/>
      <c r="AF202" s="712"/>
      <c r="AG202" s="712"/>
      <c r="AH202" s="712"/>
      <c r="AI202" s="712"/>
      <c r="AJ202" s="712"/>
      <c r="AK202" s="712"/>
      <c r="AL202" s="712"/>
      <c r="AM202" s="712"/>
      <c r="AN202" s="712"/>
      <c r="AO202" s="712"/>
      <c r="AP202" s="712"/>
      <c r="AQ202" s="712"/>
      <c r="AR202" s="712"/>
      <c r="AS202" s="712"/>
      <c r="AT202" s="712"/>
      <c r="AU202" s="712"/>
      <c r="AV202" s="712"/>
      <c r="AW202" s="712"/>
      <c r="AX202" s="712"/>
      <c r="AY202" s="712"/>
      <c r="AZ202" s="712"/>
      <c r="BA202" s="712"/>
      <c r="BB202" s="712"/>
      <c r="BC202" s="712"/>
      <c r="BD202" s="712"/>
      <c r="BE202" s="712"/>
    </row>
    <row r="203" spans="1:57" s="712" customFormat="1" ht="39.950000000000003" customHeight="1">
      <c r="A203" s="736" t="s">
        <v>0</v>
      </c>
      <c r="B203" s="736" t="s">
        <v>1</v>
      </c>
      <c r="C203" s="737" t="s">
        <v>2</v>
      </c>
      <c r="D203" s="737" t="s">
        <v>3</v>
      </c>
      <c r="E203" s="737" t="s">
        <v>4</v>
      </c>
      <c r="F203" s="737">
        <v>2013</v>
      </c>
      <c r="G203" s="737">
        <v>2015</v>
      </c>
      <c r="H203" s="737">
        <v>2016</v>
      </c>
      <c r="I203" s="737">
        <v>2017</v>
      </c>
      <c r="J203" s="737">
        <v>2018</v>
      </c>
      <c r="K203" s="737">
        <v>2019</v>
      </c>
      <c r="L203" s="737">
        <v>2020</v>
      </c>
      <c r="M203" s="737">
        <v>2021</v>
      </c>
      <c r="N203" s="737">
        <v>2022</v>
      </c>
      <c r="O203" s="737">
        <v>2023</v>
      </c>
      <c r="P203" s="737">
        <v>2024</v>
      </c>
      <c r="Q203" s="737">
        <v>2025</v>
      </c>
      <c r="R203" s="737">
        <v>2026</v>
      </c>
      <c r="S203" s="737">
        <v>2027</v>
      </c>
      <c r="T203" s="737">
        <v>2028</v>
      </c>
      <c r="U203" s="737">
        <v>2029</v>
      </c>
      <c r="V203" s="737">
        <v>2030</v>
      </c>
      <c r="W203" s="737">
        <v>2031</v>
      </c>
      <c r="X203" s="737">
        <v>2032</v>
      </c>
      <c r="Y203" s="737">
        <v>2033</v>
      </c>
      <c r="Z203" s="737">
        <v>2034</v>
      </c>
      <c r="AA203" s="737">
        <v>2035</v>
      </c>
      <c r="AB203" s="736" t="s">
        <v>140</v>
      </c>
      <c r="AC203" s="736" t="s">
        <v>141</v>
      </c>
      <c r="AD203" s="737" t="s">
        <v>139</v>
      </c>
      <c r="AE203" s="100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</row>
    <row r="204" spans="1:57" s="712" customFormat="1" ht="24" customHeight="1">
      <c r="A204" s="2696" t="s">
        <v>1051</v>
      </c>
      <c r="B204" s="2697"/>
      <c r="C204" s="2635" t="s">
        <v>32</v>
      </c>
      <c r="D204" s="2635"/>
      <c r="E204" s="2635"/>
      <c r="F204" s="713"/>
      <c r="G204" s="907">
        <f>SUM(G205:G206)</f>
        <v>309</v>
      </c>
      <c r="H204" s="907">
        <f>SUM(H205:H206)</f>
        <v>321</v>
      </c>
      <c r="I204" s="907">
        <f t="shared" ref="I204:AA204" si="132">SUM(I205:I206)</f>
        <v>311</v>
      </c>
      <c r="J204" s="907">
        <f t="shared" si="132"/>
        <v>305</v>
      </c>
      <c r="K204" s="907">
        <f t="shared" si="132"/>
        <v>304</v>
      </c>
      <c r="L204" s="907">
        <f t="shared" si="132"/>
        <v>289</v>
      </c>
      <c r="M204" s="907">
        <f t="shared" si="132"/>
        <v>289</v>
      </c>
      <c r="N204" s="907">
        <f t="shared" si="132"/>
        <v>289</v>
      </c>
      <c r="O204" s="907">
        <f t="shared" si="132"/>
        <v>289</v>
      </c>
      <c r="P204" s="907">
        <f t="shared" si="132"/>
        <v>289</v>
      </c>
      <c r="Q204" s="907">
        <f t="shared" si="132"/>
        <v>289</v>
      </c>
      <c r="R204" s="907">
        <f t="shared" si="132"/>
        <v>287</v>
      </c>
      <c r="S204" s="907">
        <f t="shared" si="132"/>
        <v>287</v>
      </c>
      <c r="T204" s="907">
        <f t="shared" si="132"/>
        <v>286</v>
      </c>
      <c r="U204" s="907">
        <f t="shared" si="132"/>
        <v>286</v>
      </c>
      <c r="V204" s="907">
        <f t="shared" si="132"/>
        <v>286</v>
      </c>
      <c r="W204" s="907">
        <f t="shared" si="132"/>
        <v>285</v>
      </c>
      <c r="X204" s="907">
        <f t="shared" si="132"/>
        <v>284</v>
      </c>
      <c r="Y204" s="907">
        <f t="shared" si="132"/>
        <v>284</v>
      </c>
      <c r="Z204" s="907">
        <f t="shared" si="132"/>
        <v>282</v>
      </c>
      <c r="AA204" s="907">
        <f t="shared" si="132"/>
        <v>282</v>
      </c>
      <c r="AB204" s="713"/>
      <c r="AC204" s="936"/>
      <c r="AD204" s="713"/>
      <c r="AE204" s="1"/>
    </row>
    <row r="205" spans="1:57" ht="24" customHeight="1">
      <c r="A205" s="2698"/>
      <c r="B205" s="2699"/>
      <c r="C205" s="2635" t="s">
        <v>1052</v>
      </c>
      <c r="D205" s="2635" t="s">
        <v>1058</v>
      </c>
      <c r="E205" s="774" t="s">
        <v>1053</v>
      </c>
      <c r="F205" s="713"/>
      <c r="G205" s="937">
        <f>+'2014처리구역인구 정리'!I165</f>
        <v>246</v>
      </c>
      <c r="H205" s="1010">
        <f>+'2014처리구역인구 정리'!J165</f>
        <v>258</v>
      </c>
      <c r="I205" s="925">
        <f>ROUND(('1.4.조성법총괄(내부이동률 적용)'!E$8*$AB205)+(AL$21*$AC205),0)</f>
        <v>250</v>
      </c>
      <c r="J205" s="925">
        <f>ROUND(('1.4.조성법총괄(내부이동률 적용)'!F$8*$AB205)+(AM$21*$AC205),0)</f>
        <v>245</v>
      </c>
      <c r="K205" s="925">
        <f>ROUND(('1.4.조성법총괄(내부이동률 적용)'!G$8*$AB205)+(AN$21*$AC205),0)</f>
        <v>244</v>
      </c>
      <c r="L205" s="907">
        <f>ROUND(('1.4.조성법총괄(내부이동률 적용)'!H$8*$AB205)+(AO$21*$AC205),0)</f>
        <v>232</v>
      </c>
      <c r="M205" s="925">
        <f>ROUND(('1.4.조성법총괄(내부이동률 적용)'!I$8*$AB205)+(AP$21*$AC205),0)</f>
        <v>232</v>
      </c>
      <c r="N205" s="925">
        <f>ROUND(('1.4.조성법총괄(내부이동률 적용)'!J$8*$AB205)+(AQ$21*$AC205),0)</f>
        <v>232</v>
      </c>
      <c r="O205" s="925">
        <f>ROUND(('1.4.조성법총괄(내부이동률 적용)'!K$8*$AB205)+(AR$21*$AC205),0)</f>
        <v>232</v>
      </c>
      <c r="P205" s="925">
        <f>ROUND(('1.4.조성법총괄(내부이동률 적용)'!L$8*$AB205)+(AS$21*$AC205),0)</f>
        <v>232</v>
      </c>
      <c r="Q205" s="907">
        <f>ROUND(('1.4.조성법총괄(내부이동률 적용)'!M$8*$AB205)+(AT$21*$AC205),0)</f>
        <v>232</v>
      </c>
      <c r="R205" s="925">
        <f>ROUND(('1.4.조성법총괄(내부이동률 적용)'!N$8*$AB205)+(AU$21*$AC205),0)</f>
        <v>231</v>
      </c>
      <c r="S205" s="925">
        <f>ROUND(('1.4.조성법총괄(내부이동률 적용)'!O$8*$AB205)+(AV$21*$AC205),0)</f>
        <v>231</v>
      </c>
      <c r="T205" s="925">
        <f>ROUND(('1.4.조성법총괄(내부이동률 적용)'!P$8*$AB205)+(AW$21*$AC205),0)</f>
        <v>230</v>
      </c>
      <c r="U205" s="925">
        <f>ROUND(('1.4.조성법총괄(내부이동률 적용)'!Q$8*$AB205)+(AX$21*$AC205),0)</f>
        <v>230</v>
      </c>
      <c r="V205" s="715">
        <f>ROUND(('1.4.조성법총괄(내부이동률 적용)'!R$8*$AB205)+(AY$21*$AC205),0)</f>
        <v>230</v>
      </c>
      <c r="W205" s="714">
        <f>ROUND(('1.4.조성법총괄(내부이동률 적용)'!S$8*$AB205)+(AZ$21*$AC205),0)</f>
        <v>229</v>
      </c>
      <c r="X205" s="714">
        <f>ROUND(('1.4.조성법총괄(내부이동률 적용)'!T$8*$AB205)+(BA$21*$AC205),0)</f>
        <v>228</v>
      </c>
      <c r="Y205" s="714">
        <f>ROUND(('1.4.조성법총괄(내부이동률 적용)'!U$8*$AB205)+(BB$21*$AC205),0)</f>
        <v>228</v>
      </c>
      <c r="Z205" s="714">
        <f>ROUND(('1.4.조성법총괄(내부이동률 적용)'!V$8*$AB205)+(BC$21*$AC205),0)</f>
        <v>227</v>
      </c>
      <c r="AA205" s="715">
        <f>ROUND(('1.4.조성법총괄(내부이동률 적용)'!W$8*$AB205)+(BD$21*$AC205),0)</f>
        <v>227</v>
      </c>
      <c r="AB205" s="934">
        <f>+H205/'1.4.조성법총괄(내부이동률 적용)'!$D$8</f>
        <v>1.3538332371307131E-2</v>
      </c>
      <c r="AC205" s="936"/>
      <c r="AD205" s="713"/>
      <c r="AE205" s="1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</row>
    <row r="206" spans="1:57" ht="24" customHeight="1">
      <c r="A206" s="2701"/>
      <c r="B206" s="2702"/>
      <c r="C206" s="2635"/>
      <c r="D206" s="2635"/>
      <c r="E206" s="774" t="s">
        <v>1054</v>
      </c>
      <c r="F206" s="713"/>
      <c r="G206" s="937">
        <f>+'2014처리구역인구 정리'!I166</f>
        <v>63</v>
      </c>
      <c r="H206" s="1010">
        <f>+'2014처리구역인구 정리'!J166</f>
        <v>63</v>
      </c>
      <c r="I206" s="925">
        <f>ROUND(('1.4.조성법총괄(내부이동률 적용)'!E$8*$AB206)+(AL$21*$AC206),0)</f>
        <v>61</v>
      </c>
      <c r="J206" s="925">
        <f>ROUND(('1.4.조성법총괄(내부이동률 적용)'!F$8*$AB206)+(AM$21*$AC206),0)</f>
        <v>60</v>
      </c>
      <c r="K206" s="925">
        <f>ROUND(('1.4.조성법총괄(내부이동률 적용)'!G$8*$AB206)+(AN$21*$AC206),0)</f>
        <v>60</v>
      </c>
      <c r="L206" s="907">
        <f>ROUND(('1.4.조성법총괄(내부이동률 적용)'!H$8*$AB206)+(AO$21*$AC206),0)</f>
        <v>57</v>
      </c>
      <c r="M206" s="925">
        <f>ROUND(('1.4.조성법총괄(내부이동률 적용)'!I$8*$AB206)+(AP$21*$AC206),0)</f>
        <v>57</v>
      </c>
      <c r="N206" s="925">
        <f>ROUND(('1.4.조성법총괄(내부이동률 적용)'!J$8*$AB206)+(AQ$21*$AC206),0)</f>
        <v>57</v>
      </c>
      <c r="O206" s="925">
        <f>ROUND(('1.4.조성법총괄(내부이동률 적용)'!K$8*$AB206)+(AR$21*$AC206),0)</f>
        <v>57</v>
      </c>
      <c r="P206" s="925">
        <f>ROUND(('1.4.조성법총괄(내부이동률 적용)'!L$8*$AB206)+(AS$21*$AC206),0)</f>
        <v>57</v>
      </c>
      <c r="Q206" s="907">
        <f>ROUND(('1.4.조성법총괄(내부이동률 적용)'!M$8*$AB206)+(AT$21*$AC206),0)</f>
        <v>57</v>
      </c>
      <c r="R206" s="925">
        <f>ROUND(('1.4.조성법총괄(내부이동률 적용)'!N$8*$AB206)+(AU$21*$AC206),0)</f>
        <v>56</v>
      </c>
      <c r="S206" s="925">
        <f>ROUND(('1.4.조성법총괄(내부이동률 적용)'!O$8*$AB206)+(AV$21*$AC206),0)</f>
        <v>56</v>
      </c>
      <c r="T206" s="925">
        <f>ROUND(('1.4.조성법총괄(내부이동률 적용)'!P$8*$AB206)+(AW$21*$AC206),0)</f>
        <v>56</v>
      </c>
      <c r="U206" s="925">
        <f>ROUND(('1.4.조성법총괄(내부이동률 적용)'!Q$8*$AB206)+(AX$21*$AC206),0)</f>
        <v>56</v>
      </c>
      <c r="V206" s="715">
        <f>ROUND(('1.4.조성법총괄(내부이동률 적용)'!R$8*$AB206)+(AY$21*$AC206),0)</f>
        <v>56</v>
      </c>
      <c r="W206" s="714">
        <f>ROUND(('1.4.조성법총괄(내부이동률 적용)'!S$8*$AB206)+(AZ$21*$AC206),0)</f>
        <v>56</v>
      </c>
      <c r="X206" s="714">
        <f>ROUND(('1.4.조성법총괄(내부이동률 적용)'!T$8*$AB206)+(BA$21*$AC206),0)</f>
        <v>56</v>
      </c>
      <c r="Y206" s="714">
        <f>ROUND(('1.4.조성법총괄(내부이동률 적용)'!U$8*$AB206)+(BB$21*$AC206),0)</f>
        <v>56</v>
      </c>
      <c r="Z206" s="714">
        <f>ROUND(('1.4.조성법총괄(내부이동률 적용)'!V$8*$AB206)+(BC$21*$AC206),0)</f>
        <v>55</v>
      </c>
      <c r="AA206" s="715">
        <f>ROUND(('1.4.조성법총괄(내부이동률 적용)'!W$8*$AB206)+(BD$21*$AC206),0)</f>
        <v>55</v>
      </c>
      <c r="AB206" s="934">
        <f>+H206/'1.4.조성법총괄(내부이동률 적용)'!$D$8</f>
        <v>3.3058718581098811E-3</v>
      </c>
      <c r="AC206" s="936"/>
      <c r="AD206" s="713"/>
      <c r="AE206" s="1"/>
    </row>
    <row r="207" spans="1:57" ht="24" customHeight="1">
      <c r="A207" s="2696" t="s">
        <v>1055</v>
      </c>
      <c r="B207" s="2697"/>
      <c r="C207" s="2635" t="s">
        <v>32</v>
      </c>
      <c r="D207" s="2635"/>
      <c r="E207" s="2635"/>
      <c r="F207" s="713"/>
      <c r="G207" s="907">
        <f>SUM(G208:G209)</f>
        <v>449</v>
      </c>
      <c r="H207" s="907">
        <f>SUM(H208:H209)</f>
        <v>468</v>
      </c>
      <c r="I207" s="925">
        <f t="shared" ref="I207:AA207" si="133">SUM(I208:I209)</f>
        <v>455</v>
      </c>
      <c r="J207" s="925">
        <f t="shared" si="133"/>
        <v>446</v>
      </c>
      <c r="K207" s="925">
        <f t="shared" si="133"/>
        <v>433</v>
      </c>
      <c r="L207" s="907">
        <f t="shared" si="133"/>
        <v>411</v>
      </c>
      <c r="M207" s="925">
        <f t="shared" si="133"/>
        <v>408</v>
      </c>
      <c r="N207" s="925">
        <f t="shared" si="133"/>
        <v>404</v>
      </c>
      <c r="O207" s="925">
        <f t="shared" si="133"/>
        <v>399</v>
      </c>
      <c r="P207" s="925">
        <f t="shared" si="133"/>
        <v>396</v>
      </c>
      <c r="Q207" s="907">
        <f t="shared" si="133"/>
        <v>381</v>
      </c>
      <c r="R207" s="925">
        <f t="shared" si="133"/>
        <v>374</v>
      </c>
      <c r="S207" s="925">
        <f t="shared" si="133"/>
        <v>368</v>
      </c>
      <c r="T207" s="925">
        <f t="shared" si="133"/>
        <v>362</v>
      </c>
      <c r="U207" s="925">
        <f t="shared" si="133"/>
        <v>356</v>
      </c>
      <c r="V207" s="715">
        <f t="shared" si="133"/>
        <v>350</v>
      </c>
      <c r="W207" s="714">
        <f t="shared" si="133"/>
        <v>344</v>
      </c>
      <c r="X207" s="714">
        <f t="shared" si="133"/>
        <v>338</v>
      </c>
      <c r="Y207" s="714">
        <f t="shared" si="133"/>
        <v>332</v>
      </c>
      <c r="Z207" s="714">
        <f t="shared" si="133"/>
        <v>326</v>
      </c>
      <c r="AA207" s="715">
        <f t="shared" si="133"/>
        <v>244</v>
      </c>
      <c r="AB207" s="934"/>
      <c r="AC207" s="713"/>
      <c r="AD207" s="713"/>
      <c r="AE207" s="1"/>
      <c r="AF207" s="712"/>
      <c r="AG207" s="712"/>
      <c r="AH207" s="712"/>
      <c r="AI207" s="712"/>
      <c r="AJ207" s="712"/>
      <c r="AK207" s="712"/>
      <c r="AL207" s="712"/>
      <c r="AM207" s="712"/>
      <c r="AN207" s="712"/>
      <c r="AO207" s="712"/>
      <c r="AP207" s="712"/>
      <c r="AQ207" s="712"/>
      <c r="AR207" s="712"/>
      <c r="AS207" s="712"/>
      <c r="AT207" s="712"/>
      <c r="AU207" s="712"/>
      <c r="AV207" s="712"/>
      <c r="AW207" s="712"/>
      <c r="AX207" s="712"/>
      <c r="AY207" s="712"/>
      <c r="AZ207" s="712"/>
      <c r="BA207" s="712"/>
      <c r="BB207" s="712"/>
      <c r="BC207" s="712"/>
      <c r="BD207" s="712"/>
      <c r="BE207" s="712"/>
    </row>
    <row r="208" spans="1:57" ht="24" customHeight="1">
      <c r="A208" s="2698"/>
      <c r="B208" s="2699"/>
      <c r="C208" s="2635" t="s">
        <v>1056</v>
      </c>
      <c r="D208" s="770" t="s">
        <v>1057</v>
      </c>
      <c r="E208" s="770" t="s">
        <v>1059</v>
      </c>
      <c r="F208" s="713"/>
      <c r="G208" s="937">
        <f>+'2014처리구역인구 정리'!I168</f>
        <v>297</v>
      </c>
      <c r="H208" s="1010">
        <f>+'2014처리구역인구 정리'!J168</f>
        <v>313</v>
      </c>
      <c r="I208" s="925">
        <f>ROUND(('1.4.조성법총괄(내부이동률 적용)'!E$22*$AB208)+(AL$46*$AC208),0)</f>
        <v>304</v>
      </c>
      <c r="J208" s="925">
        <f>ROUND(('1.4.조성법총괄(내부이동률 적용)'!F$22*$AB208)+(AM$46*$AC208),0)</f>
        <v>298</v>
      </c>
      <c r="K208" s="925">
        <f>ROUND(('1.4.조성법총괄(내부이동률 적용)'!G$22*$AB208)+(AN$46*$AC208),0)</f>
        <v>290</v>
      </c>
      <c r="L208" s="907">
        <f>ROUND(('1.4.조성법총괄(내부이동률 적용)'!H$22*$AB208)+(AO$46*$AC208),0)</f>
        <v>275</v>
      </c>
      <c r="M208" s="925">
        <f>ROUND(('1.4.조성법총괄(내부이동률 적용)'!I$22*$AB208)+(AP$46*$AC208),0)</f>
        <v>273</v>
      </c>
      <c r="N208" s="925">
        <f>ROUND(('1.4.조성법총괄(내부이동률 적용)'!J$22*$AB208)+(AQ$46*$AC208),0)</f>
        <v>270</v>
      </c>
      <c r="O208" s="925">
        <f>ROUND(('1.4.조성법총괄(내부이동률 적용)'!K$22*$AB208)+(AR$46*$AC208),0)</f>
        <v>267</v>
      </c>
      <c r="P208" s="925">
        <f>ROUND(('1.4.조성법총괄(내부이동률 적용)'!L$22*$AB208)+(AS$46*$AC208),0)</f>
        <v>265</v>
      </c>
      <c r="Q208" s="907">
        <f>ROUND(('1.4.조성법총괄(내부이동률 적용)'!M$22*$AB208)+(AT$46*$AC208),0)</f>
        <v>255</v>
      </c>
      <c r="R208" s="925">
        <f>ROUND(('1.4.조성법총괄(내부이동률 적용)'!N$22*$AB208)+(AU$46*$AC208),0)</f>
        <v>250</v>
      </c>
      <c r="S208" s="925">
        <f>ROUND(('1.4.조성법총괄(내부이동률 적용)'!O$22*$AB208)+(AV$46*$AC208),0)</f>
        <v>246</v>
      </c>
      <c r="T208" s="925">
        <f>ROUND(('1.4.조성법총괄(내부이동률 적용)'!P$22*$AB208)+(AW$46*$AC208),0)</f>
        <v>242</v>
      </c>
      <c r="U208" s="925">
        <f>ROUND(('1.4.조성법총괄(내부이동률 적용)'!Q$22*$AB208)+(AX$46*$AC208),0)</f>
        <v>238</v>
      </c>
      <c r="V208" s="715">
        <f>ROUND(('1.4.조성법총괄(내부이동률 적용)'!R$22*$AB208)+(AY$46*$AC208),0)</f>
        <v>234</v>
      </c>
      <c r="W208" s="714">
        <f>ROUND(('1.4.조성법총괄(내부이동률 적용)'!S$22*$AB208)+(AZ$46*$AC208),0)</f>
        <v>230</v>
      </c>
      <c r="X208" s="714">
        <f>ROUND(('1.4.조성법총괄(내부이동률 적용)'!T$22*$AB208)+(BA$46*$AC208),0)</f>
        <v>226</v>
      </c>
      <c r="Y208" s="714">
        <f>ROUND(('1.4.조성법총괄(내부이동률 적용)'!U$22*$AB208)+(BB$46*$AC208),0)</f>
        <v>222</v>
      </c>
      <c r="Z208" s="714">
        <f>ROUND(('1.4.조성법총괄(내부이동률 적용)'!V$22*$AB208)+(BC$46*$AC208),0)</f>
        <v>218</v>
      </c>
      <c r="AA208" s="715">
        <f>ROUND(('1.4.조성법총괄(내부이동률 적용)'!W$22*$AB208)+(BD$46*$AC208),0)</f>
        <v>163</v>
      </c>
      <c r="AB208" s="934">
        <f>+H208/'1.4.조성법총괄(내부이동률 적용)'!$D$22</f>
        <v>9.6604938271604934E-2</v>
      </c>
      <c r="AC208" s="934">
        <f>+H208/'1.4.조성법총괄(내부이동률 적용)'!$D$22</f>
        <v>9.6604938271604934E-2</v>
      </c>
      <c r="AD208" s="713"/>
      <c r="AE208" s="1"/>
      <c r="AF208" s="712"/>
      <c r="AG208" s="712"/>
      <c r="AH208" s="712"/>
      <c r="AI208" s="712"/>
      <c r="AJ208" s="712"/>
      <c r="AK208" s="712"/>
      <c r="AL208" s="712"/>
      <c r="AM208" s="712"/>
      <c r="AN208" s="712"/>
      <c r="AO208" s="712"/>
      <c r="AP208" s="712"/>
      <c r="AQ208" s="712"/>
      <c r="AR208" s="712"/>
      <c r="AS208" s="712"/>
      <c r="AT208" s="712"/>
      <c r="AU208" s="712"/>
      <c r="AV208" s="712"/>
      <c r="AW208" s="712"/>
      <c r="AX208" s="712"/>
      <c r="AY208" s="712"/>
      <c r="AZ208" s="712"/>
      <c r="BA208" s="712"/>
      <c r="BB208" s="712"/>
      <c r="BC208" s="712"/>
      <c r="BD208" s="712"/>
      <c r="BE208" s="712"/>
    </row>
    <row r="209" spans="1:57" ht="24" customHeight="1">
      <c r="A209" s="2701"/>
      <c r="B209" s="2702"/>
      <c r="C209" s="2635"/>
      <c r="D209" s="770" t="s">
        <v>1060</v>
      </c>
      <c r="E209" s="770" t="s">
        <v>1061</v>
      </c>
      <c r="F209" s="713"/>
      <c r="G209" s="937">
        <f>+'2014처리구역인구 정리'!I169</f>
        <v>152</v>
      </c>
      <c r="H209" s="1010">
        <f>+'2014처리구역인구 정리'!J169</f>
        <v>155</v>
      </c>
      <c r="I209" s="925">
        <f>ROUND(('1.4.조성법총괄(내부이동률 적용)'!E$22*$AB209)+(AL$46*$AC209),0)</f>
        <v>151</v>
      </c>
      <c r="J209" s="925">
        <f>ROUND(('1.4.조성법총괄(내부이동률 적용)'!F$22*$AB209)+(AM$46*$AC209),0)</f>
        <v>148</v>
      </c>
      <c r="K209" s="925">
        <f>ROUND(('1.4.조성법총괄(내부이동률 적용)'!G$22*$AB209)+(AN$46*$AC209),0)</f>
        <v>143</v>
      </c>
      <c r="L209" s="907">
        <f>ROUND(('1.4.조성법총괄(내부이동률 적용)'!H$22*$AB209)+(AO$46*$AC209),0)</f>
        <v>136</v>
      </c>
      <c r="M209" s="925">
        <f>ROUND(('1.4.조성법총괄(내부이동률 적용)'!I$22*$AB209)+(AP$46*$AC209),0)</f>
        <v>135</v>
      </c>
      <c r="N209" s="925">
        <f>ROUND(('1.4.조성법총괄(내부이동률 적용)'!J$22*$AB209)+(AQ$46*$AC209),0)</f>
        <v>134</v>
      </c>
      <c r="O209" s="925">
        <f>ROUND(('1.4.조성법총괄(내부이동률 적용)'!K$22*$AB209)+(AR$46*$AC209),0)</f>
        <v>132</v>
      </c>
      <c r="P209" s="925">
        <f>ROUND(('1.4.조성법총괄(내부이동률 적용)'!L$22*$AB209)+(AS$46*$AC209),0)</f>
        <v>131</v>
      </c>
      <c r="Q209" s="907">
        <f>ROUND(('1.4.조성법총괄(내부이동률 적용)'!M$22*$AB209)+(AT$46*$AC209),0)</f>
        <v>126</v>
      </c>
      <c r="R209" s="925">
        <f>ROUND(('1.4.조성법총괄(내부이동률 적용)'!N$22*$AB209)+(AU$46*$AC209),0)</f>
        <v>124</v>
      </c>
      <c r="S209" s="925">
        <f>ROUND(('1.4.조성법총괄(내부이동률 적용)'!O$22*$AB209)+(AV$46*$AC209),0)</f>
        <v>122</v>
      </c>
      <c r="T209" s="925">
        <f>ROUND(('1.4.조성법총괄(내부이동률 적용)'!P$22*$AB209)+(AW$46*$AC209),0)</f>
        <v>120</v>
      </c>
      <c r="U209" s="925">
        <f>ROUND(('1.4.조성법총괄(내부이동률 적용)'!Q$22*$AB209)+(AX$46*$AC209),0)</f>
        <v>118</v>
      </c>
      <c r="V209" s="715">
        <f>ROUND(('1.4.조성법총괄(내부이동률 적용)'!R$22*$AB209)+(AY$46*$AC209),0)</f>
        <v>116</v>
      </c>
      <c r="W209" s="714">
        <f>ROUND(('1.4.조성법총괄(내부이동률 적용)'!S$22*$AB209)+(AZ$46*$AC209),0)</f>
        <v>114</v>
      </c>
      <c r="X209" s="714">
        <f>ROUND(('1.4.조성법총괄(내부이동률 적용)'!T$22*$AB209)+(BA$46*$AC209),0)</f>
        <v>112</v>
      </c>
      <c r="Y209" s="714">
        <f>ROUND(('1.4.조성법총괄(내부이동률 적용)'!U$22*$AB209)+(BB$46*$AC209),0)</f>
        <v>110</v>
      </c>
      <c r="Z209" s="714">
        <f>ROUND(('1.4.조성법총괄(내부이동률 적용)'!V$22*$AB209)+(BC$46*$AC209),0)</f>
        <v>108</v>
      </c>
      <c r="AA209" s="715">
        <f>ROUND(('1.4.조성법총괄(내부이동률 적용)'!W$22*$AB209)+(BD$46*$AC209),0)</f>
        <v>81</v>
      </c>
      <c r="AB209" s="934">
        <f>+H209/'1.4.조성법총괄(내부이동률 적용)'!$D$22</f>
        <v>4.7839506172839504E-2</v>
      </c>
      <c r="AC209" s="934">
        <f>+H209/'1.4.조성법총괄(내부이동률 적용)'!$D$22</f>
        <v>4.7839506172839504E-2</v>
      </c>
      <c r="AD209" s="713"/>
      <c r="AE209" s="1"/>
    </row>
    <row r="210" spans="1:57" s="599" customFormat="1" ht="24" customHeight="1">
      <c r="A210" s="2696" t="s">
        <v>1062</v>
      </c>
      <c r="B210" s="2697"/>
      <c r="C210" s="2635" t="s">
        <v>32</v>
      </c>
      <c r="D210" s="2635"/>
      <c r="E210" s="2635"/>
      <c r="F210" s="713"/>
      <c r="G210" s="907">
        <f t="shared" ref="G210:AA210" si="134">SUM(G211:G213)</f>
        <v>286</v>
      </c>
      <c r="H210" s="907">
        <f t="shared" si="134"/>
        <v>306</v>
      </c>
      <c r="I210" s="907">
        <f t="shared" si="134"/>
        <v>296</v>
      </c>
      <c r="J210" s="907">
        <f t="shared" si="134"/>
        <v>289</v>
      </c>
      <c r="K210" s="907">
        <f t="shared" si="134"/>
        <v>280</v>
      </c>
      <c r="L210" s="907">
        <f t="shared" si="134"/>
        <v>269</v>
      </c>
      <c r="M210" s="907">
        <f t="shared" si="134"/>
        <v>267</v>
      </c>
      <c r="N210" s="907">
        <f t="shared" si="134"/>
        <v>265</v>
      </c>
      <c r="O210" s="907">
        <f t="shared" si="134"/>
        <v>263</v>
      </c>
      <c r="P210" s="907">
        <f t="shared" si="134"/>
        <v>261</v>
      </c>
      <c r="Q210" s="907">
        <f t="shared" si="134"/>
        <v>250</v>
      </c>
      <c r="R210" s="907">
        <f t="shared" si="134"/>
        <v>247</v>
      </c>
      <c r="S210" s="907">
        <f t="shared" si="134"/>
        <v>244</v>
      </c>
      <c r="T210" s="907">
        <f t="shared" si="134"/>
        <v>239</v>
      </c>
      <c r="U210" s="907">
        <f t="shared" si="134"/>
        <v>236</v>
      </c>
      <c r="V210" s="907">
        <f t="shared" si="134"/>
        <v>231</v>
      </c>
      <c r="W210" s="907">
        <f t="shared" si="134"/>
        <v>228</v>
      </c>
      <c r="X210" s="907">
        <f t="shared" si="134"/>
        <v>224</v>
      </c>
      <c r="Y210" s="907">
        <f t="shared" si="134"/>
        <v>220</v>
      </c>
      <c r="Z210" s="907">
        <f t="shared" si="134"/>
        <v>215</v>
      </c>
      <c r="AA210" s="907">
        <f t="shared" si="134"/>
        <v>196</v>
      </c>
      <c r="AB210" s="713"/>
      <c r="AC210" s="713"/>
      <c r="AD210" s="713"/>
      <c r="AE210" s="1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</row>
    <row r="211" spans="1:57" s="599" customFormat="1" ht="24" customHeight="1">
      <c r="A211" s="2698"/>
      <c r="B211" s="2699"/>
      <c r="C211" s="2668" t="s">
        <v>1063</v>
      </c>
      <c r="D211" s="2635" t="s">
        <v>1064</v>
      </c>
      <c r="E211" s="770" t="s">
        <v>1065</v>
      </c>
      <c r="F211" s="713"/>
      <c r="G211" s="937">
        <f>+'2014처리구역인구 정리'!I171</f>
        <v>109</v>
      </c>
      <c r="H211" s="1010">
        <f>+'2014처리구역인구 정리'!J171</f>
        <v>114</v>
      </c>
      <c r="I211" s="925">
        <f>ROUND(('1.4.조성법총괄(내부이동률 적용)'!E$29*$AB211)+(AL$49*$AC211),0)</f>
        <v>110</v>
      </c>
      <c r="J211" s="925">
        <f>ROUND(('1.4.조성법총괄(내부이동률 적용)'!F$29*$AB211)+(AM$49*$AC211),0)</f>
        <v>108</v>
      </c>
      <c r="K211" s="925">
        <f>ROUND(('1.4.조성법총괄(내부이동률 적용)'!G$29*$AB211)+(AN$49*$AC211),0)</f>
        <v>104</v>
      </c>
      <c r="L211" s="907">
        <f>ROUND(('1.4.조성법총괄(내부이동률 적용)'!H$29*$AB211)+(AO$49*$AC211),0)</f>
        <v>100</v>
      </c>
      <c r="M211" s="925">
        <f>ROUND(('1.4.조성법총괄(내부이동률 적용)'!I$29*$AB211)+(AP$49*$AC211),0)</f>
        <v>100</v>
      </c>
      <c r="N211" s="925">
        <f>ROUND(('1.4.조성법총괄(내부이동률 적용)'!J$29*$AB211)+(AQ$49*$AC211),0)</f>
        <v>99</v>
      </c>
      <c r="O211" s="925">
        <f>ROUND(('1.4.조성법총괄(내부이동률 적용)'!K$29*$AB211)+(AR$49*$AC211),0)</f>
        <v>98</v>
      </c>
      <c r="P211" s="925">
        <f>ROUND(('1.4.조성법총괄(내부이동률 적용)'!L$29*$AB211)+(AS$49*$AC211),0)</f>
        <v>97</v>
      </c>
      <c r="Q211" s="907">
        <f>ROUND(('1.4.조성법총괄(내부이동률 적용)'!M$29*$AB211)+(AT$49*$AC211),0)</f>
        <v>93</v>
      </c>
      <c r="R211" s="925">
        <f>ROUND(('1.4.조성법총괄(내부이동률 적용)'!N$29*$AB211)+(AU$49*$AC211),0)</f>
        <v>92</v>
      </c>
      <c r="S211" s="925">
        <f>ROUND(('1.4.조성법총괄(내부이동률 적용)'!O$29*$AB211)+(AV$49*$AC211),0)</f>
        <v>91</v>
      </c>
      <c r="T211" s="925">
        <f>ROUND(('1.4.조성법총괄(내부이동률 적용)'!P$29*$AB211)+(AW$49*$AC211),0)</f>
        <v>89</v>
      </c>
      <c r="U211" s="925">
        <f>ROUND(('1.4.조성법총괄(내부이동률 적용)'!Q$29*$AB211)+(AX$49*$AC211),0)</f>
        <v>88</v>
      </c>
      <c r="V211" s="715">
        <f>ROUND(('1.4.조성법총괄(내부이동률 적용)'!R$29*$AB211)+(AY$49*$AC211),0)</f>
        <v>86</v>
      </c>
      <c r="W211" s="714">
        <f>ROUND(('1.4.조성법총괄(내부이동률 적용)'!S$29*$AB211)+(AZ$49*$AC211),0)</f>
        <v>85</v>
      </c>
      <c r="X211" s="714">
        <f>ROUND(('1.4.조성법총괄(내부이동률 적용)'!T$29*$AB211)+(BA$49*$AC211),0)</f>
        <v>83</v>
      </c>
      <c r="Y211" s="714">
        <f>ROUND(('1.4.조성법총괄(내부이동률 적용)'!U$29*$AB211)+(BB$49*$AC211),0)</f>
        <v>82</v>
      </c>
      <c r="Z211" s="714">
        <f>ROUND(('1.4.조성법총괄(내부이동률 적용)'!V$29*$AB211)+(BC$49*$AC211),0)</f>
        <v>80</v>
      </c>
      <c r="AA211" s="715">
        <f>ROUND(('1.4.조성법총괄(내부이동률 적용)'!W$29*$AB211)+(BD$49*$AC211),0)</f>
        <v>73</v>
      </c>
      <c r="AB211" s="934">
        <f>+H211/'1.4.조성법총괄(내부이동률 적용)'!$D$29</f>
        <v>3.4368405185408499E-2</v>
      </c>
      <c r="AC211" s="934">
        <f>+H211/'1.4.조성법총괄(내부이동률 적용)'!$D$29</f>
        <v>3.4368405185408499E-2</v>
      </c>
      <c r="AD211" s="713"/>
      <c r="AE211" s="1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</row>
    <row r="212" spans="1:57" customFormat="1" ht="24" customHeight="1">
      <c r="A212" s="2698"/>
      <c r="B212" s="2699"/>
      <c r="C212" s="2669"/>
      <c r="D212" s="2635"/>
      <c r="E212" s="770" t="s">
        <v>1066</v>
      </c>
      <c r="F212" s="713"/>
      <c r="G212" s="937">
        <f>+'2014처리구역인구 정리'!I172</f>
        <v>74</v>
      </c>
      <c r="H212" s="1010">
        <f>+'2014처리구역인구 정리'!J172</f>
        <v>83</v>
      </c>
      <c r="I212" s="925">
        <f>ROUND(('1.4.조성법총괄(내부이동률 적용)'!E$29*$AB212)+(AL$49*$AC212),0)</f>
        <v>80</v>
      </c>
      <c r="J212" s="925">
        <f>ROUND(('1.4.조성법총괄(내부이동률 적용)'!F$29*$AB212)+(AM$49*$AC212),0)</f>
        <v>78</v>
      </c>
      <c r="K212" s="925">
        <f>ROUND(('1.4.조성법총괄(내부이동률 적용)'!G$29*$AB212)+(AN$49*$AC212),0)</f>
        <v>76</v>
      </c>
      <c r="L212" s="907">
        <f>ROUND(('1.4.조성법총괄(내부이동률 적용)'!H$29*$AB212)+(AO$49*$AC212),0)</f>
        <v>73</v>
      </c>
      <c r="M212" s="925">
        <f>ROUND(('1.4.조성법총괄(내부이동률 적용)'!I$29*$AB212)+(AP$49*$AC212),0)</f>
        <v>72</v>
      </c>
      <c r="N212" s="925">
        <f>ROUND(('1.4.조성법총괄(내부이동률 적용)'!J$29*$AB212)+(AQ$49*$AC212),0)</f>
        <v>72</v>
      </c>
      <c r="O212" s="925">
        <f>ROUND(('1.4.조성법총괄(내부이동률 적용)'!K$29*$AB212)+(AR$49*$AC212),0)</f>
        <v>71</v>
      </c>
      <c r="P212" s="925">
        <f>ROUND(('1.4.조성법총괄(내부이동률 적용)'!L$29*$AB212)+(AS$49*$AC212),0)</f>
        <v>71</v>
      </c>
      <c r="Q212" s="907">
        <f>ROUND(('1.4.조성법총괄(내부이동률 적용)'!M$29*$AB212)+(AT$49*$AC212),0)</f>
        <v>68</v>
      </c>
      <c r="R212" s="925">
        <f>ROUND(('1.4.조성법총괄(내부이동률 적용)'!N$29*$AB212)+(AU$49*$AC212),0)</f>
        <v>67</v>
      </c>
      <c r="S212" s="925">
        <f>ROUND(('1.4.조성법총괄(내부이동률 적용)'!O$29*$AB212)+(AV$49*$AC212),0)</f>
        <v>66</v>
      </c>
      <c r="T212" s="925">
        <f>ROUND(('1.4.조성법총괄(내부이동률 적용)'!P$29*$AB212)+(AW$49*$AC212),0)</f>
        <v>65</v>
      </c>
      <c r="U212" s="925">
        <f>ROUND(('1.4.조성법총괄(내부이동률 적용)'!Q$29*$AB212)+(AX$49*$AC212),0)</f>
        <v>64</v>
      </c>
      <c r="V212" s="715">
        <f>ROUND(('1.4.조성법총괄(내부이동률 적용)'!R$29*$AB212)+(AY$49*$AC212),0)</f>
        <v>63</v>
      </c>
      <c r="W212" s="714">
        <f>ROUND(('1.4.조성법총괄(내부이동률 적용)'!S$29*$AB212)+(AZ$49*$AC212),0)</f>
        <v>62</v>
      </c>
      <c r="X212" s="714">
        <f>ROUND(('1.4.조성법총괄(내부이동률 적용)'!T$29*$AB212)+(BA$49*$AC212),0)</f>
        <v>61</v>
      </c>
      <c r="Y212" s="714">
        <f>ROUND(('1.4.조성법총괄(내부이동률 적용)'!U$29*$AB212)+(BB$49*$AC212),0)</f>
        <v>60</v>
      </c>
      <c r="Z212" s="714">
        <f>ROUND(('1.4.조성법총괄(내부이동률 적용)'!V$29*$AB212)+(BC$49*$AC212),0)</f>
        <v>58</v>
      </c>
      <c r="AA212" s="715">
        <f>ROUND(('1.4.조성법총괄(내부이동률 적용)'!W$29*$AB212)+(BD$49*$AC212),0)</f>
        <v>53</v>
      </c>
      <c r="AB212" s="934">
        <f>+H212/'1.4.조성법총괄(내부이동률 적용)'!$D$29</f>
        <v>2.5022610792885137E-2</v>
      </c>
      <c r="AC212" s="934">
        <f>+H212/'1.4.조성법총괄(내부이동률 적용)'!$D$29</f>
        <v>2.5022610792885137E-2</v>
      </c>
      <c r="AD212" s="713"/>
      <c r="AE212" s="1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</row>
    <row r="213" spans="1:57" s="599" customFormat="1" ht="24" customHeight="1">
      <c r="A213" s="2701"/>
      <c r="B213" s="2702"/>
      <c r="C213" s="2670"/>
      <c r="D213" s="770" t="s">
        <v>1067</v>
      </c>
      <c r="E213" s="770" t="s">
        <v>1068</v>
      </c>
      <c r="F213" s="713"/>
      <c r="G213" s="937">
        <f>+'2014처리구역인구 정리'!I173</f>
        <v>103</v>
      </c>
      <c r="H213" s="1010">
        <f>+'2014처리구역인구 정리'!J173</f>
        <v>109</v>
      </c>
      <c r="I213" s="925">
        <f>ROUND(('1.4.조성법총괄(내부이동률 적용)'!E$29*$AB213)+(AL$49*$AC213),0)</f>
        <v>106</v>
      </c>
      <c r="J213" s="925">
        <f>ROUND(('1.4.조성법총괄(내부이동률 적용)'!F$29*$AB213)+(AM$49*$AC213),0)</f>
        <v>103</v>
      </c>
      <c r="K213" s="925">
        <f>ROUND(('1.4.조성법총괄(내부이동률 적용)'!G$29*$AB213)+(AN$49*$AC213),0)</f>
        <v>100</v>
      </c>
      <c r="L213" s="907">
        <f>ROUND(('1.4.조성법총괄(내부이동률 적용)'!H$29*$AB213)+(AO$49*$AC213),0)</f>
        <v>96</v>
      </c>
      <c r="M213" s="925">
        <f>ROUND(('1.4.조성법총괄(내부이동률 적용)'!I$29*$AB213)+(AP$49*$AC213),0)</f>
        <v>95</v>
      </c>
      <c r="N213" s="925">
        <f>ROUND(('1.4.조성법총괄(내부이동률 적용)'!J$29*$AB213)+(AQ$49*$AC213),0)</f>
        <v>94</v>
      </c>
      <c r="O213" s="925">
        <f>ROUND(('1.4.조성법총괄(내부이동률 적용)'!K$29*$AB213)+(AR$49*$AC213),0)</f>
        <v>94</v>
      </c>
      <c r="P213" s="925">
        <f>ROUND(('1.4.조성법총괄(내부이동률 적용)'!L$29*$AB213)+(AS$49*$AC213),0)</f>
        <v>93</v>
      </c>
      <c r="Q213" s="907">
        <f>ROUND(('1.4.조성법총괄(내부이동률 적용)'!M$29*$AB213)+(AT$49*$AC213),0)</f>
        <v>89</v>
      </c>
      <c r="R213" s="925">
        <f>ROUND(('1.4.조성법총괄(내부이동률 적용)'!N$29*$AB213)+(AU$49*$AC213),0)</f>
        <v>88</v>
      </c>
      <c r="S213" s="925">
        <f>ROUND(('1.4.조성법총괄(내부이동률 적용)'!O$29*$AB213)+(AV$49*$AC213),0)</f>
        <v>87</v>
      </c>
      <c r="T213" s="925">
        <f>ROUND(('1.4.조성법총괄(내부이동률 적용)'!P$29*$AB213)+(AW$49*$AC213),0)</f>
        <v>85</v>
      </c>
      <c r="U213" s="925">
        <f>ROUND(('1.4.조성법총괄(내부이동률 적용)'!Q$29*$AB213)+(AX$49*$AC213),0)</f>
        <v>84</v>
      </c>
      <c r="V213" s="715">
        <f>ROUND(('1.4.조성법총괄(내부이동률 적용)'!R$29*$AB213)+(AY$49*$AC213),0)</f>
        <v>82</v>
      </c>
      <c r="W213" s="714">
        <f>ROUND(('1.4.조성법총괄(내부이동률 적용)'!S$29*$AB213)+(AZ$49*$AC213),0)</f>
        <v>81</v>
      </c>
      <c r="X213" s="714">
        <f>ROUND(('1.4.조성법총괄(내부이동률 적용)'!T$29*$AB213)+(BA$49*$AC213),0)</f>
        <v>80</v>
      </c>
      <c r="Y213" s="714">
        <f>ROUND(('1.4.조성법총괄(내부이동률 적용)'!U$29*$AB213)+(BB$49*$AC213),0)</f>
        <v>78</v>
      </c>
      <c r="Z213" s="714">
        <f>ROUND(('1.4.조성법총괄(내부이동률 적용)'!V$29*$AB213)+(BC$49*$AC213),0)</f>
        <v>77</v>
      </c>
      <c r="AA213" s="715">
        <f>ROUND(('1.4.조성법총괄(내부이동률 적용)'!W$29*$AB213)+(BD$49*$AC213),0)</f>
        <v>70</v>
      </c>
      <c r="AB213" s="934">
        <f>+H213/'1.4.조성법총괄(내부이동률 적용)'!$D$29</f>
        <v>3.2861018993066024E-2</v>
      </c>
      <c r="AC213" s="934">
        <f>+H213/'1.4.조성법총괄(내부이동률 적용)'!$D$29</f>
        <v>3.2861018993066024E-2</v>
      </c>
      <c r="AD213" s="713"/>
      <c r="AE213" s="1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</row>
    <row r="214" spans="1:57" s="599" customFormat="1" ht="24" customHeight="1">
      <c r="A214" s="2696" t="s">
        <v>1074</v>
      </c>
      <c r="B214" s="2697"/>
      <c r="C214" s="2635" t="s">
        <v>32</v>
      </c>
      <c r="D214" s="2635"/>
      <c r="E214" s="2635"/>
      <c r="F214" s="713"/>
      <c r="G214" s="907">
        <f>SUM(G215:G216)</f>
        <v>184</v>
      </c>
      <c r="H214" s="907">
        <f t="shared" ref="H214:AA214" si="135">SUM(H215:H216)</f>
        <v>402</v>
      </c>
      <c r="I214" s="925">
        <f t="shared" si="135"/>
        <v>396</v>
      </c>
      <c r="J214" s="925">
        <f t="shared" si="135"/>
        <v>396</v>
      </c>
      <c r="K214" s="925">
        <f t="shared" si="135"/>
        <v>396</v>
      </c>
      <c r="L214" s="907">
        <f t="shared" si="135"/>
        <v>380</v>
      </c>
      <c r="M214" s="925">
        <f t="shared" si="135"/>
        <v>382</v>
      </c>
      <c r="N214" s="925">
        <f t="shared" si="135"/>
        <v>384</v>
      </c>
      <c r="O214" s="925">
        <f t="shared" si="135"/>
        <v>384</v>
      </c>
      <c r="P214" s="925">
        <f t="shared" si="135"/>
        <v>386</v>
      </c>
      <c r="Q214" s="907">
        <f t="shared" si="135"/>
        <v>384</v>
      </c>
      <c r="R214" s="925">
        <f t="shared" si="135"/>
        <v>384</v>
      </c>
      <c r="S214" s="925">
        <f t="shared" si="135"/>
        <v>386</v>
      </c>
      <c r="T214" s="925">
        <f t="shared" si="135"/>
        <v>386</v>
      </c>
      <c r="U214" s="925">
        <f t="shared" si="135"/>
        <v>388</v>
      </c>
      <c r="V214" s="715">
        <f t="shared" si="135"/>
        <v>388</v>
      </c>
      <c r="W214" s="714">
        <f t="shared" si="135"/>
        <v>388</v>
      </c>
      <c r="X214" s="714">
        <f t="shared" si="135"/>
        <v>390</v>
      </c>
      <c r="Y214" s="714">
        <f t="shared" si="135"/>
        <v>390</v>
      </c>
      <c r="Z214" s="714">
        <f t="shared" si="135"/>
        <v>390</v>
      </c>
      <c r="AA214" s="715">
        <f t="shared" si="135"/>
        <v>390</v>
      </c>
      <c r="AB214" s="713"/>
      <c r="AC214" s="936"/>
      <c r="AD214" s="713"/>
      <c r="AE214" s="711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</row>
    <row r="215" spans="1:57" customFormat="1" ht="24" customHeight="1">
      <c r="A215" s="2698"/>
      <c r="B215" s="2699"/>
      <c r="C215" s="2668" t="s">
        <v>1080</v>
      </c>
      <c r="D215" s="1814" t="s">
        <v>2236</v>
      </c>
      <c r="E215" s="1814" t="s">
        <v>2236</v>
      </c>
      <c r="F215" s="713"/>
      <c r="G215" s="907"/>
      <c r="H215" s="1010">
        <f>+'2014처리구역인구 정리'!J180</f>
        <v>201</v>
      </c>
      <c r="I215" s="925">
        <f>ROUND(('1.4.조성법총괄(내부이동률 적용)'!E$15*$AB215)+(AL$43*$AC215),0)</f>
        <v>198</v>
      </c>
      <c r="J215" s="925">
        <f>ROUND(('1.4.조성법총괄(내부이동률 적용)'!F$15*$AB215)+(AM$43*$AC215),0)</f>
        <v>198</v>
      </c>
      <c r="K215" s="925">
        <f>ROUND(('1.4.조성법총괄(내부이동률 적용)'!G$15*$AB215)+(AN$43*$AC215),0)</f>
        <v>198</v>
      </c>
      <c r="L215" s="907">
        <f>ROUND(('1.4.조성법총괄(내부이동률 적용)'!H$15*$AB215)+(AO$43*$AC215),0)</f>
        <v>190</v>
      </c>
      <c r="M215" s="925">
        <f>ROUND(('1.4.조성법총괄(내부이동률 적용)'!I$15*$AB215)+(AP$43*$AC215),0)</f>
        <v>191</v>
      </c>
      <c r="N215" s="925">
        <f>ROUND(('1.4.조성법총괄(내부이동률 적용)'!J$15*$AB215)+(AQ$43*$AC215),0)</f>
        <v>192</v>
      </c>
      <c r="O215" s="925">
        <f>ROUND(('1.4.조성법총괄(내부이동률 적용)'!K$15*$AB215)+(AR$43*$AC215),0)</f>
        <v>192</v>
      </c>
      <c r="P215" s="925">
        <f>ROUND(('1.4.조성법총괄(내부이동률 적용)'!L$15*$AB215)+(AS$43*$AC215),0)</f>
        <v>193</v>
      </c>
      <c r="Q215" s="907">
        <f>ROUND(('1.4.조성법총괄(내부이동률 적용)'!M$15*$AB215)+(AT$43*$AC215),0)</f>
        <v>192</v>
      </c>
      <c r="R215" s="925">
        <f>ROUND(('1.4.조성법총괄(내부이동률 적용)'!N$15*$AB215)+(AU$43*$AC215),0)</f>
        <v>192</v>
      </c>
      <c r="S215" s="925">
        <f>ROUND(('1.4.조성법총괄(내부이동률 적용)'!O$15*$AB215)+(AV$43*$AC215),0)</f>
        <v>193</v>
      </c>
      <c r="T215" s="925">
        <f>ROUND(('1.4.조성법총괄(내부이동률 적용)'!P$15*$AB215)+(AW$43*$AC215),0)</f>
        <v>193</v>
      </c>
      <c r="U215" s="925">
        <f>ROUND(('1.4.조성법총괄(내부이동률 적용)'!Q$15*$AB215)+(AX$43*$AC215),0)</f>
        <v>194</v>
      </c>
      <c r="V215" s="715">
        <f>ROUND(('1.4.조성법총괄(내부이동률 적용)'!R$15*$AB215)+(AY$43*$AC215),0)</f>
        <v>194</v>
      </c>
      <c r="W215" s="714">
        <f>ROUND(('1.4.조성법총괄(내부이동률 적용)'!S$15*$AB215)+(AZ$43*$AC215),0)</f>
        <v>194</v>
      </c>
      <c r="X215" s="714">
        <f>ROUND(('1.4.조성법총괄(내부이동률 적용)'!T$15*$AB215)+(BA$43*$AC215),0)</f>
        <v>195</v>
      </c>
      <c r="Y215" s="714">
        <f>ROUND(('1.4.조성법총괄(내부이동률 적용)'!U$15*$AB215)+(BB$43*$AC215),0)</f>
        <v>195</v>
      </c>
      <c r="Z215" s="714">
        <f>ROUND(('1.4.조성법총괄(내부이동률 적용)'!V$15*$AB215)+(BC$43*$AC215),0)</f>
        <v>195</v>
      </c>
      <c r="AA215" s="715">
        <f>ROUND(('1.4.조성법총괄(내부이동률 적용)'!W$15*$AB215)+(BD$43*$AC215),0)</f>
        <v>195</v>
      </c>
      <c r="AB215" s="936">
        <f>+H215/'1.4.조성법총괄(내부이동률 적용)'!$D$15</f>
        <v>8.5904778186169754E-3</v>
      </c>
      <c r="AC215" s="936"/>
      <c r="AD215" s="713"/>
      <c r="AE215" s="711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</row>
    <row r="216" spans="1:57" s="599" customFormat="1" ht="24" customHeight="1">
      <c r="A216" s="2701"/>
      <c r="B216" s="2702"/>
      <c r="C216" s="2670"/>
      <c r="D216" s="770" t="s">
        <v>2235</v>
      </c>
      <c r="E216" s="770" t="s">
        <v>2235</v>
      </c>
      <c r="F216" s="713"/>
      <c r="G216" s="937">
        <f>+'2014처리구역인구 정리'!I181</f>
        <v>184</v>
      </c>
      <c r="H216" s="1010">
        <f>+'2014처리구역인구 정리'!J181</f>
        <v>201</v>
      </c>
      <c r="I216" s="925">
        <f>ROUND(('1.4.조성법총괄(내부이동률 적용)'!E$15*$AB216)+(AL$43*$AC216),0)</f>
        <v>198</v>
      </c>
      <c r="J216" s="925">
        <f>ROUND(('1.4.조성법총괄(내부이동률 적용)'!F$15*$AB216)+(AM$43*$AC216),0)</f>
        <v>198</v>
      </c>
      <c r="K216" s="925">
        <f>ROUND(('1.4.조성법총괄(내부이동률 적용)'!G$15*$AB216)+(AN$43*$AC216),0)</f>
        <v>198</v>
      </c>
      <c r="L216" s="907">
        <f>ROUND(('1.4.조성법총괄(내부이동률 적용)'!H$15*$AB216)+(AO$43*$AC216),0)</f>
        <v>190</v>
      </c>
      <c r="M216" s="925">
        <f>ROUND(('1.4.조성법총괄(내부이동률 적용)'!I$15*$AB216)+(AP$43*$AC216),0)</f>
        <v>191</v>
      </c>
      <c r="N216" s="925">
        <f>ROUND(('1.4.조성법총괄(내부이동률 적용)'!J$15*$AB216)+(AQ$43*$AC216),0)</f>
        <v>192</v>
      </c>
      <c r="O216" s="925">
        <f>ROUND(('1.4.조성법총괄(내부이동률 적용)'!K$15*$AB216)+(AR$43*$AC216),0)</f>
        <v>192</v>
      </c>
      <c r="P216" s="925">
        <f>ROUND(('1.4.조성법총괄(내부이동률 적용)'!L$15*$AB216)+(AS$43*$AC216),0)</f>
        <v>193</v>
      </c>
      <c r="Q216" s="907">
        <f>ROUND(('1.4.조성법총괄(내부이동률 적용)'!M$15*$AB216)+(AT$43*$AC216),0)</f>
        <v>192</v>
      </c>
      <c r="R216" s="925">
        <f>ROUND(('1.4.조성법총괄(내부이동률 적용)'!N$15*$AB216)+(AU$43*$AC216),0)</f>
        <v>192</v>
      </c>
      <c r="S216" s="925">
        <f>ROUND(('1.4.조성법총괄(내부이동률 적용)'!O$15*$AB216)+(AV$43*$AC216),0)</f>
        <v>193</v>
      </c>
      <c r="T216" s="925">
        <f>ROUND(('1.4.조성법총괄(내부이동률 적용)'!P$15*$AB216)+(AW$43*$AC216),0)</f>
        <v>193</v>
      </c>
      <c r="U216" s="925">
        <f>ROUND(('1.4.조성법총괄(내부이동률 적용)'!Q$15*$AB216)+(AX$43*$AC216),0)</f>
        <v>194</v>
      </c>
      <c r="V216" s="715">
        <f>ROUND(('1.4.조성법총괄(내부이동률 적용)'!R$15*$AB216)+(AY$43*$AC216),0)</f>
        <v>194</v>
      </c>
      <c r="W216" s="714">
        <f>ROUND(('1.4.조성법총괄(내부이동률 적용)'!S$15*$AB216)+(AZ$43*$AC216),0)</f>
        <v>194</v>
      </c>
      <c r="X216" s="714">
        <f>ROUND(('1.4.조성법총괄(내부이동률 적용)'!T$15*$AB216)+(BA$43*$AC216),0)</f>
        <v>195</v>
      </c>
      <c r="Y216" s="714">
        <f>ROUND(('1.4.조성법총괄(내부이동률 적용)'!U$15*$AB216)+(BB$43*$AC216),0)</f>
        <v>195</v>
      </c>
      <c r="Z216" s="714">
        <f>ROUND(('1.4.조성법총괄(내부이동률 적용)'!V$15*$AB216)+(BC$43*$AC216),0)</f>
        <v>195</v>
      </c>
      <c r="AA216" s="715">
        <f>ROUND(('1.4.조성법총괄(내부이동률 적용)'!W$15*$AB216)+(BD$43*$AC216),0)</f>
        <v>195</v>
      </c>
      <c r="AB216" s="936">
        <f>+H216/'1.4.조성법총괄(내부이동률 적용)'!$D$15</f>
        <v>8.5904778186169754E-3</v>
      </c>
      <c r="AC216" s="936"/>
      <c r="AD216" s="713"/>
      <c r="AE216" s="711"/>
      <c r="AF216" s="712"/>
      <c r="AG216" s="712"/>
      <c r="AH216" s="712"/>
      <c r="AI216" s="712"/>
      <c r="AJ216" s="712"/>
      <c r="AK216" s="712"/>
      <c r="AL216" s="712"/>
      <c r="AM216" s="712"/>
      <c r="AN216" s="712"/>
      <c r="AO216" s="712"/>
      <c r="AP216" s="712"/>
      <c r="AQ216" s="712"/>
      <c r="AR216" s="712"/>
      <c r="AS216" s="712"/>
      <c r="AT216" s="712"/>
      <c r="AU216" s="712"/>
      <c r="AV216" s="712"/>
      <c r="AW216" s="712"/>
      <c r="AX216" s="712"/>
      <c r="AY216" s="712"/>
      <c r="AZ216" s="712"/>
      <c r="BA216" s="712"/>
      <c r="BB216" s="712"/>
      <c r="BC216" s="712"/>
      <c r="BD216" s="712"/>
      <c r="BE216" s="712"/>
    </row>
    <row r="217" spans="1:57" s="599" customFormat="1" ht="24" customHeight="1">
      <c r="A217" s="2635" t="s">
        <v>1076</v>
      </c>
      <c r="B217" s="2635"/>
      <c r="C217" s="2635" t="s">
        <v>32</v>
      </c>
      <c r="D217" s="2635"/>
      <c r="E217" s="2635"/>
      <c r="F217" s="713"/>
      <c r="G217" s="907">
        <f t="shared" ref="G217" si="136">SUM(G218:G218)</f>
        <v>0</v>
      </c>
      <c r="H217" s="907">
        <f>SUM(H218:H220)</f>
        <v>569</v>
      </c>
      <c r="I217" s="925">
        <f t="shared" ref="I217:AA217" si="137">SUM(I218:I220)</f>
        <v>567</v>
      </c>
      <c r="J217" s="925">
        <f t="shared" si="137"/>
        <v>547</v>
      </c>
      <c r="K217" s="925">
        <f t="shared" si="137"/>
        <v>546</v>
      </c>
      <c r="L217" s="907">
        <f t="shared" si="137"/>
        <v>545</v>
      </c>
      <c r="M217" s="925">
        <f t="shared" si="137"/>
        <v>545</v>
      </c>
      <c r="N217" s="925">
        <f t="shared" si="137"/>
        <v>546</v>
      </c>
      <c r="O217" s="925">
        <f t="shared" si="137"/>
        <v>547</v>
      </c>
      <c r="P217" s="925">
        <f t="shared" si="137"/>
        <v>547</v>
      </c>
      <c r="Q217" s="907">
        <f t="shared" si="137"/>
        <v>515</v>
      </c>
      <c r="R217" s="925">
        <f t="shared" si="137"/>
        <v>515</v>
      </c>
      <c r="S217" s="925">
        <f t="shared" si="137"/>
        <v>515</v>
      </c>
      <c r="T217" s="925">
        <f t="shared" si="137"/>
        <v>513</v>
      </c>
      <c r="U217" s="925">
        <f t="shared" si="137"/>
        <v>513</v>
      </c>
      <c r="V217" s="715">
        <f t="shared" si="137"/>
        <v>513</v>
      </c>
      <c r="W217" s="714">
        <f t="shared" si="137"/>
        <v>511</v>
      </c>
      <c r="X217" s="714">
        <f t="shared" si="137"/>
        <v>510</v>
      </c>
      <c r="Y217" s="714">
        <f t="shared" si="137"/>
        <v>508</v>
      </c>
      <c r="Z217" s="714">
        <f t="shared" si="137"/>
        <v>507</v>
      </c>
      <c r="AA217" s="715">
        <f t="shared" si="137"/>
        <v>506</v>
      </c>
      <c r="AB217" s="713"/>
      <c r="AC217" s="936"/>
      <c r="AD217" s="713"/>
      <c r="AE217" s="1"/>
      <c r="AF217" s="712"/>
      <c r="AG217" s="712"/>
      <c r="AH217" s="712"/>
      <c r="AI217" s="712"/>
      <c r="AJ217" s="712"/>
      <c r="AK217" s="712"/>
      <c r="AL217" s="712"/>
      <c r="AM217" s="712"/>
      <c r="AN217" s="712"/>
      <c r="AO217" s="712"/>
      <c r="AP217" s="712"/>
      <c r="AQ217" s="712"/>
      <c r="AR217" s="712"/>
      <c r="AS217" s="712"/>
      <c r="AT217" s="712"/>
      <c r="AU217" s="712"/>
      <c r="AV217" s="712"/>
      <c r="AW217" s="712"/>
      <c r="AX217" s="712"/>
      <c r="AY217" s="712"/>
      <c r="AZ217" s="712"/>
      <c r="BA217" s="712"/>
      <c r="BB217" s="712"/>
      <c r="BC217" s="712"/>
      <c r="BD217" s="712"/>
      <c r="BE217" s="712"/>
    </row>
    <row r="218" spans="1:57" s="599" customFormat="1" ht="24" customHeight="1">
      <c r="A218" s="2635"/>
      <c r="B218" s="2635"/>
      <c r="C218" s="2635" t="s">
        <v>1077</v>
      </c>
      <c r="D218" s="2635" t="s">
        <v>1078</v>
      </c>
      <c r="E218" s="1814" t="s">
        <v>1079</v>
      </c>
      <c r="F218" s="713"/>
      <c r="G218" s="937">
        <f>+'2014처리구역인구 정리'!I185</f>
        <v>0</v>
      </c>
      <c r="H218" s="1010">
        <f>+'2014처리구역인구 정리'!J183</f>
        <v>255</v>
      </c>
      <c r="I218" s="925">
        <f>ROUND(('1.4.조성법총괄(내부이동률 적용)'!E$65*$AB218)+(AL$110*$AC218),0)</f>
        <v>254</v>
      </c>
      <c r="J218" s="925">
        <f>ROUND(('1.4.조성법총괄(내부이동률 적용)'!F$65*$AB218)+(AM$110*$AC218),0)</f>
        <v>245</v>
      </c>
      <c r="K218" s="925">
        <f>ROUND(('1.4.조성법총괄(내부이동률 적용)'!G$65*$AB218)+(AN$110*$AC218),0)</f>
        <v>245</v>
      </c>
      <c r="L218" s="907">
        <f>ROUND(('1.4.조성법총괄(내부이동률 적용)'!H$65*$AB218)+(AO$110*$AC218),0)</f>
        <v>244</v>
      </c>
      <c r="M218" s="925">
        <f>ROUND(('1.4.조성법총괄(내부이동률 적용)'!I$65*$AB218)+(AP$110*$AC218),0)</f>
        <v>244</v>
      </c>
      <c r="N218" s="925">
        <f>ROUND(('1.4.조성법총괄(내부이동률 적용)'!J$65*$AB218)+(AQ$110*$AC218),0)</f>
        <v>245</v>
      </c>
      <c r="O218" s="925">
        <f>ROUND(('1.4.조성법총괄(내부이동률 적용)'!K$65*$AB218)+(AR$110*$AC218),0)</f>
        <v>245</v>
      </c>
      <c r="P218" s="925">
        <f>ROUND(('1.4.조성법총괄(내부이동률 적용)'!L$65*$AB218)+(AS$110*$AC218),0)</f>
        <v>245</v>
      </c>
      <c r="Q218" s="907">
        <f>ROUND(('1.4.조성법총괄(내부이동률 적용)'!M$65*$AB218)+(AT$110*$AC218),0)</f>
        <v>231</v>
      </c>
      <c r="R218" s="925">
        <f>ROUND(('1.4.조성법총괄(내부이동률 적용)'!N$65*$AB218)+(AU$110*$AC218),0)</f>
        <v>231</v>
      </c>
      <c r="S218" s="925">
        <f>ROUND(('1.4.조성법총괄(내부이동률 적용)'!O$65*$AB218)+(AV$110*$AC218),0)</f>
        <v>231</v>
      </c>
      <c r="T218" s="925">
        <f>ROUND(('1.4.조성법총괄(내부이동률 적용)'!P$65*$AB218)+(AW$110*$AC218),0)</f>
        <v>230</v>
      </c>
      <c r="U218" s="925">
        <f>ROUND(('1.4.조성법총괄(내부이동률 적용)'!Q$65*$AB218)+(AX$110*$AC218),0)</f>
        <v>230</v>
      </c>
      <c r="V218" s="715">
        <f>ROUND(('1.4.조성법총괄(내부이동률 적용)'!R$65*$AB218)+(AY$110*$AC218),0)</f>
        <v>230</v>
      </c>
      <c r="W218" s="714">
        <f>ROUND(('1.4.조성법총괄(내부이동률 적용)'!S$65*$AB218)+(AZ$110*$AC218),0)</f>
        <v>229</v>
      </c>
      <c r="X218" s="714">
        <f>ROUND(('1.4.조성법총괄(내부이동률 적용)'!T$65*$AB218)+(BA$110*$AC218),0)</f>
        <v>228</v>
      </c>
      <c r="Y218" s="714">
        <f>ROUND(('1.4.조성법총괄(내부이동률 적용)'!U$65*$AB218)+(BB$110*$AC218),0)</f>
        <v>228</v>
      </c>
      <c r="Z218" s="714">
        <f>ROUND(('1.4.조성법총괄(내부이동률 적용)'!V$65*$AB218)+(BC$110*$AC218),0)</f>
        <v>227</v>
      </c>
      <c r="AA218" s="715">
        <f>ROUND(('1.4.조성법총괄(내부이동률 적용)'!W$65*$AB218)+(BD$110*$AC218),0)</f>
        <v>227</v>
      </c>
      <c r="AB218" s="936">
        <f>+H218/'1.4.조성법총괄(내부이동률 적용)'!$D$65</f>
        <v>2.2382164486965679E-2</v>
      </c>
      <c r="AC218" s="936"/>
      <c r="AD218" s="713"/>
      <c r="AE218" s="1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</row>
    <row r="219" spans="1:57" s="599" customFormat="1" ht="24" customHeight="1">
      <c r="A219" s="2635"/>
      <c r="B219" s="2635"/>
      <c r="C219" s="2635"/>
      <c r="D219" s="2635"/>
      <c r="E219" s="1814" t="s">
        <v>2230</v>
      </c>
      <c r="F219" s="713"/>
      <c r="G219" s="937"/>
      <c r="H219" s="1010">
        <f>+'2014처리구역인구 정리'!J184</f>
        <v>81</v>
      </c>
      <c r="I219" s="925">
        <f>ROUND(('1.4.조성법총괄(내부이동률 적용)'!E$65*$AB219)+(AL$110*$AC219),0)</f>
        <v>81</v>
      </c>
      <c r="J219" s="925">
        <f>ROUND(('1.4.조성법총괄(내부이동률 적용)'!F$65*$AB219)+(AM$110*$AC219),0)</f>
        <v>78</v>
      </c>
      <c r="K219" s="925">
        <f>ROUND(('1.4.조성법총괄(내부이동률 적용)'!G$65*$AB219)+(AN$110*$AC219),0)</f>
        <v>78</v>
      </c>
      <c r="L219" s="907">
        <f>ROUND(('1.4.조성법총괄(내부이동률 적용)'!H$65*$AB219)+(AO$110*$AC219),0)</f>
        <v>78</v>
      </c>
      <c r="M219" s="925">
        <f>ROUND(('1.4.조성법총괄(내부이동률 적용)'!I$65*$AB219)+(AP$110*$AC219),0)</f>
        <v>78</v>
      </c>
      <c r="N219" s="925">
        <f>ROUND(('1.4.조성법총괄(내부이동률 적용)'!J$65*$AB219)+(AQ$110*$AC219),0)</f>
        <v>78</v>
      </c>
      <c r="O219" s="925">
        <f>ROUND(('1.4.조성법총괄(내부이동률 적용)'!K$65*$AB219)+(AR$110*$AC219),0)</f>
        <v>78</v>
      </c>
      <c r="P219" s="925">
        <f>ROUND(('1.4.조성법총괄(내부이동률 적용)'!L$65*$AB219)+(AS$110*$AC219),0)</f>
        <v>78</v>
      </c>
      <c r="Q219" s="907">
        <f>ROUND(('1.4.조성법총괄(내부이동률 적용)'!M$65*$AB219)+(AT$110*$AC219),0)</f>
        <v>73</v>
      </c>
      <c r="R219" s="925">
        <f>ROUND(('1.4.조성법총괄(내부이동률 적용)'!N$65*$AB219)+(AU$110*$AC219),0)</f>
        <v>73</v>
      </c>
      <c r="S219" s="925">
        <f>ROUND(('1.4.조성법총괄(내부이동률 적용)'!O$65*$AB219)+(AV$110*$AC219),0)</f>
        <v>73</v>
      </c>
      <c r="T219" s="925">
        <f>ROUND(('1.4.조성법총괄(내부이동률 적용)'!P$65*$AB219)+(AW$110*$AC219),0)</f>
        <v>73</v>
      </c>
      <c r="U219" s="925">
        <f>ROUND(('1.4.조성법총괄(내부이동률 적용)'!Q$65*$AB219)+(AX$110*$AC219),0)</f>
        <v>73</v>
      </c>
      <c r="V219" s="715">
        <f>ROUND(('1.4.조성법총괄(내부이동률 적용)'!R$65*$AB219)+(AY$110*$AC219),0)</f>
        <v>73</v>
      </c>
      <c r="W219" s="714">
        <f>ROUND(('1.4.조성법총괄(내부이동률 적용)'!S$65*$AB219)+(AZ$110*$AC219),0)</f>
        <v>73</v>
      </c>
      <c r="X219" s="714">
        <f>ROUND(('1.4.조성법총괄(내부이동률 적용)'!T$65*$AB219)+(BA$110*$AC219),0)</f>
        <v>73</v>
      </c>
      <c r="Y219" s="714">
        <f>ROUND(('1.4.조성법총괄(내부이동률 적용)'!U$65*$AB219)+(BB$110*$AC219),0)</f>
        <v>72</v>
      </c>
      <c r="Z219" s="714">
        <f>ROUND(('1.4.조성법총괄(내부이동률 적용)'!V$65*$AB219)+(BC$110*$AC219),0)</f>
        <v>72</v>
      </c>
      <c r="AA219" s="715">
        <f>ROUND(('1.4.조성법총괄(내부이동률 적용)'!W$65*$AB219)+(BD$110*$AC219),0)</f>
        <v>72</v>
      </c>
      <c r="AB219" s="936">
        <f>+H219/'1.4.조성법총괄(내부이동률 적용)'!$D$65</f>
        <v>7.1096287193890984E-3</v>
      </c>
      <c r="AC219" s="936"/>
      <c r="AD219" s="713"/>
      <c r="AE219" s="711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</row>
    <row r="220" spans="1:57" customFormat="1" ht="24" customHeight="1">
      <c r="A220" s="2635"/>
      <c r="B220" s="2635"/>
      <c r="C220" s="2635"/>
      <c r="D220" s="1814" t="s">
        <v>2229</v>
      </c>
      <c r="E220" s="1814" t="s">
        <v>2231</v>
      </c>
      <c r="F220" s="713"/>
      <c r="G220" s="937"/>
      <c r="H220" s="1010">
        <f>+'2014처리구역인구 정리'!J185</f>
        <v>233</v>
      </c>
      <c r="I220" s="925">
        <f>ROUND(('1.4.조성법총괄(내부이동률 적용)'!E$65*$AB220)+(AL$110*$AC220),0)</f>
        <v>232</v>
      </c>
      <c r="J220" s="925">
        <f>ROUND(('1.4.조성법총괄(내부이동률 적용)'!F$65*$AB220)+(AM$110*$AC220),0)</f>
        <v>224</v>
      </c>
      <c r="K220" s="925">
        <f>ROUND(('1.4.조성법총괄(내부이동률 적용)'!G$65*$AB220)+(AN$110*$AC220),0)</f>
        <v>223</v>
      </c>
      <c r="L220" s="907">
        <f>ROUND(('1.4.조성법총괄(내부이동률 적용)'!H$65*$AB220)+(AO$110*$AC220),0)</f>
        <v>223</v>
      </c>
      <c r="M220" s="925">
        <f>ROUND(('1.4.조성법총괄(내부이동률 적용)'!I$65*$AB220)+(AP$110*$AC220),0)</f>
        <v>223</v>
      </c>
      <c r="N220" s="925">
        <f>ROUND(('1.4.조성법총괄(내부이동률 적용)'!J$65*$AB220)+(AQ$110*$AC220),0)</f>
        <v>223</v>
      </c>
      <c r="O220" s="925">
        <f>ROUND(('1.4.조성법총괄(내부이동률 적용)'!K$65*$AB220)+(AR$110*$AC220),0)</f>
        <v>224</v>
      </c>
      <c r="P220" s="925">
        <f>ROUND(('1.4.조성법총괄(내부이동률 적용)'!L$65*$AB220)+(AS$110*$AC220),0)</f>
        <v>224</v>
      </c>
      <c r="Q220" s="907">
        <f>ROUND(('1.4.조성법총괄(내부이동률 적용)'!M$65*$AB220)+(AT$110*$AC220),0)</f>
        <v>211</v>
      </c>
      <c r="R220" s="925">
        <f>ROUND(('1.4.조성법총괄(내부이동률 적용)'!N$65*$AB220)+(AU$110*$AC220),0)</f>
        <v>211</v>
      </c>
      <c r="S220" s="925">
        <f>ROUND(('1.4.조성법총괄(내부이동률 적용)'!O$65*$AB220)+(AV$110*$AC220),0)</f>
        <v>211</v>
      </c>
      <c r="T220" s="925">
        <f>ROUND(('1.4.조성법총괄(내부이동률 적용)'!P$65*$AB220)+(AW$110*$AC220),0)</f>
        <v>210</v>
      </c>
      <c r="U220" s="925">
        <f>ROUND(('1.4.조성법총괄(내부이동률 적용)'!Q$65*$AB220)+(AX$110*$AC220),0)</f>
        <v>210</v>
      </c>
      <c r="V220" s="715">
        <f>ROUND(('1.4.조성법총괄(내부이동률 적용)'!R$65*$AB220)+(AY$110*$AC220),0)</f>
        <v>210</v>
      </c>
      <c r="W220" s="714">
        <f>ROUND(('1.4.조성법총괄(내부이동률 적용)'!S$65*$AB220)+(AZ$110*$AC220),0)</f>
        <v>209</v>
      </c>
      <c r="X220" s="714">
        <f>ROUND(('1.4.조성법총괄(내부이동률 적용)'!T$65*$AB220)+(BA$110*$AC220),0)</f>
        <v>209</v>
      </c>
      <c r="Y220" s="714">
        <f>ROUND(('1.4.조성법총괄(내부이동률 적용)'!U$65*$AB220)+(BB$110*$AC220),0)</f>
        <v>208</v>
      </c>
      <c r="Z220" s="714">
        <f>ROUND(('1.4.조성법총괄(내부이동률 적용)'!V$65*$AB220)+(BC$110*$AC220),0)</f>
        <v>208</v>
      </c>
      <c r="AA220" s="715">
        <f>ROUND(('1.4.조성법총괄(내부이동률 적용)'!W$65*$AB220)+(BD$110*$AC220),0)</f>
        <v>207</v>
      </c>
      <c r="AB220" s="936">
        <f>+H220/'1.4.조성법총괄(내부이동률 적용)'!$D$65</f>
        <v>2.0451154217501974E-2</v>
      </c>
      <c r="AC220" s="936"/>
      <c r="AD220" s="713"/>
      <c r="AE220" s="711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</row>
    <row r="221" spans="1:57" s="599" customFormat="1" ht="24" customHeight="1">
      <c r="A221" s="34"/>
      <c r="B221" s="34"/>
      <c r="C221" s="34"/>
      <c r="D221" s="34"/>
      <c r="E221" s="34"/>
      <c r="F221" s="1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712"/>
      <c r="AG221" s="712"/>
      <c r="AH221" s="712"/>
      <c r="AI221" s="712"/>
      <c r="AJ221" s="712"/>
      <c r="AK221" s="712"/>
      <c r="AL221" s="712"/>
      <c r="AM221" s="712"/>
      <c r="AN221" s="712"/>
      <c r="AO221" s="712"/>
      <c r="AP221" s="712"/>
      <c r="AQ221" s="712"/>
      <c r="AR221" s="712"/>
      <c r="AS221" s="712"/>
      <c r="AT221" s="712"/>
      <c r="AU221" s="712"/>
      <c r="AV221" s="712"/>
      <c r="AW221" s="712"/>
      <c r="AX221" s="712"/>
      <c r="AY221" s="712"/>
      <c r="AZ221" s="712"/>
      <c r="BA221" s="712"/>
      <c r="BB221" s="712"/>
      <c r="BC221" s="712"/>
      <c r="BD221" s="712"/>
      <c r="BE221" s="712"/>
    </row>
    <row r="222" spans="1:57" s="599" customFormat="1" ht="24" customHeight="1">
      <c r="A222" s="1239" t="s">
        <v>2262</v>
      </c>
      <c r="B222" s="1239"/>
      <c r="C222" s="1239"/>
      <c r="D222" s="1239"/>
      <c r="E222" s="1239"/>
      <c r="F222" s="1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712"/>
      <c r="AG222" s="712"/>
      <c r="AH222" s="712"/>
      <c r="AI222" s="712"/>
      <c r="AJ222" s="712"/>
      <c r="AK222" s="712"/>
      <c r="AL222" s="712"/>
      <c r="AM222" s="712"/>
      <c r="AN222" s="712"/>
      <c r="AO222" s="712"/>
      <c r="AP222" s="712"/>
      <c r="AQ222" s="712"/>
      <c r="AR222" s="712"/>
      <c r="AS222" s="712"/>
      <c r="AT222" s="712"/>
      <c r="AU222" s="712"/>
      <c r="AV222" s="712"/>
      <c r="AW222" s="712"/>
      <c r="AX222" s="712"/>
      <c r="AY222" s="712"/>
      <c r="AZ222" s="712"/>
      <c r="BA222" s="712"/>
      <c r="BB222" s="712"/>
      <c r="BC222" s="712"/>
      <c r="BD222" s="712"/>
      <c r="BE222" s="712"/>
    </row>
    <row r="223" spans="1:57" customFormat="1" ht="24" customHeight="1">
      <c r="A223" s="736" t="s">
        <v>0</v>
      </c>
      <c r="B223" s="736" t="s">
        <v>1</v>
      </c>
      <c r="C223" s="737" t="s">
        <v>2</v>
      </c>
      <c r="D223" s="737" t="s">
        <v>3</v>
      </c>
      <c r="E223" s="737" t="s">
        <v>4</v>
      </c>
      <c r="F223" s="737">
        <v>2013</v>
      </c>
      <c r="G223" s="737">
        <v>2015</v>
      </c>
      <c r="H223" s="737">
        <v>2016</v>
      </c>
      <c r="I223" s="737">
        <v>2017</v>
      </c>
      <c r="J223" s="737">
        <v>2018</v>
      </c>
      <c r="K223" s="737">
        <v>2019</v>
      </c>
      <c r="L223" s="737">
        <v>2020</v>
      </c>
      <c r="M223" s="737">
        <v>2021</v>
      </c>
      <c r="N223" s="737">
        <v>2022</v>
      </c>
      <c r="O223" s="737">
        <v>2023</v>
      </c>
      <c r="P223" s="737">
        <v>2024</v>
      </c>
      <c r="Q223" s="737">
        <v>2025</v>
      </c>
      <c r="R223" s="737">
        <v>2026</v>
      </c>
      <c r="S223" s="737">
        <v>2027</v>
      </c>
      <c r="T223" s="737">
        <v>2028</v>
      </c>
      <c r="U223" s="737">
        <v>2029</v>
      </c>
      <c r="V223" s="737">
        <v>2030</v>
      </c>
      <c r="W223" s="737">
        <v>2031</v>
      </c>
      <c r="X223" s="737">
        <v>2032</v>
      </c>
      <c r="Y223" s="737">
        <v>2033</v>
      </c>
      <c r="Z223" s="737">
        <v>2034</v>
      </c>
      <c r="AA223" s="737">
        <v>2035</v>
      </c>
      <c r="AB223" s="736" t="s">
        <v>140</v>
      </c>
      <c r="AC223" s="736" t="s">
        <v>141</v>
      </c>
      <c r="AD223" s="737" t="s">
        <v>139</v>
      </c>
      <c r="AE223" s="674" t="str">
        <f>A222</f>
        <v>1.10 소규모(기존) 처리구역 인구</v>
      </c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</row>
    <row r="224" spans="1:57" customFormat="1" ht="24" customHeight="1">
      <c r="A224" s="2671" t="s">
        <v>1081</v>
      </c>
      <c r="B224" s="2672"/>
      <c r="C224" s="2636" t="s">
        <v>7</v>
      </c>
      <c r="D224" s="2636"/>
      <c r="E224" s="2636"/>
      <c r="F224" s="713"/>
      <c r="G224" s="922">
        <f t="shared" ref="G224:AA224" si="138">SUM(G225:G227)</f>
        <v>878</v>
      </c>
      <c r="H224" s="922">
        <f t="shared" ref="H224" si="139">SUM(H225:H227)</f>
        <v>1024</v>
      </c>
      <c r="I224" s="922">
        <f t="shared" si="138"/>
        <v>1022</v>
      </c>
      <c r="J224" s="922">
        <f t="shared" si="138"/>
        <v>1021</v>
      </c>
      <c r="K224" s="922">
        <f t="shared" si="138"/>
        <v>929</v>
      </c>
      <c r="L224" s="922">
        <f t="shared" si="138"/>
        <v>974</v>
      </c>
      <c r="M224" s="922">
        <f t="shared" si="138"/>
        <v>981</v>
      </c>
      <c r="N224" s="922">
        <f t="shared" si="138"/>
        <v>986</v>
      </c>
      <c r="O224" s="922">
        <f t="shared" si="138"/>
        <v>993</v>
      </c>
      <c r="P224" s="922">
        <f t="shared" si="138"/>
        <v>999</v>
      </c>
      <c r="Q224" s="922">
        <f t="shared" si="138"/>
        <v>993</v>
      </c>
      <c r="R224" s="922">
        <f t="shared" si="138"/>
        <v>998</v>
      </c>
      <c r="S224" s="922">
        <f t="shared" si="138"/>
        <v>1002</v>
      </c>
      <c r="T224" s="922">
        <f t="shared" si="138"/>
        <v>1008</v>
      </c>
      <c r="U224" s="922">
        <f t="shared" si="138"/>
        <v>1012</v>
      </c>
      <c r="V224" s="922">
        <f t="shared" si="138"/>
        <v>1017</v>
      </c>
      <c r="W224" s="922">
        <f t="shared" si="138"/>
        <v>1023</v>
      </c>
      <c r="X224" s="922">
        <f t="shared" si="138"/>
        <v>1028</v>
      </c>
      <c r="Y224" s="922">
        <f t="shared" si="138"/>
        <v>1033</v>
      </c>
      <c r="Z224" s="922">
        <f t="shared" si="138"/>
        <v>1038</v>
      </c>
      <c r="AA224" s="922">
        <f t="shared" si="138"/>
        <v>990</v>
      </c>
      <c r="AB224" s="97"/>
      <c r="AC224" s="934"/>
      <c r="AD224" s="97"/>
      <c r="AE224" s="8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</row>
    <row r="225" spans="1:57" customFormat="1" ht="24" customHeight="1">
      <c r="A225" s="2673"/>
      <c r="B225" s="2674"/>
      <c r="C225" s="2636" t="s">
        <v>1036</v>
      </c>
      <c r="D225" s="2637" t="s">
        <v>1037</v>
      </c>
      <c r="E225" s="771" t="s">
        <v>1046</v>
      </c>
      <c r="F225" s="713"/>
      <c r="G225" s="922">
        <f>+'2014처리구역인구 정리'!I204</f>
        <v>279</v>
      </c>
      <c r="H225" s="922">
        <f>+'2014처리구역인구 정리'!J204</f>
        <v>325</v>
      </c>
      <c r="I225" s="925">
        <f>ROUND(('1.4.조성법총괄(내부이동률 적용)'!E$44*$AB225)+(AL$80*$AC225),0)</f>
        <v>324</v>
      </c>
      <c r="J225" s="925">
        <f>ROUND(('1.4.조성법총괄(내부이동률 적용)'!F$44*$AB225)+(AM$80*$AC225),0)</f>
        <v>324</v>
      </c>
      <c r="K225" s="925">
        <f>ROUND(('1.4.조성법총괄(내부이동률 적용)'!G$44*$AB225)+(AN$80*$AC225),0)</f>
        <v>295</v>
      </c>
      <c r="L225" s="907">
        <f>ROUND(('1.4.조성법총괄(내부이동률 적용)'!H$44*$AB225)+(AO$80*$AC225),0)</f>
        <v>309</v>
      </c>
      <c r="M225" s="925">
        <f>ROUND(('1.4.조성법총괄(내부이동률 적용)'!I$44*$AB225)+(AP$80*$AC225),0)</f>
        <v>311</v>
      </c>
      <c r="N225" s="925">
        <f>ROUND(('1.4.조성법총괄(내부이동률 적용)'!J$44*$AB225)+(AQ$80*$AC225),0)</f>
        <v>313</v>
      </c>
      <c r="O225" s="925">
        <f>ROUND(('1.4.조성법총괄(내부이동률 적용)'!K$44*$AB225)+(AR$80*$AC225),0)</f>
        <v>315</v>
      </c>
      <c r="P225" s="925">
        <f>ROUND(('1.4.조성법총괄(내부이동률 적용)'!L$44*$AB225)+(AS$80*$AC225),0)</f>
        <v>317</v>
      </c>
      <c r="Q225" s="907">
        <f>ROUND(('1.4.조성법총괄(내부이동률 적용)'!M$44*$AB225)+(AT$80*$AC225),0)</f>
        <v>315</v>
      </c>
      <c r="R225" s="925">
        <f>ROUND(('1.4.조성법총괄(내부이동률 적용)'!N$44*$AB225)+(AU$80*$AC225),0)</f>
        <v>317</v>
      </c>
      <c r="S225" s="925">
        <f>ROUND(('1.4.조성법총괄(내부이동률 적용)'!O$44*$AB225)+(AV$80*$AC225),0)</f>
        <v>318</v>
      </c>
      <c r="T225" s="925">
        <f>ROUND(('1.4.조성법총괄(내부이동률 적용)'!P$44*$AB225)+(AW$80*$AC225),0)</f>
        <v>320</v>
      </c>
      <c r="U225" s="925">
        <f>ROUND(('1.4.조성법총괄(내부이동률 적용)'!Q$44*$AB225)+(AX$80*$AC225),0)</f>
        <v>321</v>
      </c>
      <c r="V225" s="715">
        <f>ROUND(('1.4.조성법총괄(내부이동률 적용)'!R$44*$AB225)+(AY$80*$AC225),0)</f>
        <v>323</v>
      </c>
      <c r="W225" s="714">
        <f>ROUND(('1.4.조성법총괄(내부이동률 적용)'!S$44*$AB225)+(AZ$80*$AC225),0)</f>
        <v>325</v>
      </c>
      <c r="X225" s="714">
        <f>ROUND(('1.4.조성법총괄(내부이동률 적용)'!T$44*$AB225)+(BA$80*$AC225),0)</f>
        <v>326</v>
      </c>
      <c r="Y225" s="714">
        <f>ROUND(('1.4.조성법총괄(내부이동률 적용)'!U$44*$AB225)+(BB$80*$AC225),0)</f>
        <v>328</v>
      </c>
      <c r="Z225" s="714">
        <f>ROUND(('1.4.조성법총괄(내부이동률 적용)'!V$44*$AB225)+(BC$80*$AC225),0)</f>
        <v>329</v>
      </c>
      <c r="AA225" s="715">
        <f>ROUND(('1.4.조성법총괄(내부이동률 적용)'!W$44*$AB225)+(BD$80*$AC225),0)</f>
        <v>314</v>
      </c>
      <c r="AB225" s="934">
        <f>+H225/'1.4.조성법총괄(내부이동률 적용)'!$D$44</f>
        <v>1.7338881775501493E-2</v>
      </c>
      <c r="AC225" s="934"/>
      <c r="AD225" s="97"/>
      <c r="AE225" s="8"/>
      <c r="AF225" s="712"/>
      <c r="AG225" s="712"/>
      <c r="AH225" s="712"/>
      <c r="AI225" s="712"/>
      <c r="AJ225" s="712"/>
      <c r="AK225" s="712"/>
      <c r="AL225" s="712"/>
      <c r="AM225" s="712"/>
      <c r="AN225" s="712"/>
      <c r="AO225" s="712"/>
      <c r="AP225" s="712"/>
      <c r="AQ225" s="712"/>
      <c r="AR225" s="712"/>
      <c r="AS225" s="712"/>
      <c r="AT225" s="712"/>
      <c r="AU225" s="712"/>
      <c r="AV225" s="712"/>
      <c r="AW225" s="712"/>
      <c r="AX225" s="712"/>
      <c r="AY225" s="712"/>
      <c r="AZ225" s="712"/>
      <c r="BA225" s="712"/>
      <c r="BB225" s="712"/>
      <c r="BC225" s="712"/>
      <c r="BD225" s="712"/>
      <c r="BE225" s="712"/>
    </row>
    <row r="226" spans="1:57" s="712" customFormat="1" ht="24" customHeight="1">
      <c r="A226" s="2673"/>
      <c r="B226" s="2674"/>
      <c r="C226" s="2636"/>
      <c r="D226" s="2637"/>
      <c r="E226" s="771" t="s">
        <v>1047</v>
      </c>
      <c r="F226" s="713"/>
      <c r="G226" s="922">
        <f>+'2014처리구역인구 정리'!I205</f>
        <v>374</v>
      </c>
      <c r="H226" s="922">
        <f>+'2014처리구역인구 정리'!J205</f>
        <v>431</v>
      </c>
      <c r="I226" s="925">
        <f>ROUND(('1.4.조성법총괄(내부이동률 적용)'!E$44*$AB226)+(AL$80*$AC226),0)</f>
        <v>430</v>
      </c>
      <c r="J226" s="925">
        <f>ROUND(('1.4.조성법총괄(내부이동률 적용)'!F$44*$AB226)+(AM$80*$AC226),0)</f>
        <v>430</v>
      </c>
      <c r="K226" s="925">
        <f>ROUND(('1.4.조성법총괄(내부이동률 적용)'!G$44*$AB226)+(AN$80*$AC226),0)</f>
        <v>391</v>
      </c>
      <c r="L226" s="907">
        <f>ROUND(('1.4.조성법총괄(내부이동률 적용)'!H$44*$AB226)+(AO$80*$AC226),0)</f>
        <v>410</v>
      </c>
      <c r="M226" s="925">
        <f>ROUND(('1.4.조성법총괄(내부이동률 적용)'!I$44*$AB226)+(AP$80*$AC226),0)</f>
        <v>413</v>
      </c>
      <c r="N226" s="925">
        <f>ROUND(('1.4.조성법총괄(내부이동률 적용)'!J$44*$AB226)+(AQ$80*$AC226),0)</f>
        <v>415</v>
      </c>
      <c r="O226" s="925">
        <f>ROUND(('1.4.조성법총괄(내부이동률 적용)'!K$44*$AB226)+(AR$80*$AC226),0)</f>
        <v>418</v>
      </c>
      <c r="P226" s="925">
        <f>ROUND(('1.4.조성법총괄(내부이동률 적용)'!L$44*$AB226)+(AS$80*$AC226),0)</f>
        <v>421</v>
      </c>
      <c r="Q226" s="907">
        <f>ROUND(('1.4.조성법총괄(내부이동률 적용)'!M$44*$AB226)+(AT$80*$AC226),0)</f>
        <v>418</v>
      </c>
      <c r="R226" s="925">
        <f>ROUND(('1.4.조성법총괄(내부이동률 적용)'!N$44*$AB226)+(AU$80*$AC226),0)</f>
        <v>420</v>
      </c>
      <c r="S226" s="925">
        <f>ROUND(('1.4.조성법총괄(내부이동률 적용)'!O$44*$AB226)+(AV$80*$AC226),0)</f>
        <v>422</v>
      </c>
      <c r="T226" s="925">
        <f>ROUND(('1.4.조성법총괄(내부이동률 적용)'!P$44*$AB226)+(AW$80*$AC226),0)</f>
        <v>424</v>
      </c>
      <c r="U226" s="925">
        <f>ROUND(('1.4.조성법총괄(내부이동률 적용)'!Q$44*$AB226)+(AX$80*$AC226),0)</f>
        <v>426</v>
      </c>
      <c r="V226" s="715">
        <f>ROUND(('1.4.조성법총괄(내부이동률 적용)'!R$44*$AB226)+(AY$80*$AC226),0)</f>
        <v>428</v>
      </c>
      <c r="W226" s="714">
        <f>ROUND(('1.4.조성법총괄(내부이동률 적용)'!S$44*$AB226)+(AZ$80*$AC226),0)</f>
        <v>430</v>
      </c>
      <c r="X226" s="714">
        <f>ROUND(('1.4.조성법총괄(내부이동률 적용)'!T$44*$AB226)+(BA$80*$AC226),0)</f>
        <v>433</v>
      </c>
      <c r="Y226" s="714">
        <f>ROUND(('1.4.조성법총괄(내부이동률 적용)'!U$44*$AB226)+(BB$80*$AC226),0)</f>
        <v>435</v>
      </c>
      <c r="Z226" s="714">
        <f>ROUND(('1.4.조성법총괄(내부이동률 적용)'!V$44*$AB226)+(BC$80*$AC226),0)</f>
        <v>437</v>
      </c>
      <c r="AA226" s="715">
        <f>ROUND(('1.4.조성법총괄(내부이동률 적용)'!W$44*$AB226)+(BD$80*$AC226),0)</f>
        <v>417</v>
      </c>
      <c r="AB226" s="934">
        <f>+H226/'1.4.조성법총괄(내부이동률 적용)'!$D$44</f>
        <v>2.2994024754588133E-2</v>
      </c>
      <c r="AC226" s="934"/>
      <c r="AD226" s="97"/>
      <c r="AE226" s="8"/>
      <c r="AF226" s="599"/>
      <c r="AG226" s="599"/>
      <c r="AH226" s="599"/>
      <c r="AI226" s="599"/>
      <c r="AJ226" s="599"/>
      <c r="AK226" s="599"/>
      <c r="AL226" s="599"/>
      <c r="AM226" s="599"/>
      <c r="AN226" s="599"/>
      <c r="AO226" s="599"/>
      <c r="AP226" s="599"/>
      <c r="AQ226" s="599"/>
      <c r="AR226" s="599"/>
      <c r="AS226" s="599"/>
      <c r="AT226" s="599"/>
      <c r="AU226" s="599"/>
      <c r="AV226" s="599"/>
      <c r="AW226" s="599"/>
      <c r="AX226" s="599"/>
      <c r="AY226" s="599"/>
      <c r="AZ226" s="599"/>
      <c r="BA226" s="599"/>
      <c r="BB226" s="599"/>
      <c r="BC226" s="599"/>
      <c r="BD226" s="599"/>
      <c r="BE226" s="599"/>
    </row>
    <row r="227" spans="1:57" ht="24" customHeight="1">
      <c r="A227" s="2675"/>
      <c r="B227" s="2676"/>
      <c r="C227" s="2636"/>
      <c r="D227" s="2637"/>
      <c r="E227" s="771" t="s">
        <v>1048</v>
      </c>
      <c r="F227" s="713"/>
      <c r="G227" s="922">
        <f>+'2014처리구역인구 정리'!I206</f>
        <v>225</v>
      </c>
      <c r="H227" s="922">
        <f>+'2014처리구역인구 정리'!J206</f>
        <v>268</v>
      </c>
      <c r="I227" s="925">
        <f>ROUND(('1.4.조성법총괄(내부이동률 적용)'!E$44*$AB227)+(AL$80*$AC227),0)</f>
        <v>268</v>
      </c>
      <c r="J227" s="925">
        <f>ROUND(('1.4.조성법총괄(내부이동률 적용)'!F$44*$AB227)+(AM$80*$AC227),0)</f>
        <v>267</v>
      </c>
      <c r="K227" s="925">
        <f>ROUND(('1.4.조성법총괄(내부이동률 적용)'!G$44*$AB227)+(AN$80*$AC227),0)</f>
        <v>243</v>
      </c>
      <c r="L227" s="907">
        <f>ROUND(('1.4.조성법총괄(내부이동률 적용)'!H$44*$AB227)+(AO$80*$AC227),0)</f>
        <v>255</v>
      </c>
      <c r="M227" s="925">
        <f>ROUND(('1.4.조성법총괄(내부이동률 적용)'!I$44*$AB227)+(AP$80*$AC227),0)</f>
        <v>257</v>
      </c>
      <c r="N227" s="925">
        <f>ROUND(('1.4.조성법총괄(내부이동률 적용)'!J$44*$AB227)+(AQ$80*$AC227),0)</f>
        <v>258</v>
      </c>
      <c r="O227" s="925">
        <f>ROUND(('1.4.조성법총괄(내부이동률 적용)'!K$44*$AB227)+(AR$80*$AC227),0)</f>
        <v>260</v>
      </c>
      <c r="P227" s="925">
        <f>ROUND(('1.4.조성법총괄(내부이동률 적용)'!L$44*$AB227)+(AS$80*$AC227),0)</f>
        <v>261</v>
      </c>
      <c r="Q227" s="907">
        <f>ROUND(('1.4.조성법총괄(내부이동률 적용)'!M$44*$AB227)+(AT$80*$AC227),0)</f>
        <v>260</v>
      </c>
      <c r="R227" s="925">
        <f>ROUND(('1.4.조성법총괄(내부이동률 적용)'!N$44*$AB227)+(AU$80*$AC227),0)</f>
        <v>261</v>
      </c>
      <c r="S227" s="925">
        <f>ROUND(('1.4.조성법총괄(내부이동률 적용)'!O$44*$AB227)+(AV$80*$AC227),0)</f>
        <v>262</v>
      </c>
      <c r="T227" s="925">
        <f>ROUND(('1.4.조성법총괄(내부이동률 적용)'!P$44*$AB227)+(AW$80*$AC227),0)</f>
        <v>264</v>
      </c>
      <c r="U227" s="925">
        <f>ROUND(('1.4.조성법총괄(내부이동률 적용)'!Q$44*$AB227)+(AX$80*$AC227),0)</f>
        <v>265</v>
      </c>
      <c r="V227" s="715">
        <f>ROUND(('1.4.조성법총괄(내부이동률 적용)'!R$44*$AB227)+(AY$80*$AC227),0)</f>
        <v>266</v>
      </c>
      <c r="W227" s="714">
        <f>ROUND(('1.4.조성법총괄(내부이동률 적용)'!S$44*$AB227)+(AZ$80*$AC227),0)</f>
        <v>268</v>
      </c>
      <c r="X227" s="714">
        <f>ROUND(('1.4.조성법총괄(내부이동률 적용)'!T$44*$AB227)+(BA$80*$AC227),0)</f>
        <v>269</v>
      </c>
      <c r="Y227" s="714">
        <f>ROUND(('1.4.조성법총괄(내부이동률 적용)'!U$44*$AB227)+(BB$80*$AC227),0)</f>
        <v>270</v>
      </c>
      <c r="Z227" s="714">
        <f>ROUND(('1.4.조성법총괄(내부이동률 적용)'!V$44*$AB227)+(BC$80*$AC227),0)</f>
        <v>272</v>
      </c>
      <c r="AA227" s="715">
        <f>ROUND(('1.4.조성법총괄(내부이동률 적용)'!W$44*$AB227)+(BD$80*$AC227),0)</f>
        <v>259</v>
      </c>
      <c r="AB227" s="934">
        <f>+H227/'1.4.조성법총괄(내부이동률 적용)'!$D$44</f>
        <v>1.4297908664105847E-2</v>
      </c>
      <c r="AC227" s="934"/>
      <c r="AD227" s="97"/>
      <c r="AE227" s="8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</row>
    <row r="228" spans="1:57" ht="24" customHeight="1">
      <c r="A228" s="2705" t="s">
        <v>1082</v>
      </c>
      <c r="B228" s="2706"/>
      <c r="C228" s="2636" t="s">
        <v>7</v>
      </c>
      <c r="D228" s="2636"/>
      <c r="E228" s="2636"/>
      <c r="F228" s="97"/>
      <c r="G228" s="922">
        <f>SUM(G229:G230)</f>
        <v>168</v>
      </c>
      <c r="H228" s="922">
        <f>SUM(H229:H230)</f>
        <v>188</v>
      </c>
      <c r="I228" s="923">
        <f t="shared" ref="I228:AA228" si="140">SUM(I229:I230)</f>
        <v>188</v>
      </c>
      <c r="J228" s="923">
        <f t="shared" si="140"/>
        <v>188</v>
      </c>
      <c r="K228" s="923">
        <f t="shared" si="140"/>
        <v>171</v>
      </c>
      <c r="L228" s="922">
        <f t="shared" si="140"/>
        <v>179</v>
      </c>
      <c r="M228" s="923">
        <f t="shared" si="140"/>
        <v>180</v>
      </c>
      <c r="N228" s="923">
        <f t="shared" si="140"/>
        <v>181</v>
      </c>
      <c r="O228" s="923">
        <f t="shared" si="140"/>
        <v>183</v>
      </c>
      <c r="P228" s="923">
        <f t="shared" si="140"/>
        <v>184</v>
      </c>
      <c r="Q228" s="922">
        <f t="shared" si="140"/>
        <v>183</v>
      </c>
      <c r="R228" s="923">
        <f t="shared" si="140"/>
        <v>183</v>
      </c>
      <c r="S228" s="923">
        <f t="shared" si="140"/>
        <v>184</v>
      </c>
      <c r="T228" s="923">
        <f t="shared" si="140"/>
        <v>185</v>
      </c>
      <c r="U228" s="923">
        <f t="shared" si="140"/>
        <v>185</v>
      </c>
      <c r="V228" s="938">
        <f t="shared" si="140"/>
        <v>187</v>
      </c>
      <c r="W228" s="631">
        <f t="shared" si="140"/>
        <v>188</v>
      </c>
      <c r="X228" s="631">
        <f t="shared" si="140"/>
        <v>189</v>
      </c>
      <c r="Y228" s="631">
        <f t="shared" si="140"/>
        <v>189</v>
      </c>
      <c r="Z228" s="631">
        <f t="shared" si="140"/>
        <v>191</v>
      </c>
      <c r="AA228" s="938">
        <f t="shared" si="140"/>
        <v>181</v>
      </c>
      <c r="AB228" s="97"/>
      <c r="AC228" s="934"/>
      <c r="AD228" s="97"/>
      <c r="AE228" s="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</row>
    <row r="229" spans="1:57" ht="24" customHeight="1">
      <c r="A229" s="2709"/>
      <c r="B229" s="2710"/>
      <c r="C229" s="2636" t="s">
        <v>1036</v>
      </c>
      <c r="D229" s="2637" t="s">
        <v>1038</v>
      </c>
      <c r="E229" s="96" t="s">
        <v>1049</v>
      </c>
      <c r="F229" s="713"/>
      <c r="G229" s="922">
        <f>+'2014처리구역인구 정리'!I208</f>
        <v>126</v>
      </c>
      <c r="H229" s="922">
        <f>+'2014처리구역인구 정리'!J208</f>
        <v>142</v>
      </c>
      <c r="I229" s="925">
        <f>ROUND(('1.4.조성법총괄(내부이동률 적용)'!E$44*$AB229)+(AL$80*$AC229),0)</f>
        <v>142</v>
      </c>
      <c r="J229" s="925">
        <f>ROUND(('1.4.조성법총괄(내부이동률 적용)'!F$44*$AB229)+(AM$80*$AC229),0)</f>
        <v>142</v>
      </c>
      <c r="K229" s="925">
        <f>ROUND(('1.4.조성법총괄(내부이동률 적용)'!G$44*$AB229)+(AN$80*$AC229),0)</f>
        <v>129</v>
      </c>
      <c r="L229" s="907">
        <f>ROUND(('1.4.조성법총괄(내부이동률 적용)'!H$44*$AB229)+(AO$80*$AC229),0)</f>
        <v>135</v>
      </c>
      <c r="M229" s="907">
        <f>ROUND(('1.4.조성법총괄(내부이동률 적용)'!I$44*$AB229)+(AP$80*$AC229),0)</f>
        <v>136</v>
      </c>
      <c r="N229" s="907">
        <f>ROUND(('1.4.조성법총괄(내부이동률 적용)'!J$44*$AB229)+(AQ$80*$AC229),0)</f>
        <v>137</v>
      </c>
      <c r="O229" s="907">
        <f>ROUND(('1.4.조성법총괄(내부이동률 적용)'!K$44*$AB229)+(AR$80*$AC229),0)</f>
        <v>138</v>
      </c>
      <c r="P229" s="907">
        <f>ROUND(('1.4.조성법총괄(내부이동률 적용)'!L$44*$AB229)+(AS$80*$AC229),0)</f>
        <v>139</v>
      </c>
      <c r="Q229" s="907">
        <f>ROUND(('1.4.조성법총괄(내부이동률 적용)'!M$44*$AB229)+(AT$80*$AC229),0)</f>
        <v>138</v>
      </c>
      <c r="R229" s="907">
        <f>ROUND(('1.4.조성법총괄(내부이동률 적용)'!N$44*$AB229)+(AU$80*$AC229),0)</f>
        <v>138</v>
      </c>
      <c r="S229" s="907">
        <f>ROUND(('1.4.조성법총괄(내부이동률 적용)'!O$44*$AB229)+(AV$80*$AC229),0)</f>
        <v>139</v>
      </c>
      <c r="T229" s="907">
        <f>ROUND(('1.4.조성법총괄(내부이동률 적용)'!P$44*$AB229)+(AW$80*$AC229),0)</f>
        <v>140</v>
      </c>
      <c r="U229" s="907">
        <f>ROUND(('1.4.조성법총괄(내부이동률 적용)'!Q$44*$AB229)+(AX$80*$AC229),0)</f>
        <v>140</v>
      </c>
      <c r="V229" s="907">
        <f>ROUND(('1.4.조성법총괄(내부이동률 적용)'!R$44*$AB229)+(AY$80*$AC229),0)</f>
        <v>141</v>
      </c>
      <c r="W229" s="907">
        <f>ROUND(('1.4.조성법총괄(내부이동률 적용)'!S$44*$AB229)+(AZ$80*$AC229),0)</f>
        <v>142</v>
      </c>
      <c r="X229" s="907">
        <f>ROUND(('1.4.조성법총괄(내부이동률 적용)'!T$44*$AB229)+(BA$80*$AC229),0)</f>
        <v>143</v>
      </c>
      <c r="Y229" s="907">
        <f>ROUND(('1.4.조성법총괄(내부이동률 적용)'!U$44*$AB229)+(BB$80*$AC229),0)</f>
        <v>143</v>
      </c>
      <c r="Z229" s="907">
        <f>ROUND(('1.4.조성법총괄(내부이동률 적용)'!V$44*$AB229)+(BC$80*$AC229),0)</f>
        <v>144</v>
      </c>
      <c r="AA229" s="907">
        <f>ROUND(('1.4.조성법총괄(내부이동률 적용)'!W$44*$AB229)+(BD$80*$AC229),0)</f>
        <v>137</v>
      </c>
      <c r="AB229" s="934">
        <f>+H229/'1.4.조성법총괄(내부이동률 적용)'!$D$44</f>
        <v>7.575757575757576E-3</v>
      </c>
      <c r="AC229" s="934"/>
      <c r="AD229" s="97"/>
      <c r="AE229" s="8"/>
      <c r="AF229" s="599"/>
      <c r="AG229" s="599"/>
      <c r="AH229" s="599"/>
      <c r="AI229" s="599"/>
      <c r="AJ229" s="599"/>
      <c r="AK229" s="599"/>
      <c r="AL229" s="599"/>
      <c r="AM229" s="599"/>
      <c r="AN229" s="599"/>
      <c r="AO229" s="599"/>
      <c r="AP229" s="599"/>
      <c r="AQ229" s="599"/>
      <c r="AR229" s="599"/>
      <c r="AS229" s="599"/>
      <c r="AT229" s="599"/>
      <c r="AU229" s="599"/>
      <c r="AV229" s="599"/>
      <c r="AW229" s="599"/>
      <c r="AX229" s="599"/>
      <c r="AY229" s="599"/>
      <c r="AZ229" s="599"/>
      <c r="BA229" s="599"/>
      <c r="BB229" s="599"/>
      <c r="BC229" s="599"/>
      <c r="BD229" s="599"/>
      <c r="BE229" s="599"/>
    </row>
    <row r="230" spans="1:57" ht="24" customHeight="1">
      <c r="A230" s="2707"/>
      <c r="B230" s="2708"/>
      <c r="C230" s="2636"/>
      <c r="D230" s="2637"/>
      <c r="E230" s="96" t="s">
        <v>1050</v>
      </c>
      <c r="F230" s="713"/>
      <c r="G230" s="922">
        <f>+'2014처리구역인구 정리'!I209</f>
        <v>42</v>
      </c>
      <c r="H230" s="922">
        <f>+'2014처리구역인구 정리'!J209</f>
        <v>46</v>
      </c>
      <c r="I230" s="925">
        <f>ROUND(('1.4.조성법총괄(내부이동률 적용)'!E$44*$AB230)+(AL$80*$AC230),0)</f>
        <v>46</v>
      </c>
      <c r="J230" s="925">
        <f>ROUND(('1.4.조성법총괄(내부이동률 적용)'!F$44*$AB230)+(AM$80*$AC230),0)</f>
        <v>46</v>
      </c>
      <c r="K230" s="925">
        <f>ROUND(('1.4.조성법총괄(내부이동률 적용)'!G$44*$AB230)+(AN$80*$AC230),0)</f>
        <v>42</v>
      </c>
      <c r="L230" s="907">
        <f>ROUND(('1.4.조성법총괄(내부이동률 적용)'!H$44*$AB230)+(AO$80*$AC230),0)</f>
        <v>44</v>
      </c>
      <c r="M230" s="907">
        <f>ROUND(('1.4.조성법총괄(내부이동률 적용)'!I$44*$AB230)+(AP$80*$AC230),0)</f>
        <v>44</v>
      </c>
      <c r="N230" s="907">
        <f>ROUND(('1.4.조성법총괄(내부이동률 적용)'!J$44*$AB230)+(AQ$80*$AC230),0)</f>
        <v>44</v>
      </c>
      <c r="O230" s="907">
        <f>ROUND(('1.4.조성법총괄(내부이동률 적용)'!K$44*$AB230)+(AR$80*$AC230),0)</f>
        <v>45</v>
      </c>
      <c r="P230" s="907">
        <f>ROUND(('1.4.조성법총괄(내부이동률 적용)'!L$44*$AB230)+(AS$80*$AC230),0)</f>
        <v>45</v>
      </c>
      <c r="Q230" s="907">
        <f>ROUND(('1.4.조성법총괄(내부이동률 적용)'!M$44*$AB230)+(AT$80*$AC230),0)</f>
        <v>45</v>
      </c>
      <c r="R230" s="907">
        <f>ROUND(('1.4.조성법총괄(내부이동률 적용)'!N$44*$AB230)+(AU$80*$AC230),0)</f>
        <v>45</v>
      </c>
      <c r="S230" s="907">
        <f>ROUND(('1.4.조성법총괄(내부이동률 적용)'!O$44*$AB230)+(AV$80*$AC230),0)</f>
        <v>45</v>
      </c>
      <c r="T230" s="907">
        <f>ROUND(('1.4.조성법총괄(내부이동률 적용)'!P$44*$AB230)+(AW$80*$AC230),0)</f>
        <v>45</v>
      </c>
      <c r="U230" s="907">
        <f>ROUND(('1.4.조성법총괄(내부이동률 적용)'!Q$44*$AB230)+(AX$80*$AC230),0)</f>
        <v>45</v>
      </c>
      <c r="V230" s="907">
        <f>ROUND(('1.4.조성법총괄(내부이동률 적용)'!R$44*$AB230)+(AY$80*$AC230),0)</f>
        <v>46</v>
      </c>
      <c r="W230" s="907">
        <f>ROUND(('1.4.조성법총괄(내부이동률 적용)'!S$44*$AB230)+(AZ$80*$AC230),0)</f>
        <v>46</v>
      </c>
      <c r="X230" s="907">
        <f>ROUND(('1.4.조성법총괄(내부이동률 적용)'!T$44*$AB230)+(BA$80*$AC230),0)</f>
        <v>46</v>
      </c>
      <c r="Y230" s="907">
        <f>ROUND(('1.4.조성법총괄(내부이동률 적용)'!U$44*$AB230)+(BB$80*$AC230),0)</f>
        <v>46</v>
      </c>
      <c r="Z230" s="907">
        <f>ROUND(('1.4.조성법총괄(내부이동률 적용)'!V$44*$AB230)+(BC$80*$AC230),0)</f>
        <v>47</v>
      </c>
      <c r="AA230" s="907">
        <f>ROUND(('1.4.조성법총괄(내부이동률 적용)'!W$44*$AB230)+(BD$80*$AC230),0)</f>
        <v>44</v>
      </c>
      <c r="AB230" s="934">
        <f>+H230/'1.4.조성법총괄(내부이동률 적용)'!$D$44</f>
        <v>2.4541186513017499E-3</v>
      </c>
      <c r="AC230" s="934"/>
      <c r="AD230" s="97"/>
      <c r="AE230" s="8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</row>
    <row r="231" spans="1:57" ht="24" customHeight="1">
      <c r="A231" s="2705" t="s">
        <v>1083</v>
      </c>
      <c r="B231" s="2706"/>
      <c r="C231" s="2636" t="s">
        <v>7</v>
      </c>
      <c r="D231" s="2636"/>
      <c r="E231" s="2636"/>
      <c r="F231" s="97"/>
      <c r="G231" s="922">
        <f>SUM(G232)</f>
        <v>294</v>
      </c>
      <c r="H231" s="922">
        <f>SUM(H232)</f>
        <v>330</v>
      </c>
      <c r="I231" s="923">
        <f t="shared" ref="I231:AA231" si="141">SUM(I232)</f>
        <v>282</v>
      </c>
      <c r="J231" s="923">
        <f t="shared" si="141"/>
        <v>274</v>
      </c>
      <c r="K231" s="923">
        <f t="shared" si="141"/>
        <v>274</v>
      </c>
      <c r="L231" s="922">
        <f t="shared" si="141"/>
        <v>276</v>
      </c>
      <c r="M231" s="923">
        <f t="shared" si="141"/>
        <v>275</v>
      </c>
      <c r="N231" s="923">
        <f t="shared" si="141"/>
        <v>273</v>
      </c>
      <c r="O231" s="923">
        <f t="shared" si="141"/>
        <v>271</v>
      </c>
      <c r="P231" s="923">
        <f t="shared" si="141"/>
        <v>270</v>
      </c>
      <c r="Q231" s="922">
        <f t="shared" si="141"/>
        <v>268</v>
      </c>
      <c r="R231" s="923">
        <f t="shared" si="141"/>
        <v>266</v>
      </c>
      <c r="S231" s="923">
        <f t="shared" si="141"/>
        <v>263</v>
      </c>
      <c r="T231" s="923">
        <f t="shared" si="141"/>
        <v>261</v>
      </c>
      <c r="U231" s="923">
        <f t="shared" si="141"/>
        <v>258</v>
      </c>
      <c r="V231" s="938">
        <f t="shared" si="141"/>
        <v>256</v>
      </c>
      <c r="W231" s="631">
        <f t="shared" si="141"/>
        <v>253</v>
      </c>
      <c r="X231" s="631">
        <f t="shared" si="141"/>
        <v>251</v>
      </c>
      <c r="Y231" s="631">
        <f t="shared" si="141"/>
        <v>248</v>
      </c>
      <c r="Z231" s="631">
        <f t="shared" si="141"/>
        <v>245</v>
      </c>
      <c r="AA231" s="938">
        <f t="shared" si="141"/>
        <v>226</v>
      </c>
      <c r="AB231" s="97"/>
      <c r="AC231" s="934"/>
      <c r="AD231" s="97"/>
      <c r="AE231" s="8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</row>
    <row r="232" spans="1:57" ht="24" customHeight="1">
      <c r="A232" s="2707"/>
      <c r="B232" s="2708"/>
      <c r="C232" s="924" t="s">
        <v>1019</v>
      </c>
      <c r="D232" s="96" t="s">
        <v>1039</v>
      </c>
      <c r="E232" s="96" t="s">
        <v>1045</v>
      </c>
      <c r="F232" s="97"/>
      <c r="G232" s="922">
        <f>+'2014처리구역인구 정리'!I211</f>
        <v>294</v>
      </c>
      <c r="H232" s="922">
        <f>+'2014처리구역인구 정리'!J211</f>
        <v>330</v>
      </c>
      <c r="I232" s="925">
        <f>ROUND(('1.4.조성법총괄(내부이동률 적용)'!E$58*$AB232)+(AL$97*$AC232),0)</f>
        <v>282</v>
      </c>
      <c r="J232" s="925">
        <f>ROUND(('1.4.조성법총괄(내부이동률 적용)'!F$58*$AB232)+(AM$97*$AC232),0)</f>
        <v>274</v>
      </c>
      <c r="K232" s="925">
        <f>ROUND(('1.4.조성법총괄(내부이동률 적용)'!G$58*$AB232)+(AN$97*$AC232),0)</f>
        <v>274</v>
      </c>
      <c r="L232" s="907">
        <f>ROUND(('1.4.조성법총괄(내부이동률 적용)'!H$58*$AB232)+(AO$97*$AC232),0)</f>
        <v>276</v>
      </c>
      <c r="M232" s="907">
        <f>ROUND(('1.4.조성법총괄(내부이동률 적용)'!I$58*$AB232)+(AP$97*$AC232),0)</f>
        <v>275</v>
      </c>
      <c r="N232" s="907">
        <f>ROUND(('1.4.조성법총괄(내부이동률 적용)'!J$58*$AB232)+(AQ$97*$AC232),0)</f>
        <v>273</v>
      </c>
      <c r="O232" s="907">
        <f>ROUND(('1.4.조성법총괄(내부이동률 적용)'!K$58*$AB232)+(AR$97*$AC232),0)</f>
        <v>271</v>
      </c>
      <c r="P232" s="907">
        <f>ROUND(('1.4.조성법총괄(내부이동률 적용)'!L$58*$AB232)+(AS$97*$AC232),0)</f>
        <v>270</v>
      </c>
      <c r="Q232" s="907">
        <f>ROUND(('1.4.조성법총괄(내부이동률 적용)'!M$58*$AB232)+(AT$97*$AC232),0)</f>
        <v>268</v>
      </c>
      <c r="R232" s="907">
        <f>ROUND(('1.4.조성법총괄(내부이동률 적용)'!N$58*$AB232)+(AU$97*$AC232),0)</f>
        <v>266</v>
      </c>
      <c r="S232" s="907">
        <f>ROUND(('1.4.조성법총괄(내부이동률 적용)'!O$58*$AB232)+(AV$97*$AC232),0)</f>
        <v>263</v>
      </c>
      <c r="T232" s="907">
        <f>ROUND(('1.4.조성법총괄(내부이동률 적용)'!P$58*$AB232)+(AW$97*$AC232),0)</f>
        <v>261</v>
      </c>
      <c r="U232" s="907">
        <f>ROUND(('1.4.조성법총괄(내부이동률 적용)'!Q$58*$AB232)+(AX$97*$AC232),0)</f>
        <v>258</v>
      </c>
      <c r="V232" s="907">
        <f>ROUND(('1.4.조성법총괄(내부이동률 적용)'!R$58*$AB232)+(AY$97*$AC232),0)</f>
        <v>256</v>
      </c>
      <c r="W232" s="907">
        <f>ROUND(('1.4.조성법총괄(내부이동률 적용)'!S$58*$AB232)+(AZ$97*$AC232),0)</f>
        <v>253</v>
      </c>
      <c r="X232" s="907">
        <f>ROUND(('1.4.조성법총괄(내부이동률 적용)'!T$58*$AB232)+(BA$97*$AC232),0)</f>
        <v>251</v>
      </c>
      <c r="Y232" s="907">
        <f>ROUND(('1.4.조성법총괄(내부이동률 적용)'!U$58*$AB232)+(BB$97*$AC232),0)</f>
        <v>248</v>
      </c>
      <c r="Z232" s="907">
        <f>ROUND(('1.4.조성법총괄(내부이동률 적용)'!V$58*$AB232)+(BC$97*$AC232),0)</f>
        <v>245</v>
      </c>
      <c r="AA232" s="907">
        <f>ROUND(('1.4.조성법총괄(내부이동률 적용)'!W$58*$AB232)+(BD$97*$AC232),0)</f>
        <v>226</v>
      </c>
      <c r="AB232" s="936">
        <f>+H232/'1.4.조성법총괄(내부이동률 적용)'!$D$58</f>
        <v>6.1077179344808441E-2</v>
      </c>
      <c r="AC232" s="934">
        <f>+H232/'1.4.조성법총괄(내부이동률 적용)'!$D$58</f>
        <v>6.1077179344808441E-2</v>
      </c>
      <c r="AD232" s="97"/>
      <c r="AE232" s="8"/>
      <c r="AF232" s="599"/>
      <c r="AG232" s="599"/>
      <c r="AH232" s="599"/>
      <c r="AI232" s="599"/>
      <c r="AJ232" s="599"/>
      <c r="AK232" s="599"/>
      <c r="AL232" s="599"/>
      <c r="AM232" s="599"/>
      <c r="AN232" s="599"/>
      <c r="AO232" s="599"/>
      <c r="AP232" s="599"/>
      <c r="AQ232" s="599"/>
      <c r="AR232" s="599"/>
      <c r="AS232" s="599"/>
      <c r="AT232" s="599"/>
      <c r="AU232" s="599"/>
      <c r="AV232" s="599"/>
      <c r="AW232" s="599"/>
      <c r="AX232" s="599"/>
      <c r="AY232" s="599"/>
      <c r="AZ232" s="599"/>
      <c r="BA232" s="599"/>
      <c r="BB232" s="599"/>
      <c r="BC232" s="599"/>
      <c r="BD232" s="599"/>
      <c r="BE232" s="599"/>
    </row>
    <row r="233" spans="1:57" ht="24" customHeight="1">
      <c r="A233" s="2705" t="s">
        <v>1043</v>
      </c>
      <c r="B233" s="2706"/>
      <c r="C233" s="2636" t="s">
        <v>7</v>
      </c>
      <c r="D233" s="2636"/>
      <c r="E233" s="2636"/>
      <c r="F233" s="97"/>
      <c r="G233" s="922">
        <f>SUM(G234)</f>
        <v>394</v>
      </c>
      <c r="H233" s="922">
        <f>SUM(H234)</f>
        <v>407</v>
      </c>
      <c r="I233" s="923">
        <f t="shared" ref="I233:AA233" si="142">SUM(I234)</f>
        <v>406</v>
      </c>
      <c r="J233" s="923">
        <f t="shared" si="142"/>
        <v>403</v>
      </c>
      <c r="K233" s="923">
        <f t="shared" si="142"/>
        <v>403</v>
      </c>
      <c r="L233" s="922">
        <f t="shared" si="142"/>
        <v>409</v>
      </c>
      <c r="M233" s="923">
        <f t="shared" si="142"/>
        <v>424</v>
      </c>
      <c r="N233" s="923">
        <f t="shared" si="142"/>
        <v>439</v>
      </c>
      <c r="O233" s="923">
        <f t="shared" si="142"/>
        <v>439</v>
      </c>
      <c r="P233" s="923">
        <f t="shared" si="142"/>
        <v>439</v>
      </c>
      <c r="Q233" s="922">
        <f t="shared" si="142"/>
        <v>437</v>
      </c>
      <c r="R233" s="923">
        <f t="shared" si="142"/>
        <v>436</v>
      </c>
      <c r="S233" s="923">
        <f t="shared" si="142"/>
        <v>436</v>
      </c>
      <c r="T233" s="923">
        <f t="shared" si="142"/>
        <v>435</v>
      </c>
      <c r="U233" s="923">
        <f t="shared" si="142"/>
        <v>435</v>
      </c>
      <c r="V233" s="938">
        <f t="shared" si="142"/>
        <v>434</v>
      </c>
      <c r="W233" s="631">
        <f t="shared" si="142"/>
        <v>434</v>
      </c>
      <c r="X233" s="631">
        <f t="shared" si="142"/>
        <v>433</v>
      </c>
      <c r="Y233" s="631">
        <f t="shared" si="142"/>
        <v>432</v>
      </c>
      <c r="Z233" s="631">
        <f t="shared" si="142"/>
        <v>431</v>
      </c>
      <c r="AA233" s="938">
        <f t="shared" si="142"/>
        <v>527</v>
      </c>
      <c r="AB233" s="97"/>
      <c r="AC233" s="934"/>
      <c r="AD233" s="97"/>
      <c r="AE233" s="8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</row>
    <row r="234" spans="1:57" ht="24" customHeight="1">
      <c r="A234" s="2707"/>
      <c r="B234" s="2708"/>
      <c r="C234" s="924" t="s">
        <v>1040</v>
      </c>
      <c r="D234" s="96" t="s">
        <v>1041</v>
      </c>
      <c r="E234" s="96" t="s">
        <v>1043</v>
      </c>
      <c r="F234" s="97"/>
      <c r="G234" s="922">
        <f>+'2014처리구역인구 정리'!I213</f>
        <v>394</v>
      </c>
      <c r="H234" s="922">
        <f>+'2014처리구역인구 정리'!J213</f>
        <v>407</v>
      </c>
      <c r="I234" s="925">
        <f>ROUND(('1.4.조성법총괄(내부이동률 적용)'!E$65*$AB234)+(AL$110*$AC234),0)</f>
        <v>406</v>
      </c>
      <c r="J234" s="925">
        <f>ROUND(('1.4.조성법총괄(내부이동률 적용)'!F$65*$AB234)+(AM$110*$AC234),0)</f>
        <v>403</v>
      </c>
      <c r="K234" s="925">
        <f>ROUND(('1.4.조성법총괄(내부이동률 적용)'!G$65*$AB234)+(AN$110*$AC234),0)</f>
        <v>403</v>
      </c>
      <c r="L234" s="907">
        <f>ROUND(('1.4.조성법총괄(내부이동률 적용)'!H$65*$AB234)+(AO$110*$AC234),0)</f>
        <v>409</v>
      </c>
      <c r="M234" s="907">
        <f>ROUND(('1.4.조성법총괄(내부이동률 적용)'!I$65*$AB234)+(AP$110*$AC234),0)</f>
        <v>424</v>
      </c>
      <c r="N234" s="907">
        <f>ROUND(('1.4.조성법총괄(내부이동률 적용)'!J$65*$AB234)+(AQ$110*$AC234),0)</f>
        <v>439</v>
      </c>
      <c r="O234" s="907">
        <f>ROUND(('1.4.조성법총괄(내부이동률 적용)'!K$65*$AB234)+(AR$110*$AC234),0)</f>
        <v>439</v>
      </c>
      <c r="P234" s="907">
        <f>ROUND(('1.4.조성법총괄(내부이동률 적용)'!L$65*$AB234)+(AS$110*$AC234),0)</f>
        <v>439</v>
      </c>
      <c r="Q234" s="907">
        <f>ROUND(('1.4.조성법총괄(내부이동률 적용)'!M$65*$AB234)+(AT$110*$AC234),0)</f>
        <v>437</v>
      </c>
      <c r="R234" s="907">
        <f>ROUND(('1.4.조성법총괄(내부이동률 적용)'!N$65*$AB234)+(AU$110*$AC234),0)</f>
        <v>436</v>
      </c>
      <c r="S234" s="907">
        <f>ROUND(('1.4.조성법총괄(내부이동률 적용)'!O$65*$AB234)+(AV$110*$AC234),0)</f>
        <v>436</v>
      </c>
      <c r="T234" s="907">
        <f>ROUND(('1.4.조성법총괄(내부이동률 적용)'!P$65*$AB234)+(AW$110*$AC234),0)</f>
        <v>435</v>
      </c>
      <c r="U234" s="907">
        <f>ROUND(('1.4.조성법총괄(내부이동률 적용)'!Q$65*$AB234)+(AX$110*$AC234),0)</f>
        <v>435</v>
      </c>
      <c r="V234" s="907">
        <f>ROUND(('1.4.조성법총괄(내부이동률 적용)'!R$65*$AB234)+(AY$110*$AC234),0)</f>
        <v>434</v>
      </c>
      <c r="W234" s="907">
        <f>ROUND(('1.4.조성법총괄(내부이동률 적용)'!S$65*$AB234)+(AZ$110*$AC234),0)</f>
        <v>434</v>
      </c>
      <c r="X234" s="907">
        <f>ROUND(('1.4.조성법총괄(내부이동률 적용)'!T$65*$AB234)+(BA$110*$AC234),0)</f>
        <v>433</v>
      </c>
      <c r="Y234" s="907">
        <f>ROUND(('1.4.조성법총괄(내부이동률 적용)'!U$65*$AB234)+(BB$110*$AC234),0)</f>
        <v>432</v>
      </c>
      <c r="Z234" s="907">
        <f>ROUND(('1.4.조성법총괄(내부이동률 적용)'!V$65*$AB234)+(BC$110*$AC234),0)</f>
        <v>431</v>
      </c>
      <c r="AA234" s="907">
        <f>ROUND(('1.4.조성법총괄(내부이동률 적용)'!W$65*$AB234)+(BD$110*$AC234),0)</f>
        <v>527</v>
      </c>
      <c r="AB234" s="936">
        <f>+H234/'1.4.조성법총괄(내부이동률 적용)'!$D$65</f>
        <v>3.5723689985078556E-2</v>
      </c>
      <c r="AC234" s="934">
        <f>+H234/'1.4.조성법총괄(내부이동률 적용)'!$D$65</f>
        <v>3.5723689985078556E-2</v>
      </c>
      <c r="AD234" s="97"/>
      <c r="AE234" s="8"/>
      <c r="AF234" s="599"/>
      <c r="AG234" s="599"/>
      <c r="AH234" s="599"/>
      <c r="AI234" s="599"/>
      <c r="AJ234" s="599"/>
      <c r="AK234" s="599"/>
      <c r="AL234" s="599"/>
      <c r="AM234" s="599"/>
      <c r="AN234" s="599"/>
      <c r="AO234" s="599"/>
      <c r="AP234" s="599"/>
      <c r="AQ234" s="599"/>
      <c r="AR234" s="599"/>
      <c r="AS234" s="599"/>
      <c r="AT234" s="599"/>
      <c r="AU234" s="599"/>
      <c r="AV234" s="599"/>
      <c r="AW234" s="599"/>
      <c r="AX234" s="599"/>
      <c r="AY234" s="599"/>
      <c r="AZ234" s="599"/>
      <c r="BA234" s="599"/>
      <c r="BB234" s="599"/>
      <c r="BC234" s="599"/>
      <c r="BD234" s="599"/>
      <c r="BE234" s="599"/>
    </row>
    <row r="235" spans="1:57" ht="24" customHeight="1">
      <c r="A235" s="2705" t="s">
        <v>1084</v>
      </c>
      <c r="B235" s="2706"/>
      <c r="C235" s="2635" t="s">
        <v>7</v>
      </c>
      <c r="D235" s="2635"/>
      <c r="E235" s="2635"/>
      <c r="F235" s="713"/>
      <c r="G235" s="922">
        <f>SUM(G236)</f>
        <v>205</v>
      </c>
      <c r="H235" s="922">
        <f>SUM(H236)</f>
        <v>208</v>
      </c>
      <c r="I235" s="923">
        <f t="shared" ref="I235:AA235" si="143">SUM(I236)</f>
        <v>207</v>
      </c>
      <c r="J235" s="923">
        <f t="shared" si="143"/>
        <v>200</v>
      </c>
      <c r="K235" s="923">
        <f t="shared" si="143"/>
        <v>199</v>
      </c>
      <c r="L235" s="922">
        <f t="shared" si="143"/>
        <v>199</v>
      </c>
      <c r="M235" s="923">
        <f t="shared" si="143"/>
        <v>199</v>
      </c>
      <c r="N235" s="923">
        <f t="shared" si="143"/>
        <v>199</v>
      </c>
      <c r="O235" s="923">
        <f t="shared" si="143"/>
        <v>200</v>
      </c>
      <c r="P235" s="923">
        <f t="shared" si="143"/>
        <v>200</v>
      </c>
      <c r="Q235" s="922">
        <f t="shared" si="143"/>
        <v>189</v>
      </c>
      <c r="R235" s="923">
        <f t="shared" si="143"/>
        <v>188</v>
      </c>
      <c r="S235" s="923">
        <f t="shared" si="143"/>
        <v>188</v>
      </c>
      <c r="T235" s="923">
        <f t="shared" si="143"/>
        <v>188</v>
      </c>
      <c r="U235" s="923">
        <f t="shared" si="143"/>
        <v>188</v>
      </c>
      <c r="V235" s="938">
        <f t="shared" si="143"/>
        <v>187</v>
      </c>
      <c r="W235" s="631">
        <f t="shared" si="143"/>
        <v>187</v>
      </c>
      <c r="X235" s="631">
        <f t="shared" si="143"/>
        <v>186</v>
      </c>
      <c r="Y235" s="631">
        <f t="shared" si="143"/>
        <v>186</v>
      </c>
      <c r="Z235" s="631">
        <f t="shared" si="143"/>
        <v>185</v>
      </c>
      <c r="AA235" s="938">
        <f t="shared" si="143"/>
        <v>185</v>
      </c>
      <c r="AB235" s="97"/>
      <c r="AC235" s="934"/>
      <c r="AD235" s="97"/>
      <c r="AE235" s="8"/>
    </row>
    <row r="236" spans="1:57" ht="24" customHeight="1">
      <c r="A236" s="2707"/>
      <c r="B236" s="2708"/>
      <c r="C236" s="770" t="s">
        <v>1040</v>
      </c>
      <c r="D236" s="772" t="s">
        <v>1042</v>
      </c>
      <c r="E236" s="772" t="s">
        <v>1044</v>
      </c>
      <c r="F236" s="713"/>
      <c r="G236" s="922">
        <f>+'2014처리구역인구 정리'!I215</f>
        <v>205</v>
      </c>
      <c r="H236" s="922">
        <f>+'2014처리구역인구 정리'!J215</f>
        <v>208</v>
      </c>
      <c r="I236" s="925">
        <f>ROUND(('1.4.조성법총괄(내부이동률 적용)'!E$65*$AB236)+(AL$110*$AC236),0)</f>
        <v>207</v>
      </c>
      <c r="J236" s="925">
        <f>ROUND(('1.4.조성법총괄(내부이동률 적용)'!F$65*$AB236)+(AM$110*$AC236),0)</f>
        <v>200</v>
      </c>
      <c r="K236" s="925">
        <f>ROUND(('1.4.조성법총괄(내부이동률 적용)'!G$65*$AB236)+(AN$110*$AC236),0)</f>
        <v>199</v>
      </c>
      <c r="L236" s="907">
        <f>ROUND(('1.4.조성법총괄(내부이동률 적용)'!H$65*$AB236)+(AO$110*$AC236),0)</f>
        <v>199</v>
      </c>
      <c r="M236" s="925">
        <f>ROUND(('1.4.조성법총괄(내부이동률 적용)'!I$65*$AB236)+(AP$110*$AC236),0)</f>
        <v>199</v>
      </c>
      <c r="N236" s="925">
        <f>ROUND(('1.4.조성법총괄(내부이동률 적용)'!J$65*$AB236)+(AQ$110*$AC236),0)</f>
        <v>199</v>
      </c>
      <c r="O236" s="925">
        <f>ROUND(('1.4.조성법총괄(내부이동률 적용)'!K$65*$AB236)+(AR$110*$AC236),0)</f>
        <v>200</v>
      </c>
      <c r="P236" s="925">
        <f>ROUND(('1.4.조성법총괄(내부이동률 적용)'!L$65*$AB236)+(AS$110*$AC236),0)</f>
        <v>200</v>
      </c>
      <c r="Q236" s="907">
        <f>ROUND(('1.4.조성법총괄(내부이동률 적용)'!M$65*$AB236)+(AT$110*$AC236),0)</f>
        <v>189</v>
      </c>
      <c r="R236" s="925">
        <f>ROUND(('1.4.조성법총괄(내부이동률 적용)'!N$65*$AB236)+(AU$110*$AC236),0)</f>
        <v>188</v>
      </c>
      <c r="S236" s="925">
        <f>ROUND(('1.4.조성법총괄(내부이동률 적용)'!O$65*$AB236)+(AV$110*$AC236),0)</f>
        <v>188</v>
      </c>
      <c r="T236" s="925">
        <f>ROUND(('1.4.조성법총괄(내부이동률 적용)'!P$65*$AB236)+(AW$110*$AC236),0)</f>
        <v>188</v>
      </c>
      <c r="U236" s="925">
        <f>ROUND(('1.4.조성법총괄(내부이동률 적용)'!Q$65*$AB236)+(AX$110*$AC236),0)</f>
        <v>188</v>
      </c>
      <c r="V236" s="715">
        <f>ROUND(('1.4.조성법총괄(내부이동률 적용)'!R$65*$AB236)+(AY$110*$AC236),0)</f>
        <v>187</v>
      </c>
      <c r="W236" s="714">
        <f>ROUND(('1.4.조성법총괄(내부이동률 적용)'!S$65*$AB236)+(AZ$110*$AC236),0)</f>
        <v>187</v>
      </c>
      <c r="X236" s="714">
        <f>ROUND(('1.4.조성법총괄(내부이동률 적용)'!T$65*$AB236)+(BA$110*$AC236),0)</f>
        <v>186</v>
      </c>
      <c r="Y236" s="714">
        <f>ROUND(('1.4.조성법총괄(내부이동률 적용)'!U$65*$AB236)+(BB$110*$AC236),0)</f>
        <v>186</v>
      </c>
      <c r="Z236" s="714">
        <f>ROUND(('1.4.조성법총괄(내부이동률 적용)'!V$65*$AB236)+(BC$110*$AC236),0)</f>
        <v>185</v>
      </c>
      <c r="AA236" s="715">
        <f>ROUND(('1.4.조성법총괄(내부이동률 적용)'!W$65*$AB236)+(BD$110*$AC236),0)</f>
        <v>185</v>
      </c>
      <c r="AB236" s="936">
        <f>+H236/'1.4.조성법총괄(내부이동률 적용)'!$D$65</f>
        <v>1.8256824365838673E-2</v>
      </c>
      <c r="AC236" s="934"/>
      <c r="AD236" s="97"/>
      <c r="AE236" s="8"/>
    </row>
    <row r="237" spans="1:57" ht="24" customHeight="1">
      <c r="A237" s="65"/>
      <c r="B237" s="65"/>
      <c r="C237" s="66"/>
      <c r="D237" s="67"/>
      <c r="E237" s="67"/>
      <c r="F237" s="71"/>
      <c r="G237" s="712"/>
      <c r="H237" s="712">
        <v>4882</v>
      </c>
      <c r="I237" s="712"/>
      <c r="J237" s="712"/>
      <c r="K237" s="712"/>
      <c r="L237" s="712"/>
      <c r="M237" s="9"/>
      <c r="N237" s="9"/>
      <c r="O237" s="9"/>
      <c r="P237" s="9"/>
      <c r="Q237" s="712"/>
      <c r="R237" s="9"/>
      <c r="S237" s="9"/>
      <c r="T237" s="9"/>
      <c r="U237" s="9"/>
      <c r="V237" s="712"/>
      <c r="W237" s="9"/>
      <c r="X237" s="9"/>
      <c r="Y237" s="9"/>
      <c r="Z237" s="9"/>
      <c r="AA237" s="712"/>
      <c r="AB237" s="712"/>
      <c r="AC237" s="712"/>
      <c r="AD237" s="712"/>
      <c r="AE237" s="712"/>
      <c r="AF237" s="599"/>
      <c r="AG237" s="599"/>
      <c r="AH237" s="599"/>
      <c r="AI237" s="599"/>
      <c r="AJ237" s="599"/>
      <c r="AK237" s="599"/>
      <c r="AL237" s="599"/>
      <c r="AM237" s="599"/>
      <c r="AN237" s="599"/>
      <c r="AO237" s="599"/>
      <c r="AP237" s="599"/>
      <c r="AQ237" s="599"/>
      <c r="AR237" s="599"/>
      <c r="AS237" s="599"/>
      <c r="AT237" s="599"/>
      <c r="AU237" s="599"/>
      <c r="AV237" s="599"/>
      <c r="AW237" s="599"/>
      <c r="AX237" s="599"/>
      <c r="AY237" s="599"/>
      <c r="AZ237" s="599"/>
      <c r="BA237" s="599"/>
      <c r="BB237" s="599"/>
      <c r="BC237" s="599"/>
      <c r="BD237" s="599"/>
      <c r="BE237" s="599"/>
    </row>
    <row r="238" spans="1:57" ht="24" customHeight="1">
      <c r="A238" s="1239" t="s">
        <v>2264</v>
      </c>
      <c r="B238" s="1239"/>
      <c r="C238" s="1239"/>
      <c r="D238" s="1239"/>
      <c r="E238" s="1239"/>
      <c r="F238" s="711"/>
      <c r="G238" s="712"/>
      <c r="H238" s="712"/>
      <c r="I238" s="712"/>
      <c r="J238" s="712"/>
      <c r="K238" s="712"/>
      <c r="L238" s="712"/>
      <c r="M238" s="712"/>
      <c r="N238" s="712"/>
      <c r="O238" s="712"/>
      <c r="P238" s="712"/>
      <c r="Q238" s="712"/>
      <c r="R238" s="712"/>
      <c r="S238" s="712"/>
      <c r="T238" s="712"/>
      <c r="U238" s="712"/>
      <c r="V238" s="712"/>
      <c r="W238" s="712"/>
      <c r="X238" s="712"/>
      <c r="Y238" s="712"/>
      <c r="Z238" s="712"/>
      <c r="AA238" s="712"/>
      <c r="AB238" s="712"/>
      <c r="AC238" s="712"/>
      <c r="AD238" s="712"/>
      <c r="AE238" s="712"/>
      <c r="AF238" s="599"/>
      <c r="AG238" s="599"/>
      <c r="AH238" s="599"/>
      <c r="AI238" s="599"/>
      <c r="AJ238" s="599"/>
      <c r="AK238" s="599"/>
      <c r="AL238" s="599"/>
      <c r="AM238" s="599"/>
      <c r="AN238" s="599"/>
      <c r="AO238" s="599"/>
      <c r="AP238" s="599"/>
      <c r="AQ238" s="599"/>
      <c r="AR238" s="599"/>
      <c r="AS238" s="599"/>
      <c r="AT238" s="599"/>
      <c r="AU238" s="599"/>
      <c r="AV238" s="599"/>
      <c r="AW238" s="599"/>
      <c r="AX238" s="599"/>
      <c r="AY238" s="599"/>
      <c r="AZ238" s="599"/>
      <c r="BA238" s="599"/>
      <c r="BB238" s="599"/>
      <c r="BC238" s="599"/>
      <c r="BD238" s="599"/>
      <c r="BE238" s="599"/>
    </row>
    <row r="239" spans="1:57" s="712" customFormat="1" ht="24" customHeight="1">
      <c r="A239" s="98" t="s">
        <v>0</v>
      </c>
      <c r="B239" s="98" t="s">
        <v>1</v>
      </c>
      <c r="C239" s="99" t="s">
        <v>2</v>
      </c>
      <c r="D239" s="99" t="s">
        <v>3</v>
      </c>
      <c r="E239" s="99" t="s">
        <v>4</v>
      </c>
      <c r="F239" s="737">
        <v>2013</v>
      </c>
      <c r="G239" s="737">
        <v>2015</v>
      </c>
      <c r="H239" s="737">
        <v>2016</v>
      </c>
      <c r="I239" s="737">
        <v>2017</v>
      </c>
      <c r="J239" s="737">
        <v>2018</v>
      </c>
      <c r="K239" s="737">
        <v>2019</v>
      </c>
      <c r="L239" s="737">
        <v>2020</v>
      </c>
      <c r="M239" s="737">
        <v>2021</v>
      </c>
      <c r="N239" s="737">
        <v>2022</v>
      </c>
      <c r="O239" s="737">
        <v>2023</v>
      </c>
      <c r="P239" s="737">
        <v>2024</v>
      </c>
      <c r="Q239" s="737">
        <v>2025</v>
      </c>
      <c r="R239" s="737">
        <v>2026</v>
      </c>
      <c r="S239" s="737">
        <v>2027</v>
      </c>
      <c r="T239" s="737">
        <v>2028</v>
      </c>
      <c r="U239" s="737">
        <v>2029</v>
      </c>
      <c r="V239" s="737">
        <v>2030</v>
      </c>
      <c r="W239" s="737">
        <v>2031</v>
      </c>
      <c r="X239" s="737">
        <v>2032</v>
      </c>
      <c r="Y239" s="737">
        <v>2033</v>
      </c>
      <c r="Z239" s="737">
        <v>2034</v>
      </c>
      <c r="AA239" s="737">
        <v>2035</v>
      </c>
      <c r="AB239" s="736" t="s">
        <v>140</v>
      </c>
      <c r="AC239" s="736" t="s">
        <v>141</v>
      </c>
      <c r="AD239" s="737" t="s">
        <v>139</v>
      </c>
      <c r="AE239" s="100"/>
      <c r="AF239" s="599"/>
      <c r="AG239" s="599"/>
      <c r="AH239" s="599"/>
      <c r="AI239" s="599"/>
      <c r="AJ239" s="599"/>
      <c r="AK239" s="599"/>
      <c r="AL239" s="599"/>
      <c r="AM239" s="599"/>
      <c r="AN239" s="599"/>
      <c r="AO239" s="599"/>
      <c r="AP239" s="599"/>
      <c r="AQ239" s="599"/>
      <c r="AR239" s="599"/>
      <c r="AS239" s="599"/>
      <c r="AT239" s="599"/>
      <c r="AU239" s="599"/>
      <c r="AV239" s="599"/>
      <c r="AW239" s="599"/>
      <c r="AX239" s="599"/>
      <c r="AY239" s="599"/>
      <c r="AZ239" s="599"/>
      <c r="BA239" s="599"/>
      <c r="BB239" s="599"/>
      <c r="BC239" s="599"/>
      <c r="BD239" s="599"/>
      <c r="BE239" s="599"/>
    </row>
    <row r="240" spans="1:57" s="712" customFormat="1" ht="24" customHeight="1">
      <c r="A240" s="2696" t="s">
        <v>2232</v>
      </c>
      <c r="B240" s="2697"/>
      <c r="C240" s="2635" t="s">
        <v>32</v>
      </c>
      <c r="D240" s="2635"/>
      <c r="E240" s="2635"/>
      <c r="F240" s="713"/>
      <c r="G240" s="922">
        <f>SUM(G241)</f>
        <v>165</v>
      </c>
      <c r="H240" s="922">
        <f>SUM(H241)</f>
        <v>177</v>
      </c>
      <c r="I240" s="923">
        <f t="shared" ref="I240:AA240" si="144">SUM(I241)</f>
        <v>174</v>
      </c>
      <c r="J240" s="923">
        <f t="shared" si="144"/>
        <v>175</v>
      </c>
      <c r="K240" s="923">
        <f t="shared" si="144"/>
        <v>175</v>
      </c>
      <c r="L240" s="922">
        <f t="shared" si="144"/>
        <v>168</v>
      </c>
      <c r="M240" s="923">
        <f t="shared" si="144"/>
        <v>168</v>
      </c>
      <c r="N240" s="923">
        <f t="shared" si="144"/>
        <v>169</v>
      </c>
      <c r="O240" s="923">
        <f t="shared" si="144"/>
        <v>169</v>
      </c>
      <c r="P240" s="923">
        <f t="shared" si="144"/>
        <v>170</v>
      </c>
      <c r="Q240" s="922">
        <f t="shared" si="144"/>
        <v>169</v>
      </c>
      <c r="R240" s="923">
        <f t="shared" si="144"/>
        <v>169</v>
      </c>
      <c r="S240" s="923">
        <f t="shared" si="144"/>
        <v>170</v>
      </c>
      <c r="T240" s="923">
        <f t="shared" si="144"/>
        <v>170</v>
      </c>
      <c r="U240" s="923">
        <f t="shared" si="144"/>
        <v>170</v>
      </c>
      <c r="V240" s="938">
        <f t="shared" si="144"/>
        <v>171</v>
      </c>
      <c r="W240" s="631">
        <f t="shared" si="144"/>
        <v>171</v>
      </c>
      <c r="X240" s="631">
        <f t="shared" si="144"/>
        <v>171</v>
      </c>
      <c r="Y240" s="631">
        <f t="shared" si="144"/>
        <v>172</v>
      </c>
      <c r="Z240" s="631">
        <f t="shared" si="144"/>
        <v>172</v>
      </c>
      <c r="AA240" s="938">
        <f t="shared" si="144"/>
        <v>172</v>
      </c>
      <c r="AB240" s="97"/>
      <c r="AC240" s="97"/>
      <c r="AD240" s="97"/>
      <c r="AE240" s="8"/>
      <c r="AF240" s="599"/>
      <c r="AG240" s="599"/>
      <c r="AH240" s="599"/>
      <c r="AI240" s="599"/>
      <c r="AJ240" s="599"/>
      <c r="AK240" s="599"/>
      <c r="AL240" s="599"/>
      <c r="AM240" s="599"/>
      <c r="AN240" s="599"/>
      <c r="AO240" s="599"/>
      <c r="AP240" s="599"/>
      <c r="AQ240" s="599"/>
      <c r="AR240" s="599"/>
      <c r="AS240" s="599"/>
      <c r="AT240" s="599"/>
      <c r="AU240" s="599"/>
      <c r="AV240" s="599"/>
      <c r="AW240" s="599"/>
      <c r="AX240" s="599"/>
      <c r="AY240" s="599"/>
      <c r="AZ240" s="599"/>
      <c r="BA240" s="599"/>
      <c r="BB240" s="599"/>
      <c r="BC240" s="599"/>
      <c r="BD240" s="599"/>
      <c r="BE240" s="599"/>
    </row>
    <row r="241" spans="1:57" s="712" customFormat="1" ht="39.950000000000003" customHeight="1">
      <c r="A241" s="2701"/>
      <c r="B241" s="2702"/>
      <c r="C241" s="1117" t="s">
        <v>637</v>
      </c>
      <c r="D241" s="1117" t="s">
        <v>1369</v>
      </c>
      <c r="E241" s="1117" t="s">
        <v>1348</v>
      </c>
      <c r="F241" s="713"/>
      <c r="G241" s="922">
        <f>+'2014처리구역인구 정리'!I220</f>
        <v>165</v>
      </c>
      <c r="H241" s="922">
        <f>+'2014처리구역인구 정리'!J220</f>
        <v>177</v>
      </c>
      <c r="I241" s="925">
        <f>ROUND(('1.4.조성법총괄(내부이동률 적용)'!E$15*$AB241)+(AL$43*$AC241),0)</f>
        <v>174</v>
      </c>
      <c r="J241" s="925">
        <f>ROUND(('1.4.조성법총괄(내부이동률 적용)'!F$15*$AB241)+(AM$43*$AC241),0)</f>
        <v>175</v>
      </c>
      <c r="K241" s="925">
        <f>ROUND(('1.4.조성법총괄(내부이동률 적용)'!G$15*$AB241)+(AN$43*$AC241),0)</f>
        <v>175</v>
      </c>
      <c r="L241" s="907">
        <f>ROUND(('1.4.조성법총괄(내부이동률 적용)'!H$15*$AB241)+(AO$43*$AC241),0)</f>
        <v>168</v>
      </c>
      <c r="M241" s="925">
        <f>ROUND(('1.4.조성법총괄(내부이동률 적용)'!I$15*$AB241)+(AP$43*$AC241),0)</f>
        <v>168</v>
      </c>
      <c r="N241" s="925">
        <f>ROUND(('1.4.조성법총괄(내부이동률 적용)'!J$15*$AB241)+(AQ$43*$AC241),0)</f>
        <v>169</v>
      </c>
      <c r="O241" s="925">
        <f>ROUND(('1.4.조성법총괄(내부이동률 적용)'!K$15*$AB241)+(AR$43*$AC241),0)</f>
        <v>169</v>
      </c>
      <c r="P241" s="925">
        <f>ROUND(('1.4.조성법총괄(내부이동률 적용)'!L$15*$AB241)+(AS$43*$AC241),0)</f>
        <v>170</v>
      </c>
      <c r="Q241" s="907">
        <f>ROUND(('1.4.조성법총괄(내부이동률 적용)'!M$15*$AB241)+(AT$43*$AC241),0)</f>
        <v>169</v>
      </c>
      <c r="R241" s="925">
        <f>ROUND(('1.4.조성법총괄(내부이동률 적용)'!N$15*$AB241)+(AU$43*$AC241),0)</f>
        <v>169</v>
      </c>
      <c r="S241" s="925">
        <f>ROUND(('1.4.조성법총괄(내부이동률 적용)'!O$15*$AB241)+(AV$43*$AC241),0)</f>
        <v>170</v>
      </c>
      <c r="T241" s="925">
        <f>ROUND(('1.4.조성법총괄(내부이동률 적용)'!P$15*$AB241)+(AW$43*$AC241),0)</f>
        <v>170</v>
      </c>
      <c r="U241" s="925">
        <f>ROUND(('1.4.조성법총괄(내부이동률 적용)'!Q$15*$AB241)+(AX$43*$AC241),0)</f>
        <v>170</v>
      </c>
      <c r="V241" s="715">
        <f>ROUND(('1.4.조성법총괄(내부이동률 적용)'!R$15*$AB241)+(AY$43*$AC241),0)</f>
        <v>171</v>
      </c>
      <c r="W241" s="714">
        <f>ROUND(('1.4.조성법총괄(내부이동률 적용)'!S$15*$AB241)+(AZ$43*$AC241),0)</f>
        <v>171</v>
      </c>
      <c r="X241" s="714">
        <f>ROUND(('1.4.조성법총괄(내부이동률 적용)'!T$15*$AB241)+(BA$43*$AC241),0)</f>
        <v>171</v>
      </c>
      <c r="Y241" s="714">
        <f>ROUND(('1.4.조성법총괄(내부이동률 적용)'!U$15*$AB241)+(BB$43*$AC241),0)</f>
        <v>172</v>
      </c>
      <c r="Z241" s="714">
        <f>ROUND(('1.4.조성법총괄(내부이동률 적용)'!V$15*$AB241)+(BC$43*$AC241),0)</f>
        <v>172</v>
      </c>
      <c r="AA241" s="715">
        <f>ROUND(('1.4.조성법총괄(내부이동률 적용)'!W$15*$AB241)+(BD$43*$AC241),0)</f>
        <v>172</v>
      </c>
      <c r="AB241" s="936">
        <f>+H241/'1.4.조성법총괄(내부이동률 적용)'!$D$15</f>
        <v>7.5647491238567399E-3</v>
      </c>
      <c r="AC241" s="936"/>
      <c r="AD241" s="97"/>
      <c r="AE241" s="8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</row>
    <row r="242" spans="1:57" s="712" customFormat="1" ht="24" customHeight="1">
      <c r="A242" s="2696" t="s">
        <v>2233</v>
      </c>
      <c r="B242" s="2697"/>
      <c r="C242" s="2635" t="s">
        <v>32</v>
      </c>
      <c r="D242" s="2635"/>
      <c r="E242" s="2635"/>
      <c r="F242" s="713"/>
      <c r="G242" s="922">
        <f>SUM(G243:G244)</f>
        <v>253</v>
      </c>
      <c r="H242" s="922">
        <f t="shared" ref="H242:AA242" si="145">SUM(H243:H244)</f>
        <v>486</v>
      </c>
      <c r="I242" s="923">
        <f t="shared" si="145"/>
        <v>479</v>
      </c>
      <c r="J242" s="923">
        <f t="shared" si="145"/>
        <v>479</v>
      </c>
      <c r="K242" s="923">
        <f t="shared" si="145"/>
        <v>480</v>
      </c>
      <c r="L242" s="922">
        <f t="shared" si="145"/>
        <v>461</v>
      </c>
      <c r="M242" s="923">
        <f t="shared" si="145"/>
        <v>462</v>
      </c>
      <c r="N242" s="923">
        <f t="shared" si="145"/>
        <v>464</v>
      </c>
      <c r="O242" s="923">
        <f t="shared" si="145"/>
        <v>465</v>
      </c>
      <c r="P242" s="923">
        <f t="shared" si="145"/>
        <v>466</v>
      </c>
      <c r="Q242" s="922">
        <f t="shared" si="145"/>
        <v>464</v>
      </c>
      <c r="R242" s="923">
        <f t="shared" si="145"/>
        <v>465</v>
      </c>
      <c r="S242" s="923">
        <f t="shared" si="145"/>
        <v>466</v>
      </c>
      <c r="T242" s="923">
        <f t="shared" si="145"/>
        <v>466</v>
      </c>
      <c r="U242" s="923">
        <f t="shared" si="145"/>
        <v>468</v>
      </c>
      <c r="V242" s="938">
        <f t="shared" si="145"/>
        <v>469</v>
      </c>
      <c r="W242" s="631">
        <f t="shared" si="145"/>
        <v>470</v>
      </c>
      <c r="X242" s="631">
        <f t="shared" si="145"/>
        <v>470</v>
      </c>
      <c r="Y242" s="631">
        <f t="shared" si="145"/>
        <v>471</v>
      </c>
      <c r="Z242" s="631">
        <f t="shared" si="145"/>
        <v>472</v>
      </c>
      <c r="AA242" s="938">
        <f t="shared" si="145"/>
        <v>473</v>
      </c>
      <c r="AB242" s="97"/>
      <c r="AC242" s="97"/>
      <c r="AD242" s="97"/>
      <c r="AE242" s="8"/>
    </row>
    <row r="243" spans="1:57" s="712" customFormat="1" ht="24" customHeight="1">
      <c r="A243" s="2698"/>
      <c r="B243" s="2699"/>
      <c r="C243" s="2668" t="s">
        <v>637</v>
      </c>
      <c r="D243" s="2668" t="s">
        <v>1368</v>
      </c>
      <c r="E243" s="1817" t="s">
        <v>1349</v>
      </c>
      <c r="F243" s="713"/>
      <c r="G243" s="922"/>
      <c r="H243" s="922">
        <f>+'2014처리구역인구 정리'!J222</f>
        <v>218</v>
      </c>
      <c r="I243" s="925">
        <f>ROUND(('1.4.조성법총괄(내부이동률 적용)'!E$15*$AB243)+(AL$43*$AC243),0)</f>
        <v>215</v>
      </c>
      <c r="J243" s="925">
        <f>ROUND(('1.4.조성법총괄(내부이동률 적용)'!F$15*$AB243)+(AM$43*$AC243),0)</f>
        <v>215</v>
      </c>
      <c r="K243" s="925">
        <f>ROUND(('1.4.조성법총괄(내부이동률 적용)'!G$15*$AB243)+(AN$43*$AC243),0)</f>
        <v>215</v>
      </c>
      <c r="L243" s="907">
        <f>ROUND(('1.4.조성법총괄(내부이동률 적용)'!H$15*$AB243)+(AO$43*$AC243),0)</f>
        <v>207</v>
      </c>
      <c r="M243" s="925">
        <f>ROUND(('1.4.조성법총괄(내부이동률 적용)'!I$15*$AB243)+(AP$43*$AC243),0)</f>
        <v>207</v>
      </c>
      <c r="N243" s="925">
        <f>ROUND(('1.4.조성법총괄(내부이동률 적용)'!J$15*$AB243)+(AQ$43*$AC243),0)</f>
        <v>208</v>
      </c>
      <c r="O243" s="925">
        <f>ROUND(('1.4.조성법총괄(내부이동률 적용)'!K$15*$AB243)+(AR$43*$AC243),0)</f>
        <v>209</v>
      </c>
      <c r="P243" s="925">
        <f>ROUND(('1.4.조성법총괄(내부이동률 적용)'!L$15*$AB243)+(AS$43*$AC243),0)</f>
        <v>209</v>
      </c>
      <c r="Q243" s="907">
        <f>ROUND(('1.4.조성법총괄(내부이동률 적용)'!M$15*$AB243)+(AT$43*$AC243),0)</f>
        <v>208</v>
      </c>
      <c r="R243" s="925">
        <f>ROUND(('1.4.조성법총괄(내부이동률 적용)'!N$15*$AB243)+(AU$43*$AC243),0)</f>
        <v>209</v>
      </c>
      <c r="S243" s="925">
        <f>ROUND(('1.4.조성법총괄(내부이동률 적용)'!O$15*$AB243)+(AV$43*$AC243),0)</f>
        <v>209</v>
      </c>
      <c r="T243" s="925">
        <f>ROUND(('1.4.조성법총괄(내부이동률 적용)'!P$15*$AB243)+(AW$43*$AC243),0)</f>
        <v>209</v>
      </c>
      <c r="U243" s="925">
        <f>ROUND(('1.4.조성법총괄(내부이동률 적용)'!Q$15*$AB243)+(AX$43*$AC243),0)</f>
        <v>210</v>
      </c>
      <c r="V243" s="715">
        <f>ROUND(('1.4.조성법총괄(내부이동률 적용)'!R$15*$AB243)+(AY$43*$AC243),0)</f>
        <v>210</v>
      </c>
      <c r="W243" s="714">
        <f>ROUND(('1.4.조성법총괄(내부이동률 적용)'!S$15*$AB243)+(AZ$43*$AC243),0)</f>
        <v>211</v>
      </c>
      <c r="X243" s="714">
        <f>ROUND(('1.4.조성법총괄(내부이동률 적용)'!T$15*$AB243)+(BA$43*$AC243),0)</f>
        <v>211</v>
      </c>
      <c r="Y243" s="714">
        <f>ROUND(('1.4.조성법총괄(내부이동률 적용)'!U$15*$AB243)+(BB$43*$AC243),0)</f>
        <v>211</v>
      </c>
      <c r="Z243" s="714">
        <f>ROUND(('1.4.조성법총괄(내부이동률 적용)'!V$15*$AB243)+(BC$43*$AC243),0)</f>
        <v>212</v>
      </c>
      <c r="AA243" s="715">
        <f>ROUND(('1.4.조성법총괄(내부이동률 적용)'!W$15*$AB243)+(BD$43*$AC243),0)</f>
        <v>212</v>
      </c>
      <c r="AB243" s="936">
        <f>+H243/'1.4.조성법총괄(내부이동률 적용)'!$D$15</f>
        <v>9.3170356440721424E-3</v>
      </c>
      <c r="AC243" s="97"/>
      <c r="AD243" s="97"/>
      <c r="AE243" s="8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</row>
    <row r="244" spans="1:57" s="712" customFormat="1" ht="24" customHeight="1">
      <c r="A244" s="2701"/>
      <c r="B244" s="2702"/>
      <c r="C244" s="2670"/>
      <c r="D244" s="2670"/>
      <c r="E244" s="1817" t="s">
        <v>2234</v>
      </c>
      <c r="F244" s="713"/>
      <c r="G244" s="922">
        <f>+'2014처리구역인구 정리'!I223</f>
        <v>253</v>
      </c>
      <c r="H244" s="922">
        <f>+'2014처리구역인구 정리'!J223</f>
        <v>268</v>
      </c>
      <c r="I244" s="925">
        <f>ROUND(('1.4.조성법총괄(내부이동률 적용)'!E$15*$AB244)+(AL$43*$AC244),0)</f>
        <v>264</v>
      </c>
      <c r="J244" s="925">
        <f>ROUND(('1.4.조성법총괄(내부이동률 적용)'!F$15*$AB244)+(AM$43*$AC244),0)</f>
        <v>264</v>
      </c>
      <c r="K244" s="925">
        <f>ROUND(('1.4.조성법총괄(내부이동률 적용)'!G$15*$AB244)+(AN$43*$AC244),0)</f>
        <v>265</v>
      </c>
      <c r="L244" s="907">
        <f>ROUND(('1.4.조성법총괄(내부이동률 적용)'!H$15*$AB244)+(AO$43*$AC244),0)</f>
        <v>254</v>
      </c>
      <c r="M244" s="925">
        <f>ROUND(('1.4.조성법총괄(내부이동률 적용)'!I$15*$AB244)+(AP$43*$AC244),0)</f>
        <v>255</v>
      </c>
      <c r="N244" s="925">
        <f>ROUND(('1.4.조성법총괄(내부이동률 적용)'!J$15*$AB244)+(AQ$43*$AC244),0)</f>
        <v>256</v>
      </c>
      <c r="O244" s="925">
        <f>ROUND(('1.4.조성법총괄(내부이동률 적용)'!K$15*$AB244)+(AR$43*$AC244),0)</f>
        <v>256</v>
      </c>
      <c r="P244" s="925">
        <f>ROUND(('1.4.조성법총괄(내부이동률 적용)'!L$15*$AB244)+(AS$43*$AC244),0)</f>
        <v>257</v>
      </c>
      <c r="Q244" s="907">
        <f>ROUND(('1.4.조성법총괄(내부이동률 적용)'!M$15*$AB244)+(AT$43*$AC244),0)</f>
        <v>256</v>
      </c>
      <c r="R244" s="925">
        <f>ROUND(('1.4.조성법총괄(내부이동률 적용)'!N$15*$AB244)+(AU$43*$AC244),0)</f>
        <v>256</v>
      </c>
      <c r="S244" s="925">
        <f>ROUND(('1.4.조성법총괄(내부이동률 적용)'!O$15*$AB244)+(AV$43*$AC244),0)</f>
        <v>257</v>
      </c>
      <c r="T244" s="925">
        <f>ROUND(('1.4.조성법총괄(내부이동률 적용)'!P$15*$AB244)+(AW$43*$AC244),0)</f>
        <v>257</v>
      </c>
      <c r="U244" s="925">
        <f>ROUND(('1.4.조성법총괄(내부이동률 적용)'!Q$15*$AB244)+(AX$43*$AC244),0)</f>
        <v>258</v>
      </c>
      <c r="V244" s="715">
        <f>ROUND(('1.4.조성법총괄(내부이동률 적용)'!R$15*$AB244)+(AY$43*$AC244),0)</f>
        <v>259</v>
      </c>
      <c r="W244" s="714">
        <f>ROUND(('1.4.조성법총괄(내부이동률 적용)'!S$15*$AB244)+(AZ$43*$AC244),0)</f>
        <v>259</v>
      </c>
      <c r="X244" s="714">
        <f>ROUND(('1.4.조성법총괄(내부이동률 적용)'!T$15*$AB244)+(BA$43*$AC244),0)</f>
        <v>259</v>
      </c>
      <c r="Y244" s="714">
        <f>ROUND(('1.4.조성법총괄(내부이동률 적용)'!U$15*$AB244)+(BB$43*$AC244),0)</f>
        <v>260</v>
      </c>
      <c r="Z244" s="714">
        <f>ROUND(('1.4.조성법총괄(내부이동률 적용)'!V$15*$AB244)+(BC$43*$AC244),0)</f>
        <v>260</v>
      </c>
      <c r="AA244" s="715">
        <f>ROUND(('1.4.조성법총괄(내부이동률 적용)'!W$15*$AB244)+(BD$43*$AC244),0)</f>
        <v>261</v>
      </c>
      <c r="AB244" s="936">
        <f>+H244/'1.4.조성법총괄(내부이동률 적용)'!$D$15</f>
        <v>1.1453970424822634E-2</v>
      </c>
      <c r="AC244" s="936"/>
      <c r="AD244" s="97"/>
      <c r="AE244" s="8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</row>
    <row r="245" spans="1:57" s="712" customFormat="1" ht="24" customHeight="1">
      <c r="A245" s="2696" t="s">
        <v>1351</v>
      </c>
      <c r="B245" s="2697"/>
      <c r="C245" s="2635" t="s">
        <v>32</v>
      </c>
      <c r="D245" s="2635"/>
      <c r="E245" s="2635"/>
      <c r="F245" s="713"/>
      <c r="G245" s="922">
        <f>SUM(G247)</f>
        <v>137</v>
      </c>
      <c r="H245" s="922">
        <f>SUM(H246:H247)</f>
        <v>344</v>
      </c>
      <c r="I245" s="923">
        <f t="shared" ref="I245:AA245" si="146">SUM(I246:I247)</f>
        <v>340</v>
      </c>
      <c r="J245" s="923">
        <f t="shared" si="146"/>
        <v>338</v>
      </c>
      <c r="K245" s="923">
        <f t="shared" si="146"/>
        <v>334</v>
      </c>
      <c r="L245" s="922">
        <f t="shared" si="146"/>
        <v>330</v>
      </c>
      <c r="M245" s="923">
        <f t="shared" si="146"/>
        <v>330</v>
      </c>
      <c r="N245" s="923">
        <f t="shared" si="146"/>
        <v>330</v>
      </c>
      <c r="O245" s="923">
        <f t="shared" si="146"/>
        <v>330</v>
      </c>
      <c r="P245" s="923">
        <f t="shared" si="146"/>
        <v>328</v>
      </c>
      <c r="Q245" s="922">
        <f t="shared" si="146"/>
        <v>326</v>
      </c>
      <c r="R245" s="923">
        <f t="shared" si="146"/>
        <v>324</v>
      </c>
      <c r="S245" s="923">
        <f t="shared" si="146"/>
        <v>324</v>
      </c>
      <c r="T245" s="923">
        <f t="shared" si="146"/>
        <v>322</v>
      </c>
      <c r="U245" s="923">
        <f t="shared" si="146"/>
        <v>322</v>
      </c>
      <c r="V245" s="938">
        <f t="shared" si="146"/>
        <v>320</v>
      </c>
      <c r="W245" s="631">
        <f t="shared" si="146"/>
        <v>318</v>
      </c>
      <c r="X245" s="631">
        <f t="shared" si="146"/>
        <v>318</v>
      </c>
      <c r="Y245" s="631">
        <f t="shared" si="146"/>
        <v>316</v>
      </c>
      <c r="Z245" s="631">
        <f t="shared" si="146"/>
        <v>314</v>
      </c>
      <c r="AA245" s="938">
        <f t="shared" si="146"/>
        <v>280</v>
      </c>
      <c r="AB245" s="97"/>
      <c r="AC245" s="97"/>
      <c r="AD245" s="97"/>
      <c r="AE245" s="8"/>
    </row>
    <row r="246" spans="1:57" s="712" customFormat="1" ht="24" customHeight="1">
      <c r="A246" s="2698"/>
      <c r="B246" s="2699"/>
      <c r="C246" s="2668" t="s">
        <v>642</v>
      </c>
      <c r="D246" s="2668" t="s">
        <v>1367</v>
      </c>
      <c r="E246" s="1814" t="s">
        <v>1351</v>
      </c>
      <c r="F246" s="713"/>
      <c r="G246" s="922"/>
      <c r="H246" s="922">
        <f>+'2014처리구역인구 정리'!J225</f>
        <v>172</v>
      </c>
      <c r="I246" s="925">
        <f>ROUND(('1.4.조성법총괄(내부이동률 적용)'!E$51*$AB246)+(AL$89*$AC246),0)</f>
        <v>170</v>
      </c>
      <c r="J246" s="925">
        <f>ROUND(('1.4.조성법총괄(내부이동률 적용)'!F$51*$AB246)+(AM$89*$AC246),0)</f>
        <v>169</v>
      </c>
      <c r="K246" s="925">
        <f>ROUND(('1.4.조성법총괄(내부이동률 적용)'!G$51*$AB246)+(AN$89*$AC246),0)</f>
        <v>167</v>
      </c>
      <c r="L246" s="907">
        <f>ROUND(('1.4.조성법총괄(내부이동률 적용)'!H$51*$AB246)+(AO$89*$AC246),0)</f>
        <v>165</v>
      </c>
      <c r="M246" s="925">
        <f>ROUND(('1.4.조성법총괄(내부이동률 적용)'!I$51*$AB246)+(AP$89*$AC246),0)</f>
        <v>165</v>
      </c>
      <c r="N246" s="925">
        <f>ROUND(('1.4.조성법총괄(내부이동률 적용)'!J$51*$AB246)+(AQ$89*$AC246),0)</f>
        <v>165</v>
      </c>
      <c r="O246" s="925">
        <f>ROUND(('1.4.조성법총괄(내부이동률 적용)'!K$51*$AB246)+(AR$89*$AC246),0)</f>
        <v>165</v>
      </c>
      <c r="P246" s="925">
        <f>ROUND(('1.4.조성법총괄(내부이동률 적용)'!L$51*$AB246)+(AS$89*$AC246),0)</f>
        <v>164</v>
      </c>
      <c r="Q246" s="907">
        <f>ROUND(('1.4.조성법총괄(내부이동률 적용)'!M$51*$AB246)+(AT$89*$AC246),0)</f>
        <v>163</v>
      </c>
      <c r="R246" s="925">
        <f>ROUND(('1.4.조성법총괄(내부이동률 적용)'!N$51*$AB246)+(AU$89*$AC246),0)</f>
        <v>162</v>
      </c>
      <c r="S246" s="925">
        <f>ROUND(('1.4.조성법총괄(내부이동률 적용)'!O$51*$AB246)+(AV$89*$AC246),0)</f>
        <v>162</v>
      </c>
      <c r="T246" s="925">
        <f>ROUND(('1.4.조성법총괄(내부이동률 적용)'!P$51*$AB246)+(AW$89*$AC246),0)</f>
        <v>161</v>
      </c>
      <c r="U246" s="925">
        <f>ROUND(('1.4.조성법총괄(내부이동률 적용)'!Q$51*$AB246)+(AX$89*$AC246),0)</f>
        <v>161</v>
      </c>
      <c r="V246" s="715">
        <f>ROUND(('1.4.조성법총괄(내부이동률 적용)'!R$51*$AB246)+(AY$89*$AC246),0)</f>
        <v>160</v>
      </c>
      <c r="W246" s="714">
        <f>ROUND(('1.4.조성법총괄(내부이동률 적용)'!S$51*$AB246)+(AZ$89*$AC246),0)</f>
        <v>159</v>
      </c>
      <c r="X246" s="714">
        <f>ROUND(('1.4.조성법총괄(내부이동률 적용)'!T$51*$AB246)+(BA$89*$AC246),0)</f>
        <v>159</v>
      </c>
      <c r="Y246" s="714">
        <f>ROUND(('1.4.조성법총괄(내부이동률 적용)'!U$51*$AB246)+(BB$89*$AC246),0)</f>
        <v>158</v>
      </c>
      <c r="Z246" s="714">
        <f>ROUND(('1.4.조성법총괄(내부이동률 적용)'!V$51*$AB246)+(BC$89*$AC246),0)</f>
        <v>157</v>
      </c>
      <c r="AA246" s="715">
        <f>ROUND(('1.4.조성법총괄(내부이동률 적용)'!W$51*$AB246)+(BD$89*$AC246),0)</f>
        <v>140</v>
      </c>
      <c r="AB246" s="936">
        <f>+H246/'1.4.조성법총괄(내부이동률 적용)'!$D$51</f>
        <v>1.7892437324456466E-2</v>
      </c>
      <c r="AC246" s="97"/>
      <c r="AD246" s="97"/>
      <c r="AE246" s="8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</row>
    <row r="247" spans="1:57" s="712" customFormat="1" ht="24" customHeight="1">
      <c r="A247" s="2701"/>
      <c r="B247" s="2702"/>
      <c r="C247" s="2670"/>
      <c r="D247" s="2670"/>
      <c r="E247" s="1117" t="s">
        <v>2244</v>
      </c>
      <c r="F247" s="713"/>
      <c r="G247" s="922">
        <f>+'2014처리구역인구 정리'!I226</f>
        <v>137</v>
      </c>
      <c r="H247" s="922">
        <f>+'2014처리구역인구 정리'!J226</f>
        <v>172</v>
      </c>
      <c r="I247" s="925">
        <f>ROUND(('1.4.조성법총괄(내부이동률 적용)'!E$51*$AB247)+(AL$89*$AC247),0)</f>
        <v>170</v>
      </c>
      <c r="J247" s="925">
        <f>ROUND(('1.4.조성법총괄(내부이동률 적용)'!F$51*$AB247)+(AM$89*$AC247),0)</f>
        <v>169</v>
      </c>
      <c r="K247" s="925">
        <f>ROUND(('1.4.조성법총괄(내부이동률 적용)'!G$51*$AB247)+(AN$89*$AC247),0)</f>
        <v>167</v>
      </c>
      <c r="L247" s="907">
        <f>ROUND(('1.4.조성법총괄(내부이동률 적용)'!H$51*$AB247)+(AO$89*$AC247),0)</f>
        <v>165</v>
      </c>
      <c r="M247" s="925">
        <f>ROUND(('1.4.조성법총괄(내부이동률 적용)'!I$51*$AB247)+(AP$89*$AC247),0)</f>
        <v>165</v>
      </c>
      <c r="N247" s="925">
        <f>ROUND(('1.4.조성법총괄(내부이동률 적용)'!J$51*$AB247)+(AQ$89*$AC247),0)</f>
        <v>165</v>
      </c>
      <c r="O247" s="925">
        <f>ROUND(('1.4.조성법총괄(내부이동률 적용)'!K$51*$AB247)+(AR$89*$AC247),0)</f>
        <v>165</v>
      </c>
      <c r="P247" s="925">
        <f>ROUND(('1.4.조성법총괄(내부이동률 적용)'!L$51*$AB247)+(AS$89*$AC247),0)</f>
        <v>164</v>
      </c>
      <c r="Q247" s="907">
        <f>ROUND(('1.4.조성법총괄(내부이동률 적용)'!M$51*$AB247)+(AT$89*$AC247),0)</f>
        <v>163</v>
      </c>
      <c r="R247" s="925">
        <f>ROUND(('1.4.조성법총괄(내부이동률 적용)'!N$51*$AB247)+(AU$89*$AC247),0)</f>
        <v>162</v>
      </c>
      <c r="S247" s="925">
        <f>ROUND(('1.4.조성법총괄(내부이동률 적용)'!O$51*$AB247)+(AV$89*$AC247),0)</f>
        <v>162</v>
      </c>
      <c r="T247" s="925">
        <f>ROUND(('1.4.조성법총괄(내부이동률 적용)'!P$51*$AB247)+(AW$89*$AC247),0)</f>
        <v>161</v>
      </c>
      <c r="U247" s="925">
        <f>ROUND(('1.4.조성법총괄(내부이동률 적용)'!Q$51*$AB247)+(AX$89*$AC247),0)</f>
        <v>161</v>
      </c>
      <c r="V247" s="715">
        <f>ROUND(('1.4.조성법총괄(내부이동률 적용)'!R$51*$AB247)+(AY$89*$AC247),0)</f>
        <v>160</v>
      </c>
      <c r="W247" s="714">
        <f>ROUND(('1.4.조성법총괄(내부이동률 적용)'!S$51*$AB247)+(AZ$89*$AC247),0)</f>
        <v>159</v>
      </c>
      <c r="X247" s="714">
        <f>ROUND(('1.4.조성법총괄(내부이동률 적용)'!T$51*$AB247)+(BA$89*$AC247),0)</f>
        <v>159</v>
      </c>
      <c r="Y247" s="714">
        <f>ROUND(('1.4.조성법총괄(내부이동률 적용)'!U$51*$AB247)+(BB$89*$AC247),0)</f>
        <v>158</v>
      </c>
      <c r="Z247" s="714">
        <f>ROUND(('1.4.조성법총괄(내부이동률 적용)'!V$51*$AB247)+(BC$89*$AC247),0)</f>
        <v>157</v>
      </c>
      <c r="AA247" s="715">
        <f>ROUND(('1.4.조성법총괄(내부이동률 적용)'!W$51*$AB247)+(BD$89*$AC247),0)</f>
        <v>140</v>
      </c>
      <c r="AB247" s="936">
        <f>+H247/'1.4.조성법총괄(내부이동률 적용)'!$D$51</f>
        <v>1.7892437324456466E-2</v>
      </c>
      <c r="AC247" s="936"/>
      <c r="AD247" s="97"/>
      <c r="AE247" s="8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</row>
    <row r="248" spans="1:57" s="712" customFormat="1" ht="24" customHeight="1">
      <c r="A248" s="2696" t="s">
        <v>1352</v>
      </c>
      <c r="B248" s="2697"/>
      <c r="C248" s="2635" t="s">
        <v>32</v>
      </c>
      <c r="D248" s="2635"/>
      <c r="E248" s="2635"/>
      <c r="F248" s="713"/>
      <c r="G248" s="922">
        <f>SUM(G249)</f>
        <v>225</v>
      </c>
      <c r="H248" s="922">
        <f>SUM(H249)</f>
        <v>232</v>
      </c>
      <c r="I248" s="923">
        <f t="shared" ref="I248:AA248" si="147">SUM(I249)</f>
        <v>231</v>
      </c>
      <c r="J248" s="923">
        <f t="shared" si="147"/>
        <v>223</v>
      </c>
      <c r="K248" s="923">
        <f t="shared" si="147"/>
        <v>222</v>
      </c>
      <c r="L248" s="922">
        <f t="shared" si="147"/>
        <v>222</v>
      </c>
      <c r="M248" s="923">
        <f t="shared" si="147"/>
        <v>222</v>
      </c>
      <c r="N248" s="923">
        <f t="shared" si="147"/>
        <v>222</v>
      </c>
      <c r="O248" s="923">
        <f t="shared" si="147"/>
        <v>223</v>
      </c>
      <c r="P248" s="923">
        <f t="shared" si="147"/>
        <v>223</v>
      </c>
      <c r="Q248" s="922">
        <f t="shared" si="147"/>
        <v>210</v>
      </c>
      <c r="R248" s="923">
        <f t="shared" si="147"/>
        <v>210</v>
      </c>
      <c r="S248" s="923">
        <f t="shared" si="147"/>
        <v>210</v>
      </c>
      <c r="T248" s="923">
        <f t="shared" si="147"/>
        <v>209</v>
      </c>
      <c r="U248" s="923">
        <f t="shared" si="147"/>
        <v>209</v>
      </c>
      <c r="V248" s="938">
        <f t="shared" si="147"/>
        <v>209</v>
      </c>
      <c r="W248" s="631">
        <f t="shared" si="147"/>
        <v>208</v>
      </c>
      <c r="X248" s="631">
        <f t="shared" si="147"/>
        <v>208</v>
      </c>
      <c r="Y248" s="631">
        <f t="shared" si="147"/>
        <v>207</v>
      </c>
      <c r="Z248" s="631">
        <f t="shared" si="147"/>
        <v>207</v>
      </c>
      <c r="AA248" s="938">
        <f t="shared" si="147"/>
        <v>206</v>
      </c>
      <c r="AB248" s="97"/>
      <c r="AC248" s="97"/>
      <c r="AD248" s="97"/>
      <c r="AE248" s="8"/>
    </row>
    <row r="249" spans="1:57" s="712" customFormat="1" ht="24" customHeight="1">
      <c r="A249" s="2701"/>
      <c r="B249" s="2702"/>
      <c r="C249" s="1117" t="s">
        <v>699</v>
      </c>
      <c r="D249" s="1117" t="s">
        <v>1365</v>
      </c>
      <c r="E249" s="1117" t="s">
        <v>1366</v>
      </c>
      <c r="F249" s="713"/>
      <c r="G249" s="922">
        <f>+'2014처리구역인구 정리'!I228</f>
        <v>225</v>
      </c>
      <c r="H249" s="922">
        <f>+'2014처리구역인구 정리'!J228</f>
        <v>232</v>
      </c>
      <c r="I249" s="925">
        <f>ROUND(('1.4.조성법총괄(내부이동률 적용)'!E$65*$AB249)+(AL$110*$AC249),0)</f>
        <v>231</v>
      </c>
      <c r="J249" s="925">
        <f>ROUND(('1.4.조성법총괄(내부이동률 적용)'!F$65*$AB249)+(AM$110*$AC249),0)</f>
        <v>223</v>
      </c>
      <c r="K249" s="925">
        <f>ROUND(('1.4.조성법총괄(내부이동률 적용)'!G$65*$AB249)+(AN$110*$AC249),0)</f>
        <v>222</v>
      </c>
      <c r="L249" s="907">
        <f>ROUND(('1.4.조성법총괄(내부이동률 적용)'!H$65*$AB249)+(AO$110*$AC249),0)</f>
        <v>222</v>
      </c>
      <c r="M249" s="925">
        <f>ROUND(('1.4.조성법총괄(내부이동률 적용)'!I$65*$AB249)+(AP$110*$AC249),0)</f>
        <v>222</v>
      </c>
      <c r="N249" s="925">
        <f>ROUND(('1.4.조성법총괄(내부이동률 적용)'!J$65*$AB249)+(AQ$110*$AC249),0)</f>
        <v>222</v>
      </c>
      <c r="O249" s="925">
        <f>ROUND(('1.4.조성법총괄(내부이동률 적용)'!K$65*$AB249)+(AR$110*$AC249),0)</f>
        <v>223</v>
      </c>
      <c r="P249" s="925">
        <f>ROUND(('1.4.조성법총괄(내부이동률 적용)'!L$65*$AB249)+(AS$110*$AC249),0)</f>
        <v>223</v>
      </c>
      <c r="Q249" s="907">
        <f>ROUND(('1.4.조성법총괄(내부이동률 적용)'!M$65*$AB249)+(AT$110*$AC249),0)</f>
        <v>210</v>
      </c>
      <c r="R249" s="925">
        <f>ROUND(('1.4.조성법총괄(내부이동률 적용)'!N$65*$AB249)+(AU$110*$AC249),0)</f>
        <v>210</v>
      </c>
      <c r="S249" s="925">
        <f>ROUND(('1.4.조성법총괄(내부이동률 적용)'!O$65*$AB249)+(AV$110*$AC249),0)</f>
        <v>210</v>
      </c>
      <c r="T249" s="925">
        <f>ROUND(('1.4.조성법총괄(내부이동률 적용)'!P$65*$AB249)+(AW$110*$AC249),0)</f>
        <v>209</v>
      </c>
      <c r="U249" s="925">
        <f>ROUND(('1.4.조성법총괄(내부이동률 적용)'!Q$65*$AB249)+(AX$110*$AC249),0)</f>
        <v>209</v>
      </c>
      <c r="V249" s="715">
        <f>ROUND(('1.4.조성법총괄(내부이동률 적용)'!R$65*$AB249)+(AY$110*$AC249),0)</f>
        <v>209</v>
      </c>
      <c r="W249" s="714">
        <f>ROUND(('1.4.조성법총괄(내부이동률 적용)'!S$65*$AB249)+(AZ$110*$AC249),0)</f>
        <v>208</v>
      </c>
      <c r="X249" s="714">
        <f>ROUND(('1.4.조성법총괄(내부이동률 적용)'!T$65*$AB249)+(BA$110*$AC249),0)</f>
        <v>208</v>
      </c>
      <c r="Y249" s="714">
        <f>ROUND(('1.4.조성법총괄(내부이동률 적용)'!U$65*$AB249)+(BB$110*$AC249),0)</f>
        <v>207</v>
      </c>
      <c r="Z249" s="714">
        <f>ROUND(('1.4.조성법총괄(내부이동률 적용)'!V$65*$AB249)+(BC$110*$AC249),0)</f>
        <v>207</v>
      </c>
      <c r="AA249" s="715">
        <f>ROUND(('1.4.조성법총괄(내부이동률 적용)'!W$65*$AB249)+(BD$110*$AC249),0)</f>
        <v>206</v>
      </c>
      <c r="AB249" s="936">
        <f>+H249/'1.4.조성법총괄(내부이동률 적용)'!$D$65</f>
        <v>2.0363381023435444E-2</v>
      </c>
      <c r="AC249" s="936"/>
      <c r="AD249" s="97"/>
      <c r="AE249" s="8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</row>
    <row r="250" spans="1:57" s="712" customFormat="1" ht="24" customHeight="1">
      <c r="A250" s="2696" t="s">
        <v>1353</v>
      </c>
      <c r="B250" s="2697"/>
      <c r="C250" s="2634" t="s">
        <v>32</v>
      </c>
      <c r="D250" s="2634"/>
      <c r="E250" s="2634"/>
      <c r="F250" s="713"/>
      <c r="G250" s="922">
        <f>SUM(G251)</f>
        <v>150</v>
      </c>
      <c r="H250" s="922">
        <f>SUM(H251)</f>
        <v>150</v>
      </c>
      <c r="I250" s="923">
        <f t="shared" ref="I250:AA250" si="148">SUM(I251)</f>
        <v>141</v>
      </c>
      <c r="J250" s="923">
        <f t="shared" si="148"/>
        <v>141</v>
      </c>
      <c r="K250" s="923">
        <f t="shared" si="148"/>
        <v>141</v>
      </c>
      <c r="L250" s="922">
        <f t="shared" si="148"/>
        <v>142</v>
      </c>
      <c r="M250" s="923">
        <f t="shared" si="148"/>
        <v>144</v>
      </c>
      <c r="N250" s="923">
        <f t="shared" si="148"/>
        <v>145</v>
      </c>
      <c r="O250" s="923">
        <f t="shared" si="148"/>
        <v>146</v>
      </c>
      <c r="P250" s="923">
        <f t="shared" si="148"/>
        <v>147</v>
      </c>
      <c r="Q250" s="922">
        <f t="shared" si="148"/>
        <v>147</v>
      </c>
      <c r="R250" s="923">
        <f t="shared" si="148"/>
        <v>148</v>
      </c>
      <c r="S250" s="923">
        <f t="shared" si="148"/>
        <v>148</v>
      </c>
      <c r="T250" s="923">
        <f t="shared" si="148"/>
        <v>148</v>
      </c>
      <c r="U250" s="923">
        <f t="shared" si="148"/>
        <v>148</v>
      </c>
      <c r="V250" s="938">
        <f t="shared" si="148"/>
        <v>149</v>
      </c>
      <c r="W250" s="631">
        <f t="shared" si="148"/>
        <v>148</v>
      </c>
      <c r="X250" s="631">
        <f t="shared" si="148"/>
        <v>148</v>
      </c>
      <c r="Y250" s="631">
        <f t="shared" si="148"/>
        <v>148</v>
      </c>
      <c r="Z250" s="631">
        <f t="shared" si="148"/>
        <v>148</v>
      </c>
      <c r="AA250" s="938">
        <f t="shared" si="148"/>
        <v>144</v>
      </c>
      <c r="AB250" s="97"/>
      <c r="AC250" s="97"/>
      <c r="AD250" s="97"/>
      <c r="AE250" s="8"/>
    </row>
    <row r="251" spans="1:57" s="712" customFormat="1" ht="24" customHeight="1">
      <c r="A251" s="2701"/>
      <c r="B251" s="2702"/>
      <c r="C251" s="1115" t="s">
        <v>1359</v>
      </c>
      <c r="D251" s="1115" t="s">
        <v>1364</v>
      </c>
      <c r="E251" s="1115" t="s">
        <v>1353</v>
      </c>
      <c r="F251" s="713"/>
      <c r="G251" s="922">
        <f>+'2014처리구역인구 정리'!I230</f>
        <v>150</v>
      </c>
      <c r="H251" s="922">
        <f>+'2014처리구역인구 정리'!J230</f>
        <v>150</v>
      </c>
      <c r="I251" s="925">
        <f>ROUND(('1.4.조성법총괄(내부이동률 적용)'!E$36*$AB251)+(AL$59*$AC251),0)</f>
        <v>141</v>
      </c>
      <c r="J251" s="925">
        <f>ROUND(('1.4.조성법총괄(내부이동률 적용)'!F$36*$AB251)+(AM$59*$AC251),0)</f>
        <v>141</v>
      </c>
      <c r="K251" s="925">
        <f>ROUND(('1.4.조성법총괄(내부이동률 적용)'!G$36*$AB251)+(AN$59*$AC251),0)</f>
        <v>141</v>
      </c>
      <c r="L251" s="907">
        <f>ROUND(('1.4.조성법총괄(내부이동률 적용)'!H$36*$AB251)+(AO$59*$AC251),0)</f>
        <v>142</v>
      </c>
      <c r="M251" s="925">
        <f>ROUND(('1.4.조성법총괄(내부이동률 적용)'!I$36*$AB251)+(AP$59*$AC251),0)</f>
        <v>144</v>
      </c>
      <c r="N251" s="925">
        <f>ROUND(('1.4.조성법총괄(내부이동률 적용)'!J$36*$AB251)+(AQ$59*$AC251),0)</f>
        <v>145</v>
      </c>
      <c r="O251" s="925">
        <f>ROUND(('1.4.조성법총괄(내부이동률 적용)'!K$36*$AB251)+(AR$59*$AC251),0)</f>
        <v>146</v>
      </c>
      <c r="P251" s="925">
        <f>ROUND(('1.4.조성법총괄(내부이동률 적용)'!L$36*$AB251)+(AS$59*$AC251),0)</f>
        <v>147</v>
      </c>
      <c r="Q251" s="907">
        <f>ROUND(('1.4.조성법총괄(내부이동률 적용)'!M$36*$AB251)+(AT$59*$AC251),0)</f>
        <v>147</v>
      </c>
      <c r="R251" s="925">
        <f>ROUND(('1.4.조성법총괄(내부이동률 적용)'!N$36*$AB251)+(AU$59*$AC251),0)</f>
        <v>148</v>
      </c>
      <c r="S251" s="925">
        <f>ROUND(('1.4.조성법총괄(내부이동률 적용)'!O$36*$AB251)+(AV$59*$AC251),0)</f>
        <v>148</v>
      </c>
      <c r="T251" s="925">
        <f>ROUND(('1.4.조성법총괄(내부이동률 적용)'!P$36*$AB251)+(AW$59*$AC251),0)</f>
        <v>148</v>
      </c>
      <c r="U251" s="925">
        <f>ROUND(('1.4.조성법총괄(내부이동률 적용)'!Q$36*$AB251)+(AX$59*$AC251),0)</f>
        <v>148</v>
      </c>
      <c r="V251" s="715">
        <f>ROUND(('1.4.조성법총괄(내부이동률 적용)'!R$36*$AB251)+(AY$59*$AC251),0)</f>
        <v>149</v>
      </c>
      <c r="W251" s="714">
        <f>ROUND(('1.4.조성법총괄(내부이동률 적용)'!S$36*$AB251)+(AZ$59*$AC251),0)</f>
        <v>148</v>
      </c>
      <c r="X251" s="714">
        <f>ROUND(('1.4.조성법총괄(내부이동률 적용)'!T$36*$AB251)+(BA$59*$AC251),0)</f>
        <v>148</v>
      </c>
      <c r="Y251" s="714">
        <f>ROUND(('1.4.조성법총괄(내부이동률 적용)'!U$36*$AB251)+(BB$59*$AC251),0)</f>
        <v>148</v>
      </c>
      <c r="Z251" s="714">
        <f>ROUND(('1.4.조성법총괄(내부이동률 적용)'!V$36*$AB251)+(BC$59*$AC251),0)</f>
        <v>148</v>
      </c>
      <c r="AA251" s="715">
        <f>ROUND(('1.4.조성법총괄(내부이동률 적용)'!W$36*$AB251)+(BD$59*$AC251),0)</f>
        <v>144</v>
      </c>
      <c r="AB251" s="936">
        <f>+H251/'1.4.조성법총괄(내부이동률 적용)'!$D$36</f>
        <v>1.224090093030847E-2</v>
      </c>
      <c r="AC251" s="936">
        <f>+H251/'1.4.조성법총괄(내부이동률 적용)'!$D$36</f>
        <v>1.224090093030847E-2</v>
      </c>
      <c r="AD251" s="97"/>
      <c r="AE251" s="8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</row>
    <row r="252" spans="1:57" s="712" customFormat="1" ht="24" customHeight="1">
      <c r="A252" s="2696" t="s">
        <v>1354</v>
      </c>
      <c r="B252" s="2697"/>
      <c r="C252" s="2635" t="s">
        <v>32</v>
      </c>
      <c r="D252" s="2635"/>
      <c r="E252" s="2635"/>
      <c r="F252" s="713"/>
      <c r="G252" s="922">
        <f>SUM(G254)</f>
        <v>0</v>
      </c>
      <c r="H252" s="922">
        <f t="shared" ref="H252:AA252" si="149">SUM(H253:H254)</f>
        <v>298</v>
      </c>
      <c r="I252" s="923">
        <f t="shared" si="149"/>
        <v>290</v>
      </c>
      <c r="J252" s="923">
        <f t="shared" si="149"/>
        <v>284</v>
      </c>
      <c r="K252" s="923">
        <f t="shared" si="149"/>
        <v>275</v>
      </c>
      <c r="L252" s="922">
        <f t="shared" si="149"/>
        <v>262</v>
      </c>
      <c r="M252" s="923">
        <f t="shared" si="149"/>
        <v>259</v>
      </c>
      <c r="N252" s="923">
        <f t="shared" si="149"/>
        <v>257</v>
      </c>
      <c r="O252" s="923">
        <f t="shared" si="149"/>
        <v>254</v>
      </c>
      <c r="P252" s="923">
        <f t="shared" si="149"/>
        <v>252</v>
      </c>
      <c r="Q252" s="922">
        <f t="shared" si="149"/>
        <v>243</v>
      </c>
      <c r="R252" s="923">
        <f t="shared" si="149"/>
        <v>238</v>
      </c>
      <c r="S252" s="923">
        <f t="shared" si="149"/>
        <v>234</v>
      </c>
      <c r="T252" s="923">
        <f t="shared" si="149"/>
        <v>231</v>
      </c>
      <c r="U252" s="923">
        <f t="shared" si="149"/>
        <v>226</v>
      </c>
      <c r="V252" s="938">
        <f t="shared" si="149"/>
        <v>223</v>
      </c>
      <c r="W252" s="631">
        <f t="shared" si="149"/>
        <v>218</v>
      </c>
      <c r="X252" s="631">
        <f t="shared" si="149"/>
        <v>215</v>
      </c>
      <c r="Y252" s="631">
        <f t="shared" si="149"/>
        <v>211</v>
      </c>
      <c r="Z252" s="631">
        <f t="shared" si="149"/>
        <v>207</v>
      </c>
      <c r="AA252" s="938">
        <f t="shared" si="149"/>
        <v>155</v>
      </c>
      <c r="AB252" s="97"/>
      <c r="AC252" s="97"/>
      <c r="AD252" s="97"/>
      <c r="AE252" s="8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</row>
    <row r="253" spans="1:57" s="712" customFormat="1" ht="24" customHeight="1">
      <c r="A253" s="2698"/>
      <c r="B253" s="2699"/>
      <c r="C253" s="2669"/>
      <c r="D253" s="2669"/>
      <c r="E253" s="1814" t="s">
        <v>1354</v>
      </c>
      <c r="F253" s="713"/>
      <c r="G253" s="922"/>
      <c r="H253" s="922">
        <f>+'2014처리구역인구 정리'!J233</f>
        <v>183</v>
      </c>
      <c r="I253" s="925">
        <f>ROUND(('1.4.조성법총괄(내부이동률 적용)'!E$22*$AB253)+(AL$46*$AC253),0)</f>
        <v>178</v>
      </c>
      <c r="J253" s="925">
        <f>ROUND(('1.4.조성법총괄(내부이동률 적용)'!F$22*$AB253)+(AM$46*$AC253),0)</f>
        <v>174</v>
      </c>
      <c r="K253" s="925">
        <f>ROUND(('1.4.조성법총괄(내부이동률 적용)'!G$22*$AB253)+(AN$46*$AC253),0)</f>
        <v>169</v>
      </c>
      <c r="L253" s="907">
        <f>ROUND(('1.4.조성법총괄(내부이동률 적용)'!H$22*$AB253)+(AO$46*$AC253),0)</f>
        <v>161</v>
      </c>
      <c r="M253" s="925">
        <f>ROUND(('1.4.조성법총괄(내부이동률 적용)'!I$22*$AB253)+(AP$46*$AC253),0)</f>
        <v>159</v>
      </c>
      <c r="N253" s="925">
        <f>ROUND(('1.4.조성법총괄(내부이동률 적용)'!J$22*$AB253)+(AQ$46*$AC253),0)</f>
        <v>158</v>
      </c>
      <c r="O253" s="925">
        <f>ROUND(('1.4.조성법총괄(내부이동률 적용)'!K$22*$AB253)+(AR$46*$AC253),0)</f>
        <v>156</v>
      </c>
      <c r="P253" s="925">
        <f>ROUND(('1.4.조성법총괄(내부이동률 적용)'!L$22*$AB253)+(AS$46*$AC253),0)</f>
        <v>155</v>
      </c>
      <c r="Q253" s="907">
        <f>ROUND(('1.4.조성법총괄(내부이동률 적용)'!M$22*$AB253)+(AT$46*$AC253),0)</f>
        <v>149</v>
      </c>
      <c r="R253" s="925">
        <f>ROUND(('1.4.조성법총괄(내부이동률 적용)'!N$22*$AB253)+(AU$46*$AC253),0)</f>
        <v>146</v>
      </c>
      <c r="S253" s="925">
        <f>ROUND(('1.4.조성법총괄(내부이동률 적용)'!O$22*$AB253)+(AV$46*$AC253),0)</f>
        <v>144</v>
      </c>
      <c r="T253" s="925">
        <f>ROUND(('1.4.조성법총괄(내부이동률 적용)'!P$22*$AB253)+(AW$46*$AC253),0)</f>
        <v>142</v>
      </c>
      <c r="U253" s="925">
        <f>ROUND(('1.4.조성법총괄(내부이동률 적용)'!Q$22*$AB253)+(AX$46*$AC253),0)</f>
        <v>139</v>
      </c>
      <c r="V253" s="715">
        <f>ROUND(('1.4.조성법총괄(내부이동률 적용)'!R$22*$AB253)+(AY$46*$AC253),0)</f>
        <v>137</v>
      </c>
      <c r="W253" s="714">
        <f>ROUND(('1.4.조성법총괄(내부이동률 적용)'!S$22*$AB253)+(AZ$46*$AC253),0)</f>
        <v>134</v>
      </c>
      <c r="X253" s="714">
        <f>ROUND(('1.4.조성법총괄(내부이동률 적용)'!T$22*$AB253)+(BA$46*$AC253),0)</f>
        <v>132</v>
      </c>
      <c r="Y253" s="714">
        <f>ROUND(('1.4.조성법총괄(내부이동률 적용)'!U$22*$AB253)+(BB$46*$AC253),0)</f>
        <v>130</v>
      </c>
      <c r="Z253" s="714">
        <f>ROUND(('1.4.조성법총괄(내부이동률 적용)'!V$22*$AB253)+(BC$46*$AC253),0)</f>
        <v>127</v>
      </c>
      <c r="AA253" s="715">
        <f>ROUND(('1.4.조성법총괄(내부이동률 적용)'!W$22*$AB253)+(BD$46*$AC253),0)</f>
        <v>95</v>
      </c>
      <c r="AB253" s="936">
        <f>+H253/'1.4.조성법총괄(내부이동률 적용)'!$D$22</f>
        <v>5.648148148148148E-2</v>
      </c>
      <c r="AC253" s="936">
        <f>+H253/'1.4.조성법총괄(내부이동률 적용)'!$D$22</f>
        <v>5.648148148148148E-2</v>
      </c>
      <c r="AD253" s="97"/>
      <c r="AE253" s="8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</row>
    <row r="254" spans="1:57" s="712" customFormat="1" ht="24" customHeight="1">
      <c r="A254" s="2701"/>
      <c r="B254" s="2702"/>
      <c r="C254" s="2670"/>
      <c r="D254" s="2670"/>
      <c r="E254" s="1117" t="s">
        <v>2237</v>
      </c>
      <c r="F254" s="713"/>
      <c r="G254" s="922">
        <f>+'2014처리구역인구 정리'!I234</f>
        <v>0</v>
      </c>
      <c r="H254" s="922">
        <f>+'2014처리구역인구 정리'!J234</f>
        <v>115</v>
      </c>
      <c r="I254" s="925">
        <f>ROUND(('1.4.조성법총괄(내부이동률 적용)'!E$22*$AB254)+(AL$46*$AC254),0)</f>
        <v>112</v>
      </c>
      <c r="J254" s="925">
        <f>ROUND(('1.4.조성법총괄(내부이동률 적용)'!F$22*$AB254)+(AM$46*$AC254),0)</f>
        <v>110</v>
      </c>
      <c r="K254" s="925">
        <f>ROUND(('1.4.조성법총괄(내부이동률 적용)'!G$22*$AB254)+(AN$46*$AC254),0)</f>
        <v>106</v>
      </c>
      <c r="L254" s="907">
        <f>ROUND(('1.4.조성법총괄(내부이동률 적용)'!H$22*$AB254)+(AO$46*$AC254),0)</f>
        <v>101</v>
      </c>
      <c r="M254" s="925">
        <f>ROUND(('1.4.조성법총괄(내부이동률 적용)'!I$22*$AB254)+(AP$46*$AC254),0)</f>
        <v>100</v>
      </c>
      <c r="N254" s="925">
        <f>ROUND(('1.4.조성법총괄(내부이동률 적용)'!J$22*$AB254)+(AQ$46*$AC254),0)</f>
        <v>99</v>
      </c>
      <c r="O254" s="925">
        <f>ROUND(('1.4.조성법총괄(내부이동률 적용)'!K$22*$AB254)+(AR$46*$AC254),0)</f>
        <v>98</v>
      </c>
      <c r="P254" s="925">
        <f>ROUND(('1.4.조성법총괄(내부이동률 적용)'!L$22*$AB254)+(AS$46*$AC254),0)</f>
        <v>97</v>
      </c>
      <c r="Q254" s="907">
        <f>ROUND(('1.4.조성법총괄(내부이동률 적용)'!M$22*$AB254)+(AT$46*$AC254),0)</f>
        <v>94</v>
      </c>
      <c r="R254" s="925">
        <f>ROUND(('1.4.조성법총괄(내부이동률 적용)'!N$22*$AB254)+(AU$46*$AC254),0)</f>
        <v>92</v>
      </c>
      <c r="S254" s="925">
        <f>ROUND(('1.4.조성법총괄(내부이동률 적용)'!O$22*$AB254)+(AV$46*$AC254),0)</f>
        <v>90</v>
      </c>
      <c r="T254" s="925">
        <f>ROUND(('1.4.조성법총괄(내부이동률 적용)'!P$22*$AB254)+(AW$46*$AC254),0)</f>
        <v>89</v>
      </c>
      <c r="U254" s="925">
        <f>ROUND(('1.4.조성법총괄(내부이동률 적용)'!Q$22*$AB254)+(AX$46*$AC254),0)</f>
        <v>87</v>
      </c>
      <c r="V254" s="715">
        <f>ROUND(('1.4.조성법총괄(내부이동률 적용)'!R$22*$AB254)+(AY$46*$AC254),0)</f>
        <v>86</v>
      </c>
      <c r="W254" s="714">
        <f>ROUND(('1.4.조성법총괄(내부이동률 적용)'!S$22*$AB254)+(AZ$46*$AC254),0)</f>
        <v>84</v>
      </c>
      <c r="X254" s="714">
        <f>ROUND(('1.4.조성법총괄(내부이동률 적용)'!T$22*$AB254)+(BA$46*$AC254),0)</f>
        <v>83</v>
      </c>
      <c r="Y254" s="714">
        <f>ROUND(('1.4.조성법총괄(내부이동률 적용)'!U$22*$AB254)+(BB$46*$AC254),0)</f>
        <v>81</v>
      </c>
      <c r="Z254" s="714">
        <f>ROUND(('1.4.조성법총괄(내부이동률 적용)'!V$22*$AB254)+(BC$46*$AC254),0)</f>
        <v>80</v>
      </c>
      <c r="AA254" s="715">
        <f>ROUND(('1.4.조성법총괄(내부이동률 적용)'!W$22*$AB254)+(BD$46*$AC254),0)</f>
        <v>60</v>
      </c>
      <c r="AB254" s="936">
        <f>+H254/'1.4.조성법총괄(내부이동률 적용)'!$D$22</f>
        <v>3.5493827160493825E-2</v>
      </c>
      <c r="AC254" s="936">
        <f>+H254/'1.4.조성법총괄(내부이동률 적용)'!$D$22</f>
        <v>3.5493827160493825E-2</v>
      </c>
      <c r="AD254" s="97"/>
      <c r="AE254" s="8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</row>
    <row r="255" spans="1:57" s="712" customFormat="1" ht="24" customHeight="1">
      <c r="A255" s="2696" t="s">
        <v>1355</v>
      </c>
      <c r="B255" s="2697"/>
      <c r="C255" s="2635" t="s">
        <v>32</v>
      </c>
      <c r="D255" s="2635"/>
      <c r="E255" s="2635"/>
      <c r="F255" s="713"/>
      <c r="G255" s="922">
        <f>SUM(G257)</f>
        <v>171</v>
      </c>
      <c r="H255" s="922">
        <f>SUM(H256:H257)</f>
        <v>333</v>
      </c>
      <c r="I255" s="923">
        <f t="shared" ref="I255:AA255" si="150">SUM(I256:I257)</f>
        <v>324</v>
      </c>
      <c r="J255" s="923">
        <f t="shared" si="150"/>
        <v>318</v>
      </c>
      <c r="K255" s="923">
        <f t="shared" si="150"/>
        <v>308</v>
      </c>
      <c r="L255" s="922">
        <f t="shared" si="150"/>
        <v>293</v>
      </c>
      <c r="M255" s="923">
        <f t="shared" si="150"/>
        <v>290</v>
      </c>
      <c r="N255" s="923">
        <f t="shared" si="150"/>
        <v>288</v>
      </c>
      <c r="O255" s="923">
        <f t="shared" si="150"/>
        <v>284</v>
      </c>
      <c r="P255" s="923">
        <f t="shared" si="150"/>
        <v>282</v>
      </c>
      <c r="Q255" s="922">
        <f t="shared" si="150"/>
        <v>271</v>
      </c>
      <c r="R255" s="923">
        <f t="shared" si="150"/>
        <v>266</v>
      </c>
      <c r="S255" s="923">
        <f t="shared" si="150"/>
        <v>262</v>
      </c>
      <c r="T255" s="923">
        <f t="shared" si="150"/>
        <v>258</v>
      </c>
      <c r="U255" s="923">
        <f t="shared" si="150"/>
        <v>253</v>
      </c>
      <c r="V255" s="938">
        <f t="shared" si="150"/>
        <v>249</v>
      </c>
      <c r="W255" s="631">
        <f t="shared" si="150"/>
        <v>245</v>
      </c>
      <c r="X255" s="631">
        <f t="shared" si="150"/>
        <v>240</v>
      </c>
      <c r="Y255" s="631">
        <f t="shared" si="150"/>
        <v>236</v>
      </c>
      <c r="Z255" s="631">
        <f t="shared" si="150"/>
        <v>232</v>
      </c>
      <c r="AA255" s="938">
        <f t="shared" si="150"/>
        <v>174</v>
      </c>
      <c r="AB255" s="97"/>
      <c r="AC255" s="97"/>
      <c r="AD255" s="97"/>
      <c r="AE255" s="8"/>
    </row>
    <row r="256" spans="1:57" s="712" customFormat="1" ht="24" customHeight="1">
      <c r="A256" s="2698"/>
      <c r="B256" s="2699"/>
      <c r="C256" s="2668" t="s">
        <v>1360</v>
      </c>
      <c r="D256" s="2668" t="s">
        <v>1362</v>
      </c>
      <c r="E256" s="1814" t="s">
        <v>2238</v>
      </c>
      <c r="F256" s="713"/>
      <c r="G256" s="922"/>
      <c r="H256" s="922">
        <f>+'2014처리구역인구 정리'!J236</f>
        <v>155</v>
      </c>
      <c r="I256" s="925">
        <f>ROUND(('1.4.조성법총괄(내부이동률 적용)'!E$22*$AB256)+(AL$46*$AC256),0)</f>
        <v>151</v>
      </c>
      <c r="J256" s="925">
        <f>ROUND(('1.4.조성법총괄(내부이동률 적용)'!F$22*$AB256)+(AM$46*$AC256),0)</f>
        <v>148</v>
      </c>
      <c r="K256" s="925">
        <f>ROUND(('1.4.조성법총괄(내부이동률 적용)'!G$22*$AB256)+(AN$46*$AC256),0)</f>
        <v>143</v>
      </c>
      <c r="L256" s="907">
        <f>ROUND(('1.4.조성법총괄(내부이동률 적용)'!H$22*$AB256)+(AO$46*$AC256),0)</f>
        <v>136</v>
      </c>
      <c r="M256" s="925">
        <f>ROUND(('1.4.조성법총괄(내부이동률 적용)'!I$22*$AB256)+(AP$46*$AC256),0)</f>
        <v>135</v>
      </c>
      <c r="N256" s="925">
        <f>ROUND(('1.4.조성법총괄(내부이동률 적용)'!J$22*$AB256)+(AQ$46*$AC256),0)</f>
        <v>134</v>
      </c>
      <c r="O256" s="925">
        <f>ROUND(('1.4.조성법총괄(내부이동률 적용)'!K$22*$AB256)+(AR$46*$AC256),0)</f>
        <v>132</v>
      </c>
      <c r="P256" s="925">
        <f>ROUND(('1.4.조성법총괄(내부이동률 적용)'!L$22*$AB256)+(AS$46*$AC256),0)</f>
        <v>131</v>
      </c>
      <c r="Q256" s="907">
        <f>ROUND(('1.4.조성법총괄(내부이동률 적용)'!M$22*$AB256)+(AT$46*$AC256),0)</f>
        <v>126</v>
      </c>
      <c r="R256" s="925">
        <f>ROUND(('1.4.조성법총괄(내부이동률 적용)'!N$22*$AB256)+(AU$46*$AC256),0)</f>
        <v>124</v>
      </c>
      <c r="S256" s="925">
        <f>ROUND(('1.4.조성법총괄(내부이동률 적용)'!O$22*$AB256)+(AV$46*$AC256),0)</f>
        <v>122</v>
      </c>
      <c r="T256" s="925">
        <f>ROUND(('1.4.조성법총괄(내부이동률 적용)'!P$22*$AB256)+(AW$46*$AC256),0)</f>
        <v>120</v>
      </c>
      <c r="U256" s="925">
        <f>ROUND(('1.4.조성법총괄(내부이동률 적용)'!Q$22*$AB256)+(AX$46*$AC256),0)</f>
        <v>118</v>
      </c>
      <c r="V256" s="715">
        <f>ROUND(('1.4.조성법총괄(내부이동률 적용)'!R$22*$AB256)+(AY$46*$AC256),0)</f>
        <v>116</v>
      </c>
      <c r="W256" s="714">
        <f>ROUND(('1.4.조성법총괄(내부이동률 적용)'!S$22*$AB256)+(AZ$46*$AC256),0)</f>
        <v>114</v>
      </c>
      <c r="X256" s="714">
        <f>ROUND(('1.4.조성법총괄(내부이동률 적용)'!T$22*$AB256)+(BA$46*$AC256),0)</f>
        <v>112</v>
      </c>
      <c r="Y256" s="714">
        <f>ROUND(('1.4.조성법총괄(내부이동률 적용)'!U$22*$AB256)+(BB$46*$AC256),0)</f>
        <v>110</v>
      </c>
      <c r="Z256" s="714">
        <f>ROUND(('1.4.조성법총괄(내부이동률 적용)'!V$22*$AB256)+(BC$46*$AC256),0)</f>
        <v>108</v>
      </c>
      <c r="AA256" s="715">
        <f>ROUND(('1.4.조성법총괄(내부이동률 적용)'!W$22*$AB256)+(BD$46*$AC256),0)</f>
        <v>81</v>
      </c>
      <c r="AB256" s="936">
        <f>+H256/'1.4.조성법총괄(내부이동률 적용)'!$D$22</f>
        <v>4.7839506172839504E-2</v>
      </c>
      <c r="AC256" s="936">
        <f>+H256/'1.4.조성법총괄(내부이동률 적용)'!$D$22</f>
        <v>4.7839506172839504E-2</v>
      </c>
      <c r="AD256" s="97"/>
      <c r="AE256" s="8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</row>
    <row r="257" spans="1:57" s="712" customFormat="1" ht="24" customHeight="1">
      <c r="A257" s="2701"/>
      <c r="B257" s="2702"/>
      <c r="C257" s="2670"/>
      <c r="D257" s="2670"/>
      <c r="E257" s="1117" t="s">
        <v>1355</v>
      </c>
      <c r="F257" s="713"/>
      <c r="G257" s="922">
        <f>+'2014처리구역인구 정리'!I237</f>
        <v>171</v>
      </c>
      <c r="H257" s="922">
        <f>+'2014처리구역인구 정리'!J237</f>
        <v>178</v>
      </c>
      <c r="I257" s="925">
        <f>ROUND(('1.4.조성법총괄(내부이동률 적용)'!E$22*$AB257)+(AL$46*$AC257),0)</f>
        <v>173</v>
      </c>
      <c r="J257" s="925">
        <f>ROUND(('1.4.조성법총괄(내부이동률 적용)'!F$22*$AB257)+(AM$46*$AC257),0)</f>
        <v>170</v>
      </c>
      <c r="K257" s="925">
        <f>ROUND(('1.4.조성법총괄(내부이동률 적용)'!G$22*$AB257)+(AN$46*$AC257),0)</f>
        <v>165</v>
      </c>
      <c r="L257" s="907">
        <f>ROUND(('1.4.조성법총괄(내부이동률 적용)'!H$22*$AB257)+(AO$46*$AC257),0)</f>
        <v>157</v>
      </c>
      <c r="M257" s="925">
        <f>ROUND(('1.4.조성법총괄(내부이동률 적용)'!I$22*$AB257)+(AP$46*$AC257),0)</f>
        <v>155</v>
      </c>
      <c r="N257" s="925">
        <f>ROUND(('1.4.조성법총괄(내부이동률 적용)'!J$22*$AB257)+(AQ$46*$AC257),0)</f>
        <v>154</v>
      </c>
      <c r="O257" s="925">
        <f>ROUND(('1.4.조성법총괄(내부이동률 적용)'!K$22*$AB257)+(AR$46*$AC257),0)</f>
        <v>152</v>
      </c>
      <c r="P257" s="925">
        <f>ROUND(('1.4.조성법총괄(내부이동률 적용)'!L$22*$AB257)+(AS$46*$AC257),0)</f>
        <v>151</v>
      </c>
      <c r="Q257" s="907">
        <f>ROUND(('1.4.조성법총괄(내부이동률 적용)'!M$22*$AB257)+(AT$46*$AC257),0)</f>
        <v>145</v>
      </c>
      <c r="R257" s="925">
        <f>ROUND(('1.4.조성법총괄(내부이동률 적용)'!N$22*$AB257)+(AU$46*$AC257),0)</f>
        <v>142</v>
      </c>
      <c r="S257" s="925">
        <f>ROUND(('1.4.조성법총괄(내부이동률 적용)'!O$22*$AB257)+(AV$46*$AC257),0)</f>
        <v>140</v>
      </c>
      <c r="T257" s="925">
        <f>ROUND(('1.4.조성법총괄(내부이동률 적용)'!P$22*$AB257)+(AW$46*$AC257),0)</f>
        <v>138</v>
      </c>
      <c r="U257" s="925">
        <f>ROUND(('1.4.조성법총괄(내부이동률 적용)'!Q$22*$AB257)+(AX$46*$AC257),0)</f>
        <v>135</v>
      </c>
      <c r="V257" s="715">
        <f>ROUND(('1.4.조성법총괄(내부이동률 적용)'!R$22*$AB257)+(AY$46*$AC257),0)</f>
        <v>133</v>
      </c>
      <c r="W257" s="714">
        <f>ROUND(('1.4.조성법총괄(내부이동률 적용)'!S$22*$AB257)+(AZ$46*$AC257),0)</f>
        <v>131</v>
      </c>
      <c r="X257" s="714">
        <f>ROUND(('1.4.조성법총괄(내부이동률 적용)'!T$22*$AB257)+(BA$46*$AC257),0)</f>
        <v>128</v>
      </c>
      <c r="Y257" s="714">
        <f>ROUND(('1.4.조성법총괄(내부이동률 적용)'!U$22*$AB257)+(BB$46*$AC257),0)</f>
        <v>126</v>
      </c>
      <c r="Z257" s="714">
        <f>ROUND(('1.4.조성법총괄(내부이동률 적용)'!V$22*$AB257)+(BC$46*$AC257),0)</f>
        <v>124</v>
      </c>
      <c r="AA257" s="715">
        <f>ROUND(('1.4.조성법총괄(내부이동률 적용)'!W$22*$AB257)+(BD$46*$AC257),0)</f>
        <v>93</v>
      </c>
      <c r="AB257" s="936">
        <f>+H257/'1.4.조성법총괄(내부이동률 적용)'!$D$22</f>
        <v>5.493827160493827E-2</v>
      </c>
      <c r="AC257" s="936">
        <f>+H257/'1.4.조성법총괄(내부이동률 적용)'!$D$22</f>
        <v>5.493827160493827E-2</v>
      </c>
      <c r="AD257" s="97"/>
      <c r="AE257" s="8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</row>
    <row r="258" spans="1:57" s="712" customFormat="1" ht="24" customHeight="1">
      <c r="A258" s="2696" t="s">
        <v>1356</v>
      </c>
      <c r="B258" s="2697"/>
      <c r="C258" s="2635" t="s">
        <v>32</v>
      </c>
      <c r="D258" s="2635"/>
      <c r="E258" s="2635"/>
      <c r="F258" s="713"/>
      <c r="G258" s="922">
        <f>SUM(G259)</f>
        <v>246</v>
      </c>
      <c r="H258" s="922">
        <f>SUM(H259)</f>
        <v>258</v>
      </c>
      <c r="I258" s="923">
        <f t="shared" ref="I258:AA258" si="151">SUM(I259)</f>
        <v>251</v>
      </c>
      <c r="J258" s="923">
        <f t="shared" si="151"/>
        <v>246</v>
      </c>
      <c r="K258" s="923">
        <f t="shared" si="151"/>
        <v>239</v>
      </c>
      <c r="L258" s="922">
        <f t="shared" si="151"/>
        <v>227</v>
      </c>
      <c r="M258" s="923">
        <f t="shared" si="151"/>
        <v>225</v>
      </c>
      <c r="N258" s="923">
        <f t="shared" si="151"/>
        <v>223</v>
      </c>
      <c r="O258" s="923">
        <f t="shared" si="151"/>
        <v>220</v>
      </c>
      <c r="P258" s="923">
        <f t="shared" si="151"/>
        <v>218</v>
      </c>
      <c r="Q258" s="922">
        <f t="shared" si="151"/>
        <v>210</v>
      </c>
      <c r="R258" s="923">
        <f t="shared" si="151"/>
        <v>206</v>
      </c>
      <c r="S258" s="923">
        <f t="shared" si="151"/>
        <v>203</v>
      </c>
      <c r="T258" s="923">
        <f t="shared" si="151"/>
        <v>200</v>
      </c>
      <c r="U258" s="923">
        <f t="shared" si="151"/>
        <v>196</v>
      </c>
      <c r="V258" s="938">
        <f t="shared" si="151"/>
        <v>193</v>
      </c>
      <c r="W258" s="631">
        <f t="shared" si="151"/>
        <v>189</v>
      </c>
      <c r="X258" s="631">
        <f t="shared" si="151"/>
        <v>186</v>
      </c>
      <c r="Y258" s="631">
        <f t="shared" si="151"/>
        <v>183</v>
      </c>
      <c r="Z258" s="631">
        <f t="shared" si="151"/>
        <v>179</v>
      </c>
      <c r="AA258" s="938">
        <f t="shared" si="151"/>
        <v>134</v>
      </c>
      <c r="AB258" s="97"/>
      <c r="AC258" s="97"/>
      <c r="AD258" s="97"/>
      <c r="AE258" s="8"/>
    </row>
    <row r="259" spans="1:57" s="712" customFormat="1" ht="24" customHeight="1">
      <c r="A259" s="2701"/>
      <c r="B259" s="2702"/>
      <c r="C259" s="1117" t="s">
        <v>1360</v>
      </c>
      <c r="D259" s="1117" t="s">
        <v>1361</v>
      </c>
      <c r="E259" s="1117" t="s">
        <v>1356</v>
      </c>
      <c r="F259" s="713"/>
      <c r="G259" s="922">
        <f>+'2014처리구역인구 정리'!I239</f>
        <v>246</v>
      </c>
      <c r="H259" s="922">
        <f>+'2014처리구역인구 정리'!J239</f>
        <v>258</v>
      </c>
      <c r="I259" s="925">
        <f>ROUND(('1.4.조성법총괄(내부이동률 적용)'!E$22*$AB259)+(AL$46*$AC259),0)</f>
        <v>251</v>
      </c>
      <c r="J259" s="925">
        <f>ROUND(('1.4.조성법총괄(내부이동률 적용)'!F$22*$AB259)+(AM$46*$AC259),0)</f>
        <v>246</v>
      </c>
      <c r="K259" s="925">
        <f>ROUND(('1.4.조성법총괄(내부이동률 적용)'!G$22*$AB259)+(AN$46*$AC259),0)</f>
        <v>239</v>
      </c>
      <c r="L259" s="907">
        <f>ROUND(('1.4.조성법총괄(내부이동률 적용)'!H$22*$AB259)+(AO$46*$AC259),0)</f>
        <v>227</v>
      </c>
      <c r="M259" s="925">
        <f>ROUND(('1.4.조성법총괄(내부이동률 적용)'!I$22*$AB259)+(AP$46*$AC259),0)</f>
        <v>225</v>
      </c>
      <c r="N259" s="925">
        <f>ROUND(('1.4.조성법총괄(내부이동률 적용)'!J$22*$AB259)+(AQ$46*$AC259),0)</f>
        <v>223</v>
      </c>
      <c r="O259" s="925">
        <f>ROUND(('1.4.조성법총괄(내부이동률 적용)'!K$22*$AB259)+(AR$46*$AC259),0)</f>
        <v>220</v>
      </c>
      <c r="P259" s="925">
        <f>ROUND(('1.4.조성법총괄(내부이동률 적용)'!L$22*$AB259)+(AS$46*$AC259),0)</f>
        <v>218</v>
      </c>
      <c r="Q259" s="907">
        <f>ROUND(('1.4.조성법총괄(내부이동률 적용)'!M$22*$AB259)+(AT$46*$AC259),0)</f>
        <v>210</v>
      </c>
      <c r="R259" s="925">
        <f>ROUND(('1.4.조성법총괄(내부이동률 적용)'!N$22*$AB259)+(AU$46*$AC259),0)</f>
        <v>206</v>
      </c>
      <c r="S259" s="925">
        <f>ROUND(('1.4.조성법총괄(내부이동률 적용)'!O$22*$AB259)+(AV$46*$AC259),0)</f>
        <v>203</v>
      </c>
      <c r="T259" s="925">
        <f>ROUND(('1.4.조성법총괄(내부이동률 적용)'!P$22*$AB259)+(AW$46*$AC259),0)</f>
        <v>200</v>
      </c>
      <c r="U259" s="925">
        <f>ROUND(('1.4.조성법총괄(내부이동률 적용)'!Q$22*$AB259)+(AX$46*$AC259),0)</f>
        <v>196</v>
      </c>
      <c r="V259" s="715">
        <f>ROUND(('1.4.조성법총괄(내부이동률 적용)'!R$22*$AB259)+(AY$46*$AC259),0)</f>
        <v>193</v>
      </c>
      <c r="W259" s="714">
        <f>ROUND(('1.4.조성법총괄(내부이동률 적용)'!S$22*$AB259)+(AZ$46*$AC259),0)</f>
        <v>189</v>
      </c>
      <c r="X259" s="714">
        <f>ROUND(('1.4.조성법총괄(내부이동률 적용)'!T$22*$AB259)+(BA$46*$AC259),0)</f>
        <v>186</v>
      </c>
      <c r="Y259" s="714">
        <f>ROUND(('1.4.조성법총괄(내부이동률 적용)'!U$22*$AB259)+(BB$46*$AC259),0)</f>
        <v>183</v>
      </c>
      <c r="Z259" s="714">
        <f>ROUND(('1.4.조성법총괄(내부이동률 적용)'!V$22*$AB259)+(BC$46*$AC259),0)</f>
        <v>179</v>
      </c>
      <c r="AA259" s="715">
        <f>ROUND(('1.4.조성법총괄(내부이동률 적용)'!W$22*$AB259)+(BD$46*$AC259),0)</f>
        <v>134</v>
      </c>
      <c r="AB259" s="936">
        <f>+H259/'1.4.조성법총괄(내부이동률 적용)'!$D$22</f>
        <v>7.9629629629629634E-2</v>
      </c>
      <c r="AC259" s="936">
        <f>+H259/'1.4.조성법총괄(내부이동률 적용)'!$D$22</f>
        <v>7.9629629629629634E-2</v>
      </c>
      <c r="AD259" s="97"/>
      <c r="AE259" s="8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</row>
    <row r="260" spans="1:57" s="712" customFormat="1" ht="24" customHeight="1">
      <c r="A260" s="2696" t="s">
        <v>1347</v>
      </c>
      <c r="B260" s="2697"/>
      <c r="C260" s="2635" t="s">
        <v>32</v>
      </c>
      <c r="D260" s="2635"/>
      <c r="E260" s="2635"/>
      <c r="F260" s="713"/>
      <c r="G260" s="922">
        <f>SUM(G262)</f>
        <v>0</v>
      </c>
      <c r="H260" s="922">
        <f>SUM(H261:H262)</f>
        <v>385</v>
      </c>
      <c r="I260" s="923">
        <f t="shared" ref="I260:AA260" si="152">SUM(I261:I262)</f>
        <v>372</v>
      </c>
      <c r="J260" s="923">
        <f t="shared" si="152"/>
        <v>364</v>
      </c>
      <c r="K260" s="923">
        <f t="shared" si="152"/>
        <v>352</v>
      </c>
      <c r="L260" s="922">
        <f t="shared" si="152"/>
        <v>339</v>
      </c>
      <c r="M260" s="923">
        <f t="shared" si="152"/>
        <v>336</v>
      </c>
      <c r="N260" s="923">
        <f t="shared" si="152"/>
        <v>333</v>
      </c>
      <c r="O260" s="923">
        <f t="shared" si="152"/>
        <v>331</v>
      </c>
      <c r="P260" s="923">
        <f t="shared" si="152"/>
        <v>327</v>
      </c>
      <c r="Q260" s="922">
        <f t="shared" si="152"/>
        <v>316</v>
      </c>
      <c r="R260" s="923">
        <f t="shared" si="152"/>
        <v>310</v>
      </c>
      <c r="S260" s="923">
        <f t="shared" si="152"/>
        <v>306</v>
      </c>
      <c r="T260" s="923">
        <f t="shared" si="152"/>
        <v>301</v>
      </c>
      <c r="U260" s="923">
        <f t="shared" si="152"/>
        <v>296</v>
      </c>
      <c r="V260" s="938">
        <f t="shared" si="152"/>
        <v>291</v>
      </c>
      <c r="W260" s="631">
        <f t="shared" si="152"/>
        <v>286</v>
      </c>
      <c r="X260" s="631">
        <f t="shared" si="152"/>
        <v>281</v>
      </c>
      <c r="Y260" s="631">
        <f t="shared" si="152"/>
        <v>276</v>
      </c>
      <c r="Z260" s="631">
        <f t="shared" si="152"/>
        <v>271</v>
      </c>
      <c r="AA260" s="938">
        <f t="shared" si="152"/>
        <v>246</v>
      </c>
      <c r="AB260" s="97"/>
      <c r="AC260" s="97"/>
      <c r="AD260" s="97"/>
      <c r="AE260" s="8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</row>
    <row r="261" spans="1:57" s="712" customFormat="1" ht="24" customHeight="1">
      <c r="A261" s="2698"/>
      <c r="B261" s="2699"/>
      <c r="C261" s="2668" t="s">
        <v>1357</v>
      </c>
      <c r="D261" s="2668" t="s">
        <v>1358</v>
      </c>
      <c r="E261" s="1814" t="s">
        <v>2239</v>
      </c>
      <c r="F261" s="713"/>
      <c r="G261" s="922"/>
      <c r="H261" s="922">
        <f>+'2014처리구역인구 정리'!J241</f>
        <v>179</v>
      </c>
      <c r="I261" s="925">
        <f>ROUND(('1.4.조성법총괄(내부이동률 적용)'!E$29*$AB261)+(AL$49*$AC261),0)</f>
        <v>173</v>
      </c>
      <c r="J261" s="925">
        <f>ROUND(('1.4.조성법총괄(내부이동률 적용)'!F$29*$AB261)+(AM$49*$AC261),0)</f>
        <v>169</v>
      </c>
      <c r="K261" s="925">
        <f>ROUND(('1.4.조성법총괄(내부이동률 적용)'!G$29*$AB261)+(AN$49*$AC261),0)</f>
        <v>164</v>
      </c>
      <c r="L261" s="907">
        <f>ROUND(('1.4.조성법총괄(내부이동률 적용)'!H$29*$AB261)+(AO$49*$AC261),0)</f>
        <v>158</v>
      </c>
      <c r="M261" s="925">
        <f>ROUND(('1.4.조성법총괄(내부이동률 적용)'!I$29*$AB261)+(AP$49*$AC261),0)</f>
        <v>156</v>
      </c>
      <c r="N261" s="925">
        <f>ROUND(('1.4.조성법총괄(내부이동률 적용)'!J$29*$AB261)+(AQ$49*$AC261),0)</f>
        <v>155</v>
      </c>
      <c r="O261" s="925">
        <f>ROUND(('1.4.조성법총괄(내부이동률 적용)'!K$29*$AB261)+(AR$49*$AC261),0)</f>
        <v>154</v>
      </c>
      <c r="P261" s="925">
        <f>ROUND(('1.4.조성법총괄(내부이동률 적용)'!L$29*$AB261)+(AS$49*$AC261),0)</f>
        <v>152</v>
      </c>
      <c r="Q261" s="907">
        <f>ROUND(('1.4.조성법총괄(내부이동률 적용)'!M$29*$AB261)+(AT$49*$AC261),0)</f>
        <v>147</v>
      </c>
      <c r="R261" s="925">
        <f>ROUND(('1.4.조성법총괄(내부이동률 적용)'!N$29*$AB261)+(AU$49*$AC261),0)</f>
        <v>144</v>
      </c>
      <c r="S261" s="925">
        <f>ROUND(('1.4.조성법총괄(내부이동률 적용)'!O$29*$AB261)+(AV$49*$AC261),0)</f>
        <v>142</v>
      </c>
      <c r="T261" s="925">
        <f>ROUND(('1.4.조성법총괄(내부이동률 적용)'!P$29*$AB261)+(AW$49*$AC261),0)</f>
        <v>140</v>
      </c>
      <c r="U261" s="925">
        <f>ROUND(('1.4.조성법총괄(내부이동률 적용)'!Q$29*$AB261)+(AX$49*$AC261),0)</f>
        <v>138</v>
      </c>
      <c r="V261" s="715">
        <f>ROUND(('1.4.조성법총괄(내부이동률 적용)'!R$29*$AB261)+(AY$49*$AC261),0)</f>
        <v>135</v>
      </c>
      <c r="W261" s="714">
        <f>ROUND(('1.4.조성법총괄(내부이동률 적용)'!S$29*$AB261)+(AZ$49*$AC261),0)</f>
        <v>133</v>
      </c>
      <c r="X261" s="714">
        <f>ROUND(('1.4.조성법총괄(내부이동률 적용)'!T$29*$AB261)+(BA$49*$AC261),0)</f>
        <v>131</v>
      </c>
      <c r="Y261" s="714">
        <f>ROUND(('1.4.조성법총괄(내부이동률 적용)'!U$29*$AB261)+(BB$49*$AC261),0)</f>
        <v>128</v>
      </c>
      <c r="Z261" s="714">
        <f>ROUND(('1.4.조성법총괄(내부이동률 적용)'!V$29*$AB261)+(BC$49*$AC261),0)</f>
        <v>126</v>
      </c>
      <c r="AA261" s="715">
        <f>ROUND(('1.4.조성법총괄(내부이동률 적용)'!W$29*$AB261)+(BD$49*$AC261),0)</f>
        <v>114</v>
      </c>
      <c r="AB261" s="936">
        <f>+H261/'1.4.조성법총괄(내부이동률 적용)'!$D$29</f>
        <v>5.3964425685860719E-2</v>
      </c>
      <c r="AC261" s="936">
        <f>+H261/'1.4.조성법총괄(내부이동률 적용)'!$D$29</f>
        <v>5.3964425685860719E-2</v>
      </c>
      <c r="AD261" s="97"/>
      <c r="AE261" s="8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</row>
    <row r="262" spans="1:57" s="712" customFormat="1" ht="24" customHeight="1">
      <c r="A262" s="2701"/>
      <c r="B262" s="2702"/>
      <c r="C262" s="2670"/>
      <c r="D262" s="2670"/>
      <c r="E262" s="1117" t="s">
        <v>1347</v>
      </c>
      <c r="F262" s="713"/>
      <c r="G262" s="922"/>
      <c r="H262" s="922">
        <f>+'2014처리구역인구 정리'!J242</f>
        <v>206</v>
      </c>
      <c r="I262" s="925">
        <f>ROUND(('1.4.조성법총괄(내부이동률 적용)'!E$29*$AB262)+(AL$49*$AC262),0)</f>
        <v>199</v>
      </c>
      <c r="J262" s="925">
        <f>ROUND(('1.4.조성법총괄(내부이동률 적용)'!F$29*$AB262)+(AM$49*$AC262),0)</f>
        <v>195</v>
      </c>
      <c r="K262" s="925">
        <f>ROUND(('1.4.조성법총괄(내부이동률 적용)'!G$29*$AB262)+(AN$49*$AC262),0)</f>
        <v>188</v>
      </c>
      <c r="L262" s="907">
        <f>ROUND(('1.4.조성법총괄(내부이동률 적용)'!H$29*$AB262)+(AO$49*$AC262),0)</f>
        <v>181</v>
      </c>
      <c r="M262" s="925">
        <f>ROUND(('1.4.조성법총괄(내부이동률 적용)'!I$29*$AB262)+(AP$49*$AC262),0)</f>
        <v>180</v>
      </c>
      <c r="N262" s="925">
        <f>ROUND(('1.4.조성법총괄(내부이동률 적용)'!J$29*$AB262)+(AQ$49*$AC262),0)</f>
        <v>178</v>
      </c>
      <c r="O262" s="925">
        <f>ROUND(('1.4.조성법총괄(내부이동률 적용)'!K$29*$AB262)+(AR$49*$AC262),0)</f>
        <v>177</v>
      </c>
      <c r="P262" s="925">
        <f>ROUND(('1.4.조성법총괄(내부이동률 적용)'!L$29*$AB262)+(AS$49*$AC262),0)</f>
        <v>175</v>
      </c>
      <c r="Q262" s="907">
        <f>ROUND(('1.4.조성법총괄(내부이동률 적용)'!M$29*$AB262)+(AT$49*$AC262),0)</f>
        <v>169</v>
      </c>
      <c r="R262" s="925">
        <f>ROUND(('1.4.조성법총괄(내부이동률 적용)'!N$29*$AB262)+(AU$49*$AC262),0)</f>
        <v>166</v>
      </c>
      <c r="S262" s="925">
        <f>ROUND(('1.4.조성법총괄(내부이동률 적용)'!O$29*$AB262)+(AV$49*$AC262),0)</f>
        <v>164</v>
      </c>
      <c r="T262" s="925">
        <f>ROUND(('1.4.조성법총괄(내부이동률 적용)'!P$29*$AB262)+(AW$49*$AC262),0)</f>
        <v>161</v>
      </c>
      <c r="U262" s="925">
        <f>ROUND(('1.4.조성법총괄(내부이동률 적용)'!Q$29*$AB262)+(AX$49*$AC262),0)</f>
        <v>158</v>
      </c>
      <c r="V262" s="715">
        <f>ROUND(('1.4.조성법총괄(내부이동률 적용)'!R$29*$AB262)+(AY$49*$AC262),0)</f>
        <v>156</v>
      </c>
      <c r="W262" s="714">
        <f>ROUND(('1.4.조성법총괄(내부이동률 적용)'!S$29*$AB262)+(AZ$49*$AC262),0)</f>
        <v>153</v>
      </c>
      <c r="X262" s="714">
        <f>ROUND(('1.4.조성법총괄(내부이동률 적용)'!T$29*$AB262)+(BA$49*$AC262),0)</f>
        <v>150</v>
      </c>
      <c r="Y262" s="714">
        <f>ROUND(('1.4.조성법총괄(내부이동률 적용)'!U$29*$AB262)+(BB$49*$AC262),0)</f>
        <v>148</v>
      </c>
      <c r="Z262" s="714">
        <f>ROUND(('1.4.조성법총괄(내부이동률 적용)'!V$29*$AB262)+(BC$49*$AC262),0)</f>
        <v>145</v>
      </c>
      <c r="AA262" s="715">
        <f>ROUND(('1.4.조성법총괄(내부이동률 적용)'!W$29*$AB262)+(BD$49*$AC262),0)</f>
        <v>132</v>
      </c>
      <c r="AB262" s="936">
        <f>+H262/'1.4.조성법총괄(내부이동률 적용)'!$D$29</f>
        <v>6.2104311124510099E-2</v>
      </c>
      <c r="AC262" s="936">
        <f>+H262/'1.4.조성법총괄(내부이동률 적용)'!$D$29</f>
        <v>6.2104311124510099E-2</v>
      </c>
      <c r="AD262" s="97"/>
      <c r="AE262" s="8"/>
      <c r="AF262" s="599"/>
      <c r="AG262" s="599"/>
      <c r="AH262" s="599"/>
      <c r="AI262" s="599"/>
      <c r="AJ262" s="599"/>
      <c r="AK262" s="599"/>
      <c r="AL262" s="599"/>
      <c r="AM262" s="599"/>
      <c r="AN262" s="599"/>
      <c r="AO262" s="599"/>
      <c r="AP262" s="599"/>
      <c r="AQ262" s="599"/>
      <c r="AR262" s="599"/>
      <c r="AS262" s="599"/>
      <c r="AT262" s="599"/>
      <c r="AU262" s="599"/>
      <c r="AV262" s="599"/>
      <c r="AW262" s="599"/>
      <c r="AX262" s="599"/>
      <c r="AY262" s="599"/>
      <c r="AZ262" s="599"/>
      <c r="BA262" s="599"/>
      <c r="BB262" s="599"/>
      <c r="BC262" s="599"/>
      <c r="BD262" s="599"/>
      <c r="BE262" s="599"/>
    </row>
    <row r="263" spans="1:57" s="712" customFormat="1" ht="24" customHeight="1">
      <c r="A263" s="1"/>
      <c r="B263" s="1"/>
      <c r="C263" s="1"/>
      <c r="D263" s="1"/>
      <c r="E263" s="1"/>
      <c r="F263" s="1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599"/>
      <c r="AG263" s="599"/>
      <c r="AH263" s="599"/>
      <c r="AI263" s="599"/>
      <c r="AJ263" s="599"/>
      <c r="AK263" s="599"/>
      <c r="AL263" s="599"/>
      <c r="AM263" s="599"/>
      <c r="AN263" s="599"/>
      <c r="AO263" s="599"/>
      <c r="AP263" s="599"/>
      <c r="AQ263" s="599"/>
      <c r="AR263" s="599"/>
      <c r="AS263" s="599"/>
      <c r="AT263" s="599"/>
      <c r="AU263" s="599"/>
      <c r="AV263" s="599"/>
      <c r="AW263" s="599"/>
      <c r="AX263" s="599"/>
      <c r="AY263" s="599"/>
      <c r="AZ263" s="599"/>
      <c r="BA263" s="599"/>
      <c r="BB263" s="599"/>
      <c r="BC263" s="599"/>
      <c r="BD263" s="599"/>
      <c r="BE263" s="599"/>
    </row>
    <row r="264" spans="1:57" s="712" customFormat="1" ht="24" customHeight="1">
      <c r="A264" s="1"/>
      <c r="B264" s="1"/>
      <c r="C264" s="1"/>
      <c r="D264" s="1"/>
      <c r="E264" s="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2"/>
      <c r="AC264" s="2"/>
      <c r="AD264" s="2"/>
      <c r="AE264" s="2"/>
    </row>
    <row r="265" spans="1:57" s="712" customFormat="1" ht="24" customHeight="1">
      <c r="A265" s="1"/>
      <c r="B265" s="1"/>
      <c r="C265" s="1"/>
      <c r="D265" s="1"/>
      <c r="E265" s="1"/>
      <c r="F265" s="1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57" s="712" customFormat="1" ht="24" customHeight="1">
      <c r="A266" s="1"/>
      <c r="B266" s="1"/>
      <c r="C266" s="1"/>
      <c r="D266" s="1"/>
      <c r="E266" s="1"/>
      <c r="F266" s="1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57" ht="24" customHeight="1">
      <c r="AF267" s="712"/>
      <c r="AG267" s="712"/>
      <c r="AH267" s="712"/>
      <c r="AI267" s="712"/>
      <c r="AJ267" s="712"/>
      <c r="AK267" s="712"/>
      <c r="AL267" s="712"/>
      <c r="AM267" s="712"/>
      <c r="AN267" s="712"/>
      <c r="AO267" s="712"/>
      <c r="AP267" s="712"/>
      <c r="AQ267" s="712"/>
      <c r="AR267" s="712"/>
      <c r="AS267" s="712"/>
      <c r="AT267" s="712"/>
      <c r="AU267" s="712"/>
      <c r="AV267" s="712"/>
      <c r="AW267" s="712"/>
      <c r="AX267" s="712"/>
      <c r="AY267" s="712"/>
      <c r="AZ267" s="712"/>
      <c r="BA267" s="712"/>
      <c r="BB267" s="712"/>
      <c r="BC267" s="712"/>
      <c r="BD267" s="712"/>
      <c r="BE267" s="712"/>
    </row>
    <row r="268" spans="1:57">
      <c r="AF268" s="712"/>
      <c r="AG268" s="712"/>
      <c r="AH268" s="712"/>
      <c r="AI268" s="712"/>
      <c r="AJ268" s="712"/>
      <c r="AK268" s="712"/>
      <c r="AL268" s="712"/>
      <c r="AM268" s="712"/>
      <c r="AN268" s="712"/>
      <c r="AO268" s="712"/>
      <c r="AP268" s="712"/>
      <c r="AQ268" s="712"/>
      <c r="AR268" s="712"/>
      <c r="AS268" s="712"/>
      <c r="AT268" s="712"/>
      <c r="AU268" s="712"/>
      <c r="AV268" s="712"/>
      <c r="AW268" s="712"/>
      <c r="AX268" s="712"/>
      <c r="AY268" s="712"/>
      <c r="AZ268" s="712"/>
      <c r="BA268" s="712"/>
      <c r="BB268" s="712"/>
      <c r="BC268" s="712"/>
      <c r="BD268" s="712"/>
      <c r="BE268" s="712"/>
    </row>
    <row r="269" spans="1:57">
      <c r="AF269" s="712"/>
      <c r="AG269" s="712"/>
      <c r="AH269" s="712"/>
      <c r="AI269" s="712"/>
      <c r="AJ269" s="712"/>
      <c r="AK269" s="712"/>
      <c r="AL269" s="712"/>
      <c r="AM269" s="712"/>
      <c r="AN269" s="712"/>
      <c r="AO269" s="712"/>
      <c r="AP269" s="712"/>
      <c r="AQ269" s="712"/>
      <c r="AR269" s="712"/>
      <c r="AS269" s="712"/>
      <c r="AT269" s="712"/>
      <c r="AU269" s="712"/>
      <c r="AV269" s="712"/>
      <c r="AW269" s="712"/>
      <c r="AX269" s="712"/>
      <c r="AY269" s="712"/>
      <c r="AZ269" s="712"/>
      <c r="BA269" s="712"/>
      <c r="BB269" s="712"/>
      <c r="BC269" s="712"/>
      <c r="BD269" s="712"/>
      <c r="BE269" s="712"/>
    </row>
    <row r="270" spans="1:57">
      <c r="AF270" s="712"/>
      <c r="AG270" s="712"/>
      <c r="AH270" s="712"/>
      <c r="AI270" s="712"/>
      <c r="AJ270" s="712"/>
      <c r="AK270" s="712"/>
      <c r="AL270" s="712"/>
      <c r="AM270" s="712"/>
      <c r="AN270" s="712"/>
      <c r="AO270" s="712"/>
      <c r="AP270" s="712"/>
      <c r="AQ270" s="712"/>
      <c r="AR270" s="712"/>
      <c r="AS270" s="712"/>
      <c r="AT270" s="712"/>
      <c r="AU270" s="712"/>
      <c r="AV270" s="712"/>
      <c r="AW270" s="712"/>
      <c r="AX270" s="712"/>
      <c r="AY270" s="712"/>
      <c r="AZ270" s="712"/>
      <c r="BA270" s="712"/>
      <c r="BB270" s="712"/>
      <c r="BC270" s="712"/>
      <c r="BD270" s="712"/>
      <c r="BE270" s="712"/>
    </row>
    <row r="271" spans="1:57">
      <c r="AF271" s="712"/>
      <c r="AG271" s="712"/>
      <c r="AH271" s="712"/>
      <c r="AI271" s="712"/>
      <c r="AJ271" s="712"/>
      <c r="AK271" s="712"/>
      <c r="AL271" s="712"/>
      <c r="AM271" s="712"/>
      <c r="AN271" s="712"/>
      <c r="AO271" s="712"/>
      <c r="AP271" s="712"/>
      <c r="AQ271" s="712"/>
      <c r="AR271" s="712"/>
      <c r="AS271" s="712"/>
      <c r="AT271" s="712"/>
      <c r="AU271" s="712"/>
      <c r="AV271" s="712"/>
      <c r="AW271" s="712"/>
      <c r="AX271" s="712"/>
      <c r="AY271" s="712"/>
      <c r="AZ271" s="712"/>
      <c r="BA271" s="712"/>
      <c r="BB271" s="712"/>
      <c r="BC271" s="712"/>
      <c r="BD271" s="712"/>
      <c r="BE271" s="712"/>
    </row>
    <row r="272" spans="1:57">
      <c r="AF272" s="712"/>
      <c r="AG272" s="712"/>
      <c r="AH272" s="712"/>
      <c r="AI272" s="712"/>
      <c r="AJ272" s="712"/>
      <c r="AK272" s="712"/>
      <c r="AL272" s="712"/>
      <c r="AM272" s="712"/>
      <c r="AN272" s="712"/>
      <c r="AO272" s="712"/>
      <c r="AP272" s="712"/>
      <c r="AQ272" s="712"/>
      <c r="AR272" s="712"/>
      <c r="AS272" s="712"/>
      <c r="AT272" s="712"/>
      <c r="AU272" s="712"/>
      <c r="AV272" s="712"/>
      <c r="AW272" s="712"/>
      <c r="AX272" s="712"/>
      <c r="AY272" s="712"/>
      <c r="AZ272" s="712"/>
      <c r="BA272" s="712"/>
      <c r="BB272" s="712"/>
      <c r="BC272" s="712"/>
      <c r="BD272" s="712"/>
      <c r="BE272" s="712"/>
    </row>
    <row r="273" spans="32:57">
      <c r="AF273" s="712"/>
      <c r="AG273" s="712"/>
      <c r="AH273" s="712"/>
      <c r="AI273" s="712"/>
      <c r="AJ273" s="712"/>
      <c r="AK273" s="712"/>
      <c r="AL273" s="712"/>
      <c r="AM273" s="712"/>
      <c r="AN273" s="712"/>
      <c r="AO273" s="712"/>
      <c r="AP273" s="712"/>
      <c r="AQ273" s="712"/>
      <c r="AR273" s="712"/>
      <c r="AS273" s="712"/>
      <c r="AT273" s="712"/>
      <c r="AU273" s="712"/>
      <c r="AV273" s="712"/>
      <c r="AW273" s="712"/>
      <c r="AX273" s="712"/>
      <c r="AY273" s="712"/>
      <c r="AZ273" s="712"/>
      <c r="BA273" s="712"/>
      <c r="BB273" s="712"/>
      <c r="BC273" s="712"/>
      <c r="BD273" s="712"/>
      <c r="BE273" s="712"/>
    </row>
    <row r="274" spans="32:57">
      <c r="AF274" s="712"/>
      <c r="AG274" s="712"/>
      <c r="AH274" s="712"/>
      <c r="AI274" s="712"/>
      <c r="AJ274" s="712"/>
      <c r="AK274" s="712"/>
      <c r="AL274" s="712"/>
      <c r="AM274" s="712"/>
      <c r="AN274" s="712"/>
      <c r="AO274" s="712"/>
      <c r="AP274" s="712"/>
      <c r="AQ274" s="712"/>
      <c r="AR274" s="712"/>
      <c r="AS274" s="712"/>
      <c r="AT274" s="712"/>
      <c r="AU274" s="712"/>
      <c r="AV274" s="712"/>
      <c r="AW274" s="712"/>
      <c r="AX274" s="712"/>
      <c r="AY274" s="712"/>
      <c r="AZ274" s="712"/>
      <c r="BA274" s="712"/>
      <c r="BB274" s="712"/>
      <c r="BC274" s="712"/>
      <c r="BD274" s="712"/>
      <c r="BE274" s="712"/>
    </row>
    <row r="275" spans="32:57">
      <c r="AF275" s="712"/>
      <c r="AG275" s="712"/>
      <c r="AH275" s="712"/>
      <c r="AI275" s="712"/>
      <c r="AJ275" s="712"/>
      <c r="AK275" s="712"/>
      <c r="AL275" s="712"/>
      <c r="AM275" s="712"/>
      <c r="AN275" s="712"/>
      <c r="AO275" s="712"/>
      <c r="AP275" s="712"/>
      <c r="AQ275" s="712"/>
      <c r="AR275" s="712"/>
      <c r="AS275" s="712"/>
      <c r="AT275" s="712"/>
      <c r="AU275" s="712"/>
      <c r="AV275" s="712"/>
      <c r="AW275" s="712"/>
      <c r="AX275" s="712"/>
      <c r="AY275" s="712"/>
      <c r="AZ275" s="712"/>
      <c r="BA275" s="712"/>
      <c r="BB275" s="712"/>
      <c r="BC275" s="712"/>
      <c r="BD275" s="712"/>
      <c r="BE275" s="712"/>
    </row>
    <row r="276" spans="32:57">
      <c r="AF276" s="712"/>
      <c r="AG276" s="712"/>
      <c r="AH276" s="712"/>
      <c r="AI276" s="712"/>
      <c r="AJ276" s="712"/>
      <c r="AK276" s="712"/>
      <c r="AL276" s="712"/>
      <c r="AM276" s="712"/>
      <c r="AN276" s="712"/>
      <c r="AO276" s="712"/>
      <c r="AP276" s="712"/>
      <c r="AQ276" s="712"/>
      <c r="AR276" s="712"/>
      <c r="AS276" s="712"/>
      <c r="AT276" s="712"/>
      <c r="AU276" s="712"/>
      <c r="AV276" s="712"/>
      <c r="AW276" s="712"/>
      <c r="AX276" s="712"/>
      <c r="AY276" s="712"/>
      <c r="AZ276" s="712"/>
      <c r="BA276" s="712"/>
      <c r="BB276" s="712"/>
      <c r="BC276" s="712"/>
      <c r="BD276" s="712"/>
      <c r="BE276" s="712"/>
    </row>
    <row r="277" spans="32:57">
      <c r="AF277" s="712"/>
      <c r="AG277" s="712"/>
      <c r="AH277" s="712"/>
      <c r="AI277" s="712"/>
      <c r="AJ277" s="712"/>
      <c r="AK277" s="712"/>
      <c r="AL277" s="712"/>
      <c r="AM277" s="712"/>
      <c r="AN277" s="712"/>
      <c r="AO277" s="712"/>
      <c r="AP277" s="712"/>
      <c r="AQ277" s="712"/>
      <c r="AR277" s="712"/>
      <c r="AS277" s="712"/>
      <c r="AT277" s="712"/>
      <c r="AU277" s="712"/>
      <c r="AV277" s="712"/>
      <c r="AW277" s="712"/>
      <c r="AX277" s="712"/>
      <c r="AY277" s="712"/>
      <c r="AZ277" s="712"/>
      <c r="BA277" s="712"/>
      <c r="BB277" s="712"/>
      <c r="BC277" s="712"/>
      <c r="BD277" s="712"/>
      <c r="BE277" s="712"/>
    </row>
    <row r="278" spans="32:57">
      <c r="AF278" s="712"/>
      <c r="AG278" s="712"/>
      <c r="AH278" s="712"/>
      <c r="AI278" s="712"/>
      <c r="AJ278" s="712"/>
      <c r="AK278" s="712"/>
      <c r="AL278" s="712"/>
      <c r="AM278" s="712"/>
      <c r="AN278" s="712"/>
      <c r="AO278" s="712"/>
      <c r="AP278" s="712"/>
      <c r="AQ278" s="712"/>
      <c r="AR278" s="712"/>
      <c r="AS278" s="712"/>
      <c r="AT278" s="712"/>
      <c r="AU278" s="712"/>
      <c r="AV278" s="712"/>
      <c r="AW278" s="712"/>
      <c r="AX278" s="712"/>
      <c r="AY278" s="712"/>
      <c r="AZ278" s="712"/>
      <c r="BA278" s="712"/>
      <c r="BB278" s="712"/>
      <c r="BC278" s="712"/>
      <c r="BD278" s="712"/>
      <c r="BE278" s="712"/>
    </row>
    <row r="279" spans="32:57">
      <c r="AF279" s="712"/>
      <c r="AG279" s="712"/>
      <c r="AH279" s="712"/>
      <c r="AI279" s="712"/>
      <c r="AJ279" s="712"/>
      <c r="AK279" s="712"/>
      <c r="AL279" s="712"/>
      <c r="AM279" s="712"/>
      <c r="AN279" s="712"/>
      <c r="AO279" s="712"/>
      <c r="AP279" s="712"/>
      <c r="AQ279" s="712"/>
      <c r="AR279" s="712"/>
      <c r="AS279" s="712"/>
      <c r="AT279" s="712"/>
      <c r="AU279" s="712"/>
      <c r="AV279" s="712"/>
      <c r="AW279" s="712"/>
      <c r="AX279" s="712"/>
      <c r="AY279" s="712"/>
      <c r="AZ279" s="712"/>
      <c r="BA279" s="712"/>
      <c r="BB279" s="712"/>
      <c r="BC279" s="712"/>
      <c r="BD279" s="712"/>
      <c r="BE279" s="712"/>
    </row>
    <row r="280" spans="32:57">
      <c r="AF280" s="712"/>
      <c r="AG280" s="712"/>
      <c r="AH280" s="712"/>
      <c r="AI280" s="712"/>
      <c r="AJ280" s="712"/>
      <c r="AK280" s="712"/>
      <c r="AL280" s="712"/>
      <c r="AM280" s="712"/>
      <c r="AN280" s="712"/>
      <c r="AO280" s="712"/>
      <c r="AP280" s="712"/>
      <c r="AQ280" s="712"/>
      <c r="AR280" s="712"/>
      <c r="AS280" s="712"/>
      <c r="AT280" s="712"/>
      <c r="AU280" s="712"/>
      <c r="AV280" s="712"/>
      <c r="AW280" s="712"/>
      <c r="AX280" s="712"/>
      <c r="AY280" s="712"/>
      <c r="AZ280" s="712"/>
      <c r="BA280" s="712"/>
      <c r="BB280" s="712"/>
      <c r="BC280" s="712"/>
      <c r="BD280" s="712"/>
      <c r="BE280" s="712"/>
    </row>
    <row r="281" spans="32:57">
      <c r="AF281" s="712"/>
      <c r="AG281" s="712"/>
      <c r="AH281" s="712"/>
      <c r="AI281" s="712"/>
      <c r="AJ281" s="712"/>
      <c r="AK281" s="712"/>
      <c r="AL281" s="712"/>
      <c r="AM281" s="712"/>
      <c r="AN281" s="712"/>
      <c r="AO281" s="712"/>
      <c r="AP281" s="712"/>
      <c r="AQ281" s="712"/>
      <c r="AR281" s="712"/>
      <c r="AS281" s="712"/>
      <c r="AT281" s="712"/>
      <c r="AU281" s="712"/>
      <c r="AV281" s="712"/>
      <c r="AW281" s="712"/>
      <c r="AX281" s="712"/>
      <c r="AY281" s="712"/>
      <c r="AZ281" s="712"/>
      <c r="BA281" s="712"/>
      <c r="BB281" s="712"/>
      <c r="BC281" s="712"/>
      <c r="BD281" s="712"/>
      <c r="BE281" s="712"/>
    </row>
    <row r="282" spans="32:57">
      <c r="AF282" s="712"/>
      <c r="AG282" s="712"/>
      <c r="AH282" s="712"/>
      <c r="AI282" s="712"/>
      <c r="AJ282" s="712"/>
      <c r="AK282" s="712"/>
      <c r="AL282" s="712"/>
      <c r="AM282" s="712"/>
      <c r="AN282" s="712"/>
      <c r="AO282" s="712"/>
      <c r="AP282" s="712"/>
      <c r="AQ282" s="712"/>
      <c r="AR282" s="712"/>
      <c r="AS282" s="712"/>
      <c r="AT282" s="712"/>
      <c r="AU282" s="712"/>
      <c r="AV282" s="712"/>
      <c r="AW282" s="712"/>
      <c r="AX282" s="712"/>
      <c r="AY282" s="712"/>
      <c r="AZ282" s="712"/>
      <c r="BA282" s="712"/>
      <c r="BB282" s="712"/>
      <c r="BC282" s="712"/>
      <c r="BD282" s="712"/>
      <c r="BE282" s="712"/>
    </row>
    <row r="283" spans="32:57">
      <c r="AF283" s="712"/>
      <c r="AG283" s="712"/>
      <c r="AH283" s="712"/>
      <c r="AI283" s="712"/>
      <c r="AJ283" s="712"/>
      <c r="AK283" s="712"/>
      <c r="AL283" s="712"/>
      <c r="AM283" s="712"/>
      <c r="AN283" s="712"/>
      <c r="AO283" s="712"/>
      <c r="AP283" s="712"/>
      <c r="AQ283" s="712"/>
      <c r="AR283" s="712"/>
      <c r="AS283" s="712"/>
      <c r="AT283" s="712"/>
      <c r="AU283" s="712"/>
      <c r="AV283" s="712"/>
      <c r="AW283" s="712"/>
      <c r="AX283" s="712"/>
      <c r="AY283" s="712"/>
      <c r="AZ283" s="712"/>
      <c r="BA283" s="712"/>
      <c r="BB283" s="712"/>
      <c r="BC283" s="712"/>
      <c r="BD283" s="712"/>
      <c r="BE283" s="712"/>
    </row>
    <row r="284" spans="32:57">
      <c r="AF284" s="712"/>
      <c r="AG284" s="712"/>
      <c r="AH284" s="712"/>
      <c r="AI284" s="712"/>
      <c r="AJ284" s="712"/>
      <c r="AK284" s="712"/>
      <c r="AL284" s="712"/>
      <c r="AM284" s="712"/>
      <c r="AN284" s="712"/>
      <c r="AO284" s="712"/>
      <c r="AP284" s="712"/>
      <c r="AQ284" s="712"/>
      <c r="AR284" s="712"/>
      <c r="AS284" s="712"/>
      <c r="AT284" s="712"/>
      <c r="AU284" s="712"/>
      <c r="AV284" s="712"/>
      <c r="AW284" s="712"/>
      <c r="AX284" s="712"/>
      <c r="AY284" s="712"/>
      <c r="AZ284" s="712"/>
      <c r="BA284" s="712"/>
      <c r="BB284" s="712"/>
      <c r="BC284" s="712"/>
      <c r="BD284" s="712"/>
      <c r="BE284" s="712"/>
    </row>
    <row r="285" spans="32:57">
      <c r="AF285" s="712"/>
      <c r="AG285" s="712"/>
      <c r="AH285" s="712"/>
      <c r="AI285" s="712"/>
      <c r="AJ285" s="712"/>
      <c r="AK285" s="712"/>
      <c r="AL285" s="712"/>
      <c r="AM285" s="712"/>
      <c r="AN285" s="712"/>
      <c r="AO285" s="712"/>
      <c r="AP285" s="712"/>
      <c r="AQ285" s="712"/>
      <c r="AR285" s="712"/>
      <c r="AS285" s="712"/>
      <c r="AT285" s="712"/>
      <c r="AU285" s="712"/>
      <c r="AV285" s="712"/>
      <c r="AW285" s="712"/>
      <c r="AX285" s="712"/>
      <c r="AY285" s="712"/>
      <c r="AZ285" s="712"/>
      <c r="BA285" s="712"/>
      <c r="BB285" s="712"/>
      <c r="BC285" s="712"/>
      <c r="BD285" s="712"/>
      <c r="BE285" s="712"/>
    </row>
    <row r="286" spans="32:57">
      <c r="AF286" s="712"/>
      <c r="AG286" s="712"/>
      <c r="AH286" s="712"/>
      <c r="AI286" s="712"/>
      <c r="AJ286" s="712"/>
      <c r="AK286" s="712"/>
      <c r="AL286" s="712"/>
      <c r="AM286" s="712"/>
      <c r="AN286" s="712"/>
      <c r="AO286" s="712"/>
      <c r="AP286" s="712"/>
      <c r="AQ286" s="712"/>
      <c r="AR286" s="712"/>
      <c r="AS286" s="712"/>
      <c r="AT286" s="712"/>
      <c r="AU286" s="712"/>
      <c r="AV286" s="712"/>
      <c r="AW286" s="712"/>
      <c r="AX286" s="712"/>
      <c r="AY286" s="712"/>
      <c r="AZ286" s="712"/>
      <c r="BA286" s="712"/>
      <c r="BB286" s="712"/>
      <c r="BC286" s="712"/>
      <c r="BD286" s="712"/>
      <c r="BE286" s="712"/>
    </row>
    <row r="287" spans="32:57">
      <c r="AF287" s="712"/>
      <c r="AG287" s="712"/>
      <c r="AH287" s="712"/>
      <c r="AI287" s="712"/>
      <c r="AJ287" s="712"/>
      <c r="AK287" s="712"/>
      <c r="AL287" s="712"/>
      <c r="AM287" s="712"/>
      <c r="AN287" s="712"/>
      <c r="AO287" s="712"/>
      <c r="AP287" s="712"/>
      <c r="AQ287" s="712"/>
      <c r="AR287" s="712"/>
      <c r="AS287" s="712"/>
      <c r="AT287" s="712"/>
      <c r="AU287" s="712"/>
      <c r="AV287" s="712"/>
      <c r="AW287" s="712"/>
      <c r="AX287" s="712"/>
      <c r="AY287" s="712"/>
      <c r="AZ287" s="712"/>
      <c r="BA287" s="712"/>
      <c r="BB287" s="712"/>
      <c r="BC287" s="712"/>
      <c r="BD287" s="712"/>
      <c r="BE287" s="712"/>
    </row>
    <row r="288" spans="32:57">
      <c r="AF288" s="712"/>
      <c r="AG288" s="712"/>
      <c r="AH288" s="712"/>
      <c r="AI288" s="712"/>
      <c r="AJ288" s="712"/>
      <c r="AK288" s="712"/>
      <c r="AL288" s="712"/>
      <c r="AM288" s="712"/>
      <c r="AN288" s="712"/>
      <c r="AO288" s="712"/>
      <c r="AP288" s="712"/>
      <c r="AQ288" s="712"/>
      <c r="AR288" s="712"/>
      <c r="AS288" s="712"/>
      <c r="AT288" s="712"/>
      <c r="AU288" s="712"/>
      <c r="AV288" s="712"/>
      <c r="AW288" s="712"/>
      <c r="AX288" s="712"/>
      <c r="AY288" s="712"/>
      <c r="AZ288" s="712"/>
      <c r="BA288" s="712"/>
      <c r="BB288" s="712"/>
      <c r="BC288" s="712"/>
      <c r="BD288" s="712"/>
      <c r="BE288" s="712"/>
    </row>
    <row r="289" spans="32:57">
      <c r="AF289" s="712"/>
      <c r="AG289" s="712"/>
      <c r="AH289" s="712"/>
      <c r="AI289" s="712"/>
      <c r="AJ289" s="712"/>
      <c r="AK289" s="712"/>
      <c r="AL289" s="712"/>
      <c r="AM289" s="712"/>
      <c r="AN289" s="712"/>
      <c r="AO289" s="712"/>
      <c r="AP289" s="712"/>
      <c r="AQ289" s="712"/>
      <c r="AR289" s="712"/>
      <c r="AS289" s="712"/>
      <c r="AT289" s="712"/>
      <c r="AU289" s="712"/>
      <c r="AV289" s="712"/>
      <c r="AW289" s="712"/>
      <c r="AX289" s="712"/>
      <c r="AY289" s="712"/>
      <c r="AZ289" s="712"/>
      <c r="BA289" s="712"/>
      <c r="BB289" s="712"/>
      <c r="BC289" s="712"/>
      <c r="BD289" s="712"/>
      <c r="BE289" s="712"/>
    </row>
    <row r="290" spans="32:57">
      <c r="AF290" s="712"/>
      <c r="AG290" s="712"/>
      <c r="AH290" s="712"/>
      <c r="AI290" s="712"/>
      <c r="AJ290" s="712"/>
      <c r="AK290" s="712"/>
      <c r="AL290" s="712"/>
      <c r="AM290" s="712"/>
      <c r="AN290" s="712"/>
      <c r="AO290" s="712"/>
      <c r="AP290" s="712"/>
      <c r="AQ290" s="712"/>
      <c r="AR290" s="712"/>
      <c r="AS290" s="712"/>
      <c r="AT290" s="712"/>
      <c r="AU290" s="712"/>
      <c r="AV290" s="712"/>
      <c r="AW290" s="712"/>
      <c r="AX290" s="712"/>
      <c r="AY290" s="712"/>
      <c r="AZ290" s="712"/>
      <c r="BA290" s="712"/>
      <c r="BB290" s="712"/>
      <c r="BC290" s="712"/>
      <c r="BD290" s="712"/>
      <c r="BE290" s="712"/>
    </row>
    <row r="291" spans="32:57">
      <c r="AF291" s="712"/>
      <c r="AG291" s="712"/>
      <c r="AH291" s="712"/>
      <c r="AI291" s="712"/>
      <c r="AJ291" s="712"/>
      <c r="AK291" s="712"/>
      <c r="AL291" s="712"/>
      <c r="AM291" s="712"/>
      <c r="AN291" s="712"/>
      <c r="AO291" s="712"/>
      <c r="AP291" s="712"/>
      <c r="AQ291" s="712"/>
      <c r="AR291" s="712"/>
      <c r="AS291" s="712"/>
      <c r="AT291" s="712"/>
      <c r="AU291" s="712"/>
      <c r="AV291" s="712"/>
      <c r="AW291" s="712"/>
      <c r="AX291" s="712"/>
      <c r="AY291" s="712"/>
      <c r="AZ291" s="712"/>
      <c r="BA291" s="712"/>
      <c r="BB291" s="712"/>
      <c r="BC291" s="712"/>
      <c r="BD291" s="712"/>
      <c r="BE291" s="712"/>
    </row>
    <row r="292" spans="32:57">
      <c r="AF292" s="712"/>
      <c r="AG292" s="712"/>
      <c r="AH292" s="712"/>
      <c r="AI292" s="712"/>
      <c r="AJ292" s="712"/>
      <c r="AK292" s="712"/>
      <c r="AL292" s="712"/>
      <c r="AM292" s="712"/>
      <c r="AN292" s="712"/>
      <c r="AO292" s="712"/>
      <c r="AP292" s="712"/>
      <c r="AQ292" s="712"/>
      <c r="AR292" s="712"/>
      <c r="AS292" s="712"/>
      <c r="AT292" s="712"/>
      <c r="AU292" s="712"/>
      <c r="AV292" s="712"/>
      <c r="AW292" s="712"/>
      <c r="AX292" s="712"/>
      <c r="AY292" s="712"/>
      <c r="AZ292" s="712"/>
      <c r="BA292" s="712"/>
      <c r="BB292" s="712"/>
      <c r="BC292" s="712"/>
      <c r="BD292" s="712"/>
      <c r="BE292" s="712"/>
    </row>
    <row r="293" spans="32:57">
      <c r="AF293" s="712"/>
      <c r="AG293" s="712"/>
      <c r="AH293" s="712"/>
      <c r="AI293" s="712"/>
      <c r="AJ293" s="712"/>
      <c r="AK293" s="712"/>
      <c r="AL293" s="712"/>
      <c r="AM293" s="712"/>
      <c r="AN293" s="712"/>
      <c r="AO293" s="712"/>
      <c r="AP293" s="712"/>
      <c r="AQ293" s="712"/>
      <c r="AR293" s="712"/>
      <c r="AS293" s="712"/>
      <c r="AT293" s="712"/>
      <c r="AU293" s="712"/>
      <c r="AV293" s="712"/>
      <c r="AW293" s="712"/>
      <c r="AX293" s="712"/>
      <c r="AY293" s="712"/>
      <c r="AZ293" s="712"/>
      <c r="BA293" s="712"/>
      <c r="BB293" s="712"/>
      <c r="BC293" s="712"/>
      <c r="BD293" s="712"/>
      <c r="BE293" s="712"/>
    </row>
    <row r="294" spans="32:57">
      <c r="AF294" s="712"/>
      <c r="AG294" s="712"/>
      <c r="AH294" s="712"/>
      <c r="AI294" s="712"/>
      <c r="AJ294" s="712"/>
      <c r="AK294" s="712"/>
      <c r="AL294" s="712"/>
      <c r="AM294" s="712"/>
      <c r="AN294" s="712"/>
      <c r="AO294" s="712"/>
      <c r="AP294" s="712"/>
      <c r="AQ294" s="712"/>
      <c r="AR294" s="712"/>
      <c r="AS294" s="712"/>
      <c r="AT294" s="712"/>
      <c r="AU294" s="712"/>
      <c r="AV294" s="712"/>
      <c r="AW294" s="712"/>
      <c r="AX294" s="712"/>
      <c r="AY294" s="712"/>
      <c r="AZ294" s="712"/>
      <c r="BA294" s="712"/>
      <c r="BB294" s="712"/>
      <c r="BC294" s="712"/>
      <c r="BD294" s="712"/>
      <c r="BE294" s="712"/>
    </row>
    <row r="295" spans="32:57">
      <c r="AF295" s="712"/>
      <c r="AG295" s="712"/>
      <c r="AH295" s="712"/>
      <c r="AI295" s="712"/>
      <c r="AJ295" s="712"/>
      <c r="AK295" s="712"/>
      <c r="AL295" s="712"/>
      <c r="AM295" s="712"/>
      <c r="AN295" s="712"/>
      <c r="AO295" s="712"/>
      <c r="AP295" s="712"/>
      <c r="AQ295" s="712"/>
      <c r="AR295" s="712"/>
      <c r="AS295" s="712"/>
      <c r="AT295" s="712"/>
      <c r="AU295" s="712"/>
      <c r="AV295" s="712"/>
      <c r="AW295" s="712"/>
      <c r="AX295" s="712"/>
      <c r="AY295" s="712"/>
      <c r="AZ295" s="712"/>
      <c r="BA295" s="712"/>
      <c r="BB295" s="712"/>
      <c r="BC295" s="712"/>
      <c r="BD295" s="712"/>
      <c r="BE295" s="712"/>
    </row>
    <row r="296" spans="32:57">
      <c r="AF296" s="712"/>
      <c r="AG296" s="712"/>
      <c r="AH296" s="712"/>
      <c r="AI296" s="712"/>
      <c r="AJ296" s="712"/>
      <c r="AK296" s="712"/>
      <c r="AL296" s="712"/>
      <c r="AM296" s="712"/>
      <c r="AN296" s="712"/>
      <c r="AO296" s="712"/>
      <c r="AP296" s="712"/>
      <c r="AQ296" s="712"/>
      <c r="AR296" s="712"/>
      <c r="AS296" s="712"/>
      <c r="AT296" s="712"/>
      <c r="AU296" s="712"/>
      <c r="AV296" s="712"/>
      <c r="AW296" s="712"/>
      <c r="AX296" s="712"/>
      <c r="AY296" s="712"/>
      <c r="AZ296" s="712"/>
      <c r="BA296" s="712"/>
      <c r="BB296" s="712"/>
      <c r="BC296" s="712"/>
      <c r="BD296" s="712"/>
      <c r="BE296" s="712"/>
    </row>
    <row r="297" spans="32:57">
      <c r="AF297" s="712"/>
      <c r="AG297" s="712"/>
      <c r="AH297" s="712"/>
      <c r="AI297" s="712"/>
      <c r="AJ297" s="712"/>
      <c r="AK297" s="712"/>
      <c r="AL297" s="712"/>
      <c r="AM297" s="712"/>
      <c r="AN297" s="712"/>
      <c r="AO297" s="712"/>
      <c r="AP297" s="712"/>
      <c r="AQ297" s="712"/>
      <c r="AR297" s="712"/>
      <c r="AS297" s="712"/>
      <c r="AT297" s="712"/>
      <c r="AU297" s="712"/>
      <c r="AV297" s="712"/>
      <c r="AW297" s="712"/>
      <c r="AX297" s="712"/>
      <c r="AY297" s="712"/>
      <c r="AZ297" s="712"/>
      <c r="BA297" s="712"/>
      <c r="BB297" s="712"/>
      <c r="BC297" s="712"/>
      <c r="BD297" s="712"/>
      <c r="BE297" s="712"/>
    </row>
    <row r="298" spans="32:57">
      <c r="AF298" s="712"/>
      <c r="AG298" s="712"/>
      <c r="AH298" s="712"/>
      <c r="AI298" s="712"/>
      <c r="AJ298" s="712"/>
      <c r="AK298" s="712"/>
      <c r="AL298" s="712"/>
      <c r="AM298" s="712"/>
      <c r="AN298" s="712"/>
      <c r="AO298" s="712"/>
      <c r="AP298" s="712"/>
      <c r="AQ298" s="712"/>
      <c r="AR298" s="712"/>
      <c r="AS298" s="712"/>
      <c r="AT298" s="712"/>
      <c r="AU298" s="712"/>
      <c r="AV298" s="712"/>
      <c r="AW298" s="712"/>
      <c r="AX298" s="712"/>
      <c r="AY298" s="712"/>
      <c r="AZ298" s="712"/>
      <c r="BA298" s="712"/>
      <c r="BB298" s="712"/>
      <c r="BC298" s="712"/>
      <c r="BD298" s="712"/>
      <c r="BE298" s="712"/>
    </row>
    <row r="299" spans="32:57">
      <c r="AF299" s="712"/>
      <c r="AG299" s="712"/>
      <c r="AH299" s="712"/>
      <c r="AI299" s="712"/>
      <c r="AJ299" s="712"/>
      <c r="AK299" s="712"/>
      <c r="AL299" s="712"/>
      <c r="AM299" s="712"/>
      <c r="AN299" s="712"/>
      <c r="AO299" s="712"/>
      <c r="AP299" s="712"/>
      <c r="AQ299" s="712"/>
      <c r="AR299" s="712"/>
      <c r="AS299" s="712"/>
      <c r="AT299" s="712"/>
      <c r="AU299" s="712"/>
      <c r="AV299" s="712"/>
      <c r="AW299" s="712"/>
      <c r="AX299" s="712"/>
      <c r="AY299" s="712"/>
      <c r="AZ299" s="712"/>
      <c r="BA299" s="712"/>
      <c r="BB299" s="712"/>
      <c r="BC299" s="712"/>
      <c r="BD299" s="712"/>
      <c r="BE299" s="712"/>
    </row>
    <row r="300" spans="32:57">
      <c r="AF300" s="712"/>
      <c r="AG300" s="712"/>
      <c r="AH300" s="712"/>
      <c r="AI300" s="712"/>
      <c r="AJ300" s="712"/>
      <c r="AK300" s="712"/>
      <c r="AL300" s="712"/>
      <c r="AM300" s="712"/>
      <c r="AN300" s="712"/>
      <c r="AO300" s="712"/>
      <c r="AP300" s="712"/>
      <c r="AQ300" s="712"/>
      <c r="AR300" s="712"/>
      <c r="AS300" s="712"/>
      <c r="AT300" s="712"/>
      <c r="AU300" s="712"/>
      <c r="AV300" s="712"/>
      <c r="AW300" s="712"/>
      <c r="AX300" s="712"/>
      <c r="AY300" s="712"/>
      <c r="AZ300" s="712"/>
      <c r="BA300" s="712"/>
      <c r="BB300" s="712"/>
      <c r="BC300" s="712"/>
      <c r="BD300" s="712"/>
      <c r="BE300" s="712"/>
    </row>
    <row r="301" spans="32:57">
      <c r="AF301" s="712"/>
      <c r="AG301" s="712"/>
      <c r="AH301" s="712"/>
      <c r="AI301" s="712"/>
      <c r="AJ301" s="712"/>
      <c r="AK301" s="712"/>
      <c r="AL301" s="712"/>
      <c r="AM301" s="712"/>
      <c r="AN301" s="712"/>
      <c r="AO301" s="712"/>
      <c r="AP301" s="712"/>
      <c r="AQ301" s="712"/>
      <c r="AR301" s="712"/>
      <c r="AS301" s="712"/>
      <c r="AT301" s="712"/>
      <c r="AU301" s="712"/>
      <c r="AV301" s="712"/>
      <c r="AW301" s="712"/>
      <c r="AX301" s="712"/>
      <c r="AY301" s="712"/>
      <c r="AZ301" s="712"/>
      <c r="BA301" s="712"/>
      <c r="BB301" s="712"/>
      <c r="BC301" s="712"/>
      <c r="BD301" s="712"/>
      <c r="BE301" s="712"/>
    </row>
  </sheetData>
  <mergeCells count="135">
    <mergeCell ref="C214:E214"/>
    <mergeCell ref="A235:B236"/>
    <mergeCell ref="A242:B244"/>
    <mergeCell ref="A214:B216"/>
    <mergeCell ref="A172:B187"/>
    <mergeCell ref="A224:B227"/>
    <mergeCell ref="A228:B230"/>
    <mergeCell ref="A233:B234"/>
    <mergeCell ref="A217:B220"/>
    <mergeCell ref="A231:B232"/>
    <mergeCell ref="C258:E258"/>
    <mergeCell ref="C260:E260"/>
    <mergeCell ref="A258:B259"/>
    <mergeCell ref="A248:B249"/>
    <mergeCell ref="C250:E250"/>
    <mergeCell ref="C252:E252"/>
    <mergeCell ref="A250:B251"/>
    <mergeCell ref="C255:E255"/>
    <mergeCell ref="A252:B254"/>
    <mergeCell ref="C256:C257"/>
    <mergeCell ref="D256:D257"/>
    <mergeCell ref="A260:B262"/>
    <mergeCell ref="C261:C262"/>
    <mergeCell ref="D261:D262"/>
    <mergeCell ref="A255:B257"/>
    <mergeCell ref="D253:D254"/>
    <mergeCell ref="C253:C254"/>
    <mergeCell ref="A245:B247"/>
    <mergeCell ref="C248:E248"/>
    <mergeCell ref="C240:E240"/>
    <mergeCell ref="C242:E242"/>
    <mergeCell ref="A240:B241"/>
    <mergeCell ref="D49:D51"/>
    <mergeCell ref="D133:D134"/>
    <mergeCell ref="D94:D97"/>
    <mergeCell ref="B147:E147"/>
    <mergeCell ref="D149:D158"/>
    <mergeCell ref="C149:C160"/>
    <mergeCell ref="C79:C107"/>
    <mergeCell ref="B78:B107"/>
    <mergeCell ref="C108:E108"/>
    <mergeCell ref="D79:D82"/>
    <mergeCell ref="D109:D111"/>
    <mergeCell ref="D101:D105"/>
    <mergeCell ref="C121:E121"/>
    <mergeCell ref="C78:E78"/>
    <mergeCell ref="B108:B120"/>
    <mergeCell ref="B148:B160"/>
    <mergeCell ref="D139:D140"/>
    <mergeCell ref="D141:D142"/>
    <mergeCell ref="D135:D136"/>
    <mergeCell ref="B77:E77"/>
    <mergeCell ref="D137:D138"/>
    <mergeCell ref="C161:E161"/>
    <mergeCell ref="D205:D206"/>
    <mergeCell ref="D68:D69"/>
    <mergeCell ref="D70:D72"/>
    <mergeCell ref="C56:E56"/>
    <mergeCell ref="D57:D66"/>
    <mergeCell ref="C148:E148"/>
    <mergeCell ref="D112:D116"/>
    <mergeCell ref="D122:D132"/>
    <mergeCell ref="D117:D120"/>
    <mergeCell ref="C109:C120"/>
    <mergeCell ref="D98:D100"/>
    <mergeCell ref="D83:D93"/>
    <mergeCell ref="D192:D195"/>
    <mergeCell ref="A191:B196"/>
    <mergeCell ref="C192:C196"/>
    <mergeCell ref="C191:E191"/>
    <mergeCell ref="C162:C168"/>
    <mergeCell ref="B161:B168"/>
    <mergeCell ref="C204:E204"/>
    <mergeCell ref="C173:C187"/>
    <mergeCell ref="A78:A143"/>
    <mergeCell ref="D19:D21"/>
    <mergeCell ref="A1:E1"/>
    <mergeCell ref="A2:E2"/>
    <mergeCell ref="A39:E39"/>
    <mergeCell ref="B41:E41"/>
    <mergeCell ref="C42:E42"/>
    <mergeCell ref="C5:E5"/>
    <mergeCell ref="B22:B37"/>
    <mergeCell ref="C22:E22"/>
    <mergeCell ref="D30:D36"/>
    <mergeCell ref="D23:D29"/>
    <mergeCell ref="C23:C37"/>
    <mergeCell ref="D13:D18"/>
    <mergeCell ref="D6:D12"/>
    <mergeCell ref="A41:A73"/>
    <mergeCell ref="B56:B73"/>
    <mergeCell ref="C57:C73"/>
    <mergeCell ref="C53:C55"/>
    <mergeCell ref="B42:B55"/>
    <mergeCell ref="D43:D48"/>
    <mergeCell ref="A4:A37"/>
    <mergeCell ref="B5:B21"/>
    <mergeCell ref="C6:C21"/>
    <mergeCell ref="C43:C52"/>
    <mergeCell ref="C246:C247"/>
    <mergeCell ref="D246:D247"/>
    <mergeCell ref="C218:C220"/>
    <mergeCell ref="D218:D219"/>
    <mergeCell ref="C243:C244"/>
    <mergeCell ref="D243:D244"/>
    <mergeCell ref="C215:C216"/>
    <mergeCell ref="C233:E233"/>
    <mergeCell ref="C225:C227"/>
    <mergeCell ref="C217:E217"/>
    <mergeCell ref="C245:E245"/>
    <mergeCell ref="C231:E231"/>
    <mergeCell ref="C235:E235"/>
    <mergeCell ref="C224:E224"/>
    <mergeCell ref="D225:D227"/>
    <mergeCell ref="C228:E228"/>
    <mergeCell ref="C229:C230"/>
    <mergeCell ref="D229:D230"/>
    <mergeCell ref="A207:B209"/>
    <mergeCell ref="C210:E210"/>
    <mergeCell ref="A210:B213"/>
    <mergeCell ref="C211:C213"/>
    <mergeCell ref="D211:D212"/>
    <mergeCell ref="D162:D166"/>
    <mergeCell ref="A204:B206"/>
    <mergeCell ref="A147:A168"/>
    <mergeCell ref="C122:C143"/>
    <mergeCell ref="B121:B143"/>
    <mergeCell ref="D182:D183"/>
    <mergeCell ref="D173:D177"/>
    <mergeCell ref="D178:D179"/>
    <mergeCell ref="C208:C209"/>
    <mergeCell ref="C205:C206"/>
    <mergeCell ref="C207:E207"/>
    <mergeCell ref="D180:D181"/>
    <mergeCell ref="C172:E172"/>
  </mergeCells>
  <phoneticPr fontId="3" type="noConversion"/>
  <printOptions horizontalCentered="1"/>
  <pageMargins left="0.62992125984251968" right="0.59055118110236227" top="0.98425196850393704" bottom="0.98425196850393704" header="0.51181102362204722" footer="0.51181102362204722"/>
  <pageSetup paperSize="8" scale="65" orientation="portrait" r:id="rId1"/>
  <headerFooter alignWithMargins="0"/>
  <rowBreaks count="3" manualBreakCount="3">
    <brk id="73" max="29" man="1"/>
    <brk id="143" max="29" man="1"/>
    <brk id="220" max="29" man="1"/>
  </row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242"/>
  <sheetViews>
    <sheetView topLeftCell="D1" workbookViewId="0">
      <selection activeCell="G23" sqref="G23"/>
    </sheetView>
  </sheetViews>
  <sheetFormatPr defaultRowHeight="13.5"/>
  <cols>
    <col min="1" max="1" width="5.625" style="1" customWidth="1"/>
    <col min="2" max="2" width="9" style="1" customWidth="1"/>
    <col min="3" max="3" width="10.75" style="1" customWidth="1"/>
    <col min="4" max="4" width="13" style="1" customWidth="1"/>
    <col min="5" max="5" width="14" style="1" customWidth="1"/>
    <col min="6" max="7" width="12.75" style="1" customWidth="1"/>
    <col min="8" max="8" width="12.75" style="711" customWidth="1"/>
    <col min="9" max="9" width="12.75" style="1" customWidth="1"/>
    <col min="10" max="12" width="12.75" style="711" customWidth="1"/>
    <col min="13" max="13" width="12.75" style="1" customWidth="1"/>
    <col min="14" max="14" width="15.875" style="1" customWidth="1"/>
    <col min="15" max="15" width="22.375" style="1" customWidth="1"/>
    <col min="16" max="16" width="15.25" style="1" customWidth="1"/>
    <col min="17" max="28" width="9" style="2"/>
    <col min="29" max="29" width="10.375" style="2" customWidth="1"/>
    <col min="30" max="30" width="10.75" style="2" customWidth="1"/>
    <col min="31" max="32" width="9" style="2"/>
    <col min="33" max="33" width="9.875" style="2" customWidth="1"/>
    <col min="34" max="261" width="9" style="2"/>
    <col min="262" max="262" width="5.625" style="2" customWidth="1"/>
    <col min="263" max="263" width="9" style="2" customWidth="1"/>
    <col min="264" max="264" width="10.75" style="2" customWidth="1"/>
    <col min="265" max="265" width="13" style="2" customWidth="1"/>
    <col min="266" max="266" width="14" style="2" customWidth="1"/>
    <col min="267" max="271" width="11.125" style="2" customWidth="1"/>
    <col min="272" max="272" width="7.5" style="2" customWidth="1"/>
    <col min="273" max="517" width="9" style="2"/>
    <col min="518" max="518" width="5.625" style="2" customWidth="1"/>
    <col min="519" max="519" width="9" style="2" customWidth="1"/>
    <col min="520" max="520" width="10.75" style="2" customWidth="1"/>
    <col min="521" max="521" width="13" style="2" customWidth="1"/>
    <col min="522" max="522" width="14" style="2" customWidth="1"/>
    <col min="523" max="527" width="11.125" style="2" customWidth="1"/>
    <col min="528" max="528" width="7.5" style="2" customWidth="1"/>
    <col min="529" max="773" width="9" style="2"/>
    <col min="774" max="774" width="5.625" style="2" customWidth="1"/>
    <col min="775" max="775" width="9" style="2" customWidth="1"/>
    <col min="776" max="776" width="10.75" style="2" customWidth="1"/>
    <col min="777" max="777" width="13" style="2" customWidth="1"/>
    <col min="778" max="778" width="14" style="2" customWidth="1"/>
    <col min="779" max="783" width="11.125" style="2" customWidth="1"/>
    <col min="784" max="784" width="7.5" style="2" customWidth="1"/>
    <col min="785" max="1029" width="9" style="2"/>
    <col min="1030" max="1030" width="5.625" style="2" customWidth="1"/>
    <col min="1031" max="1031" width="9" style="2" customWidth="1"/>
    <col min="1032" max="1032" width="10.75" style="2" customWidth="1"/>
    <col min="1033" max="1033" width="13" style="2" customWidth="1"/>
    <col min="1034" max="1034" width="14" style="2" customWidth="1"/>
    <col min="1035" max="1039" width="11.125" style="2" customWidth="1"/>
    <col min="1040" max="1040" width="7.5" style="2" customWidth="1"/>
    <col min="1041" max="1285" width="9" style="2"/>
    <col min="1286" max="1286" width="5.625" style="2" customWidth="1"/>
    <col min="1287" max="1287" width="9" style="2" customWidth="1"/>
    <col min="1288" max="1288" width="10.75" style="2" customWidth="1"/>
    <col min="1289" max="1289" width="13" style="2" customWidth="1"/>
    <col min="1290" max="1290" width="14" style="2" customWidth="1"/>
    <col min="1291" max="1295" width="11.125" style="2" customWidth="1"/>
    <col min="1296" max="1296" width="7.5" style="2" customWidth="1"/>
    <col min="1297" max="1541" width="9" style="2"/>
    <col min="1542" max="1542" width="5.625" style="2" customWidth="1"/>
    <col min="1543" max="1543" width="9" style="2" customWidth="1"/>
    <col min="1544" max="1544" width="10.75" style="2" customWidth="1"/>
    <col min="1545" max="1545" width="13" style="2" customWidth="1"/>
    <col min="1546" max="1546" width="14" style="2" customWidth="1"/>
    <col min="1547" max="1551" width="11.125" style="2" customWidth="1"/>
    <col min="1552" max="1552" width="7.5" style="2" customWidth="1"/>
    <col min="1553" max="1797" width="9" style="2"/>
    <col min="1798" max="1798" width="5.625" style="2" customWidth="1"/>
    <col min="1799" max="1799" width="9" style="2" customWidth="1"/>
    <col min="1800" max="1800" width="10.75" style="2" customWidth="1"/>
    <col min="1801" max="1801" width="13" style="2" customWidth="1"/>
    <col min="1802" max="1802" width="14" style="2" customWidth="1"/>
    <col min="1803" max="1807" width="11.125" style="2" customWidth="1"/>
    <col min="1808" max="1808" width="7.5" style="2" customWidth="1"/>
    <col min="1809" max="2053" width="9" style="2"/>
    <col min="2054" max="2054" width="5.625" style="2" customWidth="1"/>
    <col min="2055" max="2055" width="9" style="2" customWidth="1"/>
    <col min="2056" max="2056" width="10.75" style="2" customWidth="1"/>
    <col min="2057" max="2057" width="13" style="2" customWidth="1"/>
    <col min="2058" max="2058" width="14" style="2" customWidth="1"/>
    <col min="2059" max="2063" width="11.125" style="2" customWidth="1"/>
    <col min="2064" max="2064" width="7.5" style="2" customWidth="1"/>
    <col min="2065" max="2309" width="9" style="2"/>
    <col min="2310" max="2310" width="5.625" style="2" customWidth="1"/>
    <col min="2311" max="2311" width="9" style="2" customWidth="1"/>
    <col min="2312" max="2312" width="10.75" style="2" customWidth="1"/>
    <col min="2313" max="2313" width="13" style="2" customWidth="1"/>
    <col min="2314" max="2314" width="14" style="2" customWidth="1"/>
    <col min="2315" max="2319" width="11.125" style="2" customWidth="1"/>
    <col min="2320" max="2320" width="7.5" style="2" customWidth="1"/>
    <col min="2321" max="2565" width="9" style="2"/>
    <col min="2566" max="2566" width="5.625" style="2" customWidth="1"/>
    <col min="2567" max="2567" width="9" style="2" customWidth="1"/>
    <col min="2568" max="2568" width="10.75" style="2" customWidth="1"/>
    <col min="2569" max="2569" width="13" style="2" customWidth="1"/>
    <col min="2570" max="2570" width="14" style="2" customWidth="1"/>
    <col min="2571" max="2575" width="11.125" style="2" customWidth="1"/>
    <col min="2576" max="2576" width="7.5" style="2" customWidth="1"/>
    <col min="2577" max="2821" width="9" style="2"/>
    <col min="2822" max="2822" width="5.625" style="2" customWidth="1"/>
    <col min="2823" max="2823" width="9" style="2" customWidth="1"/>
    <col min="2824" max="2824" width="10.75" style="2" customWidth="1"/>
    <col min="2825" max="2825" width="13" style="2" customWidth="1"/>
    <col min="2826" max="2826" width="14" style="2" customWidth="1"/>
    <col min="2827" max="2831" width="11.125" style="2" customWidth="1"/>
    <col min="2832" max="2832" width="7.5" style="2" customWidth="1"/>
    <col min="2833" max="3077" width="9" style="2"/>
    <col min="3078" max="3078" width="5.625" style="2" customWidth="1"/>
    <col min="3079" max="3079" width="9" style="2" customWidth="1"/>
    <col min="3080" max="3080" width="10.75" style="2" customWidth="1"/>
    <col min="3081" max="3081" width="13" style="2" customWidth="1"/>
    <col min="3082" max="3082" width="14" style="2" customWidth="1"/>
    <col min="3083" max="3087" width="11.125" style="2" customWidth="1"/>
    <col min="3088" max="3088" width="7.5" style="2" customWidth="1"/>
    <col min="3089" max="3333" width="9" style="2"/>
    <col min="3334" max="3334" width="5.625" style="2" customWidth="1"/>
    <col min="3335" max="3335" width="9" style="2" customWidth="1"/>
    <col min="3336" max="3336" width="10.75" style="2" customWidth="1"/>
    <col min="3337" max="3337" width="13" style="2" customWidth="1"/>
    <col min="3338" max="3338" width="14" style="2" customWidth="1"/>
    <col min="3339" max="3343" width="11.125" style="2" customWidth="1"/>
    <col min="3344" max="3344" width="7.5" style="2" customWidth="1"/>
    <col min="3345" max="3589" width="9" style="2"/>
    <col min="3590" max="3590" width="5.625" style="2" customWidth="1"/>
    <col min="3591" max="3591" width="9" style="2" customWidth="1"/>
    <col min="3592" max="3592" width="10.75" style="2" customWidth="1"/>
    <col min="3593" max="3593" width="13" style="2" customWidth="1"/>
    <col min="3594" max="3594" width="14" style="2" customWidth="1"/>
    <col min="3595" max="3599" width="11.125" style="2" customWidth="1"/>
    <col min="3600" max="3600" width="7.5" style="2" customWidth="1"/>
    <col min="3601" max="3845" width="9" style="2"/>
    <col min="3846" max="3846" width="5.625" style="2" customWidth="1"/>
    <col min="3847" max="3847" width="9" style="2" customWidth="1"/>
    <col min="3848" max="3848" width="10.75" style="2" customWidth="1"/>
    <col min="3849" max="3849" width="13" style="2" customWidth="1"/>
    <col min="3850" max="3850" width="14" style="2" customWidth="1"/>
    <col min="3851" max="3855" width="11.125" style="2" customWidth="1"/>
    <col min="3856" max="3856" width="7.5" style="2" customWidth="1"/>
    <col min="3857" max="4101" width="9" style="2"/>
    <col min="4102" max="4102" width="5.625" style="2" customWidth="1"/>
    <col min="4103" max="4103" width="9" style="2" customWidth="1"/>
    <col min="4104" max="4104" width="10.75" style="2" customWidth="1"/>
    <col min="4105" max="4105" width="13" style="2" customWidth="1"/>
    <col min="4106" max="4106" width="14" style="2" customWidth="1"/>
    <col min="4107" max="4111" width="11.125" style="2" customWidth="1"/>
    <col min="4112" max="4112" width="7.5" style="2" customWidth="1"/>
    <col min="4113" max="4357" width="9" style="2"/>
    <col min="4358" max="4358" width="5.625" style="2" customWidth="1"/>
    <col min="4359" max="4359" width="9" style="2" customWidth="1"/>
    <col min="4360" max="4360" width="10.75" style="2" customWidth="1"/>
    <col min="4361" max="4361" width="13" style="2" customWidth="1"/>
    <col min="4362" max="4362" width="14" style="2" customWidth="1"/>
    <col min="4363" max="4367" width="11.125" style="2" customWidth="1"/>
    <col min="4368" max="4368" width="7.5" style="2" customWidth="1"/>
    <col min="4369" max="4613" width="9" style="2"/>
    <col min="4614" max="4614" width="5.625" style="2" customWidth="1"/>
    <col min="4615" max="4615" width="9" style="2" customWidth="1"/>
    <col min="4616" max="4616" width="10.75" style="2" customWidth="1"/>
    <col min="4617" max="4617" width="13" style="2" customWidth="1"/>
    <col min="4618" max="4618" width="14" style="2" customWidth="1"/>
    <col min="4619" max="4623" width="11.125" style="2" customWidth="1"/>
    <col min="4624" max="4624" width="7.5" style="2" customWidth="1"/>
    <col min="4625" max="4869" width="9" style="2"/>
    <col min="4870" max="4870" width="5.625" style="2" customWidth="1"/>
    <col min="4871" max="4871" width="9" style="2" customWidth="1"/>
    <col min="4872" max="4872" width="10.75" style="2" customWidth="1"/>
    <col min="4873" max="4873" width="13" style="2" customWidth="1"/>
    <col min="4874" max="4874" width="14" style="2" customWidth="1"/>
    <col min="4875" max="4879" width="11.125" style="2" customWidth="1"/>
    <col min="4880" max="4880" width="7.5" style="2" customWidth="1"/>
    <col min="4881" max="5125" width="9" style="2"/>
    <col min="5126" max="5126" width="5.625" style="2" customWidth="1"/>
    <col min="5127" max="5127" width="9" style="2" customWidth="1"/>
    <col min="5128" max="5128" width="10.75" style="2" customWidth="1"/>
    <col min="5129" max="5129" width="13" style="2" customWidth="1"/>
    <col min="5130" max="5130" width="14" style="2" customWidth="1"/>
    <col min="5131" max="5135" width="11.125" style="2" customWidth="1"/>
    <col min="5136" max="5136" width="7.5" style="2" customWidth="1"/>
    <col min="5137" max="5381" width="9" style="2"/>
    <col min="5382" max="5382" width="5.625" style="2" customWidth="1"/>
    <col min="5383" max="5383" width="9" style="2" customWidth="1"/>
    <col min="5384" max="5384" width="10.75" style="2" customWidth="1"/>
    <col min="5385" max="5385" width="13" style="2" customWidth="1"/>
    <col min="5386" max="5386" width="14" style="2" customWidth="1"/>
    <col min="5387" max="5391" width="11.125" style="2" customWidth="1"/>
    <col min="5392" max="5392" width="7.5" style="2" customWidth="1"/>
    <col min="5393" max="5637" width="9" style="2"/>
    <col min="5638" max="5638" width="5.625" style="2" customWidth="1"/>
    <col min="5639" max="5639" width="9" style="2" customWidth="1"/>
    <col min="5640" max="5640" width="10.75" style="2" customWidth="1"/>
    <col min="5641" max="5641" width="13" style="2" customWidth="1"/>
    <col min="5642" max="5642" width="14" style="2" customWidth="1"/>
    <col min="5643" max="5647" width="11.125" style="2" customWidth="1"/>
    <col min="5648" max="5648" width="7.5" style="2" customWidth="1"/>
    <col min="5649" max="5893" width="9" style="2"/>
    <col min="5894" max="5894" width="5.625" style="2" customWidth="1"/>
    <col min="5895" max="5895" width="9" style="2" customWidth="1"/>
    <col min="5896" max="5896" width="10.75" style="2" customWidth="1"/>
    <col min="5897" max="5897" width="13" style="2" customWidth="1"/>
    <col min="5898" max="5898" width="14" style="2" customWidth="1"/>
    <col min="5899" max="5903" width="11.125" style="2" customWidth="1"/>
    <col min="5904" max="5904" width="7.5" style="2" customWidth="1"/>
    <col min="5905" max="6149" width="9" style="2"/>
    <col min="6150" max="6150" width="5.625" style="2" customWidth="1"/>
    <col min="6151" max="6151" width="9" style="2" customWidth="1"/>
    <col min="6152" max="6152" width="10.75" style="2" customWidth="1"/>
    <col min="6153" max="6153" width="13" style="2" customWidth="1"/>
    <col min="6154" max="6154" width="14" style="2" customWidth="1"/>
    <col min="6155" max="6159" width="11.125" style="2" customWidth="1"/>
    <col min="6160" max="6160" width="7.5" style="2" customWidth="1"/>
    <col min="6161" max="6405" width="9" style="2"/>
    <col min="6406" max="6406" width="5.625" style="2" customWidth="1"/>
    <col min="6407" max="6407" width="9" style="2" customWidth="1"/>
    <col min="6408" max="6408" width="10.75" style="2" customWidth="1"/>
    <col min="6409" max="6409" width="13" style="2" customWidth="1"/>
    <col min="6410" max="6410" width="14" style="2" customWidth="1"/>
    <col min="6411" max="6415" width="11.125" style="2" customWidth="1"/>
    <col min="6416" max="6416" width="7.5" style="2" customWidth="1"/>
    <col min="6417" max="6661" width="9" style="2"/>
    <col min="6662" max="6662" width="5.625" style="2" customWidth="1"/>
    <col min="6663" max="6663" width="9" style="2" customWidth="1"/>
    <col min="6664" max="6664" width="10.75" style="2" customWidth="1"/>
    <col min="6665" max="6665" width="13" style="2" customWidth="1"/>
    <col min="6666" max="6666" width="14" style="2" customWidth="1"/>
    <col min="6667" max="6671" width="11.125" style="2" customWidth="1"/>
    <col min="6672" max="6672" width="7.5" style="2" customWidth="1"/>
    <col min="6673" max="6917" width="9" style="2"/>
    <col min="6918" max="6918" width="5.625" style="2" customWidth="1"/>
    <col min="6919" max="6919" width="9" style="2" customWidth="1"/>
    <col min="6920" max="6920" width="10.75" style="2" customWidth="1"/>
    <col min="6921" max="6921" width="13" style="2" customWidth="1"/>
    <col min="6922" max="6922" width="14" style="2" customWidth="1"/>
    <col min="6923" max="6927" width="11.125" style="2" customWidth="1"/>
    <col min="6928" max="6928" width="7.5" style="2" customWidth="1"/>
    <col min="6929" max="7173" width="9" style="2"/>
    <col min="7174" max="7174" width="5.625" style="2" customWidth="1"/>
    <col min="7175" max="7175" width="9" style="2" customWidth="1"/>
    <col min="7176" max="7176" width="10.75" style="2" customWidth="1"/>
    <col min="7177" max="7177" width="13" style="2" customWidth="1"/>
    <col min="7178" max="7178" width="14" style="2" customWidth="1"/>
    <col min="7179" max="7183" width="11.125" style="2" customWidth="1"/>
    <col min="7184" max="7184" width="7.5" style="2" customWidth="1"/>
    <col min="7185" max="7429" width="9" style="2"/>
    <col min="7430" max="7430" width="5.625" style="2" customWidth="1"/>
    <col min="7431" max="7431" width="9" style="2" customWidth="1"/>
    <col min="7432" max="7432" width="10.75" style="2" customWidth="1"/>
    <col min="7433" max="7433" width="13" style="2" customWidth="1"/>
    <col min="7434" max="7434" width="14" style="2" customWidth="1"/>
    <col min="7435" max="7439" width="11.125" style="2" customWidth="1"/>
    <col min="7440" max="7440" width="7.5" style="2" customWidth="1"/>
    <col min="7441" max="7685" width="9" style="2"/>
    <col min="7686" max="7686" width="5.625" style="2" customWidth="1"/>
    <col min="7687" max="7687" width="9" style="2" customWidth="1"/>
    <col min="7688" max="7688" width="10.75" style="2" customWidth="1"/>
    <col min="7689" max="7689" width="13" style="2" customWidth="1"/>
    <col min="7690" max="7690" width="14" style="2" customWidth="1"/>
    <col min="7691" max="7695" width="11.125" style="2" customWidth="1"/>
    <col min="7696" max="7696" width="7.5" style="2" customWidth="1"/>
    <col min="7697" max="7941" width="9" style="2"/>
    <col min="7942" max="7942" width="5.625" style="2" customWidth="1"/>
    <col min="7943" max="7943" width="9" style="2" customWidth="1"/>
    <col min="7944" max="7944" width="10.75" style="2" customWidth="1"/>
    <col min="7945" max="7945" width="13" style="2" customWidth="1"/>
    <col min="7946" max="7946" width="14" style="2" customWidth="1"/>
    <col min="7947" max="7951" width="11.125" style="2" customWidth="1"/>
    <col min="7952" max="7952" width="7.5" style="2" customWidth="1"/>
    <col min="7953" max="8197" width="9" style="2"/>
    <col min="8198" max="8198" width="5.625" style="2" customWidth="1"/>
    <col min="8199" max="8199" width="9" style="2" customWidth="1"/>
    <col min="8200" max="8200" width="10.75" style="2" customWidth="1"/>
    <col min="8201" max="8201" width="13" style="2" customWidth="1"/>
    <col min="8202" max="8202" width="14" style="2" customWidth="1"/>
    <col min="8203" max="8207" width="11.125" style="2" customWidth="1"/>
    <col min="8208" max="8208" width="7.5" style="2" customWidth="1"/>
    <col min="8209" max="8453" width="9" style="2"/>
    <col min="8454" max="8454" width="5.625" style="2" customWidth="1"/>
    <col min="8455" max="8455" width="9" style="2" customWidth="1"/>
    <col min="8456" max="8456" width="10.75" style="2" customWidth="1"/>
    <col min="8457" max="8457" width="13" style="2" customWidth="1"/>
    <col min="8458" max="8458" width="14" style="2" customWidth="1"/>
    <col min="8459" max="8463" width="11.125" style="2" customWidth="1"/>
    <col min="8464" max="8464" width="7.5" style="2" customWidth="1"/>
    <col min="8465" max="8709" width="9" style="2"/>
    <col min="8710" max="8710" width="5.625" style="2" customWidth="1"/>
    <col min="8711" max="8711" width="9" style="2" customWidth="1"/>
    <col min="8712" max="8712" width="10.75" style="2" customWidth="1"/>
    <col min="8713" max="8713" width="13" style="2" customWidth="1"/>
    <col min="8714" max="8714" width="14" style="2" customWidth="1"/>
    <col min="8715" max="8719" width="11.125" style="2" customWidth="1"/>
    <col min="8720" max="8720" width="7.5" style="2" customWidth="1"/>
    <col min="8721" max="8965" width="9" style="2"/>
    <col min="8966" max="8966" width="5.625" style="2" customWidth="1"/>
    <col min="8967" max="8967" width="9" style="2" customWidth="1"/>
    <col min="8968" max="8968" width="10.75" style="2" customWidth="1"/>
    <col min="8969" max="8969" width="13" style="2" customWidth="1"/>
    <col min="8970" max="8970" width="14" style="2" customWidth="1"/>
    <col min="8971" max="8975" width="11.125" style="2" customWidth="1"/>
    <col min="8976" max="8976" width="7.5" style="2" customWidth="1"/>
    <col min="8977" max="9221" width="9" style="2"/>
    <col min="9222" max="9222" width="5.625" style="2" customWidth="1"/>
    <col min="9223" max="9223" width="9" style="2" customWidth="1"/>
    <col min="9224" max="9224" width="10.75" style="2" customWidth="1"/>
    <col min="9225" max="9225" width="13" style="2" customWidth="1"/>
    <col min="9226" max="9226" width="14" style="2" customWidth="1"/>
    <col min="9227" max="9231" width="11.125" style="2" customWidth="1"/>
    <col min="9232" max="9232" width="7.5" style="2" customWidth="1"/>
    <col min="9233" max="9477" width="9" style="2"/>
    <col min="9478" max="9478" width="5.625" style="2" customWidth="1"/>
    <col min="9479" max="9479" width="9" style="2" customWidth="1"/>
    <col min="9480" max="9480" width="10.75" style="2" customWidth="1"/>
    <col min="9481" max="9481" width="13" style="2" customWidth="1"/>
    <col min="9482" max="9482" width="14" style="2" customWidth="1"/>
    <col min="9483" max="9487" width="11.125" style="2" customWidth="1"/>
    <col min="9488" max="9488" width="7.5" style="2" customWidth="1"/>
    <col min="9489" max="9733" width="9" style="2"/>
    <col min="9734" max="9734" width="5.625" style="2" customWidth="1"/>
    <col min="9735" max="9735" width="9" style="2" customWidth="1"/>
    <col min="9736" max="9736" width="10.75" style="2" customWidth="1"/>
    <col min="9737" max="9737" width="13" style="2" customWidth="1"/>
    <col min="9738" max="9738" width="14" style="2" customWidth="1"/>
    <col min="9739" max="9743" width="11.125" style="2" customWidth="1"/>
    <col min="9744" max="9744" width="7.5" style="2" customWidth="1"/>
    <col min="9745" max="9989" width="9" style="2"/>
    <col min="9990" max="9990" width="5.625" style="2" customWidth="1"/>
    <col min="9991" max="9991" width="9" style="2" customWidth="1"/>
    <col min="9992" max="9992" width="10.75" style="2" customWidth="1"/>
    <col min="9993" max="9993" width="13" style="2" customWidth="1"/>
    <col min="9994" max="9994" width="14" style="2" customWidth="1"/>
    <col min="9995" max="9999" width="11.125" style="2" customWidth="1"/>
    <col min="10000" max="10000" width="7.5" style="2" customWidth="1"/>
    <col min="10001" max="10245" width="9" style="2"/>
    <col min="10246" max="10246" width="5.625" style="2" customWidth="1"/>
    <col min="10247" max="10247" width="9" style="2" customWidth="1"/>
    <col min="10248" max="10248" width="10.75" style="2" customWidth="1"/>
    <col min="10249" max="10249" width="13" style="2" customWidth="1"/>
    <col min="10250" max="10250" width="14" style="2" customWidth="1"/>
    <col min="10251" max="10255" width="11.125" style="2" customWidth="1"/>
    <col min="10256" max="10256" width="7.5" style="2" customWidth="1"/>
    <col min="10257" max="10501" width="9" style="2"/>
    <col min="10502" max="10502" width="5.625" style="2" customWidth="1"/>
    <col min="10503" max="10503" width="9" style="2" customWidth="1"/>
    <col min="10504" max="10504" width="10.75" style="2" customWidth="1"/>
    <col min="10505" max="10505" width="13" style="2" customWidth="1"/>
    <col min="10506" max="10506" width="14" style="2" customWidth="1"/>
    <col min="10507" max="10511" width="11.125" style="2" customWidth="1"/>
    <col min="10512" max="10512" width="7.5" style="2" customWidth="1"/>
    <col min="10513" max="10757" width="9" style="2"/>
    <col min="10758" max="10758" width="5.625" style="2" customWidth="1"/>
    <col min="10759" max="10759" width="9" style="2" customWidth="1"/>
    <col min="10760" max="10760" width="10.75" style="2" customWidth="1"/>
    <col min="10761" max="10761" width="13" style="2" customWidth="1"/>
    <col min="10762" max="10762" width="14" style="2" customWidth="1"/>
    <col min="10763" max="10767" width="11.125" style="2" customWidth="1"/>
    <col min="10768" max="10768" width="7.5" style="2" customWidth="1"/>
    <col min="10769" max="11013" width="9" style="2"/>
    <col min="11014" max="11014" width="5.625" style="2" customWidth="1"/>
    <col min="11015" max="11015" width="9" style="2" customWidth="1"/>
    <col min="11016" max="11016" width="10.75" style="2" customWidth="1"/>
    <col min="11017" max="11017" width="13" style="2" customWidth="1"/>
    <col min="11018" max="11018" width="14" style="2" customWidth="1"/>
    <col min="11019" max="11023" width="11.125" style="2" customWidth="1"/>
    <col min="11024" max="11024" width="7.5" style="2" customWidth="1"/>
    <col min="11025" max="11269" width="9" style="2"/>
    <col min="11270" max="11270" width="5.625" style="2" customWidth="1"/>
    <col min="11271" max="11271" width="9" style="2" customWidth="1"/>
    <col min="11272" max="11272" width="10.75" style="2" customWidth="1"/>
    <col min="11273" max="11273" width="13" style="2" customWidth="1"/>
    <col min="11274" max="11274" width="14" style="2" customWidth="1"/>
    <col min="11275" max="11279" width="11.125" style="2" customWidth="1"/>
    <col min="11280" max="11280" width="7.5" style="2" customWidth="1"/>
    <col min="11281" max="11525" width="9" style="2"/>
    <col min="11526" max="11526" width="5.625" style="2" customWidth="1"/>
    <col min="11527" max="11527" width="9" style="2" customWidth="1"/>
    <col min="11528" max="11528" width="10.75" style="2" customWidth="1"/>
    <col min="11529" max="11529" width="13" style="2" customWidth="1"/>
    <col min="11530" max="11530" width="14" style="2" customWidth="1"/>
    <col min="11531" max="11535" width="11.125" style="2" customWidth="1"/>
    <col min="11536" max="11536" width="7.5" style="2" customWidth="1"/>
    <col min="11537" max="11781" width="9" style="2"/>
    <col min="11782" max="11782" width="5.625" style="2" customWidth="1"/>
    <col min="11783" max="11783" width="9" style="2" customWidth="1"/>
    <col min="11784" max="11784" width="10.75" style="2" customWidth="1"/>
    <col min="11785" max="11785" width="13" style="2" customWidth="1"/>
    <col min="11786" max="11786" width="14" style="2" customWidth="1"/>
    <col min="11787" max="11791" width="11.125" style="2" customWidth="1"/>
    <col min="11792" max="11792" width="7.5" style="2" customWidth="1"/>
    <col min="11793" max="12037" width="9" style="2"/>
    <col min="12038" max="12038" width="5.625" style="2" customWidth="1"/>
    <col min="12039" max="12039" width="9" style="2" customWidth="1"/>
    <col min="12040" max="12040" width="10.75" style="2" customWidth="1"/>
    <col min="12041" max="12041" width="13" style="2" customWidth="1"/>
    <col min="12042" max="12042" width="14" style="2" customWidth="1"/>
    <col min="12043" max="12047" width="11.125" style="2" customWidth="1"/>
    <col min="12048" max="12048" width="7.5" style="2" customWidth="1"/>
    <col min="12049" max="12293" width="9" style="2"/>
    <col min="12294" max="12294" width="5.625" style="2" customWidth="1"/>
    <col min="12295" max="12295" width="9" style="2" customWidth="1"/>
    <col min="12296" max="12296" width="10.75" style="2" customWidth="1"/>
    <col min="12297" max="12297" width="13" style="2" customWidth="1"/>
    <col min="12298" max="12298" width="14" style="2" customWidth="1"/>
    <col min="12299" max="12303" width="11.125" style="2" customWidth="1"/>
    <col min="12304" max="12304" width="7.5" style="2" customWidth="1"/>
    <col min="12305" max="12549" width="9" style="2"/>
    <col min="12550" max="12550" width="5.625" style="2" customWidth="1"/>
    <col min="12551" max="12551" width="9" style="2" customWidth="1"/>
    <col min="12552" max="12552" width="10.75" style="2" customWidth="1"/>
    <col min="12553" max="12553" width="13" style="2" customWidth="1"/>
    <col min="12554" max="12554" width="14" style="2" customWidth="1"/>
    <col min="12555" max="12559" width="11.125" style="2" customWidth="1"/>
    <col min="12560" max="12560" width="7.5" style="2" customWidth="1"/>
    <col min="12561" max="12805" width="9" style="2"/>
    <col min="12806" max="12806" width="5.625" style="2" customWidth="1"/>
    <col min="12807" max="12807" width="9" style="2" customWidth="1"/>
    <col min="12808" max="12808" width="10.75" style="2" customWidth="1"/>
    <col min="12809" max="12809" width="13" style="2" customWidth="1"/>
    <col min="12810" max="12810" width="14" style="2" customWidth="1"/>
    <col min="12811" max="12815" width="11.125" style="2" customWidth="1"/>
    <col min="12816" max="12816" width="7.5" style="2" customWidth="1"/>
    <col min="12817" max="13061" width="9" style="2"/>
    <col min="13062" max="13062" width="5.625" style="2" customWidth="1"/>
    <col min="13063" max="13063" width="9" style="2" customWidth="1"/>
    <col min="13064" max="13064" width="10.75" style="2" customWidth="1"/>
    <col min="13065" max="13065" width="13" style="2" customWidth="1"/>
    <col min="13066" max="13066" width="14" style="2" customWidth="1"/>
    <col min="13067" max="13071" width="11.125" style="2" customWidth="1"/>
    <col min="13072" max="13072" width="7.5" style="2" customWidth="1"/>
    <col min="13073" max="13317" width="9" style="2"/>
    <col min="13318" max="13318" width="5.625" style="2" customWidth="1"/>
    <col min="13319" max="13319" width="9" style="2" customWidth="1"/>
    <col min="13320" max="13320" width="10.75" style="2" customWidth="1"/>
    <col min="13321" max="13321" width="13" style="2" customWidth="1"/>
    <col min="13322" max="13322" width="14" style="2" customWidth="1"/>
    <col min="13323" max="13327" width="11.125" style="2" customWidth="1"/>
    <col min="13328" max="13328" width="7.5" style="2" customWidth="1"/>
    <col min="13329" max="13573" width="9" style="2"/>
    <col min="13574" max="13574" width="5.625" style="2" customWidth="1"/>
    <col min="13575" max="13575" width="9" style="2" customWidth="1"/>
    <col min="13576" max="13576" width="10.75" style="2" customWidth="1"/>
    <col min="13577" max="13577" width="13" style="2" customWidth="1"/>
    <col min="13578" max="13578" width="14" style="2" customWidth="1"/>
    <col min="13579" max="13583" width="11.125" style="2" customWidth="1"/>
    <col min="13584" max="13584" width="7.5" style="2" customWidth="1"/>
    <col min="13585" max="13829" width="9" style="2"/>
    <col min="13830" max="13830" width="5.625" style="2" customWidth="1"/>
    <col min="13831" max="13831" width="9" style="2" customWidth="1"/>
    <col min="13832" max="13832" width="10.75" style="2" customWidth="1"/>
    <col min="13833" max="13833" width="13" style="2" customWidth="1"/>
    <col min="13834" max="13834" width="14" style="2" customWidth="1"/>
    <col min="13835" max="13839" width="11.125" style="2" customWidth="1"/>
    <col min="13840" max="13840" width="7.5" style="2" customWidth="1"/>
    <col min="13841" max="14085" width="9" style="2"/>
    <col min="14086" max="14086" width="5.625" style="2" customWidth="1"/>
    <col min="14087" max="14087" width="9" style="2" customWidth="1"/>
    <col min="14088" max="14088" width="10.75" style="2" customWidth="1"/>
    <col min="14089" max="14089" width="13" style="2" customWidth="1"/>
    <col min="14090" max="14090" width="14" style="2" customWidth="1"/>
    <col min="14091" max="14095" width="11.125" style="2" customWidth="1"/>
    <col min="14096" max="14096" width="7.5" style="2" customWidth="1"/>
    <col min="14097" max="14341" width="9" style="2"/>
    <col min="14342" max="14342" width="5.625" style="2" customWidth="1"/>
    <col min="14343" max="14343" width="9" style="2" customWidth="1"/>
    <col min="14344" max="14344" width="10.75" style="2" customWidth="1"/>
    <col min="14345" max="14345" width="13" style="2" customWidth="1"/>
    <col min="14346" max="14346" width="14" style="2" customWidth="1"/>
    <col min="14347" max="14351" width="11.125" style="2" customWidth="1"/>
    <col min="14352" max="14352" width="7.5" style="2" customWidth="1"/>
    <col min="14353" max="14597" width="9" style="2"/>
    <col min="14598" max="14598" width="5.625" style="2" customWidth="1"/>
    <col min="14599" max="14599" width="9" style="2" customWidth="1"/>
    <col min="14600" max="14600" width="10.75" style="2" customWidth="1"/>
    <col min="14601" max="14601" width="13" style="2" customWidth="1"/>
    <col min="14602" max="14602" width="14" style="2" customWidth="1"/>
    <col min="14603" max="14607" width="11.125" style="2" customWidth="1"/>
    <col min="14608" max="14608" width="7.5" style="2" customWidth="1"/>
    <col min="14609" max="14853" width="9" style="2"/>
    <col min="14854" max="14854" width="5.625" style="2" customWidth="1"/>
    <col min="14855" max="14855" width="9" style="2" customWidth="1"/>
    <col min="14856" max="14856" width="10.75" style="2" customWidth="1"/>
    <col min="14857" max="14857" width="13" style="2" customWidth="1"/>
    <col min="14858" max="14858" width="14" style="2" customWidth="1"/>
    <col min="14859" max="14863" width="11.125" style="2" customWidth="1"/>
    <col min="14864" max="14864" width="7.5" style="2" customWidth="1"/>
    <col min="14865" max="15109" width="9" style="2"/>
    <col min="15110" max="15110" width="5.625" style="2" customWidth="1"/>
    <col min="15111" max="15111" width="9" style="2" customWidth="1"/>
    <col min="15112" max="15112" width="10.75" style="2" customWidth="1"/>
    <col min="15113" max="15113" width="13" style="2" customWidth="1"/>
    <col min="15114" max="15114" width="14" style="2" customWidth="1"/>
    <col min="15115" max="15119" width="11.125" style="2" customWidth="1"/>
    <col min="15120" max="15120" width="7.5" style="2" customWidth="1"/>
    <col min="15121" max="15365" width="9" style="2"/>
    <col min="15366" max="15366" width="5.625" style="2" customWidth="1"/>
    <col min="15367" max="15367" width="9" style="2" customWidth="1"/>
    <col min="15368" max="15368" width="10.75" style="2" customWidth="1"/>
    <col min="15369" max="15369" width="13" style="2" customWidth="1"/>
    <col min="15370" max="15370" width="14" style="2" customWidth="1"/>
    <col min="15371" max="15375" width="11.125" style="2" customWidth="1"/>
    <col min="15376" max="15376" width="7.5" style="2" customWidth="1"/>
    <col min="15377" max="15621" width="9" style="2"/>
    <col min="15622" max="15622" width="5.625" style="2" customWidth="1"/>
    <col min="15623" max="15623" width="9" style="2" customWidth="1"/>
    <col min="15624" max="15624" width="10.75" style="2" customWidth="1"/>
    <col min="15625" max="15625" width="13" style="2" customWidth="1"/>
    <col min="15626" max="15626" width="14" style="2" customWidth="1"/>
    <col min="15627" max="15631" width="11.125" style="2" customWidth="1"/>
    <col min="15632" max="15632" width="7.5" style="2" customWidth="1"/>
    <col min="15633" max="15877" width="9" style="2"/>
    <col min="15878" max="15878" width="5.625" style="2" customWidth="1"/>
    <col min="15879" max="15879" width="9" style="2" customWidth="1"/>
    <col min="15880" max="15880" width="10.75" style="2" customWidth="1"/>
    <col min="15881" max="15881" width="13" style="2" customWidth="1"/>
    <col min="15882" max="15882" width="14" style="2" customWidth="1"/>
    <col min="15883" max="15887" width="11.125" style="2" customWidth="1"/>
    <col min="15888" max="15888" width="7.5" style="2" customWidth="1"/>
    <col min="15889" max="16133" width="9" style="2"/>
    <col min="16134" max="16134" width="5.625" style="2" customWidth="1"/>
    <col min="16135" max="16135" width="9" style="2" customWidth="1"/>
    <col min="16136" max="16136" width="10.75" style="2" customWidth="1"/>
    <col min="16137" max="16137" width="13" style="2" customWidth="1"/>
    <col min="16138" max="16138" width="14" style="2" customWidth="1"/>
    <col min="16139" max="16143" width="11.125" style="2" customWidth="1"/>
    <col min="16144" max="16144" width="7.5" style="2" customWidth="1"/>
    <col min="16145" max="16384" width="9" style="2"/>
  </cols>
  <sheetData>
    <row r="1" spans="1:17" ht="21" customHeight="1">
      <c r="A1" s="2648" t="s">
        <v>17</v>
      </c>
      <c r="B1" s="2648"/>
      <c r="C1" s="2648"/>
      <c r="D1" s="2648"/>
      <c r="E1" s="2648"/>
      <c r="F1" s="2648"/>
      <c r="P1" s="19" t="s">
        <v>39</v>
      </c>
    </row>
    <row r="2" spans="1:17" ht="24" customHeight="1">
      <c r="A2" s="2638" t="s">
        <v>1085</v>
      </c>
      <c r="B2" s="2638"/>
      <c r="C2" s="2638"/>
      <c r="D2" s="2638"/>
      <c r="E2" s="2638"/>
      <c r="F2" s="3"/>
      <c r="I2" s="32" t="s">
        <v>40</v>
      </c>
      <c r="J2" s="33"/>
      <c r="K2" s="33"/>
      <c r="L2" s="33"/>
      <c r="M2" s="33"/>
    </row>
    <row r="3" spans="1:17" ht="39.950000000000003" customHeight="1">
      <c r="A3" s="820" t="s">
        <v>0</v>
      </c>
      <c r="B3" s="820" t="s">
        <v>1</v>
      </c>
      <c r="C3" s="821" t="s">
        <v>2</v>
      </c>
      <c r="D3" s="822" t="s">
        <v>3</v>
      </c>
      <c r="E3" s="839" t="s">
        <v>4</v>
      </c>
      <c r="F3" s="840" t="s">
        <v>1266</v>
      </c>
      <c r="G3" s="824" t="s">
        <v>1265</v>
      </c>
      <c r="H3" s="825" t="s">
        <v>1235</v>
      </c>
      <c r="I3" s="826" t="s">
        <v>909</v>
      </c>
      <c r="J3" s="826" t="s">
        <v>1267</v>
      </c>
      <c r="K3" s="826" t="s">
        <v>910</v>
      </c>
      <c r="L3" s="826"/>
      <c r="M3" s="827" t="s">
        <v>187</v>
      </c>
      <c r="N3" s="828" t="s">
        <v>5</v>
      </c>
      <c r="O3" s="18" t="s">
        <v>34</v>
      </c>
      <c r="P3" s="4"/>
    </row>
    <row r="4" spans="1:17" ht="24" customHeight="1">
      <c r="A4" s="2794" t="s">
        <v>760</v>
      </c>
      <c r="B4" s="2779" t="s">
        <v>6</v>
      </c>
      <c r="C4" s="2780"/>
      <c r="D4" s="2780"/>
      <c r="E4" s="2781"/>
      <c r="F4" s="1140">
        <f t="shared" ref="F4:L4" si="0">+F5+F20</f>
        <v>0</v>
      </c>
      <c r="G4" s="1141">
        <f t="shared" si="0"/>
        <v>575</v>
      </c>
      <c r="H4" s="1141">
        <f t="shared" si="0"/>
        <v>16033</v>
      </c>
      <c r="I4" s="1141">
        <f t="shared" si="0"/>
        <v>15958</v>
      </c>
      <c r="J4" s="1141">
        <f t="shared" si="0"/>
        <v>16602</v>
      </c>
      <c r="K4" s="1141">
        <f t="shared" si="0"/>
        <v>16035</v>
      </c>
      <c r="L4" s="1141">
        <f t="shared" si="0"/>
        <v>567</v>
      </c>
      <c r="M4" s="1141"/>
      <c r="N4" s="1142"/>
      <c r="O4" s="21"/>
      <c r="P4" s="5"/>
    </row>
    <row r="5" spans="1:17" ht="24" customHeight="1">
      <c r="A5" s="2795"/>
      <c r="B5" s="2789" t="s">
        <v>761</v>
      </c>
      <c r="C5" s="1136" t="s">
        <v>7</v>
      </c>
      <c r="D5" s="1136"/>
      <c r="E5" s="1137"/>
      <c r="F5" s="1143">
        <f t="shared" ref="F5" si="1">SUM(F6:F16)</f>
        <v>0</v>
      </c>
      <c r="G5" s="1144">
        <f>SUM(G6:G19)</f>
        <v>276</v>
      </c>
      <c r="H5" s="1144">
        <f t="shared" ref="H5:L5" si="2">SUM(H6:H19)</f>
        <v>7650</v>
      </c>
      <c r="I5" s="1144">
        <f t="shared" si="2"/>
        <v>7653</v>
      </c>
      <c r="J5" s="1144">
        <f t="shared" si="2"/>
        <v>8006</v>
      </c>
      <c r="K5" s="1144">
        <f t="shared" si="2"/>
        <v>7733</v>
      </c>
      <c r="L5" s="1144">
        <f t="shared" si="2"/>
        <v>273</v>
      </c>
      <c r="M5" s="1145"/>
      <c r="N5" s="1146"/>
      <c r="O5" s="22"/>
      <c r="P5" s="6"/>
    </row>
    <row r="6" spans="1:17" ht="24" customHeight="1">
      <c r="A6" s="2795"/>
      <c r="B6" s="2790"/>
      <c r="C6" s="2778" t="s">
        <v>782</v>
      </c>
      <c r="D6" s="2777" t="s">
        <v>763</v>
      </c>
      <c r="E6" s="1138" t="s">
        <v>785</v>
      </c>
      <c r="F6" s="1147"/>
      <c r="G6" s="1183">
        <v>66</v>
      </c>
      <c r="H6" s="742">
        <v>1866</v>
      </c>
      <c r="I6" s="742">
        <v>1857</v>
      </c>
      <c r="J6" s="742">
        <f t="shared" ref="J6:J19" si="3">L6+K6</f>
        <v>1901</v>
      </c>
      <c r="K6" s="742">
        <v>1837</v>
      </c>
      <c r="L6" s="742">
        <v>64</v>
      </c>
      <c r="M6" s="742"/>
      <c r="N6" s="743">
        <v>1</v>
      </c>
      <c r="O6" s="23"/>
      <c r="P6" s="7"/>
      <c r="Q6" s="2" t="s">
        <v>8</v>
      </c>
    </row>
    <row r="7" spans="1:17" s="712" customFormat="1" ht="24" customHeight="1">
      <c r="A7" s="2795"/>
      <c r="B7" s="2790"/>
      <c r="C7" s="2778"/>
      <c r="D7" s="2777"/>
      <c r="E7" s="1138" t="s">
        <v>764</v>
      </c>
      <c r="F7" s="1147"/>
      <c r="G7" s="1183">
        <v>66</v>
      </c>
      <c r="H7" s="742">
        <v>1914</v>
      </c>
      <c r="I7" s="742">
        <v>1852</v>
      </c>
      <c r="J7" s="742">
        <f t="shared" si="3"/>
        <v>1894</v>
      </c>
      <c r="K7" s="742">
        <v>1830</v>
      </c>
      <c r="L7" s="742">
        <v>64</v>
      </c>
      <c r="M7" s="742"/>
      <c r="N7" s="743">
        <v>1</v>
      </c>
      <c r="O7" s="23"/>
      <c r="P7" s="7"/>
    </row>
    <row r="8" spans="1:17" ht="24" customHeight="1">
      <c r="A8" s="2795"/>
      <c r="B8" s="2790"/>
      <c r="C8" s="2778"/>
      <c r="D8" s="2777"/>
      <c r="E8" s="1138" t="s">
        <v>766</v>
      </c>
      <c r="F8" s="1147"/>
      <c r="G8" s="1183">
        <v>40</v>
      </c>
      <c r="H8" s="742">
        <v>1135</v>
      </c>
      <c r="I8" s="742">
        <v>1114</v>
      </c>
      <c r="J8" s="742">
        <f t="shared" si="3"/>
        <v>1144</v>
      </c>
      <c r="K8" s="742">
        <v>1105</v>
      </c>
      <c r="L8" s="742">
        <v>39</v>
      </c>
      <c r="M8" s="742"/>
      <c r="N8" s="743">
        <v>1</v>
      </c>
      <c r="O8" s="23"/>
      <c r="P8" s="7"/>
    </row>
    <row r="9" spans="1:17" ht="24" customHeight="1">
      <c r="A9" s="2795"/>
      <c r="B9" s="2790"/>
      <c r="C9" s="2778"/>
      <c r="D9" s="2777"/>
      <c r="E9" s="1138" t="s">
        <v>768</v>
      </c>
      <c r="F9" s="1147"/>
      <c r="G9" s="1183">
        <v>33</v>
      </c>
      <c r="H9" s="742">
        <v>910</v>
      </c>
      <c r="I9" s="742">
        <v>910</v>
      </c>
      <c r="J9" s="742">
        <f t="shared" si="3"/>
        <v>913</v>
      </c>
      <c r="K9" s="742">
        <v>882</v>
      </c>
      <c r="L9" s="742">
        <v>31</v>
      </c>
      <c r="M9" s="742"/>
      <c r="N9" s="743">
        <v>1</v>
      </c>
      <c r="O9" s="23"/>
      <c r="P9" s="7"/>
    </row>
    <row r="10" spans="1:17" s="712" customFormat="1" ht="24" customHeight="1">
      <c r="A10" s="2795"/>
      <c r="B10" s="2790"/>
      <c r="C10" s="2778"/>
      <c r="D10" s="2777" t="s">
        <v>770</v>
      </c>
      <c r="E10" s="1138" t="s">
        <v>771</v>
      </c>
      <c r="F10" s="1147"/>
      <c r="G10" s="1183">
        <v>8</v>
      </c>
      <c r="H10" s="742">
        <v>208</v>
      </c>
      <c r="I10" s="742">
        <v>223</v>
      </c>
      <c r="J10" s="742">
        <f t="shared" si="3"/>
        <v>227</v>
      </c>
      <c r="K10" s="742">
        <v>219</v>
      </c>
      <c r="L10" s="742">
        <v>8</v>
      </c>
      <c r="M10" s="742"/>
      <c r="N10" s="743">
        <v>1</v>
      </c>
      <c r="O10" s="23"/>
      <c r="P10" s="7"/>
    </row>
    <row r="11" spans="1:17" s="712" customFormat="1" ht="24" customHeight="1">
      <c r="A11" s="2795"/>
      <c r="B11" s="2790"/>
      <c r="C11" s="2778"/>
      <c r="D11" s="2777"/>
      <c r="E11" s="1138" t="s">
        <v>779</v>
      </c>
      <c r="F11" s="1147"/>
      <c r="G11" s="1183">
        <v>3</v>
      </c>
      <c r="H11" s="742">
        <v>94</v>
      </c>
      <c r="I11" s="742">
        <v>92</v>
      </c>
      <c r="J11" s="742">
        <f t="shared" si="3"/>
        <v>92</v>
      </c>
      <c r="K11" s="742">
        <v>89</v>
      </c>
      <c r="L11" s="742">
        <v>3</v>
      </c>
      <c r="M11" s="742"/>
      <c r="N11" s="743">
        <v>1</v>
      </c>
      <c r="O11" s="23" t="s">
        <v>843</v>
      </c>
      <c r="P11" s="7"/>
    </row>
    <row r="12" spans="1:17" s="712" customFormat="1" ht="24" customHeight="1">
      <c r="A12" s="2795"/>
      <c r="B12" s="2790"/>
      <c r="C12" s="2778"/>
      <c r="D12" s="2777"/>
      <c r="E12" s="1138" t="s">
        <v>773</v>
      </c>
      <c r="F12" s="1147"/>
      <c r="G12" s="1183">
        <v>10</v>
      </c>
      <c r="H12" s="742">
        <v>251</v>
      </c>
      <c r="I12" s="742">
        <v>266</v>
      </c>
      <c r="J12" s="742">
        <f t="shared" si="3"/>
        <v>281</v>
      </c>
      <c r="K12" s="742">
        <v>271</v>
      </c>
      <c r="L12" s="742">
        <v>10</v>
      </c>
      <c r="M12" s="742"/>
      <c r="N12" s="743">
        <v>1</v>
      </c>
      <c r="O12" s="23"/>
      <c r="P12" s="7"/>
    </row>
    <row r="13" spans="1:17" ht="24" customHeight="1">
      <c r="A13" s="2795"/>
      <c r="B13" s="2790"/>
      <c r="C13" s="2778"/>
      <c r="D13" s="2777"/>
      <c r="E13" s="1138" t="s">
        <v>775</v>
      </c>
      <c r="F13" s="1147"/>
      <c r="G13" s="1183">
        <v>9</v>
      </c>
      <c r="H13" s="742">
        <v>235</v>
      </c>
      <c r="I13" s="742">
        <v>239</v>
      </c>
      <c r="J13" s="742">
        <f t="shared" si="3"/>
        <v>254</v>
      </c>
      <c r="K13" s="742">
        <v>245</v>
      </c>
      <c r="L13" s="742">
        <v>9</v>
      </c>
      <c r="M13" s="742"/>
      <c r="N13" s="743">
        <v>1</v>
      </c>
      <c r="O13" s="23"/>
      <c r="P13" s="7"/>
      <c r="Q13" s="2" t="s">
        <v>9</v>
      </c>
    </row>
    <row r="14" spans="1:17" s="712" customFormat="1" ht="24" customHeight="1">
      <c r="A14" s="2795"/>
      <c r="B14" s="2790"/>
      <c r="C14" s="2778"/>
      <c r="D14" s="2777"/>
      <c r="E14" s="1138" t="s">
        <v>777</v>
      </c>
      <c r="F14" s="1147"/>
      <c r="G14" s="1183">
        <v>13</v>
      </c>
      <c r="H14" s="742">
        <v>339</v>
      </c>
      <c r="I14" s="742">
        <v>357</v>
      </c>
      <c r="J14" s="742">
        <f t="shared" si="3"/>
        <v>374</v>
      </c>
      <c r="K14" s="742">
        <v>361</v>
      </c>
      <c r="L14" s="742">
        <v>13</v>
      </c>
      <c r="M14" s="742"/>
      <c r="N14" s="743">
        <v>1</v>
      </c>
      <c r="O14" s="23"/>
      <c r="P14" s="7"/>
    </row>
    <row r="15" spans="1:17" s="712" customFormat="1" ht="24" customHeight="1">
      <c r="A15" s="2795"/>
      <c r="B15" s="2790"/>
      <c r="C15" s="2778"/>
      <c r="D15" s="2711" t="s">
        <v>800</v>
      </c>
      <c r="E15" s="1138" t="s">
        <v>2219</v>
      </c>
      <c r="F15" s="1147"/>
      <c r="G15" s="1828"/>
      <c r="H15" s="742"/>
      <c r="I15" s="742"/>
      <c r="J15" s="742">
        <f t="shared" ref="J15" si="4">L15+K15</f>
        <v>173</v>
      </c>
      <c r="K15" s="742">
        <v>167</v>
      </c>
      <c r="L15" s="742">
        <v>6</v>
      </c>
      <c r="M15" s="742"/>
      <c r="N15" s="743">
        <v>0.5</v>
      </c>
      <c r="O15" s="23"/>
      <c r="P15" s="7"/>
    </row>
    <row r="16" spans="1:17" ht="24" customHeight="1">
      <c r="A16" s="2795"/>
      <c r="B16" s="2790"/>
      <c r="C16" s="2778"/>
      <c r="D16" s="2712"/>
      <c r="E16" s="1138" t="s">
        <v>801</v>
      </c>
      <c r="F16" s="1147"/>
      <c r="G16" s="1183">
        <v>9</v>
      </c>
      <c r="H16" s="742">
        <v>243</v>
      </c>
      <c r="I16" s="742">
        <v>256</v>
      </c>
      <c r="J16" s="742">
        <f t="shared" si="3"/>
        <v>255</v>
      </c>
      <c r="K16" s="742">
        <v>246</v>
      </c>
      <c r="L16" s="742">
        <v>9</v>
      </c>
      <c r="M16" s="742"/>
      <c r="N16" s="743">
        <v>1</v>
      </c>
      <c r="O16" s="23"/>
      <c r="P16" s="7"/>
    </row>
    <row r="17" spans="1:17" s="712" customFormat="1" ht="24" customHeight="1">
      <c r="A17" s="2795"/>
      <c r="B17" s="2790"/>
      <c r="C17" s="2778"/>
      <c r="D17" s="2713"/>
      <c r="E17" s="1138" t="s">
        <v>1343</v>
      </c>
      <c r="F17" s="1147"/>
      <c r="G17" s="1183">
        <v>8</v>
      </c>
      <c r="H17" s="742">
        <v>193</v>
      </c>
      <c r="I17" s="742">
        <v>210</v>
      </c>
      <c r="J17" s="742">
        <f t="shared" si="3"/>
        <v>205</v>
      </c>
      <c r="K17" s="742">
        <v>198</v>
      </c>
      <c r="L17" s="742">
        <v>7</v>
      </c>
      <c r="M17" s="742"/>
      <c r="N17" s="743">
        <v>0.9</v>
      </c>
      <c r="O17" s="23" t="s">
        <v>1344</v>
      </c>
      <c r="P17" s="7"/>
    </row>
    <row r="18" spans="1:17" s="712" customFormat="1" ht="24" customHeight="1">
      <c r="A18" s="2795"/>
      <c r="B18" s="2790"/>
      <c r="C18" s="2778"/>
      <c r="D18" s="1183" t="s">
        <v>1474</v>
      </c>
      <c r="E18" s="1138" t="s">
        <v>1482</v>
      </c>
      <c r="F18" s="1147"/>
      <c r="G18" s="1183">
        <v>5</v>
      </c>
      <c r="H18" s="742">
        <v>145</v>
      </c>
      <c r="I18" s="742">
        <v>141</v>
      </c>
      <c r="J18" s="742">
        <f t="shared" si="3"/>
        <v>147</v>
      </c>
      <c r="K18" s="742">
        <v>142</v>
      </c>
      <c r="L18" s="742">
        <v>5</v>
      </c>
      <c r="M18" s="742"/>
      <c r="N18" s="743">
        <v>0.5</v>
      </c>
      <c r="O18" s="23"/>
      <c r="P18" s="7"/>
    </row>
    <row r="19" spans="1:17" s="712" customFormat="1" ht="24" customHeight="1">
      <c r="A19" s="2795"/>
      <c r="B19" s="2791"/>
      <c r="C19" s="1182" t="s">
        <v>1479</v>
      </c>
      <c r="D19" s="1184" t="s">
        <v>1480</v>
      </c>
      <c r="E19" s="1139" t="s">
        <v>1481</v>
      </c>
      <c r="F19" s="1189"/>
      <c r="G19" s="1190">
        <v>6</v>
      </c>
      <c r="H19" s="1024">
        <v>117</v>
      </c>
      <c r="I19" s="1024">
        <v>136</v>
      </c>
      <c r="J19" s="1024">
        <f t="shared" si="3"/>
        <v>146</v>
      </c>
      <c r="K19" s="1024">
        <v>141</v>
      </c>
      <c r="L19" s="1024">
        <v>5</v>
      </c>
      <c r="M19" s="1024"/>
      <c r="N19" s="813"/>
      <c r="O19" s="23"/>
      <c r="P19" s="7"/>
    </row>
    <row r="20" spans="1:17" ht="24" customHeight="1">
      <c r="A20" s="2795"/>
      <c r="B20" s="2796" t="s">
        <v>781</v>
      </c>
      <c r="C20" s="812" t="s">
        <v>10</v>
      </c>
      <c r="D20" s="812"/>
      <c r="E20" s="1188"/>
      <c r="F20" s="1144">
        <f t="shared" ref="F20:L20" si="5">SUM(F21:F33)</f>
        <v>0</v>
      </c>
      <c r="G20" s="1144">
        <f t="shared" si="5"/>
        <v>299</v>
      </c>
      <c r="H20" s="1144">
        <f t="shared" si="5"/>
        <v>8383</v>
      </c>
      <c r="I20" s="1144">
        <f t="shared" si="5"/>
        <v>8305</v>
      </c>
      <c r="J20" s="1144">
        <f t="shared" si="5"/>
        <v>8596</v>
      </c>
      <c r="K20" s="1144">
        <f t="shared" si="5"/>
        <v>8302</v>
      </c>
      <c r="L20" s="1144">
        <f t="shared" si="5"/>
        <v>294</v>
      </c>
      <c r="M20" s="1145"/>
      <c r="N20" s="1146"/>
      <c r="O20" s="22"/>
      <c r="P20" s="6"/>
    </row>
    <row r="21" spans="1:17" ht="24" customHeight="1">
      <c r="A21" s="2795"/>
      <c r="B21" s="2797"/>
      <c r="C21" s="2778" t="s">
        <v>783</v>
      </c>
      <c r="D21" s="2777" t="s">
        <v>784</v>
      </c>
      <c r="E21" s="1138" t="s">
        <v>787</v>
      </c>
      <c r="F21" s="1147"/>
      <c r="G21" s="1571">
        <v>25</v>
      </c>
      <c r="H21" s="742">
        <v>734</v>
      </c>
      <c r="I21" s="742">
        <v>703</v>
      </c>
      <c r="J21" s="742">
        <f t="shared" ref="J21:J33" si="6">L21+K21</f>
        <v>742</v>
      </c>
      <c r="K21" s="742">
        <v>717</v>
      </c>
      <c r="L21" s="742">
        <v>25</v>
      </c>
      <c r="M21" s="742"/>
      <c r="N21" s="743">
        <v>1</v>
      </c>
      <c r="O21" s="23"/>
      <c r="P21" s="7"/>
      <c r="Q21" s="2" t="s">
        <v>11</v>
      </c>
    </row>
    <row r="22" spans="1:17" ht="24" customHeight="1">
      <c r="A22" s="2795"/>
      <c r="B22" s="2797"/>
      <c r="C22" s="2778"/>
      <c r="D22" s="2777"/>
      <c r="E22" s="1138" t="s">
        <v>788</v>
      </c>
      <c r="F22" s="1147"/>
      <c r="G22" s="1571">
        <v>27</v>
      </c>
      <c r="H22" s="742">
        <v>717</v>
      </c>
      <c r="I22" s="742">
        <v>747</v>
      </c>
      <c r="J22" s="742">
        <f t="shared" si="6"/>
        <v>787</v>
      </c>
      <c r="K22" s="742">
        <v>760</v>
      </c>
      <c r="L22" s="742">
        <v>27</v>
      </c>
      <c r="M22" s="742"/>
      <c r="N22" s="743">
        <v>1</v>
      </c>
      <c r="O22" s="23"/>
      <c r="P22" s="7"/>
      <c r="Q22" s="2" t="s">
        <v>11</v>
      </c>
    </row>
    <row r="23" spans="1:17" ht="24" customHeight="1">
      <c r="A23" s="2795"/>
      <c r="B23" s="2797"/>
      <c r="C23" s="2778"/>
      <c r="D23" s="2777"/>
      <c r="E23" s="1138" t="s">
        <v>789</v>
      </c>
      <c r="F23" s="1147"/>
      <c r="G23" s="1571">
        <v>22</v>
      </c>
      <c r="H23" s="742">
        <v>633</v>
      </c>
      <c r="I23" s="742">
        <v>615</v>
      </c>
      <c r="J23" s="742">
        <f t="shared" si="6"/>
        <v>636</v>
      </c>
      <c r="K23" s="742">
        <v>614</v>
      </c>
      <c r="L23" s="742">
        <v>22</v>
      </c>
      <c r="M23" s="742"/>
      <c r="N23" s="743">
        <v>1</v>
      </c>
      <c r="O23" s="23"/>
      <c r="P23" s="7"/>
      <c r="Q23" s="2" t="s">
        <v>30</v>
      </c>
    </row>
    <row r="24" spans="1:17" ht="24" customHeight="1">
      <c r="A24" s="2795"/>
      <c r="B24" s="2797"/>
      <c r="C24" s="2778"/>
      <c r="D24" s="2777"/>
      <c r="E24" s="1138" t="s">
        <v>790</v>
      </c>
      <c r="F24" s="1147"/>
      <c r="G24" s="1571">
        <v>53</v>
      </c>
      <c r="H24" s="742">
        <v>1550</v>
      </c>
      <c r="I24" s="742">
        <v>1478</v>
      </c>
      <c r="J24" s="742">
        <f t="shared" si="6"/>
        <v>1517</v>
      </c>
      <c r="K24" s="742">
        <v>1465</v>
      </c>
      <c r="L24" s="742">
        <v>52</v>
      </c>
      <c r="M24" s="742"/>
      <c r="N24" s="743">
        <v>1</v>
      </c>
      <c r="O24" s="23"/>
      <c r="P24" s="7"/>
    </row>
    <row r="25" spans="1:17" s="712" customFormat="1" ht="24" customHeight="1">
      <c r="A25" s="2795"/>
      <c r="B25" s="2797"/>
      <c r="C25" s="2778"/>
      <c r="D25" s="2777"/>
      <c r="E25" s="1138" t="s">
        <v>791</v>
      </c>
      <c r="F25" s="1147"/>
      <c r="G25" s="1571">
        <v>28</v>
      </c>
      <c r="H25" s="742">
        <v>776</v>
      </c>
      <c r="I25" s="742">
        <v>767</v>
      </c>
      <c r="J25" s="742">
        <f t="shared" si="6"/>
        <v>785</v>
      </c>
      <c r="K25" s="742">
        <v>758</v>
      </c>
      <c r="L25" s="742">
        <v>27</v>
      </c>
      <c r="M25" s="742"/>
      <c r="N25" s="743">
        <v>1</v>
      </c>
      <c r="O25" s="23"/>
      <c r="P25" s="7"/>
    </row>
    <row r="26" spans="1:17" s="712" customFormat="1" ht="24" customHeight="1">
      <c r="A26" s="2795"/>
      <c r="B26" s="2797"/>
      <c r="C26" s="2778"/>
      <c r="D26" s="2777" t="s">
        <v>792</v>
      </c>
      <c r="E26" s="1138" t="s">
        <v>793</v>
      </c>
      <c r="F26" s="1147"/>
      <c r="G26" s="1571">
        <v>8</v>
      </c>
      <c r="H26" s="742">
        <v>211</v>
      </c>
      <c r="I26" s="742">
        <v>218</v>
      </c>
      <c r="J26" s="742">
        <f t="shared" si="6"/>
        <v>224</v>
      </c>
      <c r="K26" s="742">
        <v>216</v>
      </c>
      <c r="L26" s="742">
        <v>8</v>
      </c>
      <c r="M26" s="742"/>
      <c r="N26" s="743">
        <v>1</v>
      </c>
      <c r="O26" s="23"/>
      <c r="P26" s="7"/>
    </row>
    <row r="27" spans="1:17" s="712" customFormat="1" ht="24" customHeight="1">
      <c r="A27" s="2795"/>
      <c r="B27" s="2797"/>
      <c r="C27" s="2778"/>
      <c r="D27" s="2777"/>
      <c r="E27" s="1138" t="s">
        <v>794</v>
      </c>
      <c r="F27" s="1147"/>
      <c r="G27" s="1571">
        <v>7</v>
      </c>
      <c r="H27" s="742">
        <v>195</v>
      </c>
      <c r="I27" s="742">
        <v>185</v>
      </c>
      <c r="J27" s="742">
        <f t="shared" si="6"/>
        <v>184</v>
      </c>
      <c r="K27" s="742">
        <v>178</v>
      </c>
      <c r="L27" s="742">
        <v>6</v>
      </c>
      <c r="M27" s="742"/>
      <c r="N27" s="743">
        <v>1</v>
      </c>
      <c r="O27" s="23"/>
      <c r="P27" s="7"/>
    </row>
    <row r="28" spans="1:17" s="712" customFormat="1" ht="24" customHeight="1">
      <c r="A28" s="2795"/>
      <c r="B28" s="2797"/>
      <c r="C28" s="2778"/>
      <c r="D28" s="2777"/>
      <c r="E28" s="1138" t="s">
        <v>795</v>
      </c>
      <c r="F28" s="1147"/>
      <c r="G28" s="1571">
        <v>7</v>
      </c>
      <c r="H28" s="742">
        <v>170</v>
      </c>
      <c r="I28" s="742">
        <v>201</v>
      </c>
      <c r="J28" s="742">
        <f t="shared" si="6"/>
        <v>202</v>
      </c>
      <c r="K28" s="742">
        <v>195</v>
      </c>
      <c r="L28" s="742">
        <v>7</v>
      </c>
      <c r="M28" s="742"/>
      <c r="N28" s="743">
        <v>1</v>
      </c>
      <c r="O28" s="23"/>
      <c r="P28" s="7"/>
    </row>
    <row r="29" spans="1:17" s="712" customFormat="1" ht="24" customHeight="1">
      <c r="A29" s="2795"/>
      <c r="B29" s="2797"/>
      <c r="C29" s="2778"/>
      <c r="D29" s="2777"/>
      <c r="E29" s="1138" t="s">
        <v>796</v>
      </c>
      <c r="F29" s="1147"/>
      <c r="G29" s="1571">
        <v>19</v>
      </c>
      <c r="H29" s="742">
        <v>505</v>
      </c>
      <c r="I29" s="742">
        <v>514</v>
      </c>
      <c r="J29" s="742">
        <f t="shared" si="6"/>
        <v>565</v>
      </c>
      <c r="K29" s="742">
        <v>546</v>
      </c>
      <c r="L29" s="742">
        <v>19</v>
      </c>
      <c r="M29" s="742"/>
      <c r="N29" s="743">
        <v>1</v>
      </c>
      <c r="O29" s="23"/>
      <c r="P29" s="7"/>
    </row>
    <row r="30" spans="1:17" s="712" customFormat="1" ht="24" customHeight="1">
      <c r="A30" s="2795"/>
      <c r="B30" s="2797"/>
      <c r="C30" s="2778"/>
      <c r="D30" s="2777"/>
      <c r="E30" s="1138" t="s">
        <v>797</v>
      </c>
      <c r="F30" s="1147"/>
      <c r="G30" s="1571">
        <v>6</v>
      </c>
      <c r="H30" s="742">
        <v>171</v>
      </c>
      <c r="I30" s="742">
        <v>177</v>
      </c>
      <c r="J30" s="742">
        <f t="shared" si="6"/>
        <v>181</v>
      </c>
      <c r="K30" s="742">
        <v>175</v>
      </c>
      <c r="L30" s="742">
        <v>6</v>
      </c>
      <c r="M30" s="742"/>
      <c r="N30" s="743">
        <v>1</v>
      </c>
      <c r="O30" s="23"/>
      <c r="P30" s="7"/>
    </row>
    <row r="31" spans="1:17" s="712" customFormat="1" ht="24" customHeight="1">
      <c r="A31" s="2795"/>
      <c r="B31" s="2797"/>
      <c r="C31" s="2778"/>
      <c r="D31" s="2777"/>
      <c r="E31" s="1138" t="s">
        <v>798</v>
      </c>
      <c r="F31" s="1147"/>
      <c r="G31" s="1571">
        <v>54</v>
      </c>
      <c r="H31" s="742">
        <v>1486</v>
      </c>
      <c r="I31" s="742">
        <v>1498</v>
      </c>
      <c r="J31" s="742">
        <f t="shared" si="6"/>
        <v>1547</v>
      </c>
      <c r="K31" s="742">
        <v>1494</v>
      </c>
      <c r="L31" s="742">
        <v>53</v>
      </c>
      <c r="M31" s="742"/>
      <c r="N31" s="743">
        <v>1</v>
      </c>
      <c r="O31" s="23"/>
      <c r="P31" s="7"/>
    </row>
    <row r="32" spans="1:17" s="712" customFormat="1" ht="24" customHeight="1">
      <c r="A32" s="2795"/>
      <c r="B32" s="2797"/>
      <c r="C32" s="2778"/>
      <c r="D32" s="2777"/>
      <c r="E32" s="1138" t="s">
        <v>799</v>
      </c>
      <c r="F32" s="1147"/>
      <c r="G32" s="1571">
        <v>38</v>
      </c>
      <c r="H32" s="742">
        <v>1082</v>
      </c>
      <c r="I32" s="742">
        <v>1053</v>
      </c>
      <c r="J32" s="742">
        <f t="shared" si="6"/>
        <v>1079</v>
      </c>
      <c r="K32" s="742">
        <v>1042</v>
      </c>
      <c r="L32" s="742">
        <v>37</v>
      </c>
      <c r="M32" s="742"/>
      <c r="N32" s="743">
        <v>1</v>
      </c>
      <c r="O32" s="23"/>
      <c r="P32" s="7"/>
    </row>
    <row r="33" spans="1:26" ht="24" customHeight="1">
      <c r="A33" s="2795"/>
      <c r="B33" s="2797"/>
      <c r="C33" s="2778"/>
      <c r="D33" s="1183" t="s">
        <v>800</v>
      </c>
      <c r="E33" s="1138" t="s">
        <v>842</v>
      </c>
      <c r="F33" s="1147"/>
      <c r="G33" s="1571">
        <v>5</v>
      </c>
      <c r="H33" s="742">
        <v>153</v>
      </c>
      <c r="I33" s="742">
        <v>149</v>
      </c>
      <c r="J33" s="742">
        <f t="shared" si="6"/>
        <v>147</v>
      </c>
      <c r="K33" s="742">
        <v>142</v>
      </c>
      <c r="L33" s="742">
        <v>5</v>
      </c>
      <c r="M33" s="742"/>
      <c r="N33" s="743">
        <v>0.4</v>
      </c>
      <c r="O33" s="23"/>
      <c r="P33" s="7"/>
    </row>
    <row r="34" spans="1:26" ht="20.100000000000001" customHeight="1">
      <c r="O34" s="24"/>
    </row>
    <row r="35" spans="1:26" ht="24" customHeight="1">
      <c r="A35" s="2638" t="s">
        <v>949</v>
      </c>
      <c r="B35" s="2638"/>
      <c r="C35" s="2638"/>
      <c r="D35" s="2638"/>
      <c r="E35" s="2638"/>
      <c r="F35" s="3"/>
      <c r="O35" s="24"/>
    </row>
    <row r="36" spans="1:26" ht="39.950000000000003" customHeight="1">
      <c r="A36" s="809" t="s">
        <v>18</v>
      </c>
      <c r="B36" s="809" t="s">
        <v>19</v>
      </c>
      <c r="C36" s="810" t="s">
        <v>20</v>
      </c>
      <c r="D36" s="810" t="s">
        <v>21</v>
      </c>
      <c r="E36" s="834" t="s">
        <v>22</v>
      </c>
      <c r="F36" s="840" t="s">
        <v>1266</v>
      </c>
      <c r="G36" s="824" t="s">
        <v>1265</v>
      </c>
      <c r="H36" s="825" t="s">
        <v>1235</v>
      </c>
      <c r="I36" s="836" t="s">
        <v>909</v>
      </c>
      <c r="J36" s="836" t="s">
        <v>909</v>
      </c>
      <c r="K36" s="836" t="s">
        <v>910</v>
      </c>
      <c r="L36" s="836"/>
      <c r="M36" s="837" t="s">
        <v>187</v>
      </c>
      <c r="N36" s="838" t="s">
        <v>5</v>
      </c>
      <c r="O36" s="21"/>
    </row>
    <row r="37" spans="1:26" ht="24" customHeight="1">
      <c r="A37" s="2774" t="s">
        <v>950</v>
      </c>
      <c r="B37" s="2677" t="s">
        <v>23</v>
      </c>
      <c r="C37" s="2677"/>
      <c r="D37" s="2677"/>
      <c r="E37" s="2671"/>
      <c r="F37" s="1148">
        <f t="shared" ref="F37:K37" si="7">+F38+F50</f>
        <v>0</v>
      </c>
      <c r="G37" s="1149">
        <f t="shared" si="7"/>
        <v>1559</v>
      </c>
      <c r="H37" s="1149">
        <f t="shared" si="7"/>
        <v>16950</v>
      </c>
      <c r="I37" s="1149">
        <f t="shared" si="7"/>
        <v>17112</v>
      </c>
      <c r="J37" s="1149">
        <f t="shared" si="7"/>
        <v>18665</v>
      </c>
      <c r="K37" s="1149">
        <f t="shared" si="7"/>
        <v>17145</v>
      </c>
      <c r="L37" s="1149"/>
      <c r="M37" s="1150"/>
      <c r="N37" s="1151"/>
      <c r="O37" s="20"/>
      <c r="P37" s="3"/>
    </row>
    <row r="38" spans="1:26" ht="24" customHeight="1">
      <c r="A38" s="2775"/>
      <c r="B38" s="2792" t="s">
        <v>951</v>
      </c>
      <c r="C38" s="2768" t="s">
        <v>24</v>
      </c>
      <c r="D38" s="2768"/>
      <c r="E38" s="2769"/>
      <c r="F38" s="1194">
        <f t="shared" ref="F38" si="8">SUM(F39:F47)</f>
        <v>0</v>
      </c>
      <c r="G38" s="1152">
        <f t="shared" ref="G38:H38" si="9">SUM(G39:G49)</f>
        <v>644</v>
      </c>
      <c r="H38" s="1152">
        <f t="shared" si="9"/>
        <v>6623</v>
      </c>
      <c r="I38" s="1152">
        <f>SUM(I39:I49)</f>
        <v>6708</v>
      </c>
      <c r="J38" s="1152">
        <f t="shared" ref="J38:L38" si="10">SUM(J39:J49)</f>
        <v>7341</v>
      </c>
      <c r="K38" s="1152">
        <f t="shared" si="10"/>
        <v>6715</v>
      </c>
      <c r="L38" s="1152">
        <f t="shared" si="10"/>
        <v>634</v>
      </c>
      <c r="M38" s="1064"/>
      <c r="N38" s="1153"/>
      <c r="O38" s="20"/>
    </row>
    <row r="39" spans="1:26" ht="24" customHeight="1">
      <c r="A39" s="2775"/>
      <c r="B39" s="2783"/>
      <c r="C39" s="2786" t="s">
        <v>953</v>
      </c>
      <c r="D39" s="2742" t="s">
        <v>956</v>
      </c>
      <c r="E39" s="1196" t="s">
        <v>958</v>
      </c>
      <c r="F39" s="791"/>
      <c r="G39" s="740">
        <v>79</v>
      </c>
      <c r="H39" s="742">
        <v>2235</v>
      </c>
      <c r="I39" s="742">
        <v>895</v>
      </c>
      <c r="J39" s="742">
        <f t="shared" ref="J39:J48" si="11">L39+K39</f>
        <v>967</v>
      </c>
      <c r="K39" s="742">
        <v>890</v>
      </c>
      <c r="L39" s="742">
        <v>77</v>
      </c>
      <c r="M39" s="742"/>
      <c r="N39" s="743">
        <v>1</v>
      </c>
      <c r="O39" s="23"/>
    </row>
    <row r="40" spans="1:26" ht="24" customHeight="1">
      <c r="A40" s="2775"/>
      <c r="B40" s="2783"/>
      <c r="C40" s="2786"/>
      <c r="D40" s="2742"/>
      <c r="E40" s="1196" t="s">
        <v>957</v>
      </c>
      <c r="F40" s="791"/>
      <c r="G40" s="740">
        <v>42</v>
      </c>
      <c r="H40" s="742">
        <v>532</v>
      </c>
      <c r="I40" s="742">
        <v>481</v>
      </c>
      <c r="J40" s="742">
        <f t="shared" si="11"/>
        <v>520</v>
      </c>
      <c r="K40" s="742">
        <v>479</v>
      </c>
      <c r="L40" s="742">
        <v>41</v>
      </c>
      <c r="M40" s="742"/>
      <c r="N40" s="743">
        <v>1</v>
      </c>
      <c r="O40" s="23" t="s">
        <v>960</v>
      </c>
    </row>
    <row r="41" spans="1:26" ht="24" customHeight="1">
      <c r="A41" s="2775"/>
      <c r="B41" s="2783"/>
      <c r="C41" s="2786"/>
      <c r="D41" s="2742"/>
      <c r="E41" s="1196" t="s">
        <v>959</v>
      </c>
      <c r="F41" s="791"/>
      <c r="G41" s="740">
        <v>35</v>
      </c>
      <c r="H41" s="742">
        <v>408</v>
      </c>
      <c r="I41" s="742">
        <v>401</v>
      </c>
      <c r="J41" s="742">
        <f t="shared" si="11"/>
        <v>439</v>
      </c>
      <c r="K41" s="742">
        <v>404</v>
      </c>
      <c r="L41" s="742">
        <v>35</v>
      </c>
      <c r="M41" s="742"/>
      <c r="N41" s="743">
        <v>1</v>
      </c>
      <c r="O41" s="23"/>
    </row>
    <row r="42" spans="1:26" s="712" customFormat="1" ht="24" customHeight="1">
      <c r="A42" s="2775"/>
      <c r="B42" s="2783"/>
      <c r="C42" s="2786"/>
      <c r="D42" s="2742"/>
      <c r="E42" s="1196" t="s">
        <v>1260</v>
      </c>
      <c r="F42" s="791"/>
      <c r="G42" s="740">
        <v>129</v>
      </c>
      <c r="H42" s="742">
        <v>0</v>
      </c>
      <c r="I42" s="742">
        <v>1470</v>
      </c>
      <c r="J42" s="742">
        <f t="shared" si="11"/>
        <v>1608</v>
      </c>
      <c r="K42" s="742">
        <v>1480</v>
      </c>
      <c r="L42" s="742">
        <v>128</v>
      </c>
      <c r="M42" s="742"/>
      <c r="N42" s="743"/>
      <c r="O42" s="23"/>
      <c r="P42" s="711"/>
    </row>
    <row r="43" spans="1:26" s="712" customFormat="1" ht="24" customHeight="1">
      <c r="A43" s="2775"/>
      <c r="B43" s="2783"/>
      <c r="C43" s="2786"/>
      <c r="D43" s="2742" t="s">
        <v>961</v>
      </c>
      <c r="E43" s="1196" t="s">
        <v>962</v>
      </c>
      <c r="F43" s="791"/>
      <c r="G43" s="740">
        <v>52</v>
      </c>
      <c r="H43" s="742">
        <v>616</v>
      </c>
      <c r="I43" s="742">
        <v>595</v>
      </c>
      <c r="J43" s="742">
        <f t="shared" si="11"/>
        <v>658</v>
      </c>
      <c r="K43" s="742">
        <v>606</v>
      </c>
      <c r="L43" s="742">
        <v>52</v>
      </c>
      <c r="M43" s="742"/>
      <c r="N43" s="743"/>
      <c r="O43" s="23"/>
      <c r="P43" s="711"/>
    </row>
    <row r="44" spans="1:26" s="712" customFormat="1" ht="24" customHeight="1">
      <c r="A44" s="2775"/>
      <c r="B44" s="2783"/>
      <c r="C44" s="2786"/>
      <c r="D44" s="2742"/>
      <c r="E44" s="1196" t="s">
        <v>963</v>
      </c>
      <c r="F44" s="791"/>
      <c r="G44" s="740">
        <v>65</v>
      </c>
      <c r="H44" s="742">
        <v>716</v>
      </c>
      <c r="I44" s="742">
        <v>742</v>
      </c>
      <c r="J44" s="742">
        <f t="shared" si="11"/>
        <v>792</v>
      </c>
      <c r="K44" s="742">
        <v>729</v>
      </c>
      <c r="L44" s="742">
        <v>63</v>
      </c>
      <c r="M44" s="742"/>
      <c r="N44" s="743"/>
      <c r="O44" s="23"/>
      <c r="P44" s="711"/>
    </row>
    <row r="45" spans="1:26" s="712" customFormat="1" ht="24" customHeight="1">
      <c r="A45" s="2775"/>
      <c r="B45" s="2783"/>
      <c r="C45" s="2786"/>
      <c r="D45" s="2742"/>
      <c r="E45" s="1196" t="s">
        <v>1158</v>
      </c>
      <c r="F45" s="791"/>
      <c r="G45" s="740">
        <v>175</v>
      </c>
      <c r="H45" s="742">
        <f>I45</f>
        <v>1470</v>
      </c>
      <c r="I45" s="742">
        <v>1470</v>
      </c>
      <c r="J45" s="742">
        <f t="shared" si="11"/>
        <v>1651</v>
      </c>
      <c r="K45" s="742">
        <v>1480</v>
      </c>
      <c r="L45" s="742">
        <v>171</v>
      </c>
      <c r="M45" s="742"/>
      <c r="N45" s="743"/>
      <c r="O45" s="23"/>
      <c r="P45" s="711"/>
    </row>
    <row r="46" spans="1:26" s="712" customFormat="1" ht="24" customHeight="1">
      <c r="A46" s="2775"/>
      <c r="B46" s="2783"/>
      <c r="C46" s="2786"/>
      <c r="D46" s="1181" t="s">
        <v>954</v>
      </c>
      <c r="E46" s="1196" t="s">
        <v>955</v>
      </c>
      <c r="F46" s="791"/>
      <c r="G46" s="740">
        <v>23</v>
      </c>
      <c r="H46" s="742">
        <v>282</v>
      </c>
      <c r="I46" s="742">
        <v>265</v>
      </c>
      <c r="J46" s="742">
        <f t="shared" si="11"/>
        <v>276</v>
      </c>
      <c r="K46" s="742">
        <v>254</v>
      </c>
      <c r="L46" s="742">
        <v>22</v>
      </c>
      <c r="M46" s="742"/>
      <c r="N46" s="743"/>
      <c r="O46" s="23" t="s">
        <v>967</v>
      </c>
      <c r="P46" s="711"/>
    </row>
    <row r="47" spans="1:26" ht="24" customHeight="1">
      <c r="A47" s="2775"/>
      <c r="B47" s="2783"/>
      <c r="C47" s="2786" t="s">
        <v>993</v>
      </c>
      <c r="D47" s="1181" t="s">
        <v>965</v>
      </c>
      <c r="E47" s="1196" t="s">
        <v>965</v>
      </c>
      <c r="F47" s="791"/>
      <c r="G47" s="764">
        <v>18</v>
      </c>
      <c r="H47" s="742">
        <v>168</v>
      </c>
      <c r="I47" s="742">
        <v>159</v>
      </c>
      <c r="J47" s="742">
        <f t="shared" si="11"/>
        <v>182</v>
      </c>
      <c r="K47" s="742">
        <v>163</v>
      </c>
      <c r="L47" s="742">
        <v>19</v>
      </c>
      <c r="M47" s="742"/>
      <c r="N47" s="1154"/>
      <c r="O47" s="25" t="s">
        <v>964</v>
      </c>
      <c r="Q47" s="2">
        <f>ROUND(5*1.95,0)</f>
        <v>10</v>
      </c>
      <c r="X47" s="1"/>
      <c r="Y47" s="16" t="s">
        <v>31</v>
      </c>
      <c r="Z47" s="1"/>
    </row>
    <row r="48" spans="1:26" s="712" customFormat="1" ht="24" customHeight="1">
      <c r="A48" s="2775"/>
      <c r="B48" s="2783"/>
      <c r="C48" s="2786"/>
      <c r="D48" s="1181" t="s">
        <v>1483</v>
      </c>
      <c r="E48" s="1196" t="s">
        <v>1488</v>
      </c>
      <c r="F48" s="1195"/>
      <c r="G48" s="1023">
        <v>18</v>
      </c>
      <c r="H48" s="1024">
        <v>126</v>
      </c>
      <c r="I48" s="1024">
        <v>158</v>
      </c>
      <c r="J48" s="1024">
        <f t="shared" si="11"/>
        <v>175</v>
      </c>
      <c r="K48" s="1024">
        <v>157</v>
      </c>
      <c r="L48" s="1024">
        <v>18</v>
      </c>
      <c r="M48" s="1024"/>
      <c r="N48" s="1193"/>
      <c r="O48" s="25"/>
      <c r="P48" s="711"/>
      <c r="X48" s="711"/>
      <c r="Y48" s="16"/>
      <c r="Z48" s="711"/>
    </row>
    <row r="49" spans="1:26" s="712" customFormat="1" ht="24" customHeight="1">
      <c r="A49" s="2775"/>
      <c r="B49" s="2784"/>
      <c r="C49" s="2793"/>
      <c r="D49" s="1185" t="s">
        <v>1484</v>
      </c>
      <c r="E49" s="1197" t="s">
        <v>1486</v>
      </c>
      <c r="F49" s="792"/>
      <c r="G49" s="749">
        <v>8</v>
      </c>
      <c r="H49" s="745">
        <v>70</v>
      </c>
      <c r="I49" s="745">
        <v>72</v>
      </c>
      <c r="J49" s="745">
        <f>K49</f>
        <v>73</v>
      </c>
      <c r="K49" s="745">
        <v>73</v>
      </c>
      <c r="L49" s="745">
        <v>8</v>
      </c>
      <c r="M49" s="745"/>
      <c r="N49" s="1155"/>
      <c r="O49" s="25"/>
      <c r="P49" s="711"/>
      <c r="X49" s="711"/>
      <c r="Y49" s="16"/>
      <c r="Z49" s="711"/>
    </row>
    <row r="50" spans="1:26" ht="24" customHeight="1">
      <c r="A50" s="2775"/>
      <c r="B50" s="2782" t="s">
        <v>952</v>
      </c>
      <c r="C50" s="2787" t="s">
        <v>24</v>
      </c>
      <c r="D50" s="2787"/>
      <c r="E50" s="2788"/>
      <c r="F50" s="747">
        <f t="shared" ref="F50:G50" si="12">SUM(F51:F67)</f>
        <v>0</v>
      </c>
      <c r="G50" s="747">
        <f t="shared" si="12"/>
        <v>915</v>
      </c>
      <c r="H50" s="747">
        <f>SUM(H51:H67)</f>
        <v>10327</v>
      </c>
      <c r="I50" s="747">
        <f>SUM(I51:I67)</f>
        <v>10404</v>
      </c>
      <c r="J50" s="747">
        <f>SUM(J51:J67)</f>
        <v>11324</v>
      </c>
      <c r="K50" s="747">
        <f>SUM(K51:K67)</f>
        <v>10430</v>
      </c>
      <c r="L50" s="747">
        <f>SUM(L51:L67)</f>
        <v>894</v>
      </c>
      <c r="M50" s="751"/>
      <c r="N50" s="807"/>
      <c r="O50" s="23"/>
    </row>
    <row r="51" spans="1:26" ht="24" customHeight="1">
      <c r="A51" s="2775"/>
      <c r="B51" s="2783"/>
      <c r="C51" s="2752" t="s">
        <v>968</v>
      </c>
      <c r="D51" s="2752" t="s">
        <v>969</v>
      </c>
      <c r="E51" s="1027" t="s">
        <v>970</v>
      </c>
      <c r="F51" s="791"/>
      <c r="G51" s="740">
        <v>74</v>
      </c>
      <c r="H51" s="742">
        <v>777</v>
      </c>
      <c r="I51" s="742">
        <v>847</v>
      </c>
      <c r="J51" s="742">
        <f t="shared" ref="J51:J65" si="13">L51+K51</f>
        <v>939</v>
      </c>
      <c r="K51" s="742">
        <v>864</v>
      </c>
      <c r="L51" s="742">
        <v>75</v>
      </c>
      <c r="M51" s="742"/>
      <c r="N51" s="806">
        <v>1</v>
      </c>
      <c r="O51" s="23"/>
      <c r="P51" s="2" t="s">
        <v>12</v>
      </c>
    </row>
    <row r="52" spans="1:26" s="712" customFormat="1" ht="24" customHeight="1">
      <c r="A52" s="2775"/>
      <c r="B52" s="2783"/>
      <c r="C52" s="2752"/>
      <c r="D52" s="2752"/>
      <c r="E52" s="1027" t="s">
        <v>971</v>
      </c>
      <c r="F52" s="791"/>
      <c r="G52" s="740">
        <v>116</v>
      </c>
      <c r="H52" s="742">
        <v>1383</v>
      </c>
      <c r="I52" s="742">
        <v>1309</v>
      </c>
      <c r="J52" s="742">
        <f t="shared" si="13"/>
        <v>1423</v>
      </c>
      <c r="K52" s="742">
        <v>1310</v>
      </c>
      <c r="L52" s="742">
        <v>113</v>
      </c>
      <c r="M52" s="742"/>
      <c r="N52" s="806"/>
      <c r="O52" s="23"/>
    </row>
    <row r="53" spans="1:26" s="712" customFormat="1" ht="24" customHeight="1">
      <c r="A53" s="2775"/>
      <c r="B53" s="2783"/>
      <c r="C53" s="2752"/>
      <c r="D53" s="2752"/>
      <c r="E53" s="1027" t="s">
        <v>972</v>
      </c>
      <c r="F53" s="791"/>
      <c r="G53" s="740">
        <v>32</v>
      </c>
      <c r="H53" s="742">
        <v>364</v>
      </c>
      <c r="I53" s="742">
        <v>363</v>
      </c>
      <c r="J53" s="742">
        <f t="shared" si="13"/>
        <v>386</v>
      </c>
      <c r="K53" s="742">
        <v>355</v>
      </c>
      <c r="L53" s="742">
        <v>31</v>
      </c>
      <c r="M53" s="742"/>
      <c r="N53" s="806"/>
      <c r="O53" s="23"/>
    </row>
    <row r="54" spans="1:26" s="712" customFormat="1" ht="24" customHeight="1">
      <c r="A54" s="2775"/>
      <c r="B54" s="2783"/>
      <c r="C54" s="2752"/>
      <c r="D54" s="2752"/>
      <c r="E54" s="1027" t="s">
        <v>973</v>
      </c>
      <c r="F54" s="791"/>
      <c r="G54" s="740">
        <v>157</v>
      </c>
      <c r="H54" s="742">
        <v>1817</v>
      </c>
      <c r="I54" s="742">
        <v>1779</v>
      </c>
      <c r="J54" s="742">
        <f t="shared" si="13"/>
        <v>1932</v>
      </c>
      <c r="K54" s="742">
        <v>1778</v>
      </c>
      <c r="L54" s="742">
        <v>154</v>
      </c>
      <c r="M54" s="742"/>
      <c r="N54" s="806"/>
      <c r="O54" s="23"/>
    </row>
    <row r="55" spans="1:26" s="712" customFormat="1" ht="24" customHeight="1">
      <c r="A55" s="2775"/>
      <c r="B55" s="2783"/>
      <c r="C55" s="2752"/>
      <c r="D55" s="2752"/>
      <c r="E55" s="1027" t="s">
        <v>974</v>
      </c>
      <c r="F55" s="791"/>
      <c r="G55" s="740">
        <v>83</v>
      </c>
      <c r="H55" s="742">
        <v>968</v>
      </c>
      <c r="I55" s="742">
        <v>951</v>
      </c>
      <c r="J55" s="742">
        <f t="shared" si="13"/>
        <v>1039</v>
      </c>
      <c r="K55" s="742">
        <v>956</v>
      </c>
      <c r="L55" s="742">
        <v>83</v>
      </c>
      <c r="M55" s="742"/>
      <c r="N55" s="806"/>
      <c r="O55" s="23"/>
    </row>
    <row r="56" spans="1:26" s="712" customFormat="1" ht="24" customHeight="1">
      <c r="A56" s="2775"/>
      <c r="B56" s="2783"/>
      <c r="C56" s="2752"/>
      <c r="D56" s="2752"/>
      <c r="E56" s="1027" t="s">
        <v>975</v>
      </c>
      <c r="F56" s="791"/>
      <c r="G56" s="740">
        <v>67</v>
      </c>
      <c r="H56" s="742">
        <v>820</v>
      </c>
      <c r="I56" s="742">
        <v>763</v>
      </c>
      <c r="J56" s="742">
        <f t="shared" si="13"/>
        <v>824</v>
      </c>
      <c r="K56" s="742">
        <v>758</v>
      </c>
      <c r="L56" s="742">
        <v>66</v>
      </c>
      <c r="M56" s="742"/>
      <c r="N56" s="806"/>
      <c r="O56" s="23"/>
    </row>
    <row r="57" spans="1:26" s="712" customFormat="1" ht="24" customHeight="1">
      <c r="A57" s="2775"/>
      <c r="B57" s="2783"/>
      <c r="C57" s="2752"/>
      <c r="D57" s="2752"/>
      <c r="E57" s="1027" t="s">
        <v>976</v>
      </c>
      <c r="F57" s="791"/>
      <c r="G57" s="740">
        <v>99</v>
      </c>
      <c r="H57" s="742">
        <v>1129</v>
      </c>
      <c r="I57" s="742">
        <v>1123</v>
      </c>
      <c r="J57" s="742">
        <f t="shared" si="13"/>
        <v>1222</v>
      </c>
      <c r="K57" s="742">
        <v>1125</v>
      </c>
      <c r="L57" s="742">
        <v>97</v>
      </c>
      <c r="M57" s="742"/>
      <c r="N57" s="806"/>
      <c r="O57" s="23"/>
    </row>
    <row r="58" spans="1:26" s="712" customFormat="1" ht="24" customHeight="1">
      <c r="A58" s="2775"/>
      <c r="B58" s="2783"/>
      <c r="C58" s="2752"/>
      <c r="D58" s="2752"/>
      <c r="E58" s="1027" t="s">
        <v>977</v>
      </c>
      <c r="F58" s="791"/>
      <c r="G58" s="740">
        <v>66</v>
      </c>
      <c r="H58" s="742">
        <v>767</v>
      </c>
      <c r="I58" s="742">
        <v>755</v>
      </c>
      <c r="J58" s="742">
        <f t="shared" si="13"/>
        <v>814</v>
      </c>
      <c r="K58" s="742">
        <v>749</v>
      </c>
      <c r="L58" s="742">
        <v>65</v>
      </c>
      <c r="M58" s="742"/>
      <c r="N58" s="806"/>
      <c r="O58" s="23"/>
    </row>
    <row r="59" spans="1:26" s="712" customFormat="1" ht="24" customHeight="1">
      <c r="A59" s="2775"/>
      <c r="B59" s="2783"/>
      <c r="C59" s="2752"/>
      <c r="D59" s="1021" t="s">
        <v>1261</v>
      </c>
      <c r="E59" s="1027" t="s">
        <v>1262</v>
      </c>
      <c r="F59" s="791"/>
      <c r="G59" s="740">
        <v>100</v>
      </c>
      <c r="H59" s="742">
        <v>1146</v>
      </c>
      <c r="I59" s="742">
        <v>1137</v>
      </c>
      <c r="J59" s="742">
        <f t="shared" si="13"/>
        <v>1232</v>
      </c>
      <c r="K59" s="742">
        <v>1134</v>
      </c>
      <c r="L59" s="742">
        <v>98</v>
      </c>
      <c r="M59" s="742"/>
      <c r="N59" s="806"/>
      <c r="O59" s="23"/>
    </row>
    <row r="60" spans="1:26" s="712" customFormat="1" ht="24" customHeight="1">
      <c r="A60" s="2775"/>
      <c r="B60" s="2783"/>
      <c r="C60" s="2752"/>
      <c r="D60" s="2752" t="s">
        <v>978</v>
      </c>
      <c r="E60" s="1027" t="s">
        <v>979</v>
      </c>
      <c r="F60" s="791"/>
      <c r="G60" s="740">
        <v>23</v>
      </c>
      <c r="H60" s="742">
        <v>110</v>
      </c>
      <c r="I60" s="742">
        <v>258</v>
      </c>
      <c r="J60" s="742">
        <f t="shared" si="13"/>
        <v>301</v>
      </c>
      <c r="K60" s="742">
        <v>277</v>
      </c>
      <c r="L60" s="742">
        <v>24</v>
      </c>
      <c r="M60" s="742"/>
      <c r="N60" s="806"/>
      <c r="O60" s="23"/>
    </row>
    <row r="61" spans="1:26" s="712" customFormat="1" ht="24" customHeight="1">
      <c r="A61" s="2775"/>
      <c r="B61" s="2783"/>
      <c r="C61" s="2752"/>
      <c r="D61" s="2752"/>
      <c r="E61" s="1027" t="s">
        <v>980</v>
      </c>
      <c r="F61" s="791"/>
      <c r="G61" s="740">
        <v>7</v>
      </c>
      <c r="H61" s="742">
        <v>36</v>
      </c>
      <c r="I61" s="742">
        <v>75</v>
      </c>
      <c r="J61" s="742">
        <f t="shared" si="13"/>
        <v>86</v>
      </c>
      <c r="K61" s="742">
        <v>79</v>
      </c>
      <c r="L61" s="742">
        <v>7</v>
      </c>
      <c r="M61" s="742"/>
      <c r="N61" s="806"/>
      <c r="O61" s="23"/>
    </row>
    <row r="62" spans="1:26" s="712" customFormat="1" ht="24" customHeight="1">
      <c r="A62" s="2775"/>
      <c r="B62" s="2783"/>
      <c r="C62" s="2752"/>
      <c r="D62" s="2752" t="s">
        <v>981</v>
      </c>
      <c r="E62" s="1027" t="s">
        <v>982</v>
      </c>
      <c r="F62" s="791"/>
      <c r="G62" s="740">
        <v>51</v>
      </c>
      <c r="H62" s="742">
        <v>542</v>
      </c>
      <c r="I62" s="742">
        <v>587</v>
      </c>
      <c r="J62" s="742">
        <f t="shared" si="13"/>
        <v>650</v>
      </c>
      <c r="K62" s="742">
        <v>598</v>
      </c>
      <c r="L62" s="742">
        <v>52</v>
      </c>
      <c r="M62" s="742"/>
      <c r="N62" s="806"/>
      <c r="O62" s="23" t="s">
        <v>987</v>
      </c>
    </row>
    <row r="63" spans="1:26" s="712" customFormat="1" ht="24" customHeight="1">
      <c r="A63" s="2775"/>
      <c r="B63" s="2783"/>
      <c r="C63" s="2752"/>
      <c r="D63" s="2752"/>
      <c r="E63" s="1027" t="s">
        <v>983</v>
      </c>
      <c r="F63" s="791"/>
      <c r="G63" s="740">
        <v>8</v>
      </c>
      <c r="H63" s="742">
        <v>83</v>
      </c>
      <c r="I63" s="742">
        <v>87</v>
      </c>
      <c r="J63" s="742">
        <f t="shared" si="13"/>
        <v>89</v>
      </c>
      <c r="K63" s="742">
        <v>82</v>
      </c>
      <c r="L63" s="742">
        <v>7</v>
      </c>
      <c r="M63" s="742"/>
      <c r="N63" s="806"/>
      <c r="O63" s="23" t="s">
        <v>988</v>
      </c>
    </row>
    <row r="64" spans="1:26" s="712" customFormat="1" ht="24" customHeight="1">
      <c r="A64" s="2775"/>
      <c r="B64" s="2783"/>
      <c r="C64" s="2752"/>
      <c r="D64" s="2752"/>
      <c r="E64" s="1027" t="s">
        <v>984</v>
      </c>
      <c r="F64" s="791"/>
      <c r="G64" s="740">
        <v>16</v>
      </c>
      <c r="H64" s="742">
        <v>195</v>
      </c>
      <c r="I64" s="742">
        <v>182</v>
      </c>
      <c r="J64" s="742">
        <f t="shared" si="13"/>
        <v>197</v>
      </c>
      <c r="K64" s="742">
        <v>181</v>
      </c>
      <c r="L64" s="742">
        <v>16</v>
      </c>
      <c r="M64" s="742"/>
      <c r="N64" s="806"/>
      <c r="O64" s="23" t="s">
        <v>966</v>
      </c>
    </row>
    <row r="65" spans="1:17" s="712" customFormat="1" ht="24" customHeight="1">
      <c r="A65" s="2775"/>
      <c r="B65" s="2783"/>
      <c r="C65" s="2752"/>
      <c r="D65" s="1021" t="s">
        <v>989</v>
      </c>
      <c r="E65" s="1027" t="s">
        <v>991</v>
      </c>
      <c r="F65" s="791"/>
      <c r="G65" s="740">
        <v>16</v>
      </c>
      <c r="H65" s="742">
        <v>190</v>
      </c>
      <c r="I65" s="742">
        <v>188</v>
      </c>
      <c r="J65" s="742">
        <f t="shared" si="13"/>
        <v>190</v>
      </c>
      <c r="K65" s="742">
        <v>184</v>
      </c>
      <c r="L65" s="742">
        <v>6</v>
      </c>
      <c r="M65" s="742"/>
      <c r="N65" s="806"/>
      <c r="O65" s="23" t="s">
        <v>966</v>
      </c>
    </row>
    <row r="66" spans="1:17" s="712" customFormat="1" ht="24" customHeight="1">
      <c r="A66" s="2775"/>
      <c r="B66" s="2783"/>
      <c r="C66" s="2752"/>
      <c r="D66" s="1021" t="s">
        <v>990</v>
      </c>
      <c r="E66" s="1027" t="s">
        <v>992</v>
      </c>
      <c r="F66" s="791"/>
      <c r="G66" s="740"/>
      <c r="H66" s="741"/>
      <c r="I66" s="742"/>
      <c r="J66" s="742"/>
      <c r="K66" s="742"/>
      <c r="L66" s="742"/>
      <c r="M66" s="742"/>
      <c r="N66" s="806"/>
      <c r="O66" s="23" t="s">
        <v>966</v>
      </c>
    </row>
    <row r="67" spans="1:17" ht="24" customHeight="1">
      <c r="A67" s="2776"/>
      <c r="B67" s="2784"/>
      <c r="C67" s="2785"/>
      <c r="D67" s="1028" t="s">
        <v>985</v>
      </c>
      <c r="E67" s="1029" t="s">
        <v>986</v>
      </c>
      <c r="F67" s="819"/>
      <c r="G67" s="758"/>
      <c r="H67" s="811"/>
      <c r="I67" s="760"/>
      <c r="J67" s="760"/>
      <c r="K67" s="760"/>
      <c r="L67" s="760"/>
      <c r="M67" s="760"/>
      <c r="N67" s="808">
        <v>1</v>
      </c>
      <c r="O67" s="23" t="s">
        <v>966</v>
      </c>
      <c r="P67" s="2" t="s">
        <v>12</v>
      </c>
    </row>
    <row r="68" spans="1:17">
      <c r="O68" s="24"/>
    </row>
    <row r="69" spans="1:17" ht="24" customHeight="1">
      <c r="A69" s="2638" t="s">
        <v>844</v>
      </c>
      <c r="B69" s="2638"/>
      <c r="C69" s="2638"/>
      <c r="D69" s="2638"/>
      <c r="E69" s="2638"/>
      <c r="F69" s="3"/>
      <c r="O69" s="24"/>
    </row>
    <row r="70" spans="1:17" ht="39.950000000000003" customHeight="1">
      <c r="A70" s="10" t="s">
        <v>25</v>
      </c>
      <c r="B70" s="10" t="s">
        <v>26</v>
      </c>
      <c r="C70" s="11" t="s">
        <v>27</v>
      </c>
      <c r="D70" s="11" t="s">
        <v>28</v>
      </c>
      <c r="E70" s="833" t="s">
        <v>29</v>
      </c>
      <c r="F70" s="840" t="s">
        <v>1266</v>
      </c>
      <c r="G70" s="824" t="s">
        <v>1265</v>
      </c>
      <c r="H70" s="825" t="s">
        <v>1235</v>
      </c>
      <c r="I70" s="826" t="s">
        <v>909</v>
      </c>
      <c r="J70" s="826" t="s">
        <v>909</v>
      </c>
      <c r="K70" s="826" t="s">
        <v>910</v>
      </c>
      <c r="L70" s="826"/>
      <c r="M70" s="827" t="s">
        <v>187</v>
      </c>
      <c r="N70" s="828" t="s">
        <v>5</v>
      </c>
      <c r="O70" s="21"/>
    </row>
    <row r="71" spans="1:17" ht="24" customHeight="1">
      <c r="A71" s="2774" t="s">
        <v>888</v>
      </c>
      <c r="B71" s="2677" t="s">
        <v>23</v>
      </c>
      <c r="C71" s="2677"/>
      <c r="D71" s="2677"/>
      <c r="E71" s="2677"/>
      <c r="F71" s="1903">
        <f t="shared" ref="F71:K71" si="14">+F72+F96+F107</f>
        <v>0</v>
      </c>
      <c r="G71" s="1822">
        <f t="shared" si="14"/>
        <v>3216</v>
      </c>
      <c r="H71" s="1822">
        <f t="shared" si="14"/>
        <v>19189</v>
      </c>
      <c r="I71" s="1822">
        <f t="shared" si="14"/>
        <v>19035</v>
      </c>
      <c r="J71" s="1822">
        <f t="shared" si="14"/>
        <v>22173</v>
      </c>
      <c r="K71" s="1822">
        <f t="shared" si="14"/>
        <v>19007</v>
      </c>
      <c r="L71" s="1822"/>
      <c r="M71" s="1822"/>
      <c r="N71" s="1904"/>
      <c r="O71" s="20"/>
      <c r="P71" s="3"/>
      <c r="Q71" s="15"/>
    </row>
    <row r="72" spans="1:17" ht="24" customHeight="1">
      <c r="A72" s="2775"/>
      <c r="B72" s="2716" t="s">
        <v>845</v>
      </c>
      <c r="C72" s="2724" t="s">
        <v>24</v>
      </c>
      <c r="D72" s="2724"/>
      <c r="E72" s="2725"/>
      <c r="F72" s="1905">
        <f t="shared" ref="F72:G72" si="15">SUM(F73:F95)</f>
        <v>0</v>
      </c>
      <c r="G72" s="1906">
        <f t="shared" si="15"/>
        <v>1412</v>
      </c>
      <c r="H72" s="1906">
        <f>SUM(H73:H95)</f>
        <v>9941</v>
      </c>
      <c r="I72" s="1906">
        <f>SUM(I73:I95)</f>
        <v>9873</v>
      </c>
      <c r="J72" s="1906">
        <f>SUM(J73:J95)</f>
        <v>11244</v>
      </c>
      <c r="K72" s="1906">
        <f>SUM(K73:K95)</f>
        <v>9835</v>
      </c>
      <c r="L72" s="1906">
        <f>SUM(L73:L95)</f>
        <v>1409</v>
      </c>
      <c r="M72" s="1887"/>
      <c r="N72" s="1888"/>
      <c r="O72" s="20"/>
      <c r="P72" s="3"/>
      <c r="Q72" s="15"/>
    </row>
    <row r="73" spans="1:17" ht="24" customHeight="1">
      <c r="A73" s="2775"/>
      <c r="B73" s="2717"/>
      <c r="C73" s="2719" t="s">
        <v>846</v>
      </c>
      <c r="D73" s="2723" t="s">
        <v>847</v>
      </c>
      <c r="E73" s="1909" t="s">
        <v>853</v>
      </c>
      <c r="F73" s="1889"/>
      <c r="G73" s="1907">
        <v>91</v>
      </c>
      <c r="H73" s="1908">
        <v>680</v>
      </c>
      <c r="I73" s="1865">
        <v>610</v>
      </c>
      <c r="J73" s="1865">
        <f t="shared" ref="J73:J95" si="16">L73+K73</f>
        <v>693</v>
      </c>
      <c r="K73" s="1865">
        <v>607</v>
      </c>
      <c r="L73" s="1865">
        <v>86</v>
      </c>
      <c r="M73" s="1865"/>
      <c r="N73" s="1867">
        <v>1</v>
      </c>
      <c r="O73" s="20"/>
      <c r="P73" s="3"/>
      <c r="Q73" s="15"/>
    </row>
    <row r="74" spans="1:17" ht="24" customHeight="1">
      <c r="A74" s="2775"/>
      <c r="B74" s="2717"/>
      <c r="C74" s="2719"/>
      <c r="D74" s="2723"/>
      <c r="E74" s="1909" t="s">
        <v>854</v>
      </c>
      <c r="F74" s="1889"/>
      <c r="G74" s="1907">
        <v>75</v>
      </c>
      <c r="H74" s="1908">
        <v>503</v>
      </c>
      <c r="I74" s="1865">
        <v>501</v>
      </c>
      <c r="J74" s="1865">
        <f t="shared" si="16"/>
        <v>553</v>
      </c>
      <c r="K74" s="1865">
        <v>484</v>
      </c>
      <c r="L74" s="1865">
        <v>69</v>
      </c>
      <c r="M74" s="1865"/>
      <c r="N74" s="1867">
        <v>1</v>
      </c>
      <c r="O74" s="20"/>
      <c r="P74" s="3"/>
      <c r="Q74" s="15"/>
    </row>
    <row r="75" spans="1:17" ht="24" customHeight="1">
      <c r="A75" s="2775"/>
      <c r="B75" s="2717"/>
      <c r="C75" s="2719"/>
      <c r="D75" s="2723"/>
      <c r="E75" s="1909" t="s">
        <v>855</v>
      </c>
      <c r="F75" s="1889"/>
      <c r="G75" s="1907">
        <v>78</v>
      </c>
      <c r="H75" s="1908">
        <v>529</v>
      </c>
      <c r="I75" s="1865">
        <v>524</v>
      </c>
      <c r="J75" s="1865">
        <f t="shared" si="16"/>
        <v>592</v>
      </c>
      <c r="K75" s="1865">
        <v>518</v>
      </c>
      <c r="L75" s="1865">
        <v>74</v>
      </c>
      <c r="M75" s="1865"/>
      <c r="N75" s="1867">
        <v>1</v>
      </c>
      <c r="O75" s="20"/>
      <c r="P75" s="3"/>
      <c r="Q75" s="15"/>
    </row>
    <row r="76" spans="1:17" ht="24" customHeight="1">
      <c r="A76" s="2775"/>
      <c r="B76" s="2717"/>
      <c r="C76" s="2719"/>
      <c r="D76" s="2723"/>
      <c r="E76" s="1909" t="s">
        <v>852</v>
      </c>
      <c r="F76" s="1899"/>
      <c r="G76" s="1907">
        <v>167</v>
      </c>
      <c r="H76" s="1908">
        <v>1099</v>
      </c>
      <c r="I76" s="1865">
        <v>1127</v>
      </c>
      <c r="J76" s="1865">
        <f t="shared" si="16"/>
        <v>1277</v>
      </c>
      <c r="K76" s="1865">
        <v>1117</v>
      </c>
      <c r="L76" s="1865">
        <v>160</v>
      </c>
      <c r="M76" s="1865"/>
      <c r="N76" s="1867">
        <v>1</v>
      </c>
      <c r="O76" s="20"/>
      <c r="P76" s="3"/>
      <c r="Q76" s="15"/>
    </row>
    <row r="77" spans="1:17" s="712" customFormat="1" ht="24" customHeight="1">
      <c r="A77" s="2775"/>
      <c r="B77" s="2717"/>
      <c r="C77" s="2719"/>
      <c r="D77" s="2723" t="s">
        <v>848</v>
      </c>
      <c r="E77" s="1909" t="s">
        <v>851</v>
      </c>
      <c r="F77" s="1899"/>
      <c r="G77" s="1907">
        <v>75</v>
      </c>
      <c r="H77" s="1908">
        <v>489</v>
      </c>
      <c r="I77" s="1865">
        <v>500</v>
      </c>
      <c r="J77" s="1865">
        <f t="shared" si="16"/>
        <v>575</v>
      </c>
      <c r="K77" s="1865">
        <v>503</v>
      </c>
      <c r="L77" s="1865">
        <v>72</v>
      </c>
      <c r="M77" s="1865"/>
      <c r="N77" s="1867"/>
      <c r="O77" s="20"/>
      <c r="P77" s="3"/>
      <c r="Q77" s="15"/>
    </row>
    <row r="78" spans="1:17" s="712" customFormat="1" ht="24" customHeight="1">
      <c r="A78" s="2775"/>
      <c r="B78" s="2717"/>
      <c r="C78" s="2719"/>
      <c r="D78" s="2723"/>
      <c r="E78" s="1909" t="s">
        <v>849</v>
      </c>
      <c r="F78" s="1899"/>
      <c r="G78" s="1907">
        <v>27</v>
      </c>
      <c r="H78" s="1908">
        <v>172</v>
      </c>
      <c r="I78" s="1865">
        <v>184</v>
      </c>
      <c r="J78" s="1865">
        <f t="shared" si="16"/>
        <v>213</v>
      </c>
      <c r="K78" s="1865">
        <v>186</v>
      </c>
      <c r="L78" s="1865">
        <v>27</v>
      </c>
      <c r="M78" s="1865"/>
      <c r="N78" s="1867"/>
      <c r="O78" s="20"/>
      <c r="P78" s="3"/>
      <c r="Q78" s="15"/>
    </row>
    <row r="79" spans="1:17" s="712" customFormat="1" ht="24" customHeight="1">
      <c r="A79" s="2775"/>
      <c r="B79" s="2717"/>
      <c r="C79" s="2719"/>
      <c r="D79" s="2723"/>
      <c r="E79" s="1909" t="s">
        <v>850</v>
      </c>
      <c r="F79" s="1899"/>
      <c r="G79" s="1907">
        <v>25</v>
      </c>
      <c r="H79" s="1908">
        <v>178</v>
      </c>
      <c r="I79" s="1865">
        <v>171</v>
      </c>
      <c r="J79" s="1865">
        <f t="shared" si="16"/>
        <v>192</v>
      </c>
      <c r="K79" s="1865">
        <v>168</v>
      </c>
      <c r="L79" s="1865">
        <v>24</v>
      </c>
      <c r="M79" s="1865"/>
      <c r="N79" s="1867"/>
      <c r="O79" s="20"/>
      <c r="P79" s="3"/>
      <c r="Q79" s="15"/>
    </row>
    <row r="80" spans="1:17" s="712" customFormat="1" ht="24" customHeight="1">
      <c r="A80" s="2775"/>
      <c r="B80" s="2717"/>
      <c r="C80" s="2719"/>
      <c r="D80" s="2723"/>
      <c r="E80" s="1909" t="s">
        <v>870</v>
      </c>
      <c r="F80" s="1899"/>
      <c r="G80" s="1907">
        <v>69</v>
      </c>
      <c r="H80" s="1908">
        <v>503</v>
      </c>
      <c r="I80" s="1865">
        <v>465</v>
      </c>
      <c r="J80" s="1865">
        <f t="shared" si="16"/>
        <v>524</v>
      </c>
      <c r="K80" s="1865">
        <v>458</v>
      </c>
      <c r="L80" s="1865">
        <v>66</v>
      </c>
      <c r="M80" s="1865"/>
      <c r="N80" s="1867"/>
      <c r="O80" s="20"/>
      <c r="P80" s="3"/>
      <c r="Q80" s="15"/>
    </row>
    <row r="81" spans="1:17" s="712" customFormat="1" ht="24" customHeight="1">
      <c r="A81" s="2775"/>
      <c r="B81" s="2717"/>
      <c r="C81" s="2719"/>
      <c r="D81" s="2723"/>
      <c r="E81" s="1909" t="s">
        <v>871</v>
      </c>
      <c r="F81" s="1899"/>
      <c r="G81" s="1907">
        <v>87</v>
      </c>
      <c r="H81" s="1908">
        <v>592</v>
      </c>
      <c r="I81" s="1865">
        <v>584</v>
      </c>
      <c r="J81" s="1865">
        <f t="shared" si="16"/>
        <v>668</v>
      </c>
      <c r="K81" s="1865">
        <v>584</v>
      </c>
      <c r="L81" s="1865">
        <v>84</v>
      </c>
      <c r="M81" s="1865"/>
      <c r="N81" s="1867"/>
      <c r="O81" s="20"/>
      <c r="P81" s="3"/>
      <c r="Q81" s="15"/>
    </row>
    <row r="82" spans="1:17" s="712" customFormat="1" ht="24" customHeight="1">
      <c r="A82" s="2775"/>
      <c r="B82" s="2717"/>
      <c r="C82" s="2719"/>
      <c r="D82" s="2723"/>
      <c r="E82" s="1909" t="s">
        <v>872</v>
      </c>
      <c r="F82" s="1899"/>
      <c r="G82" s="1907">
        <v>74</v>
      </c>
      <c r="H82" s="1908">
        <v>511</v>
      </c>
      <c r="I82" s="1865">
        <v>495</v>
      </c>
      <c r="J82" s="1865">
        <f t="shared" si="16"/>
        <v>557</v>
      </c>
      <c r="K82" s="1865">
        <v>487</v>
      </c>
      <c r="L82" s="1865">
        <v>70</v>
      </c>
      <c r="M82" s="1865"/>
      <c r="N82" s="1867"/>
      <c r="O82" s="20"/>
      <c r="P82" s="3"/>
      <c r="Q82" s="15"/>
    </row>
    <row r="83" spans="1:17" s="712" customFormat="1" ht="24" customHeight="1">
      <c r="A83" s="2775"/>
      <c r="B83" s="2717"/>
      <c r="C83" s="2719"/>
      <c r="D83" s="2723"/>
      <c r="E83" s="1909" t="s">
        <v>873</v>
      </c>
      <c r="F83" s="1899"/>
      <c r="G83" s="1907">
        <v>95</v>
      </c>
      <c r="H83" s="1908">
        <v>683</v>
      </c>
      <c r="I83" s="1865">
        <v>637</v>
      </c>
      <c r="J83" s="1865">
        <f t="shared" si="16"/>
        <v>727</v>
      </c>
      <c r="K83" s="1865">
        <v>636</v>
      </c>
      <c r="L83" s="1865">
        <v>91</v>
      </c>
      <c r="M83" s="1865"/>
      <c r="N83" s="1867"/>
      <c r="O83" s="20"/>
      <c r="P83" s="3"/>
      <c r="Q83" s="15"/>
    </row>
    <row r="84" spans="1:17" s="712" customFormat="1" ht="24" customHeight="1">
      <c r="A84" s="2775"/>
      <c r="B84" s="2717"/>
      <c r="C84" s="2719"/>
      <c r="D84" s="2723"/>
      <c r="E84" s="1909" t="s">
        <v>874</v>
      </c>
      <c r="F84" s="1899"/>
      <c r="G84" s="1907">
        <v>46</v>
      </c>
      <c r="H84" s="1908">
        <v>318</v>
      </c>
      <c r="I84" s="1865">
        <v>308</v>
      </c>
      <c r="J84" s="1865">
        <f t="shared" si="16"/>
        <v>343</v>
      </c>
      <c r="K84" s="1865">
        <v>300</v>
      </c>
      <c r="L84" s="1865">
        <v>43</v>
      </c>
      <c r="M84" s="1865"/>
      <c r="N84" s="1867"/>
      <c r="O84" s="20"/>
      <c r="P84" s="3"/>
      <c r="Q84" s="15"/>
    </row>
    <row r="85" spans="1:17" s="712" customFormat="1" ht="24" customHeight="1">
      <c r="A85" s="2775"/>
      <c r="B85" s="2717"/>
      <c r="C85" s="2719"/>
      <c r="D85" s="2723"/>
      <c r="E85" s="1909" t="s">
        <v>875</v>
      </c>
      <c r="F85" s="1899"/>
      <c r="G85" s="1907">
        <v>49</v>
      </c>
      <c r="H85" s="1908">
        <v>278</v>
      </c>
      <c r="I85" s="1865">
        <v>329</v>
      </c>
      <c r="J85" s="1865">
        <f t="shared" si="16"/>
        <v>391</v>
      </c>
      <c r="K85" s="1865">
        <v>342</v>
      </c>
      <c r="L85" s="1865">
        <v>49</v>
      </c>
      <c r="M85" s="1865"/>
      <c r="N85" s="1867"/>
      <c r="O85" s="20"/>
      <c r="P85" s="3"/>
      <c r="Q85" s="15"/>
    </row>
    <row r="86" spans="1:17" s="712" customFormat="1" ht="24" customHeight="1">
      <c r="A86" s="2775"/>
      <c r="B86" s="2717"/>
      <c r="C86" s="2719"/>
      <c r="D86" s="2723"/>
      <c r="E86" s="1909" t="s">
        <v>880</v>
      </c>
      <c r="F86" s="1899"/>
      <c r="G86" s="1907">
        <v>161</v>
      </c>
      <c r="H86" s="1908">
        <v>1066</v>
      </c>
      <c r="I86" s="1865">
        <v>1088</v>
      </c>
      <c r="J86" s="1865">
        <f t="shared" si="16"/>
        <v>1249</v>
      </c>
      <c r="K86" s="1865">
        <v>1092</v>
      </c>
      <c r="L86" s="1865">
        <v>157</v>
      </c>
      <c r="M86" s="1865"/>
      <c r="N86" s="1867"/>
      <c r="O86" s="20"/>
      <c r="P86" s="3"/>
      <c r="Q86" s="15"/>
    </row>
    <row r="87" spans="1:17" ht="24" customHeight="1">
      <c r="A87" s="2775"/>
      <c r="B87" s="2717"/>
      <c r="C87" s="2719"/>
      <c r="D87" s="1866" t="s">
        <v>856</v>
      </c>
      <c r="E87" s="1909" t="s">
        <v>857</v>
      </c>
      <c r="F87" s="1899"/>
      <c r="G87" s="1907">
        <v>34</v>
      </c>
      <c r="H87" s="1908">
        <v>228</v>
      </c>
      <c r="I87" s="1865">
        <v>227</v>
      </c>
      <c r="J87" s="1865">
        <f t="shared" si="16"/>
        <v>261</v>
      </c>
      <c r="K87" s="1865">
        <v>228</v>
      </c>
      <c r="L87" s="1865">
        <v>33</v>
      </c>
      <c r="M87" s="1865"/>
      <c r="N87" s="1867">
        <v>1</v>
      </c>
      <c r="O87" s="20"/>
      <c r="P87" s="3"/>
      <c r="Q87" s="15"/>
    </row>
    <row r="88" spans="1:17" s="712" customFormat="1" ht="24" customHeight="1">
      <c r="A88" s="2775"/>
      <c r="B88" s="2717"/>
      <c r="C88" s="2719"/>
      <c r="D88" s="2723" t="s">
        <v>863</v>
      </c>
      <c r="E88" s="1909" t="s">
        <v>864</v>
      </c>
      <c r="F88" s="1899"/>
      <c r="G88" s="1907">
        <v>34</v>
      </c>
      <c r="H88" s="1908">
        <v>221</v>
      </c>
      <c r="I88" s="1865">
        <v>228</v>
      </c>
      <c r="J88" s="1865">
        <f t="shared" si="16"/>
        <v>256</v>
      </c>
      <c r="K88" s="1865">
        <v>224</v>
      </c>
      <c r="L88" s="1865">
        <v>32</v>
      </c>
      <c r="M88" s="1865"/>
      <c r="N88" s="1867"/>
      <c r="O88" s="20"/>
      <c r="P88" s="3"/>
      <c r="Q88" s="15"/>
    </row>
    <row r="89" spans="1:17" s="712" customFormat="1" ht="24" customHeight="1">
      <c r="A89" s="2775"/>
      <c r="B89" s="2717"/>
      <c r="C89" s="2719"/>
      <c r="D89" s="2723"/>
      <c r="E89" s="1909" t="s">
        <v>868</v>
      </c>
      <c r="F89" s="1899"/>
      <c r="G89" s="1907">
        <v>38</v>
      </c>
      <c r="H89" s="1908">
        <v>248</v>
      </c>
      <c r="I89" s="1865">
        <v>257</v>
      </c>
      <c r="J89" s="1865">
        <f t="shared" si="16"/>
        <v>296</v>
      </c>
      <c r="K89" s="1865">
        <v>259</v>
      </c>
      <c r="L89" s="1865">
        <v>37</v>
      </c>
      <c r="M89" s="1865"/>
      <c r="N89" s="1867"/>
      <c r="O89" s="20"/>
      <c r="P89" s="3"/>
      <c r="Q89" s="15"/>
    </row>
    <row r="90" spans="1:17" s="712" customFormat="1" ht="24" customHeight="1">
      <c r="A90" s="2775"/>
      <c r="B90" s="2717"/>
      <c r="C90" s="2719"/>
      <c r="D90" s="2723"/>
      <c r="E90" s="1909" t="s">
        <v>866</v>
      </c>
      <c r="F90" s="1899"/>
      <c r="G90" s="1907">
        <v>59</v>
      </c>
      <c r="H90" s="1908">
        <v>381</v>
      </c>
      <c r="I90" s="1865">
        <v>394</v>
      </c>
      <c r="J90" s="1865">
        <f t="shared" si="16"/>
        <v>455</v>
      </c>
      <c r="K90" s="1865">
        <v>398</v>
      </c>
      <c r="L90" s="1865">
        <v>57</v>
      </c>
      <c r="M90" s="1865"/>
      <c r="N90" s="1867"/>
      <c r="O90" s="20"/>
      <c r="P90" s="3"/>
      <c r="Q90" s="15"/>
    </row>
    <row r="91" spans="1:17" s="712" customFormat="1" ht="24" customHeight="1">
      <c r="A91" s="2775"/>
      <c r="B91" s="2717"/>
      <c r="C91" s="2719"/>
      <c r="D91" s="2723" t="s">
        <v>876</v>
      </c>
      <c r="E91" s="1909" t="s">
        <v>1224</v>
      </c>
      <c r="F91" s="1899"/>
      <c r="G91" s="1907">
        <v>19</v>
      </c>
      <c r="H91" s="1908">
        <v>120</v>
      </c>
      <c r="I91" s="1865">
        <v>128</v>
      </c>
      <c r="J91" s="1865">
        <f t="shared" si="16"/>
        <v>143</v>
      </c>
      <c r="K91" s="1865">
        <v>125</v>
      </c>
      <c r="L91" s="1865">
        <v>18</v>
      </c>
      <c r="M91" s="1865"/>
      <c r="N91" s="1867"/>
      <c r="O91" s="20"/>
      <c r="P91" s="3"/>
      <c r="Q91" s="15"/>
    </row>
    <row r="92" spans="1:17" s="712" customFormat="1" ht="24" customHeight="1">
      <c r="A92" s="2775"/>
      <c r="B92" s="2717"/>
      <c r="C92" s="2719"/>
      <c r="D92" s="2723"/>
      <c r="E92" s="1909" t="s">
        <v>877</v>
      </c>
      <c r="F92" s="1899"/>
      <c r="G92" s="1907">
        <v>38</v>
      </c>
      <c r="H92" s="1908">
        <v>653</v>
      </c>
      <c r="I92" s="1865">
        <v>641</v>
      </c>
      <c r="J92" s="1865">
        <f t="shared" si="16"/>
        <v>727</v>
      </c>
      <c r="K92" s="1865">
        <v>636</v>
      </c>
      <c r="L92" s="1865">
        <v>91</v>
      </c>
      <c r="M92" s="1865"/>
      <c r="N92" s="1867"/>
      <c r="O92" s="20"/>
      <c r="P92" s="3"/>
      <c r="Q92" s="15"/>
    </row>
    <row r="93" spans="1:17" s="712" customFormat="1" ht="24" customHeight="1">
      <c r="A93" s="2775"/>
      <c r="B93" s="2717"/>
      <c r="C93" s="2719"/>
      <c r="D93" s="2723"/>
      <c r="E93" s="1909" t="s">
        <v>878</v>
      </c>
      <c r="F93" s="1899"/>
      <c r="G93" s="1907">
        <v>37</v>
      </c>
      <c r="H93" s="1908">
        <v>256</v>
      </c>
      <c r="I93" s="1865">
        <v>249</v>
      </c>
      <c r="J93" s="1865">
        <f t="shared" si="16"/>
        <v>290</v>
      </c>
      <c r="K93" s="1865">
        <v>254</v>
      </c>
      <c r="L93" s="1865">
        <v>36</v>
      </c>
      <c r="M93" s="1865"/>
      <c r="N93" s="1867"/>
      <c r="O93" s="20"/>
      <c r="P93" s="3"/>
      <c r="Q93" s="15"/>
    </row>
    <row r="94" spans="1:17" s="712" customFormat="1" ht="24" customHeight="1">
      <c r="A94" s="2775"/>
      <c r="B94" s="2717"/>
      <c r="C94" s="2719"/>
      <c r="D94" s="2723"/>
      <c r="E94" s="1909" t="s">
        <v>879</v>
      </c>
      <c r="F94" s="1899"/>
      <c r="G94" s="1907">
        <v>15</v>
      </c>
      <c r="H94" s="1908">
        <v>99</v>
      </c>
      <c r="I94" s="1865">
        <v>100</v>
      </c>
      <c r="J94" s="1865">
        <f t="shared" si="16"/>
        <v>120</v>
      </c>
      <c r="K94" s="1865">
        <v>105</v>
      </c>
      <c r="L94" s="1865">
        <v>15</v>
      </c>
      <c r="M94" s="1865"/>
      <c r="N94" s="1867"/>
      <c r="O94" s="20"/>
      <c r="P94" s="3"/>
      <c r="Q94" s="15"/>
    </row>
    <row r="95" spans="1:17" s="712" customFormat="1" ht="24" customHeight="1">
      <c r="A95" s="2775"/>
      <c r="B95" s="2718"/>
      <c r="C95" s="2720"/>
      <c r="D95" s="1871" t="s">
        <v>1225</v>
      </c>
      <c r="E95" s="1897" t="s">
        <v>1226</v>
      </c>
      <c r="F95" s="1900"/>
      <c r="G95" s="1901">
        <v>19</v>
      </c>
      <c r="H95" s="1902">
        <v>134</v>
      </c>
      <c r="I95" s="1870">
        <v>126</v>
      </c>
      <c r="J95" s="1870">
        <f t="shared" si="16"/>
        <v>142</v>
      </c>
      <c r="K95" s="1870">
        <v>124</v>
      </c>
      <c r="L95" s="1870">
        <v>18</v>
      </c>
      <c r="M95" s="1870"/>
      <c r="N95" s="1872">
        <v>1</v>
      </c>
      <c r="O95" s="20"/>
      <c r="P95" s="3"/>
      <c r="Q95" s="15"/>
    </row>
    <row r="96" spans="1:17" ht="24" customHeight="1">
      <c r="A96" s="2775"/>
      <c r="B96" s="2716" t="s">
        <v>858</v>
      </c>
      <c r="C96" s="2724" t="s">
        <v>24</v>
      </c>
      <c r="D96" s="2724"/>
      <c r="E96" s="2725"/>
      <c r="F96" s="1886">
        <f t="shared" ref="F96:G96" si="17">SUM(F97:F106)</f>
        <v>0</v>
      </c>
      <c r="G96" s="1887">
        <f t="shared" si="17"/>
        <v>518</v>
      </c>
      <c r="H96" s="1887">
        <f>SUM(H97:H106)</f>
        <v>3432</v>
      </c>
      <c r="I96" s="1887">
        <f>SUM(I97:I106)</f>
        <v>3473</v>
      </c>
      <c r="J96" s="1887">
        <f>SUM(J97:J106)</f>
        <v>3979</v>
      </c>
      <c r="K96" s="1887">
        <f>SUM(K97:K106)</f>
        <v>3479</v>
      </c>
      <c r="L96" s="1887"/>
      <c r="M96" s="1898"/>
      <c r="N96" s="1888"/>
      <c r="O96" s="20"/>
      <c r="P96" s="3"/>
      <c r="Q96" s="15"/>
    </row>
    <row r="97" spans="1:17" s="712" customFormat="1" ht="24" customHeight="1">
      <c r="A97" s="2775"/>
      <c r="B97" s="2717"/>
      <c r="C97" s="2719" t="s">
        <v>846</v>
      </c>
      <c r="D97" s="2714" t="s">
        <v>859</v>
      </c>
      <c r="E97" s="1853" t="s">
        <v>860</v>
      </c>
      <c r="F97" s="1899">
        <v>0</v>
      </c>
      <c r="G97" s="1866">
        <v>34</v>
      </c>
      <c r="H97" s="1891">
        <v>221</v>
      </c>
      <c r="I97" s="1866">
        <v>227</v>
      </c>
      <c r="J97" s="1866">
        <f t="shared" ref="J97:J106" si="18">L97+K97</f>
        <v>262</v>
      </c>
      <c r="K97" s="1866">
        <v>229</v>
      </c>
      <c r="L97" s="1866">
        <v>33</v>
      </c>
      <c r="M97" s="1866"/>
      <c r="N97" s="1892"/>
      <c r="O97" s="20"/>
      <c r="P97" s="3"/>
      <c r="Q97" s="15"/>
    </row>
    <row r="98" spans="1:17" s="712" customFormat="1" ht="24" customHeight="1">
      <c r="A98" s="2775"/>
      <c r="B98" s="2717"/>
      <c r="C98" s="2719"/>
      <c r="D98" s="2714"/>
      <c r="E98" s="1853" t="s">
        <v>861</v>
      </c>
      <c r="F98" s="1899">
        <v>0</v>
      </c>
      <c r="G98" s="1866">
        <v>21</v>
      </c>
      <c r="H98" s="1891">
        <v>140</v>
      </c>
      <c r="I98" s="1866">
        <v>141</v>
      </c>
      <c r="J98" s="1866">
        <f t="shared" si="18"/>
        <v>158</v>
      </c>
      <c r="K98" s="1866">
        <v>138</v>
      </c>
      <c r="L98" s="1866">
        <v>20</v>
      </c>
      <c r="M98" s="1866"/>
      <c r="N98" s="1892"/>
      <c r="O98" s="20"/>
      <c r="P98" s="3"/>
      <c r="Q98" s="15"/>
    </row>
    <row r="99" spans="1:17" s="712" customFormat="1" ht="24" customHeight="1">
      <c r="A99" s="2775"/>
      <c r="B99" s="2717"/>
      <c r="C99" s="2719"/>
      <c r="D99" s="2714"/>
      <c r="E99" s="1853" t="s">
        <v>862</v>
      </c>
      <c r="F99" s="1899">
        <v>0</v>
      </c>
      <c r="G99" s="1866">
        <v>17</v>
      </c>
      <c r="H99" s="1891">
        <v>110</v>
      </c>
      <c r="I99" s="1866">
        <v>112</v>
      </c>
      <c r="J99" s="1866">
        <f t="shared" si="18"/>
        <v>134</v>
      </c>
      <c r="K99" s="1866">
        <v>117</v>
      </c>
      <c r="L99" s="1866">
        <v>17</v>
      </c>
      <c r="M99" s="1866"/>
      <c r="N99" s="1892"/>
      <c r="O99" s="20"/>
      <c r="P99" s="3"/>
      <c r="Q99" s="15"/>
    </row>
    <row r="100" spans="1:17" s="712" customFormat="1" ht="24" customHeight="1">
      <c r="A100" s="2775"/>
      <c r="B100" s="2717"/>
      <c r="C100" s="2719"/>
      <c r="D100" s="2714" t="s">
        <v>863</v>
      </c>
      <c r="E100" s="1853" t="s">
        <v>869</v>
      </c>
      <c r="F100" s="1899">
        <v>0</v>
      </c>
      <c r="G100" s="1866">
        <v>24</v>
      </c>
      <c r="H100" s="1891">
        <v>157</v>
      </c>
      <c r="I100" s="1866">
        <v>160</v>
      </c>
      <c r="J100" s="1866">
        <f t="shared" si="18"/>
        <v>181</v>
      </c>
      <c r="K100" s="1866">
        <v>158</v>
      </c>
      <c r="L100" s="1866">
        <v>23</v>
      </c>
      <c r="M100" s="1866"/>
      <c r="N100" s="1892"/>
      <c r="O100" s="20"/>
      <c r="P100" s="3"/>
      <c r="Q100" s="15"/>
    </row>
    <row r="101" spans="1:17" s="712" customFormat="1" ht="24" customHeight="1">
      <c r="A101" s="2775"/>
      <c r="B101" s="2717"/>
      <c r="C101" s="2719"/>
      <c r="D101" s="2714"/>
      <c r="E101" s="1853" t="s">
        <v>867</v>
      </c>
      <c r="F101" s="1899">
        <v>0</v>
      </c>
      <c r="G101" s="1866">
        <v>63</v>
      </c>
      <c r="H101" s="1891">
        <v>425</v>
      </c>
      <c r="I101" s="1866">
        <v>422</v>
      </c>
      <c r="J101" s="1866">
        <f t="shared" si="18"/>
        <v>479</v>
      </c>
      <c r="K101" s="1866">
        <v>419</v>
      </c>
      <c r="L101" s="1866">
        <v>60</v>
      </c>
      <c r="M101" s="1866"/>
      <c r="N101" s="1892"/>
      <c r="O101" s="20"/>
      <c r="P101" s="3"/>
      <c r="Q101" s="15"/>
    </row>
    <row r="102" spans="1:17" s="712" customFormat="1" ht="24" customHeight="1">
      <c r="A102" s="2775"/>
      <c r="B102" s="2717"/>
      <c r="C102" s="2719"/>
      <c r="D102" s="2714"/>
      <c r="E102" s="1853" t="s">
        <v>865</v>
      </c>
      <c r="F102" s="1899">
        <v>0</v>
      </c>
      <c r="G102" s="1866">
        <v>41</v>
      </c>
      <c r="H102" s="1891">
        <v>284</v>
      </c>
      <c r="I102" s="1866">
        <v>275</v>
      </c>
      <c r="J102" s="1866">
        <f t="shared" si="18"/>
        <v>304</v>
      </c>
      <c r="K102" s="1866">
        <v>266</v>
      </c>
      <c r="L102" s="1866">
        <v>38</v>
      </c>
      <c r="M102" s="1866"/>
      <c r="N102" s="1892"/>
      <c r="O102" s="20"/>
      <c r="P102" s="3"/>
      <c r="Q102" s="15"/>
    </row>
    <row r="103" spans="1:17" s="712" customFormat="1" ht="24" customHeight="1">
      <c r="A103" s="2775"/>
      <c r="B103" s="2717"/>
      <c r="C103" s="2719"/>
      <c r="D103" s="2714" t="s">
        <v>881</v>
      </c>
      <c r="E103" s="1853" t="s">
        <v>882</v>
      </c>
      <c r="F103" s="1899">
        <v>0</v>
      </c>
      <c r="G103" s="1866">
        <v>40</v>
      </c>
      <c r="H103" s="1891">
        <v>279</v>
      </c>
      <c r="I103" s="1866">
        <v>268</v>
      </c>
      <c r="J103" s="1866">
        <f t="shared" si="18"/>
        <v>298</v>
      </c>
      <c r="K103" s="1866">
        <v>261</v>
      </c>
      <c r="L103" s="1866">
        <v>37</v>
      </c>
      <c r="M103" s="1866"/>
      <c r="N103" s="1892"/>
      <c r="O103" s="20"/>
      <c r="P103" s="3"/>
      <c r="Q103" s="15"/>
    </row>
    <row r="104" spans="1:17" s="712" customFormat="1" ht="24" customHeight="1">
      <c r="A104" s="2775"/>
      <c r="B104" s="2717"/>
      <c r="C104" s="2719"/>
      <c r="D104" s="2714"/>
      <c r="E104" s="1853" t="s">
        <v>883</v>
      </c>
      <c r="F104" s="1899">
        <v>0</v>
      </c>
      <c r="G104" s="1866">
        <v>9</v>
      </c>
      <c r="H104" s="1891">
        <v>77</v>
      </c>
      <c r="I104" s="1866">
        <v>63</v>
      </c>
      <c r="J104" s="1866">
        <f t="shared" si="18"/>
        <v>81</v>
      </c>
      <c r="K104" s="1866">
        <v>71</v>
      </c>
      <c r="L104" s="1866">
        <v>10</v>
      </c>
      <c r="M104" s="1866"/>
      <c r="N104" s="1892"/>
      <c r="O104" s="20"/>
      <c r="P104" s="3"/>
      <c r="Q104" s="15"/>
    </row>
    <row r="105" spans="1:17" s="712" customFormat="1" ht="24" customHeight="1">
      <c r="A105" s="2775"/>
      <c r="B105" s="2717"/>
      <c r="C105" s="2719"/>
      <c r="D105" s="2714"/>
      <c r="E105" s="1853" t="s">
        <v>884</v>
      </c>
      <c r="F105" s="1899">
        <v>0</v>
      </c>
      <c r="G105" s="1866">
        <v>111</v>
      </c>
      <c r="H105" s="1891">
        <v>713</v>
      </c>
      <c r="I105" s="1866">
        <v>742</v>
      </c>
      <c r="J105" s="1866">
        <f t="shared" si="18"/>
        <v>866</v>
      </c>
      <c r="K105" s="1866">
        <v>757</v>
      </c>
      <c r="L105" s="1866">
        <v>109</v>
      </c>
      <c r="M105" s="1866"/>
      <c r="N105" s="1892"/>
      <c r="O105" s="20"/>
      <c r="P105" s="3"/>
      <c r="Q105" s="15"/>
    </row>
    <row r="106" spans="1:17" ht="24" customHeight="1">
      <c r="A106" s="2775"/>
      <c r="B106" s="2718"/>
      <c r="C106" s="2720"/>
      <c r="D106" s="2715"/>
      <c r="E106" s="1897" t="s">
        <v>885</v>
      </c>
      <c r="F106" s="1900">
        <v>0</v>
      </c>
      <c r="G106" s="1901">
        <v>158</v>
      </c>
      <c r="H106" s="1902">
        <v>1026</v>
      </c>
      <c r="I106" s="1870">
        <v>1063</v>
      </c>
      <c r="J106" s="1870">
        <f t="shared" si="18"/>
        <v>1216</v>
      </c>
      <c r="K106" s="1870">
        <v>1063</v>
      </c>
      <c r="L106" s="1870">
        <v>153</v>
      </c>
      <c r="M106" s="1870"/>
      <c r="N106" s="1872">
        <v>1</v>
      </c>
      <c r="O106" s="20"/>
      <c r="P106" s="3"/>
      <c r="Q106" s="15"/>
    </row>
    <row r="107" spans="1:17" ht="24" customHeight="1">
      <c r="A107" s="2775"/>
      <c r="B107" s="2716" t="s">
        <v>886</v>
      </c>
      <c r="C107" s="2724" t="s">
        <v>24</v>
      </c>
      <c r="D107" s="2724"/>
      <c r="E107" s="2725"/>
      <c r="F107" s="1886">
        <f t="shared" ref="F107:G107" si="19">SUM(F108:F127)</f>
        <v>0</v>
      </c>
      <c r="G107" s="1887">
        <f t="shared" si="19"/>
        <v>1286</v>
      </c>
      <c r="H107" s="1887">
        <f>SUM(H108:H127)</f>
        <v>5816</v>
      </c>
      <c r="I107" s="1887">
        <f>SUM(I108:I127)</f>
        <v>5689</v>
      </c>
      <c r="J107" s="1887">
        <f>SUM(J108:J127)</f>
        <v>6950</v>
      </c>
      <c r="K107" s="1887">
        <f>SUM(K108:K127)</f>
        <v>5693</v>
      </c>
      <c r="L107" s="1887">
        <f>SUM(L108:L127)</f>
        <v>1257</v>
      </c>
      <c r="M107" s="1887"/>
      <c r="N107" s="1888"/>
      <c r="O107" s="20"/>
      <c r="P107" s="3"/>
    </row>
    <row r="108" spans="1:17" s="712" customFormat="1" ht="24" customHeight="1">
      <c r="A108" s="2775"/>
      <c r="B108" s="2717"/>
      <c r="C108" s="2714" t="s">
        <v>887</v>
      </c>
      <c r="D108" s="2714" t="s">
        <v>889</v>
      </c>
      <c r="E108" s="1853" t="s">
        <v>896</v>
      </c>
      <c r="F108" s="1889"/>
      <c r="G108" s="1890">
        <v>186</v>
      </c>
      <c r="H108" s="1891">
        <v>857</v>
      </c>
      <c r="I108" s="1890">
        <v>826</v>
      </c>
      <c r="J108" s="1890">
        <f t="shared" ref="J108:J127" si="20">L108+K108</f>
        <v>1033</v>
      </c>
      <c r="K108" s="1890">
        <v>845</v>
      </c>
      <c r="L108" s="1890">
        <v>188</v>
      </c>
      <c r="M108" s="1890"/>
      <c r="N108" s="1892"/>
      <c r="O108" s="20"/>
      <c r="P108" s="3"/>
    </row>
    <row r="109" spans="1:17" s="712" customFormat="1" ht="24" customHeight="1">
      <c r="A109" s="2775"/>
      <c r="B109" s="2717"/>
      <c r="C109" s="2714"/>
      <c r="D109" s="2714"/>
      <c r="E109" s="1853" t="s">
        <v>890</v>
      </c>
      <c r="F109" s="1889"/>
      <c r="G109" s="1890">
        <v>78</v>
      </c>
      <c r="H109" s="1891">
        <v>341</v>
      </c>
      <c r="I109" s="1890">
        <v>346</v>
      </c>
      <c r="J109" s="1890">
        <f t="shared" si="20"/>
        <v>407</v>
      </c>
      <c r="K109" s="1890">
        <v>333</v>
      </c>
      <c r="L109" s="1890">
        <v>74</v>
      </c>
      <c r="M109" s="1890"/>
      <c r="N109" s="1892"/>
      <c r="O109" s="20"/>
      <c r="P109" s="3"/>
    </row>
    <row r="110" spans="1:17" s="712" customFormat="1" ht="24" customHeight="1">
      <c r="A110" s="2775"/>
      <c r="B110" s="2717"/>
      <c r="C110" s="2714"/>
      <c r="D110" s="2714"/>
      <c r="E110" s="1853" t="s">
        <v>891</v>
      </c>
      <c r="F110" s="1889"/>
      <c r="G110" s="1890">
        <v>52</v>
      </c>
      <c r="H110" s="1891">
        <v>260</v>
      </c>
      <c r="I110" s="1890">
        <v>228</v>
      </c>
      <c r="J110" s="1890">
        <f t="shared" si="20"/>
        <v>275</v>
      </c>
      <c r="K110" s="1890">
        <v>225</v>
      </c>
      <c r="L110" s="1890">
        <v>50</v>
      </c>
      <c r="M110" s="1890"/>
      <c r="N110" s="1892"/>
      <c r="O110" s="20"/>
      <c r="P110" s="3"/>
    </row>
    <row r="111" spans="1:17" s="712" customFormat="1" ht="24" customHeight="1">
      <c r="A111" s="2775"/>
      <c r="B111" s="2717"/>
      <c r="C111" s="2714"/>
      <c r="D111" s="2714"/>
      <c r="E111" s="1853" t="s">
        <v>892</v>
      </c>
      <c r="F111" s="1889"/>
      <c r="G111" s="1890">
        <v>72</v>
      </c>
      <c r="H111" s="1891">
        <v>336</v>
      </c>
      <c r="I111" s="1890">
        <v>318</v>
      </c>
      <c r="J111" s="1890">
        <f t="shared" si="20"/>
        <v>366</v>
      </c>
      <c r="K111" s="1890">
        <v>300</v>
      </c>
      <c r="L111" s="1890">
        <v>66</v>
      </c>
      <c r="M111" s="1890"/>
      <c r="N111" s="1892"/>
      <c r="O111" s="20"/>
      <c r="P111" s="3"/>
    </row>
    <row r="112" spans="1:17" s="712" customFormat="1" ht="24" customHeight="1">
      <c r="A112" s="2775"/>
      <c r="B112" s="2717"/>
      <c r="C112" s="2714"/>
      <c r="D112" s="2714"/>
      <c r="E112" s="1853" t="s">
        <v>893</v>
      </c>
      <c r="F112" s="1889"/>
      <c r="G112" s="1890">
        <v>89</v>
      </c>
      <c r="H112" s="1891">
        <v>381</v>
      </c>
      <c r="I112" s="1890">
        <v>395</v>
      </c>
      <c r="J112" s="1890">
        <f t="shared" si="20"/>
        <v>520</v>
      </c>
      <c r="K112" s="1890">
        <v>426</v>
      </c>
      <c r="L112" s="1890">
        <v>94</v>
      </c>
      <c r="M112" s="1890"/>
      <c r="N112" s="1892"/>
      <c r="O112" s="20"/>
      <c r="P112" s="3"/>
    </row>
    <row r="113" spans="1:16" s="712" customFormat="1" ht="24" customHeight="1">
      <c r="A113" s="2775"/>
      <c r="B113" s="2717"/>
      <c r="C113" s="2714"/>
      <c r="D113" s="2714"/>
      <c r="E113" s="1853" t="s">
        <v>894</v>
      </c>
      <c r="F113" s="1889"/>
      <c r="G113" s="1890">
        <v>50</v>
      </c>
      <c r="H113" s="1891">
        <v>232</v>
      </c>
      <c r="I113" s="1890">
        <v>223</v>
      </c>
      <c r="J113" s="1890">
        <f t="shared" si="20"/>
        <v>278</v>
      </c>
      <c r="K113" s="1890">
        <v>228</v>
      </c>
      <c r="L113" s="1890">
        <v>50</v>
      </c>
      <c r="M113" s="1890"/>
      <c r="N113" s="1892"/>
      <c r="O113" s="20"/>
      <c r="P113" s="3"/>
    </row>
    <row r="114" spans="1:16" s="712" customFormat="1" ht="24" customHeight="1">
      <c r="A114" s="2775"/>
      <c r="B114" s="2717"/>
      <c r="C114" s="2714"/>
      <c r="D114" s="2714"/>
      <c r="E114" s="1853" t="s">
        <v>895</v>
      </c>
      <c r="F114" s="1889"/>
      <c r="G114" s="1890">
        <v>19</v>
      </c>
      <c r="H114" s="1891">
        <v>89</v>
      </c>
      <c r="I114" s="1890">
        <v>82</v>
      </c>
      <c r="J114" s="1890">
        <f t="shared" si="20"/>
        <v>94</v>
      </c>
      <c r="K114" s="1890">
        <v>77</v>
      </c>
      <c r="L114" s="1890">
        <v>17</v>
      </c>
      <c r="M114" s="1890"/>
      <c r="N114" s="1892"/>
      <c r="O114" s="20"/>
      <c r="P114" s="3"/>
    </row>
    <row r="115" spans="1:16" s="712" customFormat="1" ht="24" customHeight="1">
      <c r="A115" s="2775"/>
      <c r="B115" s="2717"/>
      <c r="C115" s="2714"/>
      <c r="D115" s="2714"/>
      <c r="E115" s="1853" t="s">
        <v>1272</v>
      </c>
      <c r="F115" s="1889"/>
      <c r="G115" s="1890">
        <v>67</v>
      </c>
      <c r="H115" s="1891">
        <v>285</v>
      </c>
      <c r="I115" s="1890">
        <v>297</v>
      </c>
      <c r="J115" s="1890">
        <f t="shared" si="20"/>
        <v>341</v>
      </c>
      <c r="K115" s="1890">
        <v>279</v>
      </c>
      <c r="L115" s="1890">
        <v>62</v>
      </c>
      <c r="M115" s="1890"/>
      <c r="N115" s="1892"/>
      <c r="O115" s="20"/>
      <c r="P115" s="3"/>
    </row>
    <row r="116" spans="1:16" s="712" customFormat="1" ht="24" customHeight="1">
      <c r="A116" s="2775"/>
      <c r="B116" s="2717"/>
      <c r="C116" s="2714"/>
      <c r="D116" s="2714"/>
      <c r="E116" s="1853" t="s">
        <v>897</v>
      </c>
      <c r="F116" s="1889"/>
      <c r="G116" s="1890">
        <v>76</v>
      </c>
      <c r="H116" s="1891">
        <v>338</v>
      </c>
      <c r="I116" s="1890">
        <v>334</v>
      </c>
      <c r="J116" s="1890">
        <f t="shared" si="20"/>
        <v>394</v>
      </c>
      <c r="K116" s="1890">
        <v>323</v>
      </c>
      <c r="L116" s="1890">
        <v>71</v>
      </c>
      <c r="M116" s="1890"/>
      <c r="N116" s="1892"/>
      <c r="O116" s="20"/>
      <c r="P116" s="3"/>
    </row>
    <row r="117" spans="1:16" s="712" customFormat="1" ht="24" customHeight="1">
      <c r="A117" s="2775"/>
      <c r="B117" s="2717"/>
      <c r="C117" s="2714"/>
      <c r="D117" s="2714"/>
      <c r="E117" s="1853" t="s">
        <v>1273</v>
      </c>
      <c r="F117" s="1889"/>
      <c r="G117" s="1890">
        <v>185</v>
      </c>
      <c r="H117" s="1891">
        <v>808</v>
      </c>
      <c r="I117" s="1890">
        <v>821</v>
      </c>
      <c r="J117" s="1890">
        <f t="shared" si="20"/>
        <v>1029</v>
      </c>
      <c r="K117" s="1890">
        <v>843</v>
      </c>
      <c r="L117" s="1890">
        <v>186</v>
      </c>
      <c r="M117" s="1890"/>
      <c r="N117" s="1892"/>
      <c r="O117" s="20"/>
      <c r="P117" s="3"/>
    </row>
    <row r="118" spans="1:16" s="712" customFormat="1" ht="24" customHeight="1">
      <c r="A118" s="2775"/>
      <c r="B118" s="2717"/>
      <c r="C118" s="2714"/>
      <c r="D118" s="2714" t="s">
        <v>898</v>
      </c>
      <c r="E118" s="1853" t="s">
        <v>2220</v>
      </c>
      <c r="F118" s="1889"/>
      <c r="G118" s="1879">
        <v>54</v>
      </c>
      <c r="H118" s="1866">
        <v>253</v>
      </c>
      <c r="I118" s="1866">
        <v>237</v>
      </c>
      <c r="J118" s="1866">
        <f>L118+K118</f>
        <v>291</v>
      </c>
      <c r="K118" s="1866">
        <v>238</v>
      </c>
      <c r="L118" s="1866">
        <v>53</v>
      </c>
      <c r="M118" s="1890"/>
      <c r="N118" s="1892"/>
      <c r="O118" s="20"/>
      <c r="P118" s="3"/>
    </row>
    <row r="119" spans="1:16" s="712" customFormat="1" ht="24" customHeight="1">
      <c r="A119" s="2775"/>
      <c r="B119" s="2717"/>
      <c r="C119" s="2714"/>
      <c r="D119" s="2714"/>
      <c r="E119" s="1853" t="s">
        <v>899</v>
      </c>
      <c r="F119" s="1889"/>
      <c r="G119" s="1890">
        <v>34</v>
      </c>
      <c r="H119" s="1891">
        <v>166</v>
      </c>
      <c r="I119" s="1890">
        <v>150</v>
      </c>
      <c r="J119" s="1890">
        <f t="shared" si="20"/>
        <v>183</v>
      </c>
      <c r="K119" s="1890">
        <v>150</v>
      </c>
      <c r="L119" s="1890">
        <v>33</v>
      </c>
      <c r="M119" s="1890"/>
      <c r="N119" s="1892"/>
      <c r="O119" s="20"/>
      <c r="P119" s="3"/>
    </row>
    <row r="120" spans="1:16" s="712" customFormat="1" ht="24" customHeight="1">
      <c r="A120" s="2775"/>
      <c r="B120" s="2717"/>
      <c r="C120" s="2714"/>
      <c r="D120" s="2714" t="s">
        <v>900</v>
      </c>
      <c r="E120" s="1853" t="s">
        <v>901</v>
      </c>
      <c r="F120" s="1889"/>
      <c r="G120" s="1890">
        <v>54</v>
      </c>
      <c r="H120" s="1891">
        <v>254</v>
      </c>
      <c r="I120" s="1890">
        <v>240</v>
      </c>
      <c r="J120" s="1890">
        <f t="shared" si="20"/>
        <v>294</v>
      </c>
      <c r="K120" s="1890">
        <v>241</v>
      </c>
      <c r="L120" s="1890">
        <v>53</v>
      </c>
      <c r="M120" s="1890"/>
      <c r="N120" s="1892"/>
      <c r="O120" s="20"/>
      <c r="P120" s="3"/>
    </row>
    <row r="121" spans="1:16" s="712" customFormat="1" ht="24" customHeight="1">
      <c r="A121" s="2775"/>
      <c r="B121" s="2717"/>
      <c r="C121" s="2714"/>
      <c r="D121" s="2714"/>
      <c r="E121" s="1853" t="s">
        <v>902</v>
      </c>
      <c r="F121" s="1889"/>
      <c r="G121" s="1890">
        <v>45</v>
      </c>
      <c r="H121" s="1891">
        <v>196</v>
      </c>
      <c r="I121" s="1890">
        <v>201</v>
      </c>
      <c r="J121" s="1890">
        <f t="shared" si="20"/>
        <v>243</v>
      </c>
      <c r="K121" s="1890">
        <v>199</v>
      </c>
      <c r="L121" s="1890">
        <v>44</v>
      </c>
      <c r="M121" s="1890"/>
      <c r="N121" s="1892"/>
      <c r="O121" s="20"/>
      <c r="P121" s="3"/>
    </row>
    <row r="122" spans="1:16" s="712" customFormat="1" ht="24" customHeight="1">
      <c r="A122" s="2775"/>
      <c r="B122" s="2717"/>
      <c r="C122" s="2714"/>
      <c r="D122" s="2714" t="s">
        <v>903</v>
      </c>
      <c r="E122" s="1853" t="s">
        <v>1274</v>
      </c>
      <c r="F122" s="1889"/>
      <c r="G122" s="1890">
        <v>50</v>
      </c>
      <c r="H122" s="1891">
        <v>224</v>
      </c>
      <c r="I122" s="1890">
        <v>219</v>
      </c>
      <c r="J122" s="1890">
        <f t="shared" si="20"/>
        <v>260</v>
      </c>
      <c r="K122" s="1890">
        <v>213</v>
      </c>
      <c r="L122" s="1890">
        <v>47</v>
      </c>
      <c r="M122" s="1890"/>
      <c r="N122" s="1892"/>
      <c r="O122" s="20"/>
      <c r="P122" s="3"/>
    </row>
    <row r="123" spans="1:16" s="712" customFormat="1" ht="24" customHeight="1">
      <c r="A123" s="2775"/>
      <c r="B123" s="2717"/>
      <c r="C123" s="2714"/>
      <c r="D123" s="2714"/>
      <c r="E123" s="1853" t="s">
        <v>904</v>
      </c>
      <c r="F123" s="1889"/>
      <c r="G123" s="1890">
        <v>53</v>
      </c>
      <c r="H123" s="1891">
        <v>238</v>
      </c>
      <c r="I123" s="1890">
        <v>232</v>
      </c>
      <c r="J123" s="1890">
        <f t="shared" si="20"/>
        <v>283</v>
      </c>
      <c r="K123" s="1890">
        <v>232</v>
      </c>
      <c r="L123" s="1890">
        <v>51</v>
      </c>
      <c r="M123" s="1890"/>
      <c r="N123" s="1892"/>
      <c r="O123" s="20"/>
      <c r="P123" s="3"/>
    </row>
    <row r="124" spans="1:16" s="712" customFormat="1" ht="24" customHeight="1">
      <c r="A124" s="2775"/>
      <c r="B124" s="2717"/>
      <c r="C124" s="2714"/>
      <c r="D124" s="2714" t="s">
        <v>905</v>
      </c>
      <c r="E124" s="1853" t="s">
        <v>906</v>
      </c>
      <c r="F124" s="1889"/>
      <c r="G124" s="1890">
        <v>37</v>
      </c>
      <c r="H124" s="1891">
        <v>187</v>
      </c>
      <c r="I124" s="1890">
        <v>165</v>
      </c>
      <c r="J124" s="1890">
        <f t="shared" si="20"/>
        <v>200</v>
      </c>
      <c r="K124" s="1890">
        <v>164</v>
      </c>
      <c r="L124" s="1890">
        <v>36</v>
      </c>
      <c r="M124" s="1890"/>
      <c r="N124" s="1892"/>
      <c r="O124" s="20"/>
      <c r="P124" s="3"/>
    </row>
    <row r="125" spans="1:16" s="712" customFormat="1" ht="24" customHeight="1">
      <c r="A125" s="2775"/>
      <c r="B125" s="2717"/>
      <c r="C125" s="2714"/>
      <c r="D125" s="2714"/>
      <c r="E125" s="1853" t="s">
        <v>1275</v>
      </c>
      <c r="F125" s="1889"/>
      <c r="G125" s="1890">
        <v>13</v>
      </c>
      <c r="H125" s="1891">
        <v>56</v>
      </c>
      <c r="I125" s="1890">
        <v>58</v>
      </c>
      <c r="J125" s="1890">
        <f t="shared" si="20"/>
        <v>68</v>
      </c>
      <c r="K125" s="1890">
        <v>56</v>
      </c>
      <c r="L125" s="1890">
        <v>12</v>
      </c>
      <c r="M125" s="1890"/>
      <c r="N125" s="1892"/>
      <c r="O125" s="20"/>
      <c r="P125" s="3"/>
    </row>
    <row r="126" spans="1:16" s="712" customFormat="1" ht="24" customHeight="1">
      <c r="A126" s="2775"/>
      <c r="B126" s="2717"/>
      <c r="C126" s="2714"/>
      <c r="D126" s="2714" t="s">
        <v>907</v>
      </c>
      <c r="E126" s="1853" t="s">
        <v>908</v>
      </c>
      <c r="F126" s="1889"/>
      <c r="G126" s="1890">
        <v>53</v>
      </c>
      <c r="H126" s="1891">
        <v>229</v>
      </c>
      <c r="I126" s="1890">
        <v>232</v>
      </c>
      <c r="J126" s="1890">
        <f t="shared" si="20"/>
        <v>284</v>
      </c>
      <c r="K126" s="1890">
        <v>233</v>
      </c>
      <c r="L126" s="1890">
        <v>51</v>
      </c>
      <c r="M126" s="1890"/>
      <c r="N126" s="1892"/>
      <c r="O126" s="20"/>
      <c r="P126" s="3"/>
    </row>
    <row r="127" spans="1:16" s="712" customFormat="1" ht="24" customHeight="1">
      <c r="A127" s="2776"/>
      <c r="B127" s="2718"/>
      <c r="C127" s="2715"/>
      <c r="D127" s="2715"/>
      <c r="E127" s="1856" t="s">
        <v>1276</v>
      </c>
      <c r="F127" s="1893"/>
      <c r="G127" s="1894">
        <v>19</v>
      </c>
      <c r="H127" s="1895">
        <v>86</v>
      </c>
      <c r="I127" s="1894">
        <v>85</v>
      </c>
      <c r="J127" s="1894">
        <f t="shared" si="20"/>
        <v>107</v>
      </c>
      <c r="K127" s="1894">
        <v>88</v>
      </c>
      <c r="L127" s="1894">
        <v>19</v>
      </c>
      <c r="M127" s="1894"/>
      <c r="N127" s="1896"/>
      <c r="O127" s="20"/>
      <c r="P127" s="3"/>
    </row>
    <row r="128" spans="1:16">
      <c r="G128" s="17"/>
      <c r="H128" s="17"/>
      <c r="O128" s="24"/>
    </row>
    <row r="129" spans="1:16" ht="24" customHeight="1">
      <c r="A129" s="2638" t="s">
        <v>994</v>
      </c>
      <c r="B129" s="2638"/>
      <c r="C129" s="2638"/>
      <c r="D129" s="2638"/>
      <c r="E129" s="2638"/>
      <c r="F129" s="3"/>
      <c r="G129" s="17"/>
      <c r="H129" s="17"/>
      <c r="O129" s="24"/>
    </row>
    <row r="130" spans="1:16" ht="39.950000000000003" customHeight="1">
      <c r="A130" s="803" t="s">
        <v>0</v>
      </c>
      <c r="B130" s="13" t="s">
        <v>13</v>
      </c>
      <c r="C130" s="14" t="s">
        <v>14</v>
      </c>
      <c r="D130" s="14" t="s">
        <v>15</v>
      </c>
      <c r="E130" s="823" t="s">
        <v>16</v>
      </c>
      <c r="F130" s="840" t="s">
        <v>1266</v>
      </c>
      <c r="G130" s="824" t="s">
        <v>1265</v>
      </c>
      <c r="H130" s="825" t="s">
        <v>1235</v>
      </c>
      <c r="I130" s="826" t="s">
        <v>909</v>
      </c>
      <c r="J130" s="826" t="s">
        <v>909</v>
      </c>
      <c r="K130" s="826" t="s">
        <v>910</v>
      </c>
      <c r="L130" s="826"/>
      <c r="M130" s="827" t="s">
        <v>187</v>
      </c>
      <c r="N130" s="828" t="s">
        <v>5</v>
      </c>
      <c r="O130" s="21"/>
    </row>
    <row r="131" spans="1:16" ht="24" customHeight="1">
      <c r="A131" s="2807" t="s">
        <v>995</v>
      </c>
      <c r="B131" s="2798" t="s">
        <v>6</v>
      </c>
      <c r="C131" s="2799"/>
      <c r="D131" s="2799"/>
      <c r="E131" s="2800"/>
      <c r="F131" s="829">
        <f t="shared" ref="F131:L131" si="21">+F132+F142</f>
        <v>0</v>
      </c>
      <c r="G131" s="830">
        <f t="shared" si="21"/>
        <v>324</v>
      </c>
      <c r="H131" s="830">
        <f t="shared" si="21"/>
        <v>7812</v>
      </c>
      <c r="I131" s="830">
        <f t="shared" si="21"/>
        <v>7747</v>
      </c>
      <c r="J131" s="830">
        <f t="shared" si="21"/>
        <v>8037</v>
      </c>
      <c r="K131" s="830">
        <f t="shared" si="21"/>
        <v>7704</v>
      </c>
      <c r="L131" s="830">
        <f t="shared" si="21"/>
        <v>333</v>
      </c>
      <c r="M131" s="831"/>
      <c r="N131" s="832"/>
      <c r="O131" s="20"/>
      <c r="P131" s="3"/>
    </row>
    <row r="132" spans="1:16" ht="24" customHeight="1">
      <c r="A132" s="2693"/>
      <c r="B132" s="2736" t="s">
        <v>996</v>
      </c>
      <c r="C132" s="2770" t="s">
        <v>10</v>
      </c>
      <c r="D132" s="2770"/>
      <c r="E132" s="2737"/>
      <c r="F132" s="747">
        <f t="shared" ref="F132:G132" si="22">SUM(F133:F141)</f>
        <v>0</v>
      </c>
      <c r="G132" s="747">
        <f t="shared" si="22"/>
        <v>236</v>
      </c>
      <c r="H132" s="747">
        <f>SUM(H133:H141)</f>
        <v>5666</v>
      </c>
      <c r="I132" s="747">
        <f>SUM(I133:I141)</f>
        <v>5690</v>
      </c>
      <c r="J132" s="747">
        <f>SUM(J133:J141)</f>
        <v>5909</v>
      </c>
      <c r="K132" s="747">
        <f>SUM(K133:K141)</f>
        <v>5665</v>
      </c>
      <c r="L132" s="747">
        <f>SUM(L133:L141)</f>
        <v>244</v>
      </c>
      <c r="M132" s="762"/>
      <c r="N132" s="748"/>
      <c r="O132" s="20"/>
    </row>
    <row r="133" spans="1:16" ht="24" customHeight="1">
      <c r="A133" s="2693"/>
      <c r="B133" s="2803"/>
      <c r="C133" s="2721" t="s">
        <v>997</v>
      </c>
      <c r="D133" s="2726" t="s">
        <v>998</v>
      </c>
      <c r="E133" s="804" t="s">
        <v>999</v>
      </c>
      <c r="F133" s="793"/>
      <c r="G133" s="764">
        <v>35</v>
      </c>
      <c r="H133" s="742">
        <v>798</v>
      </c>
      <c r="I133" s="742">
        <v>862</v>
      </c>
      <c r="J133" s="742">
        <f t="shared" ref="J133:J141" si="23">L133+K133</f>
        <v>899</v>
      </c>
      <c r="K133" s="742">
        <v>862</v>
      </c>
      <c r="L133" s="742">
        <v>37</v>
      </c>
      <c r="M133" s="742"/>
      <c r="N133" s="743">
        <v>1</v>
      </c>
      <c r="O133" s="23"/>
    </row>
    <row r="134" spans="1:16" ht="24" customHeight="1">
      <c r="A134" s="2693"/>
      <c r="B134" s="2803"/>
      <c r="C134" s="2721"/>
      <c r="D134" s="2727"/>
      <c r="E134" s="804" t="s">
        <v>1000</v>
      </c>
      <c r="F134" s="793"/>
      <c r="G134" s="764">
        <v>23</v>
      </c>
      <c r="H134" s="742">
        <v>526</v>
      </c>
      <c r="I134" s="742">
        <v>549</v>
      </c>
      <c r="J134" s="742">
        <f t="shared" si="23"/>
        <v>561</v>
      </c>
      <c r="K134" s="742">
        <v>538</v>
      </c>
      <c r="L134" s="742">
        <v>23</v>
      </c>
      <c r="M134" s="742"/>
      <c r="N134" s="743">
        <v>1</v>
      </c>
      <c r="O134" s="23"/>
    </row>
    <row r="135" spans="1:16" ht="24" customHeight="1">
      <c r="A135" s="2693"/>
      <c r="B135" s="2803"/>
      <c r="C135" s="2721"/>
      <c r="D135" s="2727"/>
      <c r="E135" s="804" t="s">
        <v>1001</v>
      </c>
      <c r="F135" s="793"/>
      <c r="G135" s="764">
        <v>9</v>
      </c>
      <c r="H135" s="742">
        <v>205</v>
      </c>
      <c r="I135" s="742">
        <v>211</v>
      </c>
      <c r="J135" s="742">
        <f t="shared" si="23"/>
        <v>224</v>
      </c>
      <c r="K135" s="742">
        <v>215</v>
      </c>
      <c r="L135" s="742">
        <v>9</v>
      </c>
      <c r="M135" s="742"/>
      <c r="N135" s="743">
        <v>1</v>
      </c>
      <c r="O135" s="23"/>
    </row>
    <row r="136" spans="1:16" ht="24" customHeight="1">
      <c r="A136" s="2693"/>
      <c r="B136" s="2803"/>
      <c r="C136" s="2721"/>
      <c r="D136" s="2727"/>
      <c r="E136" s="804" t="s">
        <v>1002</v>
      </c>
      <c r="F136" s="793"/>
      <c r="G136" s="764">
        <v>23</v>
      </c>
      <c r="H136" s="742">
        <v>533</v>
      </c>
      <c r="I136" s="742">
        <v>555</v>
      </c>
      <c r="J136" s="742">
        <f t="shared" si="23"/>
        <v>590</v>
      </c>
      <c r="K136" s="742">
        <v>566</v>
      </c>
      <c r="L136" s="742">
        <v>24</v>
      </c>
      <c r="M136" s="742"/>
      <c r="N136" s="743">
        <v>1</v>
      </c>
      <c r="O136" s="23"/>
    </row>
    <row r="137" spans="1:16" s="712" customFormat="1" ht="24" customHeight="1">
      <c r="A137" s="2693"/>
      <c r="B137" s="2772"/>
      <c r="C137" s="2802"/>
      <c r="D137" s="2727"/>
      <c r="E137" s="804" t="s">
        <v>1250</v>
      </c>
      <c r="F137" s="1022"/>
      <c r="G137" s="1023">
        <v>21</v>
      </c>
      <c r="H137" s="1024">
        <v>522</v>
      </c>
      <c r="I137" s="1024">
        <v>498</v>
      </c>
      <c r="J137" s="1024">
        <f t="shared" si="23"/>
        <v>528</v>
      </c>
      <c r="K137" s="1024">
        <v>506</v>
      </c>
      <c r="L137" s="1024">
        <v>22</v>
      </c>
      <c r="M137" s="1024"/>
      <c r="N137" s="813"/>
      <c r="O137" s="23"/>
      <c r="P137" s="711"/>
    </row>
    <row r="138" spans="1:16" s="712" customFormat="1" ht="24" customHeight="1">
      <c r="A138" s="2693"/>
      <c r="B138" s="2772"/>
      <c r="C138" s="2802"/>
      <c r="D138" s="2727"/>
      <c r="E138" s="804" t="s">
        <v>1252</v>
      </c>
      <c r="F138" s="1022"/>
      <c r="G138" s="1023">
        <v>11</v>
      </c>
      <c r="H138" s="1024">
        <v>277</v>
      </c>
      <c r="I138" s="1024">
        <v>272</v>
      </c>
      <c r="J138" s="1024">
        <f t="shared" si="23"/>
        <v>284</v>
      </c>
      <c r="K138" s="1024">
        <v>272</v>
      </c>
      <c r="L138" s="1024">
        <v>12</v>
      </c>
      <c r="M138" s="1024"/>
      <c r="N138" s="813"/>
      <c r="O138" s="23"/>
      <c r="P138" s="711"/>
    </row>
    <row r="139" spans="1:16" s="712" customFormat="1" ht="24" customHeight="1">
      <c r="A139" s="2693"/>
      <c r="B139" s="2772"/>
      <c r="C139" s="2802"/>
      <c r="D139" s="2727"/>
      <c r="E139" s="804" t="s">
        <v>1254</v>
      </c>
      <c r="F139" s="1022"/>
      <c r="G139" s="1023">
        <v>49</v>
      </c>
      <c r="H139" s="1024">
        <v>1188</v>
      </c>
      <c r="I139" s="1024">
        <v>1186</v>
      </c>
      <c r="J139" s="1024">
        <f t="shared" si="23"/>
        <v>1225</v>
      </c>
      <c r="K139" s="1024">
        <v>1174</v>
      </c>
      <c r="L139" s="1024">
        <v>51</v>
      </c>
      <c r="M139" s="1024"/>
      <c r="N139" s="813"/>
      <c r="O139" s="23"/>
      <c r="P139" s="711"/>
    </row>
    <row r="140" spans="1:16" s="712" customFormat="1" ht="24" customHeight="1">
      <c r="A140" s="2693"/>
      <c r="B140" s="2772"/>
      <c r="C140" s="2802"/>
      <c r="D140" s="2728"/>
      <c r="E140" s="804" t="s">
        <v>1256</v>
      </c>
      <c r="F140" s="1022"/>
      <c r="G140" s="1023">
        <v>49</v>
      </c>
      <c r="H140" s="1024">
        <v>1208</v>
      </c>
      <c r="I140" s="1024">
        <v>1163</v>
      </c>
      <c r="J140" s="1024">
        <f t="shared" si="23"/>
        <v>1191</v>
      </c>
      <c r="K140" s="1024">
        <v>1142</v>
      </c>
      <c r="L140" s="1024">
        <v>49</v>
      </c>
      <c r="M140" s="1024"/>
      <c r="N140" s="813"/>
      <c r="O140" s="23"/>
      <c r="P140" s="711"/>
    </row>
    <row r="141" spans="1:16" ht="24" customHeight="1">
      <c r="A141" s="2693"/>
      <c r="B141" s="2756"/>
      <c r="C141" s="2801"/>
      <c r="D141" s="765" t="s">
        <v>1015</v>
      </c>
      <c r="E141" s="805" t="s">
        <v>1016</v>
      </c>
      <c r="F141" s="794"/>
      <c r="G141" s="744">
        <v>16</v>
      </c>
      <c r="H141" s="745">
        <v>409</v>
      </c>
      <c r="I141" s="745">
        <v>394</v>
      </c>
      <c r="J141" s="745">
        <f t="shared" si="23"/>
        <v>407</v>
      </c>
      <c r="K141" s="745">
        <v>390</v>
      </c>
      <c r="L141" s="745">
        <v>17</v>
      </c>
      <c r="M141" s="745"/>
      <c r="N141" s="746">
        <v>1</v>
      </c>
      <c r="O141" s="23"/>
    </row>
    <row r="142" spans="1:16" ht="24" customHeight="1">
      <c r="A142" s="2693"/>
      <c r="B142" s="2736" t="s">
        <v>1003</v>
      </c>
      <c r="C142" s="2770" t="s">
        <v>10</v>
      </c>
      <c r="D142" s="2770"/>
      <c r="E142" s="2737"/>
      <c r="F142" s="747">
        <f t="shared" ref="F142:G142" si="24">SUM(F143:F151)</f>
        <v>0</v>
      </c>
      <c r="G142" s="747">
        <f t="shared" si="24"/>
        <v>88</v>
      </c>
      <c r="H142" s="747">
        <f>SUM(H143:H151)</f>
        <v>2146</v>
      </c>
      <c r="I142" s="747">
        <f>SUM(I143:I151)</f>
        <v>2057</v>
      </c>
      <c r="J142" s="747">
        <f>SUM(J143:J151)</f>
        <v>2128</v>
      </c>
      <c r="K142" s="747">
        <f>SUM(K143:K151)</f>
        <v>2039</v>
      </c>
      <c r="L142" s="747">
        <f>SUM(L143:L151)</f>
        <v>89</v>
      </c>
      <c r="M142" s="762"/>
      <c r="N142" s="748"/>
      <c r="O142" s="20"/>
    </row>
    <row r="143" spans="1:16" s="712" customFormat="1" ht="24" customHeight="1">
      <c r="A143" s="2693"/>
      <c r="B143" s="2803"/>
      <c r="C143" s="2721" t="s">
        <v>997</v>
      </c>
      <c r="D143" s="2721" t="s">
        <v>1004</v>
      </c>
      <c r="E143" s="783" t="s">
        <v>1005</v>
      </c>
      <c r="F143" s="793"/>
      <c r="G143" s="753">
        <v>13</v>
      </c>
      <c r="H143" s="754">
        <v>342</v>
      </c>
      <c r="I143" s="753">
        <v>301</v>
      </c>
      <c r="J143" s="753">
        <f t="shared" ref="J143:J151" si="25">L143+K143</f>
        <v>319</v>
      </c>
      <c r="K143" s="753">
        <v>306</v>
      </c>
      <c r="L143" s="753">
        <v>13</v>
      </c>
      <c r="M143" s="753"/>
      <c r="N143" s="755"/>
      <c r="O143" s="20"/>
      <c r="P143" s="711"/>
    </row>
    <row r="144" spans="1:16" s="712" customFormat="1" ht="24" customHeight="1">
      <c r="A144" s="2693"/>
      <c r="B144" s="2803"/>
      <c r="C144" s="2721"/>
      <c r="D144" s="2721"/>
      <c r="E144" s="783" t="s">
        <v>1008</v>
      </c>
      <c r="F144" s="793"/>
      <c r="G144" s="753">
        <v>16</v>
      </c>
      <c r="H144" s="754">
        <v>377</v>
      </c>
      <c r="I144" s="753">
        <v>374</v>
      </c>
      <c r="J144" s="753">
        <f t="shared" si="25"/>
        <v>380</v>
      </c>
      <c r="K144" s="753">
        <v>364</v>
      </c>
      <c r="L144" s="753">
        <v>16</v>
      </c>
      <c r="M144" s="753"/>
      <c r="N144" s="755"/>
      <c r="O144" s="20"/>
      <c r="P144" s="711"/>
    </row>
    <row r="145" spans="1:16" s="712" customFormat="1" ht="24" customHeight="1">
      <c r="A145" s="2693"/>
      <c r="B145" s="2803"/>
      <c r="C145" s="2721"/>
      <c r="D145" s="2721"/>
      <c r="E145" s="783" t="s">
        <v>1006</v>
      </c>
      <c r="F145" s="793"/>
      <c r="G145" s="753">
        <v>16</v>
      </c>
      <c r="H145" s="754">
        <v>415</v>
      </c>
      <c r="I145" s="753">
        <v>371</v>
      </c>
      <c r="J145" s="753">
        <f t="shared" si="25"/>
        <v>387</v>
      </c>
      <c r="K145" s="753">
        <v>370</v>
      </c>
      <c r="L145" s="753">
        <v>17</v>
      </c>
      <c r="M145" s="753"/>
      <c r="N145" s="755"/>
      <c r="O145" s="20"/>
      <c r="P145" s="711"/>
    </row>
    <row r="146" spans="1:16" s="712" customFormat="1" ht="24" customHeight="1">
      <c r="A146" s="2693"/>
      <c r="B146" s="2803"/>
      <c r="C146" s="2721"/>
      <c r="D146" s="2721"/>
      <c r="E146" s="783" t="s">
        <v>1007</v>
      </c>
      <c r="F146" s="793"/>
      <c r="G146" s="753">
        <v>16</v>
      </c>
      <c r="H146" s="754">
        <v>364</v>
      </c>
      <c r="I146" s="753">
        <v>371</v>
      </c>
      <c r="J146" s="753">
        <f t="shared" si="25"/>
        <v>386</v>
      </c>
      <c r="K146" s="753">
        <v>370</v>
      </c>
      <c r="L146" s="753">
        <v>16</v>
      </c>
      <c r="M146" s="753"/>
      <c r="N146" s="755"/>
      <c r="O146" s="20"/>
      <c r="P146" s="711"/>
    </row>
    <row r="147" spans="1:16" s="712" customFormat="1" ht="24" customHeight="1">
      <c r="A147" s="2693"/>
      <c r="B147" s="2803"/>
      <c r="C147" s="2721"/>
      <c r="D147" s="2721"/>
      <c r="E147" s="783" t="s">
        <v>1009</v>
      </c>
      <c r="F147" s="793"/>
      <c r="G147" s="753">
        <v>9</v>
      </c>
      <c r="H147" s="754">
        <v>211</v>
      </c>
      <c r="I147" s="753">
        <v>208</v>
      </c>
      <c r="J147" s="753">
        <f t="shared" si="25"/>
        <v>205</v>
      </c>
      <c r="K147" s="753">
        <v>197</v>
      </c>
      <c r="L147" s="753">
        <v>8</v>
      </c>
      <c r="M147" s="753"/>
      <c r="N147" s="755"/>
      <c r="O147" s="20"/>
      <c r="P147" s="711"/>
    </row>
    <row r="148" spans="1:16" s="712" customFormat="1" ht="24" customHeight="1">
      <c r="A148" s="2693"/>
      <c r="B148" s="2803"/>
      <c r="C148" s="2721"/>
      <c r="D148" s="2721"/>
      <c r="E148" s="783" t="s">
        <v>1012</v>
      </c>
      <c r="F148" s="793"/>
      <c r="G148" s="753"/>
      <c r="H148" s="754"/>
      <c r="I148" s="753"/>
      <c r="J148" s="753">
        <f t="shared" si="25"/>
        <v>0</v>
      </c>
      <c r="K148" s="753"/>
      <c r="L148" s="753"/>
      <c r="M148" s="753"/>
      <c r="N148" s="755"/>
      <c r="O148" s="20"/>
      <c r="P148" s="711"/>
    </row>
    <row r="149" spans="1:16" s="712" customFormat="1" ht="24" customHeight="1">
      <c r="A149" s="2693"/>
      <c r="B149" s="2803"/>
      <c r="C149" s="2721"/>
      <c r="D149" s="752" t="s">
        <v>1010</v>
      </c>
      <c r="E149" s="783" t="s">
        <v>1011</v>
      </c>
      <c r="F149" s="793"/>
      <c r="G149" s="753">
        <v>6</v>
      </c>
      <c r="H149" s="754">
        <v>137</v>
      </c>
      <c r="I149" s="753">
        <v>134</v>
      </c>
      <c r="J149" s="753">
        <f t="shared" si="25"/>
        <v>135</v>
      </c>
      <c r="K149" s="753">
        <v>129</v>
      </c>
      <c r="L149" s="753">
        <v>6</v>
      </c>
      <c r="M149" s="753"/>
      <c r="N149" s="755"/>
      <c r="O149" s="20"/>
      <c r="P149" s="711"/>
    </row>
    <row r="150" spans="1:16" s="712" customFormat="1" ht="24" customHeight="1">
      <c r="A150" s="2693"/>
      <c r="B150" s="2803"/>
      <c r="C150" s="2721"/>
      <c r="D150" s="2721" t="s">
        <v>1013</v>
      </c>
      <c r="E150" s="783" t="s">
        <v>1017</v>
      </c>
      <c r="F150" s="793"/>
      <c r="G150" s="753">
        <v>12</v>
      </c>
      <c r="H150" s="754">
        <v>300</v>
      </c>
      <c r="I150" s="753">
        <v>298</v>
      </c>
      <c r="J150" s="753">
        <f t="shared" si="25"/>
        <v>316</v>
      </c>
      <c r="K150" s="753">
        <v>303</v>
      </c>
      <c r="L150" s="753">
        <v>13</v>
      </c>
      <c r="M150" s="753"/>
      <c r="N150" s="755"/>
      <c r="O150" s="20"/>
      <c r="P150" s="711"/>
    </row>
    <row r="151" spans="1:16" ht="24" customHeight="1">
      <c r="A151" s="2693"/>
      <c r="B151" s="2740"/>
      <c r="C151" s="2722"/>
      <c r="D151" s="2722"/>
      <c r="E151" s="800" t="s">
        <v>1014</v>
      </c>
      <c r="F151" s="796"/>
      <c r="G151" s="758"/>
      <c r="H151" s="759"/>
      <c r="I151" s="760"/>
      <c r="J151" s="760">
        <f t="shared" si="25"/>
        <v>0</v>
      </c>
      <c r="K151" s="760"/>
      <c r="L151" s="760"/>
      <c r="M151" s="760"/>
      <c r="N151" s="761">
        <v>1</v>
      </c>
      <c r="O151" s="23"/>
    </row>
    <row r="152" spans="1:16" ht="24" customHeight="1">
      <c r="A152" s="65"/>
      <c r="B152" s="65"/>
      <c r="C152" s="66"/>
      <c r="D152" s="67"/>
      <c r="E152" s="67"/>
      <c r="F152" s="67"/>
      <c r="G152" s="68"/>
      <c r="H152" s="68"/>
      <c r="I152" s="71"/>
      <c r="J152" s="69"/>
      <c r="K152" s="69"/>
      <c r="L152" s="69"/>
      <c r="M152" s="69"/>
      <c r="N152" s="70"/>
      <c r="O152" s="23"/>
    </row>
    <row r="153" spans="1:16" s="712" customFormat="1" ht="24" customHeight="1">
      <c r="A153" s="2638" t="s">
        <v>1238</v>
      </c>
      <c r="B153" s="2638"/>
      <c r="C153" s="2638"/>
      <c r="D153" s="2638"/>
      <c r="E153" s="2638"/>
      <c r="F153" s="3"/>
      <c r="G153" s="17"/>
      <c r="H153" s="17"/>
      <c r="I153" s="711"/>
      <c r="J153" s="711"/>
      <c r="K153" s="711"/>
      <c r="L153" s="711"/>
      <c r="M153" s="711"/>
      <c r="N153" s="711"/>
      <c r="O153" s="24"/>
      <c r="P153" s="711"/>
    </row>
    <row r="154" spans="1:16" s="712" customFormat="1" ht="39.950000000000003" customHeight="1">
      <c r="A154" s="803" t="s">
        <v>0</v>
      </c>
      <c r="B154" s="13" t="s">
        <v>13</v>
      </c>
      <c r="C154" s="14" t="s">
        <v>14</v>
      </c>
      <c r="D154" s="14" t="s">
        <v>15</v>
      </c>
      <c r="E154" s="823" t="s">
        <v>16</v>
      </c>
      <c r="F154" s="840" t="s">
        <v>1266</v>
      </c>
      <c r="G154" s="824" t="s">
        <v>1265</v>
      </c>
      <c r="H154" s="825" t="s">
        <v>1235</v>
      </c>
      <c r="I154" s="826" t="s">
        <v>909</v>
      </c>
      <c r="J154" s="826" t="s">
        <v>909</v>
      </c>
      <c r="K154" s="826" t="s">
        <v>910</v>
      </c>
      <c r="L154" s="826"/>
      <c r="M154" s="827" t="s">
        <v>187</v>
      </c>
      <c r="N154" s="828" t="s">
        <v>5</v>
      </c>
      <c r="O154" s="21"/>
      <c r="P154" s="711"/>
    </row>
    <row r="155" spans="1:16" s="712" customFormat="1" ht="24" customHeight="1">
      <c r="A155" s="2807" t="s">
        <v>1239</v>
      </c>
      <c r="B155" s="2798" t="s">
        <v>6</v>
      </c>
      <c r="C155" s="2799"/>
      <c r="D155" s="2799"/>
      <c r="E155" s="2800"/>
      <c r="F155" s="829">
        <f>+F156</f>
        <v>0</v>
      </c>
      <c r="G155" s="830">
        <f t="shared" ref="G155:K155" si="26">+G156</f>
        <v>322</v>
      </c>
      <c r="H155" s="830">
        <f t="shared" si="26"/>
        <v>5167</v>
      </c>
      <c r="I155" s="830">
        <f t="shared" si="26"/>
        <v>6917</v>
      </c>
      <c r="J155" s="830">
        <f t="shared" si="26"/>
        <v>7477</v>
      </c>
      <c r="K155" s="830">
        <f t="shared" si="26"/>
        <v>7149</v>
      </c>
      <c r="L155" s="830"/>
      <c r="M155" s="1008"/>
      <c r="N155" s="832"/>
      <c r="O155" s="20"/>
      <c r="P155" s="3"/>
    </row>
    <row r="156" spans="1:16" s="712" customFormat="1" ht="24" customHeight="1">
      <c r="A156" s="2693"/>
      <c r="B156" s="2736" t="s">
        <v>1242</v>
      </c>
      <c r="C156" s="2770" t="s">
        <v>10</v>
      </c>
      <c r="D156" s="2770"/>
      <c r="E156" s="2737"/>
      <c r="F156" s="795">
        <f t="shared" ref="F156:K156" si="27">SUM(F157:F160)</f>
        <v>0</v>
      </c>
      <c r="G156" s="763">
        <f t="shared" si="27"/>
        <v>322</v>
      </c>
      <c r="H156" s="747">
        <f t="shared" si="27"/>
        <v>5167</v>
      </c>
      <c r="I156" s="747">
        <f t="shared" si="27"/>
        <v>6917</v>
      </c>
      <c r="J156" s="747">
        <f t="shared" si="27"/>
        <v>7477</v>
      </c>
      <c r="K156" s="747">
        <f t="shared" si="27"/>
        <v>7149</v>
      </c>
      <c r="L156" s="747"/>
      <c r="M156" s="1009"/>
      <c r="N156" s="748"/>
      <c r="O156" s="20"/>
      <c r="P156" s="711"/>
    </row>
    <row r="157" spans="1:16" s="712" customFormat="1" ht="24" customHeight="1">
      <c r="A157" s="2693"/>
      <c r="B157" s="2803"/>
      <c r="C157" s="2721" t="s">
        <v>1243</v>
      </c>
      <c r="D157" s="2726" t="s">
        <v>1240</v>
      </c>
      <c r="E157" s="804" t="s">
        <v>1245</v>
      </c>
      <c r="F157" s="793"/>
      <c r="G157" s="764">
        <v>145</v>
      </c>
      <c r="H157" s="742">
        <v>2948</v>
      </c>
      <c r="I157" s="742">
        <v>3136</v>
      </c>
      <c r="J157" s="742">
        <f>L157+K157</f>
        <v>3392</v>
      </c>
      <c r="K157" s="742">
        <v>3243</v>
      </c>
      <c r="L157" s="742">
        <v>149</v>
      </c>
      <c r="M157" s="742"/>
      <c r="N157" s="743">
        <v>1</v>
      </c>
      <c r="O157" s="23"/>
      <c r="P157" s="711"/>
    </row>
    <row r="158" spans="1:16" s="712" customFormat="1" ht="24" customHeight="1">
      <c r="A158" s="2693"/>
      <c r="B158" s="2803"/>
      <c r="C158" s="2721"/>
      <c r="D158" s="2727"/>
      <c r="E158" s="804" t="s">
        <v>1246</v>
      </c>
      <c r="F158" s="793"/>
      <c r="G158" s="764">
        <v>82</v>
      </c>
      <c r="H158" s="742">
        <v>1537</v>
      </c>
      <c r="I158" s="742">
        <v>1749</v>
      </c>
      <c r="J158" s="742">
        <f>L158+K158</f>
        <v>1941</v>
      </c>
      <c r="K158" s="742">
        <v>1856</v>
      </c>
      <c r="L158" s="742">
        <v>85</v>
      </c>
      <c r="M158" s="742"/>
      <c r="N158" s="743">
        <v>1</v>
      </c>
      <c r="O158" s="23"/>
      <c r="P158" s="711"/>
    </row>
    <row r="159" spans="1:16" s="712" customFormat="1" ht="24" customHeight="1">
      <c r="A159" s="2693"/>
      <c r="B159" s="2803"/>
      <c r="C159" s="2721"/>
      <c r="D159" s="2727"/>
      <c r="E159" s="804" t="s">
        <v>1247</v>
      </c>
      <c r="F159" s="793"/>
      <c r="G159" s="764">
        <v>85</v>
      </c>
      <c r="H159" s="742">
        <v>507</v>
      </c>
      <c r="I159" s="742">
        <v>1821</v>
      </c>
      <c r="J159" s="742">
        <f>L159+K159</f>
        <v>2003</v>
      </c>
      <c r="K159" s="742">
        <v>1915</v>
      </c>
      <c r="L159" s="742">
        <v>88</v>
      </c>
      <c r="M159" s="742"/>
      <c r="N159" s="743">
        <v>1</v>
      </c>
      <c r="O159" s="23"/>
      <c r="P159" s="711"/>
    </row>
    <row r="160" spans="1:16" s="712" customFormat="1" ht="24" customHeight="1">
      <c r="A160" s="2693"/>
      <c r="B160" s="2756"/>
      <c r="C160" s="2801"/>
      <c r="D160" s="765" t="s">
        <v>1241</v>
      </c>
      <c r="E160" s="805" t="s">
        <v>1244</v>
      </c>
      <c r="F160" s="794"/>
      <c r="G160" s="744">
        <v>10</v>
      </c>
      <c r="H160" s="745">
        <v>175</v>
      </c>
      <c r="I160" s="745">
        <v>211</v>
      </c>
      <c r="J160" s="745">
        <f>L160+K160</f>
        <v>141</v>
      </c>
      <c r="K160" s="745">
        <v>135</v>
      </c>
      <c r="L160" s="745">
        <v>6</v>
      </c>
      <c r="M160" s="745"/>
      <c r="N160" s="746">
        <v>1</v>
      </c>
      <c r="O160" s="23"/>
      <c r="P160" s="711"/>
    </row>
    <row r="161" spans="1:22" s="712" customFormat="1" ht="24" customHeight="1">
      <c r="A161" s="65"/>
      <c r="B161" s="65"/>
      <c r="C161" s="66"/>
      <c r="D161" s="67"/>
      <c r="E161" s="67"/>
      <c r="F161" s="67"/>
      <c r="G161" s="68"/>
      <c r="H161" s="68"/>
      <c r="I161" s="71"/>
      <c r="J161" s="69"/>
      <c r="K161" s="69"/>
      <c r="L161" s="69"/>
      <c r="M161" s="69"/>
      <c r="N161" s="70"/>
      <c r="O161" s="23"/>
      <c r="P161" s="711"/>
    </row>
    <row r="162" spans="1:22" ht="24" customHeight="1">
      <c r="A162" s="2638" t="s">
        <v>1236</v>
      </c>
      <c r="B162" s="2638"/>
      <c r="C162" s="2638"/>
      <c r="D162" s="2638"/>
      <c r="E162" s="2638"/>
      <c r="F162" s="3"/>
      <c r="N162" s="17" t="s">
        <v>35</v>
      </c>
      <c r="O162" s="24"/>
    </row>
    <row r="163" spans="1:22" ht="39.950000000000003" customHeight="1">
      <c r="A163" s="801" t="s">
        <v>0</v>
      </c>
      <c r="B163" s="802" t="s">
        <v>13</v>
      </c>
      <c r="C163" s="797" t="s">
        <v>14</v>
      </c>
      <c r="D163" s="14" t="s">
        <v>15</v>
      </c>
      <c r="E163" s="823" t="s">
        <v>16</v>
      </c>
      <c r="F163" s="840" t="s">
        <v>1266</v>
      </c>
      <c r="G163" s="824" t="s">
        <v>1265</v>
      </c>
      <c r="H163" s="825" t="s">
        <v>1235</v>
      </c>
      <c r="I163" s="826" t="s">
        <v>909</v>
      </c>
      <c r="J163" s="826" t="s">
        <v>909</v>
      </c>
      <c r="K163" s="826" t="s">
        <v>910</v>
      </c>
      <c r="L163" s="826"/>
      <c r="M163" s="827" t="s">
        <v>187</v>
      </c>
      <c r="N163" s="828" t="s">
        <v>5</v>
      </c>
      <c r="O163" s="21"/>
    </row>
    <row r="164" spans="1:22" ht="24" customHeight="1">
      <c r="A164" s="2764" t="s">
        <v>1051</v>
      </c>
      <c r="B164" s="2765"/>
      <c r="C164" s="2812" t="s">
        <v>32</v>
      </c>
      <c r="D164" s="2813"/>
      <c r="E164" s="2814"/>
      <c r="F164" s="786">
        <f t="shared" ref="F164:G164" si="28">SUM(F165:F166)</f>
        <v>0</v>
      </c>
      <c r="G164" s="786">
        <f t="shared" si="28"/>
        <v>11</v>
      </c>
      <c r="H164" s="786">
        <f>SUM(H165:H166)</f>
        <v>311</v>
      </c>
      <c r="I164" s="786">
        <f>SUM(I165:I166)</f>
        <v>309</v>
      </c>
      <c r="J164" s="786">
        <f>SUM(J165:J166)</f>
        <v>321</v>
      </c>
      <c r="K164" s="786">
        <f>SUM(K165:K166)</f>
        <v>310</v>
      </c>
      <c r="L164" s="786">
        <f>SUM(L165:L166)</f>
        <v>11</v>
      </c>
      <c r="M164" s="778"/>
      <c r="N164" s="782"/>
      <c r="O164" s="26"/>
    </row>
    <row r="165" spans="1:22" ht="24" customHeight="1">
      <c r="A165" s="2803"/>
      <c r="B165" s="2809"/>
      <c r="C165" s="2804" t="s">
        <v>1052</v>
      </c>
      <c r="D165" s="2752" t="s">
        <v>1058</v>
      </c>
      <c r="E165" s="1027" t="s">
        <v>1053</v>
      </c>
      <c r="F165" s="841"/>
      <c r="G165" s="842">
        <v>9</v>
      </c>
      <c r="H165" s="1035">
        <v>245</v>
      </c>
      <c r="I165" s="1035">
        <v>246</v>
      </c>
      <c r="J165" s="739">
        <f>L165+K165</f>
        <v>258</v>
      </c>
      <c r="K165" s="739">
        <v>249</v>
      </c>
      <c r="L165" s="1573">
        <v>9</v>
      </c>
      <c r="M165" s="780"/>
      <c r="N165" s="743">
        <v>1</v>
      </c>
      <c r="O165" s="23"/>
    </row>
    <row r="166" spans="1:22" ht="24" customHeight="1">
      <c r="A166" s="2756"/>
      <c r="B166" s="2810"/>
      <c r="C166" s="2808"/>
      <c r="D166" s="2785"/>
      <c r="E166" s="1029" t="s">
        <v>1054</v>
      </c>
      <c r="F166" s="843"/>
      <c r="G166" s="844">
        <v>2</v>
      </c>
      <c r="H166" s="1036">
        <v>66</v>
      </c>
      <c r="I166" s="1036">
        <v>63</v>
      </c>
      <c r="J166" s="750">
        <f>L166+K166</f>
        <v>63</v>
      </c>
      <c r="K166" s="750">
        <v>61</v>
      </c>
      <c r="L166" s="1575">
        <v>2</v>
      </c>
      <c r="M166" s="818"/>
      <c r="N166" s="813">
        <v>1</v>
      </c>
      <c r="O166" s="23"/>
    </row>
    <row r="167" spans="1:22" ht="24" customHeight="1">
      <c r="A167" s="2736" t="s">
        <v>1055</v>
      </c>
      <c r="B167" s="2737"/>
      <c r="C167" s="2736" t="s">
        <v>32</v>
      </c>
      <c r="D167" s="2770"/>
      <c r="E167" s="2771"/>
      <c r="F167" s="1157">
        <f t="shared" ref="F167:G167" si="29">SUM(F168:F169)</f>
        <v>0</v>
      </c>
      <c r="G167" s="784">
        <f t="shared" si="29"/>
        <v>17</v>
      </c>
      <c r="H167" s="784">
        <f>SUM(H168:H169)</f>
        <v>455</v>
      </c>
      <c r="I167" s="784">
        <f>SUM(I168:I169)</f>
        <v>449</v>
      </c>
      <c r="J167" s="784">
        <f>SUM(J168:J169)</f>
        <v>468</v>
      </c>
      <c r="K167" s="786">
        <f>SUM(K168:K169)</f>
        <v>450</v>
      </c>
      <c r="L167" s="786">
        <f>SUM(L168:L169)</f>
        <v>18</v>
      </c>
      <c r="M167" s="775"/>
      <c r="N167" s="781"/>
      <c r="O167" s="26"/>
    </row>
    <row r="168" spans="1:22" ht="24" customHeight="1">
      <c r="A168" s="2803"/>
      <c r="B168" s="2811"/>
      <c r="C168" s="2803" t="s">
        <v>1056</v>
      </c>
      <c r="D168" s="752" t="s">
        <v>1057</v>
      </c>
      <c r="E168" s="816" t="s">
        <v>1059</v>
      </c>
      <c r="F168" s="1158"/>
      <c r="G168" s="842">
        <v>11</v>
      </c>
      <c r="H168" s="1124">
        <v>300</v>
      </c>
      <c r="I168" s="1124">
        <v>297</v>
      </c>
      <c r="J168" s="1124">
        <f>L168+K168</f>
        <v>313</v>
      </c>
      <c r="K168" s="1124">
        <v>301</v>
      </c>
      <c r="L168" s="1573">
        <v>12</v>
      </c>
      <c r="M168" s="780"/>
      <c r="N168" s="743">
        <v>1</v>
      </c>
      <c r="O168" s="26"/>
    </row>
    <row r="169" spans="1:22" ht="24" customHeight="1">
      <c r="A169" s="2772"/>
      <c r="B169" s="2773"/>
      <c r="C169" s="2756"/>
      <c r="D169" s="766" t="s">
        <v>1060</v>
      </c>
      <c r="E169" s="817" t="s">
        <v>1061</v>
      </c>
      <c r="F169" s="1881"/>
      <c r="G169" s="844">
        <v>6</v>
      </c>
      <c r="H169" s="1821">
        <v>155</v>
      </c>
      <c r="I169" s="1821">
        <v>152</v>
      </c>
      <c r="J169" s="1821">
        <f>L169+K169</f>
        <v>155</v>
      </c>
      <c r="K169" s="1821">
        <v>149</v>
      </c>
      <c r="L169" s="1821">
        <v>6</v>
      </c>
      <c r="M169" s="818"/>
      <c r="N169" s="1882"/>
      <c r="O169" s="26"/>
      <c r="P169" s="1" t="s">
        <v>33</v>
      </c>
      <c r="T169" s="2">
        <f>ROUND(2.23*14,0)</f>
        <v>31</v>
      </c>
      <c r="U169" s="2">
        <v>118</v>
      </c>
      <c r="V169" s="2">
        <f>+U169-T169</f>
        <v>87</v>
      </c>
    </row>
    <row r="170" spans="1:22" ht="24" customHeight="1">
      <c r="A170" s="2696" t="s">
        <v>1062</v>
      </c>
      <c r="B170" s="2697"/>
      <c r="C170" s="2736" t="s">
        <v>32</v>
      </c>
      <c r="D170" s="2770"/>
      <c r="E170" s="2771"/>
      <c r="F170" s="1859">
        <f t="shared" ref="F170" si="30">SUM(F171:F173)</f>
        <v>0</v>
      </c>
      <c r="G170" s="1860">
        <f t="shared" ref="G170:L170" si="31">SUM(G171:G173)</f>
        <v>17</v>
      </c>
      <c r="H170" s="1860">
        <f t="shared" si="31"/>
        <v>295</v>
      </c>
      <c r="I170" s="1860">
        <f t="shared" si="31"/>
        <v>286</v>
      </c>
      <c r="J170" s="1860">
        <f t="shared" si="31"/>
        <v>306</v>
      </c>
      <c r="K170" s="1860">
        <f t="shared" si="31"/>
        <v>289</v>
      </c>
      <c r="L170" s="1860">
        <f t="shared" si="31"/>
        <v>17</v>
      </c>
      <c r="M170" s="1861"/>
      <c r="N170" s="1883"/>
      <c r="O170" s="26"/>
    </row>
    <row r="171" spans="1:22" ht="24" customHeight="1">
      <c r="A171" s="2698"/>
      <c r="B171" s="2699"/>
      <c r="C171" s="2772" t="s">
        <v>1063</v>
      </c>
      <c r="D171" s="2721" t="s">
        <v>1064</v>
      </c>
      <c r="E171" s="816" t="s">
        <v>1065</v>
      </c>
      <c r="F171" s="1873"/>
      <c r="G171" s="1879">
        <v>7</v>
      </c>
      <c r="H171" s="1866">
        <v>119</v>
      </c>
      <c r="I171" s="1866">
        <v>109</v>
      </c>
      <c r="J171" s="1866">
        <f>L171+K171</f>
        <v>114</v>
      </c>
      <c r="K171" s="1866">
        <v>108</v>
      </c>
      <c r="L171" s="1866">
        <v>6</v>
      </c>
      <c r="M171" s="1874"/>
      <c r="N171" s="1867">
        <v>1</v>
      </c>
      <c r="O171" s="26"/>
      <c r="U171" s="2" t="s">
        <v>37</v>
      </c>
    </row>
    <row r="172" spans="1:22" ht="24" customHeight="1">
      <c r="A172" s="2698"/>
      <c r="B172" s="2699"/>
      <c r="C172" s="2738"/>
      <c r="D172" s="2721"/>
      <c r="E172" s="816" t="s">
        <v>1066</v>
      </c>
      <c r="F172" s="1873"/>
      <c r="G172" s="1879">
        <v>4</v>
      </c>
      <c r="H172" s="1866">
        <v>70</v>
      </c>
      <c r="I172" s="1866">
        <v>74</v>
      </c>
      <c r="J172" s="1866">
        <f>L172+K172</f>
        <v>83</v>
      </c>
      <c r="K172" s="1866">
        <v>78</v>
      </c>
      <c r="L172" s="1866">
        <v>5</v>
      </c>
      <c r="M172" s="1874"/>
      <c r="N172" s="1884"/>
      <c r="O172" s="26"/>
      <c r="P172" s="1" t="s">
        <v>36</v>
      </c>
      <c r="T172" s="2">
        <f>ROUND(2.04*23,0)</f>
        <v>47</v>
      </c>
      <c r="U172" s="2">
        <v>147</v>
      </c>
      <c r="V172" s="2">
        <f>+U172-T172</f>
        <v>100</v>
      </c>
    </row>
    <row r="173" spans="1:22" ht="24" customHeight="1">
      <c r="A173" s="2701"/>
      <c r="B173" s="2702"/>
      <c r="C173" s="2738"/>
      <c r="D173" s="1121" t="s">
        <v>1067</v>
      </c>
      <c r="E173" s="1156" t="s">
        <v>1068</v>
      </c>
      <c r="F173" s="1875"/>
      <c r="G173" s="1880">
        <v>6</v>
      </c>
      <c r="H173" s="1871">
        <v>106</v>
      </c>
      <c r="I173" s="1871">
        <v>103</v>
      </c>
      <c r="J173" s="1871">
        <f>L173+K173</f>
        <v>109</v>
      </c>
      <c r="K173" s="1871">
        <v>103</v>
      </c>
      <c r="L173" s="1871">
        <v>6</v>
      </c>
      <c r="M173" s="1876"/>
      <c r="N173" s="1885"/>
      <c r="O173" s="26"/>
      <c r="P173" s="1" t="s">
        <v>38</v>
      </c>
      <c r="T173" s="2">
        <f>ROUND(2.49*10,0)</f>
        <v>25</v>
      </c>
      <c r="U173" s="2">
        <v>102</v>
      </c>
      <c r="V173" s="2">
        <f>+U173-T173</f>
        <v>77</v>
      </c>
    </row>
    <row r="174" spans="1:22" ht="24" customHeight="1">
      <c r="A174" s="2744" t="s">
        <v>1070</v>
      </c>
      <c r="B174" s="2745"/>
      <c r="C174" s="2767" t="s">
        <v>32</v>
      </c>
      <c r="D174" s="2768"/>
      <c r="E174" s="2769"/>
      <c r="F174" s="786">
        <f t="shared" ref="F174:G174" si="32">SUM(F175:F178)</f>
        <v>0</v>
      </c>
      <c r="G174" s="786">
        <f t="shared" si="32"/>
        <v>59</v>
      </c>
      <c r="H174" s="786">
        <f>SUM(H175:H178)</f>
        <v>1196</v>
      </c>
      <c r="I174" s="786">
        <f>SUM(I175:I178)</f>
        <v>1237</v>
      </c>
      <c r="J174" s="786">
        <f>SUM(J175:J178)</f>
        <v>1293</v>
      </c>
      <c r="K174" s="786">
        <f>SUM(K175:K178)</f>
        <v>1236</v>
      </c>
      <c r="L174" s="786">
        <f>SUM(L175:L178)</f>
        <v>57</v>
      </c>
      <c r="M174" s="778"/>
      <c r="N174" s="779"/>
      <c r="O174" s="26"/>
    </row>
    <row r="175" spans="1:22" ht="24" customHeight="1">
      <c r="A175" s="2746"/>
      <c r="B175" s="2747"/>
      <c r="C175" s="2804" t="s">
        <v>1069</v>
      </c>
      <c r="D175" s="2752" t="s">
        <v>1071</v>
      </c>
      <c r="E175" s="1027" t="s">
        <v>1072</v>
      </c>
      <c r="F175" s="841"/>
      <c r="G175" s="842">
        <v>15</v>
      </c>
      <c r="H175" s="1035">
        <v>313</v>
      </c>
      <c r="I175" s="1035">
        <v>321</v>
      </c>
      <c r="J175" s="1035">
        <f>L175+K175</f>
        <v>339</v>
      </c>
      <c r="K175" s="739">
        <v>324</v>
      </c>
      <c r="L175" s="1573">
        <v>15</v>
      </c>
      <c r="M175" s="780"/>
      <c r="N175" s="743">
        <v>1</v>
      </c>
      <c r="O175" s="26">
        <v>71</v>
      </c>
    </row>
    <row r="176" spans="1:22" ht="24" customHeight="1">
      <c r="A176" s="2746"/>
      <c r="B176" s="2747"/>
      <c r="C176" s="2804"/>
      <c r="D176" s="2752"/>
      <c r="E176" s="1027" t="s">
        <v>1278</v>
      </c>
      <c r="F176" s="841"/>
      <c r="G176" s="842">
        <v>5</v>
      </c>
      <c r="H176" s="1035">
        <v>90</v>
      </c>
      <c r="I176" s="1035">
        <v>97</v>
      </c>
      <c r="J176" s="1035">
        <f>L176+K176</f>
        <v>102</v>
      </c>
      <c r="K176" s="739">
        <v>98</v>
      </c>
      <c r="L176" s="1573">
        <v>4</v>
      </c>
      <c r="M176" s="780"/>
      <c r="N176" s="743">
        <v>1</v>
      </c>
      <c r="O176" s="26">
        <v>40</v>
      </c>
    </row>
    <row r="177" spans="1:35" s="712" customFormat="1" ht="24" customHeight="1">
      <c r="A177" s="2748"/>
      <c r="B177" s="2749"/>
      <c r="C177" s="2804"/>
      <c r="D177" s="2752"/>
      <c r="E177" s="1027" t="s">
        <v>1279</v>
      </c>
      <c r="F177" s="843"/>
      <c r="G177" s="844">
        <v>16</v>
      </c>
      <c r="H177" s="1043">
        <v>353</v>
      </c>
      <c r="I177" s="1043">
        <v>336</v>
      </c>
      <c r="J177" s="1043">
        <f>L177+K177</f>
        <v>337</v>
      </c>
      <c r="K177" s="1043">
        <v>322</v>
      </c>
      <c r="L177" s="1575">
        <v>15</v>
      </c>
      <c r="M177" s="818"/>
      <c r="N177" s="813"/>
      <c r="O177" s="26"/>
      <c r="P177" s="711"/>
    </row>
    <row r="178" spans="1:35" ht="24" customHeight="1">
      <c r="A178" s="2750"/>
      <c r="B178" s="2751"/>
      <c r="C178" s="2805"/>
      <c r="D178" s="2806"/>
      <c r="E178" s="1164" t="s">
        <v>1280</v>
      </c>
      <c r="F178" s="843"/>
      <c r="G178" s="844">
        <v>23</v>
      </c>
      <c r="H178" s="1036">
        <v>440</v>
      </c>
      <c r="I178" s="1036">
        <v>483</v>
      </c>
      <c r="J178" s="1036">
        <f>L178+K178</f>
        <v>515</v>
      </c>
      <c r="K178" s="1036">
        <v>492</v>
      </c>
      <c r="L178" s="1575">
        <v>23</v>
      </c>
      <c r="M178" s="818"/>
      <c r="N178" s="813"/>
      <c r="O178" s="26">
        <v>56</v>
      </c>
    </row>
    <row r="179" spans="1:35" s="712" customFormat="1" ht="24" customHeight="1">
      <c r="A179" s="2736" t="s">
        <v>1074</v>
      </c>
      <c r="B179" s="2737"/>
      <c r="C179" s="2743" t="s">
        <v>32</v>
      </c>
      <c r="D179" s="2724"/>
      <c r="E179" s="2725"/>
      <c r="F179" s="1859">
        <f t="shared" ref="F179" si="33">SUM(F181:F181)</f>
        <v>0</v>
      </c>
      <c r="G179" s="1860">
        <f>SUM(G180:G181)</f>
        <v>16</v>
      </c>
      <c r="H179" s="1860">
        <f t="shared" ref="H179:L179" si="34">SUM(H180:H181)</f>
        <v>191</v>
      </c>
      <c r="I179" s="1860">
        <f t="shared" si="34"/>
        <v>184</v>
      </c>
      <c r="J179" s="1860">
        <f t="shared" si="34"/>
        <v>402</v>
      </c>
      <c r="K179" s="1860">
        <f t="shared" si="34"/>
        <v>370</v>
      </c>
      <c r="L179" s="1860">
        <f t="shared" si="34"/>
        <v>32</v>
      </c>
      <c r="M179" s="1861"/>
      <c r="N179" s="1862"/>
      <c r="O179" s="26"/>
      <c r="P179" s="711"/>
    </row>
    <row r="180" spans="1:35" s="712" customFormat="1" ht="24" customHeight="1">
      <c r="A180" s="2738"/>
      <c r="B180" s="2739"/>
      <c r="C180" s="1851" t="s">
        <v>1080</v>
      </c>
      <c r="D180" s="1855" t="s">
        <v>1075</v>
      </c>
      <c r="E180" s="1853" t="s">
        <v>1075</v>
      </c>
      <c r="F180" s="1873"/>
      <c r="G180" s="1879"/>
      <c r="H180" s="1866"/>
      <c r="I180" s="1866"/>
      <c r="J180" s="1866">
        <f>L180+K180</f>
        <v>201</v>
      </c>
      <c r="K180" s="1866">
        <v>185</v>
      </c>
      <c r="L180" s="1866">
        <v>16</v>
      </c>
      <c r="M180" s="1874"/>
      <c r="N180" s="1867"/>
      <c r="O180" s="26"/>
      <c r="P180" s="711"/>
    </row>
    <row r="181" spans="1:35" s="712" customFormat="1" ht="24" customHeight="1">
      <c r="A181" s="2756"/>
      <c r="B181" s="2757"/>
      <c r="C181" s="1854" t="s">
        <v>1080</v>
      </c>
      <c r="D181" s="1855" t="s">
        <v>2235</v>
      </c>
      <c r="E181" s="1856" t="s">
        <v>2235</v>
      </c>
      <c r="F181" s="1875"/>
      <c r="G181" s="1880">
        <v>16</v>
      </c>
      <c r="H181" s="1871">
        <v>191</v>
      </c>
      <c r="I181" s="1871">
        <v>184</v>
      </c>
      <c r="J181" s="1871">
        <f>L181+K181</f>
        <v>201</v>
      </c>
      <c r="K181" s="1871">
        <v>185</v>
      </c>
      <c r="L181" s="1871">
        <v>16</v>
      </c>
      <c r="M181" s="1876"/>
      <c r="N181" s="1872">
        <v>1</v>
      </c>
      <c r="O181" s="26"/>
      <c r="P181" s="711"/>
    </row>
    <row r="182" spans="1:35" ht="24" customHeight="1">
      <c r="A182" s="2736" t="s">
        <v>1076</v>
      </c>
      <c r="B182" s="2737"/>
      <c r="C182" s="2743" t="s">
        <v>32</v>
      </c>
      <c r="D182" s="2724"/>
      <c r="E182" s="2725"/>
      <c r="F182" s="1859">
        <f t="shared" ref="F182" si="35">SUM(F185:F185)</f>
        <v>0</v>
      </c>
      <c r="G182" s="1860">
        <f t="shared" ref="G182:L182" si="36">SUM(G183:G185)</f>
        <v>10</v>
      </c>
      <c r="H182" s="1860">
        <f t="shared" si="36"/>
        <v>248</v>
      </c>
      <c r="I182" s="1860">
        <f t="shared" si="36"/>
        <v>230</v>
      </c>
      <c r="J182" s="1860">
        <f t="shared" si="36"/>
        <v>569</v>
      </c>
      <c r="K182" s="1860">
        <f t="shared" si="36"/>
        <v>545</v>
      </c>
      <c r="L182" s="1860">
        <f t="shared" si="36"/>
        <v>24</v>
      </c>
      <c r="M182" s="1861"/>
      <c r="N182" s="1862"/>
      <c r="O182" s="26"/>
    </row>
    <row r="183" spans="1:35" s="712" customFormat="1" ht="24" customHeight="1">
      <c r="A183" s="2738"/>
      <c r="B183" s="2739"/>
      <c r="C183" s="1851" t="s">
        <v>1077</v>
      </c>
      <c r="D183" s="1852" t="s">
        <v>1078</v>
      </c>
      <c r="E183" s="1853" t="s">
        <v>1079</v>
      </c>
      <c r="F183" s="1877"/>
      <c r="G183" s="1874">
        <v>10</v>
      </c>
      <c r="H183" s="1866">
        <v>248</v>
      </c>
      <c r="I183" s="1866">
        <v>230</v>
      </c>
      <c r="J183" s="1866">
        <f>L183+K183</f>
        <v>255</v>
      </c>
      <c r="K183" s="1866">
        <v>244</v>
      </c>
      <c r="L183" s="1866">
        <v>11</v>
      </c>
      <c r="M183" s="1874"/>
      <c r="N183" s="1867"/>
      <c r="O183" s="26"/>
      <c r="P183" s="711"/>
    </row>
    <row r="184" spans="1:35" s="712" customFormat="1" ht="24" customHeight="1">
      <c r="A184" s="2738"/>
      <c r="B184" s="2739"/>
      <c r="C184" s="1851" t="s">
        <v>1077</v>
      </c>
      <c r="D184" s="1852" t="s">
        <v>1078</v>
      </c>
      <c r="E184" s="1853" t="s">
        <v>2221</v>
      </c>
      <c r="F184" s="1877"/>
      <c r="G184" s="1874"/>
      <c r="H184" s="1866"/>
      <c r="I184" s="1866"/>
      <c r="J184" s="1866">
        <f>L184+K184</f>
        <v>81</v>
      </c>
      <c r="K184" s="1866">
        <v>78</v>
      </c>
      <c r="L184" s="1866">
        <v>3</v>
      </c>
      <c r="M184" s="1874"/>
      <c r="N184" s="1867"/>
      <c r="O184" s="26"/>
      <c r="P184" s="711"/>
    </row>
    <row r="185" spans="1:35" ht="24" customHeight="1">
      <c r="A185" s="2740"/>
      <c r="B185" s="2741"/>
      <c r="C185" s="1854" t="s">
        <v>1077</v>
      </c>
      <c r="D185" s="1855" t="s">
        <v>2222</v>
      </c>
      <c r="E185" s="1856" t="s">
        <v>2223</v>
      </c>
      <c r="F185" s="1878"/>
      <c r="G185" s="1876"/>
      <c r="H185" s="1871"/>
      <c r="I185" s="1871"/>
      <c r="J185" s="1871">
        <f>L185+K185</f>
        <v>233</v>
      </c>
      <c r="K185" s="1871">
        <v>223</v>
      </c>
      <c r="L185" s="1871">
        <v>10</v>
      </c>
      <c r="M185" s="1876"/>
      <c r="N185" s="1872">
        <v>1</v>
      </c>
      <c r="O185" s="26"/>
    </row>
    <row r="186" spans="1:35" ht="24" customHeight="1">
      <c r="A186" s="12"/>
      <c r="B186" s="12"/>
      <c r="C186" s="12"/>
      <c r="D186" s="12"/>
      <c r="E186" s="12"/>
      <c r="F186" s="3"/>
      <c r="O186" s="24"/>
    </row>
    <row r="187" spans="1:35" ht="24" customHeight="1">
      <c r="A187" s="2638" t="s">
        <v>1237</v>
      </c>
      <c r="B187" s="2638"/>
      <c r="C187" s="2638"/>
      <c r="D187" s="2638"/>
      <c r="E187" s="2638"/>
      <c r="F187" s="3"/>
      <c r="O187" s="24"/>
    </row>
    <row r="188" spans="1:35" ht="39.950000000000003" customHeight="1">
      <c r="A188" s="13" t="s">
        <v>18</v>
      </c>
      <c r="B188" s="790" t="s">
        <v>19</v>
      </c>
      <c r="C188" s="797" t="s">
        <v>20</v>
      </c>
      <c r="D188" s="14" t="s">
        <v>21</v>
      </c>
      <c r="E188" s="823" t="s">
        <v>22</v>
      </c>
      <c r="F188" s="1068" t="s">
        <v>1266</v>
      </c>
      <c r="G188" s="835" t="s">
        <v>1265</v>
      </c>
      <c r="H188" s="1069" t="s">
        <v>1235</v>
      </c>
      <c r="I188" s="836" t="s">
        <v>909</v>
      </c>
      <c r="J188" s="836" t="s">
        <v>909</v>
      </c>
      <c r="K188" s="836" t="s">
        <v>910</v>
      </c>
      <c r="L188" s="836"/>
      <c r="M188" s="837" t="s">
        <v>187</v>
      </c>
      <c r="N188" s="838" t="s">
        <v>5</v>
      </c>
      <c r="O188" s="21"/>
    </row>
    <row r="189" spans="1:35" customFormat="1" ht="24" customHeight="1">
      <c r="A189" s="2758" t="s">
        <v>1018</v>
      </c>
      <c r="B189" s="2759"/>
      <c r="C189" s="2753" t="s">
        <v>10</v>
      </c>
      <c r="D189" s="2754"/>
      <c r="E189" s="2755"/>
      <c r="F189" s="1070">
        <f t="shared" ref="F189" si="37">SUM(F190:F200)</f>
        <v>0</v>
      </c>
      <c r="G189" s="1071">
        <f t="shared" ref="G189:H189" si="38">SUM(G190:G202)</f>
        <v>364</v>
      </c>
      <c r="H189" s="1071">
        <f t="shared" si="38"/>
        <v>2860</v>
      </c>
      <c r="I189" s="1071">
        <f>SUM(I190:I202)</f>
        <v>3144</v>
      </c>
      <c r="J189" s="1071">
        <f t="shared" ref="J189:L189" si="39">SUM(J190:J202)</f>
        <v>3157</v>
      </c>
      <c r="K189" s="1071">
        <f t="shared" si="39"/>
        <v>2803</v>
      </c>
      <c r="L189" s="1071">
        <f t="shared" si="39"/>
        <v>354</v>
      </c>
      <c r="M189" s="1064"/>
      <c r="N189" s="1072"/>
      <c r="O189" s="27"/>
      <c r="P189" s="6"/>
    </row>
    <row r="190" spans="1:35" s="599" customFormat="1" ht="24" customHeight="1">
      <c r="A190" s="2673"/>
      <c r="B190" s="2760"/>
      <c r="C190" s="2761" t="s">
        <v>1019</v>
      </c>
      <c r="D190" s="2752" t="s">
        <v>1020</v>
      </c>
      <c r="E190" s="815" t="s">
        <v>1021</v>
      </c>
      <c r="F190" s="1073"/>
      <c r="G190" s="1074">
        <v>66</v>
      </c>
      <c r="H190" s="1124">
        <v>550</v>
      </c>
      <c r="I190" s="1124">
        <v>554</v>
      </c>
      <c r="J190" s="1124">
        <f t="shared" ref="J190:J202" si="40">L190+K190</f>
        <v>625</v>
      </c>
      <c r="K190" s="1124">
        <v>561</v>
      </c>
      <c r="L190" s="1573">
        <v>64</v>
      </c>
      <c r="M190" s="1074"/>
      <c r="N190" s="743">
        <v>1</v>
      </c>
      <c r="O190" s="26"/>
      <c r="P190" s="1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s="599" customFormat="1" ht="24" customHeight="1">
      <c r="A191" s="2673"/>
      <c r="B191" s="2760"/>
      <c r="C191" s="2761"/>
      <c r="D191" s="2752"/>
      <c r="E191" s="815" t="s">
        <v>1022</v>
      </c>
      <c r="F191" s="1073"/>
      <c r="G191" s="1074">
        <v>26</v>
      </c>
      <c r="H191" s="1124">
        <v>221</v>
      </c>
      <c r="I191" s="1124">
        <v>228</v>
      </c>
      <c r="J191" s="1124">
        <f t="shared" si="40"/>
        <v>253</v>
      </c>
      <c r="K191" s="1124">
        <v>227</v>
      </c>
      <c r="L191" s="1573">
        <v>26</v>
      </c>
      <c r="M191" s="1074"/>
      <c r="N191" s="743">
        <v>1</v>
      </c>
      <c r="O191" s="26"/>
      <c r="P191" s="1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s="599" customFormat="1" ht="24" customHeight="1">
      <c r="A192" s="2673"/>
      <c r="B192" s="2760"/>
      <c r="C192" s="2761"/>
      <c r="D192" s="2752"/>
      <c r="E192" s="815" t="s">
        <v>1023</v>
      </c>
      <c r="F192" s="1073"/>
      <c r="G192" s="1074">
        <v>49</v>
      </c>
      <c r="H192" s="1124">
        <v>444</v>
      </c>
      <c r="I192" s="1124">
        <v>423</v>
      </c>
      <c r="J192" s="1124">
        <f t="shared" si="40"/>
        <v>441</v>
      </c>
      <c r="K192" s="1124">
        <v>396</v>
      </c>
      <c r="L192" s="1573">
        <v>45</v>
      </c>
      <c r="M192" s="1074"/>
      <c r="N192" s="743">
        <v>1</v>
      </c>
      <c r="O192" s="26"/>
      <c r="P192" s="1"/>
      <c r="Q192" s="2"/>
      <c r="R192" s="2"/>
      <c r="S192" s="2"/>
      <c r="T192" s="2"/>
      <c r="U192" s="9"/>
      <c r="V192" s="9"/>
      <c r="W192" s="9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21" customFormat="1" ht="24" customHeight="1">
      <c r="A193" s="2673"/>
      <c r="B193" s="2760"/>
      <c r="C193" s="2761"/>
      <c r="D193" s="2752"/>
      <c r="E193" s="1062" t="s">
        <v>1024</v>
      </c>
      <c r="F193" s="1065"/>
      <c r="G193" s="1124">
        <v>16</v>
      </c>
      <c r="H193" s="1124">
        <v>151</v>
      </c>
      <c r="I193" s="1124">
        <v>140</v>
      </c>
      <c r="J193" s="1124">
        <f t="shared" si="40"/>
        <v>157</v>
      </c>
      <c r="K193" s="1124">
        <v>141</v>
      </c>
      <c r="L193" s="1573">
        <v>16</v>
      </c>
      <c r="M193" s="1124"/>
      <c r="N193" s="743">
        <v>1</v>
      </c>
      <c r="O193" s="27"/>
      <c r="P193" s="6"/>
    </row>
    <row r="194" spans="1:21" customFormat="1" ht="24" customHeight="1">
      <c r="A194" s="2673"/>
      <c r="B194" s="2760"/>
      <c r="C194" s="2761"/>
      <c r="D194" s="2742" t="s">
        <v>1025</v>
      </c>
      <c r="E194" s="1062" t="s">
        <v>1026</v>
      </c>
      <c r="F194" s="1065"/>
      <c r="G194" s="1124">
        <v>34</v>
      </c>
      <c r="H194" s="1124">
        <v>313</v>
      </c>
      <c r="I194" s="1124">
        <v>298</v>
      </c>
      <c r="J194" s="1124">
        <f t="shared" si="40"/>
        <v>335</v>
      </c>
      <c r="K194" s="1124">
        <v>301</v>
      </c>
      <c r="L194" s="1573">
        <v>34</v>
      </c>
      <c r="M194" s="1124"/>
      <c r="N194" s="743">
        <v>1</v>
      </c>
      <c r="O194" s="27"/>
      <c r="P194" s="6"/>
    </row>
    <row r="195" spans="1:21" s="599" customFormat="1" ht="24" customHeight="1">
      <c r="A195" s="2673"/>
      <c r="B195" s="2760"/>
      <c r="C195" s="2761"/>
      <c r="D195" s="2742"/>
      <c r="E195" s="815" t="s">
        <v>1027</v>
      </c>
      <c r="F195" s="1073"/>
      <c r="G195" s="1074">
        <v>13</v>
      </c>
      <c r="H195" s="1124">
        <v>119</v>
      </c>
      <c r="I195" s="1124">
        <v>116</v>
      </c>
      <c r="J195" s="1124">
        <f t="shared" si="40"/>
        <v>128</v>
      </c>
      <c r="K195" s="1124">
        <v>115</v>
      </c>
      <c r="L195" s="1573">
        <v>13</v>
      </c>
      <c r="M195" s="1074"/>
      <c r="N195" s="1075"/>
      <c r="O195" s="27"/>
      <c r="P195" s="6"/>
    </row>
    <row r="196" spans="1:21" customFormat="1" ht="24" customHeight="1">
      <c r="A196" s="2673"/>
      <c r="B196" s="2760"/>
      <c r="C196" s="2761"/>
      <c r="D196" s="2742" t="s">
        <v>1028</v>
      </c>
      <c r="E196" s="1062" t="s">
        <v>1029</v>
      </c>
      <c r="F196" s="1065"/>
      <c r="G196" s="1124">
        <v>25</v>
      </c>
      <c r="H196" s="1124">
        <v>212</v>
      </c>
      <c r="I196" s="1124">
        <v>220</v>
      </c>
      <c r="J196" s="1124">
        <f t="shared" si="40"/>
        <v>249</v>
      </c>
      <c r="K196" s="1124">
        <v>224</v>
      </c>
      <c r="L196" s="1573">
        <v>25</v>
      </c>
      <c r="M196" s="1124"/>
      <c r="N196" s="743">
        <v>1</v>
      </c>
      <c r="O196" s="27"/>
      <c r="P196" s="6"/>
    </row>
    <row r="197" spans="1:21" customFormat="1" ht="24" customHeight="1">
      <c r="A197" s="2673"/>
      <c r="B197" s="2760"/>
      <c r="C197" s="2761"/>
      <c r="D197" s="2742"/>
      <c r="E197" s="1062" t="s">
        <v>1030</v>
      </c>
      <c r="F197" s="1065"/>
      <c r="G197" s="1124">
        <v>19</v>
      </c>
      <c r="H197" s="1124">
        <v>171</v>
      </c>
      <c r="I197" s="1124">
        <v>166</v>
      </c>
      <c r="J197" s="1124">
        <f t="shared" si="40"/>
        <v>183</v>
      </c>
      <c r="K197" s="1124">
        <v>164</v>
      </c>
      <c r="L197" s="1573">
        <v>19</v>
      </c>
      <c r="M197" s="1124"/>
      <c r="N197" s="743">
        <v>1</v>
      </c>
      <c r="O197" s="27"/>
      <c r="P197" s="6"/>
    </row>
    <row r="198" spans="1:21" s="599" customFormat="1" ht="24" customHeight="1">
      <c r="A198" s="2673"/>
      <c r="B198" s="2760"/>
      <c r="C198" s="2761"/>
      <c r="D198" s="2742" t="s">
        <v>1031</v>
      </c>
      <c r="E198" s="1062" t="s">
        <v>1032</v>
      </c>
      <c r="F198" s="1065"/>
      <c r="G198" s="1124">
        <v>19</v>
      </c>
      <c r="H198" s="1124">
        <v>167</v>
      </c>
      <c r="I198" s="1124">
        <v>163</v>
      </c>
      <c r="J198" s="1124">
        <f t="shared" si="40"/>
        <v>177</v>
      </c>
      <c r="K198" s="1124">
        <v>159</v>
      </c>
      <c r="L198" s="1573">
        <v>18</v>
      </c>
      <c r="M198" s="1124"/>
      <c r="N198" s="743"/>
      <c r="O198" s="27"/>
      <c r="P198" s="6"/>
    </row>
    <row r="199" spans="1:21" customFormat="1" ht="24" customHeight="1">
      <c r="A199" s="2673"/>
      <c r="B199" s="2760"/>
      <c r="C199" s="2761"/>
      <c r="D199" s="2742"/>
      <c r="E199" s="1062" t="s">
        <v>1033</v>
      </c>
      <c r="F199" s="1065"/>
      <c r="G199" s="1124">
        <v>35</v>
      </c>
      <c r="H199" s="1124">
        <v>307</v>
      </c>
      <c r="I199" s="1124">
        <v>306</v>
      </c>
      <c r="J199" s="1124">
        <f t="shared" si="40"/>
        <v>335</v>
      </c>
      <c r="K199" s="1124">
        <v>301</v>
      </c>
      <c r="L199" s="1573">
        <v>34</v>
      </c>
      <c r="M199" s="1124"/>
      <c r="N199" s="743">
        <v>1</v>
      </c>
      <c r="O199" s="27"/>
      <c r="P199" s="6"/>
    </row>
    <row r="200" spans="1:21" customFormat="1" ht="24" customHeight="1">
      <c r="A200" s="2673"/>
      <c r="B200" s="2760"/>
      <c r="C200" s="2761"/>
      <c r="D200" s="1124" t="s">
        <v>1034</v>
      </c>
      <c r="E200" s="1062" t="s">
        <v>1035</v>
      </c>
      <c r="F200" s="1065"/>
      <c r="G200" s="1124">
        <v>25</v>
      </c>
      <c r="H200" s="1124">
        <v>205</v>
      </c>
      <c r="I200" s="1124">
        <v>215</v>
      </c>
      <c r="J200" s="1124">
        <f t="shared" si="40"/>
        <v>238</v>
      </c>
      <c r="K200" s="1124">
        <v>214</v>
      </c>
      <c r="L200" s="1573">
        <v>24</v>
      </c>
      <c r="M200" s="1124"/>
      <c r="N200" s="743">
        <v>1</v>
      </c>
      <c r="O200" s="27"/>
      <c r="P200" s="8"/>
    </row>
    <row r="201" spans="1:21" s="599" customFormat="1" ht="24" customHeight="1">
      <c r="A201" s="2673"/>
      <c r="B201" s="2760"/>
      <c r="C201" s="2762"/>
      <c r="D201" s="1540" t="s">
        <v>1578</v>
      </c>
      <c r="E201" s="1063" t="s">
        <v>1580</v>
      </c>
      <c r="F201" s="1542"/>
      <c r="G201" s="1541">
        <v>16</v>
      </c>
      <c r="H201" s="1541"/>
      <c r="I201" s="1539">
        <v>137</v>
      </c>
      <c r="J201" s="1539">
        <f t="shared" si="40"/>
        <v>16</v>
      </c>
      <c r="K201" s="1541"/>
      <c r="L201" s="1575">
        <v>16</v>
      </c>
      <c r="M201" s="1541"/>
      <c r="N201" s="813"/>
      <c r="O201" s="27"/>
      <c r="P201" s="8"/>
    </row>
    <row r="202" spans="1:21" s="599" customFormat="1" ht="24" customHeight="1">
      <c r="A202" s="2673"/>
      <c r="B202" s="2760"/>
      <c r="C202" s="2763"/>
      <c r="D202" s="1125" t="s">
        <v>1579</v>
      </c>
      <c r="E202" s="1063" t="s">
        <v>1581</v>
      </c>
      <c r="F202" s="1066"/>
      <c r="G202" s="1125">
        <v>21</v>
      </c>
      <c r="H202" s="1125"/>
      <c r="I202" s="1125">
        <v>178</v>
      </c>
      <c r="J202" s="1539">
        <f t="shared" si="40"/>
        <v>20</v>
      </c>
      <c r="K202" s="1125"/>
      <c r="L202" s="1574">
        <v>20</v>
      </c>
      <c r="M202" s="1125"/>
      <c r="N202" s="746"/>
      <c r="O202" s="27"/>
      <c r="P202" s="8"/>
    </row>
    <row r="203" spans="1:21" s="599" customFormat="1" ht="24" customHeight="1">
      <c r="A203" s="2819" t="s">
        <v>1081</v>
      </c>
      <c r="B203" s="2826"/>
      <c r="C203" s="2819" t="s">
        <v>7</v>
      </c>
      <c r="D203" s="2820"/>
      <c r="E203" s="2821"/>
      <c r="F203" s="1059">
        <f t="shared" ref="F203:G203" si="41">+SUM(F204:F206)</f>
        <v>0</v>
      </c>
      <c r="G203" s="786">
        <f t="shared" si="41"/>
        <v>132</v>
      </c>
      <c r="H203" s="786">
        <f>+SUM(H204:H206)</f>
        <v>933</v>
      </c>
      <c r="I203" s="786">
        <f>+SUM(I204:I206)</f>
        <v>878</v>
      </c>
      <c r="J203" s="786">
        <f>+SUM(J204:J206)</f>
        <v>1024</v>
      </c>
      <c r="K203" s="786">
        <f>+SUM(K204:K206)</f>
        <v>895</v>
      </c>
      <c r="L203" s="786">
        <f>+SUM(L204:L206)</f>
        <v>129</v>
      </c>
      <c r="M203" s="1037"/>
      <c r="N203" s="779"/>
      <c r="O203" s="27"/>
      <c r="P203" s="8"/>
    </row>
    <row r="204" spans="1:21" s="599" customFormat="1" ht="24" customHeight="1">
      <c r="A204" s="2761"/>
      <c r="B204" s="2827"/>
      <c r="C204" s="2761" t="s">
        <v>1036</v>
      </c>
      <c r="D204" s="2742" t="s">
        <v>1037</v>
      </c>
      <c r="E204" s="1062" t="s">
        <v>1046</v>
      </c>
      <c r="F204" s="1065"/>
      <c r="G204" s="1035">
        <v>42</v>
      </c>
      <c r="H204" s="754">
        <v>295</v>
      </c>
      <c r="I204" s="1035">
        <v>279</v>
      </c>
      <c r="J204" s="1035">
        <f>L204+K204</f>
        <v>325</v>
      </c>
      <c r="K204" s="1035">
        <v>284</v>
      </c>
      <c r="L204" s="1573">
        <v>41</v>
      </c>
      <c r="M204" s="1035"/>
      <c r="N204" s="743">
        <f>+U204</f>
        <v>0.24456521739130435</v>
      </c>
      <c r="O204" s="27"/>
      <c r="P204" s="8">
        <f>ROUND(18*2.52,0)</f>
        <v>45</v>
      </c>
      <c r="R204" s="599" t="s">
        <v>427</v>
      </c>
      <c r="S204" s="603">
        <v>184</v>
      </c>
      <c r="U204" s="602">
        <f>+P204/S204</f>
        <v>0.24456521739130435</v>
      </c>
    </row>
    <row r="205" spans="1:21" s="599" customFormat="1" ht="24" customHeight="1">
      <c r="A205" s="2761"/>
      <c r="B205" s="2827"/>
      <c r="C205" s="2761"/>
      <c r="D205" s="2742"/>
      <c r="E205" s="1062" t="s">
        <v>1047</v>
      </c>
      <c r="F205" s="1065"/>
      <c r="G205" s="1035">
        <v>56</v>
      </c>
      <c r="H205" s="754">
        <v>404</v>
      </c>
      <c r="I205" s="1035">
        <v>374</v>
      </c>
      <c r="J205" s="1035">
        <f>L205+K205</f>
        <v>431</v>
      </c>
      <c r="K205" s="1035">
        <v>377</v>
      </c>
      <c r="L205" s="1573">
        <v>54</v>
      </c>
      <c r="M205" s="1035"/>
      <c r="N205" s="743"/>
      <c r="O205" s="27"/>
      <c r="P205" s="8"/>
      <c r="S205" s="603"/>
      <c r="U205" s="602"/>
    </row>
    <row r="206" spans="1:21" s="599" customFormat="1" ht="24" customHeight="1">
      <c r="A206" s="2763"/>
      <c r="B206" s="2828"/>
      <c r="C206" s="2763"/>
      <c r="D206" s="2823"/>
      <c r="E206" s="1063" t="s">
        <v>1048</v>
      </c>
      <c r="F206" s="1066"/>
      <c r="G206" s="1038">
        <v>34</v>
      </c>
      <c r="H206" s="1067">
        <v>234</v>
      </c>
      <c r="I206" s="1038">
        <v>225</v>
      </c>
      <c r="J206" s="1038">
        <f>L206+K206</f>
        <v>268</v>
      </c>
      <c r="K206" s="1038">
        <v>234</v>
      </c>
      <c r="L206" s="1574">
        <v>34</v>
      </c>
      <c r="M206" s="1038"/>
      <c r="N206" s="746"/>
      <c r="O206" s="27"/>
      <c r="P206" s="8"/>
      <c r="S206" s="603"/>
      <c r="U206" s="602"/>
    </row>
    <row r="207" spans="1:21" s="599" customFormat="1" ht="24" customHeight="1">
      <c r="A207" s="2815" t="s">
        <v>1082</v>
      </c>
      <c r="B207" s="2816"/>
      <c r="C207" s="2819" t="s">
        <v>7</v>
      </c>
      <c r="D207" s="2820"/>
      <c r="E207" s="2821"/>
      <c r="F207" s="1059">
        <f t="shared" ref="F207:G207" si="42">+SUM(F208:F209)</f>
        <v>0</v>
      </c>
      <c r="G207" s="786">
        <f t="shared" si="42"/>
        <v>25</v>
      </c>
      <c r="H207" s="786">
        <f>+SUM(H208:H209)</f>
        <v>175</v>
      </c>
      <c r="I207" s="786">
        <f t="shared" ref="I207" si="43">+SUM(I208:I209)</f>
        <v>168</v>
      </c>
      <c r="J207" s="786">
        <f t="shared" ref="J207:L207" si="44">+SUM(J208:J209)</f>
        <v>188</v>
      </c>
      <c r="K207" s="786">
        <f t="shared" si="44"/>
        <v>164</v>
      </c>
      <c r="L207" s="786">
        <f t="shared" si="44"/>
        <v>24</v>
      </c>
      <c r="M207" s="778"/>
      <c r="N207" s="779"/>
      <c r="O207" s="28"/>
      <c r="P207" s="8"/>
    </row>
    <row r="208" spans="1:21" s="599" customFormat="1" ht="24" customHeight="1">
      <c r="A208" s="2804"/>
      <c r="B208" s="2829"/>
      <c r="C208" s="2761" t="s">
        <v>1036</v>
      </c>
      <c r="D208" s="2742" t="s">
        <v>1038</v>
      </c>
      <c r="E208" s="1061" t="s">
        <v>1049</v>
      </c>
      <c r="F208" s="814"/>
      <c r="G208" s="753">
        <v>19</v>
      </c>
      <c r="H208" s="1035">
        <v>134</v>
      </c>
      <c r="I208" s="1035">
        <v>126</v>
      </c>
      <c r="J208" s="1035">
        <f>L208+K208</f>
        <v>142</v>
      </c>
      <c r="K208" s="1035">
        <v>124</v>
      </c>
      <c r="L208" s="1573">
        <v>18</v>
      </c>
      <c r="M208" s="753"/>
      <c r="N208" s="743">
        <v>1</v>
      </c>
      <c r="O208" s="28"/>
      <c r="P208" s="8"/>
    </row>
    <row r="209" spans="1:16" s="599" customFormat="1" ht="24" customHeight="1">
      <c r="A209" s="2808"/>
      <c r="B209" s="2822"/>
      <c r="C209" s="2763"/>
      <c r="D209" s="2823"/>
      <c r="E209" s="1058" t="s">
        <v>1050</v>
      </c>
      <c r="F209" s="1057"/>
      <c r="G209" s="765">
        <v>6</v>
      </c>
      <c r="H209" s="1038">
        <v>41</v>
      </c>
      <c r="I209" s="1038">
        <v>42</v>
      </c>
      <c r="J209" s="1038">
        <f>L209+K209</f>
        <v>46</v>
      </c>
      <c r="K209" s="1038">
        <v>40</v>
      </c>
      <c r="L209" s="1574">
        <v>6</v>
      </c>
      <c r="M209" s="765"/>
      <c r="N209" s="746"/>
      <c r="O209" s="28"/>
      <c r="P209" s="8"/>
    </row>
    <row r="210" spans="1:16" s="599" customFormat="1" ht="24" customHeight="1">
      <c r="A210" s="2815" t="s">
        <v>1083</v>
      </c>
      <c r="B210" s="2816"/>
      <c r="C210" s="2819" t="s">
        <v>7</v>
      </c>
      <c r="D210" s="2820"/>
      <c r="E210" s="2821"/>
      <c r="F210" s="1059">
        <f t="shared" ref="F210:G210" si="45">+F211</f>
        <v>0</v>
      </c>
      <c r="G210" s="786">
        <f t="shared" si="45"/>
        <v>34</v>
      </c>
      <c r="H210" s="786">
        <f>+H211</f>
        <v>286</v>
      </c>
      <c r="I210" s="786">
        <f>+I211</f>
        <v>294</v>
      </c>
      <c r="J210" s="786">
        <f>+J211</f>
        <v>330</v>
      </c>
      <c r="K210" s="786">
        <f>+K211</f>
        <v>296</v>
      </c>
      <c r="L210" s="786">
        <f>+L211</f>
        <v>34</v>
      </c>
      <c r="M210" s="1039"/>
      <c r="N210" s="779"/>
      <c r="O210" s="28"/>
      <c r="P210" s="8"/>
    </row>
    <row r="211" spans="1:16" s="599" customFormat="1" ht="24" customHeight="1">
      <c r="A211" s="2817"/>
      <c r="B211" s="2818"/>
      <c r="C211" s="798" t="s">
        <v>1019</v>
      </c>
      <c r="D211" s="789" t="s">
        <v>1039</v>
      </c>
      <c r="E211" s="1060" t="s">
        <v>1045</v>
      </c>
      <c r="F211" s="1057"/>
      <c r="G211" s="765">
        <v>34</v>
      </c>
      <c r="H211" s="1038">
        <v>286</v>
      </c>
      <c r="I211" s="1038">
        <v>294</v>
      </c>
      <c r="J211" s="1038">
        <f>L211+K211</f>
        <v>330</v>
      </c>
      <c r="K211" s="1038">
        <v>296</v>
      </c>
      <c r="L211" s="1574">
        <v>34</v>
      </c>
      <c r="M211" s="765"/>
      <c r="N211" s="746">
        <v>1</v>
      </c>
      <c r="O211" s="28"/>
      <c r="P211" s="8"/>
    </row>
    <row r="212" spans="1:16" s="599" customFormat="1" ht="24" customHeight="1">
      <c r="A212" s="2815" t="s">
        <v>1043</v>
      </c>
      <c r="B212" s="2816"/>
      <c r="C212" s="2819" t="s">
        <v>7</v>
      </c>
      <c r="D212" s="2820"/>
      <c r="E212" s="2821"/>
      <c r="F212" s="1059">
        <f t="shared" ref="F212:G212" si="46">+F213</f>
        <v>0</v>
      </c>
      <c r="G212" s="786">
        <f t="shared" si="46"/>
        <v>16</v>
      </c>
      <c r="H212" s="786">
        <f>+H213</f>
        <v>409</v>
      </c>
      <c r="I212" s="786">
        <f>+I213</f>
        <v>394</v>
      </c>
      <c r="J212" s="786">
        <f>+J213</f>
        <v>407</v>
      </c>
      <c r="K212" s="786">
        <f>+K213</f>
        <v>390</v>
      </c>
      <c r="L212" s="786">
        <f>+L213</f>
        <v>17</v>
      </c>
      <c r="M212" s="1039"/>
      <c r="N212" s="779"/>
      <c r="O212" s="28"/>
      <c r="P212" s="8"/>
    </row>
    <row r="213" spans="1:16" s="599" customFormat="1" ht="24" customHeight="1">
      <c r="A213" s="2808"/>
      <c r="B213" s="2822"/>
      <c r="C213" s="799" t="s">
        <v>1040</v>
      </c>
      <c r="D213" s="788" t="s">
        <v>1041</v>
      </c>
      <c r="E213" s="1058" t="s">
        <v>1043</v>
      </c>
      <c r="F213" s="1057"/>
      <c r="G213" s="765">
        <v>16</v>
      </c>
      <c r="H213" s="1038">
        <v>409</v>
      </c>
      <c r="I213" s="1038">
        <v>394</v>
      </c>
      <c r="J213" s="1038">
        <f>L213+K213</f>
        <v>407</v>
      </c>
      <c r="K213" s="1038">
        <v>390</v>
      </c>
      <c r="L213" s="1574">
        <v>17</v>
      </c>
      <c r="M213" s="765"/>
      <c r="N213" s="746">
        <v>1</v>
      </c>
      <c r="O213" s="28"/>
      <c r="P213" s="8"/>
    </row>
    <row r="214" spans="1:16" customFormat="1" ht="24" customHeight="1">
      <c r="A214" s="2815" t="s">
        <v>1084</v>
      </c>
      <c r="B214" s="2816"/>
      <c r="C214" s="2736" t="s">
        <v>10</v>
      </c>
      <c r="D214" s="2770"/>
      <c r="E214" s="2771"/>
      <c r="F214" s="1059">
        <f t="shared" ref="F214:G214" si="47">+F215</f>
        <v>0</v>
      </c>
      <c r="G214" s="786">
        <f t="shared" si="47"/>
        <v>9</v>
      </c>
      <c r="H214" s="786">
        <f>+H215</f>
        <v>197</v>
      </c>
      <c r="I214" s="786">
        <f>+I215</f>
        <v>205</v>
      </c>
      <c r="J214" s="786">
        <f>+J215</f>
        <v>208</v>
      </c>
      <c r="K214" s="786">
        <f>+K215</f>
        <v>199</v>
      </c>
      <c r="L214" s="786">
        <f>+L215</f>
        <v>9</v>
      </c>
      <c r="M214" s="785"/>
      <c r="N214" s="787"/>
      <c r="O214" s="29"/>
      <c r="P214" s="8"/>
    </row>
    <row r="215" spans="1:16" customFormat="1" ht="24" customHeight="1">
      <c r="A215" s="2817"/>
      <c r="B215" s="2818"/>
      <c r="C215" s="756" t="s">
        <v>1040</v>
      </c>
      <c r="D215" s="757" t="s">
        <v>1042</v>
      </c>
      <c r="E215" s="1055" t="s">
        <v>1044</v>
      </c>
      <c r="F215" s="1057"/>
      <c r="G215" s="765">
        <v>9</v>
      </c>
      <c r="H215" s="765">
        <v>197</v>
      </c>
      <c r="I215" s="765">
        <v>205</v>
      </c>
      <c r="J215" s="1038">
        <f>L215+K215</f>
        <v>208</v>
      </c>
      <c r="K215" s="765">
        <v>199</v>
      </c>
      <c r="L215" s="765">
        <v>9</v>
      </c>
      <c r="M215" s="765"/>
      <c r="N215" s="746">
        <v>1</v>
      </c>
      <c r="O215" s="30"/>
      <c r="P215" s="8"/>
    </row>
    <row r="216" spans="1:16" s="712" customFormat="1" ht="24" customHeight="1">
      <c r="A216" s="65"/>
      <c r="B216" s="65"/>
      <c r="C216" s="66"/>
      <c r="D216" s="67"/>
      <c r="E216" s="67"/>
      <c r="F216" s="67"/>
      <c r="G216" s="68"/>
      <c r="H216" s="68"/>
      <c r="I216" s="71"/>
      <c r="J216" s="69"/>
      <c r="K216" s="69"/>
      <c r="L216" s="69"/>
      <c r="M216" s="69"/>
      <c r="N216" s="70"/>
      <c r="O216" s="23"/>
      <c r="P216" s="711"/>
    </row>
    <row r="217" spans="1:16" s="712" customFormat="1" ht="24" customHeight="1">
      <c r="A217" s="2638" t="s">
        <v>1346</v>
      </c>
      <c r="B217" s="2638"/>
      <c r="C217" s="2638"/>
      <c r="D217" s="2638"/>
      <c r="E217" s="2638"/>
      <c r="F217" s="3"/>
      <c r="G217" s="711"/>
      <c r="H217" s="711"/>
      <c r="I217" s="711"/>
      <c r="J217" s="711"/>
      <c r="K217" s="711"/>
      <c r="L217" s="711"/>
      <c r="M217" s="711"/>
      <c r="N217" s="17" t="s">
        <v>35</v>
      </c>
      <c r="O217" s="24"/>
      <c r="P217" s="711"/>
    </row>
    <row r="218" spans="1:16" s="712" customFormat="1" ht="39.950000000000003" customHeight="1">
      <c r="A218" s="801" t="s">
        <v>0</v>
      </c>
      <c r="B218" s="802" t="s">
        <v>13</v>
      </c>
      <c r="C218" s="797" t="s">
        <v>14</v>
      </c>
      <c r="D218" s="14" t="s">
        <v>15</v>
      </c>
      <c r="E218" s="823" t="s">
        <v>16</v>
      </c>
      <c r="F218" s="840" t="s">
        <v>1266</v>
      </c>
      <c r="G218" s="824" t="s">
        <v>1265</v>
      </c>
      <c r="H218" s="825" t="s">
        <v>1235</v>
      </c>
      <c r="I218" s="826" t="s">
        <v>909</v>
      </c>
      <c r="J218" s="826" t="s">
        <v>909</v>
      </c>
      <c r="K218" s="826" t="s">
        <v>910</v>
      </c>
      <c r="L218" s="826"/>
      <c r="M218" s="827" t="s">
        <v>187</v>
      </c>
      <c r="N218" s="828" t="s">
        <v>5</v>
      </c>
      <c r="O218" s="21"/>
      <c r="P218" s="711"/>
    </row>
    <row r="219" spans="1:16" s="712" customFormat="1" ht="24" customHeight="1">
      <c r="A219" s="2736" t="s">
        <v>1348</v>
      </c>
      <c r="B219" s="2737"/>
      <c r="C219" s="2764" t="s">
        <v>32</v>
      </c>
      <c r="D219" s="2824"/>
      <c r="E219" s="2825"/>
      <c r="F219" s="1059">
        <f t="shared" ref="F219:L219" si="48">SUM(F220:F220)</f>
        <v>0</v>
      </c>
      <c r="G219" s="786">
        <f t="shared" si="48"/>
        <v>0</v>
      </c>
      <c r="H219" s="786">
        <f t="shared" si="48"/>
        <v>0</v>
      </c>
      <c r="I219" s="786">
        <f t="shared" si="48"/>
        <v>165</v>
      </c>
      <c r="J219" s="786">
        <f t="shared" si="48"/>
        <v>177</v>
      </c>
      <c r="K219" s="786">
        <f t="shared" si="48"/>
        <v>163</v>
      </c>
      <c r="L219" s="786">
        <f t="shared" si="48"/>
        <v>14</v>
      </c>
      <c r="M219" s="778"/>
      <c r="N219" s="779"/>
      <c r="O219" s="26"/>
      <c r="P219" s="711"/>
    </row>
    <row r="220" spans="1:16" s="712" customFormat="1" ht="24" customHeight="1">
      <c r="A220" s="2756"/>
      <c r="B220" s="2757"/>
      <c r="C220" s="1823" t="s">
        <v>637</v>
      </c>
      <c r="D220" s="1820" t="s">
        <v>1369</v>
      </c>
      <c r="E220" s="1824" t="s">
        <v>1348</v>
      </c>
      <c r="F220" s="845"/>
      <c r="G220" s="846"/>
      <c r="H220" s="1125"/>
      <c r="I220" s="1125">
        <v>165</v>
      </c>
      <c r="J220" s="1829">
        <f>L220+K220</f>
        <v>177</v>
      </c>
      <c r="K220" s="1125">
        <v>163</v>
      </c>
      <c r="L220" s="1574">
        <v>14</v>
      </c>
      <c r="M220" s="777"/>
      <c r="N220" s="746">
        <v>1</v>
      </c>
      <c r="O220" s="26"/>
      <c r="P220" s="711"/>
    </row>
    <row r="221" spans="1:16" s="712" customFormat="1" ht="24" customHeight="1">
      <c r="A221" s="2736" t="s">
        <v>1349</v>
      </c>
      <c r="B221" s="2737"/>
      <c r="C221" s="2736" t="s">
        <v>32</v>
      </c>
      <c r="D221" s="2770"/>
      <c r="E221" s="2771"/>
      <c r="F221" s="1059">
        <f t="shared" ref="F221:G221" si="49">SUM(F223:F223)</f>
        <v>0</v>
      </c>
      <c r="G221" s="786">
        <f t="shared" si="49"/>
        <v>0</v>
      </c>
      <c r="H221" s="786">
        <f>SUM(H223:H223)</f>
        <v>0</v>
      </c>
      <c r="I221" s="786">
        <f>SUM(I222:I223)</f>
        <v>451</v>
      </c>
      <c r="J221" s="786">
        <f>SUM(J222:J223)</f>
        <v>486</v>
      </c>
      <c r="K221" s="786">
        <f>SUM(K222:K223)</f>
        <v>448</v>
      </c>
      <c r="L221" s="786">
        <f>SUM(L222:L223)</f>
        <v>38</v>
      </c>
      <c r="M221" s="778"/>
      <c r="N221" s="779"/>
      <c r="O221" s="26"/>
      <c r="P221" s="711"/>
    </row>
    <row r="222" spans="1:16" s="712" customFormat="1" ht="24" customHeight="1">
      <c r="A222" s="2738"/>
      <c r="B222" s="2739"/>
      <c r="C222" s="1826" t="s">
        <v>637</v>
      </c>
      <c r="D222" s="1820" t="s">
        <v>1368</v>
      </c>
      <c r="E222" s="1831" t="s">
        <v>1349</v>
      </c>
      <c r="F222" s="1076"/>
      <c r="G222" s="777"/>
      <c r="H222" s="1829"/>
      <c r="I222" s="1829">
        <v>198</v>
      </c>
      <c r="J222" s="1829">
        <f>L222+K222</f>
        <v>218</v>
      </c>
      <c r="K222" s="1829">
        <v>201</v>
      </c>
      <c r="L222" s="1829">
        <v>17</v>
      </c>
      <c r="M222" s="1839"/>
      <c r="N222" s="1840"/>
      <c r="O222" s="26"/>
      <c r="P222" s="711"/>
    </row>
    <row r="223" spans="1:16" s="712" customFormat="1" ht="24" customHeight="1">
      <c r="A223" s="2772"/>
      <c r="B223" s="2773"/>
      <c r="C223" s="1827" t="s">
        <v>637</v>
      </c>
      <c r="D223" s="1163" t="s">
        <v>1368</v>
      </c>
      <c r="E223" s="1164" t="s">
        <v>1350</v>
      </c>
      <c r="F223" s="1841"/>
      <c r="G223" s="844"/>
      <c r="H223" s="1821"/>
      <c r="I223" s="1821">
        <v>253</v>
      </c>
      <c r="J223" s="1829">
        <f>L223+K223</f>
        <v>268</v>
      </c>
      <c r="K223" s="1821">
        <v>247</v>
      </c>
      <c r="L223" s="1821">
        <v>21</v>
      </c>
      <c r="M223" s="818"/>
      <c r="N223" s="813">
        <v>1</v>
      </c>
      <c r="O223" s="26"/>
      <c r="P223" s="711"/>
    </row>
    <row r="224" spans="1:16" s="1846" customFormat="1" ht="24" customHeight="1">
      <c r="A224" s="2764" t="s">
        <v>1351</v>
      </c>
      <c r="B224" s="2825"/>
      <c r="C224" s="2764" t="s">
        <v>32</v>
      </c>
      <c r="D224" s="2824"/>
      <c r="E224" s="2765"/>
      <c r="F224" s="1834">
        <f t="shared" ref="F224:G224" si="50">SUM(F226:F226)</f>
        <v>0</v>
      </c>
      <c r="G224" s="1835">
        <f t="shared" si="50"/>
        <v>0</v>
      </c>
      <c r="H224" s="1835">
        <f>SUM(H226:H226)</f>
        <v>0</v>
      </c>
      <c r="I224" s="1835">
        <f>SUM(I226:I226)</f>
        <v>137</v>
      </c>
      <c r="J224" s="1835">
        <f>SUM(J226:J226)</f>
        <v>172</v>
      </c>
      <c r="K224" s="1835">
        <f>SUM(K226:K226)</f>
        <v>141</v>
      </c>
      <c r="L224" s="1835">
        <f>SUM(L226:L226)</f>
        <v>31</v>
      </c>
      <c r="M224" s="1836"/>
      <c r="N224" s="1844"/>
      <c r="O224" s="1845"/>
    </row>
    <row r="225" spans="1:16" s="711" customFormat="1" ht="24" customHeight="1">
      <c r="A225" s="2738"/>
      <c r="B225" s="2739"/>
      <c r="C225" s="1823" t="s">
        <v>642</v>
      </c>
      <c r="D225" s="1820" t="s">
        <v>1367</v>
      </c>
      <c r="E225" s="1831" t="s">
        <v>1351</v>
      </c>
      <c r="F225" s="1837"/>
      <c r="G225" s="1838"/>
      <c r="H225" s="1838"/>
      <c r="I225" s="1842">
        <v>137</v>
      </c>
      <c r="J225" s="1829">
        <f>L225+K225</f>
        <v>172</v>
      </c>
      <c r="K225" s="1842">
        <v>141</v>
      </c>
      <c r="L225" s="1842">
        <v>31</v>
      </c>
      <c r="M225" s="1839"/>
      <c r="N225" s="1840"/>
      <c r="O225" s="26"/>
    </row>
    <row r="226" spans="1:16" s="1849" customFormat="1" ht="24" customHeight="1">
      <c r="A226" s="2740"/>
      <c r="B226" s="2741"/>
      <c r="C226" s="1823" t="s">
        <v>642</v>
      </c>
      <c r="D226" s="1820" t="s">
        <v>1367</v>
      </c>
      <c r="E226" s="1831" t="s">
        <v>2244</v>
      </c>
      <c r="F226" s="1847"/>
      <c r="G226" s="1843"/>
      <c r="H226" s="1842"/>
      <c r="I226" s="1842">
        <v>137</v>
      </c>
      <c r="J226" s="1829">
        <f>L226+K226</f>
        <v>172</v>
      </c>
      <c r="K226" s="1842">
        <v>141</v>
      </c>
      <c r="L226" s="1842">
        <v>31</v>
      </c>
      <c r="M226" s="1843"/>
      <c r="N226" s="761">
        <v>1</v>
      </c>
      <c r="O226" s="1848"/>
    </row>
    <row r="227" spans="1:16" s="712" customFormat="1" ht="24" customHeight="1">
      <c r="A227" s="2736" t="s">
        <v>1352</v>
      </c>
      <c r="B227" s="2737"/>
      <c r="C227" s="2736" t="s">
        <v>32</v>
      </c>
      <c r="D227" s="2770"/>
      <c r="E227" s="2771"/>
      <c r="F227" s="1056">
        <f t="shared" ref="F227:G227" si="51">SUM(F228:F228)</f>
        <v>0</v>
      </c>
      <c r="G227" s="784">
        <f t="shared" si="51"/>
        <v>0</v>
      </c>
      <c r="H227" s="784">
        <f>SUM(H228:H228)</f>
        <v>0</v>
      </c>
      <c r="I227" s="784">
        <f>SUM(I228:I228)</f>
        <v>225</v>
      </c>
      <c r="J227" s="784">
        <f>SUM(J228:J228)</f>
        <v>232</v>
      </c>
      <c r="K227" s="784">
        <f>SUM(K228:K228)</f>
        <v>222</v>
      </c>
      <c r="L227" s="784">
        <f>SUM(L228:L228)</f>
        <v>10</v>
      </c>
      <c r="M227" s="775"/>
      <c r="N227" s="776"/>
      <c r="O227" s="26"/>
      <c r="P227" s="711"/>
    </row>
    <row r="228" spans="1:16" s="712" customFormat="1" ht="24" customHeight="1">
      <c r="A228" s="2756"/>
      <c r="B228" s="2757"/>
      <c r="C228" s="1126" t="s">
        <v>699</v>
      </c>
      <c r="D228" s="1122" t="s">
        <v>1365</v>
      </c>
      <c r="E228" s="817" t="s">
        <v>1366</v>
      </c>
      <c r="F228" s="845"/>
      <c r="G228" s="846"/>
      <c r="H228" s="1125"/>
      <c r="I228" s="1125">
        <v>225</v>
      </c>
      <c r="J228" s="1829">
        <f>L228+K228</f>
        <v>232</v>
      </c>
      <c r="K228" s="1125">
        <v>222</v>
      </c>
      <c r="L228" s="1574">
        <v>10</v>
      </c>
      <c r="M228" s="777"/>
      <c r="N228" s="746">
        <v>1</v>
      </c>
      <c r="O228" s="26"/>
      <c r="P228" s="711"/>
    </row>
    <row r="229" spans="1:16" s="712" customFormat="1" ht="24" customHeight="1">
      <c r="A229" s="2764" t="s">
        <v>1353</v>
      </c>
      <c r="B229" s="2765"/>
      <c r="C229" s="2767" t="s">
        <v>32</v>
      </c>
      <c r="D229" s="2768"/>
      <c r="E229" s="2769"/>
      <c r="F229" s="1162">
        <f t="shared" ref="F229:L229" si="52">SUM(F230:F230)</f>
        <v>0</v>
      </c>
      <c r="G229" s="784">
        <f t="shared" si="52"/>
        <v>0</v>
      </c>
      <c r="H229" s="784">
        <f t="shared" si="52"/>
        <v>0</v>
      </c>
      <c r="I229" s="784">
        <f t="shared" si="52"/>
        <v>150</v>
      </c>
      <c r="J229" s="784">
        <f t="shared" si="52"/>
        <v>150</v>
      </c>
      <c r="K229" s="784">
        <f t="shared" si="52"/>
        <v>143</v>
      </c>
      <c r="L229" s="784">
        <f t="shared" si="52"/>
        <v>7</v>
      </c>
      <c r="M229" s="775"/>
      <c r="N229" s="781"/>
      <c r="O229" s="26"/>
      <c r="P229" s="711"/>
    </row>
    <row r="230" spans="1:16" s="712" customFormat="1" ht="24" customHeight="1">
      <c r="A230" s="2740"/>
      <c r="B230" s="2766"/>
      <c r="C230" s="1850" t="s">
        <v>1359</v>
      </c>
      <c r="D230" s="1163" t="s">
        <v>1364</v>
      </c>
      <c r="E230" s="1164" t="s">
        <v>1353</v>
      </c>
      <c r="F230" s="1841"/>
      <c r="G230" s="818"/>
      <c r="H230" s="1821"/>
      <c r="I230" s="1821">
        <v>150</v>
      </c>
      <c r="J230" s="1821">
        <f>L230+K230</f>
        <v>150</v>
      </c>
      <c r="K230" s="1821">
        <v>143</v>
      </c>
      <c r="L230" s="1575">
        <v>7</v>
      </c>
      <c r="M230" s="818"/>
      <c r="N230" s="813">
        <v>1</v>
      </c>
      <c r="O230" s="26"/>
      <c r="P230" s="711"/>
    </row>
    <row r="231" spans="1:16" s="712" customFormat="1" ht="24" customHeight="1">
      <c r="A231" s="2736" t="s">
        <v>1354</v>
      </c>
      <c r="B231" s="2737"/>
      <c r="C231" s="2743" t="s">
        <v>32</v>
      </c>
      <c r="D231" s="2724"/>
      <c r="E231" s="2725"/>
      <c r="F231" s="1859">
        <f t="shared" ref="F231:G231" si="53">SUM(F234:F234)</f>
        <v>0</v>
      </c>
      <c r="G231" s="1860">
        <f t="shared" si="53"/>
        <v>0</v>
      </c>
      <c r="H231" s="1860">
        <f>SUM(H234:H234)</f>
        <v>0</v>
      </c>
      <c r="I231" s="1860">
        <f>SUM(I234:I234)</f>
        <v>0</v>
      </c>
      <c r="J231" s="1860">
        <f>SUM(J232:J234)</f>
        <v>428</v>
      </c>
      <c r="K231" s="1860">
        <f>SUM(K232:K234)</f>
        <v>411</v>
      </c>
      <c r="L231" s="1860">
        <f>SUM(L232:L234)</f>
        <v>17</v>
      </c>
      <c r="M231" s="1861"/>
      <c r="N231" s="1862"/>
      <c r="O231" s="26"/>
      <c r="P231" s="711"/>
    </row>
    <row r="232" spans="1:16" s="712" customFormat="1" ht="24" customHeight="1">
      <c r="A232" s="2738"/>
      <c r="B232" s="2739"/>
      <c r="C232" s="1851" t="s">
        <v>1360</v>
      </c>
      <c r="D232" s="1852" t="s">
        <v>1363</v>
      </c>
      <c r="E232" s="1853" t="s">
        <v>2224</v>
      </c>
      <c r="F232" s="1873"/>
      <c r="G232" s="1874"/>
      <c r="H232" s="1866"/>
      <c r="I232" s="1866"/>
      <c r="J232" s="1866">
        <f>L232+K232</f>
        <v>130</v>
      </c>
      <c r="K232" s="1866">
        <v>125</v>
      </c>
      <c r="L232" s="1866">
        <v>5</v>
      </c>
      <c r="M232" s="1874"/>
      <c r="N232" s="1867"/>
      <c r="O232" s="26"/>
      <c r="P232" s="711"/>
    </row>
    <row r="233" spans="1:16" s="712" customFormat="1" ht="24" customHeight="1">
      <c r="A233" s="2738"/>
      <c r="B233" s="2739"/>
      <c r="C233" s="1851" t="s">
        <v>1360</v>
      </c>
      <c r="D233" s="1852" t="s">
        <v>1363</v>
      </c>
      <c r="E233" s="1853" t="s">
        <v>1354</v>
      </c>
      <c r="F233" s="1873"/>
      <c r="G233" s="1874"/>
      <c r="H233" s="1866"/>
      <c r="I233" s="1866">
        <v>164</v>
      </c>
      <c r="J233" s="1866">
        <f>L233+K233</f>
        <v>183</v>
      </c>
      <c r="K233" s="1866">
        <v>176</v>
      </c>
      <c r="L233" s="1866">
        <v>7</v>
      </c>
      <c r="M233" s="1874"/>
      <c r="N233" s="1867"/>
      <c r="O233" s="26"/>
      <c r="P233" s="711"/>
    </row>
    <row r="234" spans="1:16" s="712" customFormat="1" ht="24" customHeight="1">
      <c r="A234" s="2756"/>
      <c r="B234" s="2757"/>
      <c r="C234" s="1854" t="s">
        <v>1360</v>
      </c>
      <c r="D234" s="1855" t="s">
        <v>1363</v>
      </c>
      <c r="E234" s="1856" t="s">
        <v>2225</v>
      </c>
      <c r="F234" s="1875"/>
      <c r="G234" s="1876"/>
      <c r="H234" s="1871"/>
      <c r="I234" s="1871"/>
      <c r="J234" s="1871">
        <f>L234+K234</f>
        <v>115</v>
      </c>
      <c r="K234" s="1871">
        <v>110</v>
      </c>
      <c r="L234" s="1871">
        <v>5</v>
      </c>
      <c r="M234" s="1876"/>
      <c r="N234" s="1872">
        <v>1</v>
      </c>
      <c r="O234" s="26"/>
      <c r="P234" s="711"/>
    </row>
    <row r="235" spans="1:16" s="712" customFormat="1" ht="24" customHeight="1">
      <c r="A235" s="2736" t="s">
        <v>1355</v>
      </c>
      <c r="B235" s="2737"/>
      <c r="C235" s="2736" t="s">
        <v>32</v>
      </c>
      <c r="D235" s="2770"/>
      <c r="E235" s="2771"/>
      <c r="F235" s="1059">
        <f t="shared" ref="F235:H235" si="54">SUM(F237:F237)</f>
        <v>0</v>
      </c>
      <c r="G235" s="786">
        <f t="shared" si="54"/>
        <v>0</v>
      </c>
      <c r="H235" s="786">
        <f t="shared" si="54"/>
        <v>0</v>
      </c>
      <c r="I235" s="786">
        <f>SUM(I236:I237)</f>
        <v>171</v>
      </c>
      <c r="J235" s="786">
        <f>SUM(J236:J237)</f>
        <v>333</v>
      </c>
      <c r="K235" s="786">
        <f>SUM(K236:K237)</f>
        <v>320</v>
      </c>
      <c r="L235" s="786">
        <f>SUM(L236:L237)</f>
        <v>13</v>
      </c>
      <c r="M235" s="778"/>
      <c r="N235" s="779"/>
      <c r="O235" s="26"/>
      <c r="P235" s="711"/>
    </row>
    <row r="236" spans="1:16" s="712" customFormat="1" ht="24" customHeight="1">
      <c r="A236" s="2738"/>
      <c r="B236" s="2739"/>
      <c r="C236" s="1826" t="s">
        <v>1360</v>
      </c>
      <c r="D236" s="1825" t="s">
        <v>1362</v>
      </c>
      <c r="E236" s="1830" t="s">
        <v>2226</v>
      </c>
      <c r="F236" s="845"/>
      <c r="G236" s="777"/>
      <c r="H236" s="1829"/>
      <c r="I236" s="1829"/>
      <c r="J236" s="1829">
        <f>L236+K236</f>
        <v>155</v>
      </c>
      <c r="K236" s="1829">
        <v>149</v>
      </c>
      <c r="L236" s="1829">
        <v>6</v>
      </c>
      <c r="M236" s="1839"/>
      <c r="N236" s="1840"/>
      <c r="O236" s="26"/>
      <c r="P236" s="711"/>
    </row>
    <row r="237" spans="1:16" s="712" customFormat="1" ht="24" customHeight="1">
      <c r="A237" s="2756"/>
      <c r="B237" s="2757"/>
      <c r="C237" s="1123" t="s">
        <v>1360</v>
      </c>
      <c r="D237" s="1122" t="s">
        <v>1362</v>
      </c>
      <c r="E237" s="817" t="s">
        <v>1355</v>
      </c>
      <c r="F237" s="845"/>
      <c r="G237" s="777"/>
      <c r="H237" s="1125"/>
      <c r="I237" s="1125">
        <v>171</v>
      </c>
      <c r="J237" s="1829">
        <f>L237+K237</f>
        <v>178</v>
      </c>
      <c r="K237" s="1125">
        <v>171</v>
      </c>
      <c r="L237" s="1574">
        <v>7</v>
      </c>
      <c r="M237" s="777"/>
      <c r="N237" s="746">
        <v>1</v>
      </c>
      <c r="O237" s="26"/>
      <c r="P237" s="711"/>
    </row>
    <row r="238" spans="1:16" s="712" customFormat="1" ht="24" customHeight="1">
      <c r="A238" s="2736" t="s">
        <v>1356</v>
      </c>
      <c r="B238" s="2737"/>
      <c r="C238" s="2736" t="s">
        <v>32</v>
      </c>
      <c r="D238" s="2770"/>
      <c r="E238" s="2771"/>
      <c r="F238" s="1059">
        <f t="shared" ref="F238:G238" si="55">SUM(F239:F239)</f>
        <v>0</v>
      </c>
      <c r="G238" s="786">
        <f t="shared" si="55"/>
        <v>0</v>
      </c>
      <c r="H238" s="786">
        <f>SUM(H239:H239)</f>
        <v>0</v>
      </c>
      <c r="I238" s="786">
        <f>SUM(I239:I239)</f>
        <v>246</v>
      </c>
      <c r="J238" s="786">
        <f>SUM(J239:J239)</f>
        <v>258</v>
      </c>
      <c r="K238" s="786">
        <f>SUM(K239:K239)</f>
        <v>248</v>
      </c>
      <c r="L238" s="786">
        <f>SUM(L239:L239)</f>
        <v>10</v>
      </c>
      <c r="M238" s="778"/>
      <c r="N238" s="779"/>
      <c r="O238" s="26"/>
      <c r="P238" s="711"/>
    </row>
    <row r="239" spans="1:16" s="712" customFormat="1" ht="24" customHeight="1">
      <c r="A239" s="2772"/>
      <c r="B239" s="2773"/>
      <c r="C239" s="1827" t="s">
        <v>1360</v>
      </c>
      <c r="D239" s="1819" t="s">
        <v>1361</v>
      </c>
      <c r="E239" s="1832" t="s">
        <v>1356</v>
      </c>
      <c r="F239" s="1833"/>
      <c r="G239" s="818"/>
      <c r="H239" s="1821"/>
      <c r="I239" s="1821">
        <v>246</v>
      </c>
      <c r="J239" s="1821">
        <f>L239+K239</f>
        <v>258</v>
      </c>
      <c r="K239" s="1821">
        <v>248</v>
      </c>
      <c r="L239" s="1821">
        <v>10</v>
      </c>
      <c r="M239" s="818"/>
      <c r="N239" s="813">
        <v>1</v>
      </c>
      <c r="O239" s="26"/>
      <c r="P239" s="711"/>
    </row>
    <row r="240" spans="1:16" s="712" customFormat="1" ht="24" customHeight="1">
      <c r="A240" s="2696" t="s">
        <v>1347</v>
      </c>
      <c r="B240" s="2733"/>
      <c r="C240" s="2743" t="s">
        <v>32</v>
      </c>
      <c r="D240" s="2724"/>
      <c r="E240" s="2725"/>
      <c r="F240" s="1859">
        <f t="shared" ref="F240:H240" si="56">SUM(F241:F242)</f>
        <v>0</v>
      </c>
      <c r="G240" s="1860">
        <f t="shared" si="56"/>
        <v>20</v>
      </c>
      <c r="H240" s="1860">
        <f t="shared" si="56"/>
        <v>381</v>
      </c>
      <c r="I240" s="1860">
        <f>SUM(I241:I242)</f>
        <v>360</v>
      </c>
      <c r="J240" s="1860">
        <f t="shared" ref="J240:L240" si="57">SUM(J241:J242)</f>
        <v>385</v>
      </c>
      <c r="K240" s="1860">
        <f t="shared" si="57"/>
        <v>363</v>
      </c>
      <c r="L240" s="1860">
        <f t="shared" si="57"/>
        <v>22</v>
      </c>
      <c r="M240" s="1861"/>
      <c r="N240" s="1862"/>
      <c r="O240" s="26"/>
      <c r="P240" s="711"/>
    </row>
    <row r="241" spans="1:16" s="712" customFormat="1" ht="24" customHeight="1">
      <c r="A241" s="2698"/>
      <c r="B241" s="2734"/>
      <c r="C241" s="2729" t="s">
        <v>1475</v>
      </c>
      <c r="D241" s="2731" t="s">
        <v>1476</v>
      </c>
      <c r="E241" s="1857" t="s">
        <v>1478</v>
      </c>
      <c r="F241" s="1863"/>
      <c r="G241" s="1864">
        <v>9</v>
      </c>
      <c r="H241" s="1865">
        <v>192</v>
      </c>
      <c r="I241" s="1865">
        <v>168</v>
      </c>
      <c r="J241" s="1866">
        <f>L241+K241</f>
        <v>179</v>
      </c>
      <c r="K241" s="1865">
        <v>169</v>
      </c>
      <c r="L241" s="1865">
        <v>10</v>
      </c>
      <c r="M241" s="1865"/>
      <c r="N241" s="1867"/>
      <c r="O241" s="23"/>
      <c r="P241" s="7"/>
    </row>
    <row r="242" spans="1:16" s="712" customFormat="1" ht="24" customHeight="1">
      <c r="A242" s="2701"/>
      <c r="B242" s="2735"/>
      <c r="C242" s="2730"/>
      <c r="D242" s="2732"/>
      <c r="E242" s="1858" t="s">
        <v>1477</v>
      </c>
      <c r="F242" s="1868"/>
      <c r="G242" s="1869">
        <v>11</v>
      </c>
      <c r="H242" s="1870">
        <v>189</v>
      </c>
      <c r="I242" s="1870">
        <v>192</v>
      </c>
      <c r="J242" s="1871">
        <f>L242+K242</f>
        <v>206</v>
      </c>
      <c r="K242" s="1870">
        <v>194</v>
      </c>
      <c r="L242" s="1870">
        <v>12</v>
      </c>
      <c r="M242" s="1870"/>
      <c r="N242" s="1872"/>
      <c r="O242" s="23"/>
      <c r="P242" s="7"/>
    </row>
  </sheetData>
  <mergeCells count="135">
    <mergeCell ref="C238:E238"/>
    <mergeCell ref="A214:B215"/>
    <mergeCell ref="C214:E214"/>
    <mergeCell ref="C203:E203"/>
    <mergeCell ref="A210:B211"/>
    <mergeCell ref="A212:B213"/>
    <mergeCell ref="C204:C206"/>
    <mergeCell ref="D204:D206"/>
    <mergeCell ref="A227:B228"/>
    <mergeCell ref="C227:E227"/>
    <mergeCell ref="A219:B220"/>
    <mergeCell ref="C219:E219"/>
    <mergeCell ref="A221:B223"/>
    <mergeCell ref="C221:E221"/>
    <mergeCell ref="A224:B226"/>
    <mergeCell ref="C224:E224"/>
    <mergeCell ref="A217:E217"/>
    <mergeCell ref="C212:E212"/>
    <mergeCell ref="C208:C209"/>
    <mergeCell ref="D208:D209"/>
    <mergeCell ref="A203:B206"/>
    <mergeCell ref="A207:B209"/>
    <mergeCell ref="C207:E207"/>
    <mergeCell ref="C210:E210"/>
    <mergeCell ref="A153:E153"/>
    <mergeCell ref="C142:E142"/>
    <mergeCell ref="C170:E170"/>
    <mergeCell ref="C175:C178"/>
    <mergeCell ref="D175:D178"/>
    <mergeCell ref="C174:E174"/>
    <mergeCell ref="C168:C169"/>
    <mergeCell ref="A155:A160"/>
    <mergeCell ref="B155:E155"/>
    <mergeCell ref="B156:B160"/>
    <mergeCell ref="C156:E156"/>
    <mergeCell ref="A131:A151"/>
    <mergeCell ref="B132:B141"/>
    <mergeCell ref="A170:B173"/>
    <mergeCell ref="C171:C173"/>
    <mergeCell ref="A162:E162"/>
    <mergeCell ref="D171:D172"/>
    <mergeCell ref="C167:E167"/>
    <mergeCell ref="C165:C166"/>
    <mergeCell ref="A164:B166"/>
    <mergeCell ref="D165:D166"/>
    <mergeCell ref="A167:B169"/>
    <mergeCell ref="C164:E164"/>
    <mergeCell ref="A4:A33"/>
    <mergeCell ref="B20:B33"/>
    <mergeCell ref="A129:E129"/>
    <mergeCell ref="B131:E131"/>
    <mergeCell ref="D143:D148"/>
    <mergeCell ref="D150:D151"/>
    <mergeCell ref="D88:D90"/>
    <mergeCell ref="D97:D99"/>
    <mergeCell ref="C157:C160"/>
    <mergeCell ref="D157:D159"/>
    <mergeCell ref="D108:D117"/>
    <mergeCell ref="C133:C141"/>
    <mergeCell ref="C132:E132"/>
    <mergeCell ref="D62:D64"/>
    <mergeCell ref="C97:C106"/>
    <mergeCell ref="B71:E71"/>
    <mergeCell ref="B107:B127"/>
    <mergeCell ref="C107:E107"/>
    <mergeCell ref="B142:B151"/>
    <mergeCell ref="D100:D102"/>
    <mergeCell ref="A69:E69"/>
    <mergeCell ref="D120:D121"/>
    <mergeCell ref="A71:A127"/>
    <mergeCell ref="C96:E96"/>
    <mergeCell ref="A1:F1"/>
    <mergeCell ref="A2:E2"/>
    <mergeCell ref="A35:E35"/>
    <mergeCell ref="B37:E37"/>
    <mergeCell ref="C38:E38"/>
    <mergeCell ref="A37:A67"/>
    <mergeCell ref="D6:D9"/>
    <mergeCell ref="D10:D14"/>
    <mergeCell ref="C21:C33"/>
    <mergeCell ref="D21:D25"/>
    <mergeCell ref="B4:E4"/>
    <mergeCell ref="B50:B67"/>
    <mergeCell ref="D26:D32"/>
    <mergeCell ref="C51:C67"/>
    <mergeCell ref="D60:D61"/>
    <mergeCell ref="D39:D42"/>
    <mergeCell ref="D51:D58"/>
    <mergeCell ref="C39:C46"/>
    <mergeCell ref="D43:D45"/>
    <mergeCell ref="C50:E50"/>
    <mergeCell ref="B5:B19"/>
    <mergeCell ref="C6:C18"/>
    <mergeCell ref="B38:B49"/>
    <mergeCell ref="C47:C49"/>
    <mergeCell ref="C241:C242"/>
    <mergeCell ref="D241:D242"/>
    <mergeCell ref="A240:B242"/>
    <mergeCell ref="A182:B185"/>
    <mergeCell ref="D198:D199"/>
    <mergeCell ref="D196:D197"/>
    <mergeCell ref="C182:E182"/>
    <mergeCell ref="A174:B178"/>
    <mergeCell ref="D190:D193"/>
    <mergeCell ref="D194:D195"/>
    <mergeCell ref="A187:E187"/>
    <mergeCell ref="C189:E189"/>
    <mergeCell ref="A179:B181"/>
    <mergeCell ref="C179:E179"/>
    <mergeCell ref="A189:B202"/>
    <mergeCell ref="C190:C202"/>
    <mergeCell ref="C240:E240"/>
    <mergeCell ref="A229:B230"/>
    <mergeCell ref="C229:E229"/>
    <mergeCell ref="A231:B234"/>
    <mergeCell ref="C231:E231"/>
    <mergeCell ref="A235:B237"/>
    <mergeCell ref="C235:E235"/>
    <mergeCell ref="A238:B239"/>
    <mergeCell ref="D15:D17"/>
    <mergeCell ref="D118:D119"/>
    <mergeCell ref="D103:D106"/>
    <mergeCell ref="B72:B95"/>
    <mergeCell ref="C73:C95"/>
    <mergeCell ref="C143:C151"/>
    <mergeCell ref="D73:D76"/>
    <mergeCell ref="D77:D86"/>
    <mergeCell ref="B96:B106"/>
    <mergeCell ref="C72:E72"/>
    <mergeCell ref="D122:D123"/>
    <mergeCell ref="D133:D140"/>
    <mergeCell ref="D124:D125"/>
    <mergeCell ref="D126:D127"/>
    <mergeCell ref="C108:C127"/>
    <mergeCell ref="D91:D94"/>
  </mergeCells>
  <phoneticPr fontId="3" type="noConversion"/>
  <printOptions horizontalCentered="1"/>
  <pageMargins left="0.62992125984251968" right="0.59055118110236227" top="0.98425196850393704" bottom="0.98425196850393704" header="0.51181102362204722" footer="0.51181102362204722"/>
  <pageSetup paperSize="8" scale="65" orientation="portrait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116"/>
  <sheetViews>
    <sheetView workbookViewId="0">
      <selection activeCell="I23" sqref="I23"/>
    </sheetView>
  </sheetViews>
  <sheetFormatPr defaultRowHeight="16.5"/>
  <cols>
    <col min="3" max="3" width="13.625" customWidth="1"/>
    <col min="4" max="4" width="10.625" customWidth="1"/>
    <col min="5" max="8" width="10.75" customWidth="1"/>
    <col min="9" max="9" width="17.375" customWidth="1"/>
    <col min="10" max="10" width="62.25" style="599" customWidth="1"/>
    <col min="11" max="11" width="17.375" style="599" customWidth="1"/>
    <col min="12" max="12" width="9" customWidth="1"/>
    <col min="13" max="13" width="14.5" customWidth="1"/>
  </cols>
  <sheetData>
    <row r="1" spans="1:18" ht="17.25" thickTop="1">
      <c r="A1" s="2359" t="s">
        <v>437</v>
      </c>
      <c r="B1" s="2359" t="s">
        <v>438</v>
      </c>
      <c r="C1" s="2359" t="s">
        <v>439</v>
      </c>
      <c r="D1" s="2832" t="s">
        <v>835</v>
      </c>
      <c r="E1" s="2834" t="s">
        <v>545</v>
      </c>
      <c r="F1" s="2834" t="s">
        <v>546</v>
      </c>
      <c r="G1" s="2834" t="s">
        <v>547</v>
      </c>
      <c r="H1" s="2834" t="s">
        <v>548</v>
      </c>
      <c r="I1" s="2359" t="s">
        <v>449</v>
      </c>
      <c r="J1" s="2643" t="s">
        <v>560</v>
      </c>
      <c r="K1" s="628"/>
      <c r="M1" t="s">
        <v>549</v>
      </c>
      <c r="N1" s="2830" t="s">
        <v>550</v>
      </c>
      <c r="O1" s="621" t="s">
        <v>551</v>
      </c>
      <c r="P1" s="621" t="s">
        <v>553</v>
      </c>
      <c r="Q1" s="621" t="s">
        <v>555</v>
      </c>
      <c r="R1" s="621" t="s">
        <v>557</v>
      </c>
    </row>
    <row r="2" spans="1:18" ht="30">
      <c r="A2" s="2359"/>
      <c r="B2" s="2359"/>
      <c r="C2" s="2359"/>
      <c r="D2" s="2833"/>
      <c r="E2" s="2835"/>
      <c r="F2" s="2835"/>
      <c r="G2" s="2835"/>
      <c r="H2" s="2835"/>
      <c r="I2" s="2359"/>
      <c r="J2" s="2643"/>
      <c r="K2" s="628"/>
      <c r="N2" s="2831"/>
      <c r="O2" s="622" t="s">
        <v>552</v>
      </c>
      <c r="P2" s="622" t="s">
        <v>554</v>
      </c>
      <c r="Q2" s="622" t="s">
        <v>556</v>
      </c>
      <c r="R2" s="622" t="s">
        <v>558</v>
      </c>
    </row>
    <row r="3" spans="1:18">
      <c r="A3" s="2643" t="s">
        <v>483</v>
      </c>
      <c r="B3" s="2643"/>
      <c r="C3" s="2643"/>
      <c r="D3" s="1198">
        <f>D8+D17+D22+D25+D28+D35+D38+D41+D50+D53</f>
        <v>15.341000000000001</v>
      </c>
      <c r="E3" s="1198">
        <f>E8+E17+E22+E25+E28+E35+E38+E41+E50+E53</f>
        <v>18.541999999999998</v>
      </c>
      <c r="F3" s="1198">
        <f>F8+F17+F22+F25+F28+F35+F38+F41+F50+F53</f>
        <v>20.041999999999998</v>
      </c>
      <c r="G3" s="1198">
        <f>G8+G17+G22+G25+G28+G35+G38+G41+G50+G53</f>
        <v>20.791999999999994</v>
      </c>
      <c r="H3" s="1198">
        <f>H8+H17+H22+H25+H28+H35+H38+H41+H50+H53</f>
        <v>21.401999999999997</v>
      </c>
      <c r="I3" s="620"/>
      <c r="J3" s="626"/>
      <c r="K3" s="628"/>
    </row>
    <row r="4" spans="1:18">
      <c r="A4" s="2843" t="s">
        <v>802</v>
      </c>
      <c r="B4" s="2836" t="s">
        <v>803</v>
      </c>
      <c r="C4" s="627" t="s">
        <v>804</v>
      </c>
      <c r="D4" s="1199">
        <v>1.1200000000000001</v>
      </c>
      <c r="E4" s="1199">
        <v>1.1200000000000001</v>
      </c>
      <c r="F4" s="1199">
        <v>1.25</v>
      </c>
      <c r="G4" s="1199">
        <v>1.4</v>
      </c>
      <c r="H4" s="1199">
        <v>1.4</v>
      </c>
      <c r="I4" s="620"/>
      <c r="J4" s="626"/>
      <c r="K4" s="628"/>
      <c r="N4" s="623">
        <v>0.56000000000000005</v>
      </c>
      <c r="O4" s="623">
        <v>0.56000000000000005</v>
      </c>
      <c r="P4" s="623">
        <v>0.56000000000000005</v>
      </c>
      <c r="Q4" s="623">
        <v>0.56000000000000005</v>
      </c>
      <c r="R4" s="623">
        <v>0.56000000000000005</v>
      </c>
    </row>
    <row r="5" spans="1:18" s="599" customFormat="1">
      <c r="A5" s="2841"/>
      <c r="B5" s="2845"/>
      <c r="C5" s="627" t="s">
        <v>805</v>
      </c>
      <c r="D5" s="1199">
        <v>1.35</v>
      </c>
      <c r="E5" s="1199">
        <v>1.35</v>
      </c>
      <c r="F5" s="1199">
        <v>1.38</v>
      </c>
      <c r="G5" s="1199">
        <v>1.38</v>
      </c>
      <c r="H5" s="1199">
        <v>1.38</v>
      </c>
      <c r="I5" s="620"/>
      <c r="J5" s="626"/>
      <c r="K5" s="628"/>
      <c r="N5" s="625"/>
      <c r="O5" s="625"/>
      <c r="P5" s="625"/>
      <c r="Q5" s="625"/>
      <c r="R5" s="625"/>
    </row>
    <row r="6" spans="1:18" s="599" customFormat="1">
      <c r="A6" s="2841"/>
      <c r="B6" s="2846"/>
      <c r="C6" s="728" t="s">
        <v>561</v>
      </c>
      <c r="D6" s="1199">
        <f>SUM(D4:D5)</f>
        <v>2.4700000000000002</v>
      </c>
      <c r="E6" s="1199">
        <f>SUM(E4:E5)</f>
        <v>2.4700000000000002</v>
      </c>
      <c r="F6" s="1199">
        <f>SUM(F4:F5)</f>
        <v>2.63</v>
      </c>
      <c r="G6" s="1199">
        <f>SUM(G4:G5)</f>
        <v>2.78</v>
      </c>
      <c r="H6" s="1199">
        <f>SUM(H4:H5)</f>
        <v>2.78</v>
      </c>
      <c r="I6" s="729"/>
      <c r="J6" s="729"/>
      <c r="K6" s="628"/>
      <c r="N6" s="625"/>
      <c r="O6" s="625"/>
      <c r="P6" s="625"/>
      <c r="Q6" s="625"/>
      <c r="R6" s="625"/>
    </row>
    <row r="7" spans="1:18" s="599" customFormat="1">
      <c r="A7" s="2841"/>
      <c r="B7" s="2646" t="s">
        <v>836</v>
      </c>
      <c r="C7" s="2647"/>
      <c r="D7" s="1199">
        <v>0.16</v>
      </c>
      <c r="E7" s="1199">
        <v>0.16</v>
      </c>
      <c r="F7" s="1199">
        <v>0.16</v>
      </c>
      <c r="G7" s="1199">
        <v>0.16</v>
      </c>
      <c r="H7" s="1199">
        <v>0.16</v>
      </c>
      <c r="I7" s="729"/>
      <c r="J7" s="729"/>
      <c r="K7" s="628"/>
      <c r="N7" s="625"/>
      <c r="O7" s="625"/>
      <c r="P7" s="625"/>
      <c r="Q7" s="625"/>
      <c r="R7" s="625"/>
    </row>
    <row r="8" spans="1:18" s="599" customFormat="1">
      <c r="A8" s="2842"/>
      <c r="B8" s="2642" t="s">
        <v>562</v>
      </c>
      <c r="C8" s="2642"/>
      <c r="D8" s="1199">
        <f>SUM(D6:D7)</f>
        <v>2.6300000000000003</v>
      </c>
      <c r="E8" s="1199">
        <f>SUM(E6:E7)</f>
        <v>2.6300000000000003</v>
      </c>
      <c r="F8" s="1199">
        <f>SUM(F6:F7)</f>
        <v>2.79</v>
      </c>
      <c r="G8" s="1199">
        <f>SUM(G6:G7)</f>
        <v>2.94</v>
      </c>
      <c r="H8" s="1199">
        <f>SUM(H6:H7)</f>
        <v>2.94</v>
      </c>
      <c r="I8" s="729"/>
      <c r="J8" s="729"/>
      <c r="K8" s="628"/>
      <c r="N8" s="625"/>
      <c r="O8" s="625"/>
      <c r="P8" s="625"/>
      <c r="Q8" s="625"/>
      <c r="R8" s="625"/>
    </row>
    <row r="9" spans="1:18">
      <c r="A9" s="2843" t="s">
        <v>806</v>
      </c>
      <c r="B9" s="2839" t="s">
        <v>807</v>
      </c>
      <c r="C9" s="627" t="s">
        <v>808</v>
      </c>
      <c r="D9" s="1199">
        <v>1.22</v>
      </c>
      <c r="E9" s="1199">
        <v>1.39</v>
      </c>
      <c r="F9" s="1199">
        <v>2.15</v>
      </c>
      <c r="G9" s="1199">
        <v>2.15</v>
      </c>
      <c r="H9" s="1199">
        <v>2.39</v>
      </c>
      <c r="I9" s="620"/>
      <c r="J9" s="626"/>
      <c r="K9" s="628"/>
    </row>
    <row r="10" spans="1:18">
      <c r="A10" s="2841"/>
      <c r="B10" s="2840"/>
      <c r="C10" s="627" t="s">
        <v>809</v>
      </c>
      <c r="D10" s="1199">
        <v>1.28</v>
      </c>
      <c r="E10" s="1199">
        <v>2.34</v>
      </c>
      <c r="F10" s="1199">
        <v>2.35</v>
      </c>
      <c r="G10" s="1199">
        <v>2.35</v>
      </c>
      <c r="H10" s="1199">
        <v>2.52</v>
      </c>
      <c r="I10" s="620"/>
      <c r="J10" s="626"/>
      <c r="K10" s="628"/>
      <c r="N10" s="623">
        <v>0.36</v>
      </c>
      <c r="O10" s="623">
        <v>0.36</v>
      </c>
      <c r="P10" s="623">
        <v>0.36</v>
      </c>
      <c r="Q10" s="623">
        <v>0.36</v>
      </c>
      <c r="R10" s="623">
        <v>0.36</v>
      </c>
    </row>
    <row r="11" spans="1:18" s="599" customFormat="1">
      <c r="A11" s="2841"/>
      <c r="B11" s="2837"/>
      <c r="C11" s="728" t="s">
        <v>561</v>
      </c>
      <c r="D11" s="1199">
        <f>SUM(D9:D10)</f>
        <v>2.5</v>
      </c>
      <c r="E11" s="1199">
        <f>SUM(E9:E10)</f>
        <v>3.7299999999999995</v>
      </c>
      <c r="F11" s="1199">
        <f>SUM(F9:F10)</f>
        <v>4.5</v>
      </c>
      <c r="G11" s="1199">
        <f>SUM(G9:G10)</f>
        <v>4.5</v>
      </c>
      <c r="H11" s="1199">
        <f>SUM(H9:H10)</f>
        <v>4.91</v>
      </c>
      <c r="I11" s="729"/>
      <c r="J11" s="729"/>
      <c r="K11" s="628"/>
      <c r="N11" s="623"/>
      <c r="O11" s="623"/>
      <c r="P11" s="623"/>
      <c r="Q11" s="623"/>
      <c r="R11" s="623"/>
    </row>
    <row r="12" spans="1:18" s="599" customFormat="1">
      <c r="A12" s="2841"/>
      <c r="B12" s="2644" t="s">
        <v>824</v>
      </c>
      <c r="C12" s="2645"/>
      <c r="D12" s="1199">
        <v>6.3E-2</v>
      </c>
      <c r="E12" s="1199">
        <v>6.3E-2</v>
      </c>
      <c r="F12" s="1199">
        <v>6.3E-2</v>
      </c>
      <c r="G12" s="1199">
        <v>6.3E-2</v>
      </c>
      <c r="H12" s="1199">
        <v>6.3E-2</v>
      </c>
      <c r="I12" s="729"/>
      <c r="J12" s="729"/>
      <c r="K12" s="628"/>
      <c r="N12" s="623"/>
      <c r="O12" s="623"/>
      <c r="P12" s="623"/>
      <c r="Q12" s="623"/>
      <c r="R12" s="623"/>
    </row>
    <row r="13" spans="1:18" s="599" customFormat="1">
      <c r="A13" s="2841"/>
      <c r="B13" s="2644" t="s">
        <v>1463</v>
      </c>
      <c r="C13" s="2645"/>
      <c r="D13" s="1199">
        <v>0.11600000000000001</v>
      </c>
      <c r="E13" s="1199">
        <v>0.11600000000000001</v>
      </c>
      <c r="F13" s="1199">
        <v>0.11600000000000001</v>
      </c>
      <c r="G13" s="1199">
        <v>0.11600000000000001</v>
      </c>
      <c r="H13" s="1199">
        <v>0.11600000000000001</v>
      </c>
      <c r="I13" s="1180"/>
      <c r="J13" s="1180"/>
      <c r="K13" s="628"/>
      <c r="N13" s="623"/>
      <c r="O13" s="623"/>
      <c r="P13" s="623"/>
      <c r="Q13" s="623"/>
      <c r="R13" s="623"/>
    </row>
    <row r="14" spans="1:18" s="599" customFormat="1">
      <c r="A14" s="2841"/>
      <c r="B14" s="2644" t="s">
        <v>1464</v>
      </c>
      <c r="C14" s="2645"/>
      <c r="D14" s="1199">
        <v>0.13</v>
      </c>
      <c r="E14" s="1199">
        <v>0.13</v>
      </c>
      <c r="F14" s="1199">
        <v>0.13</v>
      </c>
      <c r="G14" s="1199">
        <v>0.13</v>
      </c>
      <c r="H14" s="1199">
        <v>0.13</v>
      </c>
      <c r="I14" s="1180"/>
      <c r="J14" s="1180"/>
      <c r="K14" s="628"/>
      <c r="N14" s="623"/>
      <c r="O14" s="623"/>
      <c r="P14" s="623"/>
      <c r="Q14" s="623"/>
      <c r="R14" s="623"/>
    </row>
    <row r="15" spans="1:18" s="599" customFormat="1">
      <c r="A15" s="2841"/>
      <c r="B15" s="2644" t="s">
        <v>1465</v>
      </c>
      <c r="C15" s="2645"/>
      <c r="D15" s="1199">
        <v>7.4999999999999997E-2</v>
      </c>
      <c r="E15" s="1199">
        <v>7.4999999999999997E-2</v>
      </c>
      <c r="F15" s="1199">
        <v>7.4999999999999997E-2</v>
      </c>
      <c r="G15" s="1199">
        <v>7.4999999999999997E-2</v>
      </c>
      <c r="H15" s="1199">
        <v>7.4999999999999997E-2</v>
      </c>
      <c r="I15" s="1180"/>
      <c r="J15" s="1180"/>
      <c r="K15" s="628"/>
      <c r="N15" s="623"/>
      <c r="O15" s="623"/>
      <c r="P15" s="623"/>
      <c r="Q15" s="623"/>
      <c r="R15" s="623"/>
    </row>
    <row r="16" spans="1:18" s="599" customFormat="1">
      <c r="A16" s="2841"/>
      <c r="B16" s="2644" t="s">
        <v>1466</v>
      </c>
      <c r="C16" s="2645"/>
      <c r="D16" s="1199">
        <v>0.01</v>
      </c>
      <c r="E16" s="1199">
        <v>0.01</v>
      </c>
      <c r="F16" s="1199">
        <v>0.01</v>
      </c>
      <c r="G16" s="1199">
        <v>0.01</v>
      </c>
      <c r="H16" s="1199">
        <v>0.01</v>
      </c>
      <c r="I16" s="1180"/>
      <c r="J16" s="1180"/>
      <c r="K16" s="628"/>
      <c r="N16" s="623"/>
      <c r="O16" s="623"/>
      <c r="P16" s="623"/>
      <c r="Q16" s="623"/>
      <c r="R16" s="623"/>
    </row>
    <row r="17" spans="1:18" s="599" customFormat="1">
      <c r="A17" s="2842"/>
      <c r="B17" s="2642" t="s">
        <v>562</v>
      </c>
      <c r="C17" s="2642"/>
      <c r="D17" s="1199">
        <f>SUM(D11:D16)</f>
        <v>2.8940000000000001</v>
      </c>
      <c r="E17" s="1199">
        <f>SUM(E11:E16)</f>
        <v>4.1239999999999997</v>
      </c>
      <c r="F17" s="1199">
        <f>SUM(F11:F16)</f>
        <v>4.8939999999999992</v>
      </c>
      <c r="G17" s="1199">
        <f>SUM(G11:G16)</f>
        <v>4.8939999999999992</v>
      </c>
      <c r="H17" s="1199">
        <f>SUM(H11:H16)</f>
        <v>5.3039999999999994</v>
      </c>
      <c r="I17" s="729"/>
      <c r="J17" s="729"/>
      <c r="K17" s="628"/>
      <c r="N17" s="623"/>
      <c r="O17" s="623"/>
      <c r="P17" s="623"/>
      <c r="Q17" s="623"/>
      <c r="R17" s="623"/>
    </row>
    <row r="18" spans="1:18">
      <c r="A18" s="2843" t="s">
        <v>810</v>
      </c>
      <c r="B18" s="2644" t="s">
        <v>837</v>
      </c>
      <c r="C18" s="2645"/>
      <c r="D18" s="1199">
        <v>0.16400000000000001</v>
      </c>
      <c r="E18" s="1199">
        <v>0.16400000000000001</v>
      </c>
      <c r="F18" s="1199">
        <v>0.16400000000000001</v>
      </c>
      <c r="G18" s="1199">
        <v>0.16400000000000001</v>
      </c>
      <c r="H18" s="1199">
        <v>0.16400000000000001</v>
      </c>
      <c r="I18" s="620"/>
      <c r="J18" s="626"/>
      <c r="K18" s="628"/>
      <c r="N18" s="623">
        <v>1.1000000000000001</v>
      </c>
      <c r="O18" s="623">
        <v>1.1000000000000001</v>
      </c>
      <c r="P18" s="623">
        <v>1.1000000000000001</v>
      </c>
      <c r="Q18" s="623">
        <v>1.1000000000000001</v>
      </c>
      <c r="R18" s="623">
        <v>1.1000000000000001</v>
      </c>
    </row>
    <row r="19" spans="1:18" s="599" customFormat="1">
      <c r="A19" s="2841"/>
      <c r="B19" s="2644" t="s">
        <v>1467</v>
      </c>
      <c r="C19" s="2645"/>
      <c r="D19" s="1199">
        <v>8.7999999999999995E-2</v>
      </c>
      <c r="E19" s="1199">
        <v>8.7999999999999995E-2</v>
      </c>
      <c r="F19" s="1199">
        <v>8.7999999999999995E-2</v>
      </c>
      <c r="G19" s="1199">
        <v>8.7999999999999995E-2</v>
      </c>
      <c r="H19" s="1199">
        <v>8.7999999999999995E-2</v>
      </c>
      <c r="I19" s="1180"/>
      <c r="J19" s="1180">
        <v>2</v>
      </c>
      <c r="K19" s="628"/>
      <c r="N19" s="623"/>
      <c r="O19" s="623"/>
      <c r="P19" s="623"/>
      <c r="Q19" s="623"/>
      <c r="R19" s="623"/>
    </row>
    <row r="20" spans="1:18" s="599" customFormat="1">
      <c r="A20" s="2841"/>
      <c r="B20" s="2644" t="s">
        <v>1468</v>
      </c>
      <c r="C20" s="2645"/>
      <c r="D20" s="1199">
        <v>0.128</v>
      </c>
      <c r="E20" s="1199">
        <v>0.128</v>
      </c>
      <c r="F20" s="1199">
        <v>0.128</v>
      </c>
      <c r="G20" s="1199">
        <v>0.128</v>
      </c>
      <c r="H20" s="1199">
        <v>0.128</v>
      </c>
      <c r="I20" s="1180"/>
      <c r="J20" s="1180">
        <v>2</v>
      </c>
      <c r="K20" s="628"/>
      <c r="N20" s="623"/>
      <c r="O20" s="623"/>
      <c r="P20" s="623"/>
      <c r="Q20" s="623"/>
      <c r="R20" s="623"/>
    </row>
    <row r="21" spans="1:18" s="599" customFormat="1">
      <c r="A21" s="2841"/>
      <c r="B21" s="2644" t="s">
        <v>1469</v>
      </c>
      <c r="C21" s="2645"/>
      <c r="D21" s="1199">
        <v>0.05</v>
      </c>
      <c r="E21" s="1199">
        <v>0.05</v>
      </c>
      <c r="F21" s="1199">
        <v>0.05</v>
      </c>
      <c r="G21" s="1199">
        <v>0.05</v>
      </c>
      <c r="H21" s="1199">
        <v>0.05</v>
      </c>
      <c r="I21" s="1180"/>
      <c r="J21" s="1180">
        <v>2</v>
      </c>
      <c r="K21" s="628"/>
      <c r="N21" s="623"/>
      <c r="O21" s="623"/>
      <c r="P21" s="623"/>
      <c r="Q21" s="623"/>
      <c r="R21" s="623"/>
    </row>
    <row r="22" spans="1:18" s="599" customFormat="1">
      <c r="A22" s="2842"/>
      <c r="B22" s="2642" t="s">
        <v>562</v>
      </c>
      <c r="C22" s="2642"/>
      <c r="D22" s="1199">
        <f>SUM(D18:D21)</f>
        <v>0.43</v>
      </c>
      <c r="E22" s="1199">
        <f>SUM(E18:E21)</f>
        <v>0.43</v>
      </c>
      <c r="F22" s="1199">
        <f>SUM(F18:F21)</f>
        <v>0.43</v>
      </c>
      <c r="G22" s="1199">
        <f>SUM(G18:G21)</f>
        <v>0.43</v>
      </c>
      <c r="H22" s="1199">
        <f>SUM(H18:H21)</f>
        <v>0.43</v>
      </c>
      <c r="I22" s="729"/>
      <c r="J22" s="729"/>
      <c r="K22" s="628"/>
      <c r="N22" s="623"/>
      <c r="O22" s="623"/>
      <c r="P22" s="623"/>
      <c r="Q22" s="623"/>
      <c r="R22" s="623"/>
    </row>
    <row r="23" spans="1:18">
      <c r="A23" s="2843" t="s">
        <v>811</v>
      </c>
      <c r="B23" s="2847" t="s">
        <v>838</v>
      </c>
      <c r="C23" s="2848"/>
      <c r="D23" s="1199">
        <v>0.18</v>
      </c>
      <c r="E23" s="1199">
        <v>0.3</v>
      </c>
      <c r="F23" s="1199">
        <v>0.3</v>
      </c>
      <c r="G23" s="1199">
        <v>0.3</v>
      </c>
      <c r="H23" s="1199">
        <v>0.3</v>
      </c>
      <c r="I23" s="620" t="s">
        <v>1491</v>
      </c>
      <c r="J23" s="626"/>
      <c r="K23" s="628"/>
      <c r="N23" s="623">
        <v>2.04</v>
      </c>
      <c r="O23" s="623">
        <v>2.04</v>
      </c>
      <c r="P23" s="623">
        <v>2.04</v>
      </c>
      <c r="Q23" s="623">
        <v>2.04</v>
      </c>
      <c r="R23" s="623">
        <v>2.04</v>
      </c>
    </row>
    <row r="24" spans="1:18" s="599" customFormat="1">
      <c r="A24" s="2841"/>
      <c r="B24" s="2847" t="s">
        <v>1462</v>
      </c>
      <c r="C24" s="2848"/>
      <c r="D24" s="1199">
        <v>0.17199999999999999</v>
      </c>
      <c r="E24" s="1199">
        <v>0.17199999999999999</v>
      </c>
      <c r="F24" s="1199">
        <v>0.17199999999999999</v>
      </c>
      <c r="G24" s="1199">
        <v>0.17199999999999999</v>
      </c>
      <c r="H24" s="1199">
        <v>0.17199999999999999</v>
      </c>
      <c r="I24" s="1180"/>
      <c r="J24" s="1180">
        <v>2</v>
      </c>
      <c r="K24" s="628"/>
      <c r="N24" s="625"/>
      <c r="O24" s="625"/>
      <c r="P24" s="625"/>
      <c r="Q24" s="625"/>
      <c r="R24" s="625"/>
    </row>
    <row r="25" spans="1:18" s="599" customFormat="1">
      <c r="A25" s="2842"/>
      <c r="B25" s="2642" t="s">
        <v>562</v>
      </c>
      <c r="C25" s="2642"/>
      <c r="D25" s="1199">
        <f>SUM(D23:D24)</f>
        <v>0.35199999999999998</v>
      </c>
      <c r="E25" s="1199">
        <f>SUM(E23:E24)</f>
        <v>0.47199999999999998</v>
      </c>
      <c r="F25" s="1199">
        <f>SUM(F23:F24)</f>
        <v>0.47199999999999998</v>
      </c>
      <c r="G25" s="1199">
        <f>SUM(G23:G24)</f>
        <v>0.47199999999999998</v>
      </c>
      <c r="H25" s="1199">
        <f>SUM(H23:H24)</f>
        <v>0.47199999999999998</v>
      </c>
      <c r="I25" s="729"/>
      <c r="J25" s="729"/>
      <c r="K25" s="628"/>
      <c r="N25" s="625"/>
      <c r="O25" s="625"/>
      <c r="P25" s="625"/>
      <c r="Q25" s="625"/>
      <c r="R25" s="625"/>
    </row>
    <row r="26" spans="1:18">
      <c r="A26" s="2843" t="s">
        <v>812</v>
      </c>
      <c r="B26" s="2644" t="s">
        <v>839</v>
      </c>
      <c r="C26" s="2645"/>
      <c r="D26" s="1199">
        <v>0.189</v>
      </c>
      <c r="E26" s="1199">
        <v>0.22</v>
      </c>
      <c r="F26" s="1199">
        <v>0.22</v>
      </c>
      <c r="G26" s="1199">
        <v>0.22</v>
      </c>
      <c r="H26" s="1199">
        <v>0.22</v>
      </c>
      <c r="I26" s="620" t="s">
        <v>1492</v>
      </c>
      <c r="J26" s="626"/>
      <c r="K26" s="628"/>
    </row>
    <row r="27" spans="1:18" s="599" customFormat="1">
      <c r="A27" s="2841"/>
      <c r="B27" s="2644" t="s">
        <v>1470</v>
      </c>
      <c r="C27" s="2645"/>
      <c r="D27" s="1199">
        <v>6.6000000000000003E-2</v>
      </c>
      <c r="E27" s="1199">
        <v>6.6000000000000003E-2</v>
      </c>
      <c r="F27" s="1199">
        <v>6.6000000000000003E-2</v>
      </c>
      <c r="G27" s="1199">
        <v>6.6000000000000003E-2</v>
      </c>
      <c r="H27" s="1199">
        <v>6.6000000000000003E-2</v>
      </c>
      <c r="I27" s="1180"/>
      <c r="J27" s="1180"/>
      <c r="K27" s="628"/>
    </row>
    <row r="28" spans="1:18" s="599" customFormat="1">
      <c r="A28" s="2842"/>
      <c r="B28" s="2642" t="s">
        <v>562</v>
      </c>
      <c r="C28" s="2642"/>
      <c r="D28" s="1200">
        <f>SUM(D26:D27)</f>
        <v>0.255</v>
      </c>
      <c r="E28" s="1200">
        <f>SUM(E26:E27)</f>
        <v>0.28600000000000003</v>
      </c>
      <c r="F28" s="1200">
        <f>SUM(F26:F27)</f>
        <v>0.28600000000000003</v>
      </c>
      <c r="G28" s="1200">
        <f>SUM(G26:G27)</f>
        <v>0.28600000000000003</v>
      </c>
      <c r="H28" s="1200">
        <f>SUM(H26:H27)</f>
        <v>0.28600000000000003</v>
      </c>
      <c r="I28" s="729"/>
      <c r="J28" s="729"/>
      <c r="K28" s="628"/>
    </row>
    <row r="29" spans="1:18">
      <c r="A29" s="2843" t="s">
        <v>813</v>
      </c>
      <c r="B29" s="2849" t="s">
        <v>814</v>
      </c>
      <c r="C29" s="730" t="s">
        <v>815</v>
      </c>
      <c r="D29" s="1200">
        <v>1</v>
      </c>
      <c r="E29" s="1200">
        <v>1.35</v>
      </c>
      <c r="F29" s="1200">
        <v>1.72</v>
      </c>
      <c r="G29" s="1200">
        <v>1.72</v>
      </c>
      <c r="H29" s="1200">
        <v>1.72</v>
      </c>
      <c r="I29" s="620"/>
      <c r="J29" s="626"/>
      <c r="K29" s="628"/>
      <c r="N29" s="623">
        <v>0.35</v>
      </c>
      <c r="O29" s="623">
        <v>0.35</v>
      </c>
      <c r="P29" s="623">
        <v>0.35</v>
      </c>
      <c r="Q29" s="623">
        <v>0.35</v>
      </c>
      <c r="R29" s="623">
        <v>0.35</v>
      </c>
    </row>
    <row r="30" spans="1:18">
      <c r="A30" s="2841"/>
      <c r="B30" s="2850"/>
      <c r="C30" s="731" t="s">
        <v>816</v>
      </c>
      <c r="D30" s="1200">
        <v>0.65</v>
      </c>
      <c r="E30" s="1200">
        <v>1.23</v>
      </c>
      <c r="F30" s="1200">
        <v>1.23</v>
      </c>
      <c r="G30" s="1200">
        <v>1.23</v>
      </c>
      <c r="H30" s="1200">
        <v>1.23</v>
      </c>
      <c r="I30" s="620"/>
      <c r="J30" s="626"/>
      <c r="K30" s="628"/>
      <c r="N30" s="623" t="s">
        <v>559</v>
      </c>
      <c r="O30" s="623">
        <v>0.12</v>
      </c>
      <c r="P30" s="623">
        <v>0.12</v>
      </c>
      <c r="Q30" s="623">
        <v>0.15</v>
      </c>
      <c r="R30" s="623">
        <v>0.15</v>
      </c>
    </row>
    <row r="31" spans="1:18">
      <c r="A31" s="2841"/>
      <c r="B31" s="2850"/>
      <c r="C31" s="732" t="s">
        <v>817</v>
      </c>
      <c r="D31" s="1200">
        <v>0.74</v>
      </c>
      <c r="E31" s="1200">
        <v>0.99</v>
      </c>
      <c r="F31" s="1200">
        <v>1.1499999999999999</v>
      </c>
      <c r="G31" s="1200">
        <v>1.1499999999999999</v>
      </c>
      <c r="H31" s="1200">
        <v>1.27</v>
      </c>
      <c r="I31" s="620"/>
      <c r="J31" s="626"/>
      <c r="K31" s="628"/>
      <c r="N31" s="623" t="s">
        <v>559</v>
      </c>
      <c r="O31" s="623">
        <v>0.11</v>
      </c>
      <c r="P31" s="623">
        <v>0.11</v>
      </c>
      <c r="Q31" s="623">
        <v>0.11</v>
      </c>
      <c r="R31" s="623">
        <v>0.11</v>
      </c>
    </row>
    <row r="32" spans="1:18" s="599" customFormat="1">
      <c r="A32" s="2841"/>
      <c r="B32" s="2851"/>
      <c r="C32" s="1179" t="s">
        <v>561</v>
      </c>
      <c r="D32" s="1200">
        <f>SUM(D29:D31)</f>
        <v>2.3899999999999997</v>
      </c>
      <c r="E32" s="1200">
        <f>SUM(E29:E31)</f>
        <v>3.5700000000000003</v>
      </c>
      <c r="F32" s="1200">
        <f>SUM(F29:F31)</f>
        <v>4.0999999999999996</v>
      </c>
      <c r="G32" s="1200">
        <f>SUM(G29:G31)</f>
        <v>4.0999999999999996</v>
      </c>
      <c r="H32" s="1200">
        <f>SUM(H29:H31)</f>
        <v>4.2200000000000006</v>
      </c>
      <c r="I32" s="729"/>
      <c r="J32" s="729"/>
      <c r="K32" s="628"/>
      <c r="N32" s="623"/>
      <c r="O32" s="623"/>
      <c r="P32" s="623"/>
      <c r="Q32" s="623"/>
      <c r="R32" s="623"/>
    </row>
    <row r="33" spans="1:18">
      <c r="A33" s="2841"/>
      <c r="B33" s="2644" t="s">
        <v>825</v>
      </c>
      <c r="C33" s="2645"/>
      <c r="D33" s="1199">
        <v>0.13</v>
      </c>
      <c r="E33" s="1199">
        <v>0.13</v>
      </c>
      <c r="F33" s="1199">
        <v>0.13</v>
      </c>
      <c r="G33" s="1199">
        <v>0.13</v>
      </c>
      <c r="H33" s="1199">
        <v>0.13</v>
      </c>
      <c r="I33" s="620"/>
      <c r="J33" s="626"/>
      <c r="K33" s="628"/>
      <c r="N33" s="623" t="s">
        <v>559</v>
      </c>
      <c r="O33" s="623" t="s">
        <v>559</v>
      </c>
      <c r="P33" s="623">
        <v>0.11</v>
      </c>
      <c r="Q33" s="623">
        <v>0.11</v>
      </c>
      <c r="R33" s="623">
        <v>0.11</v>
      </c>
    </row>
    <row r="34" spans="1:18" s="599" customFormat="1">
      <c r="A34" s="2841"/>
      <c r="B34" s="2644" t="s">
        <v>826</v>
      </c>
      <c r="C34" s="2645"/>
      <c r="D34" s="1199">
        <v>5.3999999999999999E-2</v>
      </c>
      <c r="E34" s="1199">
        <v>5.3999999999999999E-2</v>
      </c>
      <c r="F34" s="1199">
        <v>5.3999999999999999E-2</v>
      </c>
      <c r="G34" s="1199">
        <v>5.3999999999999999E-2</v>
      </c>
      <c r="H34" s="1199">
        <v>5.3999999999999999E-2</v>
      </c>
      <c r="I34" s="729"/>
      <c r="J34" s="729"/>
      <c r="K34" s="628"/>
      <c r="N34" s="623"/>
      <c r="O34" s="623"/>
      <c r="P34" s="623"/>
      <c r="Q34" s="623"/>
      <c r="R34" s="623"/>
    </row>
    <row r="35" spans="1:18" s="599" customFormat="1">
      <c r="A35" s="2842"/>
      <c r="B35" s="2642" t="s">
        <v>562</v>
      </c>
      <c r="C35" s="2642"/>
      <c r="D35" s="1199">
        <f>SUM(D32:D34)</f>
        <v>2.5739999999999994</v>
      </c>
      <c r="E35" s="1199">
        <f>SUM(E32:E34)</f>
        <v>3.754</v>
      </c>
      <c r="F35" s="1199">
        <f>SUM(F32:F34)</f>
        <v>4.2839999999999998</v>
      </c>
      <c r="G35" s="1199">
        <f>SUM(G32:G34)</f>
        <v>4.2839999999999998</v>
      </c>
      <c r="H35" s="1199">
        <f>SUM(H32:H34)</f>
        <v>4.4040000000000008</v>
      </c>
      <c r="I35" s="729"/>
      <c r="J35" s="729"/>
      <c r="K35" s="628"/>
      <c r="N35" s="623"/>
      <c r="O35" s="623"/>
      <c r="P35" s="623"/>
      <c r="Q35" s="623"/>
      <c r="R35" s="623"/>
    </row>
    <row r="36" spans="1:18">
      <c r="A36" s="2843" t="s">
        <v>818</v>
      </c>
      <c r="B36" s="2644" t="s">
        <v>827</v>
      </c>
      <c r="C36" s="2645"/>
      <c r="D36" s="1199">
        <v>0.14099999999999999</v>
      </c>
      <c r="E36" s="1199">
        <v>0.14099999999999999</v>
      </c>
      <c r="F36" s="1199">
        <v>0.14099999999999999</v>
      </c>
      <c r="G36" s="1199">
        <v>0.14099999999999999</v>
      </c>
      <c r="H36" s="1199">
        <v>0.14099999999999999</v>
      </c>
      <c r="I36" s="620"/>
      <c r="J36" s="626"/>
      <c r="K36" s="628"/>
      <c r="N36" s="623">
        <v>0.28999999999999998</v>
      </c>
      <c r="O36" s="623">
        <v>0.28999999999999998</v>
      </c>
      <c r="P36" s="623">
        <v>0.28999999999999998</v>
      </c>
      <c r="Q36" s="623">
        <v>0.28999999999999998</v>
      </c>
      <c r="R36" s="623">
        <v>0.28999999999999998</v>
      </c>
    </row>
    <row r="37" spans="1:18" s="599" customFormat="1">
      <c r="A37" s="2841"/>
      <c r="B37" s="2644" t="s">
        <v>1471</v>
      </c>
      <c r="C37" s="2645"/>
      <c r="D37" s="1199">
        <v>0.152</v>
      </c>
      <c r="E37" s="1199">
        <v>0.152</v>
      </c>
      <c r="F37" s="1199">
        <v>0.152</v>
      </c>
      <c r="G37" s="1199">
        <v>0.152</v>
      </c>
      <c r="H37" s="1199">
        <v>0.152</v>
      </c>
      <c r="I37" s="1180"/>
      <c r="J37" s="1180">
        <v>2</v>
      </c>
      <c r="K37" s="628"/>
      <c r="N37" s="623"/>
      <c r="O37" s="623"/>
      <c r="P37" s="623"/>
      <c r="Q37" s="623"/>
      <c r="R37" s="623"/>
    </row>
    <row r="38" spans="1:18" s="599" customFormat="1">
      <c r="A38" s="2842"/>
      <c r="B38" s="2642" t="s">
        <v>562</v>
      </c>
      <c r="C38" s="2642"/>
      <c r="D38" s="1199">
        <f>SUM(D36:D37)</f>
        <v>0.29299999999999998</v>
      </c>
      <c r="E38" s="1199">
        <f>SUM(E36:E37)</f>
        <v>0.29299999999999998</v>
      </c>
      <c r="F38" s="1199">
        <f>SUM(F36:F37)</f>
        <v>0.29299999999999998</v>
      </c>
      <c r="G38" s="1199">
        <f>SUM(G36:G37)</f>
        <v>0.29299999999999998</v>
      </c>
      <c r="H38" s="1199">
        <f>SUM(H36:H37)</f>
        <v>0.29299999999999998</v>
      </c>
      <c r="I38" s="729"/>
      <c r="J38" s="729"/>
      <c r="K38" s="628"/>
      <c r="N38" s="623"/>
      <c r="O38" s="623"/>
      <c r="P38" s="623"/>
      <c r="Q38" s="623"/>
      <c r="R38" s="623"/>
    </row>
    <row r="39" spans="1:18">
      <c r="A39" s="2843" t="s">
        <v>819</v>
      </c>
      <c r="B39" s="2644" t="s">
        <v>828</v>
      </c>
      <c r="C39" s="2645"/>
      <c r="D39" s="1199">
        <f>0.49-0.06</f>
        <v>0.43</v>
      </c>
      <c r="E39" s="1199">
        <v>0.84</v>
      </c>
      <c r="F39" s="1199">
        <v>0.87</v>
      </c>
      <c r="G39" s="1199">
        <v>1.02</v>
      </c>
      <c r="H39" s="1199">
        <v>1.1000000000000001</v>
      </c>
      <c r="I39" s="620"/>
      <c r="J39" s="626"/>
      <c r="K39" s="628"/>
      <c r="N39" s="623">
        <v>0.17</v>
      </c>
      <c r="O39" s="623">
        <v>0.17</v>
      </c>
      <c r="P39" s="623">
        <v>0.17</v>
      </c>
      <c r="Q39" s="623">
        <v>0.17</v>
      </c>
      <c r="R39" s="623">
        <v>0.17</v>
      </c>
    </row>
    <row r="40" spans="1:18">
      <c r="A40" s="2841"/>
      <c r="B40" s="2644" t="s">
        <v>829</v>
      </c>
      <c r="C40" s="2645"/>
      <c r="D40" s="1199">
        <v>4.7E-2</v>
      </c>
      <c r="E40" s="1199">
        <v>4.7E-2</v>
      </c>
      <c r="F40" s="1199">
        <v>4.7E-2</v>
      </c>
      <c r="G40" s="1199">
        <v>4.7E-2</v>
      </c>
      <c r="H40" s="1199">
        <v>4.7E-2</v>
      </c>
      <c r="I40" s="620"/>
      <c r="J40" s="626"/>
      <c r="K40" s="628"/>
      <c r="N40" s="623">
        <v>0.04</v>
      </c>
      <c r="O40" s="623">
        <v>0.45</v>
      </c>
      <c r="P40" s="623">
        <v>0.45</v>
      </c>
      <c r="Q40" s="623">
        <v>0.45</v>
      </c>
      <c r="R40" s="623">
        <v>0.45</v>
      </c>
    </row>
    <row r="41" spans="1:18" s="599" customFormat="1" ht="17.25" thickBot="1">
      <c r="A41" s="2842"/>
      <c r="B41" s="2843" t="s">
        <v>562</v>
      </c>
      <c r="C41" s="2843"/>
      <c r="D41" s="1199">
        <f>SUM(D39:D40)</f>
        <v>0.47699999999999998</v>
      </c>
      <c r="E41" s="1199">
        <f>SUM(E39:E40)</f>
        <v>0.88700000000000001</v>
      </c>
      <c r="F41" s="1199">
        <f>SUM(F39:F40)</f>
        <v>0.91700000000000004</v>
      </c>
      <c r="G41" s="1199">
        <f>SUM(G39:G40)</f>
        <v>1.0669999999999999</v>
      </c>
      <c r="H41" s="1199">
        <f>SUM(H39:H40)</f>
        <v>1.147</v>
      </c>
      <c r="I41" s="729"/>
      <c r="J41" s="729"/>
      <c r="K41" s="628"/>
      <c r="N41" s="733"/>
      <c r="O41" s="733"/>
      <c r="P41" s="733"/>
      <c r="Q41" s="733"/>
      <c r="R41" s="733"/>
    </row>
    <row r="42" spans="1:18" ht="27.75" customHeight="1" thickTop="1">
      <c r="A42" s="2839" t="s">
        <v>820</v>
      </c>
      <c r="B42" s="2852" t="s">
        <v>823</v>
      </c>
      <c r="C42" s="730" t="s">
        <v>821</v>
      </c>
      <c r="D42" s="1200">
        <v>1.17</v>
      </c>
      <c r="E42" s="1200">
        <v>1.22</v>
      </c>
      <c r="F42" s="1200">
        <v>1.24</v>
      </c>
      <c r="G42" s="1200">
        <v>1.3</v>
      </c>
      <c r="H42" s="1200">
        <v>1.3</v>
      </c>
      <c r="I42" s="620"/>
      <c r="J42" s="626"/>
      <c r="K42" s="628"/>
      <c r="N42" s="624" t="s">
        <v>559</v>
      </c>
      <c r="O42" s="624">
        <v>7.0000000000000007E-2</v>
      </c>
      <c r="P42" s="624">
        <v>7.0000000000000007E-2</v>
      </c>
      <c r="Q42" s="624">
        <v>7.0000000000000007E-2</v>
      </c>
      <c r="R42" s="624">
        <v>7.0000000000000007E-2</v>
      </c>
    </row>
    <row r="43" spans="1:18">
      <c r="A43" s="2840"/>
      <c r="B43" s="2853"/>
      <c r="C43" s="731" t="s">
        <v>822</v>
      </c>
      <c r="D43" s="1200">
        <v>0.23</v>
      </c>
      <c r="E43" s="1200">
        <v>0.41</v>
      </c>
      <c r="F43" s="1200">
        <v>0.4</v>
      </c>
      <c r="G43" s="1200">
        <v>0.79</v>
      </c>
      <c r="H43" s="1200">
        <v>0.79</v>
      </c>
      <c r="I43" s="620"/>
      <c r="J43" s="626"/>
      <c r="K43" s="628"/>
    </row>
    <row r="44" spans="1:18" s="599" customFormat="1">
      <c r="A44" s="2840"/>
      <c r="B44" s="2854"/>
      <c r="C44" s="734" t="s">
        <v>561</v>
      </c>
      <c r="D44" s="1200">
        <f>SUM(D42:D43)</f>
        <v>1.4</v>
      </c>
      <c r="E44" s="1200">
        <f>SUM(E42:E43)</f>
        <v>1.63</v>
      </c>
      <c r="F44" s="1200">
        <f>SUM(F42:F43)</f>
        <v>1.6400000000000001</v>
      </c>
      <c r="G44" s="1200">
        <f>SUM(G42:G43)</f>
        <v>2.09</v>
      </c>
      <c r="H44" s="1200">
        <f>SUM(H42:H43)</f>
        <v>2.09</v>
      </c>
      <c r="I44" s="729"/>
      <c r="J44" s="729"/>
      <c r="K44" s="628"/>
    </row>
    <row r="45" spans="1:18">
      <c r="A45" s="2841"/>
      <c r="B45" s="2837" t="s">
        <v>830</v>
      </c>
      <c r="C45" s="2844"/>
      <c r="D45" s="1199">
        <v>0.11799999999999999</v>
      </c>
      <c r="E45" s="1199">
        <v>0.11799999999999999</v>
      </c>
      <c r="F45" s="1199">
        <v>0.11799999999999999</v>
      </c>
      <c r="G45" s="1199">
        <v>0.11799999999999999</v>
      </c>
      <c r="H45" s="1199">
        <v>0.11799999999999999</v>
      </c>
      <c r="I45" s="620"/>
      <c r="J45" s="626"/>
      <c r="K45" s="628"/>
    </row>
    <row r="46" spans="1:18" s="599" customFormat="1">
      <c r="A46" s="2841"/>
      <c r="B46" s="2644" t="s">
        <v>831</v>
      </c>
      <c r="C46" s="2645"/>
      <c r="D46" s="1199">
        <v>5.3999999999999999E-2</v>
      </c>
      <c r="E46" s="1199">
        <v>5.3999999999999999E-2</v>
      </c>
      <c r="F46" s="1199">
        <v>5.3999999999999999E-2</v>
      </c>
      <c r="G46" s="1199">
        <v>5.3999999999999999E-2</v>
      </c>
      <c r="H46" s="1199">
        <v>5.3999999999999999E-2</v>
      </c>
      <c r="I46" s="630"/>
      <c r="J46" s="630"/>
      <c r="K46" s="628"/>
    </row>
    <row r="47" spans="1:18">
      <c r="A47" s="2841"/>
      <c r="B47" s="2644" t="s">
        <v>832</v>
      </c>
      <c r="C47" s="2645"/>
      <c r="D47" s="1199">
        <v>0.2</v>
      </c>
      <c r="E47" s="1199">
        <v>0.2</v>
      </c>
      <c r="F47" s="1199">
        <v>0.2</v>
      </c>
      <c r="G47" s="1199">
        <v>0.2</v>
      </c>
      <c r="H47" s="1199">
        <v>0.2</v>
      </c>
      <c r="I47" s="620"/>
      <c r="J47" s="626"/>
      <c r="K47" s="628"/>
      <c r="N47" s="623" t="s">
        <v>559</v>
      </c>
      <c r="O47" s="623" t="s">
        <v>559</v>
      </c>
      <c r="P47" s="623">
        <v>0.18</v>
      </c>
      <c r="Q47" s="623">
        <v>0.18</v>
      </c>
      <c r="R47" s="623">
        <v>0.18</v>
      </c>
    </row>
    <row r="48" spans="1:18" s="599" customFormat="1">
      <c r="A48" s="2841"/>
      <c r="B48" s="2644" t="s">
        <v>1472</v>
      </c>
      <c r="C48" s="2645"/>
      <c r="D48" s="1199">
        <v>0.1</v>
      </c>
      <c r="E48" s="1199">
        <v>0.1</v>
      </c>
      <c r="F48" s="1199">
        <v>0.1</v>
      </c>
      <c r="G48" s="1199">
        <v>0.1</v>
      </c>
      <c r="H48" s="1199">
        <v>0.1</v>
      </c>
      <c r="I48" s="1180"/>
      <c r="J48" s="1180">
        <v>2</v>
      </c>
      <c r="K48" s="628"/>
      <c r="N48" s="623"/>
      <c r="O48" s="623"/>
      <c r="P48" s="623"/>
      <c r="Q48" s="623"/>
      <c r="R48" s="623"/>
    </row>
    <row r="49" spans="1:18" s="599" customFormat="1">
      <c r="A49" s="2841"/>
      <c r="B49" s="2644" t="s">
        <v>1473</v>
      </c>
      <c r="C49" s="2645"/>
      <c r="D49" s="1199">
        <v>0.114</v>
      </c>
      <c r="E49" s="1199">
        <v>0.114</v>
      </c>
      <c r="F49" s="1199">
        <v>0.114</v>
      </c>
      <c r="G49" s="1199">
        <v>0.114</v>
      </c>
      <c r="H49" s="1199">
        <v>0.114</v>
      </c>
      <c r="I49" s="1180"/>
      <c r="J49" s="1180">
        <v>2</v>
      </c>
      <c r="K49" s="628"/>
      <c r="N49" s="623"/>
      <c r="O49" s="623"/>
      <c r="P49" s="623"/>
      <c r="Q49" s="623"/>
      <c r="R49" s="623"/>
    </row>
    <row r="50" spans="1:18" s="599" customFormat="1">
      <c r="A50" s="2842"/>
      <c r="B50" s="2642" t="s">
        <v>562</v>
      </c>
      <c r="C50" s="2642"/>
      <c r="D50" s="1199">
        <f>SUM(D44:D49)</f>
        <v>1.986</v>
      </c>
      <c r="E50" s="1199">
        <f t="shared" ref="E50:H50" si="0">SUM(E44:E49)</f>
        <v>2.2159999999999997</v>
      </c>
      <c r="F50" s="1199">
        <f t="shared" si="0"/>
        <v>2.226</v>
      </c>
      <c r="G50" s="1199">
        <f t="shared" si="0"/>
        <v>2.6759999999999997</v>
      </c>
      <c r="H50" s="1199">
        <f t="shared" si="0"/>
        <v>2.6759999999999997</v>
      </c>
      <c r="I50" s="729"/>
      <c r="J50" s="729"/>
      <c r="K50" s="628"/>
      <c r="N50" s="623"/>
      <c r="O50" s="623"/>
      <c r="P50" s="623"/>
      <c r="Q50" s="623"/>
      <c r="R50" s="623"/>
    </row>
    <row r="51" spans="1:18">
      <c r="A51" s="2838" t="s">
        <v>136</v>
      </c>
      <c r="B51" s="2836" t="s">
        <v>563</v>
      </c>
      <c r="C51" s="629" t="s">
        <v>564</v>
      </c>
      <c r="D51" s="1199">
        <v>3.45</v>
      </c>
      <c r="E51" s="1199">
        <v>3.45</v>
      </c>
      <c r="F51" s="1199">
        <v>3.45</v>
      </c>
      <c r="G51" s="1199">
        <v>3.45</v>
      </c>
      <c r="H51" s="1199">
        <v>3.45</v>
      </c>
      <c r="I51" s="727" t="s">
        <v>841</v>
      </c>
      <c r="J51" s="31"/>
      <c r="K51" s="1"/>
    </row>
    <row r="52" spans="1:18">
      <c r="A52" s="2838"/>
      <c r="B52" s="2837"/>
      <c r="C52" s="629" t="s">
        <v>567</v>
      </c>
      <c r="D52" s="1199">
        <v>0</v>
      </c>
      <c r="E52" s="1199">
        <v>0</v>
      </c>
      <c r="F52" s="1199">
        <v>0</v>
      </c>
      <c r="G52" s="1199">
        <v>0</v>
      </c>
      <c r="H52" s="1199">
        <v>0</v>
      </c>
      <c r="I52" s="31"/>
      <c r="J52" s="31"/>
      <c r="K52" s="1"/>
    </row>
    <row r="53" spans="1:18">
      <c r="A53" s="2838"/>
      <c r="B53" s="2642" t="s">
        <v>562</v>
      </c>
      <c r="C53" s="2642"/>
      <c r="D53" s="1199">
        <f>SUM(D51:D52)</f>
        <v>3.45</v>
      </c>
      <c r="E53" s="1199">
        <f>SUM(E51:E52)</f>
        <v>3.45</v>
      </c>
      <c r="F53" s="1199">
        <f>SUM(F51:F52)</f>
        <v>3.45</v>
      </c>
      <c r="G53" s="1199">
        <f>SUM(G51:G52)</f>
        <v>3.45</v>
      </c>
      <c r="H53" s="1199">
        <f>SUM(H51:H52)</f>
        <v>3.45</v>
      </c>
      <c r="I53" s="31"/>
      <c r="J53" s="31"/>
      <c r="K53" s="1"/>
      <c r="L53" s="599"/>
    </row>
    <row r="54" spans="1:18">
      <c r="D54" s="1201"/>
      <c r="E54" s="1201"/>
      <c r="F54" s="1201"/>
      <c r="G54" s="1201"/>
      <c r="H54" s="1201"/>
    </row>
    <row r="55" spans="1:18" s="599" customFormat="1" ht="24" customHeight="1">
      <c r="A55"/>
      <c r="B55" s="599" t="s">
        <v>803</v>
      </c>
      <c r="D55" s="1201">
        <f>D6</f>
        <v>2.4700000000000002</v>
      </c>
      <c r="E55" s="1201" t="e">
        <f>+#REF!</f>
        <v>#REF!</v>
      </c>
      <c r="F55" s="1201" t="e">
        <f>+#REF!</f>
        <v>#REF!</v>
      </c>
      <c r="G55" s="1201" t="e">
        <f>+#REF!</f>
        <v>#REF!</v>
      </c>
      <c r="H55" s="1201" t="e">
        <f>+#REF!</f>
        <v>#REF!</v>
      </c>
      <c r="I55"/>
      <c r="L55"/>
    </row>
    <row r="56" spans="1:18">
      <c r="B56" s="599" t="s">
        <v>833</v>
      </c>
      <c r="C56" s="599"/>
      <c r="D56" s="1201">
        <f>D11</f>
        <v>2.5</v>
      </c>
      <c r="E56" s="1201" t="e">
        <f>+#REF!</f>
        <v>#REF!</v>
      </c>
      <c r="F56" s="1201" t="e">
        <f>+#REF!</f>
        <v>#REF!</v>
      </c>
      <c r="G56" s="1201" t="e">
        <f>+#REF!</f>
        <v>#REF!</v>
      </c>
      <c r="H56" s="1201" t="e">
        <f>+#REF!</f>
        <v>#REF!</v>
      </c>
    </row>
    <row r="57" spans="1:18">
      <c r="B57" s="599" t="s">
        <v>834</v>
      </c>
      <c r="C57" s="599"/>
      <c r="D57" s="1201">
        <f>D32</f>
        <v>2.3899999999999997</v>
      </c>
      <c r="E57" s="1201" t="e">
        <f>+#REF!</f>
        <v>#REF!</v>
      </c>
      <c r="F57" s="1201" t="e">
        <f>+#REF!</f>
        <v>#REF!</v>
      </c>
      <c r="G57" s="1201" t="e">
        <f>+#REF!</f>
        <v>#REF!</v>
      </c>
      <c r="H57" s="1201" t="e">
        <f>+#REF!</f>
        <v>#REF!</v>
      </c>
    </row>
    <row r="58" spans="1:18">
      <c r="B58" s="599" t="s">
        <v>840</v>
      </c>
      <c r="C58" s="599"/>
      <c r="D58" s="1201">
        <f>D44</f>
        <v>1.4</v>
      </c>
      <c r="E58" s="1201" t="e">
        <f>+#REF!</f>
        <v>#REF!</v>
      </c>
      <c r="F58" s="1201" t="e">
        <f>+#REF!</f>
        <v>#REF!</v>
      </c>
      <c r="G58" s="1201" t="e">
        <f>+#REF!</f>
        <v>#REF!</v>
      </c>
      <c r="H58" s="1201" t="e">
        <f>+#REF!</f>
        <v>#REF!</v>
      </c>
    </row>
    <row r="59" spans="1:18">
      <c r="B59" s="599" t="s">
        <v>573</v>
      </c>
      <c r="C59" s="599"/>
      <c r="D59" s="1201">
        <f>D53</f>
        <v>3.45</v>
      </c>
      <c r="E59" s="1201">
        <f t="shared" ref="E59:H59" si="1">+E53</f>
        <v>3.45</v>
      </c>
      <c r="F59" s="1201">
        <f t="shared" si="1"/>
        <v>3.45</v>
      </c>
      <c r="G59" s="1201">
        <f t="shared" si="1"/>
        <v>3.45</v>
      </c>
      <c r="H59" s="1201">
        <f t="shared" si="1"/>
        <v>3.45</v>
      </c>
    </row>
    <row r="60" spans="1:18">
      <c r="B60" s="599" t="s">
        <v>574</v>
      </c>
      <c r="C60" s="599"/>
      <c r="D60" s="1201">
        <f>D7+D12+D18+D23+D26+D33+D34+D36+D39+D40+D45+D46+D47</f>
        <v>1.9299999999999997</v>
      </c>
      <c r="E60" s="1201" t="e">
        <f>+#REF!+#REF!+#REF!+#REF!+#REF!+#REF!+#REF!+#REF!+#REF!+#REF!+#REF!+#REF!+#REF!+#REF!</f>
        <v>#REF!</v>
      </c>
      <c r="F60" s="1201" t="e">
        <f>+#REF!+#REF!+#REF!+#REF!+#REF!+#REF!+#REF!+#REF!+#REF!+#REF!+#REF!+#REF!+#REF!+#REF!</f>
        <v>#REF!</v>
      </c>
      <c r="G60" s="1201" t="e">
        <f>+#REF!+#REF!+#REF!+#REF!+#REF!+#REF!+#REF!+#REF!+#REF!+#REF!+#REF!+#REF!+#REF!+#REF!</f>
        <v>#REF!</v>
      </c>
      <c r="H60" s="1201" t="e">
        <f>+#REF!+#REF!+#REF!+#REF!+#REF!+#REF!+#REF!+#REF!+#REF!+#REF!+#REF!+#REF!+#REF!+#REF!</f>
        <v>#REF!</v>
      </c>
    </row>
    <row r="61" spans="1:18">
      <c r="B61" s="599" t="s">
        <v>575</v>
      </c>
      <c r="C61" s="599"/>
      <c r="D61" s="1201">
        <f>SUM(D55:D60)</f>
        <v>14.14</v>
      </c>
      <c r="E61" s="1201" t="e">
        <f t="shared" ref="E61:H61" si="2">SUM(E55:E60)</f>
        <v>#REF!</v>
      </c>
      <c r="F61" s="1201" t="e">
        <f t="shared" si="2"/>
        <v>#REF!</v>
      </c>
      <c r="G61" s="1201" t="e">
        <f t="shared" si="2"/>
        <v>#REF!</v>
      </c>
      <c r="H61" s="1201" t="e">
        <f t="shared" si="2"/>
        <v>#REF!</v>
      </c>
    </row>
    <row r="70" spans="4:5">
      <c r="D70" s="619"/>
      <c r="E70" s="619"/>
    </row>
    <row r="81" spans="9:9">
      <c r="I81" s="632"/>
    </row>
    <row r="82" spans="9:9">
      <c r="I82" s="632"/>
    </row>
    <row r="83" spans="9:9">
      <c r="I83" s="632"/>
    </row>
    <row r="84" spans="9:9">
      <c r="I84" s="632"/>
    </row>
    <row r="85" spans="9:9">
      <c r="I85" s="632"/>
    </row>
    <row r="86" spans="9:9">
      <c r="I86" s="632"/>
    </row>
    <row r="87" spans="9:9">
      <c r="I87" s="632"/>
    </row>
    <row r="88" spans="9:9">
      <c r="I88" s="632"/>
    </row>
    <row r="89" spans="9:9">
      <c r="I89" s="632"/>
    </row>
    <row r="90" spans="9:9">
      <c r="I90" s="632"/>
    </row>
    <row r="91" spans="9:9">
      <c r="I91" s="633"/>
    </row>
    <row r="92" spans="9:9">
      <c r="I92" s="633"/>
    </row>
    <row r="93" spans="9:9">
      <c r="I93" s="633"/>
    </row>
    <row r="94" spans="9:9">
      <c r="I94" s="633"/>
    </row>
    <row r="95" spans="9:9">
      <c r="I95" s="633"/>
    </row>
    <row r="96" spans="9:9">
      <c r="I96" s="633"/>
    </row>
    <row r="97" spans="9:9">
      <c r="I97" s="633"/>
    </row>
    <row r="98" spans="9:9">
      <c r="I98" s="633"/>
    </row>
    <row r="99" spans="9:9">
      <c r="I99" s="633"/>
    </row>
    <row r="100" spans="9:9">
      <c r="I100" s="633"/>
    </row>
    <row r="101" spans="9:9">
      <c r="I101" s="633"/>
    </row>
    <row r="102" spans="9:9">
      <c r="I102" s="633"/>
    </row>
    <row r="103" spans="9:9">
      <c r="I103" s="633"/>
    </row>
    <row r="104" spans="9:9">
      <c r="I104" s="633"/>
    </row>
    <row r="105" spans="9:9">
      <c r="I105" s="633"/>
    </row>
    <row r="106" spans="9:9">
      <c r="I106" s="633"/>
    </row>
    <row r="107" spans="9:9">
      <c r="I107" s="633"/>
    </row>
    <row r="108" spans="9:9">
      <c r="I108" s="633"/>
    </row>
    <row r="109" spans="9:9">
      <c r="I109" s="633"/>
    </row>
    <row r="110" spans="9:9">
      <c r="I110" s="633"/>
    </row>
    <row r="111" spans="9:9">
      <c r="I111" s="633"/>
    </row>
    <row r="112" spans="9:9">
      <c r="I112" s="633"/>
    </row>
    <row r="113" spans="9:9">
      <c r="I113" s="633"/>
    </row>
    <row r="114" spans="9:9">
      <c r="I114" s="633"/>
    </row>
    <row r="115" spans="9:9" ht="17.25" thickBot="1">
      <c r="I115" s="634"/>
    </row>
    <row r="116" spans="9:9" ht="17.25" thickTop="1"/>
  </sheetData>
  <mergeCells count="62">
    <mergeCell ref="B48:C48"/>
    <mergeCell ref="B49:C49"/>
    <mergeCell ref="B42:B44"/>
    <mergeCell ref="B24:C24"/>
    <mergeCell ref="B27:C27"/>
    <mergeCell ref="B34:C34"/>
    <mergeCell ref="B39:C39"/>
    <mergeCell ref="B38:C38"/>
    <mergeCell ref="B37:C37"/>
    <mergeCell ref="B13:C13"/>
    <mergeCell ref="B29:B32"/>
    <mergeCell ref="B14:C14"/>
    <mergeCell ref="B15:C15"/>
    <mergeCell ref="B16:C16"/>
    <mergeCell ref="B19:C19"/>
    <mergeCell ref="B20:C20"/>
    <mergeCell ref="B21:C21"/>
    <mergeCell ref="B50:C50"/>
    <mergeCell ref="B9:B11"/>
    <mergeCell ref="B4:B6"/>
    <mergeCell ref="B8:C8"/>
    <mergeCell ref="B17:C17"/>
    <mergeCell ref="B25:C25"/>
    <mergeCell ref="B28:C28"/>
    <mergeCell ref="B35:C35"/>
    <mergeCell ref="B12:C12"/>
    <mergeCell ref="B18:C18"/>
    <mergeCell ref="B23:C23"/>
    <mergeCell ref="B26:C26"/>
    <mergeCell ref="B22:C22"/>
    <mergeCell ref="B41:C41"/>
    <mergeCell ref="B33:C33"/>
    <mergeCell ref="B36:C36"/>
    <mergeCell ref="A26:A28"/>
    <mergeCell ref="A23:A25"/>
    <mergeCell ref="A18:A22"/>
    <mergeCell ref="A9:A17"/>
    <mergeCell ref="A4:A8"/>
    <mergeCell ref="B51:B52"/>
    <mergeCell ref="A1:A2"/>
    <mergeCell ref="B1:B2"/>
    <mergeCell ref="C1:C2"/>
    <mergeCell ref="A51:A53"/>
    <mergeCell ref="B53:C53"/>
    <mergeCell ref="A3:C3"/>
    <mergeCell ref="B7:C7"/>
    <mergeCell ref="A42:A50"/>
    <mergeCell ref="A39:A41"/>
    <mergeCell ref="A36:A38"/>
    <mergeCell ref="A29:A35"/>
    <mergeCell ref="B40:C40"/>
    <mergeCell ref="B45:C45"/>
    <mergeCell ref="B46:C46"/>
    <mergeCell ref="B47:C47"/>
    <mergeCell ref="N1:N2"/>
    <mergeCell ref="J1:J2"/>
    <mergeCell ref="D1:D2"/>
    <mergeCell ref="E1:E2"/>
    <mergeCell ref="F1:F2"/>
    <mergeCell ref="I1:I2"/>
    <mergeCell ref="G1:G2"/>
    <mergeCell ref="H1:H2"/>
  </mergeCells>
  <phoneticPr fontId="3" type="noConversion"/>
  <pageMargins left="0.7" right="0.7" top="0.75" bottom="0.75" header="0.3" footer="0.3"/>
  <pageSetup paperSize="9" scale="78" orientation="portrait" r:id="rId1"/>
  <colBreaks count="1" manualBreakCount="1">
    <brk id="9" max="102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0"/>
  <sheetViews>
    <sheetView workbookViewId="0">
      <selection activeCell="R5" sqref="R5"/>
    </sheetView>
  </sheetViews>
  <sheetFormatPr defaultRowHeight="16.5"/>
  <cols>
    <col min="1" max="1" width="9" style="599"/>
    <col min="2" max="2" width="12.375" style="599" bestFit="1" customWidth="1"/>
    <col min="3" max="5" width="0" style="599" hidden="1" customWidth="1"/>
    <col min="6" max="6" width="7.75" style="599" hidden="1" customWidth="1"/>
    <col min="7" max="7" width="8.25" style="599" hidden="1" customWidth="1"/>
    <col min="8" max="8" width="7.125" style="599" bestFit="1" customWidth="1"/>
    <col min="9" max="10" width="5.875" style="599" bestFit="1" customWidth="1"/>
    <col min="11" max="11" width="6.875" style="599" bestFit="1" customWidth="1"/>
    <col min="12" max="12" width="7.125" style="599" bestFit="1" customWidth="1"/>
    <col min="13" max="14" width="5.875" style="599" bestFit="1" customWidth="1"/>
    <col min="15" max="15" width="6.875" style="599" bestFit="1" customWidth="1"/>
    <col min="16" max="16384" width="9" style="599"/>
  </cols>
  <sheetData>
    <row r="1" spans="1:19" ht="31.5">
      <c r="A1" s="2855" t="s">
        <v>1800</v>
      </c>
      <c r="B1" s="2855"/>
      <c r="C1" s="2855"/>
      <c r="D1" s="2855"/>
      <c r="E1" s="2855"/>
      <c r="F1" s="2855"/>
      <c r="G1" s="2855"/>
      <c r="H1" s="2855"/>
      <c r="I1" s="2855"/>
      <c r="J1" s="2855"/>
      <c r="K1" s="2855"/>
      <c r="L1" s="2855"/>
      <c r="M1" s="2855"/>
      <c r="N1" s="2855"/>
      <c r="O1" s="2855"/>
    </row>
    <row r="2" spans="1:19" ht="20.25" customHeight="1">
      <c r="A2" s="2856" t="s">
        <v>1801</v>
      </c>
      <c r="B2" s="2856"/>
      <c r="C2" s="2857" t="s">
        <v>1802</v>
      </c>
      <c r="D2" s="2858"/>
      <c r="E2" s="2858"/>
      <c r="F2" s="2858"/>
      <c r="G2" s="2859"/>
      <c r="H2" s="2856" t="s">
        <v>1803</v>
      </c>
      <c r="I2" s="2856"/>
      <c r="J2" s="2856"/>
      <c r="K2" s="2856"/>
      <c r="L2" s="2856" t="s">
        <v>1804</v>
      </c>
      <c r="M2" s="2856"/>
      <c r="N2" s="2856"/>
      <c r="O2" s="2856"/>
    </row>
    <row r="3" spans="1:19">
      <c r="A3" s="1621" t="s">
        <v>1805</v>
      </c>
      <c r="B3" s="1625" t="s">
        <v>1798</v>
      </c>
      <c r="C3" s="1621" t="s">
        <v>1621</v>
      </c>
      <c r="D3" s="1621" t="s">
        <v>1622</v>
      </c>
      <c r="E3" s="1621" t="s">
        <v>1623</v>
      </c>
      <c r="F3" s="1621" t="s">
        <v>1806</v>
      </c>
      <c r="G3" s="1621" t="s">
        <v>1807</v>
      </c>
      <c r="H3" s="1621" t="s">
        <v>1621</v>
      </c>
      <c r="I3" s="1621" t="s">
        <v>1622</v>
      </c>
      <c r="J3" s="1621" t="s">
        <v>1623</v>
      </c>
      <c r="K3" s="1621" t="s">
        <v>1806</v>
      </c>
      <c r="L3" s="1621" t="s">
        <v>1621</v>
      </c>
      <c r="M3" s="1621" t="s">
        <v>1622</v>
      </c>
      <c r="N3" s="1621" t="s">
        <v>1623</v>
      </c>
      <c r="O3" s="1621" t="s">
        <v>1806</v>
      </c>
    </row>
    <row r="4" spans="1:19">
      <c r="A4" s="1626"/>
      <c r="B4" s="1627" t="s">
        <v>1808</v>
      </c>
      <c r="C4" s="1623">
        <f>SUM(C5:C50)</f>
        <v>8154</v>
      </c>
      <c r="D4" s="1623">
        <f t="shared" ref="D4:N4" si="0">SUM(D5:D50)</f>
        <v>9449</v>
      </c>
      <c r="E4" s="1623">
        <f t="shared" si="0"/>
        <v>8990</v>
      </c>
      <c r="F4" s="1623">
        <f>SUM(D4:E4)</f>
        <v>18439</v>
      </c>
      <c r="G4" s="1624">
        <f>ROUND(F4/C4,2)</f>
        <v>2.2599999999999998</v>
      </c>
      <c r="H4" s="1623">
        <f t="shared" si="0"/>
        <v>8223</v>
      </c>
      <c r="I4" s="1623">
        <f t="shared" si="0"/>
        <v>9395</v>
      </c>
      <c r="J4" s="1623">
        <f t="shared" si="0"/>
        <v>8999</v>
      </c>
      <c r="K4" s="1623">
        <f>SUM(I4:J4)</f>
        <v>18394</v>
      </c>
      <c r="L4" s="1623">
        <f t="shared" si="0"/>
        <v>8207</v>
      </c>
      <c r="M4" s="1623">
        <f t="shared" si="0"/>
        <v>9333</v>
      </c>
      <c r="N4" s="1623">
        <f t="shared" si="0"/>
        <v>8959</v>
      </c>
      <c r="O4" s="1623">
        <f>SUM(M4:N4)</f>
        <v>18292</v>
      </c>
      <c r="Q4" s="599">
        <v>663</v>
      </c>
      <c r="R4" s="1614">
        <f>Q4+K4</f>
        <v>19057</v>
      </c>
      <c r="S4" s="599">
        <v>648</v>
      </c>
    </row>
    <row r="5" spans="1:19" s="1632" customFormat="1">
      <c r="A5" s="1628" t="s">
        <v>1627</v>
      </c>
      <c r="B5" s="1629" t="s">
        <v>1809</v>
      </c>
      <c r="C5" s="1630">
        <v>829</v>
      </c>
      <c r="D5" s="1630">
        <v>961</v>
      </c>
      <c r="E5" s="1630">
        <v>905</v>
      </c>
      <c r="F5" s="1630">
        <f t="shared" ref="F5:F50" si="1">SUM(D5:E5)</f>
        <v>1866</v>
      </c>
      <c r="G5" s="1631">
        <f>ROUND(F5/C5,2)</f>
        <v>2.25</v>
      </c>
      <c r="H5" s="1630">
        <v>829</v>
      </c>
      <c r="I5" s="1630">
        <v>938</v>
      </c>
      <c r="J5" s="1630">
        <v>919</v>
      </c>
      <c r="K5" s="1630">
        <f t="shared" ref="K5:K50" si="2">SUM(I5:J5)</f>
        <v>1857</v>
      </c>
      <c r="L5" s="1630">
        <v>830</v>
      </c>
      <c r="M5" s="1630">
        <v>921</v>
      </c>
      <c r="N5" s="1630">
        <v>916</v>
      </c>
      <c r="O5" s="1630">
        <f t="shared" ref="O5:O50" si="3">SUM(M5:N5)</f>
        <v>1837</v>
      </c>
      <c r="Q5" s="1632">
        <f>ROUND(K5/$K$4*$Q$4,0)-1</f>
        <v>66</v>
      </c>
      <c r="R5" s="1614">
        <f t="shared" ref="R5:R50" si="4">Q5+K5</f>
        <v>1923</v>
      </c>
      <c r="S5" s="1632">
        <f>ROUND(O5/$O$4*$S$4,0)-1</f>
        <v>64</v>
      </c>
    </row>
    <row r="6" spans="1:19" s="1632" customFormat="1">
      <c r="A6" s="1628" t="s">
        <v>1629</v>
      </c>
      <c r="B6" s="1629" t="s">
        <v>1810</v>
      </c>
      <c r="C6" s="1630">
        <v>796</v>
      </c>
      <c r="D6" s="1630">
        <v>965</v>
      </c>
      <c r="E6" s="1630">
        <v>949</v>
      </c>
      <c r="F6" s="1630">
        <f t="shared" si="1"/>
        <v>1914</v>
      </c>
      <c r="G6" s="1631">
        <f t="shared" ref="G6:G50" si="5">ROUND(F6/C6,2)</f>
        <v>2.4</v>
      </c>
      <c r="H6" s="1630">
        <v>800</v>
      </c>
      <c r="I6" s="1630">
        <v>941</v>
      </c>
      <c r="J6" s="1630">
        <v>911</v>
      </c>
      <c r="K6" s="1630">
        <f t="shared" si="2"/>
        <v>1852</v>
      </c>
      <c r="L6" s="1630">
        <v>789</v>
      </c>
      <c r="M6" s="1630">
        <v>920</v>
      </c>
      <c r="N6" s="1630">
        <v>910</v>
      </c>
      <c r="O6" s="1630">
        <f t="shared" si="3"/>
        <v>1830</v>
      </c>
      <c r="Q6" s="1632">
        <f>ROUND(K6/$K$4*$Q$4,0)-1</f>
        <v>66</v>
      </c>
      <c r="R6" s="1614">
        <f t="shared" si="4"/>
        <v>1918</v>
      </c>
      <c r="S6" s="1632">
        <f>ROUND(O6/$O$4*$S$4,0)-1</f>
        <v>64</v>
      </c>
    </row>
    <row r="7" spans="1:19" s="1632" customFormat="1">
      <c r="A7" s="1628" t="s">
        <v>1632</v>
      </c>
      <c r="B7" s="1629" t="s">
        <v>766</v>
      </c>
      <c r="C7" s="1630">
        <v>503</v>
      </c>
      <c r="D7" s="1630">
        <v>560</v>
      </c>
      <c r="E7" s="1630">
        <v>575</v>
      </c>
      <c r="F7" s="1630">
        <f t="shared" si="1"/>
        <v>1135</v>
      </c>
      <c r="G7" s="1631">
        <f t="shared" si="5"/>
        <v>2.2599999999999998</v>
      </c>
      <c r="H7" s="1630">
        <v>496</v>
      </c>
      <c r="I7" s="1630">
        <v>557</v>
      </c>
      <c r="J7" s="1630">
        <v>557</v>
      </c>
      <c r="K7" s="1630">
        <f t="shared" si="2"/>
        <v>1114</v>
      </c>
      <c r="L7" s="1630">
        <v>501</v>
      </c>
      <c r="M7" s="1630">
        <v>551</v>
      </c>
      <c r="N7" s="1630">
        <v>554</v>
      </c>
      <c r="O7" s="1630">
        <f t="shared" si="3"/>
        <v>1105</v>
      </c>
      <c r="Q7" s="1632">
        <f t="shared" ref="Q7:Q50" si="6">ROUND(K7/$K$4*$Q$4,0)</f>
        <v>40</v>
      </c>
      <c r="R7" s="1614">
        <f t="shared" si="4"/>
        <v>1154</v>
      </c>
      <c r="S7" s="1632">
        <f t="shared" ref="S7:S50" si="7">ROUND(O7/$O$4*$S$4,0)</f>
        <v>39</v>
      </c>
    </row>
    <row r="8" spans="1:19" s="1632" customFormat="1">
      <c r="A8" s="1628" t="s">
        <v>1634</v>
      </c>
      <c r="B8" s="1629" t="s">
        <v>939</v>
      </c>
      <c r="C8" s="1630">
        <v>352</v>
      </c>
      <c r="D8" s="1630">
        <v>386</v>
      </c>
      <c r="E8" s="1630">
        <v>348</v>
      </c>
      <c r="F8" s="1630">
        <f t="shared" si="1"/>
        <v>734</v>
      </c>
      <c r="G8" s="1631">
        <f t="shared" si="5"/>
        <v>2.09</v>
      </c>
      <c r="H8" s="1630">
        <v>341</v>
      </c>
      <c r="I8" s="1630">
        <v>366</v>
      </c>
      <c r="J8" s="1630">
        <v>337</v>
      </c>
      <c r="K8" s="1630">
        <f t="shared" si="2"/>
        <v>703</v>
      </c>
      <c r="L8" s="1630">
        <v>342</v>
      </c>
      <c r="M8" s="1630">
        <v>376</v>
      </c>
      <c r="N8" s="1630">
        <v>341</v>
      </c>
      <c r="O8" s="1630">
        <f t="shared" si="3"/>
        <v>717</v>
      </c>
      <c r="Q8" s="1632">
        <f t="shared" si="6"/>
        <v>25</v>
      </c>
      <c r="R8" s="1614">
        <f t="shared" si="4"/>
        <v>728</v>
      </c>
      <c r="S8" s="1632">
        <f t="shared" si="7"/>
        <v>25</v>
      </c>
    </row>
    <row r="9" spans="1:19" s="1632" customFormat="1">
      <c r="A9" s="1628" t="s">
        <v>1636</v>
      </c>
      <c r="B9" s="1629" t="s">
        <v>940</v>
      </c>
      <c r="C9" s="1630">
        <v>377</v>
      </c>
      <c r="D9" s="1630">
        <v>393</v>
      </c>
      <c r="E9" s="1630">
        <v>324</v>
      </c>
      <c r="F9" s="1630">
        <f t="shared" si="1"/>
        <v>717</v>
      </c>
      <c r="G9" s="1631">
        <f t="shared" si="5"/>
        <v>1.9</v>
      </c>
      <c r="H9" s="1630">
        <v>390</v>
      </c>
      <c r="I9" s="1630">
        <v>414</v>
      </c>
      <c r="J9" s="1630">
        <v>333</v>
      </c>
      <c r="K9" s="1630">
        <f t="shared" si="2"/>
        <v>747</v>
      </c>
      <c r="L9" s="1630">
        <v>407</v>
      </c>
      <c r="M9" s="1630">
        <v>415</v>
      </c>
      <c r="N9" s="1630">
        <v>345</v>
      </c>
      <c r="O9" s="1630">
        <f t="shared" si="3"/>
        <v>760</v>
      </c>
      <c r="Q9" s="1632">
        <f t="shared" si="6"/>
        <v>27</v>
      </c>
      <c r="R9" s="1614">
        <f t="shared" si="4"/>
        <v>774</v>
      </c>
      <c r="S9" s="1632">
        <f t="shared" si="7"/>
        <v>27</v>
      </c>
    </row>
    <row r="10" spans="1:19" s="1632" customFormat="1">
      <c r="A10" s="1628" t="s">
        <v>1638</v>
      </c>
      <c r="B10" s="1629" t="s">
        <v>941</v>
      </c>
      <c r="C10" s="1630">
        <v>391</v>
      </c>
      <c r="D10" s="1630">
        <v>337</v>
      </c>
      <c r="E10" s="1630">
        <v>296</v>
      </c>
      <c r="F10" s="1630">
        <f t="shared" si="1"/>
        <v>633</v>
      </c>
      <c r="G10" s="1631">
        <f t="shared" si="5"/>
        <v>1.62</v>
      </c>
      <c r="H10" s="1630">
        <v>392</v>
      </c>
      <c r="I10" s="1630">
        <v>330</v>
      </c>
      <c r="J10" s="1630">
        <v>285</v>
      </c>
      <c r="K10" s="1630">
        <f t="shared" si="2"/>
        <v>615</v>
      </c>
      <c r="L10" s="1630">
        <v>390</v>
      </c>
      <c r="M10" s="1630">
        <v>328</v>
      </c>
      <c r="N10" s="1630">
        <v>286</v>
      </c>
      <c r="O10" s="1630">
        <f t="shared" si="3"/>
        <v>614</v>
      </c>
      <c r="Q10" s="1632">
        <f t="shared" si="6"/>
        <v>22</v>
      </c>
      <c r="R10" s="1614">
        <f t="shared" si="4"/>
        <v>637</v>
      </c>
      <c r="S10" s="1632">
        <f t="shared" si="7"/>
        <v>22</v>
      </c>
    </row>
    <row r="11" spans="1:19" s="1632" customFormat="1">
      <c r="A11" s="1628" t="s">
        <v>1640</v>
      </c>
      <c r="B11" s="1629" t="s">
        <v>768</v>
      </c>
      <c r="C11" s="1630">
        <v>344</v>
      </c>
      <c r="D11" s="1630">
        <v>419</v>
      </c>
      <c r="E11" s="1630">
        <v>491</v>
      </c>
      <c r="F11" s="1630">
        <f t="shared" si="1"/>
        <v>910</v>
      </c>
      <c r="G11" s="1631">
        <f t="shared" si="5"/>
        <v>2.65</v>
      </c>
      <c r="H11" s="1630">
        <v>345</v>
      </c>
      <c r="I11" s="1630">
        <v>424</v>
      </c>
      <c r="J11" s="1630">
        <v>486</v>
      </c>
      <c r="K11" s="1630">
        <f t="shared" si="2"/>
        <v>910</v>
      </c>
      <c r="L11" s="1630">
        <v>340</v>
      </c>
      <c r="M11" s="1630">
        <v>420</v>
      </c>
      <c r="N11" s="1630">
        <v>462</v>
      </c>
      <c r="O11" s="1630">
        <f t="shared" si="3"/>
        <v>882</v>
      </c>
      <c r="Q11" s="1632">
        <f t="shared" si="6"/>
        <v>33</v>
      </c>
      <c r="R11" s="1614">
        <f t="shared" si="4"/>
        <v>943</v>
      </c>
      <c r="S11" s="1632">
        <f t="shared" si="7"/>
        <v>31</v>
      </c>
    </row>
    <row r="12" spans="1:19" s="1632" customFormat="1">
      <c r="A12" s="1628" t="s">
        <v>1642</v>
      </c>
      <c r="B12" s="1629" t="s">
        <v>942</v>
      </c>
      <c r="C12" s="1630">
        <v>668</v>
      </c>
      <c r="D12" s="1630">
        <v>776</v>
      </c>
      <c r="E12" s="1630">
        <v>774</v>
      </c>
      <c r="F12" s="1630">
        <f t="shared" si="1"/>
        <v>1550</v>
      </c>
      <c r="G12" s="1631">
        <f t="shared" si="5"/>
        <v>2.3199999999999998</v>
      </c>
      <c r="H12" s="1630">
        <v>638</v>
      </c>
      <c r="I12" s="1630">
        <v>746</v>
      </c>
      <c r="J12" s="1630">
        <v>732</v>
      </c>
      <c r="K12" s="1630">
        <f t="shared" si="2"/>
        <v>1478</v>
      </c>
      <c r="L12" s="1630">
        <v>632</v>
      </c>
      <c r="M12" s="1630">
        <v>737</v>
      </c>
      <c r="N12" s="1630">
        <v>728</v>
      </c>
      <c r="O12" s="1630">
        <f t="shared" si="3"/>
        <v>1465</v>
      </c>
      <c r="Q12" s="1632">
        <f t="shared" si="6"/>
        <v>53</v>
      </c>
      <c r="R12" s="1614">
        <f t="shared" si="4"/>
        <v>1531</v>
      </c>
      <c r="S12" s="1632">
        <f t="shared" si="7"/>
        <v>52</v>
      </c>
    </row>
    <row r="13" spans="1:19" s="1632" customFormat="1">
      <c r="A13" s="1628" t="s">
        <v>1644</v>
      </c>
      <c r="B13" s="1629" t="s">
        <v>943</v>
      </c>
      <c r="C13" s="1630">
        <v>258</v>
      </c>
      <c r="D13" s="1630">
        <v>389</v>
      </c>
      <c r="E13" s="1630">
        <v>387</v>
      </c>
      <c r="F13" s="1630">
        <f t="shared" si="1"/>
        <v>776</v>
      </c>
      <c r="G13" s="1631">
        <f t="shared" si="5"/>
        <v>3.01</v>
      </c>
      <c r="H13" s="1630">
        <v>250</v>
      </c>
      <c r="I13" s="1630">
        <v>380</v>
      </c>
      <c r="J13" s="1630">
        <v>387</v>
      </c>
      <c r="K13" s="1630">
        <f t="shared" si="2"/>
        <v>767</v>
      </c>
      <c r="L13" s="1630">
        <v>250</v>
      </c>
      <c r="M13" s="1630">
        <v>371</v>
      </c>
      <c r="N13" s="1630">
        <v>387</v>
      </c>
      <c r="O13" s="1630">
        <f t="shared" si="3"/>
        <v>758</v>
      </c>
      <c r="Q13" s="1632">
        <f t="shared" si="6"/>
        <v>28</v>
      </c>
      <c r="R13" s="1614">
        <f t="shared" si="4"/>
        <v>795</v>
      </c>
      <c r="S13" s="1632">
        <f t="shared" si="7"/>
        <v>27</v>
      </c>
    </row>
    <row r="14" spans="1:19" s="1632" customFormat="1">
      <c r="A14" s="1628" t="s">
        <v>1648</v>
      </c>
      <c r="B14" s="1629" t="s">
        <v>1811</v>
      </c>
      <c r="C14" s="1630">
        <v>103</v>
      </c>
      <c r="D14" s="1630">
        <v>110</v>
      </c>
      <c r="E14" s="1630">
        <v>98</v>
      </c>
      <c r="F14" s="1630">
        <f t="shared" si="1"/>
        <v>208</v>
      </c>
      <c r="G14" s="1631">
        <f t="shared" si="5"/>
        <v>2.02</v>
      </c>
      <c r="H14" s="1630">
        <v>112</v>
      </c>
      <c r="I14" s="1630">
        <v>124</v>
      </c>
      <c r="J14" s="1630">
        <v>99</v>
      </c>
      <c r="K14" s="1630">
        <f t="shared" si="2"/>
        <v>223</v>
      </c>
      <c r="L14" s="1630">
        <v>110</v>
      </c>
      <c r="M14" s="1630">
        <v>122</v>
      </c>
      <c r="N14" s="1630">
        <v>97</v>
      </c>
      <c r="O14" s="1630">
        <f t="shared" si="3"/>
        <v>219</v>
      </c>
      <c r="Q14" s="1632">
        <f t="shared" si="6"/>
        <v>8</v>
      </c>
      <c r="R14" s="1614">
        <f t="shared" si="4"/>
        <v>231</v>
      </c>
      <c r="S14" s="1632">
        <f t="shared" si="7"/>
        <v>8</v>
      </c>
    </row>
    <row r="15" spans="1:19" s="1637" customFormat="1">
      <c r="A15" s="1633" t="s">
        <v>1650</v>
      </c>
      <c r="B15" s="1634" t="s">
        <v>1812</v>
      </c>
      <c r="C15" s="1635">
        <v>50</v>
      </c>
      <c r="D15" s="1635">
        <v>53</v>
      </c>
      <c r="E15" s="1635">
        <v>41</v>
      </c>
      <c r="F15" s="1635">
        <f t="shared" si="1"/>
        <v>94</v>
      </c>
      <c r="G15" s="1636">
        <f t="shared" si="5"/>
        <v>1.88</v>
      </c>
      <c r="H15" s="1635">
        <v>52</v>
      </c>
      <c r="I15" s="1635">
        <v>51</v>
      </c>
      <c r="J15" s="1635">
        <v>41</v>
      </c>
      <c r="K15" s="1635">
        <f t="shared" si="2"/>
        <v>92</v>
      </c>
      <c r="L15" s="1635">
        <v>51</v>
      </c>
      <c r="M15" s="1635">
        <v>50</v>
      </c>
      <c r="N15" s="1635">
        <v>39</v>
      </c>
      <c r="O15" s="1635">
        <f t="shared" si="3"/>
        <v>89</v>
      </c>
      <c r="Q15" s="1632">
        <f t="shared" si="6"/>
        <v>3</v>
      </c>
      <c r="R15" s="1614">
        <f t="shared" si="4"/>
        <v>95</v>
      </c>
      <c r="S15" s="1632">
        <f t="shared" si="7"/>
        <v>3</v>
      </c>
    </row>
    <row r="16" spans="1:19" s="1632" customFormat="1">
      <c r="A16" s="1628" t="s">
        <v>1652</v>
      </c>
      <c r="B16" s="1629" t="s">
        <v>1813</v>
      </c>
      <c r="C16" s="1630">
        <v>130</v>
      </c>
      <c r="D16" s="1630">
        <v>121</v>
      </c>
      <c r="E16" s="1630">
        <v>130</v>
      </c>
      <c r="F16" s="1630">
        <f t="shared" si="1"/>
        <v>251</v>
      </c>
      <c r="G16" s="1631">
        <f t="shared" si="5"/>
        <v>1.93</v>
      </c>
      <c r="H16" s="1630">
        <v>134</v>
      </c>
      <c r="I16" s="1630">
        <v>132</v>
      </c>
      <c r="J16" s="1630">
        <v>134</v>
      </c>
      <c r="K16" s="1630">
        <f t="shared" si="2"/>
        <v>266</v>
      </c>
      <c r="L16" s="1630">
        <v>136</v>
      </c>
      <c r="M16" s="1630">
        <v>136</v>
      </c>
      <c r="N16" s="1630">
        <v>135</v>
      </c>
      <c r="O16" s="1630">
        <f t="shared" si="3"/>
        <v>271</v>
      </c>
      <c r="Q16" s="1632">
        <f t="shared" si="6"/>
        <v>10</v>
      </c>
      <c r="R16" s="1614">
        <f t="shared" si="4"/>
        <v>276</v>
      </c>
      <c r="S16" s="1632">
        <f t="shared" si="7"/>
        <v>10</v>
      </c>
    </row>
    <row r="17" spans="1:19" s="1632" customFormat="1">
      <c r="A17" s="1628" t="s">
        <v>1654</v>
      </c>
      <c r="B17" s="1629" t="s">
        <v>775</v>
      </c>
      <c r="C17" s="1630">
        <v>93</v>
      </c>
      <c r="D17" s="1630">
        <v>115</v>
      </c>
      <c r="E17" s="1630">
        <v>120</v>
      </c>
      <c r="F17" s="1630">
        <f t="shared" si="1"/>
        <v>235</v>
      </c>
      <c r="G17" s="1631">
        <f t="shared" si="5"/>
        <v>2.5299999999999998</v>
      </c>
      <c r="H17" s="1630">
        <v>96</v>
      </c>
      <c r="I17" s="1630">
        <v>116</v>
      </c>
      <c r="J17" s="1630">
        <v>123</v>
      </c>
      <c r="K17" s="1630">
        <f t="shared" si="2"/>
        <v>239</v>
      </c>
      <c r="L17" s="1630">
        <v>97</v>
      </c>
      <c r="M17" s="1630">
        <v>120</v>
      </c>
      <c r="N17" s="1630">
        <v>125</v>
      </c>
      <c r="O17" s="1630">
        <f t="shared" si="3"/>
        <v>245</v>
      </c>
      <c r="Q17" s="1632">
        <f t="shared" si="6"/>
        <v>9</v>
      </c>
      <c r="R17" s="1614">
        <f t="shared" si="4"/>
        <v>248</v>
      </c>
      <c r="S17" s="1632">
        <f t="shared" si="7"/>
        <v>9</v>
      </c>
    </row>
    <row r="18" spans="1:19" s="1632" customFormat="1">
      <c r="A18" s="1628" t="s">
        <v>1656</v>
      </c>
      <c r="B18" s="1629" t="s">
        <v>777</v>
      </c>
      <c r="C18" s="1630">
        <v>138</v>
      </c>
      <c r="D18" s="1630">
        <v>176</v>
      </c>
      <c r="E18" s="1630">
        <v>163</v>
      </c>
      <c r="F18" s="1630">
        <f t="shared" si="1"/>
        <v>339</v>
      </c>
      <c r="G18" s="1631">
        <f t="shared" si="5"/>
        <v>2.46</v>
      </c>
      <c r="H18" s="1630">
        <v>146</v>
      </c>
      <c r="I18" s="1630">
        <v>186</v>
      </c>
      <c r="J18" s="1630">
        <v>171</v>
      </c>
      <c r="K18" s="1630">
        <f t="shared" si="2"/>
        <v>357</v>
      </c>
      <c r="L18" s="1630">
        <v>146</v>
      </c>
      <c r="M18" s="1630">
        <v>192</v>
      </c>
      <c r="N18" s="1630">
        <v>169</v>
      </c>
      <c r="O18" s="1630">
        <f t="shared" si="3"/>
        <v>361</v>
      </c>
      <c r="Q18" s="1632">
        <f t="shared" si="6"/>
        <v>13</v>
      </c>
      <c r="R18" s="1614">
        <f t="shared" si="4"/>
        <v>370</v>
      </c>
      <c r="S18" s="1632">
        <f t="shared" si="7"/>
        <v>13</v>
      </c>
    </row>
    <row r="19" spans="1:19">
      <c r="A19" s="1627" t="s">
        <v>1668</v>
      </c>
      <c r="B19" s="1638" t="s">
        <v>1814</v>
      </c>
      <c r="C19" s="1626">
        <v>65</v>
      </c>
      <c r="D19" s="1626">
        <v>78</v>
      </c>
      <c r="E19" s="1626">
        <v>67</v>
      </c>
      <c r="F19" s="1626">
        <f t="shared" si="1"/>
        <v>145</v>
      </c>
      <c r="G19" s="1624">
        <f t="shared" si="5"/>
        <v>2.23</v>
      </c>
      <c r="H19" s="1626">
        <v>66</v>
      </c>
      <c r="I19" s="1626">
        <v>78</v>
      </c>
      <c r="J19" s="1626">
        <v>63</v>
      </c>
      <c r="K19" s="1626">
        <f t="shared" si="2"/>
        <v>141</v>
      </c>
      <c r="L19" s="1626">
        <v>68</v>
      </c>
      <c r="M19" s="1626">
        <v>79</v>
      </c>
      <c r="N19" s="1626">
        <v>63</v>
      </c>
      <c r="O19" s="1626">
        <f t="shared" si="3"/>
        <v>142</v>
      </c>
      <c r="Q19" s="1632">
        <f t="shared" si="6"/>
        <v>5</v>
      </c>
      <c r="R19" s="1614">
        <f t="shared" si="4"/>
        <v>146</v>
      </c>
      <c r="S19" s="1632">
        <f t="shared" si="7"/>
        <v>5</v>
      </c>
    </row>
    <row r="20" spans="1:19">
      <c r="A20" s="1627" t="s">
        <v>1670</v>
      </c>
      <c r="B20" s="1638" t="s">
        <v>1815</v>
      </c>
      <c r="C20" s="1626">
        <v>32</v>
      </c>
      <c r="D20" s="1626">
        <v>27</v>
      </c>
      <c r="E20" s="1626">
        <v>30</v>
      </c>
      <c r="F20" s="1626">
        <f t="shared" si="1"/>
        <v>57</v>
      </c>
      <c r="G20" s="1624">
        <f t="shared" si="5"/>
        <v>1.78</v>
      </c>
      <c r="H20" s="1626">
        <v>35</v>
      </c>
      <c r="I20" s="1626">
        <v>29</v>
      </c>
      <c r="J20" s="1626">
        <v>33</v>
      </c>
      <c r="K20" s="1626">
        <f t="shared" si="2"/>
        <v>62</v>
      </c>
      <c r="L20" s="1626">
        <v>36</v>
      </c>
      <c r="M20" s="1626">
        <v>31</v>
      </c>
      <c r="N20" s="1626">
        <v>35</v>
      </c>
      <c r="O20" s="1626">
        <f t="shared" si="3"/>
        <v>66</v>
      </c>
      <c r="Q20" s="1632">
        <f t="shared" si="6"/>
        <v>2</v>
      </c>
      <c r="R20" s="1614">
        <f t="shared" si="4"/>
        <v>64</v>
      </c>
      <c r="S20" s="1632">
        <f t="shared" si="7"/>
        <v>2</v>
      </c>
    </row>
    <row r="21" spans="1:19" s="1643" customFormat="1">
      <c r="A21" s="1639" t="s">
        <v>1679</v>
      </c>
      <c r="B21" s="1640" t="s">
        <v>1816</v>
      </c>
      <c r="C21" s="1641">
        <v>123</v>
      </c>
      <c r="D21" s="1641">
        <v>134</v>
      </c>
      <c r="E21" s="1641">
        <v>111</v>
      </c>
      <c r="F21" s="1641">
        <f t="shared" si="1"/>
        <v>245</v>
      </c>
      <c r="G21" s="1642">
        <f t="shared" si="5"/>
        <v>1.99</v>
      </c>
      <c r="H21" s="1641">
        <v>125</v>
      </c>
      <c r="I21" s="1641">
        <v>136</v>
      </c>
      <c r="J21" s="1641">
        <v>110</v>
      </c>
      <c r="K21" s="1641">
        <f t="shared" si="2"/>
        <v>246</v>
      </c>
      <c r="L21" s="1641">
        <v>122</v>
      </c>
      <c r="M21" s="1641">
        <v>138</v>
      </c>
      <c r="N21" s="1641">
        <v>111</v>
      </c>
      <c r="O21" s="1641">
        <f t="shared" si="3"/>
        <v>249</v>
      </c>
      <c r="Q21" s="1632">
        <f t="shared" si="6"/>
        <v>9</v>
      </c>
      <c r="R21" s="1614">
        <f t="shared" si="4"/>
        <v>255</v>
      </c>
      <c r="S21" s="1632">
        <f t="shared" si="7"/>
        <v>9</v>
      </c>
    </row>
    <row r="22" spans="1:19" s="1643" customFormat="1">
      <c r="A22" s="1639" t="s">
        <v>1681</v>
      </c>
      <c r="B22" s="1640" t="s">
        <v>1817</v>
      </c>
      <c r="C22" s="1641">
        <v>33</v>
      </c>
      <c r="D22" s="1641">
        <v>39</v>
      </c>
      <c r="E22" s="1641">
        <v>27</v>
      </c>
      <c r="F22" s="1641">
        <f t="shared" si="1"/>
        <v>66</v>
      </c>
      <c r="G22" s="1642">
        <f t="shared" si="5"/>
        <v>2</v>
      </c>
      <c r="H22" s="1641">
        <v>33</v>
      </c>
      <c r="I22" s="1641">
        <v>37</v>
      </c>
      <c r="J22" s="1641">
        <v>26</v>
      </c>
      <c r="K22" s="1641">
        <f t="shared" si="2"/>
        <v>63</v>
      </c>
      <c r="L22" s="1641">
        <v>34</v>
      </c>
      <c r="M22" s="1641">
        <v>36</v>
      </c>
      <c r="N22" s="1641">
        <v>25</v>
      </c>
      <c r="O22" s="1641">
        <f t="shared" si="3"/>
        <v>61</v>
      </c>
      <c r="Q22" s="1632">
        <f t="shared" si="6"/>
        <v>2</v>
      </c>
      <c r="R22" s="1614">
        <f t="shared" si="4"/>
        <v>65</v>
      </c>
      <c r="S22" s="1632">
        <f t="shared" si="7"/>
        <v>2</v>
      </c>
    </row>
    <row r="23" spans="1:19" s="1648" customFormat="1">
      <c r="A23" s="1644" t="s">
        <v>1689</v>
      </c>
      <c r="B23" s="1645" t="s">
        <v>1818</v>
      </c>
      <c r="C23" s="1646">
        <v>75</v>
      </c>
      <c r="D23" s="1646">
        <v>81</v>
      </c>
      <c r="E23" s="1646">
        <v>72</v>
      </c>
      <c r="F23" s="1646">
        <f t="shared" si="1"/>
        <v>153</v>
      </c>
      <c r="G23" s="1647">
        <f t="shared" si="5"/>
        <v>2.04</v>
      </c>
      <c r="H23" s="1646">
        <v>78</v>
      </c>
      <c r="I23" s="1646">
        <v>78</v>
      </c>
      <c r="J23" s="1646">
        <v>71</v>
      </c>
      <c r="K23" s="1646">
        <f t="shared" si="2"/>
        <v>149</v>
      </c>
      <c r="L23" s="1646">
        <v>74</v>
      </c>
      <c r="M23" s="1646">
        <v>77</v>
      </c>
      <c r="N23" s="1646">
        <v>65</v>
      </c>
      <c r="O23" s="1646">
        <f t="shared" si="3"/>
        <v>142</v>
      </c>
      <c r="P23" s="1648" t="s">
        <v>1819</v>
      </c>
      <c r="Q23" s="1632">
        <f t="shared" si="6"/>
        <v>5</v>
      </c>
      <c r="R23" s="1614">
        <f t="shared" si="4"/>
        <v>154</v>
      </c>
      <c r="S23" s="1632">
        <f t="shared" si="7"/>
        <v>5</v>
      </c>
    </row>
    <row r="24" spans="1:19">
      <c r="A24" s="1627" t="s">
        <v>1691</v>
      </c>
      <c r="B24" s="1638" t="s">
        <v>1820</v>
      </c>
      <c r="C24" s="1626">
        <v>63</v>
      </c>
      <c r="D24" s="1626">
        <v>78</v>
      </c>
      <c r="E24" s="1626">
        <v>78</v>
      </c>
      <c r="F24" s="1626">
        <f t="shared" si="1"/>
        <v>156</v>
      </c>
      <c r="G24" s="1624">
        <f t="shared" si="5"/>
        <v>2.48</v>
      </c>
      <c r="H24" s="1626">
        <v>62</v>
      </c>
      <c r="I24" s="1626">
        <v>80</v>
      </c>
      <c r="J24" s="1626">
        <v>79</v>
      </c>
      <c r="K24" s="1626">
        <f t="shared" si="2"/>
        <v>159</v>
      </c>
      <c r="L24" s="1626">
        <v>64</v>
      </c>
      <c r="M24" s="1626">
        <v>83</v>
      </c>
      <c r="N24" s="1626">
        <v>84</v>
      </c>
      <c r="O24" s="1626">
        <f t="shared" si="3"/>
        <v>167</v>
      </c>
      <c r="Q24" s="1632">
        <f t="shared" si="6"/>
        <v>6</v>
      </c>
      <c r="R24" s="1614">
        <f t="shared" si="4"/>
        <v>165</v>
      </c>
      <c r="S24" s="1632">
        <f t="shared" si="7"/>
        <v>6</v>
      </c>
    </row>
    <row r="25" spans="1:19">
      <c r="A25" s="1627" t="s">
        <v>1693</v>
      </c>
      <c r="B25" s="1638" t="s">
        <v>1821</v>
      </c>
      <c r="C25" s="1626">
        <v>116</v>
      </c>
      <c r="D25" s="1626">
        <v>129</v>
      </c>
      <c r="E25" s="1626">
        <v>114</v>
      </c>
      <c r="F25" s="1626">
        <f t="shared" si="1"/>
        <v>243</v>
      </c>
      <c r="G25" s="1624">
        <f t="shared" si="5"/>
        <v>2.09</v>
      </c>
      <c r="H25" s="1626">
        <v>118</v>
      </c>
      <c r="I25" s="1626">
        <v>131</v>
      </c>
      <c r="J25" s="1626">
        <v>125</v>
      </c>
      <c r="K25" s="1626">
        <f t="shared" si="2"/>
        <v>256</v>
      </c>
      <c r="L25" s="1626">
        <v>117</v>
      </c>
      <c r="M25" s="1626">
        <v>127</v>
      </c>
      <c r="N25" s="1626">
        <v>119</v>
      </c>
      <c r="O25" s="1626">
        <f t="shared" si="3"/>
        <v>246</v>
      </c>
      <c r="Q25" s="1632">
        <f t="shared" si="6"/>
        <v>9</v>
      </c>
      <c r="R25" s="1614">
        <f t="shared" si="4"/>
        <v>265</v>
      </c>
      <c r="S25" s="1632">
        <f t="shared" si="7"/>
        <v>9</v>
      </c>
    </row>
    <row r="26" spans="1:19">
      <c r="A26" s="1627" t="s">
        <v>1695</v>
      </c>
      <c r="B26" s="1638" t="s">
        <v>1822</v>
      </c>
      <c r="C26" s="1626">
        <v>35</v>
      </c>
      <c r="D26" s="1626">
        <v>21</v>
      </c>
      <c r="E26" s="1626">
        <v>26</v>
      </c>
      <c r="F26" s="1626">
        <f t="shared" si="1"/>
        <v>47</v>
      </c>
      <c r="G26" s="1624">
        <f t="shared" si="5"/>
        <v>1.34</v>
      </c>
      <c r="H26" s="1626">
        <v>33</v>
      </c>
      <c r="I26" s="1626">
        <v>22</v>
      </c>
      <c r="J26" s="1626">
        <v>22</v>
      </c>
      <c r="K26" s="1626">
        <f t="shared" si="2"/>
        <v>44</v>
      </c>
      <c r="L26" s="1626">
        <v>33</v>
      </c>
      <c r="M26" s="1626">
        <v>22</v>
      </c>
      <c r="N26" s="1626">
        <v>22</v>
      </c>
      <c r="O26" s="1626">
        <f t="shared" si="3"/>
        <v>44</v>
      </c>
      <c r="Q26" s="1632">
        <f t="shared" si="6"/>
        <v>2</v>
      </c>
      <c r="R26" s="1614">
        <f t="shared" si="4"/>
        <v>46</v>
      </c>
      <c r="S26" s="1632">
        <f t="shared" si="7"/>
        <v>2</v>
      </c>
    </row>
    <row r="27" spans="1:19">
      <c r="A27" s="1627" t="s">
        <v>1697</v>
      </c>
      <c r="B27" s="1638" t="s">
        <v>1823</v>
      </c>
      <c r="C27" s="1626">
        <v>41</v>
      </c>
      <c r="D27" s="1626">
        <v>38</v>
      </c>
      <c r="E27" s="1626">
        <v>36</v>
      </c>
      <c r="F27" s="1626">
        <f t="shared" si="1"/>
        <v>74</v>
      </c>
      <c r="G27" s="1624">
        <f t="shared" si="5"/>
        <v>1.8</v>
      </c>
      <c r="H27" s="1626">
        <v>40</v>
      </c>
      <c r="I27" s="1626">
        <v>39</v>
      </c>
      <c r="J27" s="1626">
        <v>36</v>
      </c>
      <c r="K27" s="1626">
        <f t="shared" si="2"/>
        <v>75</v>
      </c>
      <c r="L27" s="1626">
        <v>36</v>
      </c>
      <c r="M27" s="1626">
        <v>36</v>
      </c>
      <c r="N27" s="1626">
        <v>33</v>
      </c>
      <c r="O27" s="1626">
        <f t="shared" si="3"/>
        <v>69</v>
      </c>
      <c r="Q27" s="1632">
        <f t="shared" si="6"/>
        <v>3</v>
      </c>
      <c r="R27" s="1614">
        <f t="shared" si="4"/>
        <v>78</v>
      </c>
      <c r="S27" s="1632">
        <f t="shared" si="7"/>
        <v>2</v>
      </c>
    </row>
    <row r="28" spans="1:19">
      <c r="A28" s="1627" t="s">
        <v>1699</v>
      </c>
      <c r="B28" s="1638" t="s">
        <v>1824</v>
      </c>
      <c r="C28" s="1626">
        <v>90</v>
      </c>
      <c r="D28" s="1626">
        <v>102</v>
      </c>
      <c r="E28" s="1626">
        <v>91</v>
      </c>
      <c r="F28" s="1626">
        <f t="shared" si="1"/>
        <v>193</v>
      </c>
      <c r="G28" s="1624">
        <f t="shared" si="5"/>
        <v>2.14</v>
      </c>
      <c r="H28" s="1626">
        <v>98</v>
      </c>
      <c r="I28" s="1626">
        <v>110</v>
      </c>
      <c r="J28" s="1626">
        <v>100</v>
      </c>
      <c r="K28" s="1626">
        <f t="shared" si="2"/>
        <v>210</v>
      </c>
      <c r="L28" s="1626">
        <v>92</v>
      </c>
      <c r="M28" s="1626">
        <v>99</v>
      </c>
      <c r="N28" s="1626">
        <v>99</v>
      </c>
      <c r="O28" s="1626">
        <f t="shared" si="3"/>
        <v>198</v>
      </c>
      <c r="Q28" s="1632">
        <f t="shared" si="6"/>
        <v>8</v>
      </c>
      <c r="R28" s="1614">
        <f t="shared" si="4"/>
        <v>218</v>
      </c>
      <c r="S28" s="1632">
        <f t="shared" si="7"/>
        <v>7</v>
      </c>
    </row>
    <row r="29" spans="1:19">
      <c r="A29" s="1627" t="s">
        <v>1710</v>
      </c>
      <c r="B29" s="1638" t="s">
        <v>1825</v>
      </c>
      <c r="C29" s="1626">
        <v>63</v>
      </c>
      <c r="D29" s="1626">
        <v>54</v>
      </c>
      <c r="E29" s="1626">
        <v>54</v>
      </c>
      <c r="F29" s="1626">
        <f t="shared" si="1"/>
        <v>108</v>
      </c>
      <c r="G29" s="1624">
        <f t="shared" si="5"/>
        <v>1.71</v>
      </c>
      <c r="H29" s="1626">
        <v>64</v>
      </c>
      <c r="I29" s="1626">
        <v>56</v>
      </c>
      <c r="J29" s="1626">
        <v>53</v>
      </c>
      <c r="K29" s="1626">
        <f t="shared" si="2"/>
        <v>109</v>
      </c>
      <c r="L29" s="1626">
        <v>63</v>
      </c>
      <c r="M29" s="1626">
        <v>52</v>
      </c>
      <c r="N29" s="1626">
        <v>51</v>
      </c>
      <c r="O29" s="1626">
        <f t="shared" si="3"/>
        <v>103</v>
      </c>
      <c r="Q29" s="1632">
        <f t="shared" si="6"/>
        <v>4</v>
      </c>
      <c r="R29" s="1614">
        <f t="shared" si="4"/>
        <v>113</v>
      </c>
      <c r="S29" s="1632">
        <f t="shared" si="7"/>
        <v>4</v>
      </c>
    </row>
    <row r="30" spans="1:19">
      <c r="A30" s="1627" t="s">
        <v>1712</v>
      </c>
      <c r="B30" s="1638" t="s">
        <v>1826</v>
      </c>
      <c r="C30" s="1626">
        <v>75</v>
      </c>
      <c r="D30" s="1626">
        <v>78</v>
      </c>
      <c r="E30" s="1626">
        <v>65</v>
      </c>
      <c r="F30" s="1626">
        <f t="shared" si="1"/>
        <v>143</v>
      </c>
      <c r="G30" s="1624">
        <f t="shared" si="5"/>
        <v>1.91</v>
      </c>
      <c r="H30" s="1626">
        <v>74</v>
      </c>
      <c r="I30" s="1626">
        <v>74</v>
      </c>
      <c r="J30" s="1626">
        <v>66</v>
      </c>
      <c r="K30" s="1626">
        <f t="shared" si="2"/>
        <v>140</v>
      </c>
      <c r="L30" s="1626">
        <v>75</v>
      </c>
      <c r="M30" s="1626">
        <v>72</v>
      </c>
      <c r="N30" s="1626">
        <v>66</v>
      </c>
      <c r="O30" s="1626">
        <f t="shared" si="3"/>
        <v>138</v>
      </c>
      <c r="Q30" s="1632">
        <f t="shared" si="6"/>
        <v>5</v>
      </c>
      <c r="R30" s="1614">
        <f t="shared" si="4"/>
        <v>145</v>
      </c>
      <c r="S30" s="1632">
        <f t="shared" si="7"/>
        <v>5</v>
      </c>
    </row>
    <row r="31" spans="1:19">
      <c r="A31" s="1627" t="s">
        <v>1716</v>
      </c>
      <c r="B31" s="1638" t="s">
        <v>1827</v>
      </c>
      <c r="C31" s="1626">
        <v>62</v>
      </c>
      <c r="D31" s="1626">
        <v>56</v>
      </c>
      <c r="E31" s="1626">
        <v>60</v>
      </c>
      <c r="F31" s="1626">
        <f t="shared" si="1"/>
        <v>116</v>
      </c>
      <c r="G31" s="1624">
        <f t="shared" si="5"/>
        <v>1.87</v>
      </c>
      <c r="H31" s="1626">
        <v>63</v>
      </c>
      <c r="I31" s="1626">
        <v>58</v>
      </c>
      <c r="J31" s="1626">
        <v>65</v>
      </c>
      <c r="K31" s="1626">
        <f t="shared" si="2"/>
        <v>123</v>
      </c>
      <c r="L31" s="1626">
        <v>59</v>
      </c>
      <c r="M31" s="1626">
        <v>56</v>
      </c>
      <c r="N31" s="1626">
        <v>60</v>
      </c>
      <c r="O31" s="1626">
        <f t="shared" si="3"/>
        <v>116</v>
      </c>
      <c r="Q31" s="1632">
        <f t="shared" si="6"/>
        <v>4</v>
      </c>
      <c r="R31" s="1614">
        <f t="shared" si="4"/>
        <v>127</v>
      </c>
      <c r="S31" s="1632">
        <f t="shared" si="7"/>
        <v>4</v>
      </c>
    </row>
    <row r="32" spans="1:19">
      <c r="A32" s="1627" t="s">
        <v>1721</v>
      </c>
      <c r="B32" s="1638" t="s">
        <v>1828</v>
      </c>
      <c r="C32" s="1626">
        <v>94</v>
      </c>
      <c r="D32" s="1626">
        <v>116</v>
      </c>
      <c r="E32" s="1626">
        <v>93</v>
      </c>
      <c r="F32" s="1626">
        <f t="shared" si="1"/>
        <v>209</v>
      </c>
      <c r="G32" s="1624">
        <f t="shared" si="5"/>
        <v>2.2200000000000002</v>
      </c>
      <c r="H32" s="1626">
        <v>97</v>
      </c>
      <c r="I32" s="1626">
        <v>122</v>
      </c>
      <c r="J32" s="1626">
        <v>96</v>
      </c>
      <c r="K32" s="1626">
        <f t="shared" si="2"/>
        <v>218</v>
      </c>
      <c r="L32" s="1626">
        <v>100</v>
      </c>
      <c r="M32" s="1626">
        <v>124</v>
      </c>
      <c r="N32" s="1626">
        <v>98</v>
      </c>
      <c r="O32" s="1626">
        <f t="shared" si="3"/>
        <v>222</v>
      </c>
      <c r="Q32" s="1632">
        <f t="shared" si="6"/>
        <v>8</v>
      </c>
      <c r="R32" s="1614">
        <f t="shared" si="4"/>
        <v>226</v>
      </c>
      <c r="S32" s="1632">
        <f t="shared" si="7"/>
        <v>8</v>
      </c>
    </row>
    <row r="33" spans="1:19">
      <c r="A33" s="1627" t="s">
        <v>1723</v>
      </c>
      <c r="B33" s="1638" t="s">
        <v>1829</v>
      </c>
      <c r="C33" s="1626">
        <v>91</v>
      </c>
      <c r="D33" s="1626">
        <v>109</v>
      </c>
      <c r="E33" s="1626">
        <v>89</v>
      </c>
      <c r="F33" s="1626">
        <f t="shared" si="1"/>
        <v>198</v>
      </c>
      <c r="G33" s="1624">
        <f t="shared" si="5"/>
        <v>2.1800000000000002</v>
      </c>
      <c r="H33" s="1626">
        <v>91</v>
      </c>
      <c r="I33" s="1626">
        <v>104</v>
      </c>
      <c r="J33" s="1626">
        <v>84</v>
      </c>
      <c r="K33" s="1626">
        <f t="shared" si="2"/>
        <v>188</v>
      </c>
      <c r="L33" s="1626">
        <v>94</v>
      </c>
      <c r="M33" s="1626">
        <v>106</v>
      </c>
      <c r="N33" s="1626">
        <v>83</v>
      </c>
      <c r="O33" s="1626">
        <f t="shared" si="3"/>
        <v>189</v>
      </c>
      <c r="Q33" s="1632">
        <f t="shared" si="6"/>
        <v>7</v>
      </c>
      <c r="R33" s="1614">
        <f t="shared" si="4"/>
        <v>195</v>
      </c>
      <c r="S33" s="1632">
        <f t="shared" si="7"/>
        <v>7</v>
      </c>
    </row>
    <row r="34" spans="1:19" s="1632" customFormat="1">
      <c r="A34" s="1628" t="s">
        <v>1731</v>
      </c>
      <c r="B34" s="1629" t="s">
        <v>1830</v>
      </c>
      <c r="C34" s="1630">
        <v>92</v>
      </c>
      <c r="D34" s="1630">
        <v>106</v>
      </c>
      <c r="E34" s="1630">
        <v>105</v>
      </c>
      <c r="F34" s="1630">
        <f t="shared" si="1"/>
        <v>211</v>
      </c>
      <c r="G34" s="1631">
        <f t="shared" si="5"/>
        <v>2.29</v>
      </c>
      <c r="H34" s="1630">
        <v>96</v>
      </c>
      <c r="I34" s="1630">
        <v>113</v>
      </c>
      <c r="J34" s="1630">
        <v>105</v>
      </c>
      <c r="K34" s="1630">
        <f t="shared" si="2"/>
        <v>218</v>
      </c>
      <c r="L34" s="1630">
        <v>97</v>
      </c>
      <c r="M34" s="1630">
        <v>112</v>
      </c>
      <c r="N34" s="1630">
        <v>104</v>
      </c>
      <c r="O34" s="1630">
        <f t="shared" si="3"/>
        <v>216</v>
      </c>
      <c r="P34" s="1632" t="s">
        <v>1819</v>
      </c>
      <c r="Q34" s="1632">
        <f t="shared" si="6"/>
        <v>8</v>
      </c>
      <c r="R34" s="1614">
        <f t="shared" si="4"/>
        <v>226</v>
      </c>
      <c r="S34" s="1632">
        <f t="shared" si="7"/>
        <v>8</v>
      </c>
    </row>
    <row r="35" spans="1:19" s="1632" customFormat="1">
      <c r="A35" s="1628" t="s">
        <v>1831</v>
      </c>
      <c r="B35" s="1629" t="s">
        <v>1832</v>
      </c>
      <c r="C35" s="1630">
        <v>93</v>
      </c>
      <c r="D35" s="1630">
        <v>108</v>
      </c>
      <c r="E35" s="1630">
        <v>87</v>
      </c>
      <c r="F35" s="1630">
        <f t="shared" si="1"/>
        <v>195</v>
      </c>
      <c r="G35" s="1631">
        <f t="shared" si="5"/>
        <v>2.1</v>
      </c>
      <c r="H35" s="1630">
        <v>89</v>
      </c>
      <c r="I35" s="1630">
        <v>96</v>
      </c>
      <c r="J35" s="1630">
        <v>89</v>
      </c>
      <c r="K35" s="1630">
        <f t="shared" si="2"/>
        <v>185</v>
      </c>
      <c r="L35" s="1630">
        <v>85</v>
      </c>
      <c r="M35" s="1630">
        <v>92</v>
      </c>
      <c r="N35" s="1630">
        <v>86</v>
      </c>
      <c r="O35" s="1630">
        <f t="shared" si="3"/>
        <v>178</v>
      </c>
      <c r="Q35" s="1632">
        <f t="shared" si="6"/>
        <v>7</v>
      </c>
      <c r="R35" s="1614">
        <f t="shared" si="4"/>
        <v>192</v>
      </c>
      <c r="S35" s="1632">
        <f t="shared" si="7"/>
        <v>6</v>
      </c>
    </row>
    <row r="36" spans="1:19" s="1632" customFormat="1">
      <c r="A36" s="1628" t="s">
        <v>1833</v>
      </c>
      <c r="B36" s="1629" t="s">
        <v>795</v>
      </c>
      <c r="C36" s="1630">
        <v>65</v>
      </c>
      <c r="D36" s="1630">
        <v>90</v>
      </c>
      <c r="E36" s="1630">
        <v>80</v>
      </c>
      <c r="F36" s="1630">
        <f t="shared" si="1"/>
        <v>170</v>
      </c>
      <c r="G36" s="1631">
        <f t="shared" si="5"/>
        <v>2.62</v>
      </c>
      <c r="H36" s="1630">
        <v>85</v>
      </c>
      <c r="I36" s="1630">
        <v>106</v>
      </c>
      <c r="J36" s="1630">
        <v>95</v>
      </c>
      <c r="K36" s="1630">
        <f t="shared" si="2"/>
        <v>201</v>
      </c>
      <c r="L36" s="1630">
        <v>83</v>
      </c>
      <c r="M36" s="1630">
        <v>100</v>
      </c>
      <c r="N36" s="1630">
        <v>95</v>
      </c>
      <c r="O36" s="1630">
        <f t="shared" si="3"/>
        <v>195</v>
      </c>
      <c r="Q36" s="1632">
        <f t="shared" si="6"/>
        <v>7</v>
      </c>
      <c r="R36" s="1614">
        <f t="shared" si="4"/>
        <v>208</v>
      </c>
      <c r="S36" s="1632">
        <f t="shared" si="7"/>
        <v>7</v>
      </c>
    </row>
    <row r="37" spans="1:19" s="1632" customFormat="1">
      <c r="A37" s="1628" t="s">
        <v>1834</v>
      </c>
      <c r="B37" s="1629" t="s">
        <v>796</v>
      </c>
      <c r="C37" s="1630">
        <v>206</v>
      </c>
      <c r="D37" s="1630">
        <v>262</v>
      </c>
      <c r="E37" s="1630">
        <v>243</v>
      </c>
      <c r="F37" s="1630">
        <f t="shared" si="1"/>
        <v>505</v>
      </c>
      <c r="G37" s="1631">
        <f t="shared" si="5"/>
        <v>2.4500000000000002</v>
      </c>
      <c r="H37" s="1630">
        <v>222</v>
      </c>
      <c r="I37" s="1630">
        <v>254</v>
      </c>
      <c r="J37" s="1630">
        <v>260</v>
      </c>
      <c r="K37" s="1630">
        <f t="shared" si="2"/>
        <v>514</v>
      </c>
      <c r="L37" s="1630">
        <v>230</v>
      </c>
      <c r="M37" s="1630">
        <v>274</v>
      </c>
      <c r="N37" s="1630">
        <v>272</v>
      </c>
      <c r="O37" s="1630">
        <f t="shared" si="3"/>
        <v>546</v>
      </c>
      <c r="Q37" s="1632">
        <f t="shared" si="6"/>
        <v>19</v>
      </c>
      <c r="R37" s="1614">
        <f t="shared" si="4"/>
        <v>533</v>
      </c>
      <c r="S37" s="1632">
        <f t="shared" si="7"/>
        <v>19</v>
      </c>
    </row>
    <row r="38" spans="1:19" s="1632" customFormat="1">
      <c r="A38" s="1628" t="s">
        <v>1835</v>
      </c>
      <c r="B38" s="1629" t="s">
        <v>797</v>
      </c>
      <c r="C38" s="1630">
        <v>92</v>
      </c>
      <c r="D38" s="1630">
        <v>100</v>
      </c>
      <c r="E38" s="1630">
        <v>71</v>
      </c>
      <c r="F38" s="1630">
        <f t="shared" si="1"/>
        <v>171</v>
      </c>
      <c r="G38" s="1631">
        <f t="shared" si="5"/>
        <v>1.86</v>
      </c>
      <c r="H38" s="1630">
        <v>97</v>
      </c>
      <c r="I38" s="1630">
        <v>101</v>
      </c>
      <c r="J38" s="1630">
        <v>76</v>
      </c>
      <c r="K38" s="1630">
        <f t="shared" si="2"/>
        <v>177</v>
      </c>
      <c r="L38" s="1630">
        <v>97</v>
      </c>
      <c r="M38" s="1630">
        <v>97</v>
      </c>
      <c r="N38" s="1630">
        <v>78</v>
      </c>
      <c r="O38" s="1630">
        <f t="shared" si="3"/>
        <v>175</v>
      </c>
      <c r="Q38" s="1632">
        <f t="shared" si="6"/>
        <v>6</v>
      </c>
      <c r="R38" s="1614">
        <f t="shared" si="4"/>
        <v>183</v>
      </c>
      <c r="S38" s="1632">
        <f t="shared" si="7"/>
        <v>6</v>
      </c>
    </row>
    <row r="39" spans="1:19" s="1632" customFormat="1">
      <c r="A39" s="1628" t="s">
        <v>1836</v>
      </c>
      <c r="B39" s="1629" t="s">
        <v>798</v>
      </c>
      <c r="C39" s="1630">
        <v>536</v>
      </c>
      <c r="D39" s="1630">
        <v>745</v>
      </c>
      <c r="E39" s="1630">
        <v>741</v>
      </c>
      <c r="F39" s="1630">
        <f t="shared" si="1"/>
        <v>1486</v>
      </c>
      <c r="G39" s="1631">
        <f t="shared" si="5"/>
        <v>2.77</v>
      </c>
      <c r="H39" s="1630">
        <v>527</v>
      </c>
      <c r="I39" s="1630">
        <v>740</v>
      </c>
      <c r="J39" s="1630">
        <v>758</v>
      </c>
      <c r="K39" s="1630">
        <f t="shared" si="2"/>
        <v>1498</v>
      </c>
      <c r="L39" s="1630">
        <v>516</v>
      </c>
      <c r="M39" s="1630">
        <v>740</v>
      </c>
      <c r="N39" s="1630">
        <v>754</v>
      </c>
      <c r="O39" s="1630">
        <f t="shared" si="3"/>
        <v>1494</v>
      </c>
      <c r="Q39" s="1632">
        <f t="shared" si="6"/>
        <v>54</v>
      </c>
      <c r="R39" s="1614">
        <f t="shared" si="4"/>
        <v>1552</v>
      </c>
      <c r="S39" s="1632">
        <f t="shared" si="7"/>
        <v>53</v>
      </c>
    </row>
    <row r="40" spans="1:19" s="1632" customFormat="1">
      <c r="A40" s="1628" t="s">
        <v>1837</v>
      </c>
      <c r="B40" s="1629" t="s">
        <v>799</v>
      </c>
      <c r="C40" s="1630">
        <v>552</v>
      </c>
      <c r="D40" s="1630">
        <v>541</v>
      </c>
      <c r="E40" s="1630">
        <v>541</v>
      </c>
      <c r="F40" s="1630">
        <f t="shared" si="1"/>
        <v>1082</v>
      </c>
      <c r="G40" s="1631">
        <f t="shared" si="5"/>
        <v>1.96</v>
      </c>
      <c r="H40" s="1630">
        <v>548</v>
      </c>
      <c r="I40" s="1630">
        <v>511</v>
      </c>
      <c r="J40" s="1630">
        <v>542</v>
      </c>
      <c r="K40" s="1630">
        <f t="shared" si="2"/>
        <v>1053</v>
      </c>
      <c r="L40" s="1630">
        <v>550</v>
      </c>
      <c r="M40" s="1630">
        <v>507</v>
      </c>
      <c r="N40" s="1630">
        <v>535</v>
      </c>
      <c r="O40" s="1630">
        <f t="shared" si="3"/>
        <v>1042</v>
      </c>
      <c r="Q40" s="1632">
        <f t="shared" si="6"/>
        <v>38</v>
      </c>
      <c r="R40" s="1614">
        <f t="shared" si="4"/>
        <v>1091</v>
      </c>
      <c r="S40" s="1632">
        <f t="shared" si="7"/>
        <v>37</v>
      </c>
    </row>
    <row r="41" spans="1:19">
      <c r="A41" s="1627" t="s">
        <v>1838</v>
      </c>
      <c r="B41" s="1638" t="s">
        <v>1839</v>
      </c>
      <c r="C41" s="1626">
        <v>63</v>
      </c>
      <c r="D41" s="1626">
        <v>53</v>
      </c>
      <c r="E41" s="1626">
        <v>55</v>
      </c>
      <c r="F41" s="1626">
        <f t="shared" si="1"/>
        <v>108</v>
      </c>
      <c r="G41" s="1624">
        <f t="shared" si="5"/>
        <v>1.71</v>
      </c>
      <c r="H41" s="1626">
        <v>65</v>
      </c>
      <c r="I41" s="1626">
        <v>51</v>
      </c>
      <c r="J41" s="1626">
        <v>52</v>
      </c>
      <c r="K41" s="1626">
        <f t="shared" si="2"/>
        <v>103</v>
      </c>
      <c r="L41" s="1626">
        <v>64</v>
      </c>
      <c r="M41" s="1626">
        <v>52</v>
      </c>
      <c r="N41" s="1626">
        <v>51</v>
      </c>
      <c r="O41" s="1626">
        <f t="shared" si="3"/>
        <v>103</v>
      </c>
      <c r="Q41" s="1632">
        <f t="shared" si="6"/>
        <v>4</v>
      </c>
      <c r="R41" s="1614">
        <f t="shared" si="4"/>
        <v>107</v>
      </c>
      <c r="S41" s="1632">
        <f t="shared" si="7"/>
        <v>4</v>
      </c>
    </row>
    <row r="42" spans="1:19">
      <c r="A42" s="1627" t="s">
        <v>1840</v>
      </c>
      <c r="B42" s="1638" t="s">
        <v>1841</v>
      </c>
      <c r="C42" s="1626">
        <v>58</v>
      </c>
      <c r="D42" s="1626">
        <v>54</v>
      </c>
      <c r="E42" s="1626">
        <v>53</v>
      </c>
      <c r="F42" s="1626">
        <f t="shared" si="1"/>
        <v>107</v>
      </c>
      <c r="G42" s="1624">
        <f t="shared" si="5"/>
        <v>1.84</v>
      </c>
      <c r="H42" s="1626">
        <v>59</v>
      </c>
      <c r="I42" s="1626">
        <v>54</v>
      </c>
      <c r="J42" s="1626">
        <v>54</v>
      </c>
      <c r="K42" s="1626">
        <f t="shared" si="2"/>
        <v>108</v>
      </c>
      <c r="L42" s="1626">
        <v>62</v>
      </c>
      <c r="M42" s="1626">
        <v>57</v>
      </c>
      <c r="N42" s="1626">
        <v>56</v>
      </c>
      <c r="O42" s="1626">
        <f t="shared" si="3"/>
        <v>113</v>
      </c>
      <c r="Q42" s="1632">
        <f t="shared" si="6"/>
        <v>4</v>
      </c>
      <c r="R42" s="1614">
        <f t="shared" si="4"/>
        <v>112</v>
      </c>
      <c r="S42" s="1632">
        <f t="shared" si="7"/>
        <v>4</v>
      </c>
    </row>
    <row r="43" spans="1:19">
      <c r="A43" s="1627" t="s">
        <v>1842</v>
      </c>
      <c r="B43" s="1638" t="s">
        <v>1843</v>
      </c>
      <c r="C43" s="1626">
        <v>30</v>
      </c>
      <c r="D43" s="1626">
        <v>28</v>
      </c>
      <c r="E43" s="1626">
        <v>27</v>
      </c>
      <c r="F43" s="1626">
        <f t="shared" si="1"/>
        <v>55</v>
      </c>
      <c r="G43" s="1624">
        <f t="shared" si="5"/>
        <v>1.83</v>
      </c>
      <c r="H43" s="1626">
        <v>40</v>
      </c>
      <c r="I43" s="1626">
        <v>37</v>
      </c>
      <c r="J43" s="1626">
        <v>33</v>
      </c>
      <c r="K43" s="1626">
        <f t="shared" si="2"/>
        <v>70</v>
      </c>
      <c r="L43" s="1626">
        <v>36</v>
      </c>
      <c r="M43" s="1626">
        <v>33</v>
      </c>
      <c r="N43" s="1626">
        <v>30</v>
      </c>
      <c r="O43" s="1626">
        <f t="shared" si="3"/>
        <v>63</v>
      </c>
      <c r="Q43" s="1632">
        <f t="shared" si="6"/>
        <v>3</v>
      </c>
      <c r="R43" s="1614">
        <f t="shared" si="4"/>
        <v>73</v>
      </c>
      <c r="S43" s="1632">
        <f t="shared" si="7"/>
        <v>2</v>
      </c>
    </row>
    <row r="44" spans="1:19">
      <c r="A44" s="1627" t="s">
        <v>1844</v>
      </c>
      <c r="B44" s="1638" t="s">
        <v>1845</v>
      </c>
      <c r="C44" s="1626">
        <v>34</v>
      </c>
      <c r="D44" s="1626">
        <v>30</v>
      </c>
      <c r="E44" s="1626">
        <v>27</v>
      </c>
      <c r="F44" s="1626">
        <f t="shared" si="1"/>
        <v>57</v>
      </c>
      <c r="G44" s="1624">
        <f t="shared" si="5"/>
        <v>1.68</v>
      </c>
      <c r="H44" s="1626">
        <v>34</v>
      </c>
      <c r="I44" s="1626">
        <v>32</v>
      </c>
      <c r="J44" s="1626">
        <v>26</v>
      </c>
      <c r="K44" s="1626">
        <f t="shared" si="2"/>
        <v>58</v>
      </c>
      <c r="L44" s="1626">
        <v>36</v>
      </c>
      <c r="M44" s="1626">
        <v>33</v>
      </c>
      <c r="N44" s="1626">
        <v>28</v>
      </c>
      <c r="O44" s="1626">
        <f t="shared" si="3"/>
        <v>61</v>
      </c>
      <c r="Q44" s="1632">
        <f t="shared" si="6"/>
        <v>2</v>
      </c>
      <c r="R44" s="1614">
        <f t="shared" si="4"/>
        <v>60</v>
      </c>
      <c r="S44" s="1632">
        <f t="shared" si="7"/>
        <v>2</v>
      </c>
    </row>
    <row r="45" spans="1:19">
      <c r="A45" s="1627" t="s">
        <v>1846</v>
      </c>
      <c r="B45" s="1638" t="s">
        <v>1847</v>
      </c>
      <c r="C45" s="1626">
        <v>48</v>
      </c>
      <c r="D45" s="1626">
        <v>242</v>
      </c>
      <c r="E45" s="1626">
        <v>177</v>
      </c>
      <c r="F45" s="1626">
        <f t="shared" si="1"/>
        <v>419</v>
      </c>
      <c r="G45" s="1624">
        <f t="shared" si="5"/>
        <v>8.73</v>
      </c>
      <c r="H45" s="1626">
        <v>56</v>
      </c>
      <c r="I45" s="1626">
        <v>245</v>
      </c>
      <c r="J45" s="1626">
        <v>187</v>
      </c>
      <c r="K45" s="1626">
        <f t="shared" si="2"/>
        <v>432</v>
      </c>
      <c r="L45" s="1626">
        <v>56</v>
      </c>
      <c r="M45" s="1626">
        <v>243</v>
      </c>
      <c r="N45" s="1626">
        <v>183</v>
      </c>
      <c r="O45" s="1626">
        <f t="shared" si="3"/>
        <v>426</v>
      </c>
      <c r="Q45" s="1632">
        <f t="shared" si="6"/>
        <v>16</v>
      </c>
      <c r="R45" s="1614">
        <f t="shared" si="4"/>
        <v>448</v>
      </c>
      <c r="S45" s="1632">
        <f t="shared" si="7"/>
        <v>15</v>
      </c>
    </row>
    <row r="46" spans="1:19">
      <c r="A46" s="1627" t="s">
        <v>1848</v>
      </c>
      <c r="B46" s="1638" t="s">
        <v>1849</v>
      </c>
      <c r="C46" s="1626">
        <v>40</v>
      </c>
      <c r="D46" s="1626">
        <v>40</v>
      </c>
      <c r="E46" s="1626">
        <v>23</v>
      </c>
      <c r="F46" s="1626">
        <f t="shared" si="1"/>
        <v>63</v>
      </c>
      <c r="G46" s="1624">
        <f t="shared" si="5"/>
        <v>1.58</v>
      </c>
      <c r="H46" s="1626">
        <v>47</v>
      </c>
      <c r="I46" s="1626">
        <v>45</v>
      </c>
      <c r="J46" s="1626">
        <v>22</v>
      </c>
      <c r="K46" s="1626">
        <f t="shared" si="2"/>
        <v>67</v>
      </c>
      <c r="L46" s="1626">
        <v>49</v>
      </c>
      <c r="M46" s="1626">
        <v>46</v>
      </c>
      <c r="N46" s="1626">
        <v>25</v>
      </c>
      <c r="O46" s="1626">
        <f t="shared" si="3"/>
        <v>71</v>
      </c>
      <c r="Q46" s="1632">
        <f t="shared" si="6"/>
        <v>2</v>
      </c>
      <c r="R46" s="1614">
        <f t="shared" si="4"/>
        <v>69</v>
      </c>
      <c r="S46" s="1632">
        <f t="shared" si="7"/>
        <v>3</v>
      </c>
    </row>
    <row r="47" spans="1:19">
      <c r="A47" s="1627" t="s">
        <v>1850</v>
      </c>
      <c r="B47" s="1638" t="s">
        <v>1851</v>
      </c>
      <c r="C47" s="1626">
        <v>53</v>
      </c>
      <c r="D47" s="1626">
        <v>63</v>
      </c>
      <c r="E47" s="1626">
        <v>48</v>
      </c>
      <c r="F47" s="1626">
        <f t="shared" si="1"/>
        <v>111</v>
      </c>
      <c r="G47" s="1624">
        <f t="shared" si="5"/>
        <v>2.09</v>
      </c>
      <c r="H47" s="1626">
        <v>56</v>
      </c>
      <c r="I47" s="1626">
        <v>64</v>
      </c>
      <c r="J47" s="1626">
        <v>56</v>
      </c>
      <c r="K47" s="1626">
        <f t="shared" si="2"/>
        <v>120</v>
      </c>
      <c r="L47" s="1626">
        <v>57</v>
      </c>
      <c r="M47" s="1626">
        <v>64</v>
      </c>
      <c r="N47" s="1626">
        <v>58</v>
      </c>
      <c r="O47" s="1626">
        <f t="shared" si="3"/>
        <v>122</v>
      </c>
      <c r="Q47" s="1632">
        <f t="shared" si="6"/>
        <v>4</v>
      </c>
      <c r="R47" s="1614">
        <f t="shared" si="4"/>
        <v>124</v>
      </c>
      <c r="S47" s="1632">
        <f t="shared" si="7"/>
        <v>4</v>
      </c>
    </row>
    <row r="48" spans="1:19">
      <c r="A48" s="1627" t="s">
        <v>1852</v>
      </c>
      <c r="B48" s="1638" t="s">
        <v>1853</v>
      </c>
      <c r="C48" s="1626">
        <v>44</v>
      </c>
      <c r="D48" s="1626">
        <v>36</v>
      </c>
      <c r="E48" s="1626">
        <v>42</v>
      </c>
      <c r="F48" s="1626">
        <f t="shared" si="1"/>
        <v>78</v>
      </c>
      <c r="G48" s="1624">
        <f t="shared" si="5"/>
        <v>1.77</v>
      </c>
      <c r="H48" s="1626">
        <v>46</v>
      </c>
      <c r="I48" s="1626">
        <v>36</v>
      </c>
      <c r="J48" s="1626">
        <v>43</v>
      </c>
      <c r="K48" s="1626">
        <f t="shared" si="2"/>
        <v>79</v>
      </c>
      <c r="L48" s="1626">
        <v>44</v>
      </c>
      <c r="M48" s="1626">
        <v>35</v>
      </c>
      <c r="N48" s="1626">
        <v>41</v>
      </c>
      <c r="O48" s="1626">
        <f t="shared" si="3"/>
        <v>76</v>
      </c>
      <c r="Q48" s="1632">
        <f t="shared" si="6"/>
        <v>3</v>
      </c>
      <c r="R48" s="1614">
        <f t="shared" si="4"/>
        <v>82</v>
      </c>
      <c r="S48" s="1632">
        <f t="shared" si="7"/>
        <v>3</v>
      </c>
    </row>
    <row r="49" spans="1:19">
      <c r="A49" s="1627" t="s">
        <v>1854</v>
      </c>
      <c r="B49" s="1638" t="s">
        <v>1855</v>
      </c>
      <c r="C49" s="1626">
        <v>34</v>
      </c>
      <c r="D49" s="1626">
        <v>27</v>
      </c>
      <c r="E49" s="1626">
        <v>35</v>
      </c>
      <c r="F49" s="1626">
        <f t="shared" si="1"/>
        <v>62</v>
      </c>
      <c r="G49" s="1624">
        <f t="shared" si="5"/>
        <v>1.82</v>
      </c>
      <c r="H49" s="1626">
        <v>30</v>
      </c>
      <c r="I49" s="1626">
        <v>26</v>
      </c>
      <c r="J49" s="1626">
        <v>33</v>
      </c>
      <c r="K49" s="1626">
        <f t="shared" si="2"/>
        <v>59</v>
      </c>
      <c r="L49" s="1626">
        <v>30</v>
      </c>
      <c r="M49" s="1626">
        <v>26</v>
      </c>
      <c r="N49" s="1626">
        <v>32</v>
      </c>
      <c r="O49" s="1626">
        <f t="shared" si="3"/>
        <v>58</v>
      </c>
      <c r="Q49" s="1632">
        <f t="shared" si="6"/>
        <v>2</v>
      </c>
      <c r="R49" s="1614">
        <f t="shared" si="4"/>
        <v>61</v>
      </c>
      <c r="S49" s="1632">
        <f t="shared" si="7"/>
        <v>2</v>
      </c>
    </row>
    <row r="50" spans="1:19">
      <c r="A50" s="1627" t="s">
        <v>1856</v>
      </c>
      <c r="B50" s="1638" t="s">
        <v>1857</v>
      </c>
      <c r="C50" s="1626">
        <v>24</v>
      </c>
      <c r="D50" s="1626">
        <v>23</v>
      </c>
      <c r="E50" s="1626">
        <v>21</v>
      </c>
      <c r="F50" s="1626">
        <f t="shared" si="1"/>
        <v>44</v>
      </c>
      <c r="G50" s="1624">
        <f t="shared" si="5"/>
        <v>1.83</v>
      </c>
      <c r="H50" s="1626">
        <v>28</v>
      </c>
      <c r="I50" s="1626">
        <v>25</v>
      </c>
      <c r="J50" s="1626">
        <v>24</v>
      </c>
      <c r="K50" s="1626">
        <f t="shared" si="2"/>
        <v>49</v>
      </c>
      <c r="L50" s="1626">
        <v>27</v>
      </c>
      <c r="M50" s="1626">
        <v>25</v>
      </c>
      <c r="N50" s="1626">
        <v>23</v>
      </c>
      <c r="O50" s="1626">
        <f t="shared" si="3"/>
        <v>48</v>
      </c>
      <c r="Q50" s="1632">
        <f t="shared" si="6"/>
        <v>2</v>
      </c>
      <c r="R50" s="1614">
        <f t="shared" si="4"/>
        <v>51</v>
      </c>
      <c r="S50" s="1632">
        <f t="shared" si="7"/>
        <v>2</v>
      </c>
    </row>
  </sheetData>
  <mergeCells count="5">
    <mergeCell ref="A1:O1"/>
    <mergeCell ref="A2:B2"/>
    <mergeCell ref="C2:G2"/>
    <mergeCell ref="H2:K2"/>
    <mergeCell ref="L2:O2"/>
  </mergeCells>
  <phoneticPr fontId="3" type="noConversion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6"/>
  <sheetViews>
    <sheetView topLeftCell="A34" workbookViewId="0">
      <selection activeCell="T9" sqref="T9:T56"/>
    </sheetView>
  </sheetViews>
  <sheetFormatPr defaultRowHeight="16.5"/>
  <cols>
    <col min="1" max="1" width="9" style="599" bestFit="1" customWidth="1"/>
    <col min="2" max="2" width="9.125" style="599" bestFit="1" customWidth="1"/>
    <col min="3" max="7" width="7.625" style="599" hidden="1" customWidth="1"/>
    <col min="8" max="15" width="7.625" style="599" customWidth="1"/>
    <col min="16" max="16384" width="9" style="599"/>
  </cols>
  <sheetData>
    <row r="1" spans="1:20" ht="50.1" customHeight="1">
      <c r="A1" s="2862" t="s">
        <v>1733</v>
      </c>
      <c r="B1" s="2862"/>
      <c r="C1" s="2862"/>
      <c r="D1" s="2862"/>
      <c r="E1" s="2862"/>
      <c r="F1" s="2862"/>
      <c r="G1" s="2862"/>
      <c r="H1" s="2862"/>
      <c r="I1" s="2862"/>
      <c r="J1" s="2862"/>
      <c r="K1" s="2862"/>
      <c r="L1" s="2862"/>
      <c r="M1" s="2862"/>
      <c r="N1" s="2862"/>
      <c r="O1" s="1712"/>
    </row>
    <row r="2" spans="1:20" ht="17.25" customHeight="1">
      <c r="A2" s="2863" t="s">
        <v>1734</v>
      </c>
      <c r="B2" s="2864"/>
      <c r="C2" s="2864" t="s">
        <v>1735</v>
      </c>
      <c r="D2" s="2864"/>
      <c r="E2" s="2864"/>
      <c r="F2" s="2864"/>
      <c r="G2" s="2864"/>
      <c r="H2" s="2864" t="s">
        <v>1736</v>
      </c>
      <c r="I2" s="2864"/>
      <c r="J2" s="2864"/>
      <c r="K2" s="2864"/>
      <c r="L2" s="2864" t="s">
        <v>1737</v>
      </c>
      <c r="M2" s="2864"/>
      <c r="N2" s="2864"/>
      <c r="O2" s="2865"/>
    </row>
    <row r="3" spans="1:20">
      <c r="A3" s="1713" t="s">
        <v>1738</v>
      </c>
      <c r="B3" s="1714" t="s">
        <v>1739</v>
      </c>
      <c r="C3" s="1715" t="s">
        <v>1621</v>
      </c>
      <c r="D3" s="1715" t="s">
        <v>1622</v>
      </c>
      <c r="E3" s="1715" t="s">
        <v>1623</v>
      </c>
      <c r="F3" s="1716" t="s">
        <v>1740</v>
      </c>
      <c r="G3" s="1716" t="s">
        <v>1741</v>
      </c>
      <c r="H3" s="1715" t="s">
        <v>1621</v>
      </c>
      <c r="I3" s="1715" t="s">
        <v>1622</v>
      </c>
      <c r="J3" s="1715" t="s">
        <v>1623</v>
      </c>
      <c r="K3" s="1716" t="s">
        <v>1740</v>
      </c>
      <c r="L3" s="1715" t="s">
        <v>1621</v>
      </c>
      <c r="M3" s="1715" t="s">
        <v>1622</v>
      </c>
      <c r="N3" s="1715" t="s">
        <v>1623</v>
      </c>
      <c r="O3" s="1717" t="s">
        <v>1740</v>
      </c>
    </row>
    <row r="4" spans="1:20">
      <c r="A4" s="2860" t="s">
        <v>1742</v>
      </c>
      <c r="B4" s="2861"/>
      <c r="C4" s="1655">
        <f>SUM(C5:C55)</f>
        <v>9702</v>
      </c>
      <c r="D4" s="1655">
        <f t="shared" ref="D4:E4" si="0">SUM(D5:D55)</f>
        <v>11335</v>
      </c>
      <c r="E4" s="1655">
        <f t="shared" si="0"/>
        <v>10286</v>
      </c>
      <c r="F4" s="1655">
        <f>SUM(D4:E4)</f>
        <v>21621</v>
      </c>
      <c r="G4" s="1656">
        <f>ROUND(F4/C4,2)</f>
        <v>2.23</v>
      </c>
      <c r="H4" s="1655">
        <f>SUM(H5:H56)</f>
        <v>9760</v>
      </c>
      <c r="I4" s="1655">
        <f t="shared" ref="I4:J4" si="1">SUM(I5:I56)</f>
        <v>11273</v>
      </c>
      <c r="J4" s="1655">
        <f t="shared" si="1"/>
        <v>10238</v>
      </c>
      <c r="K4" s="1655">
        <f>SUM(I4:J4)</f>
        <v>21511</v>
      </c>
      <c r="L4" s="1655">
        <f t="shared" ref="L4:N4" si="2">SUM(L5:L56)</f>
        <v>9803</v>
      </c>
      <c r="M4" s="1655">
        <f t="shared" si="2"/>
        <v>11301</v>
      </c>
      <c r="N4" s="1655">
        <f t="shared" si="2"/>
        <v>10244</v>
      </c>
      <c r="O4" s="1657">
        <f>SUM(M4:N4)</f>
        <v>21545</v>
      </c>
      <c r="Q4" s="599">
        <v>1887</v>
      </c>
      <c r="R4" s="599">
        <v>1865</v>
      </c>
    </row>
    <row r="5" spans="1:20">
      <c r="A5" s="1659" t="s">
        <v>1627</v>
      </c>
      <c r="B5" s="1718" t="s">
        <v>1743</v>
      </c>
      <c r="C5" s="1660">
        <v>325</v>
      </c>
      <c r="D5" s="1660">
        <v>339</v>
      </c>
      <c r="E5" s="1660">
        <v>277</v>
      </c>
      <c r="F5" s="1660">
        <f t="shared" ref="F5:F56" si="3">SUM(D5:E5)</f>
        <v>616</v>
      </c>
      <c r="G5" s="1660">
        <f t="shared" ref="G5:G56" si="4">ROUND(F5/C5,2)</f>
        <v>1.9</v>
      </c>
      <c r="H5" s="1660">
        <v>316</v>
      </c>
      <c r="I5" s="1660">
        <v>325</v>
      </c>
      <c r="J5" s="1660">
        <v>270</v>
      </c>
      <c r="K5" s="1660">
        <f t="shared" ref="K5:K56" si="5">SUM(I5:J5)</f>
        <v>595</v>
      </c>
      <c r="L5" s="1660">
        <v>331</v>
      </c>
      <c r="M5" s="1660">
        <v>329</v>
      </c>
      <c r="N5" s="1660">
        <v>277</v>
      </c>
      <c r="O5" s="1661">
        <f t="shared" ref="O5:O56" si="6">SUM(M5:N5)</f>
        <v>606</v>
      </c>
      <c r="P5" s="1632"/>
      <c r="Q5" s="1632">
        <f>ROUND(K5/$K$4*$Q$4,0)</f>
        <v>52</v>
      </c>
      <c r="R5" s="1632">
        <f>ROUND(O5/$O$4*$R$4,0)</f>
        <v>52</v>
      </c>
      <c r="T5" s="599">
        <f>K5+Q5</f>
        <v>647</v>
      </c>
    </row>
    <row r="6" spans="1:20">
      <c r="A6" s="1654" t="s">
        <v>1629</v>
      </c>
      <c r="B6" s="1719" t="s">
        <v>1744</v>
      </c>
      <c r="C6" s="1662">
        <v>363</v>
      </c>
      <c r="D6" s="1662">
        <v>379</v>
      </c>
      <c r="E6" s="1662">
        <v>337</v>
      </c>
      <c r="F6" s="1662">
        <f t="shared" si="3"/>
        <v>716</v>
      </c>
      <c r="G6" s="1662">
        <f t="shared" si="4"/>
        <v>1.97</v>
      </c>
      <c r="H6" s="1662">
        <v>384</v>
      </c>
      <c r="I6" s="1662">
        <v>393</v>
      </c>
      <c r="J6" s="1662">
        <v>349</v>
      </c>
      <c r="K6" s="1662">
        <f t="shared" si="5"/>
        <v>742</v>
      </c>
      <c r="L6" s="1662">
        <v>379</v>
      </c>
      <c r="M6" s="1662">
        <v>386</v>
      </c>
      <c r="N6" s="1662">
        <v>343</v>
      </c>
      <c r="O6" s="1663">
        <f t="shared" si="6"/>
        <v>729</v>
      </c>
      <c r="Q6" s="1632">
        <f t="shared" ref="Q6:Q56" si="7">ROUND(K6/$K$4*$Q$4,0)</f>
        <v>65</v>
      </c>
      <c r="R6" s="1632">
        <f t="shared" ref="R6:R56" si="8">ROUND(O6/$O$4*$R$4,0)</f>
        <v>63</v>
      </c>
      <c r="T6" s="599">
        <f t="shared" ref="T6:T56" si="9">K6+Q6</f>
        <v>807</v>
      </c>
    </row>
    <row r="7" spans="1:20">
      <c r="A7" s="1659" t="s">
        <v>1632</v>
      </c>
      <c r="B7" s="1718" t="s">
        <v>1745</v>
      </c>
      <c r="C7" s="1660">
        <v>402</v>
      </c>
      <c r="D7" s="1660">
        <v>410</v>
      </c>
      <c r="E7" s="1660">
        <v>367</v>
      </c>
      <c r="F7" s="1660">
        <f t="shared" si="3"/>
        <v>777</v>
      </c>
      <c r="G7" s="1660">
        <f t="shared" si="4"/>
        <v>1.93</v>
      </c>
      <c r="H7" s="1660">
        <v>448</v>
      </c>
      <c r="I7" s="1660">
        <v>450</v>
      </c>
      <c r="J7" s="1660">
        <v>397</v>
      </c>
      <c r="K7" s="1660">
        <f t="shared" si="5"/>
        <v>847</v>
      </c>
      <c r="L7" s="1660">
        <v>466</v>
      </c>
      <c r="M7" s="1660">
        <v>462</v>
      </c>
      <c r="N7" s="1660">
        <v>402</v>
      </c>
      <c r="O7" s="1661">
        <f t="shared" si="6"/>
        <v>864</v>
      </c>
      <c r="P7" s="1632" t="s">
        <v>1864</v>
      </c>
      <c r="Q7" s="1632">
        <f t="shared" si="7"/>
        <v>74</v>
      </c>
      <c r="R7" s="1632">
        <f t="shared" si="8"/>
        <v>75</v>
      </c>
      <c r="T7" s="599">
        <f t="shared" si="9"/>
        <v>921</v>
      </c>
    </row>
    <row r="8" spans="1:20">
      <c r="A8" s="1659" t="s">
        <v>1634</v>
      </c>
      <c r="B8" s="1718" t="s">
        <v>1746</v>
      </c>
      <c r="C8" s="1660">
        <v>629</v>
      </c>
      <c r="D8" s="1660">
        <v>772</v>
      </c>
      <c r="E8" s="1660">
        <v>611</v>
      </c>
      <c r="F8" s="1660">
        <f t="shared" si="3"/>
        <v>1383</v>
      </c>
      <c r="G8" s="1660">
        <f t="shared" si="4"/>
        <v>2.2000000000000002</v>
      </c>
      <c r="H8" s="1660">
        <v>598</v>
      </c>
      <c r="I8" s="1660">
        <v>728</v>
      </c>
      <c r="J8" s="1660">
        <v>581</v>
      </c>
      <c r="K8" s="1660">
        <f t="shared" si="5"/>
        <v>1309</v>
      </c>
      <c r="L8" s="1660">
        <v>606</v>
      </c>
      <c r="M8" s="1660">
        <v>722</v>
      </c>
      <c r="N8" s="1660">
        <v>588</v>
      </c>
      <c r="O8" s="1661">
        <f t="shared" si="6"/>
        <v>1310</v>
      </c>
      <c r="P8" s="1632"/>
      <c r="Q8" s="1632">
        <f>ROUND(K8/$K$4*$Q$4,0)+1</f>
        <v>116</v>
      </c>
      <c r="R8" s="1632">
        <f t="shared" si="8"/>
        <v>113</v>
      </c>
      <c r="T8" s="599">
        <f t="shared" si="9"/>
        <v>1425</v>
      </c>
    </row>
    <row r="9" spans="1:20">
      <c r="A9" s="1659" t="s">
        <v>1636</v>
      </c>
      <c r="B9" s="1718" t="s">
        <v>1747</v>
      </c>
      <c r="C9" s="1720">
        <v>1100</v>
      </c>
      <c r="D9" s="1720">
        <v>1115</v>
      </c>
      <c r="E9" s="1720">
        <v>1120</v>
      </c>
      <c r="F9" s="1720">
        <f t="shared" si="3"/>
        <v>2235</v>
      </c>
      <c r="G9" s="1720">
        <f t="shared" si="4"/>
        <v>2.0299999999999998</v>
      </c>
      <c r="H9" s="1660">
        <v>407</v>
      </c>
      <c r="I9" s="1660">
        <v>480</v>
      </c>
      <c r="J9" s="1660">
        <v>415</v>
      </c>
      <c r="K9" s="1660">
        <f t="shared" si="5"/>
        <v>895</v>
      </c>
      <c r="L9" s="1660">
        <v>401</v>
      </c>
      <c r="M9" s="1660">
        <v>470</v>
      </c>
      <c r="N9" s="1660">
        <v>420</v>
      </c>
      <c r="O9" s="1661">
        <f t="shared" si="6"/>
        <v>890</v>
      </c>
      <c r="P9" s="1632"/>
      <c r="Q9" s="1632">
        <f t="shared" si="7"/>
        <v>79</v>
      </c>
      <c r="R9" s="1632">
        <f t="shared" si="8"/>
        <v>77</v>
      </c>
      <c r="T9" s="599">
        <f t="shared" si="9"/>
        <v>974</v>
      </c>
    </row>
    <row r="10" spans="1:20">
      <c r="A10" s="1654" t="s">
        <v>1638</v>
      </c>
      <c r="B10" s="1719" t="s">
        <v>1748</v>
      </c>
      <c r="C10" s="1662">
        <v>231</v>
      </c>
      <c r="D10" s="1662">
        <v>259</v>
      </c>
      <c r="E10" s="1662">
        <v>273</v>
      </c>
      <c r="F10" s="1662">
        <f t="shared" si="3"/>
        <v>532</v>
      </c>
      <c r="G10" s="1662">
        <f t="shared" si="4"/>
        <v>2.2999999999999998</v>
      </c>
      <c r="H10" s="1662">
        <v>208</v>
      </c>
      <c r="I10" s="1662">
        <v>240</v>
      </c>
      <c r="J10" s="1662">
        <v>241</v>
      </c>
      <c r="K10" s="1662">
        <f t="shared" si="5"/>
        <v>481</v>
      </c>
      <c r="L10" s="1662">
        <v>212</v>
      </c>
      <c r="M10" s="1662">
        <v>234</v>
      </c>
      <c r="N10" s="1662">
        <v>245</v>
      </c>
      <c r="O10" s="1663">
        <f t="shared" si="6"/>
        <v>479</v>
      </c>
      <c r="Q10" s="1632">
        <f t="shared" si="7"/>
        <v>42</v>
      </c>
      <c r="R10" s="1632">
        <f t="shared" si="8"/>
        <v>41</v>
      </c>
      <c r="T10" s="599">
        <f t="shared" si="9"/>
        <v>523</v>
      </c>
    </row>
    <row r="11" spans="1:20">
      <c r="A11" s="1654" t="s">
        <v>1640</v>
      </c>
      <c r="B11" s="1719" t="s">
        <v>1749</v>
      </c>
      <c r="C11" s="1662">
        <v>144</v>
      </c>
      <c r="D11" s="1662">
        <v>148</v>
      </c>
      <c r="E11" s="1662">
        <v>134</v>
      </c>
      <c r="F11" s="1662">
        <f t="shared" si="3"/>
        <v>282</v>
      </c>
      <c r="G11" s="1662">
        <f t="shared" si="4"/>
        <v>1.96</v>
      </c>
      <c r="H11" s="1662">
        <v>137</v>
      </c>
      <c r="I11" s="1662">
        <v>136</v>
      </c>
      <c r="J11" s="1662">
        <v>129</v>
      </c>
      <c r="K11" s="1662">
        <f t="shared" si="5"/>
        <v>265</v>
      </c>
      <c r="L11" s="1662">
        <v>131</v>
      </c>
      <c r="M11" s="1662">
        <v>131</v>
      </c>
      <c r="N11" s="1662">
        <v>123</v>
      </c>
      <c r="O11" s="1663">
        <f t="shared" si="6"/>
        <v>254</v>
      </c>
      <c r="Q11" s="1632">
        <f t="shared" si="7"/>
        <v>23</v>
      </c>
      <c r="R11" s="1632">
        <f t="shared" si="8"/>
        <v>22</v>
      </c>
      <c r="T11" s="599">
        <f t="shared" si="9"/>
        <v>288</v>
      </c>
    </row>
    <row r="12" spans="1:20">
      <c r="A12" s="1654" t="s">
        <v>1642</v>
      </c>
      <c r="B12" s="1719" t="s">
        <v>1750</v>
      </c>
      <c r="C12" s="1662">
        <v>32</v>
      </c>
      <c r="D12" s="1662">
        <v>44</v>
      </c>
      <c r="E12" s="1662">
        <v>30</v>
      </c>
      <c r="F12" s="1662">
        <f t="shared" si="3"/>
        <v>74</v>
      </c>
      <c r="G12" s="1662">
        <f t="shared" si="4"/>
        <v>2.31</v>
      </c>
      <c r="H12" s="1662">
        <v>32</v>
      </c>
      <c r="I12" s="1662">
        <v>42</v>
      </c>
      <c r="J12" s="1662">
        <v>29</v>
      </c>
      <c r="K12" s="1662">
        <f t="shared" si="5"/>
        <v>71</v>
      </c>
      <c r="L12" s="1662">
        <v>34</v>
      </c>
      <c r="M12" s="1662">
        <v>42</v>
      </c>
      <c r="N12" s="1662">
        <v>30</v>
      </c>
      <c r="O12" s="1663">
        <f t="shared" si="6"/>
        <v>72</v>
      </c>
      <c r="Q12" s="1632">
        <f t="shared" si="7"/>
        <v>6</v>
      </c>
      <c r="R12" s="1632">
        <f t="shared" si="8"/>
        <v>6</v>
      </c>
      <c r="T12" s="599">
        <f t="shared" si="9"/>
        <v>77</v>
      </c>
    </row>
    <row r="13" spans="1:20">
      <c r="A13" s="1654" t="s">
        <v>1644</v>
      </c>
      <c r="B13" s="1719" t="s">
        <v>2094</v>
      </c>
      <c r="C13" s="1662">
        <v>48</v>
      </c>
      <c r="D13" s="1662">
        <v>46</v>
      </c>
      <c r="E13" s="1662">
        <v>45</v>
      </c>
      <c r="F13" s="1662">
        <f t="shared" si="3"/>
        <v>91</v>
      </c>
      <c r="G13" s="1662">
        <f t="shared" si="4"/>
        <v>1.9</v>
      </c>
      <c r="H13" s="1662">
        <v>47</v>
      </c>
      <c r="I13" s="1662">
        <v>47</v>
      </c>
      <c r="J13" s="1662">
        <v>45</v>
      </c>
      <c r="K13" s="1662">
        <f t="shared" si="5"/>
        <v>92</v>
      </c>
      <c r="L13" s="1662">
        <v>45</v>
      </c>
      <c r="M13" s="1662">
        <v>47</v>
      </c>
      <c r="N13" s="1662">
        <v>46</v>
      </c>
      <c r="O13" s="1663">
        <f t="shared" si="6"/>
        <v>93</v>
      </c>
      <c r="Q13" s="1632">
        <f t="shared" si="7"/>
        <v>8</v>
      </c>
      <c r="R13" s="1632">
        <f t="shared" si="8"/>
        <v>8</v>
      </c>
      <c r="T13" s="599">
        <f t="shared" si="9"/>
        <v>100</v>
      </c>
    </row>
    <row r="14" spans="1:20">
      <c r="A14" s="1654" t="s">
        <v>1646</v>
      </c>
      <c r="B14" s="1719" t="s">
        <v>1751</v>
      </c>
      <c r="C14" s="1662">
        <v>64</v>
      </c>
      <c r="D14" s="1662">
        <v>60</v>
      </c>
      <c r="E14" s="1662">
        <v>39</v>
      </c>
      <c r="F14" s="1662">
        <f t="shared" si="3"/>
        <v>99</v>
      </c>
      <c r="G14" s="1662">
        <f t="shared" si="4"/>
        <v>1.55</v>
      </c>
      <c r="H14" s="1662">
        <v>64</v>
      </c>
      <c r="I14" s="1662">
        <v>68</v>
      </c>
      <c r="J14" s="1662">
        <v>37</v>
      </c>
      <c r="K14" s="1662">
        <f t="shared" si="5"/>
        <v>105</v>
      </c>
      <c r="L14" s="1662">
        <v>64</v>
      </c>
      <c r="M14" s="1662">
        <v>68</v>
      </c>
      <c r="N14" s="1662">
        <v>38</v>
      </c>
      <c r="O14" s="1663">
        <f t="shared" si="6"/>
        <v>106</v>
      </c>
      <c r="Q14" s="1632">
        <f t="shared" si="7"/>
        <v>9</v>
      </c>
      <c r="R14" s="1632">
        <f t="shared" si="8"/>
        <v>9</v>
      </c>
      <c r="T14" s="599">
        <f t="shared" si="9"/>
        <v>114</v>
      </c>
    </row>
    <row r="15" spans="1:20">
      <c r="A15" s="1654" t="s">
        <v>1648</v>
      </c>
      <c r="B15" s="1719" t="s">
        <v>1752</v>
      </c>
      <c r="C15" s="1662">
        <v>41</v>
      </c>
      <c r="D15" s="1662">
        <v>40</v>
      </c>
      <c r="E15" s="1662">
        <v>41</v>
      </c>
      <c r="F15" s="1662">
        <f t="shared" si="3"/>
        <v>81</v>
      </c>
      <c r="G15" s="1662">
        <f t="shared" si="4"/>
        <v>1.98</v>
      </c>
      <c r="H15" s="1662">
        <v>46</v>
      </c>
      <c r="I15" s="1662">
        <v>43</v>
      </c>
      <c r="J15" s="1662">
        <v>42</v>
      </c>
      <c r="K15" s="1662">
        <f t="shared" si="5"/>
        <v>85</v>
      </c>
      <c r="L15" s="1662">
        <v>44</v>
      </c>
      <c r="M15" s="1662">
        <v>42</v>
      </c>
      <c r="N15" s="1662">
        <v>42</v>
      </c>
      <c r="O15" s="1663">
        <f t="shared" si="6"/>
        <v>84</v>
      </c>
      <c r="Q15" s="1632">
        <f t="shared" si="7"/>
        <v>7</v>
      </c>
      <c r="R15" s="1632">
        <f t="shared" si="8"/>
        <v>7</v>
      </c>
      <c r="T15" s="599">
        <f t="shared" si="9"/>
        <v>92</v>
      </c>
    </row>
    <row r="16" spans="1:20">
      <c r="A16" s="1659" t="s">
        <v>1650</v>
      </c>
      <c r="B16" s="1718" t="s">
        <v>1753</v>
      </c>
      <c r="C16" s="1660">
        <v>112</v>
      </c>
      <c r="D16" s="1660">
        <v>125</v>
      </c>
      <c r="E16" s="1660">
        <v>110</v>
      </c>
      <c r="F16" s="1660">
        <f t="shared" si="3"/>
        <v>235</v>
      </c>
      <c r="G16" s="1660">
        <f t="shared" si="4"/>
        <v>2.1</v>
      </c>
      <c r="H16" s="1660">
        <v>127</v>
      </c>
      <c r="I16" s="1660">
        <v>145</v>
      </c>
      <c r="J16" s="1660">
        <v>113</v>
      </c>
      <c r="K16" s="1660">
        <f t="shared" si="5"/>
        <v>258</v>
      </c>
      <c r="L16" s="1660">
        <v>146</v>
      </c>
      <c r="M16" s="1660">
        <v>155</v>
      </c>
      <c r="N16" s="1660">
        <v>122</v>
      </c>
      <c r="O16" s="1661">
        <f t="shared" si="6"/>
        <v>277</v>
      </c>
      <c r="P16" s="1632" t="s">
        <v>1863</v>
      </c>
      <c r="Q16" s="1632">
        <f t="shared" si="7"/>
        <v>23</v>
      </c>
      <c r="R16" s="1632">
        <f t="shared" si="8"/>
        <v>24</v>
      </c>
      <c r="T16" s="599">
        <f t="shared" si="9"/>
        <v>281</v>
      </c>
    </row>
    <row r="17" spans="1:20">
      <c r="A17" s="1659" t="s">
        <v>1652</v>
      </c>
      <c r="B17" s="1718" t="s">
        <v>1754</v>
      </c>
      <c r="C17" s="1660">
        <v>37</v>
      </c>
      <c r="D17" s="1660">
        <v>31</v>
      </c>
      <c r="E17" s="1660">
        <v>36</v>
      </c>
      <c r="F17" s="1660">
        <f t="shared" si="3"/>
        <v>67</v>
      </c>
      <c r="G17" s="1660">
        <f t="shared" si="4"/>
        <v>1.81</v>
      </c>
      <c r="H17" s="1660">
        <v>36</v>
      </c>
      <c r="I17" s="1660">
        <v>35</v>
      </c>
      <c r="J17" s="1660">
        <v>40</v>
      </c>
      <c r="K17" s="1660">
        <f t="shared" si="5"/>
        <v>75</v>
      </c>
      <c r="L17" s="1660">
        <v>37</v>
      </c>
      <c r="M17" s="1660">
        <v>39</v>
      </c>
      <c r="N17" s="1660">
        <v>40</v>
      </c>
      <c r="O17" s="1661">
        <f t="shared" si="6"/>
        <v>79</v>
      </c>
      <c r="P17" s="1632" t="s">
        <v>2095</v>
      </c>
      <c r="Q17" s="1632">
        <f t="shared" si="7"/>
        <v>7</v>
      </c>
      <c r="R17" s="1632">
        <f t="shared" si="8"/>
        <v>7</v>
      </c>
      <c r="T17" s="599">
        <f t="shared" si="9"/>
        <v>82</v>
      </c>
    </row>
    <row r="18" spans="1:20">
      <c r="A18" s="1654" t="s">
        <v>1654</v>
      </c>
      <c r="B18" s="1719" t="s">
        <v>1755</v>
      </c>
      <c r="C18" s="1662">
        <v>40</v>
      </c>
      <c r="D18" s="1662">
        <v>33</v>
      </c>
      <c r="E18" s="1662">
        <v>27</v>
      </c>
      <c r="F18" s="1662">
        <f t="shared" si="3"/>
        <v>60</v>
      </c>
      <c r="G18" s="1662">
        <f t="shared" si="4"/>
        <v>1.5</v>
      </c>
      <c r="H18" s="1662">
        <v>36</v>
      </c>
      <c r="I18" s="1662">
        <v>29</v>
      </c>
      <c r="J18" s="1662">
        <v>30</v>
      </c>
      <c r="K18" s="1662">
        <f t="shared" si="5"/>
        <v>59</v>
      </c>
      <c r="L18" s="1662">
        <v>36</v>
      </c>
      <c r="M18" s="1662">
        <v>29</v>
      </c>
      <c r="N18" s="1662">
        <v>30</v>
      </c>
      <c r="O18" s="1663">
        <f t="shared" si="6"/>
        <v>59</v>
      </c>
      <c r="Q18" s="1632">
        <f t="shared" si="7"/>
        <v>5</v>
      </c>
      <c r="R18" s="1632">
        <f t="shared" si="8"/>
        <v>5</v>
      </c>
      <c r="T18" s="599">
        <f t="shared" si="9"/>
        <v>64</v>
      </c>
    </row>
    <row r="19" spans="1:20">
      <c r="A19" s="1654" t="s">
        <v>1656</v>
      </c>
      <c r="B19" s="1719" t="s">
        <v>1756</v>
      </c>
      <c r="C19" s="1662">
        <v>143</v>
      </c>
      <c r="D19" s="1662">
        <v>158</v>
      </c>
      <c r="E19" s="1662">
        <v>121</v>
      </c>
      <c r="F19" s="1662">
        <f t="shared" si="3"/>
        <v>279</v>
      </c>
      <c r="G19" s="1662">
        <f t="shared" si="4"/>
        <v>1.95</v>
      </c>
      <c r="H19" s="1662">
        <v>150</v>
      </c>
      <c r="I19" s="1662">
        <v>163</v>
      </c>
      <c r="J19" s="1662">
        <v>124</v>
      </c>
      <c r="K19" s="1662">
        <f t="shared" si="5"/>
        <v>287</v>
      </c>
      <c r="L19" s="1662">
        <v>153</v>
      </c>
      <c r="M19" s="1662">
        <v>164</v>
      </c>
      <c r="N19" s="1662">
        <v>124</v>
      </c>
      <c r="O19" s="1663">
        <f t="shared" si="6"/>
        <v>288</v>
      </c>
      <c r="Q19" s="1632">
        <f t="shared" si="7"/>
        <v>25</v>
      </c>
      <c r="R19" s="1632">
        <f t="shared" si="8"/>
        <v>25</v>
      </c>
      <c r="T19" s="599">
        <f t="shared" si="9"/>
        <v>312</v>
      </c>
    </row>
    <row r="20" spans="1:20">
      <c r="A20" s="1654" t="s">
        <v>1658</v>
      </c>
      <c r="B20" s="1719" t="s">
        <v>1757</v>
      </c>
      <c r="C20" s="1662">
        <v>108</v>
      </c>
      <c r="D20" s="1662">
        <v>99</v>
      </c>
      <c r="E20" s="1662">
        <v>91</v>
      </c>
      <c r="F20" s="1662">
        <f t="shared" si="3"/>
        <v>190</v>
      </c>
      <c r="G20" s="1662">
        <f t="shared" si="4"/>
        <v>1.76</v>
      </c>
      <c r="H20" s="1662">
        <v>110</v>
      </c>
      <c r="I20" s="1662">
        <v>94</v>
      </c>
      <c r="J20" s="1662">
        <v>92</v>
      </c>
      <c r="K20" s="1662">
        <f t="shared" si="5"/>
        <v>186</v>
      </c>
      <c r="L20" s="1662">
        <v>112</v>
      </c>
      <c r="M20" s="1662">
        <v>99</v>
      </c>
      <c r="N20" s="1662">
        <v>92</v>
      </c>
      <c r="O20" s="1663">
        <f t="shared" si="6"/>
        <v>191</v>
      </c>
      <c r="Q20" s="1632">
        <f t="shared" si="7"/>
        <v>16</v>
      </c>
      <c r="R20" s="1632">
        <f t="shared" si="8"/>
        <v>17</v>
      </c>
      <c r="T20" s="599">
        <f t="shared" si="9"/>
        <v>202</v>
      </c>
    </row>
    <row r="21" spans="1:20" ht="15" customHeight="1">
      <c r="A21" s="1654" t="s">
        <v>1660</v>
      </c>
      <c r="B21" s="1719" t="s">
        <v>1758</v>
      </c>
      <c r="C21" s="1662">
        <v>53</v>
      </c>
      <c r="D21" s="1662">
        <v>53</v>
      </c>
      <c r="E21" s="1662">
        <v>43</v>
      </c>
      <c r="F21" s="1662">
        <f t="shared" si="3"/>
        <v>96</v>
      </c>
      <c r="G21" s="1662">
        <f t="shared" si="4"/>
        <v>1.81</v>
      </c>
      <c r="H21" s="1662">
        <v>49</v>
      </c>
      <c r="I21" s="1662">
        <v>51</v>
      </c>
      <c r="J21" s="1662">
        <v>46</v>
      </c>
      <c r="K21" s="1662">
        <f t="shared" si="5"/>
        <v>97</v>
      </c>
      <c r="L21" s="1662">
        <v>47</v>
      </c>
      <c r="M21" s="1662">
        <v>49</v>
      </c>
      <c r="N21" s="1662">
        <v>43</v>
      </c>
      <c r="O21" s="1663">
        <f t="shared" si="6"/>
        <v>92</v>
      </c>
      <c r="Q21" s="1632">
        <f t="shared" si="7"/>
        <v>9</v>
      </c>
      <c r="R21" s="1632">
        <f t="shared" si="8"/>
        <v>8</v>
      </c>
      <c r="T21" s="599">
        <f t="shared" si="9"/>
        <v>106</v>
      </c>
    </row>
    <row r="22" spans="1:20">
      <c r="A22" s="1654" t="s">
        <v>1662</v>
      </c>
      <c r="B22" s="1719" t="s">
        <v>1759</v>
      </c>
      <c r="C22" s="1662">
        <v>38</v>
      </c>
      <c r="D22" s="1662">
        <v>48</v>
      </c>
      <c r="E22" s="1662">
        <v>31</v>
      </c>
      <c r="F22" s="1662">
        <f t="shared" si="3"/>
        <v>79</v>
      </c>
      <c r="G22" s="1662">
        <f t="shared" si="4"/>
        <v>2.08</v>
      </c>
      <c r="H22" s="1662">
        <v>35</v>
      </c>
      <c r="I22" s="1662">
        <v>47</v>
      </c>
      <c r="J22" s="1662">
        <v>29</v>
      </c>
      <c r="K22" s="1662">
        <f t="shared" si="5"/>
        <v>76</v>
      </c>
      <c r="L22" s="1662">
        <v>38</v>
      </c>
      <c r="M22" s="1662">
        <v>50</v>
      </c>
      <c r="N22" s="1662">
        <v>32</v>
      </c>
      <c r="O22" s="1663">
        <f t="shared" si="6"/>
        <v>82</v>
      </c>
      <c r="Q22" s="1632">
        <f t="shared" si="7"/>
        <v>7</v>
      </c>
      <c r="R22" s="1632">
        <f t="shared" si="8"/>
        <v>7</v>
      </c>
      <c r="T22" s="599">
        <f t="shared" si="9"/>
        <v>83</v>
      </c>
    </row>
    <row r="23" spans="1:20">
      <c r="A23" s="1654" t="s">
        <v>1664</v>
      </c>
      <c r="B23" s="1719" t="s">
        <v>1760</v>
      </c>
      <c r="C23" s="1662">
        <v>122</v>
      </c>
      <c r="D23" s="1662">
        <v>126</v>
      </c>
      <c r="E23" s="1662">
        <v>115</v>
      </c>
      <c r="F23" s="1662">
        <f t="shared" si="3"/>
        <v>241</v>
      </c>
      <c r="G23" s="1662">
        <f t="shared" si="4"/>
        <v>1.98</v>
      </c>
      <c r="H23" s="1662">
        <v>126</v>
      </c>
      <c r="I23" s="1662">
        <v>126</v>
      </c>
      <c r="J23" s="1662">
        <v>117</v>
      </c>
      <c r="K23" s="1662">
        <f t="shared" si="5"/>
        <v>243</v>
      </c>
      <c r="L23" s="1662">
        <v>128</v>
      </c>
      <c r="M23" s="1662">
        <v>129</v>
      </c>
      <c r="N23" s="1662">
        <v>120</v>
      </c>
      <c r="O23" s="1663">
        <f t="shared" si="6"/>
        <v>249</v>
      </c>
      <c r="Q23" s="1632">
        <f t="shared" si="7"/>
        <v>21</v>
      </c>
      <c r="R23" s="1632">
        <f t="shared" si="8"/>
        <v>22</v>
      </c>
      <c r="T23" s="599">
        <f t="shared" si="9"/>
        <v>264</v>
      </c>
    </row>
    <row r="24" spans="1:20">
      <c r="A24" s="1654" t="s">
        <v>1666</v>
      </c>
      <c r="B24" s="1719" t="s">
        <v>1761</v>
      </c>
      <c r="C24" s="1662">
        <v>186</v>
      </c>
      <c r="D24" s="1662">
        <v>202</v>
      </c>
      <c r="E24" s="1662">
        <v>141</v>
      </c>
      <c r="F24" s="1662">
        <f t="shared" si="3"/>
        <v>343</v>
      </c>
      <c r="G24" s="1662">
        <f t="shared" si="4"/>
        <v>1.84</v>
      </c>
      <c r="H24" s="1662">
        <v>180</v>
      </c>
      <c r="I24" s="1662">
        <v>197</v>
      </c>
      <c r="J24" s="1662">
        <v>133</v>
      </c>
      <c r="K24" s="1662">
        <f t="shared" si="5"/>
        <v>330</v>
      </c>
      <c r="L24" s="1662">
        <v>185</v>
      </c>
      <c r="M24" s="1662">
        <v>197</v>
      </c>
      <c r="N24" s="1662">
        <v>135</v>
      </c>
      <c r="O24" s="1663">
        <f t="shared" si="6"/>
        <v>332</v>
      </c>
      <c r="Q24" s="1632">
        <f t="shared" si="7"/>
        <v>29</v>
      </c>
      <c r="R24" s="1632">
        <f t="shared" si="8"/>
        <v>29</v>
      </c>
      <c r="T24" s="599">
        <f t="shared" si="9"/>
        <v>359</v>
      </c>
    </row>
    <row r="25" spans="1:20">
      <c r="A25" s="1654" t="s">
        <v>1668</v>
      </c>
      <c r="B25" s="1719" t="s">
        <v>1762</v>
      </c>
      <c r="C25" s="1662">
        <v>120</v>
      </c>
      <c r="D25" s="1662">
        <v>139</v>
      </c>
      <c r="E25" s="1662">
        <v>117</v>
      </c>
      <c r="F25" s="1662">
        <f t="shared" si="3"/>
        <v>256</v>
      </c>
      <c r="G25" s="1662">
        <f t="shared" si="4"/>
        <v>2.13</v>
      </c>
      <c r="H25" s="1662">
        <v>110</v>
      </c>
      <c r="I25" s="1662">
        <v>129</v>
      </c>
      <c r="J25" s="1662">
        <v>111</v>
      </c>
      <c r="K25" s="1662">
        <f t="shared" si="5"/>
        <v>240</v>
      </c>
      <c r="L25" s="1662">
        <v>111</v>
      </c>
      <c r="M25" s="1662">
        <v>130</v>
      </c>
      <c r="N25" s="1662">
        <v>105</v>
      </c>
      <c r="O25" s="1663">
        <f t="shared" si="6"/>
        <v>235</v>
      </c>
      <c r="Q25" s="1632">
        <f t="shared" si="7"/>
        <v>21</v>
      </c>
      <c r="R25" s="1632">
        <f t="shared" si="8"/>
        <v>20</v>
      </c>
      <c r="T25" s="599">
        <f t="shared" si="9"/>
        <v>261</v>
      </c>
    </row>
    <row r="26" spans="1:20">
      <c r="A26" s="1654" t="s">
        <v>1670</v>
      </c>
      <c r="B26" s="1719" t="s">
        <v>1763</v>
      </c>
      <c r="C26" s="1662">
        <v>88</v>
      </c>
      <c r="D26" s="1662">
        <v>89</v>
      </c>
      <c r="E26" s="1662">
        <v>71</v>
      </c>
      <c r="F26" s="1662">
        <f t="shared" si="3"/>
        <v>160</v>
      </c>
      <c r="G26" s="1662">
        <f t="shared" si="4"/>
        <v>1.82</v>
      </c>
      <c r="H26" s="1662">
        <v>92</v>
      </c>
      <c r="I26" s="1662">
        <v>93</v>
      </c>
      <c r="J26" s="1662">
        <v>72</v>
      </c>
      <c r="K26" s="1662">
        <f t="shared" si="5"/>
        <v>165</v>
      </c>
      <c r="L26" s="1662">
        <v>92</v>
      </c>
      <c r="M26" s="1662">
        <v>91</v>
      </c>
      <c r="N26" s="1662">
        <v>72</v>
      </c>
      <c r="O26" s="1663">
        <f t="shared" si="6"/>
        <v>163</v>
      </c>
      <c r="Q26" s="1632">
        <f t="shared" si="7"/>
        <v>14</v>
      </c>
      <c r="R26" s="1632">
        <f t="shared" si="8"/>
        <v>14</v>
      </c>
      <c r="T26" s="599">
        <f t="shared" si="9"/>
        <v>179</v>
      </c>
    </row>
    <row r="27" spans="1:20">
      <c r="A27" s="1654" t="s">
        <v>1672</v>
      </c>
      <c r="B27" s="1719" t="s">
        <v>1764</v>
      </c>
      <c r="C27" s="1662">
        <v>288</v>
      </c>
      <c r="D27" s="1662">
        <v>318</v>
      </c>
      <c r="E27" s="1662">
        <v>224</v>
      </c>
      <c r="F27" s="1662">
        <f t="shared" si="3"/>
        <v>542</v>
      </c>
      <c r="G27" s="1662">
        <f t="shared" si="4"/>
        <v>1.88</v>
      </c>
      <c r="H27" s="1662">
        <v>304</v>
      </c>
      <c r="I27" s="1662">
        <v>347</v>
      </c>
      <c r="J27" s="1662">
        <v>240</v>
      </c>
      <c r="K27" s="1662">
        <f t="shared" si="5"/>
        <v>587</v>
      </c>
      <c r="L27" s="1662">
        <v>304</v>
      </c>
      <c r="M27" s="1662">
        <v>351</v>
      </c>
      <c r="N27" s="1662">
        <v>247</v>
      </c>
      <c r="O27" s="1663">
        <f t="shared" si="6"/>
        <v>598</v>
      </c>
      <c r="P27" s="599" t="s">
        <v>2096</v>
      </c>
      <c r="Q27" s="1632">
        <f t="shared" si="7"/>
        <v>51</v>
      </c>
      <c r="R27" s="1632">
        <f t="shared" si="8"/>
        <v>52</v>
      </c>
      <c r="T27" s="599">
        <f t="shared" si="9"/>
        <v>638</v>
      </c>
    </row>
    <row r="28" spans="1:20">
      <c r="A28" s="1654" t="s">
        <v>1674</v>
      </c>
      <c r="B28" s="1719" t="s">
        <v>1765</v>
      </c>
      <c r="C28" s="1662">
        <v>47</v>
      </c>
      <c r="D28" s="1662">
        <v>45</v>
      </c>
      <c r="E28" s="1662">
        <v>38</v>
      </c>
      <c r="F28" s="1662">
        <f t="shared" si="3"/>
        <v>83</v>
      </c>
      <c r="G28" s="1662">
        <f t="shared" si="4"/>
        <v>1.77</v>
      </c>
      <c r="H28" s="1662">
        <v>53</v>
      </c>
      <c r="I28" s="1662">
        <v>48</v>
      </c>
      <c r="J28" s="1662">
        <v>39</v>
      </c>
      <c r="K28" s="1662">
        <f t="shared" si="5"/>
        <v>87</v>
      </c>
      <c r="L28" s="1662">
        <v>52</v>
      </c>
      <c r="M28" s="1662">
        <v>45</v>
      </c>
      <c r="N28" s="1662">
        <v>37</v>
      </c>
      <c r="O28" s="1663">
        <f t="shared" si="6"/>
        <v>82</v>
      </c>
      <c r="P28" s="599" t="s">
        <v>2097</v>
      </c>
      <c r="Q28" s="1632">
        <f t="shared" si="7"/>
        <v>8</v>
      </c>
      <c r="R28" s="1632">
        <f t="shared" si="8"/>
        <v>7</v>
      </c>
      <c r="T28" s="599">
        <f t="shared" si="9"/>
        <v>95</v>
      </c>
    </row>
    <row r="29" spans="1:20">
      <c r="A29" s="1654" t="s">
        <v>1676</v>
      </c>
      <c r="B29" s="1719" t="s">
        <v>1766</v>
      </c>
      <c r="C29" s="1662">
        <v>91</v>
      </c>
      <c r="D29" s="1662">
        <v>106</v>
      </c>
      <c r="E29" s="1662">
        <v>84</v>
      </c>
      <c r="F29" s="1662">
        <f t="shared" si="3"/>
        <v>190</v>
      </c>
      <c r="G29" s="1662">
        <f t="shared" si="4"/>
        <v>2.09</v>
      </c>
      <c r="H29" s="1662">
        <v>90</v>
      </c>
      <c r="I29" s="1662">
        <v>103</v>
      </c>
      <c r="J29" s="1662">
        <v>85</v>
      </c>
      <c r="K29" s="1662">
        <f t="shared" si="5"/>
        <v>188</v>
      </c>
      <c r="L29" s="1662">
        <v>87</v>
      </c>
      <c r="M29" s="1662">
        <v>99</v>
      </c>
      <c r="N29" s="1662">
        <v>85</v>
      </c>
      <c r="O29" s="1663">
        <f t="shared" si="6"/>
        <v>184</v>
      </c>
      <c r="P29" s="599" t="s">
        <v>2098</v>
      </c>
      <c r="Q29" s="1632">
        <f t="shared" si="7"/>
        <v>16</v>
      </c>
      <c r="R29" s="1632">
        <f t="shared" si="8"/>
        <v>16</v>
      </c>
      <c r="T29" s="599">
        <f t="shared" si="9"/>
        <v>204</v>
      </c>
    </row>
    <row r="30" spans="1:20">
      <c r="A30" s="1654" t="s">
        <v>1679</v>
      </c>
      <c r="B30" s="1719" t="s">
        <v>1767</v>
      </c>
      <c r="C30" s="1662">
        <v>40</v>
      </c>
      <c r="D30" s="1662">
        <v>38</v>
      </c>
      <c r="E30" s="1662">
        <v>35</v>
      </c>
      <c r="F30" s="1662">
        <f t="shared" si="3"/>
        <v>73</v>
      </c>
      <c r="G30" s="1662">
        <f t="shared" si="4"/>
        <v>1.83</v>
      </c>
      <c r="H30" s="1662">
        <v>40</v>
      </c>
      <c r="I30" s="1662">
        <v>38</v>
      </c>
      <c r="J30" s="1662">
        <v>31</v>
      </c>
      <c r="K30" s="1662">
        <f t="shared" si="5"/>
        <v>69</v>
      </c>
      <c r="L30" s="1662">
        <v>37</v>
      </c>
      <c r="M30" s="1662">
        <v>36</v>
      </c>
      <c r="N30" s="1662">
        <v>30</v>
      </c>
      <c r="O30" s="1663">
        <f t="shared" si="6"/>
        <v>66</v>
      </c>
      <c r="Q30" s="1632">
        <f t="shared" si="7"/>
        <v>6</v>
      </c>
      <c r="R30" s="1632">
        <f t="shared" si="8"/>
        <v>6</v>
      </c>
      <c r="T30" s="599">
        <f t="shared" si="9"/>
        <v>75</v>
      </c>
    </row>
    <row r="31" spans="1:20">
      <c r="A31" s="1654" t="s">
        <v>1681</v>
      </c>
      <c r="B31" s="1719" t="s">
        <v>1768</v>
      </c>
      <c r="C31" s="1662">
        <v>65</v>
      </c>
      <c r="D31" s="1662">
        <v>70</v>
      </c>
      <c r="E31" s="1662">
        <v>58</v>
      </c>
      <c r="F31" s="1662">
        <f t="shared" si="3"/>
        <v>128</v>
      </c>
      <c r="G31" s="1662">
        <f t="shared" si="4"/>
        <v>1.97</v>
      </c>
      <c r="H31" s="1662">
        <v>72</v>
      </c>
      <c r="I31" s="1662">
        <v>76</v>
      </c>
      <c r="J31" s="1662">
        <v>64</v>
      </c>
      <c r="K31" s="1662">
        <f t="shared" si="5"/>
        <v>140</v>
      </c>
      <c r="L31" s="1662">
        <v>69</v>
      </c>
      <c r="M31" s="1662">
        <v>74</v>
      </c>
      <c r="N31" s="1662">
        <v>61</v>
      </c>
      <c r="O31" s="1663">
        <f t="shared" si="6"/>
        <v>135</v>
      </c>
      <c r="Q31" s="1632">
        <f t="shared" si="7"/>
        <v>12</v>
      </c>
      <c r="R31" s="1632">
        <f t="shared" si="8"/>
        <v>12</v>
      </c>
      <c r="T31" s="599">
        <f t="shared" si="9"/>
        <v>152</v>
      </c>
    </row>
    <row r="32" spans="1:20">
      <c r="A32" s="1654" t="s">
        <v>1683</v>
      </c>
      <c r="B32" s="1719" t="s">
        <v>1769</v>
      </c>
      <c r="C32" s="1662">
        <v>51</v>
      </c>
      <c r="D32" s="1662">
        <v>50</v>
      </c>
      <c r="E32" s="1662">
        <v>43</v>
      </c>
      <c r="F32" s="1662">
        <f t="shared" si="3"/>
        <v>93</v>
      </c>
      <c r="G32" s="1662">
        <f t="shared" si="4"/>
        <v>1.82</v>
      </c>
      <c r="H32" s="1662">
        <v>54</v>
      </c>
      <c r="I32" s="1662">
        <v>53</v>
      </c>
      <c r="J32" s="1662">
        <v>45</v>
      </c>
      <c r="K32" s="1662">
        <f t="shared" si="5"/>
        <v>98</v>
      </c>
      <c r="L32" s="1662">
        <v>55</v>
      </c>
      <c r="M32" s="1662">
        <v>55</v>
      </c>
      <c r="N32" s="1662">
        <v>47</v>
      </c>
      <c r="O32" s="1663">
        <f t="shared" si="6"/>
        <v>102</v>
      </c>
      <c r="Q32" s="1632">
        <f t="shared" si="7"/>
        <v>9</v>
      </c>
      <c r="R32" s="1632">
        <f t="shared" si="8"/>
        <v>9</v>
      </c>
      <c r="T32" s="599">
        <f t="shared" si="9"/>
        <v>107</v>
      </c>
    </row>
    <row r="33" spans="1:20">
      <c r="A33" s="1654" t="s">
        <v>1685</v>
      </c>
      <c r="B33" s="1719" t="s">
        <v>1770</v>
      </c>
      <c r="C33" s="1662">
        <v>57</v>
      </c>
      <c r="D33" s="1662">
        <v>67</v>
      </c>
      <c r="E33" s="1662">
        <v>52</v>
      </c>
      <c r="F33" s="1662">
        <f t="shared" si="3"/>
        <v>119</v>
      </c>
      <c r="G33" s="1662">
        <f t="shared" si="4"/>
        <v>2.09</v>
      </c>
      <c r="H33" s="1662">
        <v>59</v>
      </c>
      <c r="I33" s="1662">
        <v>67</v>
      </c>
      <c r="J33" s="1662">
        <v>53</v>
      </c>
      <c r="K33" s="1662">
        <f t="shared" si="5"/>
        <v>120</v>
      </c>
      <c r="L33" s="1662">
        <v>59</v>
      </c>
      <c r="M33" s="1662">
        <v>67</v>
      </c>
      <c r="N33" s="1662">
        <v>50</v>
      </c>
      <c r="O33" s="1663">
        <f t="shared" si="6"/>
        <v>117</v>
      </c>
      <c r="Q33" s="1632">
        <f t="shared" si="7"/>
        <v>11</v>
      </c>
      <c r="R33" s="1632">
        <f t="shared" si="8"/>
        <v>10</v>
      </c>
      <c r="T33" s="599">
        <f t="shared" si="9"/>
        <v>131</v>
      </c>
    </row>
    <row r="34" spans="1:20">
      <c r="A34" s="1654" t="s">
        <v>1687</v>
      </c>
      <c r="B34" s="1719" t="s">
        <v>1771</v>
      </c>
      <c r="C34" s="1662">
        <v>64</v>
      </c>
      <c r="D34" s="1662">
        <v>77</v>
      </c>
      <c r="E34" s="1662">
        <v>73</v>
      </c>
      <c r="F34" s="1662">
        <f t="shared" si="3"/>
        <v>150</v>
      </c>
      <c r="G34" s="1662">
        <f t="shared" si="4"/>
        <v>2.34</v>
      </c>
      <c r="H34" s="1662">
        <v>62</v>
      </c>
      <c r="I34" s="1662">
        <v>74</v>
      </c>
      <c r="J34" s="1662">
        <v>67</v>
      </c>
      <c r="K34" s="1662">
        <f t="shared" si="5"/>
        <v>141</v>
      </c>
      <c r="L34" s="1662">
        <v>63</v>
      </c>
      <c r="M34" s="1662">
        <v>75</v>
      </c>
      <c r="N34" s="1662">
        <v>69</v>
      </c>
      <c r="O34" s="1663">
        <f t="shared" si="6"/>
        <v>144</v>
      </c>
      <c r="Q34" s="1632">
        <f t="shared" si="7"/>
        <v>12</v>
      </c>
      <c r="R34" s="1632">
        <f t="shared" si="8"/>
        <v>12</v>
      </c>
      <c r="T34" s="599">
        <f t="shared" si="9"/>
        <v>153</v>
      </c>
    </row>
    <row r="35" spans="1:20">
      <c r="A35" s="1654" t="s">
        <v>1689</v>
      </c>
      <c r="B35" s="1719" t="s">
        <v>1772</v>
      </c>
      <c r="C35" s="1662">
        <v>73</v>
      </c>
      <c r="D35" s="1662">
        <v>70</v>
      </c>
      <c r="E35" s="1662">
        <v>60</v>
      </c>
      <c r="F35" s="1662">
        <f t="shared" si="3"/>
        <v>130</v>
      </c>
      <c r="G35" s="1662">
        <f t="shared" si="4"/>
        <v>1.78</v>
      </c>
      <c r="H35" s="1662">
        <v>72</v>
      </c>
      <c r="I35" s="1662">
        <v>70</v>
      </c>
      <c r="J35" s="1662">
        <v>57</v>
      </c>
      <c r="K35" s="1662">
        <f t="shared" si="5"/>
        <v>127</v>
      </c>
      <c r="L35" s="1662">
        <v>71</v>
      </c>
      <c r="M35" s="1662">
        <v>69</v>
      </c>
      <c r="N35" s="1662">
        <v>57</v>
      </c>
      <c r="O35" s="1663">
        <f t="shared" si="6"/>
        <v>126</v>
      </c>
      <c r="Q35" s="1632">
        <f t="shared" si="7"/>
        <v>11</v>
      </c>
      <c r="R35" s="1632">
        <f t="shared" si="8"/>
        <v>11</v>
      </c>
      <c r="T35" s="599">
        <f t="shared" si="9"/>
        <v>138</v>
      </c>
    </row>
    <row r="36" spans="1:20">
      <c r="A36" s="1654" t="s">
        <v>1691</v>
      </c>
      <c r="B36" s="1719" t="s">
        <v>1773</v>
      </c>
      <c r="C36" s="1662">
        <v>102</v>
      </c>
      <c r="D36" s="1662">
        <v>100</v>
      </c>
      <c r="E36" s="1662">
        <v>92</v>
      </c>
      <c r="F36" s="1662">
        <f t="shared" si="3"/>
        <v>192</v>
      </c>
      <c r="G36" s="1662">
        <f t="shared" si="4"/>
        <v>1.88</v>
      </c>
      <c r="H36" s="1662">
        <v>107</v>
      </c>
      <c r="I36" s="1662">
        <v>101</v>
      </c>
      <c r="J36" s="1662">
        <v>97</v>
      </c>
      <c r="K36" s="1662">
        <f t="shared" si="5"/>
        <v>198</v>
      </c>
      <c r="L36" s="1662">
        <v>106</v>
      </c>
      <c r="M36" s="1662">
        <v>104</v>
      </c>
      <c r="N36" s="1662">
        <v>97</v>
      </c>
      <c r="O36" s="1663">
        <f t="shared" si="6"/>
        <v>201</v>
      </c>
      <c r="Q36" s="1632">
        <f t="shared" si="7"/>
        <v>17</v>
      </c>
      <c r="R36" s="1632">
        <f t="shared" si="8"/>
        <v>17</v>
      </c>
      <c r="T36" s="599">
        <f t="shared" si="9"/>
        <v>215</v>
      </c>
    </row>
    <row r="37" spans="1:20">
      <c r="A37" s="1654" t="s">
        <v>1693</v>
      </c>
      <c r="B37" s="1719" t="s">
        <v>1774</v>
      </c>
      <c r="C37" s="1662">
        <v>48</v>
      </c>
      <c r="D37" s="1662">
        <v>43</v>
      </c>
      <c r="E37" s="1662">
        <v>43</v>
      </c>
      <c r="F37" s="1662">
        <f t="shared" si="3"/>
        <v>86</v>
      </c>
      <c r="G37" s="1662">
        <f t="shared" si="4"/>
        <v>1.79</v>
      </c>
      <c r="H37" s="1662">
        <v>52</v>
      </c>
      <c r="I37" s="1662">
        <v>40</v>
      </c>
      <c r="J37" s="1662">
        <v>45</v>
      </c>
      <c r="K37" s="1662">
        <f t="shared" si="5"/>
        <v>85</v>
      </c>
      <c r="L37" s="1662">
        <v>55</v>
      </c>
      <c r="M37" s="1662">
        <v>44</v>
      </c>
      <c r="N37" s="1662">
        <v>48</v>
      </c>
      <c r="O37" s="1663">
        <f t="shared" si="6"/>
        <v>92</v>
      </c>
      <c r="Q37" s="1632">
        <f t="shared" si="7"/>
        <v>7</v>
      </c>
      <c r="R37" s="1632">
        <f t="shared" si="8"/>
        <v>8</v>
      </c>
      <c r="T37" s="599">
        <f t="shared" si="9"/>
        <v>92</v>
      </c>
    </row>
    <row r="38" spans="1:20">
      <c r="A38" s="1654" t="s">
        <v>1695</v>
      </c>
      <c r="B38" s="1719" t="s">
        <v>1775</v>
      </c>
      <c r="C38" s="1662">
        <v>89</v>
      </c>
      <c r="D38" s="1662">
        <v>88</v>
      </c>
      <c r="E38" s="1662">
        <v>90</v>
      </c>
      <c r="F38" s="1662">
        <f t="shared" si="3"/>
        <v>178</v>
      </c>
      <c r="G38" s="1662">
        <f t="shared" si="4"/>
        <v>2</v>
      </c>
      <c r="H38" s="1662">
        <v>88</v>
      </c>
      <c r="I38" s="1662">
        <v>92</v>
      </c>
      <c r="J38" s="1662">
        <v>86</v>
      </c>
      <c r="K38" s="1662">
        <f t="shared" si="5"/>
        <v>178</v>
      </c>
      <c r="L38" s="1662">
        <v>92</v>
      </c>
      <c r="M38" s="1662">
        <v>96</v>
      </c>
      <c r="N38" s="1662">
        <v>89</v>
      </c>
      <c r="O38" s="1663">
        <f t="shared" si="6"/>
        <v>185</v>
      </c>
      <c r="Q38" s="1632">
        <f t="shared" si="7"/>
        <v>16</v>
      </c>
      <c r="R38" s="1632">
        <f t="shared" si="8"/>
        <v>16</v>
      </c>
      <c r="T38" s="599">
        <f t="shared" si="9"/>
        <v>194</v>
      </c>
    </row>
    <row r="39" spans="1:20">
      <c r="A39" s="1654" t="s">
        <v>1697</v>
      </c>
      <c r="B39" s="1719" t="s">
        <v>1776</v>
      </c>
      <c r="C39" s="1662">
        <v>111</v>
      </c>
      <c r="D39" s="1662">
        <v>109</v>
      </c>
      <c r="E39" s="1662">
        <v>82</v>
      </c>
      <c r="F39" s="1662">
        <f t="shared" si="3"/>
        <v>191</v>
      </c>
      <c r="G39" s="1662">
        <f t="shared" si="4"/>
        <v>1.72</v>
      </c>
      <c r="H39" s="1662">
        <v>111</v>
      </c>
      <c r="I39" s="1662">
        <v>109</v>
      </c>
      <c r="J39" s="1662">
        <v>75</v>
      </c>
      <c r="K39" s="1662">
        <f t="shared" si="5"/>
        <v>184</v>
      </c>
      <c r="L39" s="1662">
        <v>111</v>
      </c>
      <c r="M39" s="1662">
        <v>113</v>
      </c>
      <c r="N39" s="1662">
        <v>72</v>
      </c>
      <c r="O39" s="1663">
        <f t="shared" si="6"/>
        <v>185</v>
      </c>
      <c r="Q39" s="1632">
        <f t="shared" si="7"/>
        <v>16</v>
      </c>
      <c r="R39" s="1632">
        <f t="shared" si="8"/>
        <v>16</v>
      </c>
      <c r="T39" s="599">
        <f t="shared" si="9"/>
        <v>200</v>
      </c>
    </row>
    <row r="40" spans="1:20">
      <c r="A40" s="1654" t="s">
        <v>1699</v>
      </c>
      <c r="B40" s="1719" t="s">
        <v>1777</v>
      </c>
      <c r="C40" s="1662">
        <v>64</v>
      </c>
      <c r="D40" s="1662">
        <v>82</v>
      </c>
      <c r="E40" s="1662">
        <v>61</v>
      </c>
      <c r="F40" s="1662">
        <f t="shared" si="3"/>
        <v>143</v>
      </c>
      <c r="G40" s="1662">
        <f t="shared" si="4"/>
        <v>2.23</v>
      </c>
      <c r="H40" s="1662">
        <v>66</v>
      </c>
      <c r="I40" s="1662">
        <v>78</v>
      </c>
      <c r="J40" s="1662">
        <v>57</v>
      </c>
      <c r="K40" s="1662">
        <f t="shared" si="5"/>
        <v>135</v>
      </c>
      <c r="L40" s="1662">
        <v>67</v>
      </c>
      <c r="M40" s="1662">
        <v>82</v>
      </c>
      <c r="N40" s="1662">
        <v>58</v>
      </c>
      <c r="O40" s="1663">
        <f t="shared" si="6"/>
        <v>140</v>
      </c>
      <c r="Q40" s="1632">
        <f t="shared" si="7"/>
        <v>12</v>
      </c>
      <c r="R40" s="1632">
        <f t="shared" si="8"/>
        <v>12</v>
      </c>
      <c r="T40" s="599">
        <f t="shared" si="9"/>
        <v>147</v>
      </c>
    </row>
    <row r="41" spans="1:20">
      <c r="A41" s="1654" t="s">
        <v>1702</v>
      </c>
      <c r="B41" s="1719" t="s">
        <v>1778</v>
      </c>
      <c r="C41" s="1662">
        <v>68</v>
      </c>
      <c r="D41" s="1662">
        <v>68</v>
      </c>
      <c r="E41" s="1662">
        <v>63</v>
      </c>
      <c r="F41" s="1662">
        <f t="shared" si="3"/>
        <v>131</v>
      </c>
      <c r="G41" s="1662">
        <f t="shared" si="4"/>
        <v>1.93</v>
      </c>
      <c r="H41" s="1662">
        <v>68</v>
      </c>
      <c r="I41" s="1662">
        <v>67</v>
      </c>
      <c r="J41" s="1662">
        <v>59</v>
      </c>
      <c r="K41" s="1662">
        <f t="shared" si="5"/>
        <v>126</v>
      </c>
      <c r="L41" s="1662">
        <v>67</v>
      </c>
      <c r="M41" s="1662">
        <v>66</v>
      </c>
      <c r="N41" s="1662">
        <v>57</v>
      </c>
      <c r="O41" s="1663">
        <f t="shared" si="6"/>
        <v>123</v>
      </c>
      <c r="Q41" s="1632">
        <f t="shared" si="7"/>
        <v>11</v>
      </c>
      <c r="R41" s="1632">
        <f t="shared" si="8"/>
        <v>11</v>
      </c>
      <c r="T41" s="599">
        <f t="shared" si="9"/>
        <v>137</v>
      </c>
    </row>
    <row r="42" spans="1:20">
      <c r="A42" s="1654" t="s">
        <v>1704</v>
      </c>
      <c r="B42" s="1719" t="s">
        <v>1779</v>
      </c>
      <c r="C42" s="1662">
        <v>85</v>
      </c>
      <c r="D42" s="1662">
        <v>86</v>
      </c>
      <c r="E42" s="1662">
        <v>69</v>
      </c>
      <c r="F42" s="1662">
        <f t="shared" si="3"/>
        <v>155</v>
      </c>
      <c r="G42" s="1662">
        <f t="shared" si="4"/>
        <v>1.82</v>
      </c>
      <c r="H42" s="1662">
        <v>81</v>
      </c>
      <c r="I42" s="1662">
        <v>85</v>
      </c>
      <c r="J42" s="1662">
        <v>66</v>
      </c>
      <c r="K42" s="1662">
        <f t="shared" si="5"/>
        <v>151</v>
      </c>
      <c r="L42" s="1662">
        <v>81</v>
      </c>
      <c r="M42" s="1662">
        <v>82</v>
      </c>
      <c r="N42" s="1662">
        <v>64</v>
      </c>
      <c r="O42" s="1663">
        <f t="shared" si="6"/>
        <v>146</v>
      </c>
      <c r="Q42" s="1632">
        <f t="shared" si="7"/>
        <v>13</v>
      </c>
      <c r="R42" s="1632">
        <f t="shared" si="8"/>
        <v>13</v>
      </c>
      <c r="T42" s="599">
        <f t="shared" si="9"/>
        <v>164</v>
      </c>
    </row>
    <row r="43" spans="1:20">
      <c r="A43" s="1654" t="s">
        <v>1706</v>
      </c>
      <c r="B43" s="1719" t="s">
        <v>1780</v>
      </c>
      <c r="C43" s="1662">
        <v>75</v>
      </c>
      <c r="D43" s="1662">
        <v>83</v>
      </c>
      <c r="E43" s="1662">
        <v>68</v>
      </c>
      <c r="F43" s="1662">
        <f t="shared" si="3"/>
        <v>151</v>
      </c>
      <c r="G43" s="1662">
        <f t="shared" si="4"/>
        <v>2.0099999999999998</v>
      </c>
      <c r="H43" s="1662">
        <v>82</v>
      </c>
      <c r="I43" s="1662">
        <v>74</v>
      </c>
      <c r="J43" s="1662">
        <v>67</v>
      </c>
      <c r="K43" s="1662">
        <f t="shared" si="5"/>
        <v>141</v>
      </c>
      <c r="L43" s="1662">
        <v>84</v>
      </c>
      <c r="M43" s="1662">
        <v>77</v>
      </c>
      <c r="N43" s="1662">
        <v>68</v>
      </c>
      <c r="O43" s="1663">
        <f t="shared" si="6"/>
        <v>145</v>
      </c>
      <c r="Q43" s="1632">
        <f t="shared" si="7"/>
        <v>12</v>
      </c>
      <c r="R43" s="1632">
        <f t="shared" si="8"/>
        <v>13</v>
      </c>
      <c r="T43" s="599">
        <f t="shared" si="9"/>
        <v>153</v>
      </c>
    </row>
    <row r="44" spans="1:20">
      <c r="A44" s="1659" t="s">
        <v>1708</v>
      </c>
      <c r="B44" s="1718" t="s">
        <v>1781</v>
      </c>
      <c r="C44" s="1660">
        <v>166</v>
      </c>
      <c r="D44" s="1660">
        <v>211</v>
      </c>
      <c r="E44" s="1660">
        <v>197</v>
      </c>
      <c r="F44" s="1660">
        <f t="shared" si="3"/>
        <v>408</v>
      </c>
      <c r="G44" s="1660">
        <f t="shared" si="4"/>
        <v>2.46</v>
      </c>
      <c r="H44" s="1660">
        <v>167</v>
      </c>
      <c r="I44" s="1660">
        <v>207</v>
      </c>
      <c r="J44" s="1660">
        <v>194</v>
      </c>
      <c r="K44" s="1660">
        <f t="shared" si="5"/>
        <v>401</v>
      </c>
      <c r="L44" s="1660">
        <v>165</v>
      </c>
      <c r="M44" s="1660">
        <v>211</v>
      </c>
      <c r="N44" s="1660">
        <v>193</v>
      </c>
      <c r="O44" s="1661">
        <f t="shared" si="6"/>
        <v>404</v>
      </c>
      <c r="P44" s="1632"/>
      <c r="Q44" s="1632">
        <f t="shared" si="7"/>
        <v>35</v>
      </c>
      <c r="R44" s="1632">
        <f t="shared" si="8"/>
        <v>35</v>
      </c>
      <c r="T44" s="599">
        <f t="shared" si="9"/>
        <v>436</v>
      </c>
    </row>
    <row r="45" spans="1:20">
      <c r="A45" s="1654" t="s">
        <v>1710</v>
      </c>
      <c r="B45" s="1719" t="s">
        <v>1782</v>
      </c>
      <c r="C45" s="1662">
        <v>143</v>
      </c>
      <c r="D45" s="1662">
        <v>152</v>
      </c>
      <c r="E45" s="1662">
        <v>118</v>
      </c>
      <c r="F45" s="1662">
        <f t="shared" si="3"/>
        <v>270</v>
      </c>
      <c r="G45" s="1662">
        <f t="shared" si="4"/>
        <v>1.89</v>
      </c>
      <c r="H45" s="1662">
        <v>136</v>
      </c>
      <c r="I45" s="1662">
        <v>147</v>
      </c>
      <c r="J45" s="1662">
        <v>106</v>
      </c>
      <c r="K45" s="1662">
        <f t="shared" si="5"/>
        <v>253</v>
      </c>
      <c r="L45" s="1662">
        <v>132</v>
      </c>
      <c r="M45" s="1662">
        <v>144</v>
      </c>
      <c r="N45" s="1662">
        <v>103</v>
      </c>
      <c r="O45" s="1663">
        <f t="shared" si="6"/>
        <v>247</v>
      </c>
      <c r="Q45" s="1632">
        <f t="shared" si="7"/>
        <v>22</v>
      </c>
      <c r="R45" s="1632">
        <f t="shared" si="8"/>
        <v>21</v>
      </c>
      <c r="T45" s="599">
        <f t="shared" si="9"/>
        <v>275</v>
      </c>
    </row>
    <row r="46" spans="1:20">
      <c r="A46" s="1659" t="s">
        <v>1712</v>
      </c>
      <c r="B46" s="1718" t="s">
        <v>1783</v>
      </c>
      <c r="C46" s="1660">
        <v>139</v>
      </c>
      <c r="D46" s="1660">
        <v>185</v>
      </c>
      <c r="E46" s="1660">
        <v>179</v>
      </c>
      <c r="F46" s="1660">
        <f t="shared" si="3"/>
        <v>364</v>
      </c>
      <c r="G46" s="1660">
        <f t="shared" si="4"/>
        <v>2.62</v>
      </c>
      <c r="H46" s="1660">
        <v>144</v>
      </c>
      <c r="I46" s="1660">
        <v>185</v>
      </c>
      <c r="J46" s="1660">
        <v>178</v>
      </c>
      <c r="K46" s="1660">
        <f t="shared" si="5"/>
        <v>363</v>
      </c>
      <c r="L46" s="1660">
        <v>143</v>
      </c>
      <c r="M46" s="1660">
        <v>180</v>
      </c>
      <c r="N46" s="1660">
        <v>175</v>
      </c>
      <c r="O46" s="1661">
        <f t="shared" si="6"/>
        <v>355</v>
      </c>
      <c r="P46" s="1632"/>
      <c r="Q46" s="1632">
        <f t="shared" si="7"/>
        <v>32</v>
      </c>
      <c r="R46" s="1632">
        <f t="shared" si="8"/>
        <v>31</v>
      </c>
      <c r="T46" s="599">
        <f t="shared" si="9"/>
        <v>395</v>
      </c>
    </row>
    <row r="47" spans="1:20">
      <c r="A47" s="1659" t="s">
        <v>1714</v>
      </c>
      <c r="B47" s="1718" t="s">
        <v>1784</v>
      </c>
      <c r="C47" s="1660">
        <v>690</v>
      </c>
      <c r="D47" s="1660">
        <v>925</v>
      </c>
      <c r="E47" s="1660">
        <v>892</v>
      </c>
      <c r="F47" s="1660">
        <f t="shared" si="3"/>
        <v>1817</v>
      </c>
      <c r="G47" s="1660">
        <f t="shared" si="4"/>
        <v>2.63</v>
      </c>
      <c r="H47" s="1660">
        <v>683</v>
      </c>
      <c r="I47" s="1660">
        <v>894</v>
      </c>
      <c r="J47" s="1660">
        <v>885</v>
      </c>
      <c r="K47" s="1660">
        <f t="shared" si="5"/>
        <v>1779</v>
      </c>
      <c r="L47" s="1660">
        <v>671</v>
      </c>
      <c r="M47" s="1660">
        <v>890</v>
      </c>
      <c r="N47" s="1660">
        <v>888</v>
      </c>
      <c r="O47" s="1661">
        <f t="shared" si="6"/>
        <v>1778</v>
      </c>
      <c r="P47" s="1632"/>
      <c r="Q47" s="1632">
        <f>ROUND(K47/$K$4*$Q$4,0)+1</f>
        <v>157</v>
      </c>
      <c r="R47" s="1632">
        <f t="shared" si="8"/>
        <v>154</v>
      </c>
      <c r="T47" s="599">
        <f t="shared" si="9"/>
        <v>1936</v>
      </c>
    </row>
    <row r="48" spans="1:20">
      <c r="A48" s="1659" t="s">
        <v>1716</v>
      </c>
      <c r="B48" s="1718" t="s">
        <v>1785</v>
      </c>
      <c r="C48" s="1660">
        <v>450</v>
      </c>
      <c r="D48" s="1660">
        <v>499</v>
      </c>
      <c r="E48" s="1660">
        <v>469</v>
      </c>
      <c r="F48" s="1660">
        <f t="shared" si="3"/>
        <v>968</v>
      </c>
      <c r="G48" s="1660">
        <f t="shared" si="4"/>
        <v>2.15</v>
      </c>
      <c r="H48" s="1660">
        <v>444</v>
      </c>
      <c r="I48" s="1660">
        <v>486</v>
      </c>
      <c r="J48" s="1660">
        <v>465</v>
      </c>
      <c r="K48" s="1660">
        <f t="shared" si="5"/>
        <v>951</v>
      </c>
      <c r="L48" s="1660">
        <v>441</v>
      </c>
      <c r="M48" s="1660">
        <v>490</v>
      </c>
      <c r="N48" s="1660">
        <v>466</v>
      </c>
      <c r="O48" s="1661">
        <f t="shared" si="6"/>
        <v>956</v>
      </c>
      <c r="P48" s="1632"/>
      <c r="Q48" s="1632">
        <f t="shared" si="7"/>
        <v>83</v>
      </c>
      <c r="R48" s="1632">
        <f t="shared" si="8"/>
        <v>83</v>
      </c>
      <c r="T48" s="599">
        <f t="shared" si="9"/>
        <v>1034</v>
      </c>
    </row>
    <row r="49" spans="1:20">
      <c r="A49" s="1659" t="s">
        <v>1718</v>
      </c>
      <c r="B49" s="1718" t="s">
        <v>1786</v>
      </c>
      <c r="C49" s="1660">
        <v>341</v>
      </c>
      <c r="D49" s="1660">
        <v>412</v>
      </c>
      <c r="E49" s="1660">
        <v>408</v>
      </c>
      <c r="F49" s="1660">
        <f t="shared" si="3"/>
        <v>820</v>
      </c>
      <c r="G49" s="1660">
        <f t="shared" si="4"/>
        <v>2.4</v>
      </c>
      <c r="H49" s="1660">
        <v>315</v>
      </c>
      <c r="I49" s="1660">
        <v>383</v>
      </c>
      <c r="J49" s="1660">
        <v>380</v>
      </c>
      <c r="K49" s="1660">
        <f t="shared" si="5"/>
        <v>763</v>
      </c>
      <c r="L49" s="1660">
        <v>314</v>
      </c>
      <c r="M49" s="1660">
        <v>385</v>
      </c>
      <c r="N49" s="1660">
        <v>373</v>
      </c>
      <c r="O49" s="1661">
        <f t="shared" si="6"/>
        <v>758</v>
      </c>
      <c r="P49" s="1632" t="s">
        <v>1864</v>
      </c>
      <c r="Q49" s="1632">
        <f t="shared" si="7"/>
        <v>67</v>
      </c>
      <c r="R49" s="1632">
        <f t="shared" si="8"/>
        <v>66</v>
      </c>
      <c r="T49" s="599">
        <f t="shared" si="9"/>
        <v>830</v>
      </c>
    </row>
    <row r="50" spans="1:20">
      <c r="A50" s="1654" t="s">
        <v>1721</v>
      </c>
      <c r="B50" s="1719" t="s">
        <v>1787</v>
      </c>
      <c r="C50" s="1662">
        <v>39</v>
      </c>
      <c r="D50" s="1662">
        <v>51</v>
      </c>
      <c r="E50" s="1662">
        <v>40</v>
      </c>
      <c r="F50" s="1662">
        <f t="shared" si="3"/>
        <v>91</v>
      </c>
      <c r="G50" s="1662">
        <f t="shared" si="4"/>
        <v>2.33</v>
      </c>
      <c r="H50" s="1662">
        <v>36</v>
      </c>
      <c r="I50" s="1662">
        <v>42</v>
      </c>
      <c r="J50" s="1662">
        <v>46</v>
      </c>
      <c r="K50" s="1662">
        <f t="shared" si="5"/>
        <v>88</v>
      </c>
      <c r="L50" s="1662">
        <v>38</v>
      </c>
      <c r="M50" s="1662">
        <v>48</v>
      </c>
      <c r="N50" s="1662">
        <v>46</v>
      </c>
      <c r="O50" s="1663">
        <f t="shared" si="6"/>
        <v>94</v>
      </c>
      <c r="Q50" s="1632">
        <f t="shared" si="7"/>
        <v>8</v>
      </c>
      <c r="R50" s="1632">
        <f t="shared" si="8"/>
        <v>8</v>
      </c>
      <c r="T50" s="599">
        <f t="shared" si="9"/>
        <v>96</v>
      </c>
    </row>
    <row r="51" spans="1:20">
      <c r="A51" s="1721" t="s">
        <v>1723</v>
      </c>
      <c r="B51" s="1722" t="s">
        <v>1788</v>
      </c>
      <c r="C51" s="1723">
        <v>152</v>
      </c>
      <c r="D51" s="1723">
        <v>127</v>
      </c>
      <c r="E51" s="1723">
        <v>68</v>
      </c>
      <c r="F51" s="1723">
        <f t="shared" si="3"/>
        <v>195</v>
      </c>
      <c r="G51" s="1723">
        <f t="shared" si="4"/>
        <v>1.28</v>
      </c>
      <c r="H51" s="1723">
        <v>132</v>
      </c>
      <c r="I51" s="1723">
        <v>110</v>
      </c>
      <c r="J51" s="1723">
        <v>72</v>
      </c>
      <c r="K51" s="1723">
        <f t="shared" si="5"/>
        <v>182</v>
      </c>
      <c r="L51" s="1723">
        <v>139</v>
      </c>
      <c r="M51" s="1723">
        <v>111</v>
      </c>
      <c r="N51" s="1723">
        <v>70</v>
      </c>
      <c r="O51" s="1724">
        <f t="shared" si="6"/>
        <v>181</v>
      </c>
      <c r="P51" s="1637"/>
      <c r="Q51" s="1632">
        <f t="shared" si="7"/>
        <v>16</v>
      </c>
      <c r="R51" s="1632">
        <f t="shared" si="8"/>
        <v>16</v>
      </c>
      <c r="T51" s="599">
        <f t="shared" si="9"/>
        <v>198</v>
      </c>
    </row>
    <row r="52" spans="1:20">
      <c r="A52" s="1659" t="s">
        <v>1725</v>
      </c>
      <c r="B52" s="1718" t="s">
        <v>1789</v>
      </c>
      <c r="C52" s="1660">
        <v>353</v>
      </c>
      <c r="D52" s="1660">
        <v>564</v>
      </c>
      <c r="E52" s="1660">
        <v>565</v>
      </c>
      <c r="F52" s="1660">
        <f t="shared" si="3"/>
        <v>1129</v>
      </c>
      <c r="G52" s="1660">
        <f t="shared" si="4"/>
        <v>3.2</v>
      </c>
      <c r="H52" s="1660">
        <v>346</v>
      </c>
      <c r="I52" s="1660">
        <v>574</v>
      </c>
      <c r="J52" s="1660">
        <v>549</v>
      </c>
      <c r="K52" s="1660">
        <f t="shared" si="5"/>
        <v>1123</v>
      </c>
      <c r="L52" s="1660">
        <v>345</v>
      </c>
      <c r="M52" s="1660">
        <v>575</v>
      </c>
      <c r="N52" s="1660">
        <v>550</v>
      </c>
      <c r="O52" s="1661">
        <f t="shared" si="6"/>
        <v>1125</v>
      </c>
      <c r="P52" s="1632"/>
      <c r="Q52" s="1632">
        <f t="shared" si="7"/>
        <v>99</v>
      </c>
      <c r="R52" s="1632">
        <f t="shared" si="8"/>
        <v>97</v>
      </c>
      <c r="T52" s="599">
        <f t="shared" si="9"/>
        <v>1222</v>
      </c>
    </row>
    <row r="53" spans="1:20">
      <c r="A53" s="1659" t="s">
        <v>1727</v>
      </c>
      <c r="B53" s="1718" t="s">
        <v>1790</v>
      </c>
      <c r="C53" s="1660">
        <v>279</v>
      </c>
      <c r="D53" s="1660">
        <v>406</v>
      </c>
      <c r="E53" s="1660">
        <v>361</v>
      </c>
      <c r="F53" s="1660">
        <f t="shared" si="3"/>
        <v>767</v>
      </c>
      <c r="G53" s="1660">
        <f t="shared" si="4"/>
        <v>2.75</v>
      </c>
      <c r="H53" s="1660">
        <v>275</v>
      </c>
      <c r="I53" s="1660">
        <v>395</v>
      </c>
      <c r="J53" s="1660">
        <v>360</v>
      </c>
      <c r="K53" s="1660">
        <f t="shared" si="5"/>
        <v>755</v>
      </c>
      <c r="L53" s="1660">
        <v>272</v>
      </c>
      <c r="M53" s="1660">
        <v>389</v>
      </c>
      <c r="N53" s="1660">
        <v>360</v>
      </c>
      <c r="O53" s="1661">
        <f t="shared" si="6"/>
        <v>749</v>
      </c>
      <c r="P53" s="1632"/>
      <c r="Q53" s="1632">
        <f t="shared" si="7"/>
        <v>66</v>
      </c>
      <c r="R53" s="1632">
        <f t="shared" si="8"/>
        <v>65</v>
      </c>
      <c r="T53" s="599">
        <f t="shared" si="9"/>
        <v>821</v>
      </c>
    </row>
    <row r="54" spans="1:20">
      <c r="A54" s="1659" t="s">
        <v>1729</v>
      </c>
      <c r="B54" s="1718" t="s">
        <v>1791</v>
      </c>
      <c r="C54" s="1660">
        <v>762</v>
      </c>
      <c r="D54" s="1660">
        <v>996</v>
      </c>
      <c r="E54" s="1720">
        <v>1023</v>
      </c>
      <c r="F54" s="1720">
        <f t="shared" si="3"/>
        <v>2019</v>
      </c>
      <c r="G54" s="1720">
        <f t="shared" si="4"/>
        <v>2.65</v>
      </c>
      <c r="H54" s="1660">
        <v>758</v>
      </c>
      <c r="I54" s="1660">
        <v>973</v>
      </c>
      <c r="J54" s="1720">
        <v>1015</v>
      </c>
      <c r="K54" s="1720">
        <f t="shared" si="5"/>
        <v>1988</v>
      </c>
      <c r="L54" s="1660">
        <v>757</v>
      </c>
      <c r="M54" s="1660">
        <v>969</v>
      </c>
      <c r="N54" s="1720">
        <v>1010</v>
      </c>
      <c r="O54" s="1725">
        <f t="shared" si="6"/>
        <v>1979</v>
      </c>
      <c r="P54" s="1632"/>
      <c r="Q54" s="1632">
        <f>ROUND(K54/$K$4*$Q$4,0)+1</f>
        <v>175</v>
      </c>
      <c r="R54" s="1632">
        <f t="shared" si="8"/>
        <v>171</v>
      </c>
      <c r="T54" s="599">
        <f t="shared" si="9"/>
        <v>2163</v>
      </c>
    </row>
    <row r="55" spans="1:20">
      <c r="A55" s="1659" t="s">
        <v>1731</v>
      </c>
      <c r="B55" s="1718" t="s">
        <v>1792</v>
      </c>
      <c r="C55" s="1660">
        <v>344</v>
      </c>
      <c r="D55" s="1660">
        <v>592</v>
      </c>
      <c r="E55" s="1660">
        <v>554</v>
      </c>
      <c r="F55" s="1660">
        <f t="shared" si="3"/>
        <v>1146</v>
      </c>
      <c r="G55" s="1660">
        <f t="shared" si="4"/>
        <v>3.33</v>
      </c>
      <c r="H55" s="1660">
        <v>354</v>
      </c>
      <c r="I55" s="1660">
        <v>581</v>
      </c>
      <c r="J55" s="1660">
        <v>556</v>
      </c>
      <c r="K55" s="1660">
        <f t="shared" si="5"/>
        <v>1137</v>
      </c>
      <c r="L55" s="1660">
        <v>354</v>
      </c>
      <c r="M55" s="1660">
        <v>584</v>
      </c>
      <c r="N55" s="1660">
        <v>550</v>
      </c>
      <c r="O55" s="1661">
        <f t="shared" si="6"/>
        <v>1134</v>
      </c>
      <c r="P55" s="1632"/>
      <c r="Q55" s="1632">
        <f t="shared" si="7"/>
        <v>100</v>
      </c>
      <c r="R55" s="1632">
        <f t="shared" si="8"/>
        <v>98</v>
      </c>
      <c r="T55" s="599">
        <f t="shared" si="9"/>
        <v>1237</v>
      </c>
    </row>
    <row r="56" spans="1:20">
      <c r="A56" s="1726" t="s">
        <v>1793</v>
      </c>
      <c r="B56" s="1727" t="s">
        <v>1794</v>
      </c>
      <c r="C56" s="1728">
        <v>0</v>
      </c>
      <c r="D56" s="1728">
        <v>0</v>
      </c>
      <c r="E56" s="1728">
        <v>0</v>
      </c>
      <c r="F56" s="1728">
        <f t="shared" si="3"/>
        <v>0</v>
      </c>
      <c r="G56" s="1728" t="e">
        <f t="shared" si="4"/>
        <v>#DIV/0!</v>
      </c>
      <c r="H56" s="1728">
        <v>771</v>
      </c>
      <c r="I56" s="1728">
        <v>713</v>
      </c>
      <c r="J56" s="1728">
        <v>757</v>
      </c>
      <c r="K56" s="1728">
        <f t="shared" si="5"/>
        <v>1470</v>
      </c>
      <c r="L56" s="1728">
        <v>774</v>
      </c>
      <c r="M56" s="1728">
        <v>725</v>
      </c>
      <c r="N56" s="1728">
        <v>755</v>
      </c>
      <c r="O56" s="1729">
        <f t="shared" si="6"/>
        <v>1480</v>
      </c>
      <c r="P56" s="1632"/>
      <c r="Q56" s="1632">
        <f t="shared" si="7"/>
        <v>129</v>
      </c>
      <c r="R56" s="1632">
        <f t="shared" si="8"/>
        <v>128</v>
      </c>
      <c r="T56" s="599">
        <f t="shared" si="9"/>
        <v>1599</v>
      </c>
    </row>
  </sheetData>
  <mergeCells count="6">
    <mergeCell ref="A4:B4"/>
    <mergeCell ref="A1:N1"/>
    <mergeCell ref="A2:B2"/>
    <mergeCell ref="C2:G2"/>
    <mergeCell ref="H2:K2"/>
    <mergeCell ref="L2:O2"/>
  </mergeCells>
  <phoneticPr fontId="3" type="noConversion"/>
  <printOptions horizontalCentered="1"/>
  <pageMargins left="0.19685039370078741" right="0.19685039370078741" top="0.74803149606299213" bottom="0.74803149606299213" header="0.31496062992125984" footer="0.31496062992125984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9"/>
  <sheetViews>
    <sheetView topLeftCell="A16" workbookViewId="0">
      <selection activeCell="R4" sqref="R4:R29"/>
    </sheetView>
  </sheetViews>
  <sheetFormatPr defaultRowHeight="16.5"/>
  <cols>
    <col min="1" max="1" width="11.5" style="599" customWidth="1"/>
    <col min="2" max="2" width="10.5" style="949" customWidth="1"/>
    <col min="3" max="3" width="7.75" style="599" hidden="1" customWidth="1"/>
    <col min="4" max="4" width="7.625" style="599" hidden="1" customWidth="1"/>
    <col min="5" max="7" width="8" style="599" hidden="1" customWidth="1"/>
    <col min="8" max="9" width="8.125" style="599" customWidth="1"/>
    <col min="10" max="12" width="7.875" style="599" customWidth="1"/>
    <col min="13" max="13" width="7.5" style="599" customWidth="1"/>
    <col min="14" max="14" width="8" style="599" customWidth="1"/>
    <col min="15" max="16384" width="9" style="599"/>
  </cols>
  <sheetData>
    <row r="1" spans="1:19" ht="41.25" customHeight="1">
      <c r="A1" s="2866" t="s">
        <v>1862</v>
      </c>
      <c r="B1" s="2867"/>
      <c r="C1" s="2868" t="s">
        <v>1859</v>
      </c>
      <c r="D1" s="2869"/>
      <c r="E1" s="2869"/>
      <c r="F1" s="2869"/>
      <c r="G1" s="2870"/>
      <c r="H1" s="2868" t="s">
        <v>1860</v>
      </c>
      <c r="I1" s="2869"/>
      <c r="J1" s="2869"/>
      <c r="K1" s="2870"/>
      <c r="L1" s="2871" t="s">
        <v>1861</v>
      </c>
      <c r="M1" s="2872"/>
      <c r="N1" s="2872"/>
      <c r="O1" s="2873"/>
    </row>
    <row r="2" spans="1:19" ht="24.75" customHeight="1">
      <c r="A2" s="1685" t="s">
        <v>1738</v>
      </c>
      <c r="B2" s="1685" t="s">
        <v>1868</v>
      </c>
      <c r="C2" s="1686" t="s">
        <v>1621</v>
      </c>
      <c r="D2" s="1686" t="s">
        <v>1622</v>
      </c>
      <c r="E2" s="1686" t="s">
        <v>1623</v>
      </c>
      <c r="F2" s="1621" t="s">
        <v>1740</v>
      </c>
      <c r="G2" s="1621" t="s">
        <v>1741</v>
      </c>
      <c r="H2" s="1686" t="s">
        <v>1621</v>
      </c>
      <c r="I2" s="1686" t="s">
        <v>1622</v>
      </c>
      <c r="J2" s="1686" t="s">
        <v>1623</v>
      </c>
      <c r="K2" s="1621" t="s">
        <v>1740</v>
      </c>
      <c r="L2" s="1687" t="s">
        <v>1621</v>
      </c>
      <c r="M2" s="1687" t="s">
        <v>1622</v>
      </c>
      <c r="N2" s="1687" t="s">
        <v>1623</v>
      </c>
      <c r="O2" s="1688" t="s">
        <v>1740</v>
      </c>
    </row>
    <row r="3" spans="1:19" ht="22.5" customHeight="1">
      <c r="A3" s="2874" t="s">
        <v>1626</v>
      </c>
      <c r="B3" s="2875"/>
      <c r="C3" s="1612">
        <f t="shared" ref="C3:N3" si="0">SUM(C4:C29)</f>
        <v>1583</v>
      </c>
      <c r="D3" s="1612">
        <f t="shared" si="0"/>
        <v>1607</v>
      </c>
      <c r="E3" s="1612">
        <f t="shared" si="0"/>
        <v>1500</v>
      </c>
      <c r="F3" s="1623">
        <f>SUM(D3:E3)</f>
        <v>3107</v>
      </c>
      <c r="G3" s="1624">
        <f>ROUND(F3/C3,2)</f>
        <v>1.96</v>
      </c>
      <c r="H3" s="1612">
        <f t="shared" si="0"/>
        <v>1627</v>
      </c>
      <c r="I3" s="1612">
        <f t="shared" si="0"/>
        <v>1608</v>
      </c>
      <c r="J3" s="1612">
        <f t="shared" si="0"/>
        <v>1505</v>
      </c>
      <c r="K3" s="1623">
        <f>SUM(I3:J3)</f>
        <v>3113</v>
      </c>
      <c r="L3" s="1612">
        <f t="shared" si="0"/>
        <v>1627</v>
      </c>
      <c r="M3" s="1612">
        <f t="shared" si="0"/>
        <v>1624</v>
      </c>
      <c r="N3" s="1612">
        <f t="shared" si="0"/>
        <v>1502</v>
      </c>
      <c r="O3" s="1623">
        <f>SUM(M3:N3)</f>
        <v>3126</v>
      </c>
      <c r="Q3" s="599">
        <v>127</v>
      </c>
      <c r="R3" s="1614">
        <f>K3+Q3</f>
        <v>3240</v>
      </c>
      <c r="S3" s="599">
        <v>121</v>
      </c>
    </row>
    <row r="4" spans="1:19">
      <c r="A4" s="1616" t="s">
        <v>1869</v>
      </c>
      <c r="B4" s="1616" t="s">
        <v>1870</v>
      </c>
      <c r="C4" s="97">
        <v>169</v>
      </c>
      <c r="D4" s="97">
        <v>152</v>
      </c>
      <c r="E4" s="97">
        <v>148</v>
      </c>
      <c r="F4" s="97">
        <f t="shared" ref="F4:F29" si="1">SUM(D4:E4)</f>
        <v>300</v>
      </c>
      <c r="G4" s="97">
        <f t="shared" ref="G4:G29" si="2">ROUND(F4/C4,2)</f>
        <v>1.78</v>
      </c>
      <c r="H4" s="97">
        <v>170</v>
      </c>
      <c r="I4" s="97">
        <v>155</v>
      </c>
      <c r="J4" s="97">
        <v>142</v>
      </c>
      <c r="K4" s="1623">
        <f t="shared" ref="K4:K29" si="3">SUM(I4:J4)</f>
        <v>297</v>
      </c>
      <c r="L4" s="97">
        <v>174</v>
      </c>
      <c r="M4" s="97">
        <v>159</v>
      </c>
      <c r="N4" s="97">
        <v>142</v>
      </c>
      <c r="O4" s="1623">
        <f t="shared" ref="O4:O29" si="4">SUM(M4:N4)</f>
        <v>301</v>
      </c>
      <c r="P4" s="599" t="s">
        <v>2099</v>
      </c>
      <c r="Q4" s="599">
        <f>ROUND(K4/$K$3*$Q$3,0)-1</f>
        <v>11</v>
      </c>
      <c r="R4" s="1614">
        <f t="shared" ref="R4:R29" si="5">K4+Q4</f>
        <v>308</v>
      </c>
      <c r="S4" s="599">
        <f>ROUND(O4/$O$3*$S$3,0)</f>
        <v>12</v>
      </c>
    </row>
    <row r="5" spans="1:19">
      <c r="A5" s="1616" t="s">
        <v>1629</v>
      </c>
      <c r="B5" s="1616" t="s">
        <v>1871</v>
      </c>
      <c r="C5" s="97">
        <v>20</v>
      </c>
      <c r="D5" s="97">
        <v>15</v>
      </c>
      <c r="E5" s="97">
        <v>17</v>
      </c>
      <c r="F5" s="97">
        <f t="shared" si="1"/>
        <v>32</v>
      </c>
      <c r="G5" s="97">
        <f t="shared" si="2"/>
        <v>1.6</v>
      </c>
      <c r="H5" s="97">
        <v>24</v>
      </c>
      <c r="I5" s="97">
        <v>20</v>
      </c>
      <c r="J5" s="97">
        <v>21</v>
      </c>
      <c r="K5" s="1623">
        <f t="shared" si="3"/>
        <v>41</v>
      </c>
      <c r="L5" s="97">
        <v>23</v>
      </c>
      <c r="M5" s="97">
        <v>20</v>
      </c>
      <c r="N5" s="97">
        <v>19</v>
      </c>
      <c r="O5" s="1623">
        <f t="shared" si="4"/>
        <v>39</v>
      </c>
      <c r="Q5" s="599">
        <f t="shared" ref="Q5:Q29" si="6">ROUND(K5/$K$3*$Q$3,0)</f>
        <v>2</v>
      </c>
      <c r="R5" s="1614">
        <f t="shared" si="5"/>
        <v>43</v>
      </c>
      <c r="S5" s="599">
        <f t="shared" ref="S5:S29" si="7">ROUND(O5/$O$3*$S$3,0)</f>
        <v>2</v>
      </c>
    </row>
    <row r="6" spans="1:19">
      <c r="A6" s="1616" t="s">
        <v>1632</v>
      </c>
      <c r="B6" s="1616" t="s">
        <v>1872</v>
      </c>
      <c r="C6" s="97">
        <v>76</v>
      </c>
      <c r="D6" s="97">
        <v>81</v>
      </c>
      <c r="E6" s="97">
        <v>74</v>
      </c>
      <c r="F6" s="97">
        <f t="shared" si="1"/>
        <v>155</v>
      </c>
      <c r="G6" s="97">
        <f t="shared" si="2"/>
        <v>2.04</v>
      </c>
      <c r="H6" s="97">
        <v>75</v>
      </c>
      <c r="I6" s="97">
        <v>83</v>
      </c>
      <c r="J6" s="97">
        <v>69</v>
      </c>
      <c r="K6" s="1623">
        <f t="shared" si="3"/>
        <v>152</v>
      </c>
      <c r="L6" s="97">
        <v>74</v>
      </c>
      <c r="M6" s="97">
        <v>81</v>
      </c>
      <c r="N6" s="97">
        <v>68</v>
      </c>
      <c r="O6" s="1623">
        <f t="shared" si="4"/>
        <v>149</v>
      </c>
      <c r="P6" s="599" t="s">
        <v>2100</v>
      </c>
      <c r="Q6" s="599">
        <f t="shared" si="6"/>
        <v>6</v>
      </c>
      <c r="R6" s="1614">
        <f t="shared" si="5"/>
        <v>158</v>
      </c>
      <c r="S6" s="599">
        <f t="shared" si="7"/>
        <v>6</v>
      </c>
    </row>
    <row r="7" spans="1:19">
      <c r="A7" s="1616" t="s">
        <v>1634</v>
      </c>
      <c r="B7" s="1616" t="s">
        <v>1873</v>
      </c>
      <c r="C7" s="97">
        <v>56</v>
      </c>
      <c r="D7" s="97">
        <v>55</v>
      </c>
      <c r="E7" s="97">
        <v>60</v>
      </c>
      <c r="F7" s="97">
        <f t="shared" si="1"/>
        <v>115</v>
      </c>
      <c r="G7" s="97">
        <f t="shared" si="2"/>
        <v>2.0499999999999998</v>
      </c>
      <c r="H7" s="97">
        <v>57</v>
      </c>
      <c r="I7" s="97">
        <v>51</v>
      </c>
      <c r="J7" s="97">
        <v>52</v>
      </c>
      <c r="K7" s="1623">
        <f t="shared" si="3"/>
        <v>103</v>
      </c>
      <c r="L7" s="97">
        <v>56</v>
      </c>
      <c r="M7" s="97">
        <v>49</v>
      </c>
      <c r="N7" s="97">
        <v>54</v>
      </c>
      <c r="O7" s="1623">
        <f t="shared" si="4"/>
        <v>103</v>
      </c>
      <c r="Q7" s="599">
        <f t="shared" si="6"/>
        <v>4</v>
      </c>
      <c r="R7" s="1614">
        <f t="shared" si="5"/>
        <v>107</v>
      </c>
      <c r="S7" s="599">
        <f t="shared" si="7"/>
        <v>4</v>
      </c>
    </row>
    <row r="8" spans="1:19">
      <c r="A8" s="1616" t="s">
        <v>1636</v>
      </c>
      <c r="B8" s="1616" t="s">
        <v>1874</v>
      </c>
      <c r="C8" s="97">
        <v>47</v>
      </c>
      <c r="D8" s="97">
        <v>58</v>
      </c>
      <c r="E8" s="97">
        <v>50</v>
      </c>
      <c r="F8" s="97">
        <f t="shared" si="1"/>
        <v>108</v>
      </c>
      <c r="G8" s="97">
        <f t="shared" si="2"/>
        <v>2.2999999999999998</v>
      </c>
      <c r="H8" s="97">
        <v>49</v>
      </c>
      <c r="I8" s="97">
        <v>57</v>
      </c>
      <c r="J8" s="97">
        <v>49</v>
      </c>
      <c r="K8" s="1623">
        <f t="shared" si="3"/>
        <v>106</v>
      </c>
      <c r="L8" s="97">
        <v>48</v>
      </c>
      <c r="M8" s="97">
        <v>55</v>
      </c>
      <c r="N8" s="97">
        <v>49</v>
      </c>
      <c r="O8" s="1623">
        <f t="shared" si="4"/>
        <v>104</v>
      </c>
      <c r="Q8" s="599">
        <f t="shared" si="6"/>
        <v>4</v>
      </c>
      <c r="R8" s="1614">
        <f t="shared" si="5"/>
        <v>110</v>
      </c>
      <c r="S8" s="599">
        <f t="shared" si="7"/>
        <v>4</v>
      </c>
    </row>
    <row r="9" spans="1:19">
      <c r="A9" s="1616" t="s">
        <v>1638</v>
      </c>
      <c r="B9" s="1616" t="s">
        <v>1875</v>
      </c>
      <c r="C9" s="97">
        <v>61</v>
      </c>
      <c r="D9" s="97">
        <v>61</v>
      </c>
      <c r="E9" s="97">
        <v>65</v>
      </c>
      <c r="F9" s="97">
        <f t="shared" si="1"/>
        <v>126</v>
      </c>
      <c r="G9" s="97">
        <f t="shared" si="2"/>
        <v>2.0699999999999998</v>
      </c>
      <c r="H9" s="97">
        <v>63</v>
      </c>
      <c r="I9" s="97">
        <v>60</v>
      </c>
      <c r="J9" s="97">
        <v>64</v>
      </c>
      <c r="K9" s="1623">
        <f t="shared" si="3"/>
        <v>124</v>
      </c>
      <c r="L9" s="97">
        <v>63</v>
      </c>
      <c r="M9" s="97">
        <v>62</v>
      </c>
      <c r="N9" s="97">
        <v>63</v>
      </c>
      <c r="O9" s="1623">
        <f t="shared" si="4"/>
        <v>125</v>
      </c>
      <c r="Q9" s="599">
        <f t="shared" si="6"/>
        <v>5</v>
      </c>
      <c r="R9" s="1614">
        <f t="shared" si="5"/>
        <v>129</v>
      </c>
      <c r="S9" s="599">
        <f t="shared" si="7"/>
        <v>5</v>
      </c>
    </row>
    <row r="10" spans="1:19">
      <c r="A10" s="1616" t="s">
        <v>1640</v>
      </c>
      <c r="B10" s="1616" t="s">
        <v>1876</v>
      </c>
      <c r="C10" s="97">
        <v>79</v>
      </c>
      <c r="D10" s="97">
        <v>84</v>
      </c>
      <c r="E10" s="97">
        <v>82</v>
      </c>
      <c r="F10" s="97">
        <f t="shared" si="1"/>
        <v>166</v>
      </c>
      <c r="G10" s="97">
        <f t="shared" si="2"/>
        <v>2.1</v>
      </c>
      <c r="H10" s="97">
        <v>83</v>
      </c>
      <c r="I10" s="97">
        <v>84</v>
      </c>
      <c r="J10" s="97">
        <v>80</v>
      </c>
      <c r="K10" s="1623">
        <f t="shared" si="3"/>
        <v>164</v>
      </c>
      <c r="L10" s="97">
        <v>88</v>
      </c>
      <c r="M10" s="97">
        <v>90</v>
      </c>
      <c r="N10" s="97">
        <v>86</v>
      </c>
      <c r="O10" s="1623">
        <f t="shared" si="4"/>
        <v>176</v>
      </c>
      <c r="P10" s="599" t="s">
        <v>2104</v>
      </c>
      <c r="Q10" s="599">
        <f t="shared" si="6"/>
        <v>7</v>
      </c>
      <c r="R10" s="1614">
        <f t="shared" si="5"/>
        <v>171</v>
      </c>
      <c r="S10" s="599">
        <f t="shared" si="7"/>
        <v>7</v>
      </c>
    </row>
    <row r="11" spans="1:19">
      <c r="A11" s="1616" t="s">
        <v>1642</v>
      </c>
      <c r="B11" s="1616" t="s">
        <v>1877</v>
      </c>
      <c r="C11" s="97">
        <v>62</v>
      </c>
      <c r="D11" s="97">
        <v>54</v>
      </c>
      <c r="E11" s="97">
        <v>56</v>
      </c>
      <c r="F11" s="97">
        <f t="shared" si="1"/>
        <v>110</v>
      </c>
      <c r="G11" s="97">
        <f t="shared" si="2"/>
        <v>1.77</v>
      </c>
      <c r="H11" s="97">
        <v>61</v>
      </c>
      <c r="I11" s="97">
        <v>54</v>
      </c>
      <c r="J11" s="97">
        <v>57</v>
      </c>
      <c r="K11" s="1623">
        <f t="shared" si="3"/>
        <v>111</v>
      </c>
      <c r="L11" s="97">
        <v>62</v>
      </c>
      <c r="M11" s="97">
        <v>54</v>
      </c>
      <c r="N11" s="97">
        <v>56</v>
      </c>
      <c r="O11" s="1623">
        <f t="shared" si="4"/>
        <v>110</v>
      </c>
      <c r="Q11" s="599">
        <f t="shared" si="6"/>
        <v>5</v>
      </c>
      <c r="R11" s="1614">
        <f t="shared" si="5"/>
        <v>116</v>
      </c>
      <c r="S11" s="599">
        <f t="shared" si="7"/>
        <v>4</v>
      </c>
    </row>
    <row r="12" spans="1:19">
      <c r="A12" s="1616" t="s">
        <v>1644</v>
      </c>
      <c r="B12" s="1616" t="s">
        <v>1878</v>
      </c>
      <c r="C12" s="97">
        <v>43</v>
      </c>
      <c r="D12" s="97">
        <v>43</v>
      </c>
      <c r="E12" s="97">
        <v>40</v>
      </c>
      <c r="F12" s="97">
        <f t="shared" si="1"/>
        <v>83</v>
      </c>
      <c r="G12" s="97">
        <f t="shared" si="2"/>
        <v>1.93</v>
      </c>
      <c r="H12" s="97">
        <v>41</v>
      </c>
      <c r="I12" s="97">
        <v>36</v>
      </c>
      <c r="J12" s="97">
        <v>38</v>
      </c>
      <c r="K12" s="1623">
        <f t="shared" si="3"/>
        <v>74</v>
      </c>
      <c r="L12" s="97">
        <v>43</v>
      </c>
      <c r="M12" s="97">
        <v>38</v>
      </c>
      <c r="N12" s="97">
        <v>40</v>
      </c>
      <c r="O12" s="1623">
        <f t="shared" si="4"/>
        <v>78</v>
      </c>
      <c r="Q12" s="599">
        <f t="shared" si="6"/>
        <v>3</v>
      </c>
      <c r="R12" s="1614">
        <f t="shared" si="5"/>
        <v>77</v>
      </c>
      <c r="S12" s="599">
        <f t="shared" si="7"/>
        <v>3</v>
      </c>
    </row>
    <row r="13" spans="1:19">
      <c r="A13" s="1616" t="s">
        <v>1646</v>
      </c>
      <c r="B13" s="1616" t="s">
        <v>1879</v>
      </c>
      <c r="C13" s="97">
        <v>30</v>
      </c>
      <c r="D13" s="97">
        <v>37</v>
      </c>
      <c r="E13" s="97">
        <v>36</v>
      </c>
      <c r="F13" s="97">
        <f t="shared" si="1"/>
        <v>73</v>
      </c>
      <c r="G13" s="97">
        <f t="shared" si="2"/>
        <v>2.4300000000000002</v>
      </c>
      <c r="H13" s="97">
        <v>31</v>
      </c>
      <c r="I13" s="97">
        <v>38</v>
      </c>
      <c r="J13" s="97">
        <v>38</v>
      </c>
      <c r="K13" s="1623">
        <f t="shared" si="3"/>
        <v>76</v>
      </c>
      <c r="L13" s="97">
        <v>31</v>
      </c>
      <c r="M13" s="97">
        <v>38</v>
      </c>
      <c r="N13" s="97">
        <v>37</v>
      </c>
      <c r="O13" s="1623">
        <f t="shared" si="4"/>
        <v>75</v>
      </c>
      <c r="Q13" s="599">
        <f t="shared" si="6"/>
        <v>3</v>
      </c>
      <c r="R13" s="1614">
        <f t="shared" si="5"/>
        <v>79</v>
      </c>
      <c r="S13" s="599">
        <f t="shared" si="7"/>
        <v>3</v>
      </c>
    </row>
    <row r="14" spans="1:19">
      <c r="A14" s="1616" t="s">
        <v>1648</v>
      </c>
      <c r="B14" s="1616" t="s">
        <v>1880</v>
      </c>
      <c r="C14" s="97">
        <v>44</v>
      </c>
      <c r="D14" s="97">
        <v>56</v>
      </c>
      <c r="E14" s="97">
        <v>37</v>
      </c>
      <c r="F14" s="97">
        <f t="shared" si="1"/>
        <v>93</v>
      </c>
      <c r="G14" s="97">
        <f t="shared" si="2"/>
        <v>2.11</v>
      </c>
      <c r="H14" s="97">
        <v>44</v>
      </c>
      <c r="I14" s="97">
        <v>54</v>
      </c>
      <c r="J14" s="97">
        <v>35</v>
      </c>
      <c r="K14" s="1623">
        <f t="shared" si="3"/>
        <v>89</v>
      </c>
      <c r="L14" s="97">
        <v>41</v>
      </c>
      <c r="M14" s="97">
        <v>52</v>
      </c>
      <c r="N14" s="97">
        <v>33</v>
      </c>
      <c r="O14" s="1623">
        <f t="shared" si="4"/>
        <v>85</v>
      </c>
      <c r="Q14" s="599">
        <f t="shared" si="6"/>
        <v>4</v>
      </c>
      <c r="R14" s="1614">
        <f t="shared" si="5"/>
        <v>93</v>
      </c>
      <c r="S14" s="599">
        <f t="shared" si="7"/>
        <v>3</v>
      </c>
    </row>
    <row r="15" spans="1:19">
      <c r="A15" s="1616" t="s">
        <v>1650</v>
      </c>
      <c r="B15" s="1616" t="s">
        <v>1881</v>
      </c>
      <c r="C15" s="97">
        <v>65</v>
      </c>
      <c r="D15" s="97">
        <v>66</v>
      </c>
      <c r="E15" s="97">
        <v>60</v>
      </c>
      <c r="F15" s="97">
        <f t="shared" si="1"/>
        <v>126</v>
      </c>
      <c r="G15" s="97">
        <f t="shared" si="2"/>
        <v>1.94</v>
      </c>
      <c r="H15" s="97">
        <v>66</v>
      </c>
      <c r="I15" s="97">
        <v>68</v>
      </c>
      <c r="J15" s="97">
        <v>61</v>
      </c>
      <c r="K15" s="1623">
        <f t="shared" si="3"/>
        <v>129</v>
      </c>
      <c r="L15" s="97">
        <v>66</v>
      </c>
      <c r="M15" s="97">
        <v>67</v>
      </c>
      <c r="N15" s="97">
        <v>63</v>
      </c>
      <c r="O15" s="1623">
        <f t="shared" si="4"/>
        <v>130</v>
      </c>
      <c r="Q15" s="599">
        <f t="shared" si="6"/>
        <v>5</v>
      </c>
      <c r="R15" s="1614">
        <f t="shared" si="5"/>
        <v>134</v>
      </c>
      <c r="S15" s="599">
        <f t="shared" si="7"/>
        <v>5</v>
      </c>
    </row>
    <row r="16" spans="1:19">
      <c r="A16" s="1616" t="s">
        <v>1652</v>
      </c>
      <c r="B16" s="1616" t="s">
        <v>1882</v>
      </c>
      <c r="C16" s="97">
        <v>35</v>
      </c>
      <c r="D16" s="97">
        <v>39</v>
      </c>
      <c r="E16" s="97">
        <v>37</v>
      </c>
      <c r="F16" s="97">
        <f t="shared" si="1"/>
        <v>76</v>
      </c>
      <c r="G16" s="97">
        <f t="shared" si="2"/>
        <v>2.17</v>
      </c>
      <c r="H16" s="97">
        <v>39</v>
      </c>
      <c r="I16" s="97">
        <v>41</v>
      </c>
      <c r="J16" s="97">
        <v>37</v>
      </c>
      <c r="K16" s="1623">
        <f t="shared" si="3"/>
        <v>78</v>
      </c>
      <c r="L16" s="97">
        <v>38</v>
      </c>
      <c r="M16" s="97">
        <v>40</v>
      </c>
      <c r="N16" s="97">
        <v>41</v>
      </c>
      <c r="O16" s="1623">
        <f t="shared" si="4"/>
        <v>81</v>
      </c>
      <c r="Q16" s="599">
        <f t="shared" si="6"/>
        <v>3</v>
      </c>
      <c r="R16" s="1614">
        <f t="shared" si="5"/>
        <v>81</v>
      </c>
      <c r="S16" s="599">
        <f t="shared" si="7"/>
        <v>3</v>
      </c>
    </row>
    <row r="17" spans="1:19">
      <c r="A17" s="1616" t="s">
        <v>1654</v>
      </c>
      <c r="B17" s="1616" t="s">
        <v>1883</v>
      </c>
      <c r="C17" s="97">
        <v>63</v>
      </c>
      <c r="D17" s="97">
        <v>58</v>
      </c>
      <c r="E17" s="97">
        <v>54</v>
      </c>
      <c r="F17" s="97">
        <f t="shared" si="1"/>
        <v>112</v>
      </c>
      <c r="G17" s="97">
        <f t="shared" si="2"/>
        <v>1.78</v>
      </c>
      <c r="H17" s="97">
        <v>65</v>
      </c>
      <c r="I17" s="97">
        <v>58</v>
      </c>
      <c r="J17" s="97">
        <v>58</v>
      </c>
      <c r="K17" s="1623">
        <f t="shared" si="3"/>
        <v>116</v>
      </c>
      <c r="L17" s="97">
        <v>67</v>
      </c>
      <c r="M17" s="97">
        <v>60</v>
      </c>
      <c r="N17" s="97">
        <v>58</v>
      </c>
      <c r="O17" s="1623">
        <f t="shared" si="4"/>
        <v>118</v>
      </c>
      <c r="Q17" s="599">
        <f t="shared" si="6"/>
        <v>5</v>
      </c>
      <c r="R17" s="1614">
        <f t="shared" si="5"/>
        <v>121</v>
      </c>
      <c r="S17" s="599">
        <f t="shared" si="7"/>
        <v>5</v>
      </c>
    </row>
    <row r="18" spans="1:19">
      <c r="A18" s="1616" t="s">
        <v>1656</v>
      </c>
      <c r="B18" s="1616" t="s">
        <v>1884</v>
      </c>
      <c r="C18" s="97">
        <v>64</v>
      </c>
      <c r="D18" s="97">
        <v>63</v>
      </c>
      <c r="E18" s="97">
        <v>61</v>
      </c>
      <c r="F18" s="97">
        <f t="shared" si="1"/>
        <v>124</v>
      </c>
      <c r="G18" s="97">
        <f t="shared" si="2"/>
        <v>1.94</v>
      </c>
      <c r="H18" s="97">
        <v>68</v>
      </c>
      <c r="I18" s="97">
        <v>65</v>
      </c>
      <c r="J18" s="97">
        <v>67</v>
      </c>
      <c r="K18" s="1623">
        <f t="shared" si="3"/>
        <v>132</v>
      </c>
      <c r="L18" s="97">
        <v>66</v>
      </c>
      <c r="M18" s="97">
        <v>65</v>
      </c>
      <c r="N18" s="97">
        <v>64</v>
      </c>
      <c r="O18" s="1623">
        <f t="shared" si="4"/>
        <v>129</v>
      </c>
      <c r="Q18" s="599">
        <f t="shared" si="6"/>
        <v>5</v>
      </c>
      <c r="R18" s="1614">
        <f t="shared" si="5"/>
        <v>137</v>
      </c>
      <c r="S18" s="599">
        <f t="shared" si="7"/>
        <v>5</v>
      </c>
    </row>
    <row r="19" spans="1:19">
      <c r="A19" s="1616" t="s">
        <v>1658</v>
      </c>
      <c r="B19" s="1616" t="s">
        <v>1885</v>
      </c>
      <c r="C19" s="97">
        <v>74</v>
      </c>
      <c r="D19" s="97">
        <v>79</v>
      </c>
      <c r="E19" s="97">
        <v>85</v>
      </c>
      <c r="F19" s="97">
        <f t="shared" si="1"/>
        <v>164</v>
      </c>
      <c r="G19" s="97">
        <f t="shared" si="2"/>
        <v>2.2200000000000002</v>
      </c>
      <c r="H19" s="97">
        <v>70</v>
      </c>
      <c r="I19" s="97">
        <v>73</v>
      </c>
      <c r="J19" s="97">
        <v>81</v>
      </c>
      <c r="K19" s="1623">
        <f t="shared" si="3"/>
        <v>154</v>
      </c>
      <c r="L19" s="97">
        <v>68</v>
      </c>
      <c r="M19" s="97">
        <v>71</v>
      </c>
      <c r="N19" s="97">
        <v>78</v>
      </c>
      <c r="O19" s="1623">
        <f t="shared" si="4"/>
        <v>149</v>
      </c>
      <c r="Q19" s="599">
        <f t="shared" si="6"/>
        <v>6</v>
      </c>
      <c r="R19" s="1614">
        <f t="shared" si="5"/>
        <v>160</v>
      </c>
      <c r="S19" s="599">
        <f t="shared" si="7"/>
        <v>6</v>
      </c>
    </row>
    <row r="20" spans="1:19" ht="15" customHeight="1">
      <c r="A20" s="1616" t="s">
        <v>1660</v>
      </c>
      <c r="B20" s="1616" t="s">
        <v>1886</v>
      </c>
      <c r="C20" s="97">
        <v>82</v>
      </c>
      <c r="D20" s="97">
        <v>97</v>
      </c>
      <c r="E20" s="97">
        <v>79</v>
      </c>
      <c r="F20" s="97">
        <f t="shared" si="1"/>
        <v>176</v>
      </c>
      <c r="G20" s="97">
        <f t="shared" si="2"/>
        <v>2.15</v>
      </c>
      <c r="H20" s="97">
        <v>83</v>
      </c>
      <c r="I20" s="97">
        <v>91</v>
      </c>
      <c r="J20" s="97">
        <v>80</v>
      </c>
      <c r="K20" s="1623">
        <f t="shared" si="3"/>
        <v>171</v>
      </c>
      <c r="L20" s="97">
        <v>80</v>
      </c>
      <c r="M20" s="97">
        <v>93</v>
      </c>
      <c r="N20" s="97">
        <v>78</v>
      </c>
      <c r="O20" s="1623">
        <f t="shared" si="4"/>
        <v>171</v>
      </c>
      <c r="Q20" s="599">
        <f t="shared" si="6"/>
        <v>7</v>
      </c>
      <c r="R20" s="1614">
        <f t="shared" si="5"/>
        <v>178</v>
      </c>
      <c r="S20" s="599">
        <f t="shared" si="7"/>
        <v>7</v>
      </c>
    </row>
    <row r="21" spans="1:19">
      <c r="A21" s="1616" t="s">
        <v>1662</v>
      </c>
      <c r="B21" s="1616" t="s">
        <v>1887</v>
      </c>
      <c r="C21" s="97">
        <v>68</v>
      </c>
      <c r="D21" s="97">
        <v>61</v>
      </c>
      <c r="E21" s="97">
        <v>56</v>
      </c>
      <c r="F21" s="97">
        <f t="shared" si="1"/>
        <v>117</v>
      </c>
      <c r="G21" s="97">
        <f t="shared" si="2"/>
        <v>1.72</v>
      </c>
      <c r="H21" s="97">
        <v>71</v>
      </c>
      <c r="I21" s="97">
        <v>69</v>
      </c>
      <c r="J21" s="97">
        <v>67</v>
      </c>
      <c r="K21" s="1623">
        <f t="shared" si="3"/>
        <v>136</v>
      </c>
      <c r="L21" s="97">
        <v>72</v>
      </c>
      <c r="M21" s="97">
        <v>73</v>
      </c>
      <c r="N21" s="97">
        <v>68</v>
      </c>
      <c r="O21" s="1623">
        <f t="shared" si="4"/>
        <v>141</v>
      </c>
      <c r="P21" s="599" t="s">
        <v>2101</v>
      </c>
      <c r="Q21" s="599">
        <f t="shared" si="6"/>
        <v>6</v>
      </c>
      <c r="R21" s="1614">
        <f t="shared" si="5"/>
        <v>142</v>
      </c>
      <c r="S21" s="599">
        <f t="shared" si="7"/>
        <v>5</v>
      </c>
    </row>
    <row r="22" spans="1:19">
      <c r="A22" s="1616" t="s">
        <v>1664</v>
      </c>
      <c r="B22" s="1616" t="s">
        <v>1888</v>
      </c>
      <c r="C22" s="97">
        <v>42</v>
      </c>
      <c r="D22" s="97">
        <v>35</v>
      </c>
      <c r="E22" s="97">
        <v>39</v>
      </c>
      <c r="F22" s="97">
        <f t="shared" si="1"/>
        <v>74</v>
      </c>
      <c r="G22" s="97">
        <f t="shared" si="2"/>
        <v>1.76</v>
      </c>
      <c r="H22" s="97">
        <v>42</v>
      </c>
      <c r="I22" s="97">
        <v>37</v>
      </c>
      <c r="J22" s="97">
        <v>36</v>
      </c>
      <c r="K22" s="1623">
        <f t="shared" si="3"/>
        <v>73</v>
      </c>
      <c r="L22" s="97">
        <v>40</v>
      </c>
      <c r="M22" s="97">
        <v>37</v>
      </c>
      <c r="N22" s="97">
        <v>35</v>
      </c>
      <c r="O22" s="1623">
        <f t="shared" si="4"/>
        <v>72</v>
      </c>
      <c r="P22" s="599" t="s">
        <v>2102</v>
      </c>
      <c r="Q22" s="599">
        <f t="shared" si="6"/>
        <v>3</v>
      </c>
      <c r="R22" s="1614">
        <f t="shared" si="5"/>
        <v>76</v>
      </c>
      <c r="S22" s="599">
        <f t="shared" si="7"/>
        <v>3</v>
      </c>
    </row>
    <row r="23" spans="1:19">
      <c r="A23" s="1616" t="s">
        <v>1666</v>
      </c>
      <c r="B23" s="1616" t="s">
        <v>1889</v>
      </c>
      <c r="C23" s="97">
        <v>41</v>
      </c>
      <c r="D23" s="97">
        <v>40</v>
      </c>
      <c r="E23" s="97">
        <v>41</v>
      </c>
      <c r="F23" s="97">
        <f t="shared" si="1"/>
        <v>81</v>
      </c>
      <c r="G23" s="97">
        <f t="shared" si="2"/>
        <v>1.98</v>
      </c>
      <c r="H23" s="97">
        <v>41</v>
      </c>
      <c r="I23" s="97">
        <v>43</v>
      </c>
      <c r="J23" s="97">
        <v>43</v>
      </c>
      <c r="K23" s="1623">
        <f t="shared" si="3"/>
        <v>86</v>
      </c>
      <c r="L23" s="97">
        <v>41</v>
      </c>
      <c r="M23" s="97">
        <v>43</v>
      </c>
      <c r="N23" s="97">
        <v>44</v>
      </c>
      <c r="O23" s="1623">
        <f t="shared" si="4"/>
        <v>87</v>
      </c>
      <c r="P23" s="599" t="s">
        <v>2102</v>
      </c>
      <c r="Q23" s="599">
        <f t="shared" si="6"/>
        <v>4</v>
      </c>
      <c r="R23" s="1614">
        <f t="shared" si="5"/>
        <v>90</v>
      </c>
      <c r="S23" s="599">
        <f t="shared" si="7"/>
        <v>3</v>
      </c>
    </row>
    <row r="24" spans="1:19">
      <c r="A24" s="1616" t="s">
        <v>1668</v>
      </c>
      <c r="B24" s="1616" t="s">
        <v>1890</v>
      </c>
      <c r="C24" s="97">
        <v>40</v>
      </c>
      <c r="D24" s="97">
        <v>37</v>
      </c>
      <c r="E24" s="97">
        <v>32</v>
      </c>
      <c r="F24" s="97">
        <f t="shared" si="1"/>
        <v>69</v>
      </c>
      <c r="G24" s="97">
        <f t="shared" si="2"/>
        <v>1.73</v>
      </c>
      <c r="H24" s="97">
        <v>42</v>
      </c>
      <c r="I24" s="97">
        <v>36</v>
      </c>
      <c r="J24" s="97">
        <v>30</v>
      </c>
      <c r="K24" s="1623">
        <f t="shared" si="3"/>
        <v>66</v>
      </c>
      <c r="L24" s="97">
        <v>42</v>
      </c>
      <c r="M24" s="97">
        <v>36</v>
      </c>
      <c r="N24" s="97">
        <v>29</v>
      </c>
      <c r="O24" s="1623">
        <f t="shared" si="4"/>
        <v>65</v>
      </c>
      <c r="P24" s="599" t="s">
        <v>2102</v>
      </c>
      <c r="Q24" s="599">
        <f t="shared" si="6"/>
        <v>3</v>
      </c>
      <c r="R24" s="1614">
        <f t="shared" si="5"/>
        <v>69</v>
      </c>
      <c r="S24" s="599">
        <f t="shared" si="7"/>
        <v>3</v>
      </c>
    </row>
    <row r="25" spans="1:19">
      <c r="A25" s="1616" t="s">
        <v>1670</v>
      </c>
      <c r="B25" s="1616" t="s">
        <v>1891</v>
      </c>
      <c r="C25" s="97">
        <v>103</v>
      </c>
      <c r="D25" s="97">
        <v>109</v>
      </c>
      <c r="E25" s="97">
        <v>116</v>
      </c>
      <c r="F25" s="97">
        <f t="shared" si="1"/>
        <v>225</v>
      </c>
      <c r="G25" s="97">
        <f t="shared" si="2"/>
        <v>2.1800000000000002</v>
      </c>
      <c r="H25" s="97">
        <v>122</v>
      </c>
      <c r="I25" s="97">
        <v>120</v>
      </c>
      <c r="J25" s="97">
        <v>126</v>
      </c>
      <c r="K25" s="1623">
        <f t="shared" si="3"/>
        <v>246</v>
      </c>
      <c r="L25" s="97">
        <v>123</v>
      </c>
      <c r="M25" s="97">
        <v>125</v>
      </c>
      <c r="N25" s="97">
        <v>123</v>
      </c>
      <c r="O25" s="1623">
        <f t="shared" si="4"/>
        <v>248</v>
      </c>
      <c r="P25" s="599" t="s">
        <v>2103</v>
      </c>
      <c r="Q25" s="599">
        <f t="shared" si="6"/>
        <v>10</v>
      </c>
      <c r="R25" s="1614">
        <f t="shared" si="5"/>
        <v>256</v>
      </c>
      <c r="S25" s="599">
        <f t="shared" si="7"/>
        <v>10</v>
      </c>
    </row>
    <row r="26" spans="1:19">
      <c r="A26" s="1616" t="s">
        <v>1672</v>
      </c>
      <c r="B26" s="1616" t="s">
        <v>1892</v>
      </c>
      <c r="C26" s="97">
        <v>72</v>
      </c>
      <c r="D26" s="97">
        <v>76</v>
      </c>
      <c r="E26" s="97">
        <v>63</v>
      </c>
      <c r="F26" s="97">
        <f t="shared" si="1"/>
        <v>139</v>
      </c>
      <c r="G26" s="97">
        <f t="shared" si="2"/>
        <v>1.93</v>
      </c>
      <c r="H26" s="97">
        <v>71</v>
      </c>
      <c r="I26" s="97">
        <v>66</v>
      </c>
      <c r="J26" s="97">
        <v>64</v>
      </c>
      <c r="K26" s="1623">
        <f t="shared" si="3"/>
        <v>130</v>
      </c>
      <c r="L26" s="97">
        <v>71</v>
      </c>
      <c r="M26" s="97">
        <v>64</v>
      </c>
      <c r="N26" s="97">
        <v>64</v>
      </c>
      <c r="O26" s="1623">
        <f t="shared" si="4"/>
        <v>128</v>
      </c>
      <c r="Q26" s="599">
        <f t="shared" si="6"/>
        <v>5</v>
      </c>
      <c r="R26" s="1614">
        <f t="shared" si="5"/>
        <v>135</v>
      </c>
      <c r="S26" s="599">
        <f t="shared" si="7"/>
        <v>5</v>
      </c>
    </row>
    <row r="27" spans="1:19">
      <c r="A27" s="1616" t="s">
        <v>1674</v>
      </c>
      <c r="B27" s="1616" t="s">
        <v>1893</v>
      </c>
      <c r="C27" s="97">
        <v>61</v>
      </c>
      <c r="D27" s="97">
        <v>58</v>
      </c>
      <c r="E27" s="97">
        <v>61</v>
      </c>
      <c r="F27" s="97">
        <f t="shared" si="1"/>
        <v>119</v>
      </c>
      <c r="G27" s="97">
        <f t="shared" si="2"/>
        <v>1.95</v>
      </c>
      <c r="H27" s="97">
        <v>65</v>
      </c>
      <c r="I27" s="97">
        <v>62</v>
      </c>
      <c r="J27" s="97">
        <v>59</v>
      </c>
      <c r="K27" s="1623">
        <f t="shared" si="3"/>
        <v>121</v>
      </c>
      <c r="L27" s="97">
        <v>63</v>
      </c>
      <c r="M27" s="97">
        <v>61</v>
      </c>
      <c r="N27" s="97">
        <v>58</v>
      </c>
      <c r="O27" s="1623">
        <f t="shared" si="4"/>
        <v>119</v>
      </c>
      <c r="Q27" s="599">
        <f t="shared" si="6"/>
        <v>5</v>
      </c>
      <c r="R27" s="1614">
        <f t="shared" si="5"/>
        <v>126</v>
      </c>
      <c r="S27" s="599">
        <f t="shared" si="7"/>
        <v>5</v>
      </c>
    </row>
    <row r="28" spans="1:19">
      <c r="A28" s="1616" t="s">
        <v>1676</v>
      </c>
      <c r="B28" s="1616" t="s">
        <v>1894</v>
      </c>
      <c r="C28" s="97">
        <v>25</v>
      </c>
      <c r="D28" s="97">
        <v>24</v>
      </c>
      <c r="E28" s="97">
        <v>23</v>
      </c>
      <c r="F28" s="97">
        <f t="shared" si="1"/>
        <v>47</v>
      </c>
      <c r="G28" s="97">
        <f t="shared" si="2"/>
        <v>1.88</v>
      </c>
      <c r="H28" s="97">
        <v>26</v>
      </c>
      <c r="I28" s="97">
        <v>23</v>
      </c>
      <c r="J28" s="97">
        <v>25</v>
      </c>
      <c r="K28" s="1623">
        <f t="shared" si="3"/>
        <v>48</v>
      </c>
      <c r="L28" s="97">
        <v>25</v>
      </c>
      <c r="M28" s="97">
        <v>23</v>
      </c>
      <c r="N28" s="97">
        <v>24</v>
      </c>
      <c r="O28" s="1623">
        <f t="shared" si="4"/>
        <v>47</v>
      </c>
      <c r="Q28" s="599">
        <f t="shared" si="6"/>
        <v>2</v>
      </c>
      <c r="R28" s="1614">
        <f t="shared" si="5"/>
        <v>50</v>
      </c>
      <c r="S28" s="599">
        <f t="shared" si="7"/>
        <v>2</v>
      </c>
    </row>
    <row r="29" spans="1:19">
      <c r="A29" s="1616" t="s">
        <v>1895</v>
      </c>
      <c r="B29" s="1616" t="s">
        <v>1896</v>
      </c>
      <c r="C29" s="97">
        <v>61</v>
      </c>
      <c r="D29" s="97">
        <v>69</v>
      </c>
      <c r="E29" s="97">
        <v>28</v>
      </c>
      <c r="F29" s="97">
        <f t="shared" si="1"/>
        <v>97</v>
      </c>
      <c r="G29" s="97">
        <f t="shared" si="2"/>
        <v>1.59</v>
      </c>
      <c r="H29" s="97">
        <v>58</v>
      </c>
      <c r="I29" s="97">
        <v>64</v>
      </c>
      <c r="J29" s="97">
        <v>26</v>
      </c>
      <c r="K29" s="1623">
        <f t="shared" si="3"/>
        <v>90</v>
      </c>
      <c r="L29" s="97">
        <v>62</v>
      </c>
      <c r="M29" s="97">
        <v>68</v>
      </c>
      <c r="N29" s="97">
        <v>28</v>
      </c>
      <c r="O29" s="1623">
        <f t="shared" si="4"/>
        <v>96</v>
      </c>
      <c r="Q29" s="599">
        <f t="shared" si="6"/>
        <v>4</v>
      </c>
      <c r="R29" s="1614">
        <f t="shared" si="5"/>
        <v>94</v>
      </c>
      <c r="S29" s="599">
        <f t="shared" si="7"/>
        <v>4</v>
      </c>
    </row>
  </sheetData>
  <mergeCells count="5">
    <mergeCell ref="A1:B1"/>
    <mergeCell ref="C1:G1"/>
    <mergeCell ref="H1:K1"/>
    <mergeCell ref="L1:O1"/>
    <mergeCell ref="A3:B3"/>
  </mergeCells>
  <phoneticPr fontId="3" type="noConversion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"/>
  <sheetViews>
    <sheetView topLeftCell="A25" workbookViewId="0">
      <selection activeCell="R4" sqref="R4:R33"/>
    </sheetView>
  </sheetViews>
  <sheetFormatPr defaultRowHeight="16.5"/>
  <cols>
    <col min="1" max="1" width="11.5" style="599" customWidth="1"/>
    <col min="2" max="2" width="10.5" style="949" customWidth="1"/>
    <col min="3" max="3" width="7.75" style="599" hidden="1" customWidth="1"/>
    <col min="4" max="4" width="7.625" style="599" hidden="1" customWidth="1"/>
    <col min="5" max="7" width="8" style="599" hidden="1" customWidth="1"/>
    <col min="8" max="9" width="8.125" style="599" customWidth="1"/>
    <col min="10" max="12" width="7.875" style="599" customWidth="1"/>
    <col min="13" max="13" width="7.5" style="599" customWidth="1"/>
    <col min="14" max="14" width="8" style="599" customWidth="1"/>
    <col min="15" max="16384" width="9" style="599"/>
  </cols>
  <sheetData>
    <row r="1" spans="1:19" ht="41.25" customHeight="1">
      <c r="A1" s="2876" t="s">
        <v>1862</v>
      </c>
      <c r="B1" s="2877"/>
      <c r="C1" s="2871" t="s">
        <v>1859</v>
      </c>
      <c r="D1" s="2872"/>
      <c r="E1" s="2872"/>
      <c r="F1" s="2872"/>
      <c r="G1" s="2873"/>
      <c r="H1" s="2871" t="s">
        <v>1860</v>
      </c>
      <c r="I1" s="2872"/>
      <c r="J1" s="2872"/>
      <c r="K1" s="2873"/>
      <c r="L1" s="2871" t="s">
        <v>1861</v>
      </c>
      <c r="M1" s="2872"/>
      <c r="N1" s="2872"/>
      <c r="O1" s="2873"/>
    </row>
    <row r="2" spans="1:19" ht="24.75" customHeight="1">
      <c r="A2" s="1689" t="s">
        <v>1738</v>
      </c>
      <c r="B2" s="1685" t="s">
        <v>1868</v>
      </c>
      <c r="C2" s="1687" t="s">
        <v>1621</v>
      </c>
      <c r="D2" s="1687" t="s">
        <v>1622</v>
      </c>
      <c r="E2" s="1687" t="s">
        <v>1623</v>
      </c>
      <c r="F2" s="1688" t="s">
        <v>1740</v>
      </c>
      <c r="G2" s="1688" t="s">
        <v>1741</v>
      </c>
      <c r="H2" s="1687" t="s">
        <v>1621</v>
      </c>
      <c r="I2" s="1687" t="s">
        <v>1622</v>
      </c>
      <c r="J2" s="1687" t="s">
        <v>1623</v>
      </c>
      <c r="K2" s="1688" t="s">
        <v>1740</v>
      </c>
      <c r="L2" s="1687" t="s">
        <v>1621</v>
      </c>
      <c r="M2" s="1687" t="s">
        <v>1622</v>
      </c>
      <c r="N2" s="1690" t="s">
        <v>1623</v>
      </c>
      <c r="O2" s="1688" t="s">
        <v>1740</v>
      </c>
      <c r="Q2" s="1698" t="s">
        <v>1927</v>
      </c>
      <c r="S2" s="599" t="s">
        <v>1928</v>
      </c>
    </row>
    <row r="3" spans="1:19" ht="22.5" customHeight="1">
      <c r="A3" s="2878" t="s">
        <v>1626</v>
      </c>
      <c r="B3" s="2879"/>
      <c r="C3" s="1612">
        <f>SUM(C4:C33)</f>
        <v>1617</v>
      </c>
      <c r="D3" s="1612">
        <f>SUM(D4:D33)</f>
        <v>1579</v>
      </c>
      <c r="E3" s="1612">
        <f>SUM(E4:E33)</f>
        <v>1503</v>
      </c>
      <c r="F3" s="1623">
        <f>SUM(D3:E3)</f>
        <v>3082</v>
      </c>
      <c r="G3" s="1624">
        <f>ROUND(F3/C3,2)</f>
        <v>1.91</v>
      </c>
      <c r="H3" s="1612">
        <f>SUM(H4:H33)</f>
        <v>1659</v>
      </c>
      <c r="I3" s="1612">
        <f>SUM(I4:I33)</f>
        <v>1602</v>
      </c>
      <c r="J3" s="1612">
        <f>SUM(J4:J33)</f>
        <v>1527</v>
      </c>
      <c r="K3" s="1623">
        <f>SUM(I3:J3)</f>
        <v>3129</v>
      </c>
      <c r="L3" s="1612">
        <f>SUM(L4:L33)</f>
        <v>1680</v>
      </c>
      <c r="M3" s="1612">
        <f>SUM(M4:M33)</f>
        <v>1617</v>
      </c>
      <c r="N3" s="1612">
        <f>SUM(N4:N33)</f>
        <v>1532</v>
      </c>
      <c r="O3" s="1623">
        <f>SUM(M3:N3)</f>
        <v>3149</v>
      </c>
      <c r="Q3" s="599">
        <v>188</v>
      </c>
      <c r="R3" s="1614">
        <f>K3+Q3</f>
        <v>3317</v>
      </c>
      <c r="S3" s="599">
        <v>188</v>
      </c>
    </row>
    <row r="4" spans="1:19">
      <c r="A4" s="1615" t="s">
        <v>1869</v>
      </c>
      <c r="B4" s="1691" t="s">
        <v>1897</v>
      </c>
      <c r="C4" s="1692">
        <v>78</v>
      </c>
      <c r="D4" s="1692">
        <v>65</v>
      </c>
      <c r="E4" s="1692">
        <v>54</v>
      </c>
      <c r="F4" s="1623">
        <f t="shared" ref="F4:F33" si="0">SUM(D4:E4)</f>
        <v>119</v>
      </c>
      <c r="G4" s="1624">
        <f t="shared" ref="G4:G33" si="1">ROUND(F4/C4,2)</f>
        <v>1.53</v>
      </c>
      <c r="H4" s="1692">
        <v>73</v>
      </c>
      <c r="I4" s="1692">
        <v>61</v>
      </c>
      <c r="J4" s="1692">
        <v>48</v>
      </c>
      <c r="K4" s="1623">
        <f t="shared" ref="K4:K33" si="2">SUM(I4:J4)</f>
        <v>109</v>
      </c>
      <c r="L4" s="1692">
        <v>73</v>
      </c>
      <c r="M4" s="1692">
        <v>61</v>
      </c>
      <c r="N4" s="1693">
        <v>47</v>
      </c>
      <c r="O4" s="1623">
        <f t="shared" ref="O4:O33" si="3">SUM(M4:N4)</f>
        <v>108</v>
      </c>
      <c r="P4" s="599" t="s">
        <v>2108</v>
      </c>
      <c r="Q4" s="599">
        <f>ROUND(K4/$K$3*$Q$3,0)</f>
        <v>7</v>
      </c>
      <c r="R4" s="1614">
        <f t="shared" ref="R4:R33" si="4">K4+Q4</f>
        <v>116</v>
      </c>
      <c r="S4" s="599">
        <f>ROUND(O4/$O$3*$Q$3,0)</f>
        <v>6</v>
      </c>
    </row>
    <row r="5" spans="1:19">
      <c r="A5" s="1615" t="s">
        <v>1629</v>
      </c>
      <c r="B5" s="1691" t="s">
        <v>1898</v>
      </c>
      <c r="C5" s="1692">
        <v>38</v>
      </c>
      <c r="D5" s="1692">
        <v>36</v>
      </c>
      <c r="E5" s="1692">
        <v>34</v>
      </c>
      <c r="F5" s="1623">
        <f t="shared" si="0"/>
        <v>70</v>
      </c>
      <c r="G5" s="1624">
        <f t="shared" si="1"/>
        <v>1.84</v>
      </c>
      <c r="H5" s="1692">
        <v>41</v>
      </c>
      <c r="I5" s="1692">
        <v>36</v>
      </c>
      <c r="J5" s="1692">
        <v>38</v>
      </c>
      <c r="K5" s="1623">
        <f t="shared" si="2"/>
        <v>74</v>
      </c>
      <c r="L5" s="1692">
        <v>41</v>
      </c>
      <c r="M5" s="1692">
        <v>39</v>
      </c>
      <c r="N5" s="1693">
        <v>39</v>
      </c>
      <c r="O5" s="1623">
        <f t="shared" si="3"/>
        <v>78</v>
      </c>
      <c r="P5" s="599" t="s">
        <v>2108</v>
      </c>
      <c r="Q5" s="599">
        <f t="shared" ref="Q5:Q33" si="5">ROUND(K5/$K$3*$Q$3,0)</f>
        <v>4</v>
      </c>
      <c r="R5" s="1614">
        <f t="shared" si="4"/>
        <v>78</v>
      </c>
      <c r="S5" s="599">
        <f t="shared" ref="S5:S33" si="6">ROUND(O5/$O$3*$Q$3,0)</f>
        <v>5</v>
      </c>
    </row>
    <row r="6" spans="1:19">
      <c r="A6" s="1615" t="s">
        <v>1632</v>
      </c>
      <c r="B6" s="1691" t="s">
        <v>1899</v>
      </c>
      <c r="C6" s="1692">
        <v>49</v>
      </c>
      <c r="D6" s="1692">
        <v>51</v>
      </c>
      <c r="E6" s="1692">
        <v>55</v>
      </c>
      <c r="F6" s="1623">
        <f t="shared" si="0"/>
        <v>106</v>
      </c>
      <c r="G6" s="1624">
        <f t="shared" si="1"/>
        <v>2.16</v>
      </c>
      <c r="H6" s="1692">
        <v>47</v>
      </c>
      <c r="I6" s="1692">
        <v>51</v>
      </c>
      <c r="J6" s="1692">
        <v>52</v>
      </c>
      <c r="K6" s="1623">
        <f t="shared" si="2"/>
        <v>103</v>
      </c>
      <c r="L6" s="1692">
        <v>47</v>
      </c>
      <c r="M6" s="1692">
        <v>51</v>
      </c>
      <c r="N6" s="1693">
        <v>53</v>
      </c>
      <c r="O6" s="1623">
        <f t="shared" si="3"/>
        <v>104</v>
      </c>
      <c r="Q6" s="599">
        <f t="shared" si="5"/>
        <v>6</v>
      </c>
      <c r="R6" s="1614">
        <f t="shared" si="4"/>
        <v>109</v>
      </c>
      <c r="S6" s="599">
        <f t="shared" si="6"/>
        <v>6</v>
      </c>
    </row>
    <row r="7" spans="1:19">
      <c r="A7" s="1615" t="s">
        <v>1634</v>
      </c>
      <c r="B7" s="1691" t="s">
        <v>1900</v>
      </c>
      <c r="C7" s="1692">
        <v>49</v>
      </c>
      <c r="D7" s="1692">
        <v>52</v>
      </c>
      <c r="E7" s="1692">
        <v>54</v>
      </c>
      <c r="F7" s="1623">
        <f t="shared" si="0"/>
        <v>106</v>
      </c>
      <c r="G7" s="1624">
        <f t="shared" si="1"/>
        <v>2.16</v>
      </c>
      <c r="H7" s="1692">
        <v>53</v>
      </c>
      <c r="I7" s="1692">
        <v>50</v>
      </c>
      <c r="J7" s="1692">
        <v>53</v>
      </c>
      <c r="K7" s="1623">
        <f t="shared" si="2"/>
        <v>103</v>
      </c>
      <c r="L7" s="1692">
        <v>53</v>
      </c>
      <c r="M7" s="1692">
        <v>50</v>
      </c>
      <c r="N7" s="1693">
        <v>53</v>
      </c>
      <c r="O7" s="1623">
        <f t="shared" si="3"/>
        <v>103</v>
      </c>
      <c r="P7" s="599" t="s">
        <v>2108</v>
      </c>
      <c r="Q7" s="599">
        <f t="shared" si="5"/>
        <v>6</v>
      </c>
      <c r="R7" s="1614">
        <f t="shared" si="4"/>
        <v>109</v>
      </c>
      <c r="S7" s="599">
        <f t="shared" si="6"/>
        <v>6</v>
      </c>
    </row>
    <row r="8" spans="1:19">
      <c r="A8" s="1615" t="s">
        <v>1636</v>
      </c>
      <c r="B8" s="1691" t="s">
        <v>1901</v>
      </c>
      <c r="C8" s="1692">
        <v>57</v>
      </c>
      <c r="D8" s="1692">
        <v>64</v>
      </c>
      <c r="E8" s="1692">
        <v>56</v>
      </c>
      <c r="F8" s="1623">
        <f t="shared" si="0"/>
        <v>120</v>
      </c>
      <c r="G8" s="1624">
        <f t="shared" si="1"/>
        <v>2.11</v>
      </c>
      <c r="H8" s="1692">
        <v>55</v>
      </c>
      <c r="I8" s="1692">
        <v>60</v>
      </c>
      <c r="J8" s="1692">
        <v>54</v>
      </c>
      <c r="K8" s="1623">
        <f t="shared" si="2"/>
        <v>114</v>
      </c>
      <c r="L8" s="1692">
        <v>58</v>
      </c>
      <c r="M8" s="1692">
        <v>58</v>
      </c>
      <c r="N8" s="1693">
        <v>57</v>
      </c>
      <c r="O8" s="1623">
        <f t="shared" si="3"/>
        <v>115</v>
      </c>
      <c r="Q8" s="599">
        <f t="shared" si="5"/>
        <v>7</v>
      </c>
      <c r="R8" s="1614">
        <f t="shared" si="4"/>
        <v>121</v>
      </c>
      <c r="S8" s="599">
        <f t="shared" si="6"/>
        <v>7</v>
      </c>
    </row>
    <row r="9" spans="1:19">
      <c r="A9" s="1615" t="s">
        <v>1638</v>
      </c>
      <c r="B9" s="1691" t="s">
        <v>1902</v>
      </c>
      <c r="C9" s="1692">
        <v>64</v>
      </c>
      <c r="D9" s="1692">
        <v>55</v>
      </c>
      <c r="E9" s="1692">
        <v>60</v>
      </c>
      <c r="F9" s="1623">
        <f t="shared" si="0"/>
        <v>115</v>
      </c>
      <c r="G9" s="1624">
        <f t="shared" si="1"/>
        <v>1.8</v>
      </c>
      <c r="H9" s="1692">
        <v>65</v>
      </c>
      <c r="I9" s="1692">
        <v>54</v>
      </c>
      <c r="J9" s="1692">
        <v>60</v>
      </c>
      <c r="K9" s="1623">
        <f t="shared" si="2"/>
        <v>114</v>
      </c>
      <c r="L9" s="1692">
        <v>65</v>
      </c>
      <c r="M9" s="1692">
        <v>57</v>
      </c>
      <c r="N9" s="1693">
        <v>59</v>
      </c>
      <c r="O9" s="1623">
        <f t="shared" si="3"/>
        <v>116</v>
      </c>
      <c r="Q9" s="599">
        <f t="shared" si="5"/>
        <v>7</v>
      </c>
      <c r="R9" s="1614">
        <f t="shared" si="4"/>
        <v>121</v>
      </c>
      <c r="S9" s="599">
        <f t="shared" si="6"/>
        <v>7</v>
      </c>
    </row>
    <row r="10" spans="1:19">
      <c r="A10" s="1615" t="s">
        <v>1640</v>
      </c>
      <c r="B10" s="1691" t="s">
        <v>1903</v>
      </c>
      <c r="C10" s="1692">
        <v>36</v>
      </c>
      <c r="D10" s="1692">
        <v>38</v>
      </c>
      <c r="E10" s="1692">
        <v>30</v>
      </c>
      <c r="F10" s="1623">
        <f t="shared" si="0"/>
        <v>68</v>
      </c>
      <c r="G10" s="1624">
        <f t="shared" si="1"/>
        <v>1.89</v>
      </c>
      <c r="H10" s="1692">
        <v>38</v>
      </c>
      <c r="I10" s="1692">
        <v>39</v>
      </c>
      <c r="J10" s="1692">
        <v>31</v>
      </c>
      <c r="K10" s="1623">
        <f t="shared" si="2"/>
        <v>70</v>
      </c>
      <c r="L10" s="1692">
        <v>41</v>
      </c>
      <c r="M10" s="1692">
        <v>39</v>
      </c>
      <c r="N10" s="1693">
        <v>34</v>
      </c>
      <c r="O10" s="1623">
        <f t="shared" si="3"/>
        <v>73</v>
      </c>
      <c r="P10" s="599" t="s">
        <v>2108</v>
      </c>
      <c r="Q10" s="599">
        <f t="shared" si="5"/>
        <v>4</v>
      </c>
      <c r="R10" s="1614">
        <f t="shared" si="4"/>
        <v>74</v>
      </c>
      <c r="S10" s="599">
        <f t="shared" si="6"/>
        <v>4</v>
      </c>
    </row>
    <row r="11" spans="1:19">
      <c r="A11" s="1615" t="s">
        <v>1642</v>
      </c>
      <c r="B11" s="1691" t="s">
        <v>1904</v>
      </c>
      <c r="C11" s="1692">
        <v>78</v>
      </c>
      <c r="D11" s="1692">
        <v>78</v>
      </c>
      <c r="E11" s="1692">
        <v>70</v>
      </c>
      <c r="F11" s="1623">
        <f t="shared" si="0"/>
        <v>148</v>
      </c>
      <c r="G11" s="1624">
        <f t="shared" si="1"/>
        <v>1.9</v>
      </c>
      <c r="H11" s="1692">
        <v>76</v>
      </c>
      <c r="I11" s="1692">
        <v>74</v>
      </c>
      <c r="J11" s="1692">
        <v>70</v>
      </c>
      <c r="K11" s="1623">
        <f t="shared" si="2"/>
        <v>144</v>
      </c>
      <c r="L11" s="1692">
        <v>74</v>
      </c>
      <c r="M11" s="1692">
        <v>72</v>
      </c>
      <c r="N11" s="1693">
        <v>67</v>
      </c>
      <c r="O11" s="1623">
        <f t="shared" si="3"/>
        <v>139</v>
      </c>
      <c r="Q11" s="599">
        <f t="shared" si="5"/>
        <v>9</v>
      </c>
      <c r="R11" s="1614">
        <f t="shared" si="4"/>
        <v>153</v>
      </c>
      <c r="S11" s="599">
        <f t="shared" si="6"/>
        <v>8</v>
      </c>
    </row>
    <row r="12" spans="1:19">
      <c r="A12" s="1615" t="s">
        <v>1644</v>
      </c>
      <c r="B12" s="1694" t="s">
        <v>1905</v>
      </c>
      <c r="C12" s="1692">
        <v>68</v>
      </c>
      <c r="D12" s="1692">
        <v>76</v>
      </c>
      <c r="E12" s="1692">
        <v>62</v>
      </c>
      <c r="F12" s="1623">
        <f t="shared" si="0"/>
        <v>138</v>
      </c>
      <c r="G12" s="1624">
        <f t="shared" si="1"/>
        <v>2.0299999999999998</v>
      </c>
      <c r="H12" s="1692">
        <v>81</v>
      </c>
      <c r="I12" s="1692">
        <v>87</v>
      </c>
      <c r="J12" s="1692">
        <v>59</v>
      </c>
      <c r="K12" s="1623">
        <f t="shared" si="2"/>
        <v>146</v>
      </c>
      <c r="L12" s="1692">
        <v>85</v>
      </c>
      <c r="M12" s="1692">
        <v>90</v>
      </c>
      <c r="N12" s="1693">
        <v>61</v>
      </c>
      <c r="O12" s="1623">
        <f t="shared" si="3"/>
        <v>151</v>
      </c>
      <c r="Q12" s="599">
        <f t="shared" si="5"/>
        <v>9</v>
      </c>
      <c r="R12" s="1614">
        <f t="shared" si="4"/>
        <v>155</v>
      </c>
      <c r="S12" s="599">
        <f t="shared" si="6"/>
        <v>9</v>
      </c>
    </row>
    <row r="13" spans="1:19">
      <c r="A13" s="1615" t="s">
        <v>1646</v>
      </c>
      <c r="B13" s="1694" t="s">
        <v>1906</v>
      </c>
      <c r="C13" s="1692">
        <v>42</v>
      </c>
      <c r="D13" s="1692">
        <v>38</v>
      </c>
      <c r="E13" s="1692">
        <v>37</v>
      </c>
      <c r="F13" s="1623">
        <f t="shared" si="0"/>
        <v>75</v>
      </c>
      <c r="G13" s="1624">
        <f t="shared" si="1"/>
        <v>1.79</v>
      </c>
      <c r="H13" s="1692">
        <v>52</v>
      </c>
      <c r="I13" s="1692">
        <v>43</v>
      </c>
      <c r="J13" s="1692">
        <v>49</v>
      </c>
      <c r="K13" s="1623">
        <f t="shared" si="2"/>
        <v>92</v>
      </c>
      <c r="L13" s="1692">
        <v>52</v>
      </c>
      <c r="M13" s="1692">
        <v>42</v>
      </c>
      <c r="N13" s="1693">
        <v>49</v>
      </c>
      <c r="O13" s="1623">
        <f t="shared" si="3"/>
        <v>91</v>
      </c>
      <c r="Q13" s="599">
        <f t="shared" si="5"/>
        <v>6</v>
      </c>
      <c r="R13" s="1614">
        <f t="shared" si="4"/>
        <v>98</v>
      </c>
      <c r="S13" s="599">
        <f t="shared" si="6"/>
        <v>5</v>
      </c>
    </row>
    <row r="14" spans="1:19">
      <c r="A14" s="1615" t="s">
        <v>1648</v>
      </c>
      <c r="B14" s="1694" t="s">
        <v>1907</v>
      </c>
      <c r="C14" s="1692">
        <v>77</v>
      </c>
      <c r="D14" s="1692">
        <v>84</v>
      </c>
      <c r="E14" s="1692">
        <v>78</v>
      </c>
      <c r="F14" s="1623">
        <f t="shared" si="0"/>
        <v>162</v>
      </c>
      <c r="G14" s="1624">
        <f t="shared" si="1"/>
        <v>2.1</v>
      </c>
      <c r="H14" s="1692">
        <v>79</v>
      </c>
      <c r="I14" s="1692">
        <v>88</v>
      </c>
      <c r="J14" s="1692">
        <v>80</v>
      </c>
      <c r="K14" s="1623">
        <f t="shared" si="2"/>
        <v>168</v>
      </c>
      <c r="L14" s="1692">
        <v>79</v>
      </c>
      <c r="M14" s="1692">
        <v>89</v>
      </c>
      <c r="N14" s="1693">
        <v>80</v>
      </c>
      <c r="O14" s="1623">
        <f t="shared" si="3"/>
        <v>169</v>
      </c>
      <c r="P14" s="599" t="s">
        <v>2106</v>
      </c>
      <c r="Q14" s="599">
        <f>ROUND(K14/$K$3*$Q$3,0)-1</f>
        <v>9</v>
      </c>
      <c r="R14" s="1614">
        <f t="shared" si="4"/>
        <v>177</v>
      </c>
      <c r="S14" s="599">
        <f t="shared" si="6"/>
        <v>10</v>
      </c>
    </row>
    <row r="15" spans="1:19">
      <c r="A15" s="1615" t="s">
        <v>1650</v>
      </c>
      <c r="B15" s="1694" t="s">
        <v>1908</v>
      </c>
      <c r="C15" s="1692">
        <v>93</v>
      </c>
      <c r="D15" s="1692">
        <v>88</v>
      </c>
      <c r="E15" s="1692">
        <v>104</v>
      </c>
      <c r="F15" s="1623">
        <f t="shared" si="0"/>
        <v>192</v>
      </c>
      <c r="G15" s="1624">
        <f t="shared" si="1"/>
        <v>2.06</v>
      </c>
      <c r="H15" s="1692">
        <v>88</v>
      </c>
      <c r="I15" s="1692">
        <v>90</v>
      </c>
      <c r="J15" s="1692">
        <v>102</v>
      </c>
      <c r="K15" s="1623">
        <f t="shared" si="2"/>
        <v>192</v>
      </c>
      <c r="L15" s="1692">
        <v>92</v>
      </c>
      <c r="M15" s="1692">
        <v>93</v>
      </c>
      <c r="N15" s="1693">
        <v>101</v>
      </c>
      <c r="O15" s="1623">
        <f t="shared" si="3"/>
        <v>194</v>
      </c>
      <c r="P15" s="599" t="s">
        <v>2107</v>
      </c>
      <c r="Q15" s="599">
        <f>ROUND(K15/$K$3*$Q$3,0)-1</f>
        <v>11</v>
      </c>
      <c r="R15" s="1614">
        <f t="shared" si="4"/>
        <v>203</v>
      </c>
      <c r="S15" s="599">
        <f t="shared" si="6"/>
        <v>12</v>
      </c>
    </row>
    <row r="16" spans="1:19">
      <c r="A16" s="1615" t="s">
        <v>1652</v>
      </c>
      <c r="B16" s="1694" t="s">
        <v>1909</v>
      </c>
      <c r="C16" s="1692">
        <v>93</v>
      </c>
      <c r="D16" s="1692">
        <v>101</v>
      </c>
      <c r="E16" s="1692">
        <v>88</v>
      </c>
      <c r="F16" s="1623">
        <f t="shared" si="0"/>
        <v>189</v>
      </c>
      <c r="G16" s="1624">
        <f t="shared" si="1"/>
        <v>2.0299999999999998</v>
      </c>
      <c r="H16" s="1692">
        <v>95</v>
      </c>
      <c r="I16" s="1692">
        <v>102</v>
      </c>
      <c r="J16" s="1692">
        <v>90</v>
      </c>
      <c r="K16" s="1623">
        <f t="shared" si="2"/>
        <v>192</v>
      </c>
      <c r="L16" s="1692">
        <v>99</v>
      </c>
      <c r="M16" s="1692">
        <v>104</v>
      </c>
      <c r="N16" s="1693">
        <v>94</v>
      </c>
      <c r="O16" s="1623">
        <f t="shared" si="3"/>
        <v>198</v>
      </c>
      <c r="Q16" s="599">
        <f>ROUND(K16/$K$3*$Q$3,0)-1</f>
        <v>11</v>
      </c>
      <c r="R16" s="1614">
        <f t="shared" si="4"/>
        <v>203</v>
      </c>
      <c r="S16" s="599">
        <f t="shared" si="6"/>
        <v>12</v>
      </c>
    </row>
    <row r="17" spans="1:19">
      <c r="A17" s="1615" t="s">
        <v>1654</v>
      </c>
      <c r="B17" s="1694" t="s">
        <v>1910</v>
      </c>
      <c r="C17" s="1692">
        <v>33</v>
      </c>
      <c r="D17" s="1692">
        <v>27</v>
      </c>
      <c r="E17" s="1692">
        <v>34</v>
      </c>
      <c r="F17" s="1623">
        <f t="shared" si="0"/>
        <v>61</v>
      </c>
      <c r="G17" s="1624">
        <f t="shared" si="1"/>
        <v>1.85</v>
      </c>
      <c r="H17" s="1692">
        <v>35</v>
      </c>
      <c r="I17" s="1692">
        <v>30</v>
      </c>
      <c r="J17" s="1692">
        <v>34</v>
      </c>
      <c r="K17" s="1623">
        <f t="shared" si="2"/>
        <v>64</v>
      </c>
      <c r="L17" s="1692">
        <v>32</v>
      </c>
      <c r="M17" s="1692">
        <v>30</v>
      </c>
      <c r="N17" s="1693">
        <v>30</v>
      </c>
      <c r="O17" s="1623">
        <f t="shared" si="3"/>
        <v>60</v>
      </c>
      <c r="Q17" s="599">
        <f t="shared" si="5"/>
        <v>4</v>
      </c>
      <c r="R17" s="1614">
        <f t="shared" si="4"/>
        <v>68</v>
      </c>
      <c r="S17" s="599">
        <f t="shared" si="6"/>
        <v>4</v>
      </c>
    </row>
    <row r="18" spans="1:19">
      <c r="A18" s="1615" t="s">
        <v>1656</v>
      </c>
      <c r="B18" s="1694" t="s">
        <v>1911</v>
      </c>
      <c r="C18" s="1692">
        <v>73</v>
      </c>
      <c r="D18" s="1692">
        <v>60</v>
      </c>
      <c r="E18" s="1692">
        <v>62</v>
      </c>
      <c r="F18" s="1623">
        <f t="shared" si="0"/>
        <v>122</v>
      </c>
      <c r="G18" s="1624">
        <f t="shared" si="1"/>
        <v>1.67</v>
      </c>
      <c r="H18" s="1692">
        <v>73</v>
      </c>
      <c r="I18" s="1692">
        <v>60</v>
      </c>
      <c r="J18" s="1692">
        <v>65</v>
      </c>
      <c r="K18" s="1623">
        <f t="shared" si="2"/>
        <v>125</v>
      </c>
      <c r="L18" s="1692">
        <v>72</v>
      </c>
      <c r="M18" s="1692">
        <v>64</v>
      </c>
      <c r="N18" s="1693">
        <v>66</v>
      </c>
      <c r="O18" s="1623">
        <f t="shared" si="3"/>
        <v>130</v>
      </c>
      <c r="Q18" s="599">
        <f t="shared" si="5"/>
        <v>8</v>
      </c>
      <c r="R18" s="1614">
        <f t="shared" si="4"/>
        <v>133</v>
      </c>
      <c r="S18" s="599">
        <f t="shared" si="6"/>
        <v>8</v>
      </c>
    </row>
    <row r="19" spans="1:19">
      <c r="A19" s="1615" t="s">
        <v>1658</v>
      </c>
      <c r="B19" s="1694" t="s">
        <v>1912</v>
      </c>
      <c r="C19" s="1692">
        <v>37</v>
      </c>
      <c r="D19" s="1692">
        <v>36</v>
      </c>
      <c r="E19" s="1692">
        <v>27</v>
      </c>
      <c r="F19" s="1623">
        <f t="shared" si="0"/>
        <v>63</v>
      </c>
      <c r="G19" s="1624">
        <f t="shared" si="1"/>
        <v>1.7</v>
      </c>
      <c r="H19" s="1692">
        <v>48</v>
      </c>
      <c r="I19" s="1692">
        <v>43</v>
      </c>
      <c r="J19" s="1692">
        <v>32</v>
      </c>
      <c r="K19" s="1623">
        <f t="shared" si="2"/>
        <v>75</v>
      </c>
      <c r="L19" s="1692">
        <v>46</v>
      </c>
      <c r="M19" s="1692">
        <v>40</v>
      </c>
      <c r="N19" s="1693">
        <v>33</v>
      </c>
      <c r="O19" s="1623">
        <f t="shared" si="3"/>
        <v>73</v>
      </c>
      <c r="Q19" s="599">
        <f t="shared" si="5"/>
        <v>5</v>
      </c>
      <c r="R19" s="1614">
        <f t="shared" si="4"/>
        <v>80</v>
      </c>
      <c r="S19" s="599">
        <f t="shared" si="6"/>
        <v>4</v>
      </c>
    </row>
    <row r="20" spans="1:19" ht="15" customHeight="1">
      <c r="A20" s="1615" t="s">
        <v>1660</v>
      </c>
      <c r="B20" s="1694" t="s">
        <v>1913</v>
      </c>
      <c r="C20" s="1692">
        <v>82</v>
      </c>
      <c r="D20" s="1692">
        <v>78</v>
      </c>
      <c r="E20" s="1692">
        <v>88</v>
      </c>
      <c r="F20" s="1623">
        <f t="shared" si="0"/>
        <v>166</v>
      </c>
      <c r="G20" s="1624">
        <f t="shared" si="1"/>
        <v>2.02</v>
      </c>
      <c r="H20" s="1692">
        <v>80</v>
      </c>
      <c r="I20" s="1692">
        <v>77</v>
      </c>
      <c r="J20" s="1692">
        <v>84</v>
      </c>
      <c r="K20" s="1623">
        <f t="shared" si="2"/>
        <v>161</v>
      </c>
      <c r="L20" s="1692">
        <v>83</v>
      </c>
      <c r="M20" s="1692">
        <v>76</v>
      </c>
      <c r="N20" s="1693">
        <v>84</v>
      </c>
      <c r="O20" s="1623">
        <f t="shared" si="3"/>
        <v>160</v>
      </c>
      <c r="Q20" s="599">
        <f>ROUND(K20/$K$3*$Q$3,0)-1</f>
        <v>9</v>
      </c>
      <c r="R20" s="1614">
        <f t="shared" si="4"/>
        <v>170</v>
      </c>
      <c r="S20" s="599">
        <f t="shared" si="6"/>
        <v>10</v>
      </c>
    </row>
    <row r="21" spans="1:19">
      <c r="A21" s="1615" t="s">
        <v>1662</v>
      </c>
      <c r="B21" s="1691" t="s">
        <v>1914</v>
      </c>
      <c r="C21" s="1692">
        <v>40</v>
      </c>
      <c r="D21" s="1692">
        <v>33</v>
      </c>
      <c r="E21" s="1692">
        <v>23</v>
      </c>
      <c r="F21" s="1623">
        <f t="shared" si="0"/>
        <v>56</v>
      </c>
      <c r="G21" s="1624">
        <f t="shared" si="1"/>
        <v>1.4</v>
      </c>
      <c r="H21" s="1692">
        <v>44</v>
      </c>
      <c r="I21" s="1692">
        <v>40</v>
      </c>
      <c r="J21" s="1692">
        <v>25</v>
      </c>
      <c r="K21" s="1623">
        <f t="shared" si="2"/>
        <v>65</v>
      </c>
      <c r="L21" s="1692">
        <v>50</v>
      </c>
      <c r="M21" s="1692">
        <v>44</v>
      </c>
      <c r="N21" s="1693">
        <v>29</v>
      </c>
      <c r="O21" s="1623">
        <f t="shared" si="3"/>
        <v>73</v>
      </c>
      <c r="Q21" s="599">
        <f t="shared" si="5"/>
        <v>4</v>
      </c>
      <c r="R21" s="1614">
        <f t="shared" si="4"/>
        <v>69</v>
      </c>
      <c r="S21" s="599">
        <f t="shared" si="6"/>
        <v>4</v>
      </c>
    </row>
    <row r="22" spans="1:19">
      <c r="A22" s="1615" t="s">
        <v>1664</v>
      </c>
      <c r="B22" s="1691" t="s">
        <v>1915</v>
      </c>
      <c r="C22" s="1692">
        <v>36</v>
      </c>
      <c r="D22" s="1692">
        <v>25</v>
      </c>
      <c r="E22" s="1692">
        <v>31</v>
      </c>
      <c r="F22" s="1623">
        <f t="shared" si="0"/>
        <v>56</v>
      </c>
      <c r="G22" s="1624">
        <f t="shared" si="1"/>
        <v>1.56</v>
      </c>
      <c r="H22" s="1692">
        <v>37</v>
      </c>
      <c r="I22" s="1692">
        <v>29</v>
      </c>
      <c r="J22" s="1692">
        <v>34</v>
      </c>
      <c r="K22" s="1623">
        <f t="shared" si="2"/>
        <v>63</v>
      </c>
      <c r="L22" s="1692">
        <v>36</v>
      </c>
      <c r="M22" s="1692">
        <v>28</v>
      </c>
      <c r="N22" s="1693">
        <v>32</v>
      </c>
      <c r="O22" s="1623">
        <f t="shared" si="3"/>
        <v>60</v>
      </c>
      <c r="Q22" s="599">
        <f t="shared" si="5"/>
        <v>4</v>
      </c>
      <c r="R22" s="1614">
        <f t="shared" si="4"/>
        <v>67</v>
      </c>
      <c r="S22" s="599">
        <f t="shared" si="6"/>
        <v>4</v>
      </c>
    </row>
    <row r="23" spans="1:19">
      <c r="A23" s="1615" t="s">
        <v>1666</v>
      </c>
      <c r="B23" s="1691" t="s">
        <v>1916</v>
      </c>
      <c r="C23" s="1692">
        <v>55</v>
      </c>
      <c r="D23" s="1692">
        <v>49</v>
      </c>
      <c r="E23" s="1692">
        <v>49</v>
      </c>
      <c r="F23" s="1623">
        <f t="shared" si="0"/>
        <v>98</v>
      </c>
      <c r="G23" s="1624">
        <f t="shared" si="1"/>
        <v>1.78</v>
      </c>
      <c r="H23" s="1692">
        <v>52</v>
      </c>
      <c r="I23" s="1692">
        <v>43</v>
      </c>
      <c r="J23" s="1692">
        <v>49</v>
      </c>
      <c r="K23" s="1623">
        <f t="shared" si="2"/>
        <v>92</v>
      </c>
      <c r="L23" s="1692">
        <v>51</v>
      </c>
      <c r="M23" s="1692">
        <v>44</v>
      </c>
      <c r="N23" s="1693">
        <v>45</v>
      </c>
      <c r="O23" s="1623">
        <f t="shared" si="3"/>
        <v>89</v>
      </c>
      <c r="Q23" s="599">
        <f t="shared" si="5"/>
        <v>6</v>
      </c>
      <c r="R23" s="1614">
        <f t="shared" si="4"/>
        <v>98</v>
      </c>
      <c r="S23" s="599">
        <f t="shared" si="6"/>
        <v>5</v>
      </c>
    </row>
    <row r="24" spans="1:19">
      <c r="A24" s="1615" t="s">
        <v>1668</v>
      </c>
      <c r="B24" s="1691" t="s">
        <v>1917</v>
      </c>
      <c r="C24" s="1692">
        <v>45</v>
      </c>
      <c r="D24" s="1692">
        <v>45</v>
      </c>
      <c r="E24" s="1692">
        <v>49</v>
      </c>
      <c r="F24" s="1623">
        <f t="shared" si="0"/>
        <v>94</v>
      </c>
      <c r="G24" s="1624">
        <f t="shared" si="1"/>
        <v>2.09</v>
      </c>
      <c r="H24" s="1692">
        <v>44</v>
      </c>
      <c r="I24" s="1692">
        <v>43</v>
      </c>
      <c r="J24" s="1692">
        <v>49</v>
      </c>
      <c r="K24" s="1623">
        <f t="shared" si="2"/>
        <v>92</v>
      </c>
      <c r="L24" s="1692">
        <v>46</v>
      </c>
      <c r="M24" s="1692">
        <v>42</v>
      </c>
      <c r="N24" s="1693">
        <v>51</v>
      </c>
      <c r="O24" s="1623">
        <f t="shared" si="3"/>
        <v>93</v>
      </c>
      <c r="Q24" s="599">
        <f t="shared" si="5"/>
        <v>6</v>
      </c>
      <c r="R24" s="1614">
        <f t="shared" si="4"/>
        <v>98</v>
      </c>
      <c r="S24" s="599">
        <f t="shared" si="6"/>
        <v>6</v>
      </c>
    </row>
    <row r="25" spans="1:19">
      <c r="A25" s="1615" t="s">
        <v>1670</v>
      </c>
      <c r="B25" s="1691" t="s">
        <v>1918</v>
      </c>
      <c r="C25" s="1692">
        <v>37</v>
      </c>
      <c r="D25" s="1692">
        <v>39</v>
      </c>
      <c r="E25" s="1692">
        <v>32</v>
      </c>
      <c r="F25" s="1623">
        <f t="shared" si="0"/>
        <v>71</v>
      </c>
      <c r="G25" s="1624">
        <f t="shared" si="1"/>
        <v>1.92</v>
      </c>
      <c r="H25" s="1692">
        <v>38</v>
      </c>
      <c r="I25" s="1692">
        <v>39</v>
      </c>
      <c r="J25" s="1692">
        <v>33</v>
      </c>
      <c r="K25" s="1623">
        <f t="shared" si="2"/>
        <v>72</v>
      </c>
      <c r="L25" s="1692">
        <v>37</v>
      </c>
      <c r="M25" s="1692">
        <v>38</v>
      </c>
      <c r="N25" s="1693">
        <v>32</v>
      </c>
      <c r="O25" s="1623">
        <f t="shared" si="3"/>
        <v>70</v>
      </c>
      <c r="Q25" s="599">
        <f t="shared" si="5"/>
        <v>4</v>
      </c>
      <c r="R25" s="1614">
        <f t="shared" si="4"/>
        <v>76</v>
      </c>
      <c r="S25" s="599">
        <f t="shared" si="6"/>
        <v>4</v>
      </c>
    </row>
    <row r="26" spans="1:19">
      <c r="A26" s="1615" t="s">
        <v>1672</v>
      </c>
      <c r="B26" s="1691" t="s">
        <v>1919</v>
      </c>
      <c r="C26" s="1692">
        <v>49</v>
      </c>
      <c r="D26" s="1692">
        <v>55</v>
      </c>
      <c r="E26" s="1692">
        <v>49</v>
      </c>
      <c r="F26" s="1623">
        <f t="shared" si="0"/>
        <v>104</v>
      </c>
      <c r="G26" s="1624">
        <f t="shared" si="1"/>
        <v>2.12</v>
      </c>
      <c r="H26" s="1692">
        <v>46</v>
      </c>
      <c r="I26" s="1692">
        <v>51</v>
      </c>
      <c r="J26" s="1692">
        <v>48</v>
      </c>
      <c r="K26" s="1623">
        <f t="shared" si="2"/>
        <v>99</v>
      </c>
      <c r="L26" s="1692">
        <v>44</v>
      </c>
      <c r="M26" s="1692">
        <v>48</v>
      </c>
      <c r="N26" s="1693">
        <v>45</v>
      </c>
      <c r="O26" s="1623">
        <f t="shared" si="3"/>
        <v>93</v>
      </c>
      <c r="Q26" s="599">
        <f t="shared" si="5"/>
        <v>6</v>
      </c>
      <c r="R26" s="1614">
        <f t="shared" si="4"/>
        <v>105</v>
      </c>
      <c r="S26" s="599">
        <f t="shared" si="6"/>
        <v>6</v>
      </c>
    </row>
    <row r="27" spans="1:19">
      <c r="A27" s="1615" t="s">
        <v>1674</v>
      </c>
      <c r="B27" s="1691" t="s">
        <v>1920</v>
      </c>
      <c r="C27" s="1692">
        <v>37</v>
      </c>
      <c r="D27" s="1692">
        <v>33</v>
      </c>
      <c r="E27" s="1692">
        <v>32</v>
      </c>
      <c r="F27" s="1623">
        <f t="shared" si="0"/>
        <v>65</v>
      </c>
      <c r="G27" s="1624">
        <f t="shared" si="1"/>
        <v>1.76</v>
      </c>
      <c r="H27" s="1692">
        <v>33</v>
      </c>
      <c r="I27" s="1692">
        <v>27</v>
      </c>
      <c r="J27" s="1692">
        <v>30</v>
      </c>
      <c r="K27" s="1623">
        <f t="shared" si="2"/>
        <v>57</v>
      </c>
      <c r="L27" s="1692">
        <v>34</v>
      </c>
      <c r="M27" s="1692">
        <v>28</v>
      </c>
      <c r="N27" s="1693">
        <v>30</v>
      </c>
      <c r="O27" s="1623">
        <f t="shared" si="3"/>
        <v>58</v>
      </c>
      <c r="Q27" s="599">
        <f t="shared" si="5"/>
        <v>3</v>
      </c>
      <c r="R27" s="1614">
        <f t="shared" si="4"/>
        <v>60</v>
      </c>
      <c r="S27" s="599">
        <f t="shared" si="6"/>
        <v>3</v>
      </c>
    </row>
    <row r="28" spans="1:19">
      <c r="A28" s="1615" t="s">
        <v>1676</v>
      </c>
      <c r="B28" s="1691" t="s">
        <v>1921</v>
      </c>
      <c r="C28" s="1692">
        <v>37</v>
      </c>
      <c r="D28" s="1692">
        <v>36</v>
      </c>
      <c r="E28" s="1692">
        <v>35</v>
      </c>
      <c r="F28" s="1623">
        <f t="shared" si="0"/>
        <v>71</v>
      </c>
      <c r="G28" s="1624">
        <f t="shared" si="1"/>
        <v>1.92</v>
      </c>
      <c r="H28" s="1692">
        <v>38</v>
      </c>
      <c r="I28" s="1692">
        <v>37</v>
      </c>
      <c r="J28" s="1692">
        <v>38</v>
      </c>
      <c r="K28" s="1623">
        <f t="shared" si="2"/>
        <v>75</v>
      </c>
      <c r="L28" s="1692">
        <v>38</v>
      </c>
      <c r="M28" s="1692">
        <v>38</v>
      </c>
      <c r="N28" s="1693">
        <v>40</v>
      </c>
      <c r="O28" s="1623">
        <f t="shared" si="3"/>
        <v>78</v>
      </c>
      <c r="Q28" s="599">
        <f t="shared" si="5"/>
        <v>5</v>
      </c>
      <c r="R28" s="1614">
        <f t="shared" si="4"/>
        <v>80</v>
      </c>
      <c r="S28" s="599">
        <f t="shared" si="6"/>
        <v>5</v>
      </c>
    </row>
    <row r="29" spans="1:19">
      <c r="A29" s="1615" t="s">
        <v>1895</v>
      </c>
      <c r="B29" s="1691" t="s">
        <v>1922</v>
      </c>
      <c r="C29" s="1692">
        <v>81</v>
      </c>
      <c r="D29" s="1692">
        <v>77</v>
      </c>
      <c r="E29" s="1692">
        <v>73</v>
      </c>
      <c r="F29" s="1623">
        <f t="shared" si="0"/>
        <v>150</v>
      </c>
      <c r="G29" s="1624">
        <f t="shared" si="1"/>
        <v>1.85</v>
      </c>
      <c r="H29" s="1692">
        <v>83</v>
      </c>
      <c r="I29" s="1692">
        <v>83</v>
      </c>
      <c r="J29" s="1692">
        <v>71</v>
      </c>
      <c r="K29" s="1623">
        <f t="shared" si="2"/>
        <v>154</v>
      </c>
      <c r="L29" s="1692">
        <v>89</v>
      </c>
      <c r="M29" s="1692">
        <v>85</v>
      </c>
      <c r="N29" s="1693">
        <v>76</v>
      </c>
      <c r="O29" s="1623">
        <f t="shared" si="3"/>
        <v>161</v>
      </c>
      <c r="P29" s="599" t="s">
        <v>2105</v>
      </c>
      <c r="Q29" s="599">
        <f t="shared" si="5"/>
        <v>9</v>
      </c>
      <c r="R29" s="1614">
        <f t="shared" si="4"/>
        <v>163</v>
      </c>
      <c r="S29" s="599">
        <f t="shared" si="6"/>
        <v>10</v>
      </c>
    </row>
    <row r="30" spans="1:19">
      <c r="A30" s="1615" t="s">
        <v>1681</v>
      </c>
      <c r="B30" s="1691" t="s">
        <v>1923</v>
      </c>
      <c r="C30" s="1692">
        <v>13</v>
      </c>
      <c r="D30" s="1692">
        <v>13</v>
      </c>
      <c r="E30" s="1692">
        <v>10</v>
      </c>
      <c r="F30" s="1623">
        <f t="shared" si="0"/>
        <v>23</v>
      </c>
      <c r="G30" s="1624">
        <f t="shared" si="1"/>
        <v>1.77</v>
      </c>
      <c r="H30" s="1692">
        <v>16</v>
      </c>
      <c r="I30" s="1692">
        <v>15</v>
      </c>
      <c r="J30" s="1692">
        <v>15</v>
      </c>
      <c r="K30" s="1623">
        <f t="shared" si="2"/>
        <v>30</v>
      </c>
      <c r="L30" s="1692">
        <v>16</v>
      </c>
      <c r="M30" s="1692">
        <v>15</v>
      </c>
      <c r="N30" s="1693">
        <v>13</v>
      </c>
      <c r="O30" s="1623">
        <f t="shared" si="3"/>
        <v>28</v>
      </c>
      <c r="Q30" s="599">
        <f t="shared" si="5"/>
        <v>2</v>
      </c>
      <c r="R30" s="1614">
        <f t="shared" si="4"/>
        <v>32</v>
      </c>
      <c r="S30" s="599">
        <f t="shared" si="6"/>
        <v>2</v>
      </c>
    </row>
    <row r="31" spans="1:19">
      <c r="A31" s="1615" t="s">
        <v>1683</v>
      </c>
      <c r="B31" s="1691" t="s">
        <v>1924</v>
      </c>
      <c r="C31" s="1692">
        <v>32</v>
      </c>
      <c r="D31" s="1692">
        <v>36</v>
      </c>
      <c r="E31" s="1692">
        <v>33</v>
      </c>
      <c r="F31" s="1623">
        <f t="shared" si="0"/>
        <v>69</v>
      </c>
      <c r="G31" s="1624">
        <f t="shared" si="1"/>
        <v>2.16</v>
      </c>
      <c r="H31" s="1692">
        <v>33</v>
      </c>
      <c r="I31" s="1692">
        <v>37</v>
      </c>
      <c r="J31" s="1692">
        <v>33</v>
      </c>
      <c r="K31" s="1623">
        <f t="shared" si="2"/>
        <v>70</v>
      </c>
      <c r="L31" s="1692">
        <v>31</v>
      </c>
      <c r="M31" s="1692">
        <v>37</v>
      </c>
      <c r="N31" s="1693">
        <v>31</v>
      </c>
      <c r="O31" s="1623">
        <f t="shared" si="3"/>
        <v>68</v>
      </c>
      <c r="Q31" s="599">
        <f t="shared" si="5"/>
        <v>4</v>
      </c>
      <c r="R31" s="1614">
        <f t="shared" si="4"/>
        <v>74</v>
      </c>
      <c r="S31" s="599">
        <f t="shared" si="6"/>
        <v>4</v>
      </c>
    </row>
    <row r="32" spans="1:19">
      <c r="A32" s="1615" t="s">
        <v>1685</v>
      </c>
      <c r="B32" s="1691" t="s">
        <v>1925</v>
      </c>
      <c r="C32" s="1692">
        <v>33</v>
      </c>
      <c r="D32" s="1692">
        <v>37</v>
      </c>
      <c r="E32" s="1692">
        <v>32</v>
      </c>
      <c r="F32" s="1623">
        <f t="shared" si="0"/>
        <v>69</v>
      </c>
      <c r="G32" s="1624">
        <f t="shared" si="1"/>
        <v>2.09</v>
      </c>
      <c r="H32" s="1692">
        <v>34</v>
      </c>
      <c r="I32" s="1692">
        <v>37</v>
      </c>
      <c r="J32" s="1692">
        <v>30</v>
      </c>
      <c r="K32" s="1623">
        <f t="shared" si="2"/>
        <v>67</v>
      </c>
      <c r="L32" s="1692">
        <v>35</v>
      </c>
      <c r="M32" s="1692">
        <v>39</v>
      </c>
      <c r="N32" s="1693">
        <v>30</v>
      </c>
      <c r="O32" s="1623">
        <f t="shared" si="3"/>
        <v>69</v>
      </c>
      <c r="Q32" s="599">
        <f t="shared" si="5"/>
        <v>4</v>
      </c>
      <c r="R32" s="1614">
        <f t="shared" si="4"/>
        <v>71</v>
      </c>
      <c r="S32" s="599">
        <f t="shared" si="6"/>
        <v>4</v>
      </c>
    </row>
    <row r="33" spans="1:19" ht="17.25" thickBot="1">
      <c r="A33" s="1617" t="s">
        <v>1687</v>
      </c>
      <c r="B33" s="1695" t="s">
        <v>1926</v>
      </c>
      <c r="C33" s="1696">
        <v>75</v>
      </c>
      <c r="D33" s="1696">
        <v>74</v>
      </c>
      <c r="E33" s="1696">
        <v>62</v>
      </c>
      <c r="F33" s="1623">
        <f t="shared" si="0"/>
        <v>136</v>
      </c>
      <c r="G33" s="1624">
        <f t="shared" si="1"/>
        <v>1.81</v>
      </c>
      <c r="H33" s="1696">
        <v>82</v>
      </c>
      <c r="I33" s="1696">
        <v>76</v>
      </c>
      <c r="J33" s="1696">
        <v>71</v>
      </c>
      <c r="K33" s="1623">
        <f t="shared" si="2"/>
        <v>147</v>
      </c>
      <c r="L33" s="1696">
        <v>81</v>
      </c>
      <c r="M33" s="1696">
        <v>76</v>
      </c>
      <c r="N33" s="1697">
        <v>71</v>
      </c>
      <c r="O33" s="1623">
        <f t="shared" si="3"/>
        <v>147</v>
      </c>
      <c r="Q33" s="599">
        <f t="shared" si="5"/>
        <v>9</v>
      </c>
      <c r="R33" s="1614">
        <f t="shared" si="4"/>
        <v>156</v>
      </c>
      <c r="S33" s="599">
        <f t="shared" si="6"/>
        <v>9</v>
      </c>
    </row>
  </sheetData>
  <mergeCells count="5">
    <mergeCell ref="A1:B1"/>
    <mergeCell ref="C1:G1"/>
    <mergeCell ref="H1:K1"/>
    <mergeCell ref="L1:O1"/>
    <mergeCell ref="A3:B3"/>
  </mergeCells>
  <phoneticPr fontId="3" type="noConversion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workbookViewId="0">
      <selection activeCell="R12" sqref="R11:R27"/>
    </sheetView>
  </sheetViews>
  <sheetFormatPr defaultRowHeight="16.5"/>
  <cols>
    <col min="1" max="1" width="21" style="599" bestFit="1" customWidth="1"/>
    <col min="2" max="2" width="8.125" style="599" bestFit="1" customWidth="1"/>
    <col min="3" max="3" width="7.125" style="599" hidden="1" customWidth="1"/>
    <col min="4" max="7" width="5.875" style="599" hidden="1" customWidth="1"/>
    <col min="8" max="16384" width="9" style="599"/>
  </cols>
  <sheetData>
    <row r="1" spans="1:19" ht="26.25">
      <c r="A1" s="1618" t="s">
        <v>1795</v>
      </c>
      <c r="B1" s="1618"/>
      <c r="H1" s="1618" t="s">
        <v>1796</v>
      </c>
      <c r="L1" s="1618" t="s">
        <v>1797</v>
      </c>
    </row>
    <row r="2" spans="1:19">
      <c r="A2" s="1619" t="s">
        <v>1798</v>
      </c>
      <c r="B2" s="1619"/>
      <c r="C2" s="1620" t="s">
        <v>1621</v>
      </c>
      <c r="D2" s="1620" t="s">
        <v>1622</v>
      </c>
      <c r="E2" s="1620" t="s">
        <v>1623</v>
      </c>
      <c r="F2" s="1699" t="s">
        <v>1799</v>
      </c>
      <c r="G2" s="1699" t="s">
        <v>1741</v>
      </c>
      <c r="H2" s="1620" t="s">
        <v>1621</v>
      </c>
      <c r="I2" s="1620" t="s">
        <v>1622</v>
      </c>
      <c r="J2" s="1620" t="s">
        <v>1623</v>
      </c>
      <c r="K2" s="1699" t="s">
        <v>1799</v>
      </c>
      <c r="L2" s="1620" t="s">
        <v>1621</v>
      </c>
      <c r="M2" s="1620" t="s">
        <v>1622</v>
      </c>
      <c r="N2" s="1620" t="s">
        <v>1623</v>
      </c>
      <c r="O2" s="1699" t="s">
        <v>1799</v>
      </c>
    </row>
    <row r="3" spans="1:19">
      <c r="A3" s="1622" t="s">
        <v>1626</v>
      </c>
      <c r="B3" s="1622"/>
      <c r="C3" s="1612">
        <v>3632</v>
      </c>
      <c r="D3" s="1612">
        <v>5385</v>
      </c>
      <c r="E3" s="1612">
        <v>4564</v>
      </c>
      <c r="F3" s="1612">
        <f>SUM(D3:E3)</f>
        <v>9949</v>
      </c>
      <c r="G3" s="1613">
        <f>ROUND(F3/C3,2)</f>
        <v>2.74</v>
      </c>
      <c r="H3" s="1612">
        <v>4676</v>
      </c>
      <c r="I3" s="1612">
        <v>6284</v>
      </c>
      <c r="J3" s="1612">
        <v>5412</v>
      </c>
      <c r="K3" s="1612">
        <f>SUM(I3:J3)</f>
        <v>11696</v>
      </c>
      <c r="L3" s="1612">
        <v>4788</v>
      </c>
      <c r="M3" s="1612">
        <v>6378</v>
      </c>
      <c r="N3" s="1612">
        <v>5538</v>
      </c>
      <c r="O3" s="1612">
        <f>SUM(M3:N3)</f>
        <v>11916</v>
      </c>
      <c r="Q3" s="599">
        <v>547</v>
      </c>
      <c r="R3" s="1614">
        <f t="shared" ref="R3:R27" si="0">Q3+K3</f>
        <v>12243</v>
      </c>
      <c r="S3" s="599">
        <v>547</v>
      </c>
    </row>
    <row r="4" spans="1:19">
      <c r="A4" s="1622" t="s">
        <v>1627</v>
      </c>
      <c r="B4" s="1622" t="s">
        <v>1929</v>
      </c>
      <c r="C4" s="97">
        <v>179</v>
      </c>
      <c r="D4" s="97">
        <v>157</v>
      </c>
      <c r="E4" s="97">
        <v>156</v>
      </c>
      <c r="F4" s="1612">
        <f t="shared" ref="F4:F27" si="1">SUM(D4:E4)</f>
        <v>313</v>
      </c>
      <c r="G4" s="1613">
        <f t="shared" ref="G4:G27" si="2">ROUND(F4/C4,2)</f>
        <v>1.75</v>
      </c>
      <c r="H4" s="97">
        <v>187</v>
      </c>
      <c r="I4" s="97">
        <v>163</v>
      </c>
      <c r="J4" s="97">
        <v>158</v>
      </c>
      <c r="K4" s="1612">
        <f t="shared" ref="K4:K27" si="3">SUM(I4:J4)</f>
        <v>321</v>
      </c>
      <c r="L4" s="97">
        <v>191</v>
      </c>
      <c r="M4" s="97">
        <v>166</v>
      </c>
      <c r="N4" s="97">
        <v>158</v>
      </c>
      <c r="O4" s="1612">
        <f t="shared" ref="O4:O27" si="4">SUM(M4:N4)</f>
        <v>324</v>
      </c>
      <c r="Q4" s="599">
        <f t="shared" ref="Q4:Q24" si="5">ROUND(K4/$K$3*$Q$3,0)</f>
        <v>15</v>
      </c>
      <c r="R4" s="1614">
        <f t="shared" si="0"/>
        <v>336</v>
      </c>
      <c r="S4" s="599">
        <f>ROUND(O4/$O$3*$S$3,0)</f>
        <v>15</v>
      </c>
    </row>
    <row r="5" spans="1:19">
      <c r="A5" s="1622" t="s">
        <v>1629</v>
      </c>
      <c r="B5" s="1622" t="s">
        <v>1930</v>
      </c>
      <c r="C5" s="97">
        <v>100</v>
      </c>
      <c r="D5" s="97">
        <v>186</v>
      </c>
      <c r="E5" s="97">
        <v>98</v>
      </c>
      <c r="F5" s="1612">
        <f t="shared" si="1"/>
        <v>284</v>
      </c>
      <c r="G5" s="1613">
        <f t="shared" si="2"/>
        <v>2.84</v>
      </c>
      <c r="H5" s="97">
        <v>100</v>
      </c>
      <c r="I5" s="97">
        <v>153</v>
      </c>
      <c r="J5" s="97">
        <v>86</v>
      </c>
      <c r="K5" s="1612">
        <f t="shared" si="3"/>
        <v>239</v>
      </c>
      <c r="L5" s="97">
        <v>99</v>
      </c>
      <c r="M5" s="97">
        <v>152</v>
      </c>
      <c r="N5" s="97">
        <v>86</v>
      </c>
      <c r="O5" s="1612">
        <f t="shared" si="4"/>
        <v>238</v>
      </c>
      <c r="Q5" s="599">
        <f t="shared" si="5"/>
        <v>11</v>
      </c>
      <c r="R5" s="1614">
        <f t="shared" si="0"/>
        <v>250</v>
      </c>
      <c r="S5" s="599">
        <f t="shared" ref="S5:S27" si="6">ROUND(O5/$O$3*$S$3,0)</f>
        <v>11</v>
      </c>
    </row>
    <row r="6" spans="1:19">
      <c r="A6" s="1622" t="s">
        <v>1632</v>
      </c>
      <c r="B6" s="1622" t="s">
        <v>1931</v>
      </c>
      <c r="C6" s="97">
        <v>43</v>
      </c>
      <c r="D6" s="97">
        <v>49</v>
      </c>
      <c r="E6" s="97">
        <v>41</v>
      </c>
      <c r="F6" s="1612">
        <f t="shared" si="1"/>
        <v>90</v>
      </c>
      <c r="G6" s="1613">
        <f t="shared" si="2"/>
        <v>2.09</v>
      </c>
      <c r="H6" s="97">
        <v>55</v>
      </c>
      <c r="I6" s="97">
        <v>54</v>
      </c>
      <c r="J6" s="97">
        <v>43</v>
      </c>
      <c r="K6" s="1612">
        <f t="shared" si="3"/>
        <v>97</v>
      </c>
      <c r="L6" s="97">
        <v>57</v>
      </c>
      <c r="M6" s="97">
        <v>55</v>
      </c>
      <c r="N6" s="97">
        <v>43</v>
      </c>
      <c r="O6" s="1612">
        <f t="shared" si="4"/>
        <v>98</v>
      </c>
      <c r="Q6" s="599">
        <f t="shared" si="5"/>
        <v>5</v>
      </c>
      <c r="R6" s="1614">
        <f t="shared" si="0"/>
        <v>102</v>
      </c>
      <c r="S6" s="599">
        <f t="shared" si="6"/>
        <v>4</v>
      </c>
    </row>
    <row r="7" spans="1:19">
      <c r="A7" s="1622" t="s">
        <v>1634</v>
      </c>
      <c r="B7" s="1622" t="s">
        <v>1932</v>
      </c>
      <c r="C7" s="97">
        <v>188</v>
      </c>
      <c r="D7" s="97">
        <v>230</v>
      </c>
      <c r="E7" s="97">
        <v>123</v>
      </c>
      <c r="F7" s="1612">
        <f t="shared" si="1"/>
        <v>353</v>
      </c>
      <c r="G7" s="1613">
        <f t="shared" si="2"/>
        <v>1.88</v>
      </c>
      <c r="H7" s="97">
        <v>175</v>
      </c>
      <c r="I7" s="97">
        <v>212</v>
      </c>
      <c r="J7" s="97">
        <v>124</v>
      </c>
      <c r="K7" s="1612">
        <f t="shared" si="3"/>
        <v>336</v>
      </c>
      <c r="L7" s="97">
        <v>173</v>
      </c>
      <c r="M7" s="97">
        <v>200</v>
      </c>
      <c r="N7" s="97">
        <v>122</v>
      </c>
      <c r="O7" s="1612">
        <f t="shared" si="4"/>
        <v>322</v>
      </c>
      <c r="Q7" s="599">
        <f t="shared" si="5"/>
        <v>16</v>
      </c>
      <c r="R7" s="1614">
        <f t="shared" si="0"/>
        <v>352</v>
      </c>
      <c r="S7" s="599">
        <f t="shared" si="6"/>
        <v>15</v>
      </c>
    </row>
    <row r="8" spans="1:19">
      <c r="A8" s="1622" t="s">
        <v>1636</v>
      </c>
      <c r="B8" s="1622" t="s">
        <v>1933</v>
      </c>
      <c r="C8" s="97">
        <v>230</v>
      </c>
      <c r="D8" s="97">
        <v>235</v>
      </c>
      <c r="E8" s="97">
        <v>205</v>
      </c>
      <c r="F8" s="1612">
        <f t="shared" si="1"/>
        <v>440</v>
      </c>
      <c r="G8" s="1613">
        <f t="shared" si="2"/>
        <v>1.91</v>
      </c>
      <c r="H8" s="97">
        <v>250</v>
      </c>
      <c r="I8" s="97">
        <v>249</v>
      </c>
      <c r="J8" s="97">
        <v>234</v>
      </c>
      <c r="K8" s="1612">
        <f t="shared" si="3"/>
        <v>483</v>
      </c>
      <c r="L8" s="97">
        <v>252</v>
      </c>
      <c r="M8" s="97">
        <v>253</v>
      </c>
      <c r="N8" s="97">
        <v>239</v>
      </c>
      <c r="O8" s="1612">
        <f t="shared" si="4"/>
        <v>492</v>
      </c>
      <c r="Q8" s="599">
        <f t="shared" si="5"/>
        <v>23</v>
      </c>
      <c r="R8" s="1614">
        <f t="shared" si="0"/>
        <v>506</v>
      </c>
      <c r="S8" s="599">
        <f t="shared" si="6"/>
        <v>23</v>
      </c>
    </row>
    <row r="9" spans="1:19">
      <c r="A9" s="1622" t="s">
        <v>1638</v>
      </c>
      <c r="B9" s="1622" t="s">
        <v>1934</v>
      </c>
      <c r="C9" s="97">
        <v>74</v>
      </c>
      <c r="D9" s="97">
        <v>86</v>
      </c>
      <c r="E9" s="97">
        <v>83</v>
      </c>
      <c r="F9" s="1612">
        <f t="shared" si="1"/>
        <v>169</v>
      </c>
      <c r="G9" s="1613">
        <f t="shared" si="2"/>
        <v>2.2799999999999998</v>
      </c>
      <c r="H9" s="97">
        <v>81</v>
      </c>
      <c r="I9" s="97">
        <v>93</v>
      </c>
      <c r="J9" s="97">
        <v>81</v>
      </c>
      <c r="K9" s="1612">
        <f t="shared" si="3"/>
        <v>174</v>
      </c>
      <c r="L9" s="97">
        <v>86</v>
      </c>
      <c r="M9" s="97">
        <v>96</v>
      </c>
      <c r="N9" s="97">
        <v>85</v>
      </c>
      <c r="O9" s="1612">
        <f t="shared" si="4"/>
        <v>181</v>
      </c>
      <c r="Q9" s="599">
        <f t="shared" si="5"/>
        <v>8</v>
      </c>
      <c r="R9" s="1614">
        <f t="shared" si="0"/>
        <v>182</v>
      </c>
      <c r="S9" s="599">
        <f t="shared" si="6"/>
        <v>8</v>
      </c>
    </row>
    <row r="10" spans="1:19">
      <c r="A10" s="1622" t="s">
        <v>1640</v>
      </c>
      <c r="B10" s="1622" t="s">
        <v>1934</v>
      </c>
      <c r="C10" s="97">
        <v>76</v>
      </c>
      <c r="D10" s="1612">
        <v>1072</v>
      </c>
      <c r="E10" s="97">
        <v>690</v>
      </c>
      <c r="F10" s="1612">
        <f t="shared" si="1"/>
        <v>1762</v>
      </c>
      <c r="G10" s="1613">
        <f t="shared" si="2"/>
        <v>23.18</v>
      </c>
      <c r="H10" s="97">
        <v>83</v>
      </c>
      <c r="I10" s="1612">
        <v>1057</v>
      </c>
      <c r="J10" s="97">
        <v>670</v>
      </c>
      <c r="K10" s="1612">
        <f t="shared" si="3"/>
        <v>1727</v>
      </c>
      <c r="L10" s="97">
        <v>77</v>
      </c>
      <c r="M10" s="1612">
        <v>1045</v>
      </c>
      <c r="N10" s="97">
        <v>657</v>
      </c>
      <c r="O10" s="1612">
        <f t="shared" si="4"/>
        <v>1702</v>
      </c>
      <c r="Q10" s="599">
        <f t="shared" si="5"/>
        <v>81</v>
      </c>
      <c r="R10" s="1614">
        <f t="shared" si="0"/>
        <v>1808</v>
      </c>
      <c r="S10" s="599">
        <f t="shared" si="6"/>
        <v>78</v>
      </c>
    </row>
    <row r="11" spans="1:19">
      <c r="A11" s="1622" t="s">
        <v>1642</v>
      </c>
      <c r="B11" s="1622" t="s">
        <v>1935</v>
      </c>
      <c r="C11" s="97">
        <v>63</v>
      </c>
      <c r="D11" s="97">
        <v>74</v>
      </c>
      <c r="E11" s="97">
        <v>63</v>
      </c>
      <c r="F11" s="1612">
        <f t="shared" si="1"/>
        <v>137</v>
      </c>
      <c r="G11" s="1613">
        <f t="shared" si="2"/>
        <v>2.17</v>
      </c>
      <c r="H11" s="97">
        <v>58</v>
      </c>
      <c r="I11" s="97">
        <v>66</v>
      </c>
      <c r="J11" s="97">
        <v>57</v>
      </c>
      <c r="K11" s="1612">
        <f t="shared" si="3"/>
        <v>123</v>
      </c>
      <c r="L11" s="97">
        <v>56</v>
      </c>
      <c r="M11" s="97">
        <v>63</v>
      </c>
      <c r="N11" s="97">
        <v>58</v>
      </c>
      <c r="O11" s="1612">
        <f t="shared" si="4"/>
        <v>121</v>
      </c>
      <c r="Q11" s="599">
        <f t="shared" si="5"/>
        <v>6</v>
      </c>
      <c r="R11" s="1614">
        <f t="shared" si="0"/>
        <v>129</v>
      </c>
      <c r="S11" s="599">
        <f t="shared" si="6"/>
        <v>6</v>
      </c>
    </row>
    <row r="12" spans="1:19">
      <c r="A12" s="1622" t="s">
        <v>1644</v>
      </c>
      <c r="B12" s="1622" t="s">
        <v>1936</v>
      </c>
      <c r="C12" s="97">
        <v>57</v>
      </c>
      <c r="D12" s="97">
        <v>75</v>
      </c>
      <c r="E12" s="97">
        <v>76</v>
      </c>
      <c r="F12" s="1612">
        <f t="shared" si="1"/>
        <v>151</v>
      </c>
      <c r="G12" s="1613">
        <f t="shared" si="2"/>
        <v>2.65</v>
      </c>
      <c r="H12" s="97">
        <v>57</v>
      </c>
      <c r="I12" s="97">
        <v>76</v>
      </c>
      <c r="J12" s="97">
        <v>67</v>
      </c>
      <c r="K12" s="1612">
        <f t="shared" si="3"/>
        <v>143</v>
      </c>
      <c r="L12" s="97">
        <v>57</v>
      </c>
      <c r="M12" s="97">
        <v>76</v>
      </c>
      <c r="N12" s="97">
        <v>68</v>
      </c>
      <c r="O12" s="1612">
        <f t="shared" si="4"/>
        <v>144</v>
      </c>
      <c r="Q12" s="599">
        <f t="shared" si="5"/>
        <v>7</v>
      </c>
      <c r="R12" s="1614">
        <f t="shared" si="0"/>
        <v>150</v>
      </c>
      <c r="S12" s="599">
        <f t="shared" si="6"/>
        <v>7</v>
      </c>
    </row>
    <row r="13" spans="1:19">
      <c r="A13" s="1622" t="s">
        <v>1646</v>
      </c>
      <c r="B13" s="1622" t="s">
        <v>1937</v>
      </c>
      <c r="C13" s="97">
        <v>97</v>
      </c>
      <c r="D13" s="97">
        <v>94</v>
      </c>
      <c r="E13" s="97">
        <v>75</v>
      </c>
      <c r="F13" s="1612">
        <f t="shared" si="1"/>
        <v>169</v>
      </c>
      <c r="G13" s="1613">
        <f t="shared" si="2"/>
        <v>1.74</v>
      </c>
      <c r="H13" s="97">
        <v>91</v>
      </c>
      <c r="I13" s="97">
        <v>91</v>
      </c>
      <c r="J13" s="97">
        <v>69</v>
      </c>
      <c r="K13" s="1612">
        <f t="shared" si="3"/>
        <v>160</v>
      </c>
      <c r="L13" s="97">
        <v>90</v>
      </c>
      <c r="M13" s="97">
        <v>88</v>
      </c>
      <c r="N13" s="97">
        <v>72</v>
      </c>
      <c r="O13" s="1612">
        <f t="shared" si="4"/>
        <v>160</v>
      </c>
      <c r="Q13" s="599">
        <f t="shared" si="5"/>
        <v>7</v>
      </c>
      <c r="R13" s="1614">
        <f t="shared" si="0"/>
        <v>167</v>
      </c>
      <c r="S13" s="599">
        <f t="shared" si="6"/>
        <v>7</v>
      </c>
    </row>
    <row r="14" spans="1:19">
      <c r="A14" s="1622" t="s">
        <v>1648</v>
      </c>
      <c r="B14" s="1622" t="s">
        <v>1938</v>
      </c>
      <c r="C14" s="97">
        <v>57</v>
      </c>
      <c r="D14" s="97">
        <v>63</v>
      </c>
      <c r="E14" s="97">
        <v>69</v>
      </c>
      <c r="F14" s="1612">
        <f t="shared" si="1"/>
        <v>132</v>
      </c>
      <c r="G14" s="1613">
        <f t="shared" si="2"/>
        <v>2.3199999999999998</v>
      </c>
      <c r="H14" s="97">
        <v>62</v>
      </c>
      <c r="I14" s="97">
        <v>72</v>
      </c>
      <c r="J14" s="97">
        <v>72</v>
      </c>
      <c r="K14" s="1612">
        <f t="shared" si="3"/>
        <v>144</v>
      </c>
      <c r="L14" s="97">
        <v>63</v>
      </c>
      <c r="M14" s="97">
        <v>72</v>
      </c>
      <c r="N14" s="97">
        <v>72</v>
      </c>
      <c r="O14" s="1612">
        <f t="shared" si="4"/>
        <v>144</v>
      </c>
      <c r="Q14" s="599">
        <f t="shared" si="5"/>
        <v>7</v>
      </c>
      <c r="R14" s="1614">
        <f t="shared" si="0"/>
        <v>151</v>
      </c>
      <c r="S14" s="599">
        <f t="shared" si="6"/>
        <v>7</v>
      </c>
    </row>
    <row r="15" spans="1:19">
      <c r="A15" s="1622" t="s">
        <v>1650</v>
      </c>
      <c r="B15" s="1622" t="s">
        <v>1939</v>
      </c>
      <c r="C15" s="97">
        <v>74</v>
      </c>
      <c r="D15" s="97">
        <v>86</v>
      </c>
      <c r="E15" s="97">
        <v>63</v>
      </c>
      <c r="F15" s="1612">
        <f t="shared" si="1"/>
        <v>149</v>
      </c>
      <c r="G15" s="1613">
        <f t="shared" si="2"/>
        <v>2.0099999999999998</v>
      </c>
      <c r="H15" s="97">
        <v>95</v>
      </c>
      <c r="I15" s="97">
        <v>100</v>
      </c>
      <c r="J15" s="97">
        <v>66</v>
      </c>
      <c r="K15" s="1612">
        <f t="shared" si="3"/>
        <v>166</v>
      </c>
      <c r="L15" s="97">
        <v>94</v>
      </c>
      <c r="M15" s="97">
        <v>100</v>
      </c>
      <c r="N15" s="97">
        <v>73</v>
      </c>
      <c r="O15" s="1612">
        <f t="shared" si="4"/>
        <v>173</v>
      </c>
      <c r="Q15" s="599">
        <f t="shared" si="5"/>
        <v>8</v>
      </c>
      <c r="R15" s="1614">
        <f t="shared" si="0"/>
        <v>174</v>
      </c>
      <c r="S15" s="599">
        <f t="shared" si="6"/>
        <v>8</v>
      </c>
    </row>
    <row r="16" spans="1:19">
      <c r="A16" s="1622" t="s">
        <v>1652</v>
      </c>
      <c r="B16" s="1622" t="s">
        <v>1940</v>
      </c>
      <c r="C16" s="97">
        <v>41</v>
      </c>
      <c r="D16" s="97">
        <v>43</v>
      </c>
      <c r="E16" s="97">
        <v>50</v>
      </c>
      <c r="F16" s="1612">
        <f t="shared" si="1"/>
        <v>93</v>
      </c>
      <c r="G16" s="1613">
        <f t="shared" si="2"/>
        <v>2.27</v>
      </c>
      <c r="H16" s="97">
        <v>42</v>
      </c>
      <c r="I16" s="97">
        <v>47</v>
      </c>
      <c r="J16" s="97">
        <v>47</v>
      </c>
      <c r="K16" s="1612">
        <f t="shared" si="3"/>
        <v>94</v>
      </c>
      <c r="L16" s="97">
        <v>40</v>
      </c>
      <c r="M16" s="97">
        <v>43</v>
      </c>
      <c r="N16" s="97">
        <v>45</v>
      </c>
      <c r="O16" s="1612">
        <f t="shared" si="4"/>
        <v>88</v>
      </c>
      <c r="Q16" s="599">
        <f t="shared" si="5"/>
        <v>4</v>
      </c>
      <c r="R16" s="1614">
        <f t="shared" si="0"/>
        <v>98</v>
      </c>
      <c r="S16" s="599">
        <f t="shared" si="6"/>
        <v>4</v>
      </c>
    </row>
    <row r="17" spans="1:19">
      <c r="A17" s="1622" t="s">
        <v>1654</v>
      </c>
      <c r="B17" s="1622" t="s">
        <v>1941</v>
      </c>
      <c r="C17" s="97">
        <v>34</v>
      </c>
      <c r="D17" s="97">
        <v>32</v>
      </c>
      <c r="E17" s="97">
        <v>34</v>
      </c>
      <c r="F17" s="1612">
        <f t="shared" si="1"/>
        <v>66</v>
      </c>
      <c r="G17" s="1613">
        <f t="shared" si="2"/>
        <v>1.94</v>
      </c>
      <c r="H17" s="97">
        <v>34</v>
      </c>
      <c r="I17" s="97">
        <v>31</v>
      </c>
      <c r="J17" s="97">
        <v>35</v>
      </c>
      <c r="K17" s="1612">
        <f t="shared" si="3"/>
        <v>66</v>
      </c>
      <c r="L17" s="97">
        <v>33</v>
      </c>
      <c r="M17" s="97">
        <v>31</v>
      </c>
      <c r="N17" s="97">
        <v>33</v>
      </c>
      <c r="O17" s="1612">
        <f t="shared" si="4"/>
        <v>64</v>
      </c>
      <c r="Q17" s="599">
        <f t="shared" si="5"/>
        <v>3</v>
      </c>
      <c r="R17" s="1614">
        <f t="shared" si="0"/>
        <v>69</v>
      </c>
      <c r="S17" s="599">
        <f t="shared" si="6"/>
        <v>3</v>
      </c>
    </row>
    <row r="18" spans="1:19">
      <c r="A18" s="1622" t="s">
        <v>1656</v>
      </c>
      <c r="B18" s="1622" t="s">
        <v>1942</v>
      </c>
      <c r="C18" s="97">
        <v>40</v>
      </c>
      <c r="D18" s="97">
        <v>35</v>
      </c>
      <c r="E18" s="97">
        <v>37</v>
      </c>
      <c r="F18" s="1612">
        <f t="shared" si="1"/>
        <v>72</v>
      </c>
      <c r="G18" s="1613">
        <f t="shared" si="2"/>
        <v>1.8</v>
      </c>
      <c r="H18" s="97">
        <v>41</v>
      </c>
      <c r="I18" s="97">
        <v>38</v>
      </c>
      <c r="J18" s="97">
        <v>39</v>
      </c>
      <c r="K18" s="1612">
        <f t="shared" si="3"/>
        <v>77</v>
      </c>
      <c r="L18" s="97">
        <v>42</v>
      </c>
      <c r="M18" s="97">
        <v>39</v>
      </c>
      <c r="N18" s="97">
        <v>40</v>
      </c>
      <c r="O18" s="1612">
        <f t="shared" si="4"/>
        <v>79</v>
      </c>
      <c r="Q18" s="599">
        <f t="shared" si="5"/>
        <v>4</v>
      </c>
      <c r="R18" s="1614">
        <f t="shared" si="0"/>
        <v>81</v>
      </c>
      <c r="S18" s="599">
        <f t="shared" si="6"/>
        <v>4</v>
      </c>
    </row>
    <row r="19" spans="1:19">
      <c r="A19" s="1622" t="s">
        <v>1658</v>
      </c>
      <c r="B19" s="1622" t="s">
        <v>1943</v>
      </c>
      <c r="C19" s="97">
        <v>44</v>
      </c>
      <c r="D19" s="97">
        <v>53</v>
      </c>
      <c r="E19" s="97">
        <v>38</v>
      </c>
      <c r="F19" s="1612">
        <f t="shared" si="1"/>
        <v>91</v>
      </c>
      <c r="G19" s="1613">
        <f t="shared" si="2"/>
        <v>2.0699999999999998</v>
      </c>
      <c r="H19" s="97">
        <v>46</v>
      </c>
      <c r="I19" s="97">
        <v>51</v>
      </c>
      <c r="J19" s="97">
        <v>42</v>
      </c>
      <c r="K19" s="1612">
        <f t="shared" si="3"/>
        <v>93</v>
      </c>
      <c r="L19" s="97">
        <v>45</v>
      </c>
      <c r="M19" s="97">
        <v>50</v>
      </c>
      <c r="N19" s="97">
        <v>42</v>
      </c>
      <c r="O19" s="1612">
        <f t="shared" si="4"/>
        <v>92</v>
      </c>
      <c r="Q19" s="599">
        <f t="shared" si="5"/>
        <v>4</v>
      </c>
      <c r="R19" s="1614">
        <f t="shared" si="0"/>
        <v>97</v>
      </c>
      <c r="S19" s="599">
        <f t="shared" si="6"/>
        <v>4</v>
      </c>
    </row>
    <row r="20" spans="1:19">
      <c r="A20" s="1622" t="s">
        <v>1660</v>
      </c>
      <c r="B20" s="1622" t="s">
        <v>1944</v>
      </c>
      <c r="C20" s="97">
        <v>39</v>
      </c>
      <c r="D20" s="97">
        <v>46</v>
      </c>
      <c r="E20" s="97">
        <v>46</v>
      </c>
      <c r="F20" s="1612">
        <f t="shared" si="1"/>
        <v>92</v>
      </c>
      <c r="G20" s="1613">
        <f t="shared" si="2"/>
        <v>2.36</v>
      </c>
      <c r="H20" s="97">
        <v>70</v>
      </c>
      <c r="I20" s="97">
        <v>62</v>
      </c>
      <c r="J20" s="97">
        <v>52</v>
      </c>
      <c r="K20" s="1612">
        <f t="shared" si="3"/>
        <v>114</v>
      </c>
      <c r="L20" s="97">
        <v>95</v>
      </c>
      <c r="M20" s="97">
        <v>80</v>
      </c>
      <c r="N20" s="97">
        <v>58</v>
      </c>
      <c r="O20" s="1612">
        <f t="shared" si="4"/>
        <v>138</v>
      </c>
      <c r="Q20" s="599">
        <f t="shared" si="5"/>
        <v>5</v>
      </c>
      <c r="R20" s="1614">
        <f t="shared" si="0"/>
        <v>119</v>
      </c>
      <c r="S20" s="599">
        <f t="shared" si="6"/>
        <v>6</v>
      </c>
    </row>
    <row r="21" spans="1:19">
      <c r="A21" s="1622" t="s">
        <v>1662</v>
      </c>
      <c r="B21" s="1622" t="s">
        <v>1945</v>
      </c>
      <c r="C21" s="97">
        <v>27</v>
      </c>
      <c r="D21" s="97">
        <v>26</v>
      </c>
      <c r="E21" s="97">
        <v>28</v>
      </c>
      <c r="F21" s="1612">
        <f t="shared" si="1"/>
        <v>54</v>
      </c>
      <c r="G21" s="1613">
        <f t="shared" si="2"/>
        <v>2</v>
      </c>
      <c r="H21" s="97">
        <v>32</v>
      </c>
      <c r="I21" s="97">
        <v>30</v>
      </c>
      <c r="J21" s="97">
        <v>31</v>
      </c>
      <c r="K21" s="1612">
        <f t="shared" si="3"/>
        <v>61</v>
      </c>
      <c r="L21" s="97">
        <v>27</v>
      </c>
      <c r="M21" s="97">
        <v>26</v>
      </c>
      <c r="N21" s="97">
        <v>28</v>
      </c>
      <c r="O21" s="1612">
        <f t="shared" si="4"/>
        <v>54</v>
      </c>
      <c r="Q21" s="599">
        <f t="shared" si="5"/>
        <v>3</v>
      </c>
      <c r="R21" s="1614">
        <f t="shared" si="0"/>
        <v>64</v>
      </c>
      <c r="S21" s="599">
        <f t="shared" si="6"/>
        <v>2</v>
      </c>
    </row>
    <row r="22" spans="1:19">
      <c r="A22" s="1622" t="s">
        <v>1664</v>
      </c>
      <c r="B22" s="1622" t="s">
        <v>1946</v>
      </c>
      <c r="C22" s="97">
        <v>80</v>
      </c>
      <c r="D22" s="97">
        <v>91</v>
      </c>
      <c r="E22" s="97">
        <v>84</v>
      </c>
      <c r="F22" s="1612">
        <f t="shared" si="1"/>
        <v>175</v>
      </c>
      <c r="G22" s="1613">
        <f t="shared" si="2"/>
        <v>2.19</v>
      </c>
      <c r="H22" s="97">
        <v>109</v>
      </c>
      <c r="I22" s="97">
        <v>107</v>
      </c>
      <c r="J22" s="97">
        <v>104</v>
      </c>
      <c r="K22" s="1612">
        <f t="shared" si="3"/>
        <v>211</v>
      </c>
      <c r="L22" s="97">
        <v>60</v>
      </c>
      <c r="M22" s="97">
        <v>67</v>
      </c>
      <c r="N22" s="97">
        <v>68</v>
      </c>
      <c r="O22" s="1612">
        <f t="shared" si="4"/>
        <v>135</v>
      </c>
      <c r="Q22" s="599">
        <f t="shared" si="5"/>
        <v>10</v>
      </c>
      <c r="R22" s="1614">
        <f t="shared" si="0"/>
        <v>221</v>
      </c>
      <c r="S22" s="599">
        <f t="shared" si="6"/>
        <v>6</v>
      </c>
    </row>
    <row r="23" spans="1:19">
      <c r="A23" s="1622" t="s">
        <v>1666</v>
      </c>
      <c r="B23" s="1622" t="s">
        <v>1947</v>
      </c>
      <c r="C23" s="97">
        <v>78</v>
      </c>
      <c r="D23" s="97">
        <v>80</v>
      </c>
      <c r="E23" s="97">
        <v>72</v>
      </c>
      <c r="F23" s="1612">
        <f t="shared" si="1"/>
        <v>152</v>
      </c>
      <c r="G23" s="1613">
        <f t="shared" si="2"/>
        <v>1.95</v>
      </c>
      <c r="H23" s="97">
        <v>76</v>
      </c>
      <c r="I23" s="97">
        <v>79</v>
      </c>
      <c r="J23" s="97">
        <v>71</v>
      </c>
      <c r="K23" s="1612">
        <f t="shared" si="3"/>
        <v>150</v>
      </c>
      <c r="L23" s="97">
        <v>73</v>
      </c>
      <c r="M23" s="97">
        <v>74</v>
      </c>
      <c r="N23" s="97">
        <v>69</v>
      </c>
      <c r="O23" s="1612">
        <f t="shared" si="4"/>
        <v>143</v>
      </c>
      <c r="Q23" s="599">
        <f t="shared" si="5"/>
        <v>7</v>
      </c>
      <c r="R23" s="1614">
        <f t="shared" si="0"/>
        <v>157</v>
      </c>
      <c r="S23" s="599">
        <f t="shared" si="6"/>
        <v>7</v>
      </c>
    </row>
    <row r="24" spans="1:19">
      <c r="A24" s="1622" t="s">
        <v>1668</v>
      </c>
      <c r="B24" s="1622" t="s">
        <v>1948</v>
      </c>
      <c r="C24" s="97">
        <v>11</v>
      </c>
      <c r="D24" s="97">
        <v>4</v>
      </c>
      <c r="E24" s="97">
        <v>9</v>
      </c>
      <c r="F24" s="1612">
        <f t="shared" si="1"/>
        <v>13</v>
      </c>
      <c r="G24" s="1613">
        <f t="shared" si="2"/>
        <v>1.18</v>
      </c>
      <c r="H24" s="97">
        <v>8</v>
      </c>
      <c r="I24" s="97">
        <v>4</v>
      </c>
      <c r="J24" s="97">
        <v>7</v>
      </c>
      <c r="K24" s="1612">
        <f t="shared" si="3"/>
        <v>11</v>
      </c>
      <c r="L24" s="97">
        <v>8</v>
      </c>
      <c r="M24" s="97">
        <v>4</v>
      </c>
      <c r="N24" s="97">
        <v>6</v>
      </c>
      <c r="O24" s="1612">
        <f t="shared" si="4"/>
        <v>10</v>
      </c>
      <c r="Q24" s="599">
        <f t="shared" si="5"/>
        <v>1</v>
      </c>
      <c r="R24" s="1614">
        <f t="shared" si="0"/>
        <v>12</v>
      </c>
      <c r="S24" s="599">
        <f t="shared" si="6"/>
        <v>0</v>
      </c>
    </row>
    <row r="25" spans="1:19">
      <c r="A25" s="1622" t="s">
        <v>1670</v>
      </c>
      <c r="B25" s="1622" t="s">
        <v>1949</v>
      </c>
      <c r="C25" s="1612">
        <v>985</v>
      </c>
      <c r="D25" s="1612">
        <v>1482</v>
      </c>
      <c r="E25" s="1612">
        <v>1466</v>
      </c>
      <c r="F25" s="1612">
        <f t="shared" si="1"/>
        <v>2948</v>
      </c>
      <c r="G25" s="1613">
        <f t="shared" si="2"/>
        <v>2.99</v>
      </c>
      <c r="H25" s="1612">
        <v>1020</v>
      </c>
      <c r="I25" s="1612">
        <v>1577</v>
      </c>
      <c r="J25" s="1612">
        <v>1559</v>
      </c>
      <c r="K25" s="1612">
        <f t="shared" si="3"/>
        <v>3136</v>
      </c>
      <c r="L25" s="1612">
        <v>1055</v>
      </c>
      <c r="M25" s="1612">
        <v>1638</v>
      </c>
      <c r="N25" s="1612">
        <v>1605</v>
      </c>
      <c r="O25" s="1612">
        <f t="shared" si="4"/>
        <v>3243</v>
      </c>
      <c r="Q25" s="599">
        <f>ROUND(K25/$K$3*$Q$3,0)-2</f>
        <v>145</v>
      </c>
      <c r="R25" s="1614">
        <f t="shared" si="0"/>
        <v>3281</v>
      </c>
      <c r="S25" s="599">
        <f t="shared" si="6"/>
        <v>149</v>
      </c>
    </row>
    <row r="26" spans="1:19">
      <c r="A26" s="1622" t="s">
        <v>1672</v>
      </c>
      <c r="B26" s="1622" t="s">
        <v>1950</v>
      </c>
      <c r="C26" s="97">
        <v>675</v>
      </c>
      <c r="D26" s="97">
        <v>808</v>
      </c>
      <c r="E26" s="97">
        <v>729</v>
      </c>
      <c r="F26" s="1612">
        <f t="shared" si="1"/>
        <v>1537</v>
      </c>
      <c r="G26" s="1613">
        <f t="shared" si="2"/>
        <v>2.2799999999999998</v>
      </c>
      <c r="H26" s="97">
        <v>748</v>
      </c>
      <c r="I26" s="97">
        <v>911</v>
      </c>
      <c r="J26" s="97">
        <v>838</v>
      </c>
      <c r="K26" s="1612">
        <f t="shared" si="3"/>
        <v>1749</v>
      </c>
      <c r="L26" s="97">
        <v>833</v>
      </c>
      <c r="M26" s="97">
        <v>955</v>
      </c>
      <c r="N26" s="97">
        <v>901</v>
      </c>
      <c r="O26" s="1612">
        <f t="shared" si="4"/>
        <v>1856</v>
      </c>
      <c r="Q26" s="599">
        <f>ROUND(K26/$K$3*$Q$3,0)</f>
        <v>82</v>
      </c>
      <c r="R26" s="1614">
        <f t="shared" si="0"/>
        <v>1831</v>
      </c>
      <c r="S26" s="599">
        <f t="shared" si="6"/>
        <v>85</v>
      </c>
    </row>
    <row r="27" spans="1:19">
      <c r="A27" s="1622" t="s">
        <v>1674</v>
      </c>
      <c r="B27" s="1622" t="s">
        <v>1951</v>
      </c>
      <c r="C27" s="1612">
        <v>340</v>
      </c>
      <c r="D27" s="1612">
        <v>278</v>
      </c>
      <c r="E27" s="97">
        <v>229</v>
      </c>
      <c r="F27" s="1612">
        <f t="shared" si="1"/>
        <v>507</v>
      </c>
      <c r="G27" s="1613">
        <f t="shared" si="2"/>
        <v>1.49</v>
      </c>
      <c r="H27" s="1612">
        <v>1156</v>
      </c>
      <c r="I27" s="97">
        <v>961</v>
      </c>
      <c r="J27" s="97">
        <v>860</v>
      </c>
      <c r="K27" s="1612">
        <f t="shared" si="3"/>
        <v>1821</v>
      </c>
      <c r="L27" s="1612">
        <v>1182</v>
      </c>
      <c r="M27" s="1612">
        <v>1005</v>
      </c>
      <c r="N27" s="97">
        <v>910</v>
      </c>
      <c r="O27" s="1612">
        <f t="shared" si="4"/>
        <v>1915</v>
      </c>
      <c r="Q27" s="599">
        <f>ROUND(K27/$K$3*$Q$3,0)</f>
        <v>85</v>
      </c>
      <c r="R27" s="1614">
        <f t="shared" si="0"/>
        <v>1906</v>
      </c>
      <c r="S27" s="599">
        <f t="shared" si="6"/>
        <v>88</v>
      </c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4"/>
  <sheetViews>
    <sheetView workbookViewId="0">
      <selection activeCell="P12" sqref="P12"/>
    </sheetView>
  </sheetViews>
  <sheetFormatPr defaultRowHeight="16.5"/>
  <cols>
    <col min="1" max="1" width="9.625" style="1610" customWidth="1"/>
    <col min="2" max="2" width="8.125" style="1611" customWidth="1"/>
    <col min="3" max="7" width="6.875" style="1611" hidden="1" customWidth="1"/>
    <col min="8" max="15" width="6.875" style="1611" customWidth="1"/>
    <col min="16" max="256" width="9" style="1581"/>
    <col min="257" max="257" width="9.625" style="1581" customWidth="1"/>
    <col min="258" max="258" width="8.125" style="1581" customWidth="1"/>
    <col min="259" max="271" width="6.875" style="1581" customWidth="1"/>
    <col min="272" max="512" width="9" style="1581"/>
    <col min="513" max="513" width="9.625" style="1581" customWidth="1"/>
    <col min="514" max="514" width="8.125" style="1581" customWidth="1"/>
    <col min="515" max="527" width="6.875" style="1581" customWidth="1"/>
    <col min="528" max="768" width="9" style="1581"/>
    <col min="769" max="769" width="9.625" style="1581" customWidth="1"/>
    <col min="770" max="770" width="8.125" style="1581" customWidth="1"/>
    <col min="771" max="783" width="6.875" style="1581" customWidth="1"/>
    <col min="784" max="1024" width="9" style="1581"/>
    <col min="1025" max="1025" width="9.625" style="1581" customWidth="1"/>
    <col min="1026" max="1026" width="8.125" style="1581" customWidth="1"/>
    <col min="1027" max="1039" width="6.875" style="1581" customWidth="1"/>
    <col min="1040" max="1280" width="9" style="1581"/>
    <col min="1281" max="1281" width="9.625" style="1581" customWidth="1"/>
    <col min="1282" max="1282" width="8.125" style="1581" customWidth="1"/>
    <col min="1283" max="1295" width="6.875" style="1581" customWidth="1"/>
    <col min="1296" max="1536" width="9" style="1581"/>
    <col min="1537" max="1537" width="9.625" style="1581" customWidth="1"/>
    <col min="1538" max="1538" width="8.125" style="1581" customWidth="1"/>
    <col min="1539" max="1551" width="6.875" style="1581" customWidth="1"/>
    <col min="1552" max="1792" width="9" style="1581"/>
    <col min="1793" max="1793" width="9.625" style="1581" customWidth="1"/>
    <col min="1794" max="1794" width="8.125" style="1581" customWidth="1"/>
    <col min="1795" max="1807" width="6.875" style="1581" customWidth="1"/>
    <col min="1808" max="2048" width="9" style="1581"/>
    <col min="2049" max="2049" width="9.625" style="1581" customWidth="1"/>
    <col min="2050" max="2050" width="8.125" style="1581" customWidth="1"/>
    <col min="2051" max="2063" width="6.875" style="1581" customWidth="1"/>
    <col min="2064" max="2304" width="9" style="1581"/>
    <col min="2305" max="2305" width="9.625" style="1581" customWidth="1"/>
    <col min="2306" max="2306" width="8.125" style="1581" customWidth="1"/>
    <col min="2307" max="2319" width="6.875" style="1581" customWidth="1"/>
    <col min="2320" max="2560" width="9" style="1581"/>
    <col min="2561" max="2561" width="9.625" style="1581" customWidth="1"/>
    <col min="2562" max="2562" width="8.125" style="1581" customWidth="1"/>
    <col min="2563" max="2575" width="6.875" style="1581" customWidth="1"/>
    <col min="2576" max="2816" width="9" style="1581"/>
    <col min="2817" max="2817" width="9.625" style="1581" customWidth="1"/>
    <col min="2818" max="2818" width="8.125" style="1581" customWidth="1"/>
    <col min="2819" max="2831" width="6.875" style="1581" customWidth="1"/>
    <col min="2832" max="3072" width="9" style="1581"/>
    <col min="3073" max="3073" width="9.625" style="1581" customWidth="1"/>
    <col min="3074" max="3074" width="8.125" style="1581" customWidth="1"/>
    <col min="3075" max="3087" width="6.875" style="1581" customWidth="1"/>
    <col min="3088" max="3328" width="9" style="1581"/>
    <col min="3329" max="3329" width="9.625" style="1581" customWidth="1"/>
    <col min="3330" max="3330" width="8.125" style="1581" customWidth="1"/>
    <col min="3331" max="3343" width="6.875" style="1581" customWidth="1"/>
    <col min="3344" max="3584" width="9" style="1581"/>
    <col min="3585" max="3585" width="9.625" style="1581" customWidth="1"/>
    <col min="3586" max="3586" width="8.125" style="1581" customWidth="1"/>
    <col min="3587" max="3599" width="6.875" style="1581" customWidth="1"/>
    <col min="3600" max="3840" width="9" style="1581"/>
    <col min="3841" max="3841" width="9.625" style="1581" customWidth="1"/>
    <col min="3842" max="3842" width="8.125" style="1581" customWidth="1"/>
    <col min="3843" max="3855" width="6.875" style="1581" customWidth="1"/>
    <col min="3856" max="4096" width="9" style="1581"/>
    <col min="4097" max="4097" width="9.625" style="1581" customWidth="1"/>
    <col min="4098" max="4098" width="8.125" style="1581" customWidth="1"/>
    <col min="4099" max="4111" width="6.875" style="1581" customWidth="1"/>
    <col min="4112" max="4352" width="9" style="1581"/>
    <col min="4353" max="4353" width="9.625" style="1581" customWidth="1"/>
    <col min="4354" max="4354" width="8.125" style="1581" customWidth="1"/>
    <col min="4355" max="4367" width="6.875" style="1581" customWidth="1"/>
    <col min="4368" max="4608" width="9" style="1581"/>
    <col min="4609" max="4609" width="9.625" style="1581" customWidth="1"/>
    <col min="4610" max="4610" width="8.125" style="1581" customWidth="1"/>
    <col min="4611" max="4623" width="6.875" style="1581" customWidth="1"/>
    <col min="4624" max="4864" width="9" style="1581"/>
    <col min="4865" max="4865" width="9.625" style="1581" customWidth="1"/>
    <col min="4866" max="4866" width="8.125" style="1581" customWidth="1"/>
    <col min="4867" max="4879" width="6.875" style="1581" customWidth="1"/>
    <col min="4880" max="5120" width="9" style="1581"/>
    <col min="5121" max="5121" width="9.625" style="1581" customWidth="1"/>
    <col min="5122" max="5122" width="8.125" style="1581" customWidth="1"/>
    <col min="5123" max="5135" width="6.875" style="1581" customWidth="1"/>
    <col min="5136" max="5376" width="9" style="1581"/>
    <col min="5377" max="5377" width="9.625" style="1581" customWidth="1"/>
    <col min="5378" max="5378" width="8.125" style="1581" customWidth="1"/>
    <col min="5379" max="5391" width="6.875" style="1581" customWidth="1"/>
    <col min="5392" max="5632" width="9" style="1581"/>
    <col min="5633" max="5633" width="9.625" style="1581" customWidth="1"/>
    <col min="5634" max="5634" width="8.125" style="1581" customWidth="1"/>
    <col min="5635" max="5647" width="6.875" style="1581" customWidth="1"/>
    <col min="5648" max="5888" width="9" style="1581"/>
    <col min="5889" max="5889" width="9.625" style="1581" customWidth="1"/>
    <col min="5890" max="5890" width="8.125" style="1581" customWidth="1"/>
    <col min="5891" max="5903" width="6.875" style="1581" customWidth="1"/>
    <col min="5904" max="6144" width="9" style="1581"/>
    <col min="6145" max="6145" width="9.625" style="1581" customWidth="1"/>
    <col min="6146" max="6146" width="8.125" style="1581" customWidth="1"/>
    <col min="6147" max="6159" width="6.875" style="1581" customWidth="1"/>
    <col min="6160" max="6400" width="9" style="1581"/>
    <col min="6401" max="6401" width="9.625" style="1581" customWidth="1"/>
    <col min="6402" max="6402" width="8.125" style="1581" customWidth="1"/>
    <col min="6403" max="6415" width="6.875" style="1581" customWidth="1"/>
    <col min="6416" max="6656" width="9" style="1581"/>
    <col min="6657" max="6657" width="9.625" style="1581" customWidth="1"/>
    <col min="6658" max="6658" width="8.125" style="1581" customWidth="1"/>
    <col min="6659" max="6671" width="6.875" style="1581" customWidth="1"/>
    <col min="6672" max="6912" width="9" style="1581"/>
    <col min="6913" max="6913" width="9.625" style="1581" customWidth="1"/>
    <col min="6914" max="6914" width="8.125" style="1581" customWidth="1"/>
    <col min="6915" max="6927" width="6.875" style="1581" customWidth="1"/>
    <col min="6928" max="7168" width="9" style="1581"/>
    <col min="7169" max="7169" width="9.625" style="1581" customWidth="1"/>
    <col min="7170" max="7170" width="8.125" style="1581" customWidth="1"/>
    <col min="7171" max="7183" width="6.875" style="1581" customWidth="1"/>
    <col min="7184" max="7424" width="9" style="1581"/>
    <col min="7425" max="7425" width="9.625" style="1581" customWidth="1"/>
    <col min="7426" max="7426" width="8.125" style="1581" customWidth="1"/>
    <col min="7427" max="7439" width="6.875" style="1581" customWidth="1"/>
    <col min="7440" max="7680" width="9" style="1581"/>
    <col min="7681" max="7681" width="9.625" style="1581" customWidth="1"/>
    <col min="7682" max="7682" width="8.125" style="1581" customWidth="1"/>
    <col min="7683" max="7695" width="6.875" style="1581" customWidth="1"/>
    <col min="7696" max="7936" width="9" style="1581"/>
    <col min="7937" max="7937" width="9.625" style="1581" customWidth="1"/>
    <col min="7938" max="7938" width="8.125" style="1581" customWidth="1"/>
    <col min="7939" max="7951" width="6.875" style="1581" customWidth="1"/>
    <col min="7952" max="8192" width="9" style="1581"/>
    <col min="8193" max="8193" width="9.625" style="1581" customWidth="1"/>
    <col min="8194" max="8194" width="8.125" style="1581" customWidth="1"/>
    <col min="8195" max="8207" width="6.875" style="1581" customWidth="1"/>
    <col min="8208" max="8448" width="9" style="1581"/>
    <col min="8449" max="8449" width="9.625" style="1581" customWidth="1"/>
    <col min="8450" max="8450" width="8.125" style="1581" customWidth="1"/>
    <col min="8451" max="8463" width="6.875" style="1581" customWidth="1"/>
    <col min="8464" max="8704" width="9" style="1581"/>
    <col min="8705" max="8705" width="9.625" style="1581" customWidth="1"/>
    <col min="8706" max="8706" width="8.125" style="1581" customWidth="1"/>
    <col min="8707" max="8719" width="6.875" style="1581" customWidth="1"/>
    <col min="8720" max="8960" width="9" style="1581"/>
    <col min="8961" max="8961" width="9.625" style="1581" customWidth="1"/>
    <col min="8962" max="8962" width="8.125" style="1581" customWidth="1"/>
    <col min="8963" max="8975" width="6.875" style="1581" customWidth="1"/>
    <col min="8976" max="9216" width="9" style="1581"/>
    <col min="9217" max="9217" width="9.625" style="1581" customWidth="1"/>
    <col min="9218" max="9218" width="8.125" style="1581" customWidth="1"/>
    <col min="9219" max="9231" width="6.875" style="1581" customWidth="1"/>
    <col min="9232" max="9472" width="9" style="1581"/>
    <col min="9473" max="9473" width="9.625" style="1581" customWidth="1"/>
    <col min="9474" max="9474" width="8.125" style="1581" customWidth="1"/>
    <col min="9475" max="9487" width="6.875" style="1581" customWidth="1"/>
    <col min="9488" max="9728" width="9" style="1581"/>
    <col min="9729" max="9729" width="9.625" style="1581" customWidth="1"/>
    <col min="9730" max="9730" width="8.125" style="1581" customWidth="1"/>
    <col min="9731" max="9743" width="6.875" style="1581" customWidth="1"/>
    <col min="9744" max="9984" width="9" style="1581"/>
    <col min="9985" max="9985" width="9.625" style="1581" customWidth="1"/>
    <col min="9986" max="9986" width="8.125" style="1581" customWidth="1"/>
    <col min="9987" max="9999" width="6.875" style="1581" customWidth="1"/>
    <col min="10000" max="10240" width="9" style="1581"/>
    <col min="10241" max="10241" width="9.625" style="1581" customWidth="1"/>
    <col min="10242" max="10242" width="8.125" style="1581" customWidth="1"/>
    <col min="10243" max="10255" width="6.875" style="1581" customWidth="1"/>
    <col min="10256" max="10496" width="9" style="1581"/>
    <col min="10497" max="10497" width="9.625" style="1581" customWidth="1"/>
    <col min="10498" max="10498" width="8.125" style="1581" customWidth="1"/>
    <col min="10499" max="10511" width="6.875" style="1581" customWidth="1"/>
    <col min="10512" max="10752" width="9" style="1581"/>
    <col min="10753" max="10753" width="9.625" style="1581" customWidth="1"/>
    <col min="10754" max="10754" width="8.125" style="1581" customWidth="1"/>
    <col min="10755" max="10767" width="6.875" style="1581" customWidth="1"/>
    <col min="10768" max="11008" width="9" style="1581"/>
    <col min="11009" max="11009" width="9.625" style="1581" customWidth="1"/>
    <col min="11010" max="11010" width="8.125" style="1581" customWidth="1"/>
    <col min="11011" max="11023" width="6.875" style="1581" customWidth="1"/>
    <col min="11024" max="11264" width="9" style="1581"/>
    <col min="11265" max="11265" width="9.625" style="1581" customWidth="1"/>
    <col min="11266" max="11266" width="8.125" style="1581" customWidth="1"/>
    <col min="11267" max="11279" width="6.875" style="1581" customWidth="1"/>
    <col min="11280" max="11520" width="9" style="1581"/>
    <col min="11521" max="11521" width="9.625" style="1581" customWidth="1"/>
    <col min="11522" max="11522" width="8.125" style="1581" customWidth="1"/>
    <col min="11523" max="11535" width="6.875" style="1581" customWidth="1"/>
    <col min="11536" max="11776" width="9" style="1581"/>
    <col min="11777" max="11777" width="9.625" style="1581" customWidth="1"/>
    <col min="11778" max="11778" width="8.125" style="1581" customWidth="1"/>
    <col min="11779" max="11791" width="6.875" style="1581" customWidth="1"/>
    <col min="11792" max="12032" width="9" style="1581"/>
    <col min="12033" max="12033" width="9.625" style="1581" customWidth="1"/>
    <col min="12034" max="12034" width="8.125" style="1581" customWidth="1"/>
    <col min="12035" max="12047" width="6.875" style="1581" customWidth="1"/>
    <col min="12048" max="12288" width="9" style="1581"/>
    <col min="12289" max="12289" width="9.625" style="1581" customWidth="1"/>
    <col min="12290" max="12290" width="8.125" style="1581" customWidth="1"/>
    <col min="12291" max="12303" width="6.875" style="1581" customWidth="1"/>
    <col min="12304" max="12544" width="9" style="1581"/>
    <col min="12545" max="12545" width="9.625" style="1581" customWidth="1"/>
    <col min="12546" max="12546" width="8.125" style="1581" customWidth="1"/>
    <col min="12547" max="12559" width="6.875" style="1581" customWidth="1"/>
    <col min="12560" max="12800" width="9" style="1581"/>
    <col min="12801" max="12801" width="9.625" style="1581" customWidth="1"/>
    <col min="12802" max="12802" width="8.125" style="1581" customWidth="1"/>
    <col min="12803" max="12815" width="6.875" style="1581" customWidth="1"/>
    <col min="12816" max="13056" width="9" style="1581"/>
    <col min="13057" max="13057" width="9.625" style="1581" customWidth="1"/>
    <col min="13058" max="13058" width="8.125" style="1581" customWidth="1"/>
    <col min="13059" max="13071" width="6.875" style="1581" customWidth="1"/>
    <col min="13072" max="13312" width="9" style="1581"/>
    <col min="13313" max="13313" width="9.625" style="1581" customWidth="1"/>
    <col min="13314" max="13314" width="8.125" style="1581" customWidth="1"/>
    <col min="13315" max="13327" width="6.875" style="1581" customWidth="1"/>
    <col min="13328" max="13568" width="9" style="1581"/>
    <col min="13569" max="13569" width="9.625" style="1581" customWidth="1"/>
    <col min="13570" max="13570" width="8.125" style="1581" customWidth="1"/>
    <col min="13571" max="13583" width="6.875" style="1581" customWidth="1"/>
    <col min="13584" max="13824" width="9" style="1581"/>
    <col min="13825" max="13825" width="9.625" style="1581" customWidth="1"/>
    <col min="13826" max="13826" width="8.125" style="1581" customWidth="1"/>
    <col min="13827" max="13839" width="6.875" style="1581" customWidth="1"/>
    <col min="13840" max="14080" width="9" style="1581"/>
    <col min="14081" max="14081" width="9.625" style="1581" customWidth="1"/>
    <col min="14082" max="14082" width="8.125" style="1581" customWidth="1"/>
    <col min="14083" max="14095" width="6.875" style="1581" customWidth="1"/>
    <col min="14096" max="14336" width="9" style="1581"/>
    <col min="14337" max="14337" width="9.625" style="1581" customWidth="1"/>
    <col min="14338" max="14338" width="8.125" style="1581" customWidth="1"/>
    <col min="14339" max="14351" width="6.875" style="1581" customWidth="1"/>
    <col min="14352" max="14592" width="9" style="1581"/>
    <col min="14593" max="14593" width="9.625" style="1581" customWidth="1"/>
    <col min="14594" max="14594" width="8.125" style="1581" customWidth="1"/>
    <col min="14595" max="14607" width="6.875" style="1581" customWidth="1"/>
    <col min="14608" max="14848" width="9" style="1581"/>
    <col min="14849" max="14849" width="9.625" style="1581" customWidth="1"/>
    <col min="14850" max="14850" width="8.125" style="1581" customWidth="1"/>
    <col min="14851" max="14863" width="6.875" style="1581" customWidth="1"/>
    <col min="14864" max="15104" width="9" style="1581"/>
    <col min="15105" max="15105" width="9.625" style="1581" customWidth="1"/>
    <col min="15106" max="15106" width="8.125" style="1581" customWidth="1"/>
    <col min="15107" max="15119" width="6.875" style="1581" customWidth="1"/>
    <col min="15120" max="15360" width="9" style="1581"/>
    <col min="15361" max="15361" width="9.625" style="1581" customWidth="1"/>
    <col min="15362" max="15362" width="8.125" style="1581" customWidth="1"/>
    <col min="15363" max="15375" width="6.875" style="1581" customWidth="1"/>
    <col min="15376" max="15616" width="9" style="1581"/>
    <col min="15617" max="15617" width="9.625" style="1581" customWidth="1"/>
    <col min="15618" max="15618" width="8.125" style="1581" customWidth="1"/>
    <col min="15619" max="15631" width="6.875" style="1581" customWidth="1"/>
    <col min="15632" max="15872" width="9" style="1581"/>
    <col min="15873" max="15873" width="9.625" style="1581" customWidth="1"/>
    <col min="15874" max="15874" width="8.125" style="1581" customWidth="1"/>
    <col min="15875" max="15887" width="6.875" style="1581" customWidth="1"/>
    <col min="15888" max="16128" width="9" style="1581"/>
    <col min="16129" max="16129" width="9.625" style="1581" customWidth="1"/>
    <col min="16130" max="16130" width="8.125" style="1581" customWidth="1"/>
    <col min="16131" max="16143" width="6.875" style="1581" customWidth="1"/>
    <col min="16144" max="16384" width="9" style="1581"/>
  </cols>
  <sheetData>
    <row r="1" spans="1:19" ht="28.5" customHeight="1">
      <c r="A1" s="2880" t="s">
        <v>1615</v>
      </c>
      <c r="B1" s="2880"/>
      <c r="C1" s="2881" t="s">
        <v>1616</v>
      </c>
      <c r="D1" s="2882"/>
      <c r="E1" s="2882"/>
      <c r="F1" s="2882"/>
      <c r="G1" s="2883"/>
      <c r="H1" s="2881" t="s">
        <v>1617</v>
      </c>
      <c r="I1" s="2882"/>
      <c r="J1" s="2882"/>
      <c r="K1" s="2883"/>
      <c r="L1" s="2884" t="s">
        <v>1618</v>
      </c>
      <c r="M1" s="2884"/>
      <c r="N1" s="2884"/>
      <c r="O1" s="2884"/>
    </row>
    <row r="2" spans="1:19">
      <c r="A2" s="1582" t="s">
        <v>1619</v>
      </c>
      <c r="B2" s="1582" t="s">
        <v>1620</v>
      </c>
      <c r="C2" s="1583" t="s">
        <v>1621</v>
      </c>
      <c r="D2" s="1583" t="s">
        <v>1622</v>
      </c>
      <c r="E2" s="1583" t="s">
        <v>1623</v>
      </c>
      <c r="F2" s="1584" t="s">
        <v>1624</v>
      </c>
      <c r="G2" s="1584" t="s">
        <v>1625</v>
      </c>
      <c r="H2" s="1583" t="s">
        <v>1621</v>
      </c>
      <c r="I2" s="1583" t="s">
        <v>1622</v>
      </c>
      <c r="J2" s="1583" t="s">
        <v>1623</v>
      </c>
      <c r="K2" s="1584" t="s">
        <v>1624</v>
      </c>
      <c r="L2" s="1583" t="s">
        <v>1621</v>
      </c>
      <c r="M2" s="1583" t="s">
        <v>1622</v>
      </c>
      <c r="N2" s="1583" t="s">
        <v>1623</v>
      </c>
      <c r="O2" s="1584" t="s">
        <v>1624</v>
      </c>
    </row>
    <row r="3" spans="1:19">
      <c r="A3" s="1585" t="s">
        <v>1626</v>
      </c>
      <c r="B3" s="1586"/>
      <c r="C3" s="1587">
        <v>7127</v>
      </c>
      <c r="D3" s="1587">
        <v>8757</v>
      </c>
      <c r="E3" s="1587">
        <v>7637</v>
      </c>
      <c r="F3" s="1588">
        <f>SUM(D3:E3)</f>
        <v>16394</v>
      </c>
      <c r="G3" s="1589">
        <f>ROUND(F3/C3,2)</f>
        <v>2.2999999999999998</v>
      </c>
      <c r="H3" s="1590">
        <v>7194</v>
      </c>
      <c r="I3" s="1590">
        <v>8771</v>
      </c>
      <c r="J3" s="1590">
        <v>7542</v>
      </c>
      <c r="K3" s="1588">
        <f>SUM(I3:J3)</f>
        <v>16313</v>
      </c>
      <c r="L3" s="1587">
        <v>7193</v>
      </c>
      <c r="M3" s="1587">
        <v>8763</v>
      </c>
      <c r="N3" s="1587">
        <v>7497</v>
      </c>
      <c r="O3" s="1588">
        <f>SUM(M3:N3)</f>
        <v>16260</v>
      </c>
      <c r="Q3" s="1591">
        <v>2431</v>
      </c>
      <c r="R3" s="1592">
        <f>K3+Q3</f>
        <v>18744</v>
      </c>
      <c r="S3" s="1581">
        <v>2334</v>
      </c>
    </row>
    <row r="4" spans="1:19" s="1597" customFormat="1">
      <c r="A4" s="1593" t="s">
        <v>1627</v>
      </c>
      <c r="B4" s="1594" t="s">
        <v>1628</v>
      </c>
      <c r="C4" s="1595">
        <v>276</v>
      </c>
      <c r="D4" s="1595">
        <v>348</v>
      </c>
      <c r="E4" s="1595">
        <v>332</v>
      </c>
      <c r="F4" s="1595">
        <f t="shared" ref="F4:F54" si="0">SUM(D4:E4)</f>
        <v>680</v>
      </c>
      <c r="G4" s="1596">
        <f t="shared" ref="G4:G54" si="1">ROUND(F4/C4,2)</f>
        <v>2.46</v>
      </c>
      <c r="H4" s="1594">
        <v>259</v>
      </c>
      <c r="I4" s="1594">
        <v>313</v>
      </c>
      <c r="J4" s="1594">
        <v>297</v>
      </c>
      <c r="K4" s="1594">
        <f t="shared" ref="K4:K54" si="2">SUM(I4:J4)</f>
        <v>610</v>
      </c>
      <c r="L4" s="1595">
        <v>256</v>
      </c>
      <c r="M4" s="1595">
        <v>316</v>
      </c>
      <c r="N4" s="1595">
        <v>291</v>
      </c>
      <c r="O4" s="1595">
        <f t="shared" ref="O4:O54" si="3">SUM(M4:N4)</f>
        <v>607</v>
      </c>
      <c r="Q4" s="1597">
        <f>ROUND(K4/$K$3*$Q$3,0)</f>
        <v>91</v>
      </c>
      <c r="R4" s="1592">
        <f t="shared" ref="R4:R54" si="4">K4+Q4</f>
        <v>701</v>
      </c>
      <c r="S4" s="1597">
        <f>ROUND(O4/$O$3*$S$3,0)</f>
        <v>87</v>
      </c>
    </row>
    <row r="5" spans="1:19" s="1597" customFormat="1">
      <c r="A5" s="1593" t="s">
        <v>1629</v>
      </c>
      <c r="B5" s="1594" t="s">
        <v>1630</v>
      </c>
      <c r="C5" s="1595">
        <v>280</v>
      </c>
      <c r="D5" s="1595">
        <v>275</v>
      </c>
      <c r="E5" s="1595">
        <v>228</v>
      </c>
      <c r="F5" s="1595">
        <f t="shared" si="0"/>
        <v>503</v>
      </c>
      <c r="G5" s="1596">
        <f t="shared" si="1"/>
        <v>1.8</v>
      </c>
      <c r="H5" s="1594">
        <v>284</v>
      </c>
      <c r="I5" s="1594">
        <v>268</v>
      </c>
      <c r="J5" s="1594">
        <v>233</v>
      </c>
      <c r="K5" s="1594">
        <f t="shared" si="2"/>
        <v>501</v>
      </c>
      <c r="L5" s="1595">
        <v>284</v>
      </c>
      <c r="M5" s="1595">
        <v>260</v>
      </c>
      <c r="N5" s="1595">
        <v>224</v>
      </c>
      <c r="O5" s="1595">
        <f t="shared" si="3"/>
        <v>484</v>
      </c>
      <c r="P5" s="1597" t="s">
        <v>1631</v>
      </c>
      <c r="Q5" s="1597">
        <f t="shared" ref="Q5:Q53" si="5">ROUND(K5/$K$3*$Q$3,0)</f>
        <v>75</v>
      </c>
      <c r="R5" s="1592">
        <f t="shared" si="4"/>
        <v>576</v>
      </c>
      <c r="S5" s="1597">
        <f t="shared" ref="S5:S54" si="6">ROUND(O5/$O$3*$S$3,0)</f>
        <v>69</v>
      </c>
    </row>
    <row r="6" spans="1:19" s="1597" customFormat="1">
      <c r="A6" s="1593" t="s">
        <v>1632</v>
      </c>
      <c r="B6" s="1594" t="s">
        <v>1633</v>
      </c>
      <c r="C6" s="1595">
        <v>182</v>
      </c>
      <c r="D6" s="1595">
        <v>269</v>
      </c>
      <c r="E6" s="1595">
        <v>260</v>
      </c>
      <c r="F6" s="1595">
        <f t="shared" si="0"/>
        <v>529</v>
      </c>
      <c r="G6" s="1596">
        <f t="shared" si="1"/>
        <v>2.91</v>
      </c>
      <c r="H6" s="1594">
        <v>184</v>
      </c>
      <c r="I6" s="1594">
        <v>268</v>
      </c>
      <c r="J6" s="1594">
        <v>256</v>
      </c>
      <c r="K6" s="1594">
        <f t="shared" si="2"/>
        <v>524</v>
      </c>
      <c r="L6" s="1595">
        <v>183</v>
      </c>
      <c r="M6" s="1595">
        <v>269</v>
      </c>
      <c r="N6" s="1595">
        <v>249</v>
      </c>
      <c r="O6" s="1595">
        <f t="shared" si="3"/>
        <v>518</v>
      </c>
      <c r="Q6" s="1597">
        <f t="shared" si="5"/>
        <v>78</v>
      </c>
      <c r="R6" s="1592">
        <f t="shared" si="4"/>
        <v>602</v>
      </c>
      <c r="S6" s="1597">
        <f t="shared" si="6"/>
        <v>74</v>
      </c>
    </row>
    <row r="7" spans="1:19" s="1597" customFormat="1">
      <c r="A7" s="1593" t="s">
        <v>1634</v>
      </c>
      <c r="B7" s="1594" t="s">
        <v>1635</v>
      </c>
      <c r="C7" s="1595">
        <v>207</v>
      </c>
      <c r="D7" s="1595">
        <v>254</v>
      </c>
      <c r="E7" s="1595">
        <v>235</v>
      </c>
      <c r="F7" s="1595">
        <f t="shared" si="0"/>
        <v>489</v>
      </c>
      <c r="G7" s="1596">
        <f t="shared" si="1"/>
        <v>2.36</v>
      </c>
      <c r="H7" s="1594">
        <v>214</v>
      </c>
      <c r="I7" s="1594">
        <v>257</v>
      </c>
      <c r="J7" s="1594">
        <v>243</v>
      </c>
      <c r="K7" s="1594">
        <f t="shared" si="2"/>
        <v>500</v>
      </c>
      <c r="L7" s="1595">
        <v>213</v>
      </c>
      <c r="M7" s="1595">
        <v>257</v>
      </c>
      <c r="N7" s="1595">
        <v>246</v>
      </c>
      <c r="O7" s="1595">
        <f t="shared" si="3"/>
        <v>503</v>
      </c>
      <c r="Q7" s="1597">
        <f t="shared" si="5"/>
        <v>75</v>
      </c>
      <c r="R7" s="1592">
        <f t="shared" si="4"/>
        <v>575</v>
      </c>
      <c r="S7" s="1597">
        <f t="shared" si="6"/>
        <v>72</v>
      </c>
    </row>
    <row r="8" spans="1:19" s="1597" customFormat="1">
      <c r="A8" s="1593" t="s">
        <v>1636</v>
      </c>
      <c r="B8" s="1594" t="s">
        <v>1637</v>
      </c>
      <c r="C8" s="1595">
        <v>86</v>
      </c>
      <c r="D8" s="1595">
        <v>98</v>
      </c>
      <c r="E8" s="1595">
        <v>74</v>
      </c>
      <c r="F8" s="1595">
        <f t="shared" si="0"/>
        <v>172</v>
      </c>
      <c r="G8" s="1596">
        <f t="shared" si="1"/>
        <v>2</v>
      </c>
      <c r="H8" s="1594">
        <v>97</v>
      </c>
      <c r="I8" s="1594">
        <v>103</v>
      </c>
      <c r="J8" s="1594">
        <v>81</v>
      </c>
      <c r="K8" s="1594">
        <f t="shared" si="2"/>
        <v>184</v>
      </c>
      <c r="L8" s="1595">
        <v>101</v>
      </c>
      <c r="M8" s="1595">
        <v>107</v>
      </c>
      <c r="N8" s="1595">
        <v>79</v>
      </c>
      <c r="O8" s="1595">
        <f t="shared" si="3"/>
        <v>186</v>
      </c>
      <c r="P8" s="1597" t="s">
        <v>1631</v>
      </c>
      <c r="Q8" s="1597">
        <f t="shared" si="5"/>
        <v>27</v>
      </c>
      <c r="R8" s="1592">
        <f t="shared" si="4"/>
        <v>211</v>
      </c>
      <c r="S8" s="1597">
        <f t="shared" si="6"/>
        <v>27</v>
      </c>
    </row>
    <row r="9" spans="1:19" s="1597" customFormat="1">
      <c r="A9" s="1593" t="s">
        <v>1638</v>
      </c>
      <c r="B9" s="1594" t="s">
        <v>1639</v>
      </c>
      <c r="C9" s="1595">
        <v>91</v>
      </c>
      <c r="D9" s="1595">
        <v>95</v>
      </c>
      <c r="E9" s="1595">
        <v>83</v>
      </c>
      <c r="F9" s="1595">
        <f t="shared" si="0"/>
        <v>178</v>
      </c>
      <c r="G9" s="1596">
        <f t="shared" si="1"/>
        <v>1.96</v>
      </c>
      <c r="H9" s="1594">
        <v>88</v>
      </c>
      <c r="I9" s="1594">
        <v>90</v>
      </c>
      <c r="J9" s="1594">
        <v>81</v>
      </c>
      <c r="K9" s="1594">
        <f t="shared" si="2"/>
        <v>171</v>
      </c>
      <c r="L9" s="1595">
        <v>85</v>
      </c>
      <c r="M9" s="1595">
        <v>87</v>
      </c>
      <c r="N9" s="1595">
        <v>81</v>
      </c>
      <c r="O9" s="1595">
        <f t="shared" si="3"/>
        <v>168</v>
      </c>
      <c r="P9" s="1597" t="s">
        <v>1631</v>
      </c>
      <c r="Q9" s="1597">
        <f t="shared" si="5"/>
        <v>25</v>
      </c>
      <c r="R9" s="1592">
        <f t="shared" si="4"/>
        <v>196</v>
      </c>
      <c r="S9" s="1597">
        <f t="shared" si="6"/>
        <v>24</v>
      </c>
    </row>
    <row r="10" spans="1:19" s="1602" customFormat="1">
      <c r="A10" s="1598" t="s">
        <v>1640</v>
      </c>
      <c r="B10" s="1599" t="s">
        <v>1641</v>
      </c>
      <c r="C10" s="1600">
        <v>101</v>
      </c>
      <c r="D10" s="1600">
        <v>127</v>
      </c>
      <c r="E10" s="1600">
        <v>101</v>
      </c>
      <c r="F10" s="1600">
        <f t="shared" si="0"/>
        <v>228</v>
      </c>
      <c r="G10" s="1601">
        <f t="shared" si="1"/>
        <v>2.2599999999999998</v>
      </c>
      <c r="H10" s="1599">
        <v>104</v>
      </c>
      <c r="I10" s="1599">
        <v>125</v>
      </c>
      <c r="J10" s="1599">
        <v>102</v>
      </c>
      <c r="K10" s="1599">
        <f t="shared" si="2"/>
        <v>227</v>
      </c>
      <c r="L10" s="1600">
        <v>104</v>
      </c>
      <c r="M10" s="1600">
        <v>127</v>
      </c>
      <c r="N10" s="1600">
        <v>101</v>
      </c>
      <c r="O10" s="1600">
        <f t="shared" si="3"/>
        <v>228</v>
      </c>
      <c r="P10" s="1602" t="s">
        <v>1631</v>
      </c>
      <c r="Q10" s="1597">
        <f t="shared" si="5"/>
        <v>34</v>
      </c>
      <c r="R10" s="1592">
        <f t="shared" si="4"/>
        <v>261</v>
      </c>
      <c r="S10" s="1602">
        <f t="shared" si="6"/>
        <v>33</v>
      </c>
    </row>
    <row r="11" spans="1:19">
      <c r="A11" s="1585" t="s">
        <v>1642</v>
      </c>
      <c r="B11" s="1603" t="s">
        <v>1643</v>
      </c>
      <c r="C11" s="1586">
        <v>61</v>
      </c>
      <c r="D11" s="1586">
        <v>68</v>
      </c>
      <c r="E11" s="1586">
        <v>51</v>
      </c>
      <c r="F11" s="1586">
        <f t="shared" si="0"/>
        <v>119</v>
      </c>
      <c r="G11" s="1604">
        <f t="shared" si="1"/>
        <v>1.95</v>
      </c>
      <c r="H11" s="1603">
        <v>71</v>
      </c>
      <c r="I11" s="1603">
        <v>79</v>
      </c>
      <c r="J11" s="1603">
        <v>64</v>
      </c>
      <c r="K11" s="1603">
        <f t="shared" si="2"/>
        <v>143</v>
      </c>
      <c r="L11" s="1586">
        <v>68</v>
      </c>
      <c r="M11" s="1586">
        <v>76</v>
      </c>
      <c r="N11" s="1586">
        <v>65</v>
      </c>
      <c r="O11" s="1586">
        <f t="shared" si="3"/>
        <v>141</v>
      </c>
      <c r="Q11" s="1597">
        <f t="shared" si="5"/>
        <v>21</v>
      </c>
      <c r="R11" s="1592">
        <f t="shared" si="4"/>
        <v>164</v>
      </c>
      <c r="S11" s="1581">
        <f t="shared" si="6"/>
        <v>20</v>
      </c>
    </row>
    <row r="12" spans="1:19">
      <c r="A12" s="1585" t="s">
        <v>1644</v>
      </c>
      <c r="B12" s="1603" t="s">
        <v>1645</v>
      </c>
      <c r="C12" s="1586">
        <v>43</v>
      </c>
      <c r="D12" s="1586">
        <v>54</v>
      </c>
      <c r="E12" s="1586">
        <v>45</v>
      </c>
      <c r="F12" s="1586">
        <f t="shared" si="0"/>
        <v>99</v>
      </c>
      <c r="G12" s="1604">
        <f t="shared" si="1"/>
        <v>2.2999999999999998</v>
      </c>
      <c r="H12" s="1603">
        <v>42</v>
      </c>
      <c r="I12" s="1603">
        <v>53</v>
      </c>
      <c r="J12" s="1603">
        <v>45</v>
      </c>
      <c r="K12" s="1603">
        <f t="shared" si="2"/>
        <v>98</v>
      </c>
      <c r="L12" s="1586">
        <v>41</v>
      </c>
      <c r="M12" s="1586">
        <v>51</v>
      </c>
      <c r="N12" s="1586">
        <v>44</v>
      </c>
      <c r="O12" s="1586">
        <f t="shared" si="3"/>
        <v>95</v>
      </c>
      <c r="Q12" s="1597">
        <f t="shared" si="5"/>
        <v>15</v>
      </c>
      <c r="R12" s="1592">
        <f t="shared" si="4"/>
        <v>113</v>
      </c>
      <c r="S12" s="1581">
        <f t="shared" si="6"/>
        <v>14</v>
      </c>
    </row>
    <row r="13" spans="1:19">
      <c r="A13" s="1585" t="s">
        <v>1646</v>
      </c>
      <c r="B13" s="1603" t="s">
        <v>1647</v>
      </c>
      <c r="C13" s="1586">
        <v>74</v>
      </c>
      <c r="D13" s="1586">
        <v>75</v>
      </c>
      <c r="E13" s="1586">
        <v>68</v>
      </c>
      <c r="F13" s="1586">
        <f t="shared" si="0"/>
        <v>143</v>
      </c>
      <c r="G13" s="1604">
        <f t="shared" si="1"/>
        <v>1.93</v>
      </c>
      <c r="H13" s="1603">
        <v>76</v>
      </c>
      <c r="I13" s="1603">
        <v>78</v>
      </c>
      <c r="J13" s="1603">
        <v>67</v>
      </c>
      <c r="K13" s="1603">
        <f t="shared" si="2"/>
        <v>145</v>
      </c>
      <c r="L13" s="1586">
        <v>78</v>
      </c>
      <c r="M13" s="1586">
        <v>77</v>
      </c>
      <c r="N13" s="1586">
        <v>72</v>
      </c>
      <c r="O13" s="1586">
        <f t="shared" si="3"/>
        <v>149</v>
      </c>
      <c r="Q13" s="1597">
        <f t="shared" si="5"/>
        <v>22</v>
      </c>
      <c r="R13" s="1592">
        <f t="shared" si="4"/>
        <v>167</v>
      </c>
      <c r="S13" s="1581">
        <f t="shared" si="6"/>
        <v>21</v>
      </c>
    </row>
    <row r="14" spans="1:19">
      <c r="A14" s="1585" t="s">
        <v>1648</v>
      </c>
      <c r="B14" s="1603" t="s">
        <v>1649</v>
      </c>
      <c r="C14" s="1586">
        <v>56</v>
      </c>
      <c r="D14" s="1586">
        <v>56</v>
      </c>
      <c r="E14" s="1586">
        <v>47</v>
      </c>
      <c r="F14" s="1586">
        <f t="shared" si="0"/>
        <v>103</v>
      </c>
      <c r="G14" s="1604">
        <f t="shared" si="1"/>
        <v>1.84</v>
      </c>
      <c r="H14" s="1603">
        <v>63</v>
      </c>
      <c r="I14" s="1603">
        <v>63</v>
      </c>
      <c r="J14" s="1603">
        <v>47</v>
      </c>
      <c r="K14" s="1603">
        <f t="shared" si="2"/>
        <v>110</v>
      </c>
      <c r="L14" s="1586">
        <v>55</v>
      </c>
      <c r="M14" s="1586">
        <v>56</v>
      </c>
      <c r="N14" s="1586">
        <v>43</v>
      </c>
      <c r="O14" s="1586">
        <f t="shared" si="3"/>
        <v>99</v>
      </c>
      <c r="Q14" s="1597">
        <f t="shared" si="5"/>
        <v>16</v>
      </c>
      <c r="R14" s="1592">
        <f t="shared" si="4"/>
        <v>126</v>
      </c>
      <c r="S14" s="1581">
        <f t="shared" si="6"/>
        <v>14</v>
      </c>
    </row>
    <row r="15" spans="1:19">
      <c r="A15" s="1585" t="s">
        <v>1650</v>
      </c>
      <c r="B15" s="1603" t="s">
        <v>1651</v>
      </c>
      <c r="C15" s="1586">
        <v>143</v>
      </c>
      <c r="D15" s="1586">
        <v>168</v>
      </c>
      <c r="E15" s="1586">
        <v>127</v>
      </c>
      <c r="F15" s="1586">
        <f t="shared" si="0"/>
        <v>295</v>
      </c>
      <c r="G15" s="1604">
        <f t="shared" si="1"/>
        <v>2.06</v>
      </c>
      <c r="H15" s="1603">
        <v>143</v>
      </c>
      <c r="I15" s="1603">
        <v>161</v>
      </c>
      <c r="J15" s="1603">
        <v>118</v>
      </c>
      <c r="K15" s="1603">
        <f t="shared" si="2"/>
        <v>279</v>
      </c>
      <c r="L15" s="1586">
        <v>146</v>
      </c>
      <c r="M15" s="1586">
        <v>165</v>
      </c>
      <c r="N15" s="1586">
        <v>119</v>
      </c>
      <c r="O15" s="1586">
        <f t="shared" si="3"/>
        <v>284</v>
      </c>
      <c r="Q15" s="1597">
        <f t="shared" si="5"/>
        <v>42</v>
      </c>
      <c r="R15" s="1592">
        <f t="shared" si="4"/>
        <v>321</v>
      </c>
      <c r="S15" s="1581">
        <f t="shared" si="6"/>
        <v>41</v>
      </c>
    </row>
    <row r="16" spans="1:19">
      <c r="A16" s="1585" t="s">
        <v>1652</v>
      </c>
      <c r="B16" s="1603" t="s">
        <v>1653</v>
      </c>
      <c r="C16" s="1586">
        <v>78</v>
      </c>
      <c r="D16" s="1586">
        <v>80</v>
      </c>
      <c r="E16" s="1586">
        <v>68</v>
      </c>
      <c r="F16" s="1586">
        <f t="shared" si="0"/>
        <v>148</v>
      </c>
      <c r="G16" s="1604">
        <f t="shared" si="1"/>
        <v>1.9</v>
      </c>
      <c r="H16" s="1603">
        <v>78</v>
      </c>
      <c r="I16" s="1603">
        <v>79</v>
      </c>
      <c r="J16" s="1603">
        <v>65</v>
      </c>
      <c r="K16" s="1603">
        <f t="shared" si="2"/>
        <v>144</v>
      </c>
      <c r="L16" s="1586">
        <v>74</v>
      </c>
      <c r="M16" s="1586">
        <v>76</v>
      </c>
      <c r="N16" s="1586">
        <v>63</v>
      </c>
      <c r="O16" s="1586">
        <f t="shared" si="3"/>
        <v>139</v>
      </c>
      <c r="Q16" s="1597">
        <f t="shared" si="5"/>
        <v>21</v>
      </c>
      <c r="R16" s="1592">
        <f t="shared" si="4"/>
        <v>165</v>
      </c>
      <c r="S16" s="1581">
        <f t="shared" si="6"/>
        <v>20</v>
      </c>
    </row>
    <row r="17" spans="1:19">
      <c r="A17" s="1585" t="s">
        <v>1654</v>
      </c>
      <c r="B17" s="1603" t="s">
        <v>1655</v>
      </c>
      <c r="C17" s="1586">
        <v>63</v>
      </c>
      <c r="D17" s="1586">
        <v>72</v>
      </c>
      <c r="E17" s="1586">
        <v>64</v>
      </c>
      <c r="F17" s="1586">
        <f t="shared" si="0"/>
        <v>136</v>
      </c>
      <c r="G17" s="1604">
        <f t="shared" si="1"/>
        <v>2.16</v>
      </c>
      <c r="H17" s="1603">
        <v>62</v>
      </c>
      <c r="I17" s="1603">
        <v>70</v>
      </c>
      <c r="J17" s="1603">
        <v>63</v>
      </c>
      <c r="K17" s="1603">
        <f t="shared" si="2"/>
        <v>133</v>
      </c>
      <c r="L17" s="1586">
        <v>61</v>
      </c>
      <c r="M17" s="1586">
        <v>70</v>
      </c>
      <c r="N17" s="1586">
        <v>60</v>
      </c>
      <c r="O17" s="1586">
        <f t="shared" si="3"/>
        <v>130</v>
      </c>
      <c r="Q17" s="1597">
        <f t="shared" si="5"/>
        <v>20</v>
      </c>
      <c r="R17" s="1592">
        <f t="shared" si="4"/>
        <v>153</v>
      </c>
      <c r="S17" s="1581">
        <f t="shared" si="6"/>
        <v>19</v>
      </c>
    </row>
    <row r="18" spans="1:19">
      <c r="A18" s="1585" t="s">
        <v>1656</v>
      </c>
      <c r="B18" s="1603" t="s">
        <v>1657</v>
      </c>
      <c r="C18" s="1586">
        <v>34</v>
      </c>
      <c r="D18" s="1586">
        <v>38</v>
      </c>
      <c r="E18" s="1586">
        <v>36</v>
      </c>
      <c r="F18" s="1586">
        <f t="shared" si="0"/>
        <v>74</v>
      </c>
      <c r="G18" s="1604">
        <f t="shared" si="1"/>
        <v>2.1800000000000002</v>
      </c>
      <c r="H18" s="1603">
        <v>34</v>
      </c>
      <c r="I18" s="1603">
        <v>36</v>
      </c>
      <c r="J18" s="1603">
        <v>34</v>
      </c>
      <c r="K18" s="1603">
        <f t="shared" si="2"/>
        <v>70</v>
      </c>
      <c r="L18" s="1586">
        <v>36</v>
      </c>
      <c r="M18" s="1586">
        <v>35</v>
      </c>
      <c r="N18" s="1586">
        <v>33</v>
      </c>
      <c r="O18" s="1586">
        <f t="shared" si="3"/>
        <v>68</v>
      </c>
      <c r="Q18" s="1597">
        <f t="shared" si="5"/>
        <v>10</v>
      </c>
      <c r="R18" s="1592">
        <f t="shared" si="4"/>
        <v>80</v>
      </c>
      <c r="S18" s="1581">
        <f t="shared" si="6"/>
        <v>10</v>
      </c>
    </row>
    <row r="19" spans="1:19">
      <c r="A19" s="1585" t="s">
        <v>1658</v>
      </c>
      <c r="B19" s="1603" t="s">
        <v>1659</v>
      </c>
      <c r="C19" s="1586">
        <v>59</v>
      </c>
      <c r="D19" s="1586">
        <v>66</v>
      </c>
      <c r="E19" s="1586">
        <v>54</v>
      </c>
      <c r="F19" s="1586">
        <f t="shared" si="0"/>
        <v>120</v>
      </c>
      <c r="G19" s="1604">
        <f t="shared" si="1"/>
        <v>2.0299999999999998</v>
      </c>
      <c r="H19" s="1603">
        <v>66</v>
      </c>
      <c r="I19" s="1603">
        <v>66</v>
      </c>
      <c r="J19" s="1603">
        <v>62</v>
      </c>
      <c r="K19" s="1603">
        <f t="shared" si="2"/>
        <v>128</v>
      </c>
      <c r="L19" s="1586">
        <v>66</v>
      </c>
      <c r="M19" s="1586">
        <v>62</v>
      </c>
      <c r="N19" s="1586">
        <v>63</v>
      </c>
      <c r="O19" s="1586">
        <f t="shared" si="3"/>
        <v>125</v>
      </c>
      <c r="Q19" s="1597">
        <f t="shared" si="5"/>
        <v>19</v>
      </c>
      <c r="R19" s="1592">
        <f t="shared" si="4"/>
        <v>147</v>
      </c>
      <c r="S19" s="1581">
        <f t="shared" si="6"/>
        <v>18</v>
      </c>
    </row>
    <row r="20" spans="1:19">
      <c r="A20" s="1585" t="s">
        <v>1660</v>
      </c>
      <c r="B20" s="1603" t="s">
        <v>1661</v>
      </c>
      <c r="C20" s="1586">
        <v>131</v>
      </c>
      <c r="D20" s="1586">
        <v>142</v>
      </c>
      <c r="E20" s="1586">
        <v>137</v>
      </c>
      <c r="F20" s="1586">
        <f t="shared" si="0"/>
        <v>279</v>
      </c>
      <c r="G20" s="1604">
        <f t="shared" si="1"/>
        <v>2.13</v>
      </c>
      <c r="H20" s="1603">
        <v>117</v>
      </c>
      <c r="I20" s="1603">
        <v>130</v>
      </c>
      <c r="J20" s="1603">
        <v>123</v>
      </c>
      <c r="K20" s="1603">
        <f t="shared" si="2"/>
        <v>253</v>
      </c>
      <c r="L20" s="1586">
        <v>119</v>
      </c>
      <c r="M20" s="1586">
        <v>125</v>
      </c>
      <c r="N20" s="1586">
        <v>123</v>
      </c>
      <c r="O20" s="1586">
        <f t="shared" si="3"/>
        <v>248</v>
      </c>
      <c r="Q20" s="1597">
        <f t="shared" si="5"/>
        <v>38</v>
      </c>
      <c r="R20" s="1592">
        <f t="shared" si="4"/>
        <v>291</v>
      </c>
      <c r="S20" s="1581">
        <f t="shared" si="6"/>
        <v>36</v>
      </c>
    </row>
    <row r="21" spans="1:19">
      <c r="A21" s="1585" t="s">
        <v>1662</v>
      </c>
      <c r="B21" s="1603" t="s">
        <v>1663</v>
      </c>
      <c r="C21" s="1586">
        <v>62</v>
      </c>
      <c r="D21" s="1586">
        <v>77</v>
      </c>
      <c r="E21" s="1586">
        <v>57</v>
      </c>
      <c r="F21" s="1586">
        <f t="shared" si="0"/>
        <v>134</v>
      </c>
      <c r="G21" s="1604">
        <f t="shared" si="1"/>
        <v>2.16</v>
      </c>
      <c r="H21" s="1603">
        <v>57</v>
      </c>
      <c r="I21" s="1603">
        <v>74</v>
      </c>
      <c r="J21" s="1603">
        <v>52</v>
      </c>
      <c r="K21" s="1603">
        <f t="shared" si="2"/>
        <v>126</v>
      </c>
      <c r="L21" s="1586">
        <v>57</v>
      </c>
      <c r="M21" s="1586">
        <v>72</v>
      </c>
      <c r="N21" s="1586">
        <v>52</v>
      </c>
      <c r="O21" s="1586">
        <f t="shared" si="3"/>
        <v>124</v>
      </c>
      <c r="Q21" s="1597">
        <f t="shared" si="5"/>
        <v>19</v>
      </c>
      <c r="R21" s="1592">
        <f t="shared" si="4"/>
        <v>145</v>
      </c>
      <c r="S21" s="1581">
        <f t="shared" si="6"/>
        <v>18</v>
      </c>
    </row>
    <row r="22" spans="1:19" s="1597" customFormat="1">
      <c r="A22" s="1593" t="s">
        <v>1664</v>
      </c>
      <c r="B22" s="1594" t="s">
        <v>1665</v>
      </c>
      <c r="C22" s="1595">
        <v>98</v>
      </c>
      <c r="D22" s="1595">
        <v>110</v>
      </c>
      <c r="E22" s="1595">
        <v>111</v>
      </c>
      <c r="F22" s="1595">
        <f t="shared" si="0"/>
        <v>221</v>
      </c>
      <c r="G22" s="1596">
        <f t="shared" si="1"/>
        <v>2.2599999999999998</v>
      </c>
      <c r="H22" s="1594">
        <v>101</v>
      </c>
      <c r="I22" s="1594">
        <v>116</v>
      </c>
      <c r="J22" s="1594">
        <v>111</v>
      </c>
      <c r="K22" s="1594">
        <f t="shared" si="2"/>
        <v>227</v>
      </c>
      <c r="L22" s="1595">
        <v>100</v>
      </c>
      <c r="M22" s="1595">
        <v>118</v>
      </c>
      <c r="N22" s="1595">
        <v>111</v>
      </c>
      <c r="O22" s="1595">
        <f t="shared" si="3"/>
        <v>229</v>
      </c>
      <c r="Q22" s="1597">
        <f t="shared" si="5"/>
        <v>34</v>
      </c>
      <c r="R22" s="1592">
        <f t="shared" si="4"/>
        <v>261</v>
      </c>
      <c r="S22" s="1597">
        <f t="shared" si="6"/>
        <v>33</v>
      </c>
    </row>
    <row r="23" spans="1:19" s="1597" customFormat="1">
      <c r="A23" s="1593" t="s">
        <v>1666</v>
      </c>
      <c r="B23" s="1594" t="s">
        <v>1667</v>
      </c>
      <c r="C23" s="1595">
        <v>63</v>
      </c>
      <c r="D23" s="1595">
        <v>85</v>
      </c>
      <c r="E23" s="1595">
        <v>55</v>
      </c>
      <c r="F23" s="1595">
        <f t="shared" si="0"/>
        <v>140</v>
      </c>
      <c r="G23" s="1596">
        <f t="shared" si="1"/>
        <v>2.2200000000000002</v>
      </c>
      <c r="H23" s="1594">
        <v>67</v>
      </c>
      <c r="I23" s="1594">
        <v>87</v>
      </c>
      <c r="J23" s="1594">
        <v>54</v>
      </c>
      <c r="K23" s="1594">
        <f t="shared" si="2"/>
        <v>141</v>
      </c>
      <c r="L23" s="1595">
        <v>68</v>
      </c>
      <c r="M23" s="1595">
        <v>87</v>
      </c>
      <c r="N23" s="1595">
        <v>51</v>
      </c>
      <c r="O23" s="1595">
        <f t="shared" si="3"/>
        <v>138</v>
      </c>
      <c r="Q23" s="1597">
        <f t="shared" si="5"/>
        <v>21</v>
      </c>
      <c r="R23" s="1592">
        <f t="shared" si="4"/>
        <v>162</v>
      </c>
      <c r="S23" s="1597">
        <f t="shared" si="6"/>
        <v>20</v>
      </c>
    </row>
    <row r="24" spans="1:19" s="1597" customFormat="1">
      <c r="A24" s="1593" t="s">
        <v>1668</v>
      </c>
      <c r="B24" s="1594" t="s">
        <v>1669</v>
      </c>
      <c r="C24" s="1595">
        <v>48</v>
      </c>
      <c r="D24" s="1595">
        <v>59</v>
      </c>
      <c r="E24" s="1595">
        <v>51</v>
      </c>
      <c r="F24" s="1595">
        <f t="shared" si="0"/>
        <v>110</v>
      </c>
      <c r="G24" s="1596">
        <f t="shared" si="1"/>
        <v>2.29</v>
      </c>
      <c r="H24" s="1594">
        <v>56</v>
      </c>
      <c r="I24" s="1594">
        <v>62</v>
      </c>
      <c r="J24" s="1594">
        <v>50</v>
      </c>
      <c r="K24" s="1594">
        <f t="shared" si="2"/>
        <v>112</v>
      </c>
      <c r="L24" s="1595">
        <v>59</v>
      </c>
      <c r="M24" s="1595">
        <v>63</v>
      </c>
      <c r="N24" s="1595">
        <v>54</v>
      </c>
      <c r="O24" s="1595">
        <f t="shared" si="3"/>
        <v>117</v>
      </c>
      <c r="Q24" s="1597">
        <f t="shared" si="5"/>
        <v>17</v>
      </c>
      <c r="R24" s="1592">
        <f t="shared" si="4"/>
        <v>129</v>
      </c>
      <c r="S24" s="1597">
        <f t="shared" si="6"/>
        <v>17</v>
      </c>
    </row>
    <row r="25" spans="1:19">
      <c r="A25" s="1585" t="s">
        <v>1670</v>
      </c>
      <c r="B25" s="1603" t="s">
        <v>1671</v>
      </c>
      <c r="C25" s="1586">
        <v>42</v>
      </c>
      <c r="D25" s="1586">
        <v>42</v>
      </c>
      <c r="E25" s="1586">
        <v>39</v>
      </c>
      <c r="F25" s="1586">
        <f t="shared" si="0"/>
        <v>81</v>
      </c>
      <c r="G25" s="1604">
        <f t="shared" si="1"/>
        <v>1.93</v>
      </c>
      <c r="H25" s="1603">
        <v>41</v>
      </c>
      <c r="I25" s="1603">
        <v>44</v>
      </c>
      <c r="J25" s="1603">
        <v>41</v>
      </c>
      <c r="K25" s="1603">
        <f t="shared" si="2"/>
        <v>85</v>
      </c>
      <c r="L25" s="1586">
        <v>37</v>
      </c>
      <c r="M25" s="1586">
        <v>43</v>
      </c>
      <c r="N25" s="1586">
        <v>39</v>
      </c>
      <c r="O25" s="1586">
        <f t="shared" si="3"/>
        <v>82</v>
      </c>
      <c r="Q25" s="1597">
        <f t="shared" si="5"/>
        <v>13</v>
      </c>
      <c r="R25" s="1592">
        <f t="shared" si="4"/>
        <v>98</v>
      </c>
      <c r="S25" s="1581">
        <f t="shared" si="6"/>
        <v>12</v>
      </c>
    </row>
    <row r="26" spans="1:19">
      <c r="A26" s="1585" t="s">
        <v>1672</v>
      </c>
      <c r="B26" s="1603" t="s">
        <v>1673</v>
      </c>
      <c r="C26" s="1586">
        <v>50</v>
      </c>
      <c r="D26" s="1586">
        <v>53</v>
      </c>
      <c r="E26" s="1586">
        <v>42</v>
      </c>
      <c r="F26" s="1586">
        <f t="shared" si="0"/>
        <v>95</v>
      </c>
      <c r="G26" s="1604">
        <f t="shared" si="1"/>
        <v>1.9</v>
      </c>
      <c r="H26" s="1603">
        <v>50</v>
      </c>
      <c r="I26" s="1603">
        <v>52</v>
      </c>
      <c r="J26" s="1603">
        <v>36</v>
      </c>
      <c r="K26" s="1603">
        <f t="shared" si="2"/>
        <v>88</v>
      </c>
      <c r="L26" s="1586">
        <v>51</v>
      </c>
      <c r="M26" s="1586">
        <v>53</v>
      </c>
      <c r="N26" s="1586">
        <v>36</v>
      </c>
      <c r="O26" s="1586">
        <f t="shared" si="3"/>
        <v>89</v>
      </c>
      <c r="Q26" s="1597">
        <f t="shared" si="5"/>
        <v>13</v>
      </c>
      <c r="R26" s="1592">
        <f t="shared" si="4"/>
        <v>101</v>
      </c>
      <c r="S26" s="1581">
        <f t="shared" si="6"/>
        <v>13</v>
      </c>
    </row>
    <row r="27" spans="1:19" s="1602" customFormat="1">
      <c r="A27" s="1598" t="s">
        <v>1674</v>
      </c>
      <c r="B27" s="1599" t="s">
        <v>1675</v>
      </c>
      <c r="C27" s="1600">
        <v>99</v>
      </c>
      <c r="D27" s="1600">
        <v>124</v>
      </c>
      <c r="E27" s="1600">
        <v>97</v>
      </c>
      <c r="F27" s="1600">
        <f t="shared" si="0"/>
        <v>221</v>
      </c>
      <c r="G27" s="1601">
        <f t="shared" si="1"/>
        <v>2.23</v>
      </c>
      <c r="H27" s="1599">
        <v>105</v>
      </c>
      <c r="I27" s="1599">
        <v>123</v>
      </c>
      <c r="J27" s="1599">
        <v>105</v>
      </c>
      <c r="K27" s="1599">
        <f t="shared" si="2"/>
        <v>228</v>
      </c>
      <c r="L27" s="1600">
        <v>103</v>
      </c>
      <c r="M27" s="1600">
        <v>120</v>
      </c>
      <c r="N27" s="1600">
        <v>104</v>
      </c>
      <c r="O27" s="1600">
        <f t="shared" si="3"/>
        <v>224</v>
      </c>
      <c r="P27" s="1602" t="s">
        <v>1631</v>
      </c>
      <c r="Q27" s="1597">
        <f t="shared" si="5"/>
        <v>34</v>
      </c>
      <c r="R27" s="1592">
        <f t="shared" si="4"/>
        <v>262</v>
      </c>
      <c r="S27" s="1602">
        <f t="shared" si="6"/>
        <v>32</v>
      </c>
    </row>
    <row r="28" spans="1:19" s="1609" customFormat="1">
      <c r="A28" s="1605" t="s">
        <v>1676</v>
      </c>
      <c r="B28" s="1606" t="s">
        <v>1677</v>
      </c>
      <c r="C28" s="1607">
        <v>85</v>
      </c>
      <c r="D28" s="1607">
        <v>85</v>
      </c>
      <c r="E28" s="1607">
        <v>72</v>
      </c>
      <c r="F28" s="1607">
        <f t="shared" si="0"/>
        <v>157</v>
      </c>
      <c r="G28" s="1608">
        <f t="shared" si="1"/>
        <v>1.85</v>
      </c>
      <c r="H28" s="1606">
        <v>88</v>
      </c>
      <c r="I28" s="1606">
        <v>87</v>
      </c>
      <c r="J28" s="1606">
        <v>73</v>
      </c>
      <c r="K28" s="1606">
        <f t="shared" si="2"/>
        <v>160</v>
      </c>
      <c r="L28" s="1607">
        <v>86</v>
      </c>
      <c r="M28" s="1607">
        <v>86</v>
      </c>
      <c r="N28" s="1607">
        <v>72</v>
      </c>
      <c r="O28" s="1607">
        <f t="shared" si="3"/>
        <v>158</v>
      </c>
      <c r="P28" s="1609" t="s">
        <v>1678</v>
      </c>
      <c r="Q28" s="1597">
        <f t="shared" si="5"/>
        <v>24</v>
      </c>
      <c r="R28" s="1592">
        <f t="shared" si="4"/>
        <v>184</v>
      </c>
      <c r="S28" s="1609">
        <f t="shared" si="6"/>
        <v>23</v>
      </c>
    </row>
    <row r="29" spans="1:19" s="1597" customFormat="1">
      <c r="A29" s="1593" t="s">
        <v>1679</v>
      </c>
      <c r="B29" s="1594" t="s">
        <v>1680</v>
      </c>
      <c r="C29" s="1595">
        <v>285</v>
      </c>
      <c r="D29" s="1595">
        <v>274</v>
      </c>
      <c r="E29" s="1595">
        <v>151</v>
      </c>
      <c r="F29" s="1595">
        <f t="shared" si="0"/>
        <v>425</v>
      </c>
      <c r="G29" s="1596">
        <f t="shared" si="1"/>
        <v>1.49</v>
      </c>
      <c r="H29" s="1594">
        <v>293</v>
      </c>
      <c r="I29" s="1594">
        <v>282</v>
      </c>
      <c r="J29" s="1594">
        <v>140</v>
      </c>
      <c r="K29" s="1594">
        <f t="shared" si="2"/>
        <v>422</v>
      </c>
      <c r="L29" s="1595">
        <v>296</v>
      </c>
      <c r="M29" s="1595">
        <v>285</v>
      </c>
      <c r="N29" s="1595">
        <v>134</v>
      </c>
      <c r="O29" s="1595">
        <f t="shared" si="3"/>
        <v>419</v>
      </c>
      <c r="Q29" s="1597">
        <f t="shared" si="5"/>
        <v>63</v>
      </c>
      <c r="R29" s="1592">
        <f t="shared" si="4"/>
        <v>485</v>
      </c>
      <c r="S29" s="1597">
        <f t="shared" si="6"/>
        <v>60</v>
      </c>
    </row>
    <row r="30" spans="1:19" s="1602" customFormat="1">
      <c r="A30" s="1598" t="s">
        <v>1681</v>
      </c>
      <c r="B30" s="1599" t="s">
        <v>1682</v>
      </c>
      <c r="C30" s="1600">
        <v>140</v>
      </c>
      <c r="D30" s="1600">
        <v>140</v>
      </c>
      <c r="E30" s="1600">
        <v>108</v>
      </c>
      <c r="F30" s="1600">
        <f t="shared" si="0"/>
        <v>248</v>
      </c>
      <c r="G30" s="1601">
        <f t="shared" si="1"/>
        <v>1.77</v>
      </c>
      <c r="H30" s="1599">
        <v>141</v>
      </c>
      <c r="I30" s="1599">
        <v>152</v>
      </c>
      <c r="J30" s="1599">
        <v>105</v>
      </c>
      <c r="K30" s="1599">
        <f t="shared" si="2"/>
        <v>257</v>
      </c>
      <c r="L30" s="1600">
        <v>139</v>
      </c>
      <c r="M30" s="1600">
        <v>151</v>
      </c>
      <c r="N30" s="1600">
        <v>108</v>
      </c>
      <c r="O30" s="1600">
        <f t="shared" si="3"/>
        <v>259</v>
      </c>
      <c r="Q30" s="1597">
        <f t="shared" si="5"/>
        <v>38</v>
      </c>
      <c r="R30" s="1592">
        <f t="shared" si="4"/>
        <v>295</v>
      </c>
      <c r="S30" s="1602">
        <f t="shared" si="6"/>
        <v>37</v>
      </c>
    </row>
    <row r="31" spans="1:19" s="1609" customFormat="1">
      <c r="A31" s="1605" t="s">
        <v>1683</v>
      </c>
      <c r="B31" s="1606" t="s">
        <v>1684</v>
      </c>
      <c r="C31" s="1607">
        <v>164</v>
      </c>
      <c r="D31" s="1607">
        <v>176</v>
      </c>
      <c r="E31" s="1607">
        <v>103</v>
      </c>
      <c r="F31" s="1607">
        <f t="shared" si="0"/>
        <v>279</v>
      </c>
      <c r="G31" s="1608">
        <f t="shared" si="1"/>
        <v>1.7</v>
      </c>
      <c r="H31" s="1606">
        <v>170</v>
      </c>
      <c r="I31" s="1606">
        <v>181</v>
      </c>
      <c r="J31" s="1606">
        <v>87</v>
      </c>
      <c r="K31" s="1606">
        <f t="shared" si="2"/>
        <v>268</v>
      </c>
      <c r="L31" s="1607">
        <v>162</v>
      </c>
      <c r="M31" s="1607">
        <v>176</v>
      </c>
      <c r="N31" s="1607">
        <v>85</v>
      </c>
      <c r="O31" s="1607">
        <f t="shared" si="3"/>
        <v>261</v>
      </c>
      <c r="Q31" s="1597">
        <f t="shared" si="5"/>
        <v>40</v>
      </c>
      <c r="R31" s="1592">
        <f t="shared" si="4"/>
        <v>308</v>
      </c>
      <c r="S31" s="1609">
        <f t="shared" si="6"/>
        <v>37</v>
      </c>
    </row>
    <row r="32" spans="1:19" s="1609" customFormat="1">
      <c r="A32" s="1605" t="s">
        <v>1685</v>
      </c>
      <c r="B32" s="1606" t="s">
        <v>1686</v>
      </c>
      <c r="C32" s="1607">
        <v>51</v>
      </c>
      <c r="D32" s="1607">
        <v>49</v>
      </c>
      <c r="E32" s="1607">
        <v>28</v>
      </c>
      <c r="F32" s="1607">
        <f t="shared" si="0"/>
        <v>77</v>
      </c>
      <c r="G32" s="1608">
        <f t="shared" si="1"/>
        <v>1.51</v>
      </c>
      <c r="H32" s="1606">
        <v>40</v>
      </c>
      <c r="I32" s="1606">
        <v>39</v>
      </c>
      <c r="J32" s="1606">
        <v>24</v>
      </c>
      <c r="K32" s="1606">
        <f t="shared" si="2"/>
        <v>63</v>
      </c>
      <c r="L32" s="1607">
        <v>50</v>
      </c>
      <c r="M32" s="1607">
        <v>48</v>
      </c>
      <c r="N32" s="1607">
        <v>23</v>
      </c>
      <c r="O32" s="1607">
        <f t="shared" si="3"/>
        <v>71</v>
      </c>
      <c r="P32" s="1609" t="s">
        <v>1678</v>
      </c>
      <c r="Q32" s="1597">
        <f t="shared" si="5"/>
        <v>9</v>
      </c>
      <c r="R32" s="1592">
        <f t="shared" si="4"/>
        <v>72</v>
      </c>
      <c r="S32" s="1609">
        <f t="shared" si="6"/>
        <v>10</v>
      </c>
    </row>
    <row r="33" spans="1:19">
      <c r="A33" s="1585" t="s">
        <v>1687</v>
      </c>
      <c r="B33" s="1603" t="s">
        <v>1688</v>
      </c>
      <c r="C33" s="1586">
        <v>180</v>
      </c>
      <c r="D33" s="1586">
        <v>222</v>
      </c>
      <c r="E33" s="1586">
        <v>182</v>
      </c>
      <c r="F33" s="1586">
        <f t="shared" si="0"/>
        <v>404</v>
      </c>
      <c r="G33" s="1604">
        <f t="shared" si="1"/>
        <v>2.2400000000000002</v>
      </c>
      <c r="H33" s="1603">
        <v>169</v>
      </c>
      <c r="I33" s="1603">
        <v>205</v>
      </c>
      <c r="J33" s="1603">
        <v>169</v>
      </c>
      <c r="K33" s="1603">
        <f t="shared" si="2"/>
        <v>374</v>
      </c>
      <c r="L33" s="1586">
        <v>170</v>
      </c>
      <c r="M33" s="1586">
        <v>207</v>
      </c>
      <c r="N33" s="1586">
        <v>170</v>
      </c>
      <c r="O33" s="1586">
        <f t="shared" si="3"/>
        <v>377</v>
      </c>
      <c r="Q33" s="1597">
        <f t="shared" si="5"/>
        <v>56</v>
      </c>
      <c r="R33" s="1592">
        <f t="shared" si="4"/>
        <v>430</v>
      </c>
      <c r="S33" s="1581">
        <f t="shared" si="6"/>
        <v>54</v>
      </c>
    </row>
    <row r="34" spans="1:19">
      <c r="A34" s="1585" t="s">
        <v>1689</v>
      </c>
      <c r="B34" s="1603" t="s">
        <v>1690</v>
      </c>
      <c r="C34" s="1586">
        <v>28</v>
      </c>
      <c r="D34" s="1586">
        <v>29</v>
      </c>
      <c r="E34" s="1586">
        <v>29</v>
      </c>
      <c r="F34" s="1586">
        <f t="shared" si="0"/>
        <v>58</v>
      </c>
      <c r="G34" s="1604">
        <f t="shared" si="1"/>
        <v>2.0699999999999998</v>
      </c>
      <c r="H34" s="1603">
        <v>26</v>
      </c>
      <c r="I34" s="1603">
        <v>29</v>
      </c>
      <c r="J34" s="1603">
        <v>30</v>
      </c>
      <c r="K34" s="1603">
        <f t="shared" si="2"/>
        <v>59</v>
      </c>
      <c r="L34" s="1586">
        <v>25</v>
      </c>
      <c r="M34" s="1586">
        <v>27</v>
      </c>
      <c r="N34" s="1586">
        <v>28</v>
      </c>
      <c r="O34" s="1586">
        <f t="shared" si="3"/>
        <v>55</v>
      </c>
      <c r="Q34" s="1597">
        <f t="shared" si="5"/>
        <v>9</v>
      </c>
      <c r="R34" s="1592">
        <f t="shared" si="4"/>
        <v>68</v>
      </c>
      <c r="S34" s="1581">
        <f t="shared" si="6"/>
        <v>8</v>
      </c>
    </row>
    <row r="35" spans="1:19">
      <c r="A35" s="1585" t="s">
        <v>1691</v>
      </c>
      <c r="B35" s="1603" t="s">
        <v>1692</v>
      </c>
      <c r="C35" s="1586">
        <v>33</v>
      </c>
      <c r="D35" s="1586">
        <v>34</v>
      </c>
      <c r="E35" s="1586">
        <v>28</v>
      </c>
      <c r="F35" s="1586">
        <f t="shared" si="0"/>
        <v>62</v>
      </c>
      <c r="G35" s="1604">
        <f t="shared" si="1"/>
        <v>1.88</v>
      </c>
      <c r="H35" s="1603">
        <v>32</v>
      </c>
      <c r="I35" s="1603">
        <v>34</v>
      </c>
      <c r="J35" s="1603">
        <v>27</v>
      </c>
      <c r="K35" s="1603">
        <f t="shared" si="2"/>
        <v>61</v>
      </c>
      <c r="L35" s="1586">
        <v>29</v>
      </c>
      <c r="M35" s="1586">
        <v>31</v>
      </c>
      <c r="N35" s="1586">
        <v>23</v>
      </c>
      <c r="O35" s="1586">
        <f t="shared" si="3"/>
        <v>54</v>
      </c>
      <c r="Q35" s="1597">
        <f t="shared" si="5"/>
        <v>9</v>
      </c>
      <c r="R35" s="1592">
        <f t="shared" si="4"/>
        <v>70</v>
      </c>
      <c r="S35" s="1581">
        <f t="shared" si="6"/>
        <v>8</v>
      </c>
    </row>
    <row r="36" spans="1:19" s="1597" customFormat="1">
      <c r="A36" s="1593" t="s">
        <v>1693</v>
      </c>
      <c r="B36" s="1594" t="s">
        <v>1694</v>
      </c>
      <c r="C36" s="1595">
        <v>127</v>
      </c>
      <c r="D36" s="1595">
        <v>156</v>
      </c>
      <c r="E36" s="1595">
        <v>128</v>
      </c>
      <c r="F36" s="1595">
        <f t="shared" si="0"/>
        <v>284</v>
      </c>
      <c r="G36" s="1596">
        <f t="shared" si="1"/>
        <v>2.2400000000000002</v>
      </c>
      <c r="H36" s="1594">
        <v>118</v>
      </c>
      <c r="I36" s="1594">
        <v>154</v>
      </c>
      <c r="J36" s="1594">
        <v>121</v>
      </c>
      <c r="K36" s="1594">
        <f t="shared" si="2"/>
        <v>275</v>
      </c>
      <c r="L36" s="1595">
        <v>120</v>
      </c>
      <c r="M36" s="1595">
        <v>150</v>
      </c>
      <c r="N36" s="1595">
        <v>116</v>
      </c>
      <c r="O36" s="1595">
        <f t="shared" si="3"/>
        <v>266</v>
      </c>
      <c r="Q36" s="1597">
        <f t="shared" si="5"/>
        <v>41</v>
      </c>
      <c r="R36" s="1592">
        <f t="shared" si="4"/>
        <v>316</v>
      </c>
      <c r="S36" s="1597">
        <f t="shared" si="6"/>
        <v>38</v>
      </c>
    </row>
    <row r="37" spans="1:19">
      <c r="A37" s="1585" t="s">
        <v>1695</v>
      </c>
      <c r="B37" s="1603" t="s">
        <v>1696</v>
      </c>
      <c r="C37" s="1586">
        <v>153</v>
      </c>
      <c r="D37" s="1586">
        <v>143</v>
      </c>
      <c r="E37" s="1586">
        <v>91</v>
      </c>
      <c r="F37" s="1586">
        <f t="shared" si="0"/>
        <v>234</v>
      </c>
      <c r="G37" s="1604">
        <f t="shared" si="1"/>
        <v>1.53</v>
      </c>
      <c r="H37" s="1603">
        <v>151</v>
      </c>
      <c r="I37" s="1603">
        <v>139</v>
      </c>
      <c r="J37" s="1603">
        <v>86</v>
      </c>
      <c r="K37" s="1603">
        <f t="shared" si="2"/>
        <v>225</v>
      </c>
      <c r="L37" s="1586">
        <v>160</v>
      </c>
      <c r="M37" s="1586">
        <v>148</v>
      </c>
      <c r="N37" s="1586">
        <v>86</v>
      </c>
      <c r="O37" s="1586">
        <f t="shared" si="3"/>
        <v>234</v>
      </c>
      <c r="Q37" s="1597">
        <f t="shared" si="5"/>
        <v>34</v>
      </c>
      <c r="R37" s="1592">
        <f t="shared" si="4"/>
        <v>259</v>
      </c>
      <c r="S37" s="1581">
        <f t="shared" si="6"/>
        <v>34</v>
      </c>
    </row>
    <row r="38" spans="1:19" s="1597" customFormat="1">
      <c r="A38" s="1593" t="s">
        <v>1697</v>
      </c>
      <c r="B38" s="1594" t="s">
        <v>1698</v>
      </c>
      <c r="C38" s="1595">
        <v>257</v>
      </c>
      <c r="D38" s="1595">
        <v>291</v>
      </c>
      <c r="E38" s="1595">
        <v>212</v>
      </c>
      <c r="F38" s="1595">
        <f t="shared" si="0"/>
        <v>503</v>
      </c>
      <c r="G38" s="1596">
        <f t="shared" si="1"/>
        <v>1.96</v>
      </c>
      <c r="H38" s="1594">
        <v>244</v>
      </c>
      <c r="I38" s="1594">
        <v>270</v>
      </c>
      <c r="J38" s="1594">
        <v>195</v>
      </c>
      <c r="K38" s="1594">
        <f t="shared" si="2"/>
        <v>465</v>
      </c>
      <c r="L38" s="1595">
        <v>241</v>
      </c>
      <c r="M38" s="1595">
        <v>263</v>
      </c>
      <c r="N38" s="1595">
        <v>195</v>
      </c>
      <c r="O38" s="1595">
        <f t="shared" si="3"/>
        <v>458</v>
      </c>
      <c r="Q38" s="1597">
        <f t="shared" si="5"/>
        <v>69</v>
      </c>
      <c r="R38" s="1592">
        <f t="shared" si="4"/>
        <v>534</v>
      </c>
      <c r="S38" s="1597">
        <f t="shared" si="6"/>
        <v>66</v>
      </c>
    </row>
    <row r="39" spans="1:19" s="1597" customFormat="1">
      <c r="A39" s="1593" t="s">
        <v>1699</v>
      </c>
      <c r="B39" s="1594" t="s">
        <v>1700</v>
      </c>
      <c r="C39" s="1595">
        <v>247</v>
      </c>
      <c r="D39" s="1595">
        <v>310</v>
      </c>
      <c r="E39" s="1595">
        <v>282</v>
      </c>
      <c r="F39" s="1595">
        <f t="shared" si="0"/>
        <v>592</v>
      </c>
      <c r="G39" s="1596">
        <f t="shared" si="1"/>
        <v>2.4</v>
      </c>
      <c r="H39" s="1594">
        <v>247</v>
      </c>
      <c r="I39" s="1594">
        <v>317</v>
      </c>
      <c r="J39" s="1594">
        <v>267</v>
      </c>
      <c r="K39" s="1594">
        <f t="shared" si="2"/>
        <v>584</v>
      </c>
      <c r="L39" s="1595">
        <v>243</v>
      </c>
      <c r="M39" s="1595">
        <v>315</v>
      </c>
      <c r="N39" s="1595">
        <v>269</v>
      </c>
      <c r="O39" s="1595">
        <f t="shared" si="3"/>
        <v>584</v>
      </c>
      <c r="P39" s="1597" t="s">
        <v>1701</v>
      </c>
      <c r="Q39" s="1597">
        <f t="shared" si="5"/>
        <v>87</v>
      </c>
      <c r="R39" s="1592">
        <f t="shared" si="4"/>
        <v>671</v>
      </c>
      <c r="S39" s="1597">
        <f t="shared" si="6"/>
        <v>84</v>
      </c>
    </row>
    <row r="40" spans="1:19" s="1597" customFormat="1">
      <c r="A40" s="1593" t="s">
        <v>1702</v>
      </c>
      <c r="B40" s="1594" t="s">
        <v>1703</v>
      </c>
      <c r="C40" s="1595">
        <v>217</v>
      </c>
      <c r="D40" s="1595">
        <v>253</v>
      </c>
      <c r="E40" s="1595">
        <v>258</v>
      </c>
      <c r="F40" s="1595">
        <f t="shared" si="0"/>
        <v>511</v>
      </c>
      <c r="G40" s="1596">
        <f t="shared" si="1"/>
        <v>2.35</v>
      </c>
      <c r="H40" s="1594">
        <v>217</v>
      </c>
      <c r="I40" s="1594">
        <v>238</v>
      </c>
      <c r="J40" s="1594">
        <v>257</v>
      </c>
      <c r="K40" s="1594">
        <f t="shared" si="2"/>
        <v>495</v>
      </c>
      <c r="L40" s="1595">
        <v>211</v>
      </c>
      <c r="M40" s="1595">
        <v>236</v>
      </c>
      <c r="N40" s="1595">
        <v>251</v>
      </c>
      <c r="O40" s="1595">
        <f t="shared" si="3"/>
        <v>487</v>
      </c>
      <c r="Q40" s="1597">
        <f t="shared" si="5"/>
        <v>74</v>
      </c>
      <c r="R40" s="1592">
        <f t="shared" si="4"/>
        <v>569</v>
      </c>
      <c r="S40" s="1597">
        <f t="shared" si="6"/>
        <v>70</v>
      </c>
    </row>
    <row r="41" spans="1:19" s="1597" customFormat="1">
      <c r="A41" s="1593" t="s">
        <v>1704</v>
      </c>
      <c r="B41" s="1594" t="s">
        <v>1705</v>
      </c>
      <c r="C41" s="1595">
        <v>294</v>
      </c>
      <c r="D41" s="1595">
        <v>370</v>
      </c>
      <c r="E41" s="1595">
        <v>313</v>
      </c>
      <c r="F41" s="1595">
        <f t="shared" si="0"/>
        <v>683</v>
      </c>
      <c r="G41" s="1596">
        <f t="shared" si="1"/>
        <v>2.3199999999999998</v>
      </c>
      <c r="H41" s="1594">
        <v>282</v>
      </c>
      <c r="I41" s="1594">
        <v>358</v>
      </c>
      <c r="J41" s="1594">
        <v>279</v>
      </c>
      <c r="K41" s="1594">
        <f t="shared" si="2"/>
        <v>637</v>
      </c>
      <c r="L41" s="1595">
        <v>279</v>
      </c>
      <c r="M41" s="1595">
        <v>361</v>
      </c>
      <c r="N41" s="1595">
        <v>275</v>
      </c>
      <c r="O41" s="1595">
        <f t="shared" si="3"/>
        <v>636</v>
      </c>
      <c r="Q41" s="1597">
        <f t="shared" si="5"/>
        <v>95</v>
      </c>
      <c r="R41" s="1592">
        <f t="shared" si="4"/>
        <v>732</v>
      </c>
      <c r="S41" s="1597">
        <f t="shared" si="6"/>
        <v>91</v>
      </c>
    </row>
    <row r="42" spans="1:19" s="1597" customFormat="1">
      <c r="A42" s="1593" t="s">
        <v>1706</v>
      </c>
      <c r="B42" s="1594" t="s">
        <v>1707</v>
      </c>
      <c r="C42" s="1595">
        <v>162</v>
      </c>
      <c r="D42" s="1595">
        <v>172</v>
      </c>
      <c r="E42" s="1595">
        <v>146</v>
      </c>
      <c r="F42" s="1595">
        <f t="shared" si="0"/>
        <v>318</v>
      </c>
      <c r="G42" s="1596">
        <f t="shared" si="1"/>
        <v>1.96</v>
      </c>
      <c r="H42" s="1594">
        <v>156</v>
      </c>
      <c r="I42" s="1594">
        <v>164</v>
      </c>
      <c r="J42" s="1594">
        <v>144</v>
      </c>
      <c r="K42" s="1594">
        <f t="shared" si="2"/>
        <v>308</v>
      </c>
      <c r="L42" s="1595">
        <v>154</v>
      </c>
      <c r="M42" s="1595">
        <v>158</v>
      </c>
      <c r="N42" s="1595">
        <v>142</v>
      </c>
      <c r="O42" s="1595">
        <f t="shared" si="3"/>
        <v>300</v>
      </c>
      <c r="Q42" s="1597">
        <f t="shared" si="5"/>
        <v>46</v>
      </c>
      <c r="R42" s="1592">
        <f t="shared" si="4"/>
        <v>354</v>
      </c>
      <c r="S42" s="1597">
        <f t="shared" si="6"/>
        <v>43</v>
      </c>
    </row>
    <row r="43" spans="1:19">
      <c r="A43" s="1585" t="s">
        <v>1708</v>
      </c>
      <c r="B43" s="1603" t="s">
        <v>1709</v>
      </c>
      <c r="C43" s="1586">
        <v>30</v>
      </c>
      <c r="D43" s="1586">
        <v>44</v>
      </c>
      <c r="E43" s="1586">
        <v>31</v>
      </c>
      <c r="F43" s="1586">
        <f t="shared" si="0"/>
        <v>75</v>
      </c>
      <c r="G43" s="1604">
        <f t="shared" si="1"/>
        <v>2.5</v>
      </c>
      <c r="H43" s="1603">
        <v>33</v>
      </c>
      <c r="I43" s="1603">
        <v>45</v>
      </c>
      <c r="J43" s="1603">
        <v>32</v>
      </c>
      <c r="K43" s="1603">
        <f t="shared" si="2"/>
        <v>77</v>
      </c>
      <c r="L43" s="1586">
        <v>43</v>
      </c>
      <c r="M43" s="1586">
        <v>53</v>
      </c>
      <c r="N43" s="1586">
        <v>33</v>
      </c>
      <c r="O43" s="1586">
        <f t="shared" si="3"/>
        <v>86</v>
      </c>
      <c r="Q43" s="1597">
        <f t="shared" si="5"/>
        <v>11</v>
      </c>
      <c r="R43" s="1592">
        <f t="shared" si="4"/>
        <v>88</v>
      </c>
      <c r="S43" s="1581">
        <f t="shared" si="6"/>
        <v>12</v>
      </c>
    </row>
    <row r="44" spans="1:19">
      <c r="A44" s="1585" t="s">
        <v>1710</v>
      </c>
      <c r="B44" s="1603" t="s">
        <v>1711</v>
      </c>
      <c r="C44" s="1586">
        <v>21</v>
      </c>
      <c r="D44" s="1586">
        <v>23</v>
      </c>
      <c r="E44" s="1586">
        <v>18</v>
      </c>
      <c r="F44" s="1586">
        <f t="shared" si="0"/>
        <v>41</v>
      </c>
      <c r="G44" s="1604">
        <f t="shared" si="1"/>
        <v>1.95</v>
      </c>
      <c r="H44" s="1603">
        <v>24</v>
      </c>
      <c r="I44" s="1603">
        <v>21</v>
      </c>
      <c r="J44" s="1603">
        <v>21</v>
      </c>
      <c r="K44" s="1603">
        <f t="shared" si="2"/>
        <v>42</v>
      </c>
      <c r="L44" s="1586">
        <v>23</v>
      </c>
      <c r="M44" s="1586">
        <v>20</v>
      </c>
      <c r="N44" s="1586">
        <v>20</v>
      </c>
      <c r="O44" s="1586">
        <f t="shared" si="3"/>
        <v>40</v>
      </c>
      <c r="Q44" s="1597">
        <f t="shared" si="5"/>
        <v>6</v>
      </c>
      <c r="R44" s="1592">
        <f t="shared" si="4"/>
        <v>48</v>
      </c>
      <c r="S44" s="1581">
        <f t="shared" si="6"/>
        <v>6</v>
      </c>
    </row>
    <row r="45" spans="1:19" s="1597" customFormat="1">
      <c r="A45" s="1593" t="s">
        <v>1712</v>
      </c>
      <c r="B45" s="1594" t="s">
        <v>1713</v>
      </c>
      <c r="C45" s="1595">
        <v>128</v>
      </c>
      <c r="D45" s="1595">
        <v>196</v>
      </c>
      <c r="E45" s="1595">
        <v>185</v>
      </c>
      <c r="F45" s="1595">
        <f t="shared" si="0"/>
        <v>381</v>
      </c>
      <c r="G45" s="1596">
        <f t="shared" si="1"/>
        <v>2.98</v>
      </c>
      <c r="H45" s="1594">
        <v>132</v>
      </c>
      <c r="I45" s="1594">
        <v>209</v>
      </c>
      <c r="J45" s="1594">
        <v>185</v>
      </c>
      <c r="K45" s="1594">
        <f t="shared" si="2"/>
        <v>394</v>
      </c>
      <c r="L45" s="1595">
        <v>128</v>
      </c>
      <c r="M45" s="1595">
        <v>203</v>
      </c>
      <c r="N45" s="1595">
        <v>195</v>
      </c>
      <c r="O45" s="1595">
        <f t="shared" si="3"/>
        <v>398</v>
      </c>
      <c r="Q45" s="1597">
        <f t="shared" si="5"/>
        <v>59</v>
      </c>
      <c r="R45" s="1592">
        <f t="shared" si="4"/>
        <v>453</v>
      </c>
      <c r="S45" s="1597">
        <f t="shared" si="6"/>
        <v>57</v>
      </c>
    </row>
    <row r="46" spans="1:19" s="1597" customFormat="1">
      <c r="A46" s="1593" t="s">
        <v>1714</v>
      </c>
      <c r="B46" s="1594" t="s">
        <v>1715</v>
      </c>
      <c r="C46" s="1595">
        <v>152</v>
      </c>
      <c r="D46" s="1595">
        <v>158</v>
      </c>
      <c r="E46" s="1595">
        <v>120</v>
      </c>
      <c r="F46" s="1595">
        <f t="shared" si="0"/>
        <v>278</v>
      </c>
      <c r="G46" s="1596">
        <f t="shared" si="1"/>
        <v>1.83</v>
      </c>
      <c r="H46" s="1594">
        <v>200</v>
      </c>
      <c r="I46" s="1594">
        <v>198</v>
      </c>
      <c r="J46" s="1594">
        <v>131</v>
      </c>
      <c r="K46" s="1594">
        <f t="shared" si="2"/>
        <v>329</v>
      </c>
      <c r="L46" s="1595">
        <v>210</v>
      </c>
      <c r="M46" s="1595">
        <v>201</v>
      </c>
      <c r="N46" s="1595">
        <v>141</v>
      </c>
      <c r="O46" s="1595">
        <f t="shared" si="3"/>
        <v>342</v>
      </c>
      <c r="Q46" s="1597">
        <f t="shared" si="5"/>
        <v>49</v>
      </c>
      <c r="R46" s="1592">
        <f t="shared" si="4"/>
        <v>378</v>
      </c>
      <c r="S46" s="1597">
        <f t="shared" si="6"/>
        <v>49</v>
      </c>
    </row>
    <row r="47" spans="1:19" s="1602" customFormat="1">
      <c r="A47" s="1598" t="s">
        <v>1716</v>
      </c>
      <c r="B47" s="1599" t="s">
        <v>1717</v>
      </c>
      <c r="C47" s="1600">
        <v>201</v>
      </c>
      <c r="D47" s="1600">
        <v>325</v>
      </c>
      <c r="E47" s="1600">
        <v>328</v>
      </c>
      <c r="F47" s="1600">
        <f t="shared" si="0"/>
        <v>653</v>
      </c>
      <c r="G47" s="1601">
        <f t="shared" si="1"/>
        <v>3.25</v>
      </c>
      <c r="H47" s="1599">
        <v>200</v>
      </c>
      <c r="I47" s="1599">
        <v>322</v>
      </c>
      <c r="J47" s="1599">
        <v>319</v>
      </c>
      <c r="K47" s="1599">
        <f t="shared" si="2"/>
        <v>641</v>
      </c>
      <c r="L47" s="1600">
        <v>199</v>
      </c>
      <c r="M47" s="1600">
        <v>323</v>
      </c>
      <c r="N47" s="1600">
        <v>313</v>
      </c>
      <c r="O47" s="1600">
        <f t="shared" si="3"/>
        <v>636</v>
      </c>
      <c r="Q47" s="1597">
        <f t="shared" si="5"/>
        <v>96</v>
      </c>
      <c r="R47" s="1592">
        <f t="shared" si="4"/>
        <v>737</v>
      </c>
      <c r="S47" s="1602">
        <f t="shared" si="6"/>
        <v>91</v>
      </c>
    </row>
    <row r="48" spans="1:19" s="1597" customFormat="1">
      <c r="A48" s="1593" t="s">
        <v>1718</v>
      </c>
      <c r="B48" s="1594" t="s">
        <v>1719</v>
      </c>
      <c r="C48" s="1595">
        <v>132</v>
      </c>
      <c r="D48" s="1595">
        <v>145</v>
      </c>
      <c r="E48" s="1595">
        <v>111</v>
      </c>
      <c r="F48" s="1595">
        <f t="shared" si="0"/>
        <v>256</v>
      </c>
      <c r="G48" s="1596">
        <f t="shared" si="1"/>
        <v>1.94</v>
      </c>
      <c r="H48" s="1594">
        <v>120</v>
      </c>
      <c r="I48" s="1594">
        <v>145</v>
      </c>
      <c r="J48" s="1594">
        <v>104</v>
      </c>
      <c r="K48" s="1594">
        <f t="shared" si="2"/>
        <v>249</v>
      </c>
      <c r="L48" s="1595">
        <v>120</v>
      </c>
      <c r="M48" s="1595">
        <v>149</v>
      </c>
      <c r="N48" s="1595">
        <v>105</v>
      </c>
      <c r="O48" s="1595">
        <f t="shared" si="3"/>
        <v>254</v>
      </c>
      <c r="P48" s="1597" t="s">
        <v>1720</v>
      </c>
      <c r="Q48" s="1597">
        <f t="shared" si="5"/>
        <v>37</v>
      </c>
      <c r="R48" s="1592">
        <f t="shared" si="4"/>
        <v>286</v>
      </c>
      <c r="S48" s="1597">
        <f t="shared" si="6"/>
        <v>36</v>
      </c>
    </row>
    <row r="49" spans="1:19" s="1597" customFormat="1">
      <c r="A49" s="1593" t="s">
        <v>1721</v>
      </c>
      <c r="B49" s="1594" t="s">
        <v>1722</v>
      </c>
      <c r="C49" s="1595">
        <v>362</v>
      </c>
      <c r="D49" s="1595">
        <v>521</v>
      </c>
      <c r="E49" s="1595">
        <v>578</v>
      </c>
      <c r="F49" s="1595">
        <f t="shared" si="0"/>
        <v>1099</v>
      </c>
      <c r="G49" s="1596">
        <f t="shared" si="1"/>
        <v>3.04</v>
      </c>
      <c r="H49" s="1594">
        <v>364</v>
      </c>
      <c r="I49" s="1594">
        <v>544</v>
      </c>
      <c r="J49" s="1594">
        <v>583</v>
      </c>
      <c r="K49" s="1594">
        <f t="shared" si="2"/>
        <v>1127</v>
      </c>
      <c r="L49" s="1595">
        <v>363</v>
      </c>
      <c r="M49" s="1595">
        <v>540</v>
      </c>
      <c r="N49" s="1595">
        <v>577</v>
      </c>
      <c r="O49" s="1595">
        <f t="shared" si="3"/>
        <v>1117</v>
      </c>
      <c r="Q49" s="1597">
        <f>ROUND(K49/$K$3*$Q$3,0)-1</f>
        <v>167</v>
      </c>
      <c r="R49" s="1592">
        <f t="shared" si="4"/>
        <v>1294</v>
      </c>
      <c r="S49" s="1597">
        <f t="shared" si="6"/>
        <v>160</v>
      </c>
    </row>
    <row r="50" spans="1:19">
      <c r="A50" s="1585" t="s">
        <v>1723</v>
      </c>
      <c r="B50" s="1603" t="s">
        <v>1724</v>
      </c>
      <c r="C50" s="1586">
        <v>53</v>
      </c>
      <c r="D50" s="1586">
        <v>56</v>
      </c>
      <c r="E50" s="1586">
        <v>43</v>
      </c>
      <c r="F50" s="1586">
        <f t="shared" si="0"/>
        <v>99</v>
      </c>
      <c r="G50" s="1604">
        <f t="shared" si="1"/>
        <v>1.87</v>
      </c>
      <c r="H50" s="1603">
        <v>52</v>
      </c>
      <c r="I50" s="1603">
        <v>56</v>
      </c>
      <c r="J50" s="1603">
        <v>44</v>
      </c>
      <c r="K50" s="1603">
        <f t="shared" si="2"/>
        <v>100</v>
      </c>
      <c r="L50" s="1586">
        <v>54</v>
      </c>
      <c r="M50" s="1586">
        <v>61</v>
      </c>
      <c r="N50" s="1586">
        <v>44</v>
      </c>
      <c r="O50" s="1586">
        <f t="shared" si="3"/>
        <v>105</v>
      </c>
      <c r="Q50" s="1597">
        <f t="shared" si="5"/>
        <v>15</v>
      </c>
      <c r="R50" s="1592">
        <f t="shared" si="4"/>
        <v>115</v>
      </c>
      <c r="S50" s="1581">
        <f t="shared" si="6"/>
        <v>15</v>
      </c>
    </row>
    <row r="51" spans="1:19">
      <c r="A51" s="1585" t="s">
        <v>1725</v>
      </c>
      <c r="B51" s="1603" t="s">
        <v>1726</v>
      </c>
      <c r="C51" s="1586">
        <v>186</v>
      </c>
      <c r="D51" s="1586">
        <v>297</v>
      </c>
      <c r="E51" s="1586">
        <v>278</v>
      </c>
      <c r="F51" s="1586">
        <f t="shared" si="0"/>
        <v>575</v>
      </c>
      <c r="G51" s="1604">
        <f t="shared" si="1"/>
        <v>3.09</v>
      </c>
      <c r="H51" s="1603">
        <v>188</v>
      </c>
      <c r="I51" s="1603">
        <v>296</v>
      </c>
      <c r="J51" s="1603">
        <v>285</v>
      </c>
      <c r="K51" s="1603">
        <f t="shared" si="2"/>
        <v>581</v>
      </c>
      <c r="L51" s="1586">
        <v>188</v>
      </c>
      <c r="M51" s="1586">
        <v>294</v>
      </c>
      <c r="N51" s="1586">
        <v>282</v>
      </c>
      <c r="O51" s="1586">
        <f t="shared" si="3"/>
        <v>576</v>
      </c>
      <c r="Q51" s="1597">
        <f t="shared" si="5"/>
        <v>87</v>
      </c>
      <c r="R51" s="1592">
        <f t="shared" si="4"/>
        <v>668</v>
      </c>
      <c r="S51" s="1581">
        <f t="shared" si="6"/>
        <v>83</v>
      </c>
    </row>
    <row r="52" spans="1:19" s="1609" customFormat="1">
      <c r="A52" s="1605" t="s">
        <v>1727</v>
      </c>
      <c r="B52" s="1606" t="s">
        <v>1728</v>
      </c>
      <c r="C52" s="1607">
        <v>308</v>
      </c>
      <c r="D52" s="1607">
        <v>376</v>
      </c>
      <c r="E52" s="1607">
        <v>337</v>
      </c>
      <c r="F52" s="1607">
        <f t="shared" si="0"/>
        <v>713</v>
      </c>
      <c r="G52" s="1608">
        <f t="shared" si="1"/>
        <v>2.31</v>
      </c>
      <c r="H52" s="1606">
        <v>327</v>
      </c>
      <c r="I52" s="1606">
        <v>397</v>
      </c>
      <c r="J52" s="1606">
        <v>345</v>
      </c>
      <c r="K52" s="1606">
        <f t="shared" si="2"/>
        <v>742</v>
      </c>
      <c r="L52" s="1607">
        <v>330</v>
      </c>
      <c r="M52" s="1607">
        <v>412</v>
      </c>
      <c r="N52" s="1607">
        <v>345</v>
      </c>
      <c r="O52" s="1607">
        <f t="shared" si="3"/>
        <v>757</v>
      </c>
      <c r="Q52" s="1597">
        <f t="shared" si="5"/>
        <v>111</v>
      </c>
      <c r="R52" s="1592">
        <f t="shared" si="4"/>
        <v>853</v>
      </c>
      <c r="S52" s="1609">
        <f t="shared" si="6"/>
        <v>109</v>
      </c>
    </row>
    <row r="53" spans="1:19" s="1609" customFormat="1">
      <c r="A53" s="1605" t="s">
        <v>1729</v>
      </c>
      <c r="B53" s="1606" t="s">
        <v>1730</v>
      </c>
      <c r="C53" s="1607">
        <v>343</v>
      </c>
      <c r="D53" s="1607">
        <v>532</v>
      </c>
      <c r="E53" s="1607">
        <v>494</v>
      </c>
      <c r="F53" s="1607">
        <f t="shared" si="0"/>
        <v>1026</v>
      </c>
      <c r="G53" s="1608">
        <f t="shared" si="1"/>
        <v>2.99</v>
      </c>
      <c r="H53" s="1606">
        <v>367</v>
      </c>
      <c r="I53" s="1606">
        <v>542</v>
      </c>
      <c r="J53" s="1606">
        <v>521</v>
      </c>
      <c r="K53" s="1606">
        <f t="shared" si="2"/>
        <v>1063</v>
      </c>
      <c r="L53" s="1607">
        <v>369</v>
      </c>
      <c r="M53" s="1607">
        <v>542</v>
      </c>
      <c r="N53" s="1607">
        <v>521</v>
      </c>
      <c r="O53" s="1607">
        <f t="shared" si="3"/>
        <v>1063</v>
      </c>
      <c r="Q53" s="1597">
        <f t="shared" si="5"/>
        <v>158</v>
      </c>
      <c r="R53" s="1592">
        <f t="shared" si="4"/>
        <v>1221</v>
      </c>
      <c r="S53" s="1609">
        <f t="shared" si="6"/>
        <v>153</v>
      </c>
    </row>
    <row r="54" spans="1:19" s="1597" customFormat="1">
      <c r="A54" s="1593" t="s">
        <v>1731</v>
      </c>
      <c r="B54" s="1594" t="s">
        <v>1732</v>
      </c>
      <c r="C54" s="1595">
        <v>361</v>
      </c>
      <c r="D54" s="1595">
        <v>545</v>
      </c>
      <c r="E54" s="1595">
        <v>521</v>
      </c>
      <c r="F54" s="1595">
        <f t="shared" si="0"/>
        <v>1066</v>
      </c>
      <c r="G54" s="1596">
        <f t="shared" si="1"/>
        <v>2.95</v>
      </c>
      <c r="H54" s="1594">
        <v>354</v>
      </c>
      <c r="I54" s="1594">
        <v>550</v>
      </c>
      <c r="J54" s="1594">
        <v>538</v>
      </c>
      <c r="K54" s="1594">
        <f t="shared" si="2"/>
        <v>1088</v>
      </c>
      <c r="L54" s="1595">
        <v>356</v>
      </c>
      <c r="M54" s="1595">
        <v>551</v>
      </c>
      <c r="N54" s="1595">
        <v>541</v>
      </c>
      <c r="O54" s="1595">
        <f t="shared" si="3"/>
        <v>1092</v>
      </c>
      <c r="Q54" s="1597">
        <f>ROUND(K54/$K$3*$Q$3,0)-1</f>
        <v>161</v>
      </c>
      <c r="R54" s="1592">
        <f t="shared" si="4"/>
        <v>1249</v>
      </c>
      <c r="S54" s="1597">
        <f t="shared" si="6"/>
        <v>157</v>
      </c>
    </row>
  </sheetData>
  <mergeCells count="4">
    <mergeCell ref="A1:B1"/>
    <mergeCell ref="C1:G1"/>
    <mergeCell ref="H1:K1"/>
    <mergeCell ref="L1:O1"/>
  </mergeCells>
  <phoneticPr fontId="3" type="noConversion"/>
  <pageMargins left="0.70866141732283472" right="0.70866141732283472" top="0.74803149606299213" bottom="0.74803149606299213" header="0.31496062992125984" footer="0.31496062992125984"/>
  <pageSetup paperSize="157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"/>
  <sheetViews>
    <sheetView topLeftCell="A19" workbookViewId="0">
      <selection activeCell="R14" sqref="R14:R40"/>
    </sheetView>
  </sheetViews>
  <sheetFormatPr defaultRowHeight="16.5"/>
  <cols>
    <col min="1" max="1" width="21" style="599" bestFit="1" customWidth="1"/>
    <col min="2" max="2" width="9.125" style="599" bestFit="1" customWidth="1"/>
    <col min="3" max="3" width="11" style="599" hidden="1" customWidth="1"/>
    <col min="4" max="4" width="9.5" style="599" hidden="1" customWidth="1"/>
    <col min="5" max="7" width="9" style="599" hidden="1" customWidth="1"/>
    <col min="8" max="8" width="7.125" style="599" bestFit="1" customWidth="1"/>
    <col min="9" max="11" width="5.875" style="599" bestFit="1" customWidth="1"/>
    <col min="12" max="12" width="7.125" style="599" bestFit="1" customWidth="1"/>
    <col min="13" max="15" width="5.875" style="599" bestFit="1" customWidth="1"/>
    <col min="16" max="16384" width="9" style="599"/>
  </cols>
  <sheetData>
    <row r="1" spans="1:19" ht="26.25" customHeight="1">
      <c r="A1" s="1649" t="s">
        <v>1862</v>
      </c>
      <c r="B1" s="1649"/>
      <c r="C1" s="2885" t="s">
        <v>1859</v>
      </c>
      <c r="D1" s="2886"/>
      <c r="E1" s="2886"/>
      <c r="F1" s="2886"/>
      <c r="G1" s="2887"/>
      <c r="H1" s="2885" t="s">
        <v>1860</v>
      </c>
      <c r="I1" s="2886"/>
      <c r="J1" s="2886"/>
      <c r="K1" s="2887"/>
      <c r="L1" s="2885" t="s">
        <v>1861</v>
      </c>
      <c r="M1" s="2886"/>
      <c r="N1" s="2886"/>
      <c r="O1" s="2886"/>
    </row>
    <row r="2" spans="1:19">
      <c r="A2" s="1667" t="s">
        <v>1798</v>
      </c>
      <c r="B2" s="1700"/>
      <c r="C2" s="1668" t="s">
        <v>1621</v>
      </c>
      <c r="D2" s="1669" t="s">
        <v>1622</v>
      </c>
      <c r="E2" s="1669" t="s">
        <v>1623</v>
      </c>
      <c r="F2" s="1621" t="s">
        <v>1740</v>
      </c>
      <c r="G2" s="1621" t="s">
        <v>1741</v>
      </c>
      <c r="H2" s="1669" t="s">
        <v>1621</v>
      </c>
      <c r="I2" s="1669" t="s">
        <v>1622</v>
      </c>
      <c r="J2" s="1669" t="s">
        <v>1623</v>
      </c>
      <c r="K2" s="1621" t="s">
        <v>1740</v>
      </c>
      <c r="L2" s="1669" t="s">
        <v>1621</v>
      </c>
      <c r="M2" s="1669" t="s">
        <v>1622</v>
      </c>
      <c r="N2" s="1669" t="s">
        <v>1623</v>
      </c>
      <c r="O2" s="1621" t="s">
        <v>1740</v>
      </c>
    </row>
    <row r="3" spans="1:19">
      <c r="A3" s="1670" t="s">
        <v>1626</v>
      </c>
      <c r="B3" s="1701"/>
      <c r="C3" s="1671">
        <f>SUM(C4:C39)</f>
        <v>3947</v>
      </c>
      <c r="D3" s="1623">
        <f>SUM(D4:D39)</f>
        <v>4356</v>
      </c>
      <c r="E3" s="1623">
        <f t="shared" ref="E3" si="0">SUM(E4:E39)</f>
        <v>3628</v>
      </c>
      <c r="F3" s="1623">
        <f>SUM(D3:E3)</f>
        <v>7984</v>
      </c>
      <c r="G3" s="1624">
        <f>ROUND(F3/C3,2)</f>
        <v>2.02</v>
      </c>
      <c r="H3" s="1623">
        <f t="shared" ref="H3:I3" si="1">SUM(H4:H40)</f>
        <v>3935</v>
      </c>
      <c r="I3" s="1623">
        <f t="shared" si="1"/>
        <v>4274</v>
      </c>
      <c r="J3" s="1623">
        <f>SUM(J4:J40)</f>
        <v>3565</v>
      </c>
      <c r="K3" s="1623">
        <f>SUM(I3:J3)</f>
        <v>7839</v>
      </c>
      <c r="L3" s="1623">
        <f t="shared" ref="L3:N3" si="2">SUM(L4:L40)</f>
        <v>3950</v>
      </c>
      <c r="M3" s="1623">
        <f t="shared" si="2"/>
        <v>4252</v>
      </c>
      <c r="N3" s="1623">
        <f t="shared" si="2"/>
        <v>3565</v>
      </c>
      <c r="O3" s="1623">
        <f>SUM(M3:N3)</f>
        <v>7817</v>
      </c>
      <c r="Q3" s="599">
        <v>1774</v>
      </c>
      <c r="R3" s="1614">
        <f>K3+Q3</f>
        <v>9613</v>
      </c>
      <c r="S3" s="599">
        <v>1726</v>
      </c>
    </row>
    <row r="4" spans="1:19" s="1632" customFormat="1">
      <c r="A4" s="1672" t="s">
        <v>1627</v>
      </c>
      <c r="B4" s="1702" t="s">
        <v>1953</v>
      </c>
      <c r="C4" s="1673">
        <v>424</v>
      </c>
      <c r="D4" s="1630">
        <v>461</v>
      </c>
      <c r="E4" s="1630">
        <v>396</v>
      </c>
      <c r="F4" s="1630">
        <f t="shared" ref="F4:F40" si="3">SUM(D4:E4)</f>
        <v>857</v>
      </c>
      <c r="G4" s="1630">
        <f t="shared" ref="G4:G40" si="4">ROUND(F4/C4,2)</f>
        <v>2.02</v>
      </c>
      <c r="H4" s="1630">
        <v>412</v>
      </c>
      <c r="I4" s="1630">
        <v>444</v>
      </c>
      <c r="J4" s="1630">
        <v>382</v>
      </c>
      <c r="K4" s="1630">
        <f t="shared" ref="K4:K40" si="5">SUM(I4:J4)</f>
        <v>826</v>
      </c>
      <c r="L4" s="1630">
        <v>424</v>
      </c>
      <c r="M4" s="1630">
        <v>458</v>
      </c>
      <c r="N4" s="1630">
        <v>387</v>
      </c>
      <c r="O4" s="1630">
        <f t="shared" ref="O4:O40" si="6">SUM(M4:N4)</f>
        <v>845</v>
      </c>
      <c r="Q4" s="1632">
        <f>ROUND(K4/$K$3*$Q$3,0)-1</f>
        <v>186</v>
      </c>
      <c r="R4" s="1614">
        <f t="shared" ref="R4:R40" si="7">K4+Q4</f>
        <v>1012</v>
      </c>
      <c r="S4" s="1632">
        <f>ROUND(O4/$O$3*$S$3,0)</f>
        <v>187</v>
      </c>
    </row>
    <row r="5" spans="1:19" s="1632" customFormat="1">
      <c r="A5" s="1672" t="s">
        <v>1629</v>
      </c>
      <c r="B5" s="1702" t="s">
        <v>1954</v>
      </c>
      <c r="C5" s="1673">
        <v>176</v>
      </c>
      <c r="D5" s="1630">
        <v>200</v>
      </c>
      <c r="E5" s="1630">
        <v>141</v>
      </c>
      <c r="F5" s="1630">
        <f t="shared" si="3"/>
        <v>341</v>
      </c>
      <c r="G5" s="1630">
        <f t="shared" si="4"/>
        <v>1.94</v>
      </c>
      <c r="H5" s="1630">
        <v>181</v>
      </c>
      <c r="I5" s="1630">
        <v>202</v>
      </c>
      <c r="J5" s="1630">
        <v>144</v>
      </c>
      <c r="K5" s="1630">
        <f t="shared" si="5"/>
        <v>346</v>
      </c>
      <c r="L5" s="1630">
        <v>170</v>
      </c>
      <c r="M5" s="1630">
        <v>193</v>
      </c>
      <c r="N5" s="1630">
        <v>140</v>
      </c>
      <c r="O5" s="1630">
        <f t="shared" si="6"/>
        <v>333</v>
      </c>
      <c r="Q5" s="1632">
        <f t="shared" ref="Q5:Q40" si="8">ROUND(K5/$K$3*$Q$3,0)</f>
        <v>78</v>
      </c>
      <c r="R5" s="1614">
        <f t="shared" si="7"/>
        <v>424</v>
      </c>
      <c r="S5" s="1632">
        <f t="shared" ref="S5:S40" si="9">ROUND(O5/$O$3*$S$3,0)</f>
        <v>74</v>
      </c>
    </row>
    <row r="6" spans="1:19" s="1632" customFormat="1">
      <c r="A6" s="1672" t="s">
        <v>1632</v>
      </c>
      <c r="B6" s="1702" t="s">
        <v>1955</v>
      </c>
      <c r="C6" s="1673">
        <v>138</v>
      </c>
      <c r="D6" s="1630">
        <v>152</v>
      </c>
      <c r="E6" s="1630">
        <v>108</v>
      </c>
      <c r="F6" s="1630">
        <f t="shared" si="3"/>
        <v>260</v>
      </c>
      <c r="G6" s="1630">
        <f t="shared" si="4"/>
        <v>1.88</v>
      </c>
      <c r="H6" s="1630">
        <v>121</v>
      </c>
      <c r="I6" s="1630">
        <v>131</v>
      </c>
      <c r="J6" s="1630">
        <v>97</v>
      </c>
      <c r="K6" s="1630">
        <f t="shared" si="5"/>
        <v>228</v>
      </c>
      <c r="L6" s="1630">
        <v>118</v>
      </c>
      <c r="M6" s="1630">
        <v>127</v>
      </c>
      <c r="N6" s="1630">
        <v>98</v>
      </c>
      <c r="O6" s="1630">
        <f t="shared" si="6"/>
        <v>225</v>
      </c>
      <c r="P6" s="1632" t="s">
        <v>1863</v>
      </c>
      <c r="Q6" s="1632">
        <f t="shared" si="8"/>
        <v>52</v>
      </c>
      <c r="R6" s="1614">
        <f t="shared" si="7"/>
        <v>280</v>
      </c>
      <c r="S6" s="1632">
        <f t="shared" si="9"/>
        <v>50</v>
      </c>
    </row>
    <row r="7" spans="1:19" s="1632" customFormat="1">
      <c r="A7" s="1672" t="s">
        <v>1634</v>
      </c>
      <c r="B7" s="1702" t="s">
        <v>1956</v>
      </c>
      <c r="C7" s="1673">
        <v>153</v>
      </c>
      <c r="D7" s="1630">
        <v>170</v>
      </c>
      <c r="E7" s="1630">
        <v>166</v>
      </c>
      <c r="F7" s="1630">
        <f t="shared" si="3"/>
        <v>336</v>
      </c>
      <c r="G7" s="1630">
        <f t="shared" si="4"/>
        <v>2.2000000000000002</v>
      </c>
      <c r="H7" s="1630">
        <v>151</v>
      </c>
      <c r="I7" s="1630">
        <v>162</v>
      </c>
      <c r="J7" s="1630">
        <v>156</v>
      </c>
      <c r="K7" s="1630">
        <f t="shared" si="5"/>
        <v>318</v>
      </c>
      <c r="L7" s="1630">
        <v>145</v>
      </c>
      <c r="M7" s="1630">
        <v>149</v>
      </c>
      <c r="N7" s="1630">
        <v>151</v>
      </c>
      <c r="O7" s="1630">
        <f t="shared" si="6"/>
        <v>300</v>
      </c>
      <c r="P7" s="1632" t="s">
        <v>1864</v>
      </c>
      <c r="Q7" s="1632">
        <f t="shared" si="8"/>
        <v>72</v>
      </c>
      <c r="R7" s="1614">
        <f t="shared" si="7"/>
        <v>390</v>
      </c>
      <c r="S7" s="1632">
        <f t="shared" si="9"/>
        <v>66</v>
      </c>
    </row>
    <row r="8" spans="1:19" s="1632" customFormat="1">
      <c r="A8" s="1672" t="s">
        <v>1636</v>
      </c>
      <c r="B8" s="1702" t="s">
        <v>1957</v>
      </c>
      <c r="C8" s="1673">
        <v>196</v>
      </c>
      <c r="D8" s="1630">
        <v>199</v>
      </c>
      <c r="E8" s="1630">
        <v>182</v>
      </c>
      <c r="F8" s="1630">
        <f t="shared" si="3"/>
        <v>381</v>
      </c>
      <c r="G8" s="1630">
        <f t="shared" si="4"/>
        <v>1.94</v>
      </c>
      <c r="H8" s="1630">
        <v>192</v>
      </c>
      <c r="I8" s="1630">
        <v>197</v>
      </c>
      <c r="J8" s="1630">
        <v>198</v>
      </c>
      <c r="K8" s="1630">
        <f t="shared" si="5"/>
        <v>395</v>
      </c>
      <c r="L8" s="1630">
        <v>210</v>
      </c>
      <c r="M8" s="1630">
        <v>218</v>
      </c>
      <c r="N8" s="1630">
        <v>208</v>
      </c>
      <c r="O8" s="1630">
        <f t="shared" si="6"/>
        <v>426</v>
      </c>
      <c r="P8" s="1632" t="s">
        <v>1864</v>
      </c>
      <c r="Q8" s="1632">
        <f t="shared" si="8"/>
        <v>89</v>
      </c>
      <c r="R8" s="1614">
        <f t="shared" si="7"/>
        <v>484</v>
      </c>
      <c r="S8" s="1632">
        <f t="shared" si="9"/>
        <v>94</v>
      </c>
    </row>
    <row r="9" spans="1:19" s="1632" customFormat="1">
      <c r="A9" s="1672" t="s">
        <v>1638</v>
      </c>
      <c r="B9" s="1702" t="s">
        <v>1958</v>
      </c>
      <c r="C9" s="1673">
        <v>95</v>
      </c>
      <c r="D9" s="1630">
        <v>120</v>
      </c>
      <c r="E9" s="1630">
        <v>112</v>
      </c>
      <c r="F9" s="1630">
        <f t="shared" si="3"/>
        <v>232</v>
      </c>
      <c r="G9" s="1630">
        <f t="shared" si="4"/>
        <v>2.44</v>
      </c>
      <c r="H9" s="1630">
        <v>93</v>
      </c>
      <c r="I9" s="1630">
        <v>118</v>
      </c>
      <c r="J9" s="1630">
        <v>105</v>
      </c>
      <c r="K9" s="1630">
        <f t="shared" si="5"/>
        <v>223</v>
      </c>
      <c r="L9" s="1630">
        <v>93</v>
      </c>
      <c r="M9" s="1630">
        <v>118</v>
      </c>
      <c r="N9" s="1630">
        <v>110</v>
      </c>
      <c r="O9" s="1630">
        <f t="shared" si="6"/>
        <v>228</v>
      </c>
      <c r="Q9" s="1632">
        <f t="shared" si="8"/>
        <v>50</v>
      </c>
      <c r="R9" s="1614">
        <f t="shared" si="7"/>
        <v>273</v>
      </c>
      <c r="S9" s="1632">
        <f t="shared" si="9"/>
        <v>50</v>
      </c>
    </row>
    <row r="10" spans="1:19" s="1632" customFormat="1">
      <c r="A10" s="1672" t="s">
        <v>1640</v>
      </c>
      <c r="B10" s="1702" t="s">
        <v>1959</v>
      </c>
      <c r="C10" s="1673">
        <v>40</v>
      </c>
      <c r="D10" s="1630">
        <v>47</v>
      </c>
      <c r="E10" s="1630">
        <v>42</v>
      </c>
      <c r="F10" s="1630">
        <f t="shared" si="3"/>
        <v>89</v>
      </c>
      <c r="G10" s="1630">
        <f t="shared" si="4"/>
        <v>2.23</v>
      </c>
      <c r="H10" s="1630">
        <v>39</v>
      </c>
      <c r="I10" s="1630">
        <v>41</v>
      </c>
      <c r="J10" s="1630">
        <v>41</v>
      </c>
      <c r="K10" s="1630">
        <f t="shared" si="5"/>
        <v>82</v>
      </c>
      <c r="L10" s="1630">
        <v>36</v>
      </c>
      <c r="M10" s="1630">
        <v>37</v>
      </c>
      <c r="N10" s="1630">
        <v>40</v>
      </c>
      <c r="O10" s="1630">
        <f t="shared" si="6"/>
        <v>77</v>
      </c>
      <c r="P10" s="1632" t="s">
        <v>1865</v>
      </c>
      <c r="Q10" s="1632">
        <f t="shared" si="8"/>
        <v>19</v>
      </c>
      <c r="R10" s="1614">
        <f t="shared" si="7"/>
        <v>101</v>
      </c>
      <c r="S10" s="1632">
        <f t="shared" si="9"/>
        <v>17</v>
      </c>
    </row>
    <row r="11" spans="1:19">
      <c r="A11" s="1670" t="s">
        <v>1642</v>
      </c>
      <c r="B11" s="1701" t="s">
        <v>1960</v>
      </c>
      <c r="C11" s="1674">
        <v>142</v>
      </c>
      <c r="D11" s="1626">
        <v>159</v>
      </c>
      <c r="E11" s="1626">
        <v>126</v>
      </c>
      <c r="F11" s="1626">
        <f t="shared" si="3"/>
        <v>285</v>
      </c>
      <c r="G11" s="1626">
        <f t="shared" si="4"/>
        <v>2.0099999999999998</v>
      </c>
      <c r="H11" s="1626">
        <v>152</v>
      </c>
      <c r="I11" s="1626">
        <v>166</v>
      </c>
      <c r="J11" s="1626">
        <v>131</v>
      </c>
      <c r="K11" s="1626">
        <f t="shared" si="5"/>
        <v>297</v>
      </c>
      <c r="L11" s="1626">
        <v>145</v>
      </c>
      <c r="M11" s="1626">
        <v>157</v>
      </c>
      <c r="N11" s="1626">
        <v>122</v>
      </c>
      <c r="O11" s="1626">
        <f t="shared" si="6"/>
        <v>279</v>
      </c>
      <c r="Q11" s="1632">
        <f t="shared" si="8"/>
        <v>67</v>
      </c>
      <c r="R11" s="1614">
        <f t="shared" si="7"/>
        <v>364</v>
      </c>
      <c r="S11" s="1632">
        <f t="shared" si="9"/>
        <v>62</v>
      </c>
    </row>
    <row r="12" spans="1:19" s="1632" customFormat="1">
      <c r="A12" s="1672" t="s">
        <v>1644</v>
      </c>
      <c r="B12" s="1702" t="s">
        <v>1961</v>
      </c>
      <c r="C12" s="1673">
        <v>128</v>
      </c>
      <c r="D12" s="1630">
        <v>181</v>
      </c>
      <c r="E12" s="1630">
        <v>157</v>
      </c>
      <c r="F12" s="1630">
        <f t="shared" si="3"/>
        <v>338</v>
      </c>
      <c r="G12" s="1630">
        <f t="shared" si="4"/>
        <v>2.64</v>
      </c>
      <c r="H12" s="1630">
        <v>125</v>
      </c>
      <c r="I12" s="1630">
        <v>177</v>
      </c>
      <c r="J12" s="1630">
        <v>157</v>
      </c>
      <c r="K12" s="1630">
        <f t="shared" si="5"/>
        <v>334</v>
      </c>
      <c r="L12" s="1630">
        <v>121</v>
      </c>
      <c r="M12" s="1630">
        <v>170</v>
      </c>
      <c r="N12" s="1630">
        <v>153</v>
      </c>
      <c r="O12" s="1630">
        <f t="shared" si="6"/>
        <v>323</v>
      </c>
      <c r="Q12" s="1632">
        <f t="shared" si="8"/>
        <v>76</v>
      </c>
      <c r="R12" s="1614">
        <f t="shared" si="7"/>
        <v>410</v>
      </c>
      <c r="S12" s="1632">
        <f t="shared" si="9"/>
        <v>71</v>
      </c>
    </row>
    <row r="13" spans="1:19">
      <c r="A13" s="1670" t="s">
        <v>1646</v>
      </c>
      <c r="B13" s="1701" t="s">
        <v>1962</v>
      </c>
      <c r="C13" s="1674">
        <v>399</v>
      </c>
      <c r="D13" s="1626">
        <v>432</v>
      </c>
      <c r="E13" s="1626">
        <v>376</v>
      </c>
      <c r="F13" s="1626">
        <f t="shared" si="3"/>
        <v>808</v>
      </c>
      <c r="G13" s="1626">
        <f t="shared" si="4"/>
        <v>2.0299999999999998</v>
      </c>
      <c r="H13" s="1626">
        <v>407</v>
      </c>
      <c r="I13" s="1626">
        <v>442</v>
      </c>
      <c r="J13" s="1626">
        <v>379</v>
      </c>
      <c r="K13" s="1626">
        <f t="shared" si="5"/>
        <v>821</v>
      </c>
      <c r="L13" s="1626">
        <v>413</v>
      </c>
      <c r="M13" s="1626">
        <v>453</v>
      </c>
      <c r="N13" s="1626">
        <v>390</v>
      </c>
      <c r="O13" s="1626">
        <f t="shared" si="6"/>
        <v>843</v>
      </c>
      <c r="Q13" s="1632">
        <f>ROUND(K13/$K$3*$Q$3,0)-1</f>
        <v>185</v>
      </c>
      <c r="R13" s="1614">
        <f t="shared" si="7"/>
        <v>1006</v>
      </c>
      <c r="S13" s="1632">
        <f t="shared" si="9"/>
        <v>186</v>
      </c>
    </row>
    <row r="14" spans="1:19" s="1678" customFormat="1">
      <c r="A14" s="1675" t="s">
        <v>1656</v>
      </c>
      <c r="B14" s="1703" t="s">
        <v>1963</v>
      </c>
      <c r="C14" s="1676">
        <v>121</v>
      </c>
      <c r="D14" s="1677">
        <v>132</v>
      </c>
      <c r="E14" s="1677">
        <v>121</v>
      </c>
      <c r="F14" s="1677">
        <f t="shared" si="3"/>
        <v>253</v>
      </c>
      <c r="G14" s="1677">
        <f t="shared" si="4"/>
        <v>2.09</v>
      </c>
      <c r="H14" s="1677">
        <v>119</v>
      </c>
      <c r="I14" s="1677">
        <v>122</v>
      </c>
      <c r="J14" s="1677">
        <v>115</v>
      </c>
      <c r="K14" s="1677">
        <f t="shared" si="5"/>
        <v>237</v>
      </c>
      <c r="L14" s="1677">
        <v>125</v>
      </c>
      <c r="M14" s="1677">
        <v>120</v>
      </c>
      <c r="N14" s="1677">
        <v>118</v>
      </c>
      <c r="O14" s="1677">
        <f t="shared" si="6"/>
        <v>238</v>
      </c>
      <c r="P14" s="1678" t="s">
        <v>1866</v>
      </c>
      <c r="Q14" s="1632">
        <f t="shared" si="8"/>
        <v>54</v>
      </c>
      <c r="R14" s="1614">
        <f t="shared" si="7"/>
        <v>291</v>
      </c>
      <c r="S14" s="1632">
        <f t="shared" si="9"/>
        <v>53</v>
      </c>
    </row>
    <row r="15" spans="1:19">
      <c r="A15" s="1670" t="s">
        <v>1658</v>
      </c>
      <c r="B15" s="1701" t="s">
        <v>1964</v>
      </c>
      <c r="C15" s="1674">
        <v>73</v>
      </c>
      <c r="D15" s="1626">
        <v>77</v>
      </c>
      <c r="E15" s="1626">
        <v>72</v>
      </c>
      <c r="F15" s="1626">
        <f t="shared" si="3"/>
        <v>149</v>
      </c>
      <c r="G15" s="1626">
        <f t="shared" si="4"/>
        <v>2.04</v>
      </c>
      <c r="H15" s="1626">
        <v>79</v>
      </c>
      <c r="I15" s="1626">
        <v>83</v>
      </c>
      <c r="J15" s="1626">
        <v>74</v>
      </c>
      <c r="K15" s="1626">
        <f t="shared" si="5"/>
        <v>157</v>
      </c>
      <c r="L15" s="1626">
        <v>79</v>
      </c>
      <c r="M15" s="1626">
        <v>82</v>
      </c>
      <c r="N15" s="1626">
        <v>75</v>
      </c>
      <c r="O15" s="1626">
        <f t="shared" si="6"/>
        <v>157</v>
      </c>
      <c r="Q15" s="1632">
        <f t="shared" si="8"/>
        <v>36</v>
      </c>
      <c r="R15" s="1614">
        <f t="shared" si="7"/>
        <v>193</v>
      </c>
      <c r="S15" s="1632">
        <f t="shared" si="9"/>
        <v>35</v>
      </c>
    </row>
    <row r="16" spans="1:19" s="1637" customFormat="1">
      <c r="A16" s="1679" t="s">
        <v>1660</v>
      </c>
      <c r="B16" s="1704" t="s">
        <v>1965</v>
      </c>
      <c r="C16" s="1680">
        <v>92</v>
      </c>
      <c r="D16" s="1635">
        <v>86</v>
      </c>
      <c r="E16" s="1635">
        <v>80</v>
      </c>
      <c r="F16" s="1635">
        <f t="shared" si="3"/>
        <v>166</v>
      </c>
      <c r="G16" s="1635">
        <f t="shared" si="4"/>
        <v>1.8</v>
      </c>
      <c r="H16" s="1635">
        <v>77</v>
      </c>
      <c r="I16" s="1635">
        <v>81</v>
      </c>
      <c r="J16" s="1635">
        <v>69</v>
      </c>
      <c r="K16" s="1635">
        <f t="shared" si="5"/>
        <v>150</v>
      </c>
      <c r="L16" s="1635">
        <v>79</v>
      </c>
      <c r="M16" s="1635">
        <v>82</v>
      </c>
      <c r="N16" s="1635">
        <v>68</v>
      </c>
      <c r="O16" s="1635">
        <f t="shared" si="6"/>
        <v>150</v>
      </c>
      <c r="P16" s="1637" t="s">
        <v>1863</v>
      </c>
      <c r="Q16" s="1632">
        <f t="shared" si="8"/>
        <v>34</v>
      </c>
      <c r="R16" s="1614">
        <f t="shared" si="7"/>
        <v>184</v>
      </c>
      <c r="S16" s="1632">
        <f t="shared" si="9"/>
        <v>33</v>
      </c>
    </row>
    <row r="17" spans="1:19">
      <c r="A17" s="1670" t="s">
        <v>1664</v>
      </c>
      <c r="B17" s="1701" t="s">
        <v>1966</v>
      </c>
      <c r="C17" s="1674">
        <v>109</v>
      </c>
      <c r="D17" s="1626">
        <v>108</v>
      </c>
      <c r="E17" s="1626">
        <v>119</v>
      </c>
      <c r="F17" s="1626">
        <f t="shared" si="3"/>
        <v>227</v>
      </c>
      <c r="G17" s="1626">
        <f t="shared" si="4"/>
        <v>2.08</v>
      </c>
      <c r="H17" s="1626">
        <v>110</v>
      </c>
      <c r="I17" s="1626">
        <v>106</v>
      </c>
      <c r="J17" s="1626">
        <v>114</v>
      </c>
      <c r="K17" s="1626">
        <f t="shared" si="5"/>
        <v>220</v>
      </c>
      <c r="L17" s="1626">
        <v>111</v>
      </c>
      <c r="M17" s="1626">
        <v>107</v>
      </c>
      <c r="N17" s="1626">
        <v>113</v>
      </c>
      <c r="O17" s="1626">
        <f t="shared" si="6"/>
        <v>220</v>
      </c>
      <c r="Q17" s="1632">
        <f t="shared" si="8"/>
        <v>50</v>
      </c>
      <c r="R17" s="1614">
        <f t="shared" si="7"/>
        <v>270</v>
      </c>
      <c r="S17" s="1632">
        <f t="shared" si="9"/>
        <v>49</v>
      </c>
    </row>
    <row r="18" spans="1:19" s="1637" customFormat="1">
      <c r="A18" s="1679" t="s">
        <v>1668</v>
      </c>
      <c r="B18" s="1704" t="s">
        <v>1967</v>
      </c>
      <c r="C18" s="1680">
        <v>130</v>
      </c>
      <c r="D18" s="1635">
        <v>138</v>
      </c>
      <c r="E18" s="1635">
        <v>116</v>
      </c>
      <c r="F18" s="1635">
        <f t="shared" si="3"/>
        <v>254</v>
      </c>
      <c r="G18" s="1635">
        <f t="shared" si="4"/>
        <v>1.95</v>
      </c>
      <c r="H18" s="1635">
        <v>123</v>
      </c>
      <c r="I18" s="1635">
        <v>137</v>
      </c>
      <c r="J18" s="1635">
        <v>103</v>
      </c>
      <c r="K18" s="1635">
        <f t="shared" si="5"/>
        <v>240</v>
      </c>
      <c r="L18" s="1635">
        <v>128</v>
      </c>
      <c r="M18" s="1635">
        <v>139</v>
      </c>
      <c r="N18" s="1635">
        <v>102</v>
      </c>
      <c r="O18" s="1635">
        <f t="shared" si="6"/>
        <v>241</v>
      </c>
      <c r="P18" s="1637" t="s">
        <v>1863</v>
      </c>
      <c r="Q18" s="1632">
        <f t="shared" si="8"/>
        <v>54</v>
      </c>
      <c r="R18" s="1614">
        <f t="shared" si="7"/>
        <v>294</v>
      </c>
      <c r="S18" s="1632">
        <f t="shared" si="9"/>
        <v>53</v>
      </c>
    </row>
    <row r="19" spans="1:19" s="1637" customFormat="1">
      <c r="A19" s="1679" t="s">
        <v>1670</v>
      </c>
      <c r="B19" s="1704" t="s">
        <v>1968</v>
      </c>
      <c r="C19" s="1680">
        <v>100</v>
      </c>
      <c r="D19" s="1635">
        <v>111</v>
      </c>
      <c r="E19" s="1635">
        <v>85</v>
      </c>
      <c r="F19" s="1635">
        <f t="shared" si="3"/>
        <v>196</v>
      </c>
      <c r="G19" s="1635">
        <f t="shared" si="4"/>
        <v>1.96</v>
      </c>
      <c r="H19" s="1635">
        <v>100</v>
      </c>
      <c r="I19" s="1635">
        <v>113</v>
      </c>
      <c r="J19" s="1635">
        <v>88</v>
      </c>
      <c r="K19" s="1635">
        <f t="shared" si="5"/>
        <v>201</v>
      </c>
      <c r="L19" s="1635">
        <v>99</v>
      </c>
      <c r="M19" s="1635">
        <v>113</v>
      </c>
      <c r="N19" s="1635">
        <v>86</v>
      </c>
      <c r="O19" s="1635">
        <f t="shared" si="6"/>
        <v>199</v>
      </c>
      <c r="P19" s="1637" t="s">
        <v>1863</v>
      </c>
      <c r="Q19" s="1632">
        <f t="shared" si="8"/>
        <v>45</v>
      </c>
      <c r="R19" s="1614">
        <f t="shared" si="7"/>
        <v>246</v>
      </c>
      <c r="S19" s="1632">
        <f t="shared" si="9"/>
        <v>44</v>
      </c>
    </row>
    <row r="20" spans="1:19" ht="15" customHeight="1">
      <c r="A20" s="1670" t="s">
        <v>1672</v>
      </c>
      <c r="B20" s="1701" t="s">
        <v>1969</v>
      </c>
      <c r="C20" s="1674">
        <v>79</v>
      </c>
      <c r="D20" s="1626">
        <v>86</v>
      </c>
      <c r="E20" s="1626">
        <v>76</v>
      </c>
      <c r="F20" s="1626">
        <f t="shared" si="3"/>
        <v>162</v>
      </c>
      <c r="G20" s="1626">
        <f t="shared" si="4"/>
        <v>2.0499999999999998</v>
      </c>
      <c r="H20" s="1626">
        <v>82</v>
      </c>
      <c r="I20" s="1626">
        <v>91</v>
      </c>
      <c r="J20" s="1626">
        <v>73</v>
      </c>
      <c r="K20" s="1626">
        <f t="shared" si="5"/>
        <v>164</v>
      </c>
      <c r="L20" s="1626">
        <v>81</v>
      </c>
      <c r="M20" s="1626">
        <v>90</v>
      </c>
      <c r="N20" s="1626">
        <v>68</v>
      </c>
      <c r="O20" s="1626">
        <f t="shared" si="6"/>
        <v>158</v>
      </c>
      <c r="Q20" s="1632">
        <f t="shared" si="8"/>
        <v>37</v>
      </c>
      <c r="R20" s="1614">
        <f t="shared" si="7"/>
        <v>201</v>
      </c>
      <c r="S20" s="1632">
        <f t="shared" si="9"/>
        <v>35</v>
      </c>
    </row>
    <row r="21" spans="1:19">
      <c r="A21" s="1670" t="s">
        <v>1676</v>
      </c>
      <c r="B21" s="1701" t="s">
        <v>1970</v>
      </c>
      <c r="C21" s="1674">
        <v>131</v>
      </c>
      <c r="D21" s="1626">
        <v>152</v>
      </c>
      <c r="E21" s="1626">
        <v>112</v>
      </c>
      <c r="F21" s="1626">
        <f t="shared" si="3"/>
        <v>264</v>
      </c>
      <c r="G21" s="1626">
        <f t="shared" si="4"/>
        <v>2.02</v>
      </c>
      <c r="H21" s="1626">
        <v>137</v>
      </c>
      <c r="I21" s="1626">
        <v>151</v>
      </c>
      <c r="J21" s="1626">
        <v>108</v>
      </c>
      <c r="K21" s="1626">
        <f t="shared" si="5"/>
        <v>259</v>
      </c>
      <c r="L21" s="1626">
        <v>140</v>
      </c>
      <c r="M21" s="1626">
        <v>150</v>
      </c>
      <c r="N21" s="1626">
        <v>108</v>
      </c>
      <c r="O21" s="1626">
        <f t="shared" si="6"/>
        <v>258</v>
      </c>
      <c r="Q21" s="1632">
        <f t="shared" si="8"/>
        <v>59</v>
      </c>
      <c r="R21" s="1614">
        <f t="shared" si="7"/>
        <v>318</v>
      </c>
      <c r="S21" s="1632">
        <f t="shared" si="9"/>
        <v>57</v>
      </c>
    </row>
    <row r="22" spans="1:19">
      <c r="A22" s="1670" t="s">
        <v>1679</v>
      </c>
      <c r="B22" s="1701" t="s">
        <v>1971</v>
      </c>
      <c r="C22" s="1674">
        <v>52</v>
      </c>
      <c r="D22" s="1626">
        <v>61</v>
      </c>
      <c r="E22" s="1626">
        <v>50</v>
      </c>
      <c r="F22" s="1626">
        <f t="shared" si="3"/>
        <v>111</v>
      </c>
      <c r="G22" s="1626">
        <f t="shared" si="4"/>
        <v>2.13</v>
      </c>
      <c r="H22" s="1626">
        <v>55</v>
      </c>
      <c r="I22" s="1626">
        <v>58</v>
      </c>
      <c r="J22" s="1626">
        <v>52</v>
      </c>
      <c r="K22" s="1626">
        <f t="shared" si="5"/>
        <v>110</v>
      </c>
      <c r="L22" s="1626">
        <v>53</v>
      </c>
      <c r="M22" s="1626">
        <v>55</v>
      </c>
      <c r="N22" s="1626">
        <v>52</v>
      </c>
      <c r="O22" s="1626">
        <f t="shared" si="6"/>
        <v>107</v>
      </c>
      <c r="Q22" s="1632">
        <f t="shared" si="8"/>
        <v>25</v>
      </c>
      <c r="R22" s="1614">
        <f t="shared" si="7"/>
        <v>135</v>
      </c>
      <c r="S22" s="1632">
        <f t="shared" si="9"/>
        <v>24</v>
      </c>
    </row>
    <row r="23" spans="1:19">
      <c r="A23" s="1670" t="s">
        <v>1683</v>
      </c>
      <c r="B23" s="1701" t="s">
        <v>1972</v>
      </c>
      <c r="C23" s="1674">
        <v>142</v>
      </c>
      <c r="D23" s="1626">
        <v>141</v>
      </c>
      <c r="E23" s="1626">
        <v>83</v>
      </c>
      <c r="F23" s="1626">
        <f t="shared" si="3"/>
        <v>224</v>
      </c>
      <c r="G23" s="1626">
        <f t="shared" si="4"/>
        <v>1.58</v>
      </c>
      <c r="H23" s="1626">
        <v>138</v>
      </c>
      <c r="I23" s="1626">
        <v>136</v>
      </c>
      <c r="J23" s="1626">
        <v>83</v>
      </c>
      <c r="K23" s="1626">
        <f t="shared" si="5"/>
        <v>219</v>
      </c>
      <c r="L23" s="1626">
        <v>137</v>
      </c>
      <c r="M23" s="1626">
        <v>130</v>
      </c>
      <c r="N23" s="1626">
        <v>83</v>
      </c>
      <c r="O23" s="1626">
        <f t="shared" si="6"/>
        <v>213</v>
      </c>
      <c r="Q23" s="1632">
        <f t="shared" si="8"/>
        <v>50</v>
      </c>
      <c r="R23" s="1614">
        <f t="shared" si="7"/>
        <v>269</v>
      </c>
      <c r="S23" s="1632">
        <f t="shared" si="9"/>
        <v>47</v>
      </c>
    </row>
    <row r="24" spans="1:19" s="1637" customFormat="1">
      <c r="A24" s="1679" t="s">
        <v>1685</v>
      </c>
      <c r="B24" s="1704" t="s">
        <v>1973</v>
      </c>
      <c r="C24" s="1680">
        <v>109</v>
      </c>
      <c r="D24" s="1635">
        <v>130</v>
      </c>
      <c r="E24" s="1635">
        <v>108</v>
      </c>
      <c r="F24" s="1635">
        <f t="shared" si="3"/>
        <v>238</v>
      </c>
      <c r="G24" s="1635">
        <f t="shared" si="4"/>
        <v>2.1800000000000002</v>
      </c>
      <c r="H24" s="1635">
        <v>109</v>
      </c>
      <c r="I24" s="1635">
        <v>129</v>
      </c>
      <c r="J24" s="1635">
        <v>103</v>
      </c>
      <c r="K24" s="1635">
        <f t="shared" si="5"/>
        <v>232</v>
      </c>
      <c r="L24" s="1635">
        <v>110</v>
      </c>
      <c r="M24" s="1635">
        <v>130</v>
      </c>
      <c r="N24" s="1635">
        <v>102</v>
      </c>
      <c r="O24" s="1635">
        <f t="shared" si="6"/>
        <v>232</v>
      </c>
      <c r="P24" s="1637" t="s">
        <v>1863</v>
      </c>
      <c r="Q24" s="1632">
        <f t="shared" si="8"/>
        <v>53</v>
      </c>
      <c r="R24" s="1614">
        <f t="shared" si="7"/>
        <v>285</v>
      </c>
      <c r="S24" s="1632">
        <f t="shared" si="9"/>
        <v>51</v>
      </c>
    </row>
    <row r="25" spans="1:19">
      <c r="A25" s="1670" t="s">
        <v>1687</v>
      </c>
      <c r="B25" s="1701" t="s">
        <v>1974</v>
      </c>
      <c r="C25" s="1674">
        <v>26</v>
      </c>
      <c r="D25" s="1626">
        <v>23</v>
      </c>
      <c r="E25" s="1626">
        <v>18</v>
      </c>
      <c r="F25" s="1626">
        <f t="shared" si="3"/>
        <v>41</v>
      </c>
      <c r="G25" s="1626">
        <f t="shared" si="4"/>
        <v>1.58</v>
      </c>
      <c r="H25" s="1626">
        <v>21</v>
      </c>
      <c r="I25" s="1626">
        <v>17</v>
      </c>
      <c r="J25" s="1626">
        <v>13</v>
      </c>
      <c r="K25" s="1626">
        <f t="shared" si="5"/>
        <v>30</v>
      </c>
      <c r="L25" s="1626">
        <v>20</v>
      </c>
      <c r="M25" s="1626">
        <v>17</v>
      </c>
      <c r="N25" s="1626">
        <v>12</v>
      </c>
      <c r="O25" s="1626">
        <f t="shared" si="6"/>
        <v>29</v>
      </c>
      <c r="Q25" s="1632">
        <f t="shared" si="8"/>
        <v>7</v>
      </c>
      <c r="R25" s="1614">
        <f t="shared" si="7"/>
        <v>37</v>
      </c>
      <c r="S25" s="1632">
        <f t="shared" si="9"/>
        <v>6</v>
      </c>
    </row>
    <row r="26" spans="1:19" s="1632" customFormat="1">
      <c r="A26" s="1672" t="s">
        <v>1691</v>
      </c>
      <c r="B26" s="1702" t="s">
        <v>1975</v>
      </c>
      <c r="C26" s="1673">
        <v>82</v>
      </c>
      <c r="D26" s="1630">
        <v>101</v>
      </c>
      <c r="E26" s="1630">
        <v>86</v>
      </c>
      <c r="F26" s="1630">
        <f t="shared" si="3"/>
        <v>187</v>
      </c>
      <c r="G26" s="1630">
        <f t="shared" si="4"/>
        <v>2.2799999999999998</v>
      </c>
      <c r="H26" s="1630">
        <v>78</v>
      </c>
      <c r="I26" s="1630">
        <v>90</v>
      </c>
      <c r="J26" s="1630">
        <v>75</v>
      </c>
      <c r="K26" s="1630">
        <f t="shared" si="5"/>
        <v>165</v>
      </c>
      <c r="L26" s="1630">
        <v>77</v>
      </c>
      <c r="M26" s="1630">
        <v>86</v>
      </c>
      <c r="N26" s="1630">
        <v>78</v>
      </c>
      <c r="O26" s="1630">
        <f t="shared" si="6"/>
        <v>164</v>
      </c>
      <c r="Q26" s="1632">
        <f t="shared" si="8"/>
        <v>37</v>
      </c>
      <c r="R26" s="1614">
        <f t="shared" si="7"/>
        <v>202</v>
      </c>
      <c r="S26" s="1632">
        <f t="shared" si="9"/>
        <v>36</v>
      </c>
    </row>
    <row r="27" spans="1:19">
      <c r="A27" s="1670" t="s">
        <v>1693</v>
      </c>
      <c r="B27" s="1701" t="s">
        <v>1976</v>
      </c>
      <c r="C27" s="1674">
        <v>48</v>
      </c>
      <c r="D27" s="1626">
        <v>46</v>
      </c>
      <c r="E27" s="1626">
        <v>35</v>
      </c>
      <c r="F27" s="1626">
        <f t="shared" si="3"/>
        <v>81</v>
      </c>
      <c r="G27" s="1626">
        <f t="shared" si="4"/>
        <v>1.69</v>
      </c>
      <c r="H27" s="1626">
        <v>50</v>
      </c>
      <c r="I27" s="1626">
        <v>44</v>
      </c>
      <c r="J27" s="1626">
        <v>38</v>
      </c>
      <c r="K27" s="1626">
        <f t="shared" si="5"/>
        <v>82</v>
      </c>
      <c r="L27" s="1626">
        <v>52</v>
      </c>
      <c r="M27" s="1626">
        <v>44</v>
      </c>
      <c r="N27" s="1626">
        <v>41</v>
      </c>
      <c r="O27" s="1626">
        <f t="shared" si="6"/>
        <v>85</v>
      </c>
      <c r="Q27" s="1632">
        <f t="shared" si="8"/>
        <v>19</v>
      </c>
      <c r="R27" s="1614">
        <f t="shared" si="7"/>
        <v>101</v>
      </c>
      <c r="S27" s="1632">
        <f t="shared" si="9"/>
        <v>19</v>
      </c>
    </row>
    <row r="28" spans="1:19">
      <c r="A28" s="1670" t="s">
        <v>1695</v>
      </c>
      <c r="B28" s="1701" t="s">
        <v>1977</v>
      </c>
      <c r="C28" s="1674">
        <v>30</v>
      </c>
      <c r="D28" s="1626">
        <v>29</v>
      </c>
      <c r="E28" s="1626">
        <v>27</v>
      </c>
      <c r="F28" s="1626">
        <f t="shared" si="3"/>
        <v>56</v>
      </c>
      <c r="G28" s="1626">
        <f t="shared" si="4"/>
        <v>1.87</v>
      </c>
      <c r="H28" s="1626">
        <v>32</v>
      </c>
      <c r="I28" s="1626">
        <v>27</v>
      </c>
      <c r="J28" s="1626">
        <v>31</v>
      </c>
      <c r="K28" s="1626">
        <f t="shared" si="5"/>
        <v>58</v>
      </c>
      <c r="L28" s="1626">
        <v>30</v>
      </c>
      <c r="M28" s="1626">
        <v>26</v>
      </c>
      <c r="N28" s="1626">
        <v>30</v>
      </c>
      <c r="O28" s="1626">
        <f t="shared" si="6"/>
        <v>56</v>
      </c>
      <c r="Q28" s="1632">
        <f t="shared" si="8"/>
        <v>13</v>
      </c>
      <c r="R28" s="1614">
        <f t="shared" si="7"/>
        <v>71</v>
      </c>
      <c r="S28" s="1632">
        <f t="shared" si="9"/>
        <v>12</v>
      </c>
    </row>
    <row r="29" spans="1:19" s="1632" customFormat="1">
      <c r="A29" s="1672" t="s">
        <v>1699</v>
      </c>
      <c r="B29" s="1702" t="s">
        <v>1978</v>
      </c>
      <c r="C29" s="1673">
        <v>113</v>
      </c>
      <c r="D29" s="1630">
        <v>139</v>
      </c>
      <c r="E29" s="1630">
        <v>90</v>
      </c>
      <c r="F29" s="1630">
        <f t="shared" si="3"/>
        <v>229</v>
      </c>
      <c r="G29" s="1630">
        <f t="shared" si="4"/>
        <v>2.0299999999999998</v>
      </c>
      <c r="H29" s="1630">
        <v>116</v>
      </c>
      <c r="I29" s="1630">
        <v>143</v>
      </c>
      <c r="J29" s="1630">
        <v>89</v>
      </c>
      <c r="K29" s="1630">
        <f t="shared" si="5"/>
        <v>232</v>
      </c>
      <c r="L29" s="1630">
        <v>119</v>
      </c>
      <c r="M29" s="1630">
        <v>141</v>
      </c>
      <c r="N29" s="1630">
        <v>92</v>
      </c>
      <c r="O29" s="1630">
        <f t="shared" si="6"/>
        <v>233</v>
      </c>
      <c r="Q29" s="1632">
        <f t="shared" si="8"/>
        <v>53</v>
      </c>
      <c r="R29" s="1614">
        <f t="shared" si="7"/>
        <v>285</v>
      </c>
      <c r="S29" s="1632">
        <f t="shared" si="9"/>
        <v>51</v>
      </c>
    </row>
    <row r="30" spans="1:19">
      <c r="A30" s="1670" t="s">
        <v>1702</v>
      </c>
      <c r="B30" s="1701" t="s">
        <v>1979</v>
      </c>
      <c r="C30" s="1674">
        <v>28</v>
      </c>
      <c r="D30" s="1626">
        <v>36</v>
      </c>
      <c r="E30" s="1626">
        <v>25</v>
      </c>
      <c r="F30" s="1626">
        <f t="shared" si="3"/>
        <v>61</v>
      </c>
      <c r="G30" s="1626">
        <f t="shared" si="4"/>
        <v>2.1800000000000002</v>
      </c>
      <c r="H30" s="1626">
        <v>26</v>
      </c>
      <c r="I30" s="1626">
        <v>32</v>
      </c>
      <c r="J30" s="1626">
        <v>22</v>
      </c>
      <c r="K30" s="1626">
        <f t="shared" si="5"/>
        <v>54</v>
      </c>
      <c r="L30" s="1626">
        <v>23</v>
      </c>
      <c r="M30" s="1626">
        <v>31</v>
      </c>
      <c r="N30" s="1626">
        <v>20</v>
      </c>
      <c r="O30" s="1626">
        <f t="shared" si="6"/>
        <v>51</v>
      </c>
      <c r="Q30" s="1632">
        <f t="shared" si="8"/>
        <v>12</v>
      </c>
      <c r="R30" s="1614">
        <f t="shared" si="7"/>
        <v>66</v>
      </c>
      <c r="S30" s="1632">
        <f t="shared" si="9"/>
        <v>11</v>
      </c>
    </row>
    <row r="31" spans="1:19">
      <c r="A31" s="1670" t="s">
        <v>1704</v>
      </c>
      <c r="B31" s="1701" t="s">
        <v>1980</v>
      </c>
      <c r="C31" s="1674">
        <v>49</v>
      </c>
      <c r="D31" s="1626">
        <v>55</v>
      </c>
      <c r="E31" s="1626">
        <v>31</v>
      </c>
      <c r="F31" s="1626">
        <f t="shared" si="3"/>
        <v>86</v>
      </c>
      <c r="G31" s="1626">
        <f t="shared" si="4"/>
        <v>1.76</v>
      </c>
      <c r="H31" s="1626">
        <v>49</v>
      </c>
      <c r="I31" s="1626">
        <v>54</v>
      </c>
      <c r="J31" s="1626">
        <v>31</v>
      </c>
      <c r="K31" s="1626">
        <f t="shared" si="5"/>
        <v>85</v>
      </c>
      <c r="L31" s="1626">
        <v>51</v>
      </c>
      <c r="M31" s="1626">
        <v>56</v>
      </c>
      <c r="N31" s="1626">
        <v>32</v>
      </c>
      <c r="O31" s="1626">
        <f t="shared" si="6"/>
        <v>88</v>
      </c>
      <c r="Q31" s="1632">
        <f t="shared" si="8"/>
        <v>19</v>
      </c>
      <c r="R31" s="1614">
        <f t="shared" si="7"/>
        <v>104</v>
      </c>
      <c r="S31" s="1632">
        <f t="shared" si="9"/>
        <v>19</v>
      </c>
    </row>
    <row r="32" spans="1:19">
      <c r="A32" s="1670" t="s">
        <v>1706</v>
      </c>
      <c r="B32" s="1701" t="s">
        <v>1981</v>
      </c>
      <c r="C32" s="1674">
        <v>35</v>
      </c>
      <c r="D32" s="1626">
        <v>43</v>
      </c>
      <c r="E32" s="1626">
        <v>26</v>
      </c>
      <c r="F32" s="1626">
        <f t="shared" si="3"/>
        <v>69</v>
      </c>
      <c r="G32" s="1626">
        <f t="shared" si="4"/>
        <v>1.97</v>
      </c>
      <c r="H32" s="1626">
        <v>33</v>
      </c>
      <c r="I32" s="1626">
        <v>40</v>
      </c>
      <c r="J32" s="1626">
        <v>29</v>
      </c>
      <c r="K32" s="1626">
        <f t="shared" si="5"/>
        <v>69</v>
      </c>
      <c r="L32" s="1626">
        <v>33</v>
      </c>
      <c r="M32" s="1626">
        <v>38</v>
      </c>
      <c r="N32" s="1626">
        <v>27</v>
      </c>
      <c r="O32" s="1626">
        <f t="shared" si="6"/>
        <v>65</v>
      </c>
      <c r="Q32" s="1632">
        <f t="shared" si="8"/>
        <v>16</v>
      </c>
      <c r="R32" s="1614">
        <f t="shared" si="7"/>
        <v>85</v>
      </c>
      <c r="S32" s="1632">
        <f t="shared" si="9"/>
        <v>14</v>
      </c>
    </row>
    <row r="33" spans="1:19">
      <c r="A33" s="1670" t="s">
        <v>1710</v>
      </c>
      <c r="B33" s="1701" t="s">
        <v>1982</v>
      </c>
      <c r="C33" s="1674">
        <v>75</v>
      </c>
      <c r="D33" s="1626">
        <v>74</v>
      </c>
      <c r="E33" s="1626">
        <v>58</v>
      </c>
      <c r="F33" s="1626">
        <f t="shared" si="3"/>
        <v>132</v>
      </c>
      <c r="G33" s="1626">
        <f t="shared" si="4"/>
        <v>1.76</v>
      </c>
      <c r="H33" s="1626">
        <v>80</v>
      </c>
      <c r="I33" s="1626">
        <v>78</v>
      </c>
      <c r="J33" s="1626">
        <v>59</v>
      </c>
      <c r="K33" s="1626">
        <f t="shared" si="5"/>
        <v>137</v>
      </c>
      <c r="L33" s="1626">
        <v>84</v>
      </c>
      <c r="M33" s="1626">
        <v>80</v>
      </c>
      <c r="N33" s="1626">
        <v>61</v>
      </c>
      <c r="O33" s="1626">
        <f t="shared" si="6"/>
        <v>141</v>
      </c>
      <c r="Q33" s="1632">
        <f t="shared" si="8"/>
        <v>31</v>
      </c>
      <c r="R33" s="1614">
        <f t="shared" si="7"/>
        <v>168</v>
      </c>
      <c r="S33" s="1632">
        <f t="shared" si="9"/>
        <v>31</v>
      </c>
    </row>
    <row r="34" spans="1:19">
      <c r="A34" s="1670" t="s">
        <v>1712</v>
      </c>
      <c r="B34" s="1701" t="s">
        <v>1983</v>
      </c>
      <c r="C34" s="1674">
        <v>70</v>
      </c>
      <c r="D34" s="1626">
        <v>86</v>
      </c>
      <c r="E34" s="1626">
        <v>65</v>
      </c>
      <c r="F34" s="1626">
        <f t="shared" si="3"/>
        <v>151</v>
      </c>
      <c r="G34" s="1626">
        <f t="shared" si="4"/>
        <v>2.16</v>
      </c>
      <c r="H34" s="1626">
        <v>69</v>
      </c>
      <c r="I34" s="1626">
        <v>82</v>
      </c>
      <c r="J34" s="1626">
        <v>57</v>
      </c>
      <c r="K34" s="1626">
        <f t="shared" si="5"/>
        <v>139</v>
      </c>
      <c r="L34" s="1626">
        <v>69</v>
      </c>
      <c r="M34" s="1626">
        <v>82</v>
      </c>
      <c r="N34" s="1626">
        <v>56</v>
      </c>
      <c r="O34" s="1626">
        <f t="shared" si="6"/>
        <v>138</v>
      </c>
      <c r="Q34" s="1632">
        <f t="shared" si="8"/>
        <v>31</v>
      </c>
      <c r="R34" s="1614">
        <f t="shared" si="7"/>
        <v>170</v>
      </c>
      <c r="S34" s="1632">
        <f t="shared" si="9"/>
        <v>30</v>
      </c>
    </row>
    <row r="35" spans="1:19">
      <c r="A35" s="1670" t="s">
        <v>1716</v>
      </c>
      <c r="B35" s="1701" t="s">
        <v>1984</v>
      </c>
      <c r="C35" s="1674">
        <v>53</v>
      </c>
      <c r="D35" s="1626">
        <v>52</v>
      </c>
      <c r="E35" s="1626">
        <v>55</v>
      </c>
      <c r="F35" s="1626">
        <f t="shared" si="3"/>
        <v>107</v>
      </c>
      <c r="G35" s="1626">
        <f t="shared" si="4"/>
        <v>2.02</v>
      </c>
      <c r="H35" s="1626">
        <v>56</v>
      </c>
      <c r="I35" s="1626">
        <v>54</v>
      </c>
      <c r="J35" s="1626">
        <v>54</v>
      </c>
      <c r="K35" s="1626">
        <f t="shared" si="5"/>
        <v>108</v>
      </c>
      <c r="L35" s="1626">
        <v>58</v>
      </c>
      <c r="M35" s="1626">
        <v>56</v>
      </c>
      <c r="N35" s="1626">
        <v>56</v>
      </c>
      <c r="O35" s="1626">
        <f t="shared" si="6"/>
        <v>112</v>
      </c>
      <c r="Q35" s="1632">
        <f t="shared" si="8"/>
        <v>24</v>
      </c>
      <c r="R35" s="1614">
        <f t="shared" si="7"/>
        <v>132</v>
      </c>
      <c r="S35" s="1632">
        <f t="shared" si="9"/>
        <v>25</v>
      </c>
    </row>
    <row r="36" spans="1:19">
      <c r="A36" s="1670" t="s">
        <v>1718</v>
      </c>
      <c r="B36" s="1701" t="s">
        <v>1985</v>
      </c>
      <c r="C36" s="1674">
        <v>63</v>
      </c>
      <c r="D36" s="1626">
        <v>74</v>
      </c>
      <c r="E36" s="1626">
        <v>54</v>
      </c>
      <c r="F36" s="1626">
        <f t="shared" si="3"/>
        <v>128</v>
      </c>
      <c r="G36" s="1626">
        <f t="shared" si="4"/>
        <v>2.0299999999999998</v>
      </c>
      <c r="H36" s="1626">
        <v>64</v>
      </c>
      <c r="I36" s="1626">
        <v>71</v>
      </c>
      <c r="J36" s="1626">
        <v>52</v>
      </c>
      <c r="K36" s="1626">
        <f t="shared" si="5"/>
        <v>123</v>
      </c>
      <c r="L36" s="1626">
        <v>66</v>
      </c>
      <c r="M36" s="1626">
        <v>72</v>
      </c>
      <c r="N36" s="1626">
        <v>53</v>
      </c>
      <c r="O36" s="1626">
        <f t="shared" si="6"/>
        <v>125</v>
      </c>
      <c r="Q36" s="1632">
        <f t="shared" si="8"/>
        <v>28</v>
      </c>
      <c r="R36" s="1614">
        <f t="shared" si="7"/>
        <v>151</v>
      </c>
      <c r="S36" s="1632">
        <f t="shared" si="9"/>
        <v>28</v>
      </c>
    </row>
    <row r="37" spans="1:19">
      <c r="A37" s="1670" t="s">
        <v>1723</v>
      </c>
      <c r="B37" s="1701" t="s">
        <v>1986</v>
      </c>
      <c r="C37" s="1674">
        <v>62</v>
      </c>
      <c r="D37" s="1626">
        <v>68</v>
      </c>
      <c r="E37" s="1626">
        <v>66</v>
      </c>
      <c r="F37" s="1626">
        <f t="shared" si="3"/>
        <v>134</v>
      </c>
      <c r="G37" s="1626">
        <f t="shared" si="4"/>
        <v>2.16</v>
      </c>
      <c r="H37" s="1626">
        <v>59</v>
      </c>
      <c r="I37" s="1626">
        <v>62</v>
      </c>
      <c r="J37" s="1626">
        <v>65</v>
      </c>
      <c r="K37" s="1626">
        <f t="shared" si="5"/>
        <v>127</v>
      </c>
      <c r="L37" s="1626">
        <v>60</v>
      </c>
      <c r="M37" s="1626">
        <v>60</v>
      </c>
      <c r="N37" s="1626">
        <v>61</v>
      </c>
      <c r="O37" s="1626">
        <f t="shared" si="6"/>
        <v>121</v>
      </c>
      <c r="Q37" s="1632">
        <f t="shared" si="8"/>
        <v>29</v>
      </c>
      <c r="R37" s="1614">
        <f t="shared" si="7"/>
        <v>156</v>
      </c>
      <c r="S37" s="1632">
        <f t="shared" si="9"/>
        <v>27</v>
      </c>
    </row>
    <row r="38" spans="1:19">
      <c r="A38" s="1670" t="s">
        <v>1725</v>
      </c>
      <c r="B38" s="1701" t="s">
        <v>1987</v>
      </c>
      <c r="C38" s="1674">
        <v>70</v>
      </c>
      <c r="D38" s="1626">
        <v>74</v>
      </c>
      <c r="E38" s="1626">
        <v>58</v>
      </c>
      <c r="F38" s="1626">
        <f t="shared" si="3"/>
        <v>132</v>
      </c>
      <c r="G38" s="1626">
        <f t="shared" si="4"/>
        <v>1.89</v>
      </c>
      <c r="H38" s="1626">
        <v>68</v>
      </c>
      <c r="I38" s="1626">
        <v>71</v>
      </c>
      <c r="J38" s="1626">
        <v>62</v>
      </c>
      <c r="K38" s="1626">
        <f t="shared" si="5"/>
        <v>133</v>
      </c>
      <c r="L38" s="1626">
        <v>67</v>
      </c>
      <c r="M38" s="1626">
        <v>67</v>
      </c>
      <c r="N38" s="1626">
        <v>62</v>
      </c>
      <c r="O38" s="1626">
        <f t="shared" si="6"/>
        <v>129</v>
      </c>
      <c r="Q38" s="1632">
        <f t="shared" si="8"/>
        <v>30</v>
      </c>
      <c r="R38" s="1614">
        <f t="shared" si="7"/>
        <v>163</v>
      </c>
      <c r="S38" s="1632">
        <f t="shared" si="9"/>
        <v>28</v>
      </c>
    </row>
    <row r="39" spans="1:19">
      <c r="A39" s="1670" t="s">
        <v>1729</v>
      </c>
      <c r="B39" s="1701" t="s">
        <v>1988</v>
      </c>
      <c r="C39" s="1674">
        <v>114</v>
      </c>
      <c r="D39" s="1626">
        <v>113</v>
      </c>
      <c r="E39" s="1626">
        <v>106</v>
      </c>
      <c r="F39" s="1626">
        <f t="shared" si="3"/>
        <v>219</v>
      </c>
      <c r="G39" s="1626">
        <f t="shared" si="4"/>
        <v>1.92</v>
      </c>
      <c r="H39" s="1626">
        <v>127</v>
      </c>
      <c r="I39" s="1626">
        <v>117</v>
      </c>
      <c r="J39" s="1626">
        <v>112</v>
      </c>
      <c r="K39" s="1626">
        <f t="shared" si="5"/>
        <v>229</v>
      </c>
      <c r="L39" s="1626">
        <v>123</v>
      </c>
      <c r="M39" s="1626">
        <v>117</v>
      </c>
      <c r="N39" s="1626">
        <v>110</v>
      </c>
      <c r="O39" s="1626">
        <f t="shared" si="6"/>
        <v>227</v>
      </c>
      <c r="Q39" s="1632">
        <f t="shared" si="8"/>
        <v>52</v>
      </c>
      <c r="R39" s="1614">
        <f t="shared" si="7"/>
        <v>281</v>
      </c>
      <c r="S39" s="1632">
        <f t="shared" si="9"/>
        <v>50</v>
      </c>
    </row>
    <row r="40" spans="1:19">
      <c r="A40" s="974" t="s">
        <v>1952</v>
      </c>
      <c r="B40" s="1705"/>
      <c r="C40" s="1674">
        <v>0</v>
      </c>
      <c r="D40" s="1626">
        <v>0</v>
      </c>
      <c r="E40" s="1626">
        <v>0</v>
      </c>
      <c r="F40" s="1626">
        <f t="shared" si="3"/>
        <v>0</v>
      </c>
      <c r="G40" s="1626" t="e">
        <f t="shared" si="4"/>
        <v>#DIV/0!</v>
      </c>
      <c r="H40" s="1681">
        <v>5</v>
      </c>
      <c r="I40" s="1626">
        <v>5</v>
      </c>
      <c r="J40" s="1626">
        <v>4</v>
      </c>
      <c r="K40" s="1626">
        <f t="shared" si="5"/>
        <v>9</v>
      </c>
      <c r="L40" s="1626">
        <v>1</v>
      </c>
      <c r="M40" s="1626">
        <v>1</v>
      </c>
      <c r="N40" s="1626">
        <v>0</v>
      </c>
      <c r="O40" s="1626">
        <f t="shared" si="6"/>
        <v>1</v>
      </c>
      <c r="Q40" s="1632">
        <f t="shared" si="8"/>
        <v>2</v>
      </c>
      <c r="R40" s="1614">
        <f t="shared" si="7"/>
        <v>11</v>
      </c>
      <c r="S40" s="1632">
        <f t="shared" si="9"/>
        <v>0</v>
      </c>
    </row>
  </sheetData>
  <mergeCells count="3">
    <mergeCell ref="C1:G1"/>
    <mergeCell ref="H1:K1"/>
    <mergeCell ref="L1:O1"/>
  </mergeCells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CX230"/>
  <sheetViews>
    <sheetView view="pageBreakPreview" zoomScaleNormal="100" zoomScaleSheetLayoutView="100" workbookViewId="0">
      <selection activeCell="F3" sqref="A3:F3"/>
    </sheetView>
  </sheetViews>
  <sheetFormatPr defaultRowHeight="14.85" customHeight="1"/>
  <cols>
    <col min="1" max="2" width="12.125" style="325" customWidth="1"/>
    <col min="3" max="5" width="13" style="326" customWidth="1"/>
    <col min="6" max="6" width="12.875" style="326" customWidth="1"/>
    <col min="7" max="7" width="13" style="326" customWidth="1"/>
    <col min="8" max="8" width="13.125" style="326" customWidth="1"/>
    <col min="9" max="10" width="12.125" style="326" customWidth="1"/>
    <col min="11" max="11" width="14.375" style="326" bestFit="1" customWidth="1"/>
    <col min="12" max="12" width="11" style="326" customWidth="1"/>
    <col min="13" max="13" width="10" style="326" customWidth="1"/>
    <col min="14" max="14" width="10.875" style="326" customWidth="1"/>
    <col min="15" max="15" width="13.75" style="326" customWidth="1"/>
    <col min="16" max="16" width="10" style="326" customWidth="1"/>
    <col min="17" max="17" width="13.25" style="326" customWidth="1"/>
    <col min="18" max="18" width="14.375" style="326" customWidth="1"/>
    <col min="19" max="19" width="10" style="326" customWidth="1"/>
    <col min="20" max="20" width="10.875" style="326" customWidth="1"/>
    <col min="21" max="21" width="11.375" style="326" customWidth="1"/>
    <col min="22" max="22" width="15.375" style="326" customWidth="1"/>
    <col min="23" max="24" width="10.75" style="326" customWidth="1"/>
    <col min="25" max="25" width="14.375" style="326" customWidth="1"/>
    <col min="26" max="26" width="10.75" style="326" customWidth="1"/>
    <col min="27" max="27" width="11.75" style="326" customWidth="1"/>
    <col min="28" max="28" width="10" style="326" customWidth="1"/>
    <col min="29" max="29" width="15.375" style="326" customWidth="1"/>
    <col min="30" max="30" width="10" style="326" customWidth="1"/>
    <col min="31" max="31" width="10.75" style="326" customWidth="1"/>
    <col min="32" max="32" width="14.875" style="326" customWidth="1"/>
    <col min="33" max="33" width="11.5" style="326" customWidth="1"/>
    <col min="34" max="34" width="10" style="326" customWidth="1"/>
    <col min="35" max="35" width="10.75" style="326" customWidth="1"/>
    <col min="36" max="36" width="13.5" style="326" customWidth="1"/>
    <col min="37" max="37" width="9" style="326"/>
    <col min="38" max="38" width="10.75" style="326" bestFit="1" customWidth="1"/>
    <col min="39" max="39" width="13.75" style="326" customWidth="1"/>
    <col min="40" max="40" width="9" style="326"/>
    <col min="41" max="41" width="10.625" style="326" customWidth="1"/>
    <col min="42" max="42" width="9" style="326"/>
    <col min="43" max="43" width="14.25" style="326" customWidth="1"/>
    <col min="44" max="44" width="10.75" style="326" bestFit="1" customWidth="1"/>
    <col min="45" max="45" width="11.625" style="326" customWidth="1"/>
    <col min="46" max="46" width="13.75" style="326" customWidth="1"/>
    <col min="47" max="47" width="10.625" style="326" customWidth="1"/>
    <col min="48" max="49" width="9" style="326"/>
    <col min="50" max="50" width="14.125" style="326" customWidth="1"/>
    <col min="51" max="51" width="11" style="326" customWidth="1"/>
    <col min="52" max="52" width="10.75" style="326" bestFit="1" customWidth="1"/>
    <col min="53" max="53" width="13.5" style="326" customWidth="1"/>
    <col min="54" max="55" width="9" style="326"/>
    <col min="56" max="56" width="10.75" style="326" bestFit="1" customWidth="1"/>
    <col min="57" max="57" width="14" style="326" customWidth="1"/>
    <col min="58" max="58" width="9" style="326"/>
    <col min="59" max="59" width="10.75" style="326" customWidth="1"/>
    <col min="60" max="60" width="12.75" style="326" customWidth="1"/>
    <col min="61" max="61" width="9" style="326"/>
    <col min="62" max="62" width="10.75" style="326" bestFit="1" customWidth="1"/>
    <col min="63" max="63" width="11.5" style="326" customWidth="1"/>
    <col min="64" max="64" width="13.625" style="326" customWidth="1"/>
    <col min="65" max="65" width="10.625" style="326" customWidth="1"/>
    <col min="66" max="66" width="10.75" style="326" bestFit="1" customWidth="1"/>
    <col min="67" max="67" width="12.375" style="326" customWidth="1"/>
    <col min="68" max="70" width="9" style="326"/>
    <col min="71" max="71" width="15.75" style="326" customWidth="1"/>
    <col min="72" max="72" width="9" style="326"/>
    <col min="73" max="73" width="10.75" style="326" bestFit="1" customWidth="1"/>
    <col min="74" max="74" width="12.625" style="326" customWidth="1"/>
    <col min="75" max="77" width="9" style="326"/>
    <col min="78" max="78" width="13.625" style="326" customWidth="1"/>
    <col min="79" max="79" width="9" style="326"/>
    <col min="80" max="80" width="10.75" style="326" bestFit="1" customWidth="1"/>
    <col min="81" max="81" width="12.5" style="326" customWidth="1"/>
    <col min="82" max="84" width="9" style="326"/>
    <col min="85" max="85" width="12.875" style="326" customWidth="1"/>
    <col min="86" max="86" width="9" style="326"/>
    <col min="87" max="87" width="10.75" style="326" bestFit="1" customWidth="1"/>
    <col min="88" max="88" width="13.875" style="326" customWidth="1"/>
    <col min="89" max="91" width="9" style="326"/>
    <col min="92" max="92" width="14.125" style="326" customWidth="1"/>
    <col min="93" max="93" width="9" style="326"/>
    <col min="94" max="94" width="10.75" style="326" bestFit="1" customWidth="1"/>
    <col min="95" max="95" width="13.25" style="326" customWidth="1"/>
    <col min="96" max="98" width="9" style="326"/>
    <col min="99" max="99" width="13.25" style="326" customWidth="1"/>
    <col min="100" max="100" width="9" style="326"/>
    <col min="101" max="101" width="10.75" style="326" bestFit="1" customWidth="1"/>
    <col min="102" max="102" width="13.875" style="326" customWidth="1"/>
    <col min="103" max="250" width="9" style="326"/>
    <col min="251" max="252" width="12.125" style="326" customWidth="1"/>
    <col min="253" max="255" width="13" style="326" customWidth="1"/>
    <col min="256" max="256" width="12.875" style="326" customWidth="1"/>
    <col min="257" max="257" width="13" style="326" customWidth="1"/>
    <col min="258" max="258" width="13.125" style="326" customWidth="1"/>
    <col min="259" max="260" width="12.125" style="326" customWidth="1"/>
    <col min="261" max="261" width="14.375" style="326" bestFit="1" customWidth="1"/>
    <col min="262" max="262" width="11" style="326" customWidth="1"/>
    <col min="263" max="263" width="10" style="326" customWidth="1"/>
    <col min="264" max="264" width="10.875" style="326" customWidth="1"/>
    <col min="265" max="265" width="13.75" style="326" customWidth="1"/>
    <col min="266" max="266" width="10" style="326" customWidth="1"/>
    <col min="267" max="267" width="13.25" style="326" customWidth="1"/>
    <col min="268" max="268" width="14.375" style="326" customWidth="1"/>
    <col min="269" max="269" width="10" style="326" customWidth="1"/>
    <col min="270" max="270" width="10.875" style="326" customWidth="1"/>
    <col min="271" max="271" width="11.375" style="326" customWidth="1"/>
    <col min="272" max="272" width="15.375" style="326" customWidth="1"/>
    <col min="273" max="274" width="10.75" style="326" customWidth="1"/>
    <col min="275" max="275" width="14.375" style="326" customWidth="1"/>
    <col min="276" max="276" width="10.75" style="326" customWidth="1"/>
    <col min="277" max="277" width="11.75" style="326" customWidth="1"/>
    <col min="278" max="278" width="10" style="326" customWidth="1"/>
    <col min="279" max="279" width="15.375" style="326" customWidth="1"/>
    <col min="280" max="280" width="10" style="326" customWidth="1"/>
    <col min="281" max="281" width="10.75" style="326" customWidth="1"/>
    <col min="282" max="282" width="14.875" style="326" customWidth="1"/>
    <col min="283" max="283" width="11.5" style="326" customWidth="1"/>
    <col min="284" max="284" width="10" style="326" customWidth="1"/>
    <col min="285" max="285" width="10.75" style="326" customWidth="1"/>
    <col min="286" max="286" width="13.5" style="326" customWidth="1"/>
    <col min="287" max="287" width="9" style="326"/>
    <col min="288" max="288" width="10.75" style="326" bestFit="1" customWidth="1"/>
    <col min="289" max="289" width="13.75" style="326" customWidth="1"/>
    <col min="290" max="290" width="9" style="326"/>
    <col min="291" max="291" width="10.625" style="326" customWidth="1"/>
    <col min="292" max="292" width="9" style="326"/>
    <col min="293" max="293" width="14.25" style="326" customWidth="1"/>
    <col min="294" max="294" width="10.75" style="326" bestFit="1" customWidth="1"/>
    <col min="295" max="295" width="11.625" style="326" customWidth="1"/>
    <col min="296" max="296" width="13.75" style="326" customWidth="1"/>
    <col min="297" max="297" width="10.625" style="326" customWidth="1"/>
    <col min="298" max="299" width="9" style="326"/>
    <col min="300" max="300" width="14.125" style="326" customWidth="1"/>
    <col min="301" max="301" width="11" style="326" customWidth="1"/>
    <col min="302" max="302" width="10.75" style="326" bestFit="1" customWidth="1"/>
    <col min="303" max="303" width="13.5" style="326" customWidth="1"/>
    <col min="304" max="305" width="9" style="326"/>
    <col min="306" max="306" width="10.75" style="326" bestFit="1" customWidth="1"/>
    <col min="307" max="307" width="14" style="326" customWidth="1"/>
    <col min="308" max="308" width="9" style="326"/>
    <col min="309" max="309" width="10.75" style="326" customWidth="1"/>
    <col min="310" max="310" width="12.75" style="326" customWidth="1"/>
    <col min="311" max="311" width="9" style="326"/>
    <col min="312" max="312" width="10.75" style="326" bestFit="1" customWidth="1"/>
    <col min="313" max="313" width="11.5" style="326" customWidth="1"/>
    <col min="314" max="314" width="13.625" style="326" customWidth="1"/>
    <col min="315" max="315" width="10.625" style="326" customWidth="1"/>
    <col min="316" max="316" width="10.75" style="326" bestFit="1" customWidth="1"/>
    <col min="317" max="317" width="12.375" style="326" customWidth="1"/>
    <col min="318" max="320" width="9" style="326"/>
    <col min="321" max="321" width="15.75" style="326" customWidth="1"/>
    <col min="322" max="322" width="9" style="326"/>
    <col min="323" max="323" width="10.75" style="326" bestFit="1" customWidth="1"/>
    <col min="324" max="324" width="12.625" style="326" customWidth="1"/>
    <col min="325" max="327" width="9" style="326"/>
    <col min="328" max="328" width="13.625" style="326" customWidth="1"/>
    <col min="329" max="329" width="9" style="326"/>
    <col min="330" max="330" width="10.75" style="326" bestFit="1" customWidth="1"/>
    <col min="331" max="331" width="12.5" style="326" customWidth="1"/>
    <col min="332" max="334" width="9" style="326"/>
    <col min="335" max="335" width="12.875" style="326" customWidth="1"/>
    <col min="336" max="336" width="9" style="326"/>
    <col min="337" max="337" width="10.75" style="326" bestFit="1" customWidth="1"/>
    <col min="338" max="338" width="13.875" style="326" customWidth="1"/>
    <col min="339" max="341" width="9" style="326"/>
    <col min="342" max="342" width="14.125" style="326" customWidth="1"/>
    <col min="343" max="343" width="9" style="326"/>
    <col min="344" max="344" width="10.75" style="326" bestFit="1" customWidth="1"/>
    <col min="345" max="345" width="13.25" style="326" customWidth="1"/>
    <col min="346" max="348" width="9" style="326"/>
    <col min="349" max="349" width="13.25" style="326" customWidth="1"/>
    <col min="350" max="350" width="9" style="326"/>
    <col min="351" max="351" width="10.75" style="326" bestFit="1" customWidth="1"/>
    <col min="352" max="352" width="13.875" style="326" customWidth="1"/>
    <col min="353" max="355" width="9" style="326"/>
    <col min="356" max="356" width="13.625" style="326" customWidth="1"/>
    <col min="357" max="357" width="9" style="326"/>
    <col min="358" max="358" width="10.75" style="326" bestFit="1" customWidth="1"/>
    <col min="359" max="359" width="13" style="326" customWidth="1"/>
    <col min="360" max="506" width="9" style="326"/>
    <col min="507" max="508" width="12.125" style="326" customWidth="1"/>
    <col min="509" max="511" width="13" style="326" customWidth="1"/>
    <col min="512" max="512" width="12.875" style="326" customWidth="1"/>
    <col min="513" max="513" width="13" style="326" customWidth="1"/>
    <col min="514" max="514" width="13.125" style="326" customWidth="1"/>
    <col min="515" max="516" width="12.125" style="326" customWidth="1"/>
    <col min="517" max="517" width="14.375" style="326" bestFit="1" customWidth="1"/>
    <col min="518" max="518" width="11" style="326" customWidth="1"/>
    <col min="519" max="519" width="10" style="326" customWidth="1"/>
    <col min="520" max="520" width="10.875" style="326" customWidth="1"/>
    <col min="521" max="521" width="13.75" style="326" customWidth="1"/>
    <col min="522" max="522" width="10" style="326" customWidth="1"/>
    <col min="523" max="523" width="13.25" style="326" customWidth="1"/>
    <col min="524" max="524" width="14.375" style="326" customWidth="1"/>
    <col min="525" max="525" width="10" style="326" customWidth="1"/>
    <col min="526" max="526" width="10.875" style="326" customWidth="1"/>
    <col min="527" max="527" width="11.375" style="326" customWidth="1"/>
    <col min="528" max="528" width="15.375" style="326" customWidth="1"/>
    <col min="529" max="530" width="10.75" style="326" customWidth="1"/>
    <col min="531" max="531" width="14.375" style="326" customWidth="1"/>
    <col min="532" max="532" width="10.75" style="326" customWidth="1"/>
    <col min="533" max="533" width="11.75" style="326" customWidth="1"/>
    <col min="534" max="534" width="10" style="326" customWidth="1"/>
    <col min="535" max="535" width="15.375" style="326" customWidth="1"/>
    <col min="536" max="536" width="10" style="326" customWidth="1"/>
    <col min="537" max="537" width="10.75" style="326" customWidth="1"/>
    <col min="538" max="538" width="14.875" style="326" customWidth="1"/>
    <col min="539" max="539" width="11.5" style="326" customWidth="1"/>
    <col min="540" max="540" width="10" style="326" customWidth="1"/>
    <col min="541" max="541" width="10.75" style="326" customWidth="1"/>
    <col min="542" max="542" width="13.5" style="326" customWidth="1"/>
    <col min="543" max="543" width="9" style="326"/>
    <col min="544" max="544" width="10.75" style="326" bestFit="1" customWidth="1"/>
    <col min="545" max="545" width="13.75" style="326" customWidth="1"/>
    <col min="546" max="546" width="9" style="326"/>
    <col min="547" max="547" width="10.625" style="326" customWidth="1"/>
    <col min="548" max="548" width="9" style="326"/>
    <col min="549" max="549" width="14.25" style="326" customWidth="1"/>
    <col min="550" max="550" width="10.75" style="326" bestFit="1" customWidth="1"/>
    <col min="551" max="551" width="11.625" style="326" customWidth="1"/>
    <col min="552" max="552" width="13.75" style="326" customWidth="1"/>
    <col min="553" max="553" width="10.625" style="326" customWidth="1"/>
    <col min="554" max="555" width="9" style="326"/>
    <col min="556" max="556" width="14.125" style="326" customWidth="1"/>
    <col min="557" max="557" width="11" style="326" customWidth="1"/>
    <col min="558" max="558" width="10.75" style="326" bestFit="1" customWidth="1"/>
    <col min="559" max="559" width="13.5" style="326" customWidth="1"/>
    <col min="560" max="561" width="9" style="326"/>
    <col min="562" max="562" width="10.75" style="326" bestFit="1" customWidth="1"/>
    <col min="563" max="563" width="14" style="326" customWidth="1"/>
    <col min="564" max="564" width="9" style="326"/>
    <col min="565" max="565" width="10.75" style="326" customWidth="1"/>
    <col min="566" max="566" width="12.75" style="326" customWidth="1"/>
    <col min="567" max="567" width="9" style="326"/>
    <col min="568" max="568" width="10.75" style="326" bestFit="1" customWidth="1"/>
    <col min="569" max="569" width="11.5" style="326" customWidth="1"/>
    <col min="570" max="570" width="13.625" style="326" customWidth="1"/>
    <col min="571" max="571" width="10.625" style="326" customWidth="1"/>
    <col min="572" max="572" width="10.75" style="326" bestFit="1" customWidth="1"/>
    <col min="573" max="573" width="12.375" style="326" customWidth="1"/>
    <col min="574" max="576" width="9" style="326"/>
    <col min="577" max="577" width="15.75" style="326" customWidth="1"/>
    <col min="578" max="578" width="9" style="326"/>
    <col min="579" max="579" width="10.75" style="326" bestFit="1" customWidth="1"/>
    <col min="580" max="580" width="12.625" style="326" customWidth="1"/>
    <col min="581" max="583" width="9" style="326"/>
    <col min="584" max="584" width="13.625" style="326" customWidth="1"/>
    <col min="585" max="585" width="9" style="326"/>
    <col min="586" max="586" width="10.75" style="326" bestFit="1" customWidth="1"/>
    <col min="587" max="587" width="12.5" style="326" customWidth="1"/>
    <col min="588" max="590" width="9" style="326"/>
    <col min="591" max="591" width="12.875" style="326" customWidth="1"/>
    <col min="592" max="592" width="9" style="326"/>
    <col min="593" max="593" width="10.75" style="326" bestFit="1" customWidth="1"/>
    <col min="594" max="594" width="13.875" style="326" customWidth="1"/>
    <col min="595" max="597" width="9" style="326"/>
    <col min="598" max="598" width="14.125" style="326" customWidth="1"/>
    <col min="599" max="599" width="9" style="326"/>
    <col min="600" max="600" width="10.75" style="326" bestFit="1" customWidth="1"/>
    <col min="601" max="601" width="13.25" style="326" customWidth="1"/>
    <col min="602" max="604" width="9" style="326"/>
    <col min="605" max="605" width="13.25" style="326" customWidth="1"/>
    <col min="606" max="606" width="9" style="326"/>
    <col min="607" max="607" width="10.75" style="326" bestFit="1" customWidth="1"/>
    <col min="608" max="608" width="13.875" style="326" customWidth="1"/>
    <col min="609" max="611" width="9" style="326"/>
    <col min="612" max="612" width="13.625" style="326" customWidth="1"/>
    <col min="613" max="613" width="9" style="326"/>
    <col min="614" max="614" width="10.75" style="326" bestFit="1" customWidth="1"/>
    <col min="615" max="615" width="13" style="326" customWidth="1"/>
    <col min="616" max="762" width="9" style="326"/>
    <col min="763" max="764" width="12.125" style="326" customWidth="1"/>
    <col min="765" max="767" width="13" style="326" customWidth="1"/>
    <col min="768" max="768" width="12.875" style="326" customWidth="1"/>
    <col min="769" max="769" width="13" style="326" customWidth="1"/>
    <col min="770" max="770" width="13.125" style="326" customWidth="1"/>
    <col min="771" max="772" width="12.125" style="326" customWidth="1"/>
    <col min="773" max="773" width="14.375" style="326" bestFit="1" customWidth="1"/>
    <col min="774" max="774" width="11" style="326" customWidth="1"/>
    <col min="775" max="775" width="10" style="326" customWidth="1"/>
    <col min="776" max="776" width="10.875" style="326" customWidth="1"/>
    <col min="777" max="777" width="13.75" style="326" customWidth="1"/>
    <col min="778" max="778" width="10" style="326" customWidth="1"/>
    <col min="779" max="779" width="13.25" style="326" customWidth="1"/>
    <col min="780" max="780" width="14.375" style="326" customWidth="1"/>
    <col min="781" max="781" width="10" style="326" customWidth="1"/>
    <col min="782" max="782" width="10.875" style="326" customWidth="1"/>
    <col min="783" max="783" width="11.375" style="326" customWidth="1"/>
    <col min="784" max="784" width="15.375" style="326" customWidth="1"/>
    <col min="785" max="786" width="10.75" style="326" customWidth="1"/>
    <col min="787" max="787" width="14.375" style="326" customWidth="1"/>
    <col min="788" max="788" width="10.75" style="326" customWidth="1"/>
    <col min="789" max="789" width="11.75" style="326" customWidth="1"/>
    <col min="790" max="790" width="10" style="326" customWidth="1"/>
    <col min="791" max="791" width="15.375" style="326" customWidth="1"/>
    <col min="792" max="792" width="10" style="326" customWidth="1"/>
    <col min="793" max="793" width="10.75" style="326" customWidth="1"/>
    <col min="794" max="794" width="14.875" style="326" customWidth="1"/>
    <col min="795" max="795" width="11.5" style="326" customWidth="1"/>
    <col min="796" max="796" width="10" style="326" customWidth="1"/>
    <col min="797" max="797" width="10.75" style="326" customWidth="1"/>
    <col min="798" max="798" width="13.5" style="326" customWidth="1"/>
    <col min="799" max="799" width="9" style="326"/>
    <col min="800" max="800" width="10.75" style="326" bestFit="1" customWidth="1"/>
    <col min="801" max="801" width="13.75" style="326" customWidth="1"/>
    <col min="802" max="802" width="9" style="326"/>
    <col min="803" max="803" width="10.625" style="326" customWidth="1"/>
    <col min="804" max="804" width="9" style="326"/>
    <col min="805" max="805" width="14.25" style="326" customWidth="1"/>
    <col min="806" max="806" width="10.75" style="326" bestFit="1" customWidth="1"/>
    <col min="807" max="807" width="11.625" style="326" customWidth="1"/>
    <col min="808" max="808" width="13.75" style="326" customWidth="1"/>
    <col min="809" max="809" width="10.625" style="326" customWidth="1"/>
    <col min="810" max="811" width="9" style="326"/>
    <col min="812" max="812" width="14.125" style="326" customWidth="1"/>
    <col min="813" max="813" width="11" style="326" customWidth="1"/>
    <col min="814" max="814" width="10.75" style="326" bestFit="1" customWidth="1"/>
    <col min="815" max="815" width="13.5" style="326" customWidth="1"/>
    <col min="816" max="817" width="9" style="326"/>
    <col min="818" max="818" width="10.75" style="326" bestFit="1" customWidth="1"/>
    <col min="819" max="819" width="14" style="326" customWidth="1"/>
    <col min="820" max="820" width="9" style="326"/>
    <col min="821" max="821" width="10.75" style="326" customWidth="1"/>
    <col min="822" max="822" width="12.75" style="326" customWidth="1"/>
    <col min="823" max="823" width="9" style="326"/>
    <col min="824" max="824" width="10.75" style="326" bestFit="1" customWidth="1"/>
    <col min="825" max="825" width="11.5" style="326" customWidth="1"/>
    <col min="826" max="826" width="13.625" style="326" customWidth="1"/>
    <col min="827" max="827" width="10.625" style="326" customWidth="1"/>
    <col min="828" max="828" width="10.75" style="326" bestFit="1" customWidth="1"/>
    <col min="829" max="829" width="12.375" style="326" customWidth="1"/>
    <col min="830" max="832" width="9" style="326"/>
    <col min="833" max="833" width="15.75" style="326" customWidth="1"/>
    <col min="834" max="834" width="9" style="326"/>
    <col min="835" max="835" width="10.75" style="326" bestFit="1" customWidth="1"/>
    <col min="836" max="836" width="12.625" style="326" customWidth="1"/>
    <col min="837" max="839" width="9" style="326"/>
    <col min="840" max="840" width="13.625" style="326" customWidth="1"/>
    <col min="841" max="841" width="9" style="326"/>
    <col min="842" max="842" width="10.75" style="326" bestFit="1" customWidth="1"/>
    <col min="843" max="843" width="12.5" style="326" customWidth="1"/>
    <col min="844" max="846" width="9" style="326"/>
    <col min="847" max="847" width="12.875" style="326" customWidth="1"/>
    <col min="848" max="848" width="9" style="326"/>
    <col min="849" max="849" width="10.75" style="326" bestFit="1" customWidth="1"/>
    <col min="850" max="850" width="13.875" style="326" customWidth="1"/>
    <col min="851" max="853" width="9" style="326"/>
    <col min="854" max="854" width="14.125" style="326" customWidth="1"/>
    <col min="855" max="855" width="9" style="326"/>
    <col min="856" max="856" width="10.75" style="326" bestFit="1" customWidth="1"/>
    <col min="857" max="857" width="13.25" style="326" customWidth="1"/>
    <col min="858" max="860" width="9" style="326"/>
    <col min="861" max="861" width="13.25" style="326" customWidth="1"/>
    <col min="862" max="862" width="9" style="326"/>
    <col min="863" max="863" width="10.75" style="326" bestFit="1" customWidth="1"/>
    <col min="864" max="864" width="13.875" style="326" customWidth="1"/>
    <col min="865" max="867" width="9" style="326"/>
    <col min="868" max="868" width="13.625" style="326" customWidth="1"/>
    <col min="869" max="869" width="9" style="326"/>
    <col min="870" max="870" width="10.75" style="326" bestFit="1" customWidth="1"/>
    <col min="871" max="871" width="13" style="326" customWidth="1"/>
    <col min="872" max="1018" width="9" style="326"/>
    <col min="1019" max="1020" width="12.125" style="326" customWidth="1"/>
    <col min="1021" max="1023" width="13" style="326" customWidth="1"/>
    <col min="1024" max="1024" width="12.875" style="326" customWidth="1"/>
    <col min="1025" max="1025" width="13" style="326" customWidth="1"/>
    <col min="1026" max="1026" width="13.125" style="326" customWidth="1"/>
    <col min="1027" max="1028" width="12.125" style="326" customWidth="1"/>
    <col min="1029" max="1029" width="14.375" style="326" bestFit="1" customWidth="1"/>
    <col min="1030" max="1030" width="11" style="326" customWidth="1"/>
    <col min="1031" max="1031" width="10" style="326" customWidth="1"/>
    <col min="1032" max="1032" width="10.875" style="326" customWidth="1"/>
    <col min="1033" max="1033" width="13.75" style="326" customWidth="1"/>
    <col min="1034" max="1034" width="10" style="326" customWidth="1"/>
    <col min="1035" max="1035" width="13.25" style="326" customWidth="1"/>
    <col min="1036" max="1036" width="14.375" style="326" customWidth="1"/>
    <col min="1037" max="1037" width="10" style="326" customWidth="1"/>
    <col min="1038" max="1038" width="10.875" style="326" customWidth="1"/>
    <col min="1039" max="1039" width="11.375" style="326" customWidth="1"/>
    <col min="1040" max="1040" width="15.375" style="326" customWidth="1"/>
    <col min="1041" max="1042" width="10.75" style="326" customWidth="1"/>
    <col min="1043" max="1043" width="14.375" style="326" customWidth="1"/>
    <col min="1044" max="1044" width="10.75" style="326" customWidth="1"/>
    <col min="1045" max="1045" width="11.75" style="326" customWidth="1"/>
    <col min="1046" max="1046" width="10" style="326" customWidth="1"/>
    <col min="1047" max="1047" width="15.375" style="326" customWidth="1"/>
    <col min="1048" max="1048" width="10" style="326" customWidth="1"/>
    <col min="1049" max="1049" width="10.75" style="326" customWidth="1"/>
    <col min="1050" max="1050" width="14.875" style="326" customWidth="1"/>
    <col min="1051" max="1051" width="11.5" style="326" customWidth="1"/>
    <col min="1052" max="1052" width="10" style="326" customWidth="1"/>
    <col min="1053" max="1053" width="10.75" style="326" customWidth="1"/>
    <col min="1054" max="1054" width="13.5" style="326" customWidth="1"/>
    <col min="1055" max="1055" width="9" style="326"/>
    <col min="1056" max="1056" width="10.75" style="326" bestFit="1" customWidth="1"/>
    <col min="1057" max="1057" width="13.75" style="326" customWidth="1"/>
    <col min="1058" max="1058" width="9" style="326"/>
    <col min="1059" max="1059" width="10.625" style="326" customWidth="1"/>
    <col min="1060" max="1060" width="9" style="326"/>
    <col min="1061" max="1061" width="14.25" style="326" customWidth="1"/>
    <col min="1062" max="1062" width="10.75" style="326" bestFit="1" customWidth="1"/>
    <col min="1063" max="1063" width="11.625" style="326" customWidth="1"/>
    <col min="1064" max="1064" width="13.75" style="326" customWidth="1"/>
    <col min="1065" max="1065" width="10.625" style="326" customWidth="1"/>
    <col min="1066" max="1067" width="9" style="326"/>
    <col min="1068" max="1068" width="14.125" style="326" customWidth="1"/>
    <col min="1069" max="1069" width="11" style="326" customWidth="1"/>
    <col min="1070" max="1070" width="10.75" style="326" bestFit="1" customWidth="1"/>
    <col min="1071" max="1071" width="13.5" style="326" customWidth="1"/>
    <col min="1072" max="1073" width="9" style="326"/>
    <col min="1074" max="1074" width="10.75" style="326" bestFit="1" customWidth="1"/>
    <col min="1075" max="1075" width="14" style="326" customWidth="1"/>
    <col min="1076" max="1076" width="9" style="326"/>
    <col min="1077" max="1077" width="10.75" style="326" customWidth="1"/>
    <col min="1078" max="1078" width="12.75" style="326" customWidth="1"/>
    <col min="1079" max="1079" width="9" style="326"/>
    <col min="1080" max="1080" width="10.75" style="326" bestFit="1" customWidth="1"/>
    <col min="1081" max="1081" width="11.5" style="326" customWidth="1"/>
    <col min="1082" max="1082" width="13.625" style="326" customWidth="1"/>
    <col min="1083" max="1083" width="10.625" style="326" customWidth="1"/>
    <col min="1084" max="1084" width="10.75" style="326" bestFit="1" customWidth="1"/>
    <col min="1085" max="1085" width="12.375" style="326" customWidth="1"/>
    <col min="1086" max="1088" width="9" style="326"/>
    <col min="1089" max="1089" width="15.75" style="326" customWidth="1"/>
    <col min="1090" max="1090" width="9" style="326"/>
    <col min="1091" max="1091" width="10.75" style="326" bestFit="1" customWidth="1"/>
    <col min="1092" max="1092" width="12.625" style="326" customWidth="1"/>
    <col min="1093" max="1095" width="9" style="326"/>
    <col min="1096" max="1096" width="13.625" style="326" customWidth="1"/>
    <col min="1097" max="1097" width="9" style="326"/>
    <col min="1098" max="1098" width="10.75" style="326" bestFit="1" customWidth="1"/>
    <col min="1099" max="1099" width="12.5" style="326" customWidth="1"/>
    <col min="1100" max="1102" width="9" style="326"/>
    <col min="1103" max="1103" width="12.875" style="326" customWidth="1"/>
    <col min="1104" max="1104" width="9" style="326"/>
    <col min="1105" max="1105" width="10.75" style="326" bestFit="1" customWidth="1"/>
    <col min="1106" max="1106" width="13.875" style="326" customWidth="1"/>
    <col min="1107" max="1109" width="9" style="326"/>
    <col min="1110" max="1110" width="14.125" style="326" customWidth="1"/>
    <col min="1111" max="1111" width="9" style="326"/>
    <col min="1112" max="1112" width="10.75" style="326" bestFit="1" customWidth="1"/>
    <col min="1113" max="1113" width="13.25" style="326" customWidth="1"/>
    <col min="1114" max="1116" width="9" style="326"/>
    <col min="1117" max="1117" width="13.25" style="326" customWidth="1"/>
    <col min="1118" max="1118" width="9" style="326"/>
    <col min="1119" max="1119" width="10.75" style="326" bestFit="1" customWidth="1"/>
    <col min="1120" max="1120" width="13.875" style="326" customWidth="1"/>
    <col min="1121" max="1123" width="9" style="326"/>
    <col min="1124" max="1124" width="13.625" style="326" customWidth="1"/>
    <col min="1125" max="1125" width="9" style="326"/>
    <col min="1126" max="1126" width="10.75" style="326" bestFit="1" customWidth="1"/>
    <col min="1127" max="1127" width="13" style="326" customWidth="1"/>
    <col min="1128" max="1274" width="9" style="326"/>
    <col min="1275" max="1276" width="12.125" style="326" customWidth="1"/>
    <col min="1277" max="1279" width="13" style="326" customWidth="1"/>
    <col min="1280" max="1280" width="12.875" style="326" customWidth="1"/>
    <col min="1281" max="1281" width="13" style="326" customWidth="1"/>
    <col min="1282" max="1282" width="13.125" style="326" customWidth="1"/>
    <col min="1283" max="1284" width="12.125" style="326" customWidth="1"/>
    <col min="1285" max="1285" width="14.375" style="326" bestFit="1" customWidth="1"/>
    <col min="1286" max="1286" width="11" style="326" customWidth="1"/>
    <col min="1287" max="1287" width="10" style="326" customWidth="1"/>
    <col min="1288" max="1288" width="10.875" style="326" customWidth="1"/>
    <col min="1289" max="1289" width="13.75" style="326" customWidth="1"/>
    <col min="1290" max="1290" width="10" style="326" customWidth="1"/>
    <col min="1291" max="1291" width="13.25" style="326" customWidth="1"/>
    <col min="1292" max="1292" width="14.375" style="326" customWidth="1"/>
    <col min="1293" max="1293" width="10" style="326" customWidth="1"/>
    <col min="1294" max="1294" width="10.875" style="326" customWidth="1"/>
    <col min="1295" max="1295" width="11.375" style="326" customWidth="1"/>
    <col min="1296" max="1296" width="15.375" style="326" customWidth="1"/>
    <col min="1297" max="1298" width="10.75" style="326" customWidth="1"/>
    <col min="1299" max="1299" width="14.375" style="326" customWidth="1"/>
    <col min="1300" max="1300" width="10.75" style="326" customWidth="1"/>
    <col min="1301" max="1301" width="11.75" style="326" customWidth="1"/>
    <col min="1302" max="1302" width="10" style="326" customWidth="1"/>
    <col min="1303" max="1303" width="15.375" style="326" customWidth="1"/>
    <col min="1304" max="1304" width="10" style="326" customWidth="1"/>
    <col min="1305" max="1305" width="10.75" style="326" customWidth="1"/>
    <col min="1306" max="1306" width="14.875" style="326" customWidth="1"/>
    <col min="1307" max="1307" width="11.5" style="326" customWidth="1"/>
    <col min="1308" max="1308" width="10" style="326" customWidth="1"/>
    <col min="1309" max="1309" width="10.75" style="326" customWidth="1"/>
    <col min="1310" max="1310" width="13.5" style="326" customWidth="1"/>
    <col min="1311" max="1311" width="9" style="326"/>
    <col min="1312" max="1312" width="10.75" style="326" bestFit="1" customWidth="1"/>
    <col min="1313" max="1313" width="13.75" style="326" customWidth="1"/>
    <col min="1314" max="1314" width="9" style="326"/>
    <col min="1315" max="1315" width="10.625" style="326" customWidth="1"/>
    <col min="1316" max="1316" width="9" style="326"/>
    <col min="1317" max="1317" width="14.25" style="326" customWidth="1"/>
    <col min="1318" max="1318" width="10.75" style="326" bestFit="1" customWidth="1"/>
    <col min="1319" max="1319" width="11.625" style="326" customWidth="1"/>
    <col min="1320" max="1320" width="13.75" style="326" customWidth="1"/>
    <col min="1321" max="1321" width="10.625" style="326" customWidth="1"/>
    <col min="1322" max="1323" width="9" style="326"/>
    <col min="1324" max="1324" width="14.125" style="326" customWidth="1"/>
    <col min="1325" max="1325" width="11" style="326" customWidth="1"/>
    <col min="1326" max="1326" width="10.75" style="326" bestFit="1" customWidth="1"/>
    <col min="1327" max="1327" width="13.5" style="326" customWidth="1"/>
    <col min="1328" max="1329" width="9" style="326"/>
    <col min="1330" max="1330" width="10.75" style="326" bestFit="1" customWidth="1"/>
    <col min="1331" max="1331" width="14" style="326" customWidth="1"/>
    <col min="1332" max="1332" width="9" style="326"/>
    <col min="1333" max="1333" width="10.75" style="326" customWidth="1"/>
    <col min="1334" max="1334" width="12.75" style="326" customWidth="1"/>
    <col min="1335" max="1335" width="9" style="326"/>
    <col min="1336" max="1336" width="10.75" style="326" bestFit="1" customWidth="1"/>
    <col min="1337" max="1337" width="11.5" style="326" customWidth="1"/>
    <col min="1338" max="1338" width="13.625" style="326" customWidth="1"/>
    <col min="1339" max="1339" width="10.625" style="326" customWidth="1"/>
    <col min="1340" max="1340" width="10.75" style="326" bestFit="1" customWidth="1"/>
    <col min="1341" max="1341" width="12.375" style="326" customWidth="1"/>
    <col min="1342" max="1344" width="9" style="326"/>
    <col min="1345" max="1345" width="15.75" style="326" customWidth="1"/>
    <col min="1346" max="1346" width="9" style="326"/>
    <col min="1347" max="1347" width="10.75" style="326" bestFit="1" customWidth="1"/>
    <col min="1348" max="1348" width="12.625" style="326" customWidth="1"/>
    <col min="1349" max="1351" width="9" style="326"/>
    <col min="1352" max="1352" width="13.625" style="326" customWidth="1"/>
    <col min="1353" max="1353" width="9" style="326"/>
    <col min="1354" max="1354" width="10.75" style="326" bestFit="1" customWidth="1"/>
    <col min="1355" max="1355" width="12.5" style="326" customWidth="1"/>
    <col min="1356" max="1358" width="9" style="326"/>
    <col min="1359" max="1359" width="12.875" style="326" customWidth="1"/>
    <col min="1360" max="1360" width="9" style="326"/>
    <col min="1361" max="1361" width="10.75" style="326" bestFit="1" customWidth="1"/>
    <col min="1362" max="1362" width="13.875" style="326" customWidth="1"/>
    <col min="1363" max="1365" width="9" style="326"/>
    <col min="1366" max="1366" width="14.125" style="326" customWidth="1"/>
    <col min="1367" max="1367" width="9" style="326"/>
    <col min="1368" max="1368" width="10.75" style="326" bestFit="1" customWidth="1"/>
    <col min="1369" max="1369" width="13.25" style="326" customWidth="1"/>
    <col min="1370" max="1372" width="9" style="326"/>
    <col min="1373" max="1373" width="13.25" style="326" customWidth="1"/>
    <col min="1374" max="1374" width="9" style="326"/>
    <col min="1375" max="1375" width="10.75" style="326" bestFit="1" customWidth="1"/>
    <col min="1376" max="1376" width="13.875" style="326" customWidth="1"/>
    <col min="1377" max="1379" width="9" style="326"/>
    <col min="1380" max="1380" width="13.625" style="326" customWidth="1"/>
    <col min="1381" max="1381" width="9" style="326"/>
    <col min="1382" max="1382" width="10.75" style="326" bestFit="1" customWidth="1"/>
    <col min="1383" max="1383" width="13" style="326" customWidth="1"/>
    <col min="1384" max="1530" width="9" style="326"/>
    <col min="1531" max="1532" width="12.125" style="326" customWidth="1"/>
    <col min="1533" max="1535" width="13" style="326" customWidth="1"/>
    <col min="1536" max="1536" width="12.875" style="326" customWidth="1"/>
    <col min="1537" max="1537" width="13" style="326" customWidth="1"/>
    <col min="1538" max="1538" width="13.125" style="326" customWidth="1"/>
    <col min="1539" max="1540" width="12.125" style="326" customWidth="1"/>
    <col min="1541" max="1541" width="14.375" style="326" bestFit="1" customWidth="1"/>
    <col min="1542" max="1542" width="11" style="326" customWidth="1"/>
    <col min="1543" max="1543" width="10" style="326" customWidth="1"/>
    <col min="1544" max="1544" width="10.875" style="326" customWidth="1"/>
    <col min="1545" max="1545" width="13.75" style="326" customWidth="1"/>
    <col min="1546" max="1546" width="10" style="326" customWidth="1"/>
    <col min="1547" max="1547" width="13.25" style="326" customWidth="1"/>
    <col min="1548" max="1548" width="14.375" style="326" customWidth="1"/>
    <col min="1549" max="1549" width="10" style="326" customWidth="1"/>
    <col min="1550" max="1550" width="10.875" style="326" customWidth="1"/>
    <col min="1551" max="1551" width="11.375" style="326" customWidth="1"/>
    <col min="1552" max="1552" width="15.375" style="326" customWidth="1"/>
    <col min="1553" max="1554" width="10.75" style="326" customWidth="1"/>
    <col min="1555" max="1555" width="14.375" style="326" customWidth="1"/>
    <col min="1556" max="1556" width="10.75" style="326" customWidth="1"/>
    <col min="1557" max="1557" width="11.75" style="326" customWidth="1"/>
    <col min="1558" max="1558" width="10" style="326" customWidth="1"/>
    <col min="1559" max="1559" width="15.375" style="326" customWidth="1"/>
    <col min="1560" max="1560" width="10" style="326" customWidth="1"/>
    <col min="1561" max="1561" width="10.75" style="326" customWidth="1"/>
    <col min="1562" max="1562" width="14.875" style="326" customWidth="1"/>
    <col min="1563" max="1563" width="11.5" style="326" customWidth="1"/>
    <col min="1564" max="1564" width="10" style="326" customWidth="1"/>
    <col min="1565" max="1565" width="10.75" style="326" customWidth="1"/>
    <col min="1566" max="1566" width="13.5" style="326" customWidth="1"/>
    <col min="1567" max="1567" width="9" style="326"/>
    <col min="1568" max="1568" width="10.75" style="326" bestFit="1" customWidth="1"/>
    <col min="1569" max="1569" width="13.75" style="326" customWidth="1"/>
    <col min="1570" max="1570" width="9" style="326"/>
    <col min="1571" max="1571" width="10.625" style="326" customWidth="1"/>
    <col min="1572" max="1572" width="9" style="326"/>
    <col min="1573" max="1573" width="14.25" style="326" customWidth="1"/>
    <col min="1574" max="1574" width="10.75" style="326" bestFit="1" customWidth="1"/>
    <col min="1575" max="1575" width="11.625" style="326" customWidth="1"/>
    <col min="1576" max="1576" width="13.75" style="326" customWidth="1"/>
    <col min="1577" max="1577" width="10.625" style="326" customWidth="1"/>
    <col min="1578" max="1579" width="9" style="326"/>
    <col min="1580" max="1580" width="14.125" style="326" customWidth="1"/>
    <col min="1581" max="1581" width="11" style="326" customWidth="1"/>
    <col min="1582" max="1582" width="10.75" style="326" bestFit="1" customWidth="1"/>
    <col min="1583" max="1583" width="13.5" style="326" customWidth="1"/>
    <col min="1584" max="1585" width="9" style="326"/>
    <col min="1586" max="1586" width="10.75" style="326" bestFit="1" customWidth="1"/>
    <col min="1587" max="1587" width="14" style="326" customWidth="1"/>
    <col min="1588" max="1588" width="9" style="326"/>
    <col min="1589" max="1589" width="10.75" style="326" customWidth="1"/>
    <col min="1590" max="1590" width="12.75" style="326" customWidth="1"/>
    <col min="1591" max="1591" width="9" style="326"/>
    <col min="1592" max="1592" width="10.75" style="326" bestFit="1" customWidth="1"/>
    <col min="1593" max="1593" width="11.5" style="326" customWidth="1"/>
    <col min="1594" max="1594" width="13.625" style="326" customWidth="1"/>
    <col min="1595" max="1595" width="10.625" style="326" customWidth="1"/>
    <col min="1596" max="1596" width="10.75" style="326" bestFit="1" customWidth="1"/>
    <col min="1597" max="1597" width="12.375" style="326" customWidth="1"/>
    <col min="1598" max="1600" width="9" style="326"/>
    <col min="1601" max="1601" width="15.75" style="326" customWidth="1"/>
    <col min="1602" max="1602" width="9" style="326"/>
    <col min="1603" max="1603" width="10.75" style="326" bestFit="1" customWidth="1"/>
    <col min="1604" max="1604" width="12.625" style="326" customWidth="1"/>
    <col min="1605" max="1607" width="9" style="326"/>
    <col min="1608" max="1608" width="13.625" style="326" customWidth="1"/>
    <col min="1609" max="1609" width="9" style="326"/>
    <col min="1610" max="1610" width="10.75" style="326" bestFit="1" customWidth="1"/>
    <col min="1611" max="1611" width="12.5" style="326" customWidth="1"/>
    <col min="1612" max="1614" width="9" style="326"/>
    <col min="1615" max="1615" width="12.875" style="326" customWidth="1"/>
    <col min="1616" max="1616" width="9" style="326"/>
    <col min="1617" max="1617" width="10.75" style="326" bestFit="1" customWidth="1"/>
    <col min="1618" max="1618" width="13.875" style="326" customWidth="1"/>
    <col min="1619" max="1621" width="9" style="326"/>
    <col min="1622" max="1622" width="14.125" style="326" customWidth="1"/>
    <col min="1623" max="1623" width="9" style="326"/>
    <col min="1624" max="1624" width="10.75" style="326" bestFit="1" customWidth="1"/>
    <col min="1625" max="1625" width="13.25" style="326" customWidth="1"/>
    <col min="1626" max="1628" width="9" style="326"/>
    <col min="1629" max="1629" width="13.25" style="326" customWidth="1"/>
    <col min="1630" max="1630" width="9" style="326"/>
    <col min="1631" max="1631" width="10.75" style="326" bestFit="1" customWidth="1"/>
    <col min="1632" max="1632" width="13.875" style="326" customWidth="1"/>
    <col min="1633" max="1635" width="9" style="326"/>
    <col min="1636" max="1636" width="13.625" style="326" customWidth="1"/>
    <col min="1637" max="1637" width="9" style="326"/>
    <col min="1638" max="1638" width="10.75" style="326" bestFit="1" customWidth="1"/>
    <col min="1639" max="1639" width="13" style="326" customWidth="1"/>
    <col min="1640" max="1786" width="9" style="326"/>
    <col min="1787" max="1788" width="12.125" style="326" customWidth="1"/>
    <col min="1789" max="1791" width="13" style="326" customWidth="1"/>
    <col min="1792" max="1792" width="12.875" style="326" customWidth="1"/>
    <col min="1793" max="1793" width="13" style="326" customWidth="1"/>
    <col min="1794" max="1794" width="13.125" style="326" customWidth="1"/>
    <col min="1795" max="1796" width="12.125" style="326" customWidth="1"/>
    <col min="1797" max="1797" width="14.375" style="326" bestFit="1" customWidth="1"/>
    <col min="1798" max="1798" width="11" style="326" customWidth="1"/>
    <col min="1799" max="1799" width="10" style="326" customWidth="1"/>
    <col min="1800" max="1800" width="10.875" style="326" customWidth="1"/>
    <col min="1801" max="1801" width="13.75" style="326" customWidth="1"/>
    <col min="1802" max="1802" width="10" style="326" customWidth="1"/>
    <col min="1803" max="1803" width="13.25" style="326" customWidth="1"/>
    <col min="1804" max="1804" width="14.375" style="326" customWidth="1"/>
    <col min="1805" max="1805" width="10" style="326" customWidth="1"/>
    <col min="1806" max="1806" width="10.875" style="326" customWidth="1"/>
    <col min="1807" max="1807" width="11.375" style="326" customWidth="1"/>
    <col min="1808" max="1808" width="15.375" style="326" customWidth="1"/>
    <col min="1809" max="1810" width="10.75" style="326" customWidth="1"/>
    <col min="1811" max="1811" width="14.375" style="326" customWidth="1"/>
    <col min="1812" max="1812" width="10.75" style="326" customWidth="1"/>
    <col min="1813" max="1813" width="11.75" style="326" customWidth="1"/>
    <col min="1814" max="1814" width="10" style="326" customWidth="1"/>
    <col min="1815" max="1815" width="15.375" style="326" customWidth="1"/>
    <col min="1816" max="1816" width="10" style="326" customWidth="1"/>
    <col min="1817" max="1817" width="10.75" style="326" customWidth="1"/>
    <col min="1818" max="1818" width="14.875" style="326" customWidth="1"/>
    <col min="1819" max="1819" width="11.5" style="326" customWidth="1"/>
    <col min="1820" max="1820" width="10" style="326" customWidth="1"/>
    <col min="1821" max="1821" width="10.75" style="326" customWidth="1"/>
    <col min="1822" max="1822" width="13.5" style="326" customWidth="1"/>
    <col min="1823" max="1823" width="9" style="326"/>
    <col min="1824" max="1824" width="10.75" style="326" bestFit="1" customWidth="1"/>
    <col min="1825" max="1825" width="13.75" style="326" customWidth="1"/>
    <col min="1826" max="1826" width="9" style="326"/>
    <col min="1827" max="1827" width="10.625" style="326" customWidth="1"/>
    <col min="1828" max="1828" width="9" style="326"/>
    <col min="1829" max="1829" width="14.25" style="326" customWidth="1"/>
    <col min="1830" max="1830" width="10.75" style="326" bestFit="1" customWidth="1"/>
    <col min="1831" max="1831" width="11.625" style="326" customWidth="1"/>
    <col min="1832" max="1832" width="13.75" style="326" customWidth="1"/>
    <col min="1833" max="1833" width="10.625" style="326" customWidth="1"/>
    <col min="1834" max="1835" width="9" style="326"/>
    <col min="1836" max="1836" width="14.125" style="326" customWidth="1"/>
    <col min="1837" max="1837" width="11" style="326" customWidth="1"/>
    <col min="1838" max="1838" width="10.75" style="326" bestFit="1" customWidth="1"/>
    <col min="1839" max="1839" width="13.5" style="326" customWidth="1"/>
    <col min="1840" max="1841" width="9" style="326"/>
    <col min="1842" max="1842" width="10.75" style="326" bestFit="1" customWidth="1"/>
    <col min="1843" max="1843" width="14" style="326" customWidth="1"/>
    <col min="1844" max="1844" width="9" style="326"/>
    <col min="1845" max="1845" width="10.75" style="326" customWidth="1"/>
    <col min="1846" max="1846" width="12.75" style="326" customWidth="1"/>
    <col min="1847" max="1847" width="9" style="326"/>
    <col min="1848" max="1848" width="10.75" style="326" bestFit="1" customWidth="1"/>
    <col min="1849" max="1849" width="11.5" style="326" customWidth="1"/>
    <col min="1850" max="1850" width="13.625" style="326" customWidth="1"/>
    <col min="1851" max="1851" width="10.625" style="326" customWidth="1"/>
    <col min="1852" max="1852" width="10.75" style="326" bestFit="1" customWidth="1"/>
    <col min="1853" max="1853" width="12.375" style="326" customWidth="1"/>
    <col min="1854" max="1856" width="9" style="326"/>
    <col min="1857" max="1857" width="15.75" style="326" customWidth="1"/>
    <col min="1858" max="1858" width="9" style="326"/>
    <col min="1859" max="1859" width="10.75" style="326" bestFit="1" customWidth="1"/>
    <col min="1860" max="1860" width="12.625" style="326" customWidth="1"/>
    <col min="1861" max="1863" width="9" style="326"/>
    <col min="1864" max="1864" width="13.625" style="326" customWidth="1"/>
    <col min="1865" max="1865" width="9" style="326"/>
    <col min="1866" max="1866" width="10.75" style="326" bestFit="1" customWidth="1"/>
    <col min="1867" max="1867" width="12.5" style="326" customWidth="1"/>
    <col min="1868" max="1870" width="9" style="326"/>
    <col min="1871" max="1871" width="12.875" style="326" customWidth="1"/>
    <col min="1872" max="1872" width="9" style="326"/>
    <col min="1873" max="1873" width="10.75" style="326" bestFit="1" customWidth="1"/>
    <col min="1874" max="1874" width="13.875" style="326" customWidth="1"/>
    <col min="1875" max="1877" width="9" style="326"/>
    <col min="1878" max="1878" width="14.125" style="326" customWidth="1"/>
    <col min="1879" max="1879" width="9" style="326"/>
    <col min="1880" max="1880" width="10.75" style="326" bestFit="1" customWidth="1"/>
    <col min="1881" max="1881" width="13.25" style="326" customWidth="1"/>
    <col min="1882" max="1884" width="9" style="326"/>
    <col min="1885" max="1885" width="13.25" style="326" customWidth="1"/>
    <col min="1886" max="1886" width="9" style="326"/>
    <col min="1887" max="1887" width="10.75" style="326" bestFit="1" customWidth="1"/>
    <col min="1888" max="1888" width="13.875" style="326" customWidth="1"/>
    <col min="1889" max="1891" width="9" style="326"/>
    <col min="1892" max="1892" width="13.625" style="326" customWidth="1"/>
    <col min="1893" max="1893" width="9" style="326"/>
    <col min="1894" max="1894" width="10.75" style="326" bestFit="1" customWidth="1"/>
    <col min="1895" max="1895" width="13" style="326" customWidth="1"/>
    <col min="1896" max="2042" width="9" style="326"/>
    <col min="2043" max="2044" width="12.125" style="326" customWidth="1"/>
    <col min="2045" max="2047" width="13" style="326" customWidth="1"/>
    <col min="2048" max="2048" width="12.875" style="326" customWidth="1"/>
    <col min="2049" max="2049" width="13" style="326" customWidth="1"/>
    <col min="2050" max="2050" width="13.125" style="326" customWidth="1"/>
    <col min="2051" max="2052" width="12.125" style="326" customWidth="1"/>
    <col min="2053" max="2053" width="14.375" style="326" bestFit="1" customWidth="1"/>
    <col min="2054" max="2054" width="11" style="326" customWidth="1"/>
    <col min="2055" max="2055" width="10" style="326" customWidth="1"/>
    <col min="2056" max="2056" width="10.875" style="326" customWidth="1"/>
    <col min="2057" max="2057" width="13.75" style="326" customWidth="1"/>
    <col min="2058" max="2058" width="10" style="326" customWidth="1"/>
    <col min="2059" max="2059" width="13.25" style="326" customWidth="1"/>
    <col min="2060" max="2060" width="14.375" style="326" customWidth="1"/>
    <col min="2061" max="2061" width="10" style="326" customWidth="1"/>
    <col min="2062" max="2062" width="10.875" style="326" customWidth="1"/>
    <col min="2063" max="2063" width="11.375" style="326" customWidth="1"/>
    <col min="2064" max="2064" width="15.375" style="326" customWidth="1"/>
    <col min="2065" max="2066" width="10.75" style="326" customWidth="1"/>
    <col min="2067" max="2067" width="14.375" style="326" customWidth="1"/>
    <col min="2068" max="2068" width="10.75" style="326" customWidth="1"/>
    <col min="2069" max="2069" width="11.75" style="326" customWidth="1"/>
    <col min="2070" max="2070" width="10" style="326" customWidth="1"/>
    <col min="2071" max="2071" width="15.375" style="326" customWidth="1"/>
    <col min="2072" max="2072" width="10" style="326" customWidth="1"/>
    <col min="2073" max="2073" width="10.75" style="326" customWidth="1"/>
    <col min="2074" max="2074" width="14.875" style="326" customWidth="1"/>
    <col min="2075" max="2075" width="11.5" style="326" customWidth="1"/>
    <col min="2076" max="2076" width="10" style="326" customWidth="1"/>
    <col min="2077" max="2077" width="10.75" style="326" customWidth="1"/>
    <col min="2078" max="2078" width="13.5" style="326" customWidth="1"/>
    <col min="2079" max="2079" width="9" style="326"/>
    <col min="2080" max="2080" width="10.75" style="326" bestFit="1" customWidth="1"/>
    <col min="2081" max="2081" width="13.75" style="326" customWidth="1"/>
    <col min="2082" max="2082" width="9" style="326"/>
    <col min="2083" max="2083" width="10.625" style="326" customWidth="1"/>
    <col min="2084" max="2084" width="9" style="326"/>
    <col min="2085" max="2085" width="14.25" style="326" customWidth="1"/>
    <col min="2086" max="2086" width="10.75" style="326" bestFit="1" customWidth="1"/>
    <col min="2087" max="2087" width="11.625" style="326" customWidth="1"/>
    <col min="2088" max="2088" width="13.75" style="326" customWidth="1"/>
    <col min="2089" max="2089" width="10.625" style="326" customWidth="1"/>
    <col min="2090" max="2091" width="9" style="326"/>
    <col min="2092" max="2092" width="14.125" style="326" customWidth="1"/>
    <col min="2093" max="2093" width="11" style="326" customWidth="1"/>
    <col min="2094" max="2094" width="10.75" style="326" bestFit="1" customWidth="1"/>
    <col min="2095" max="2095" width="13.5" style="326" customWidth="1"/>
    <col min="2096" max="2097" width="9" style="326"/>
    <col min="2098" max="2098" width="10.75" style="326" bestFit="1" customWidth="1"/>
    <col min="2099" max="2099" width="14" style="326" customWidth="1"/>
    <col min="2100" max="2100" width="9" style="326"/>
    <col min="2101" max="2101" width="10.75" style="326" customWidth="1"/>
    <col min="2102" max="2102" width="12.75" style="326" customWidth="1"/>
    <col min="2103" max="2103" width="9" style="326"/>
    <col min="2104" max="2104" width="10.75" style="326" bestFit="1" customWidth="1"/>
    <col min="2105" max="2105" width="11.5" style="326" customWidth="1"/>
    <col min="2106" max="2106" width="13.625" style="326" customWidth="1"/>
    <col min="2107" max="2107" width="10.625" style="326" customWidth="1"/>
    <col min="2108" max="2108" width="10.75" style="326" bestFit="1" customWidth="1"/>
    <col min="2109" max="2109" width="12.375" style="326" customWidth="1"/>
    <col min="2110" max="2112" width="9" style="326"/>
    <col min="2113" max="2113" width="15.75" style="326" customWidth="1"/>
    <col min="2114" max="2114" width="9" style="326"/>
    <col min="2115" max="2115" width="10.75" style="326" bestFit="1" customWidth="1"/>
    <col min="2116" max="2116" width="12.625" style="326" customWidth="1"/>
    <col min="2117" max="2119" width="9" style="326"/>
    <col min="2120" max="2120" width="13.625" style="326" customWidth="1"/>
    <col min="2121" max="2121" width="9" style="326"/>
    <col min="2122" max="2122" width="10.75" style="326" bestFit="1" customWidth="1"/>
    <col min="2123" max="2123" width="12.5" style="326" customWidth="1"/>
    <col min="2124" max="2126" width="9" style="326"/>
    <col min="2127" max="2127" width="12.875" style="326" customWidth="1"/>
    <col min="2128" max="2128" width="9" style="326"/>
    <col min="2129" max="2129" width="10.75" style="326" bestFit="1" customWidth="1"/>
    <col min="2130" max="2130" width="13.875" style="326" customWidth="1"/>
    <col min="2131" max="2133" width="9" style="326"/>
    <col min="2134" max="2134" width="14.125" style="326" customWidth="1"/>
    <col min="2135" max="2135" width="9" style="326"/>
    <col min="2136" max="2136" width="10.75" style="326" bestFit="1" customWidth="1"/>
    <col min="2137" max="2137" width="13.25" style="326" customWidth="1"/>
    <col min="2138" max="2140" width="9" style="326"/>
    <col min="2141" max="2141" width="13.25" style="326" customWidth="1"/>
    <col min="2142" max="2142" width="9" style="326"/>
    <col min="2143" max="2143" width="10.75" style="326" bestFit="1" customWidth="1"/>
    <col min="2144" max="2144" width="13.875" style="326" customWidth="1"/>
    <col min="2145" max="2147" width="9" style="326"/>
    <col min="2148" max="2148" width="13.625" style="326" customWidth="1"/>
    <col min="2149" max="2149" width="9" style="326"/>
    <col min="2150" max="2150" width="10.75" style="326" bestFit="1" customWidth="1"/>
    <col min="2151" max="2151" width="13" style="326" customWidth="1"/>
    <col min="2152" max="2298" width="9" style="326"/>
    <col min="2299" max="2300" width="12.125" style="326" customWidth="1"/>
    <col min="2301" max="2303" width="13" style="326" customWidth="1"/>
    <col min="2304" max="2304" width="12.875" style="326" customWidth="1"/>
    <col min="2305" max="2305" width="13" style="326" customWidth="1"/>
    <col min="2306" max="2306" width="13.125" style="326" customWidth="1"/>
    <col min="2307" max="2308" width="12.125" style="326" customWidth="1"/>
    <col min="2309" max="2309" width="14.375" style="326" bestFit="1" customWidth="1"/>
    <col min="2310" max="2310" width="11" style="326" customWidth="1"/>
    <col min="2311" max="2311" width="10" style="326" customWidth="1"/>
    <col min="2312" max="2312" width="10.875" style="326" customWidth="1"/>
    <col min="2313" max="2313" width="13.75" style="326" customWidth="1"/>
    <col min="2314" max="2314" width="10" style="326" customWidth="1"/>
    <col min="2315" max="2315" width="13.25" style="326" customWidth="1"/>
    <col min="2316" max="2316" width="14.375" style="326" customWidth="1"/>
    <col min="2317" max="2317" width="10" style="326" customWidth="1"/>
    <col min="2318" max="2318" width="10.875" style="326" customWidth="1"/>
    <col min="2319" max="2319" width="11.375" style="326" customWidth="1"/>
    <col min="2320" max="2320" width="15.375" style="326" customWidth="1"/>
    <col min="2321" max="2322" width="10.75" style="326" customWidth="1"/>
    <col min="2323" max="2323" width="14.375" style="326" customWidth="1"/>
    <col min="2324" max="2324" width="10.75" style="326" customWidth="1"/>
    <col min="2325" max="2325" width="11.75" style="326" customWidth="1"/>
    <col min="2326" max="2326" width="10" style="326" customWidth="1"/>
    <col min="2327" max="2327" width="15.375" style="326" customWidth="1"/>
    <col min="2328" max="2328" width="10" style="326" customWidth="1"/>
    <col min="2329" max="2329" width="10.75" style="326" customWidth="1"/>
    <col min="2330" max="2330" width="14.875" style="326" customWidth="1"/>
    <col min="2331" max="2331" width="11.5" style="326" customWidth="1"/>
    <col min="2332" max="2332" width="10" style="326" customWidth="1"/>
    <col min="2333" max="2333" width="10.75" style="326" customWidth="1"/>
    <col min="2334" max="2334" width="13.5" style="326" customWidth="1"/>
    <col min="2335" max="2335" width="9" style="326"/>
    <col min="2336" max="2336" width="10.75" style="326" bestFit="1" customWidth="1"/>
    <col min="2337" max="2337" width="13.75" style="326" customWidth="1"/>
    <col min="2338" max="2338" width="9" style="326"/>
    <col min="2339" max="2339" width="10.625" style="326" customWidth="1"/>
    <col min="2340" max="2340" width="9" style="326"/>
    <col min="2341" max="2341" width="14.25" style="326" customWidth="1"/>
    <col min="2342" max="2342" width="10.75" style="326" bestFit="1" customWidth="1"/>
    <col min="2343" max="2343" width="11.625" style="326" customWidth="1"/>
    <col min="2344" max="2344" width="13.75" style="326" customWidth="1"/>
    <col min="2345" max="2345" width="10.625" style="326" customWidth="1"/>
    <col min="2346" max="2347" width="9" style="326"/>
    <col min="2348" max="2348" width="14.125" style="326" customWidth="1"/>
    <col min="2349" max="2349" width="11" style="326" customWidth="1"/>
    <col min="2350" max="2350" width="10.75" style="326" bestFit="1" customWidth="1"/>
    <col min="2351" max="2351" width="13.5" style="326" customWidth="1"/>
    <col min="2352" max="2353" width="9" style="326"/>
    <col min="2354" max="2354" width="10.75" style="326" bestFit="1" customWidth="1"/>
    <col min="2355" max="2355" width="14" style="326" customWidth="1"/>
    <col min="2356" max="2356" width="9" style="326"/>
    <col min="2357" max="2357" width="10.75" style="326" customWidth="1"/>
    <col min="2358" max="2358" width="12.75" style="326" customWidth="1"/>
    <col min="2359" max="2359" width="9" style="326"/>
    <col min="2360" max="2360" width="10.75" style="326" bestFit="1" customWidth="1"/>
    <col min="2361" max="2361" width="11.5" style="326" customWidth="1"/>
    <col min="2362" max="2362" width="13.625" style="326" customWidth="1"/>
    <col min="2363" max="2363" width="10.625" style="326" customWidth="1"/>
    <col min="2364" max="2364" width="10.75" style="326" bestFit="1" customWidth="1"/>
    <col min="2365" max="2365" width="12.375" style="326" customWidth="1"/>
    <col min="2366" max="2368" width="9" style="326"/>
    <col min="2369" max="2369" width="15.75" style="326" customWidth="1"/>
    <col min="2370" max="2370" width="9" style="326"/>
    <col min="2371" max="2371" width="10.75" style="326" bestFit="1" customWidth="1"/>
    <col min="2372" max="2372" width="12.625" style="326" customWidth="1"/>
    <col min="2373" max="2375" width="9" style="326"/>
    <col min="2376" max="2376" width="13.625" style="326" customWidth="1"/>
    <col min="2377" max="2377" width="9" style="326"/>
    <col min="2378" max="2378" width="10.75" style="326" bestFit="1" customWidth="1"/>
    <col min="2379" max="2379" width="12.5" style="326" customWidth="1"/>
    <col min="2380" max="2382" width="9" style="326"/>
    <col min="2383" max="2383" width="12.875" style="326" customWidth="1"/>
    <col min="2384" max="2384" width="9" style="326"/>
    <col min="2385" max="2385" width="10.75" style="326" bestFit="1" customWidth="1"/>
    <col min="2386" max="2386" width="13.875" style="326" customWidth="1"/>
    <col min="2387" max="2389" width="9" style="326"/>
    <col min="2390" max="2390" width="14.125" style="326" customWidth="1"/>
    <col min="2391" max="2391" width="9" style="326"/>
    <col min="2392" max="2392" width="10.75" style="326" bestFit="1" customWidth="1"/>
    <col min="2393" max="2393" width="13.25" style="326" customWidth="1"/>
    <col min="2394" max="2396" width="9" style="326"/>
    <col min="2397" max="2397" width="13.25" style="326" customWidth="1"/>
    <col min="2398" max="2398" width="9" style="326"/>
    <col min="2399" max="2399" width="10.75" style="326" bestFit="1" customWidth="1"/>
    <col min="2400" max="2400" width="13.875" style="326" customWidth="1"/>
    <col min="2401" max="2403" width="9" style="326"/>
    <col min="2404" max="2404" width="13.625" style="326" customWidth="1"/>
    <col min="2405" max="2405" width="9" style="326"/>
    <col min="2406" max="2406" width="10.75" style="326" bestFit="1" customWidth="1"/>
    <col min="2407" max="2407" width="13" style="326" customWidth="1"/>
    <col min="2408" max="2554" width="9" style="326"/>
    <col min="2555" max="2556" width="12.125" style="326" customWidth="1"/>
    <col min="2557" max="2559" width="13" style="326" customWidth="1"/>
    <col min="2560" max="2560" width="12.875" style="326" customWidth="1"/>
    <col min="2561" max="2561" width="13" style="326" customWidth="1"/>
    <col min="2562" max="2562" width="13.125" style="326" customWidth="1"/>
    <col min="2563" max="2564" width="12.125" style="326" customWidth="1"/>
    <col min="2565" max="2565" width="14.375" style="326" bestFit="1" customWidth="1"/>
    <col min="2566" max="2566" width="11" style="326" customWidth="1"/>
    <col min="2567" max="2567" width="10" style="326" customWidth="1"/>
    <col min="2568" max="2568" width="10.875" style="326" customWidth="1"/>
    <col min="2569" max="2569" width="13.75" style="326" customWidth="1"/>
    <col min="2570" max="2570" width="10" style="326" customWidth="1"/>
    <col min="2571" max="2571" width="13.25" style="326" customWidth="1"/>
    <col min="2572" max="2572" width="14.375" style="326" customWidth="1"/>
    <col min="2573" max="2573" width="10" style="326" customWidth="1"/>
    <col min="2574" max="2574" width="10.875" style="326" customWidth="1"/>
    <col min="2575" max="2575" width="11.375" style="326" customWidth="1"/>
    <col min="2576" max="2576" width="15.375" style="326" customWidth="1"/>
    <col min="2577" max="2578" width="10.75" style="326" customWidth="1"/>
    <col min="2579" max="2579" width="14.375" style="326" customWidth="1"/>
    <col min="2580" max="2580" width="10.75" style="326" customWidth="1"/>
    <col min="2581" max="2581" width="11.75" style="326" customWidth="1"/>
    <col min="2582" max="2582" width="10" style="326" customWidth="1"/>
    <col min="2583" max="2583" width="15.375" style="326" customWidth="1"/>
    <col min="2584" max="2584" width="10" style="326" customWidth="1"/>
    <col min="2585" max="2585" width="10.75" style="326" customWidth="1"/>
    <col min="2586" max="2586" width="14.875" style="326" customWidth="1"/>
    <col min="2587" max="2587" width="11.5" style="326" customWidth="1"/>
    <col min="2588" max="2588" width="10" style="326" customWidth="1"/>
    <col min="2589" max="2589" width="10.75" style="326" customWidth="1"/>
    <col min="2590" max="2590" width="13.5" style="326" customWidth="1"/>
    <col min="2591" max="2591" width="9" style="326"/>
    <col min="2592" max="2592" width="10.75" style="326" bestFit="1" customWidth="1"/>
    <col min="2593" max="2593" width="13.75" style="326" customWidth="1"/>
    <col min="2594" max="2594" width="9" style="326"/>
    <col min="2595" max="2595" width="10.625" style="326" customWidth="1"/>
    <col min="2596" max="2596" width="9" style="326"/>
    <col min="2597" max="2597" width="14.25" style="326" customWidth="1"/>
    <col min="2598" max="2598" width="10.75" style="326" bestFit="1" customWidth="1"/>
    <col min="2599" max="2599" width="11.625" style="326" customWidth="1"/>
    <col min="2600" max="2600" width="13.75" style="326" customWidth="1"/>
    <col min="2601" max="2601" width="10.625" style="326" customWidth="1"/>
    <col min="2602" max="2603" width="9" style="326"/>
    <col min="2604" max="2604" width="14.125" style="326" customWidth="1"/>
    <col min="2605" max="2605" width="11" style="326" customWidth="1"/>
    <col min="2606" max="2606" width="10.75" style="326" bestFit="1" customWidth="1"/>
    <col min="2607" max="2607" width="13.5" style="326" customWidth="1"/>
    <col min="2608" max="2609" width="9" style="326"/>
    <col min="2610" max="2610" width="10.75" style="326" bestFit="1" customWidth="1"/>
    <col min="2611" max="2611" width="14" style="326" customWidth="1"/>
    <col min="2612" max="2612" width="9" style="326"/>
    <col min="2613" max="2613" width="10.75" style="326" customWidth="1"/>
    <col min="2614" max="2614" width="12.75" style="326" customWidth="1"/>
    <col min="2615" max="2615" width="9" style="326"/>
    <col min="2616" max="2616" width="10.75" style="326" bestFit="1" customWidth="1"/>
    <col min="2617" max="2617" width="11.5" style="326" customWidth="1"/>
    <col min="2618" max="2618" width="13.625" style="326" customWidth="1"/>
    <col min="2619" max="2619" width="10.625" style="326" customWidth="1"/>
    <col min="2620" max="2620" width="10.75" style="326" bestFit="1" customWidth="1"/>
    <col min="2621" max="2621" width="12.375" style="326" customWidth="1"/>
    <col min="2622" max="2624" width="9" style="326"/>
    <col min="2625" max="2625" width="15.75" style="326" customWidth="1"/>
    <col min="2626" max="2626" width="9" style="326"/>
    <col min="2627" max="2627" width="10.75" style="326" bestFit="1" customWidth="1"/>
    <col min="2628" max="2628" width="12.625" style="326" customWidth="1"/>
    <col min="2629" max="2631" width="9" style="326"/>
    <col min="2632" max="2632" width="13.625" style="326" customWidth="1"/>
    <col min="2633" max="2633" width="9" style="326"/>
    <col min="2634" max="2634" width="10.75" style="326" bestFit="1" customWidth="1"/>
    <col min="2635" max="2635" width="12.5" style="326" customWidth="1"/>
    <col min="2636" max="2638" width="9" style="326"/>
    <col min="2639" max="2639" width="12.875" style="326" customWidth="1"/>
    <col min="2640" max="2640" width="9" style="326"/>
    <col min="2641" max="2641" width="10.75" style="326" bestFit="1" customWidth="1"/>
    <col min="2642" max="2642" width="13.875" style="326" customWidth="1"/>
    <col min="2643" max="2645" width="9" style="326"/>
    <col min="2646" max="2646" width="14.125" style="326" customWidth="1"/>
    <col min="2647" max="2647" width="9" style="326"/>
    <col min="2648" max="2648" width="10.75" style="326" bestFit="1" customWidth="1"/>
    <col min="2649" max="2649" width="13.25" style="326" customWidth="1"/>
    <col min="2650" max="2652" width="9" style="326"/>
    <col min="2653" max="2653" width="13.25" style="326" customWidth="1"/>
    <col min="2654" max="2654" width="9" style="326"/>
    <col min="2655" max="2655" width="10.75" style="326" bestFit="1" customWidth="1"/>
    <col min="2656" max="2656" width="13.875" style="326" customWidth="1"/>
    <col min="2657" max="2659" width="9" style="326"/>
    <col min="2660" max="2660" width="13.625" style="326" customWidth="1"/>
    <col min="2661" max="2661" width="9" style="326"/>
    <col min="2662" max="2662" width="10.75" style="326" bestFit="1" customWidth="1"/>
    <col min="2663" max="2663" width="13" style="326" customWidth="1"/>
    <col min="2664" max="2810" width="9" style="326"/>
    <col min="2811" max="2812" width="12.125" style="326" customWidth="1"/>
    <col min="2813" max="2815" width="13" style="326" customWidth="1"/>
    <col min="2816" max="2816" width="12.875" style="326" customWidth="1"/>
    <col min="2817" max="2817" width="13" style="326" customWidth="1"/>
    <col min="2818" max="2818" width="13.125" style="326" customWidth="1"/>
    <col min="2819" max="2820" width="12.125" style="326" customWidth="1"/>
    <col min="2821" max="2821" width="14.375" style="326" bestFit="1" customWidth="1"/>
    <col min="2822" max="2822" width="11" style="326" customWidth="1"/>
    <col min="2823" max="2823" width="10" style="326" customWidth="1"/>
    <col min="2824" max="2824" width="10.875" style="326" customWidth="1"/>
    <col min="2825" max="2825" width="13.75" style="326" customWidth="1"/>
    <col min="2826" max="2826" width="10" style="326" customWidth="1"/>
    <col min="2827" max="2827" width="13.25" style="326" customWidth="1"/>
    <col min="2828" max="2828" width="14.375" style="326" customWidth="1"/>
    <col min="2829" max="2829" width="10" style="326" customWidth="1"/>
    <col min="2830" max="2830" width="10.875" style="326" customWidth="1"/>
    <col min="2831" max="2831" width="11.375" style="326" customWidth="1"/>
    <col min="2832" max="2832" width="15.375" style="326" customWidth="1"/>
    <col min="2833" max="2834" width="10.75" style="326" customWidth="1"/>
    <col min="2835" max="2835" width="14.375" style="326" customWidth="1"/>
    <col min="2836" max="2836" width="10.75" style="326" customWidth="1"/>
    <col min="2837" max="2837" width="11.75" style="326" customWidth="1"/>
    <col min="2838" max="2838" width="10" style="326" customWidth="1"/>
    <col min="2839" max="2839" width="15.375" style="326" customWidth="1"/>
    <col min="2840" max="2840" width="10" style="326" customWidth="1"/>
    <col min="2841" max="2841" width="10.75" style="326" customWidth="1"/>
    <col min="2842" max="2842" width="14.875" style="326" customWidth="1"/>
    <col min="2843" max="2843" width="11.5" style="326" customWidth="1"/>
    <col min="2844" max="2844" width="10" style="326" customWidth="1"/>
    <col min="2845" max="2845" width="10.75" style="326" customWidth="1"/>
    <col min="2846" max="2846" width="13.5" style="326" customWidth="1"/>
    <col min="2847" max="2847" width="9" style="326"/>
    <col min="2848" max="2848" width="10.75" style="326" bestFit="1" customWidth="1"/>
    <col min="2849" max="2849" width="13.75" style="326" customWidth="1"/>
    <col min="2850" max="2850" width="9" style="326"/>
    <col min="2851" max="2851" width="10.625" style="326" customWidth="1"/>
    <col min="2852" max="2852" width="9" style="326"/>
    <col min="2853" max="2853" width="14.25" style="326" customWidth="1"/>
    <col min="2854" max="2854" width="10.75" style="326" bestFit="1" customWidth="1"/>
    <col min="2855" max="2855" width="11.625" style="326" customWidth="1"/>
    <col min="2856" max="2856" width="13.75" style="326" customWidth="1"/>
    <col min="2857" max="2857" width="10.625" style="326" customWidth="1"/>
    <col min="2858" max="2859" width="9" style="326"/>
    <col min="2860" max="2860" width="14.125" style="326" customWidth="1"/>
    <col min="2861" max="2861" width="11" style="326" customWidth="1"/>
    <col min="2862" max="2862" width="10.75" style="326" bestFit="1" customWidth="1"/>
    <col min="2863" max="2863" width="13.5" style="326" customWidth="1"/>
    <col min="2864" max="2865" width="9" style="326"/>
    <col min="2866" max="2866" width="10.75" style="326" bestFit="1" customWidth="1"/>
    <col min="2867" max="2867" width="14" style="326" customWidth="1"/>
    <col min="2868" max="2868" width="9" style="326"/>
    <col min="2869" max="2869" width="10.75" style="326" customWidth="1"/>
    <col min="2870" max="2870" width="12.75" style="326" customWidth="1"/>
    <col min="2871" max="2871" width="9" style="326"/>
    <col min="2872" max="2872" width="10.75" style="326" bestFit="1" customWidth="1"/>
    <col min="2873" max="2873" width="11.5" style="326" customWidth="1"/>
    <col min="2874" max="2874" width="13.625" style="326" customWidth="1"/>
    <col min="2875" max="2875" width="10.625" style="326" customWidth="1"/>
    <col min="2876" max="2876" width="10.75" style="326" bestFit="1" customWidth="1"/>
    <col min="2877" max="2877" width="12.375" style="326" customWidth="1"/>
    <col min="2878" max="2880" width="9" style="326"/>
    <col min="2881" max="2881" width="15.75" style="326" customWidth="1"/>
    <col min="2882" max="2882" width="9" style="326"/>
    <col min="2883" max="2883" width="10.75" style="326" bestFit="1" customWidth="1"/>
    <col min="2884" max="2884" width="12.625" style="326" customWidth="1"/>
    <col min="2885" max="2887" width="9" style="326"/>
    <col min="2888" max="2888" width="13.625" style="326" customWidth="1"/>
    <col min="2889" max="2889" width="9" style="326"/>
    <col min="2890" max="2890" width="10.75" style="326" bestFit="1" customWidth="1"/>
    <col min="2891" max="2891" width="12.5" style="326" customWidth="1"/>
    <col min="2892" max="2894" width="9" style="326"/>
    <col min="2895" max="2895" width="12.875" style="326" customWidth="1"/>
    <col min="2896" max="2896" width="9" style="326"/>
    <col min="2897" max="2897" width="10.75" style="326" bestFit="1" customWidth="1"/>
    <col min="2898" max="2898" width="13.875" style="326" customWidth="1"/>
    <col min="2899" max="2901" width="9" style="326"/>
    <col min="2902" max="2902" width="14.125" style="326" customWidth="1"/>
    <col min="2903" max="2903" width="9" style="326"/>
    <col min="2904" max="2904" width="10.75" style="326" bestFit="1" customWidth="1"/>
    <col min="2905" max="2905" width="13.25" style="326" customWidth="1"/>
    <col min="2906" max="2908" width="9" style="326"/>
    <col min="2909" max="2909" width="13.25" style="326" customWidth="1"/>
    <col min="2910" max="2910" width="9" style="326"/>
    <col min="2911" max="2911" width="10.75" style="326" bestFit="1" customWidth="1"/>
    <col min="2912" max="2912" width="13.875" style="326" customWidth="1"/>
    <col min="2913" max="2915" width="9" style="326"/>
    <col min="2916" max="2916" width="13.625" style="326" customWidth="1"/>
    <col min="2917" max="2917" width="9" style="326"/>
    <col min="2918" max="2918" width="10.75" style="326" bestFit="1" customWidth="1"/>
    <col min="2919" max="2919" width="13" style="326" customWidth="1"/>
    <col min="2920" max="3066" width="9" style="326"/>
    <col min="3067" max="3068" width="12.125" style="326" customWidth="1"/>
    <col min="3069" max="3071" width="13" style="326" customWidth="1"/>
    <col min="3072" max="3072" width="12.875" style="326" customWidth="1"/>
    <col min="3073" max="3073" width="13" style="326" customWidth="1"/>
    <col min="3074" max="3074" width="13.125" style="326" customWidth="1"/>
    <col min="3075" max="3076" width="12.125" style="326" customWidth="1"/>
    <col min="3077" max="3077" width="14.375" style="326" bestFit="1" customWidth="1"/>
    <col min="3078" max="3078" width="11" style="326" customWidth="1"/>
    <col min="3079" max="3079" width="10" style="326" customWidth="1"/>
    <col min="3080" max="3080" width="10.875" style="326" customWidth="1"/>
    <col min="3081" max="3081" width="13.75" style="326" customWidth="1"/>
    <col min="3082" max="3082" width="10" style="326" customWidth="1"/>
    <col min="3083" max="3083" width="13.25" style="326" customWidth="1"/>
    <col min="3084" max="3084" width="14.375" style="326" customWidth="1"/>
    <col min="3085" max="3085" width="10" style="326" customWidth="1"/>
    <col min="3086" max="3086" width="10.875" style="326" customWidth="1"/>
    <col min="3087" max="3087" width="11.375" style="326" customWidth="1"/>
    <col min="3088" max="3088" width="15.375" style="326" customWidth="1"/>
    <col min="3089" max="3090" width="10.75" style="326" customWidth="1"/>
    <col min="3091" max="3091" width="14.375" style="326" customWidth="1"/>
    <col min="3092" max="3092" width="10.75" style="326" customWidth="1"/>
    <col min="3093" max="3093" width="11.75" style="326" customWidth="1"/>
    <col min="3094" max="3094" width="10" style="326" customWidth="1"/>
    <col min="3095" max="3095" width="15.375" style="326" customWidth="1"/>
    <col min="3096" max="3096" width="10" style="326" customWidth="1"/>
    <col min="3097" max="3097" width="10.75" style="326" customWidth="1"/>
    <col min="3098" max="3098" width="14.875" style="326" customWidth="1"/>
    <col min="3099" max="3099" width="11.5" style="326" customWidth="1"/>
    <col min="3100" max="3100" width="10" style="326" customWidth="1"/>
    <col min="3101" max="3101" width="10.75" style="326" customWidth="1"/>
    <col min="3102" max="3102" width="13.5" style="326" customWidth="1"/>
    <col min="3103" max="3103" width="9" style="326"/>
    <col min="3104" max="3104" width="10.75" style="326" bestFit="1" customWidth="1"/>
    <col min="3105" max="3105" width="13.75" style="326" customWidth="1"/>
    <col min="3106" max="3106" width="9" style="326"/>
    <col min="3107" max="3107" width="10.625" style="326" customWidth="1"/>
    <col min="3108" max="3108" width="9" style="326"/>
    <col min="3109" max="3109" width="14.25" style="326" customWidth="1"/>
    <col min="3110" max="3110" width="10.75" style="326" bestFit="1" customWidth="1"/>
    <col min="3111" max="3111" width="11.625" style="326" customWidth="1"/>
    <col min="3112" max="3112" width="13.75" style="326" customWidth="1"/>
    <col min="3113" max="3113" width="10.625" style="326" customWidth="1"/>
    <col min="3114" max="3115" width="9" style="326"/>
    <col min="3116" max="3116" width="14.125" style="326" customWidth="1"/>
    <col min="3117" max="3117" width="11" style="326" customWidth="1"/>
    <col min="3118" max="3118" width="10.75" style="326" bestFit="1" customWidth="1"/>
    <col min="3119" max="3119" width="13.5" style="326" customWidth="1"/>
    <col min="3120" max="3121" width="9" style="326"/>
    <col min="3122" max="3122" width="10.75" style="326" bestFit="1" customWidth="1"/>
    <col min="3123" max="3123" width="14" style="326" customWidth="1"/>
    <col min="3124" max="3124" width="9" style="326"/>
    <col min="3125" max="3125" width="10.75" style="326" customWidth="1"/>
    <col min="3126" max="3126" width="12.75" style="326" customWidth="1"/>
    <col min="3127" max="3127" width="9" style="326"/>
    <col min="3128" max="3128" width="10.75" style="326" bestFit="1" customWidth="1"/>
    <col min="3129" max="3129" width="11.5" style="326" customWidth="1"/>
    <col min="3130" max="3130" width="13.625" style="326" customWidth="1"/>
    <col min="3131" max="3131" width="10.625" style="326" customWidth="1"/>
    <col min="3132" max="3132" width="10.75" style="326" bestFit="1" customWidth="1"/>
    <col min="3133" max="3133" width="12.375" style="326" customWidth="1"/>
    <col min="3134" max="3136" width="9" style="326"/>
    <col min="3137" max="3137" width="15.75" style="326" customWidth="1"/>
    <col min="3138" max="3138" width="9" style="326"/>
    <col min="3139" max="3139" width="10.75" style="326" bestFit="1" customWidth="1"/>
    <col min="3140" max="3140" width="12.625" style="326" customWidth="1"/>
    <col min="3141" max="3143" width="9" style="326"/>
    <col min="3144" max="3144" width="13.625" style="326" customWidth="1"/>
    <col min="3145" max="3145" width="9" style="326"/>
    <col min="3146" max="3146" width="10.75" style="326" bestFit="1" customWidth="1"/>
    <col min="3147" max="3147" width="12.5" style="326" customWidth="1"/>
    <col min="3148" max="3150" width="9" style="326"/>
    <col min="3151" max="3151" width="12.875" style="326" customWidth="1"/>
    <col min="3152" max="3152" width="9" style="326"/>
    <col min="3153" max="3153" width="10.75" style="326" bestFit="1" customWidth="1"/>
    <col min="3154" max="3154" width="13.875" style="326" customWidth="1"/>
    <col min="3155" max="3157" width="9" style="326"/>
    <col min="3158" max="3158" width="14.125" style="326" customWidth="1"/>
    <col min="3159" max="3159" width="9" style="326"/>
    <col min="3160" max="3160" width="10.75" style="326" bestFit="1" customWidth="1"/>
    <col min="3161" max="3161" width="13.25" style="326" customWidth="1"/>
    <col min="3162" max="3164" width="9" style="326"/>
    <col min="3165" max="3165" width="13.25" style="326" customWidth="1"/>
    <col min="3166" max="3166" width="9" style="326"/>
    <col min="3167" max="3167" width="10.75" style="326" bestFit="1" customWidth="1"/>
    <col min="3168" max="3168" width="13.875" style="326" customWidth="1"/>
    <col min="3169" max="3171" width="9" style="326"/>
    <col min="3172" max="3172" width="13.625" style="326" customWidth="1"/>
    <col min="3173" max="3173" width="9" style="326"/>
    <col min="3174" max="3174" width="10.75" style="326" bestFit="1" customWidth="1"/>
    <col min="3175" max="3175" width="13" style="326" customWidth="1"/>
    <col min="3176" max="3322" width="9" style="326"/>
    <col min="3323" max="3324" width="12.125" style="326" customWidth="1"/>
    <col min="3325" max="3327" width="13" style="326" customWidth="1"/>
    <col min="3328" max="3328" width="12.875" style="326" customWidth="1"/>
    <col min="3329" max="3329" width="13" style="326" customWidth="1"/>
    <col min="3330" max="3330" width="13.125" style="326" customWidth="1"/>
    <col min="3331" max="3332" width="12.125" style="326" customWidth="1"/>
    <col min="3333" max="3333" width="14.375" style="326" bestFit="1" customWidth="1"/>
    <col min="3334" max="3334" width="11" style="326" customWidth="1"/>
    <col min="3335" max="3335" width="10" style="326" customWidth="1"/>
    <col min="3336" max="3336" width="10.875" style="326" customWidth="1"/>
    <col min="3337" max="3337" width="13.75" style="326" customWidth="1"/>
    <col min="3338" max="3338" width="10" style="326" customWidth="1"/>
    <col min="3339" max="3339" width="13.25" style="326" customWidth="1"/>
    <col min="3340" max="3340" width="14.375" style="326" customWidth="1"/>
    <col min="3341" max="3341" width="10" style="326" customWidth="1"/>
    <col min="3342" max="3342" width="10.875" style="326" customWidth="1"/>
    <col min="3343" max="3343" width="11.375" style="326" customWidth="1"/>
    <col min="3344" max="3344" width="15.375" style="326" customWidth="1"/>
    <col min="3345" max="3346" width="10.75" style="326" customWidth="1"/>
    <col min="3347" max="3347" width="14.375" style="326" customWidth="1"/>
    <col min="3348" max="3348" width="10.75" style="326" customWidth="1"/>
    <col min="3349" max="3349" width="11.75" style="326" customWidth="1"/>
    <col min="3350" max="3350" width="10" style="326" customWidth="1"/>
    <col min="3351" max="3351" width="15.375" style="326" customWidth="1"/>
    <col min="3352" max="3352" width="10" style="326" customWidth="1"/>
    <col min="3353" max="3353" width="10.75" style="326" customWidth="1"/>
    <col min="3354" max="3354" width="14.875" style="326" customWidth="1"/>
    <col min="3355" max="3355" width="11.5" style="326" customWidth="1"/>
    <col min="3356" max="3356" width="10" style="326" customWidth="1"/>
    <col min="3357" max="3357" width="10.75" style="326" customWidth="1"/>
    <col min="3358" max="3358" width="13.5" style="326" customWidth="1"/>
    <col min="3359" max="3359" width="9" style="326"/>
    <col min="3360" max="3360" width="10.75" style="326" bestFit="1" customWidth="1"/>
    <col min="3361" max="3361" width="13.75" style="326" customWidth="1"/>
    <col min="3362" max="3362" width="9" style="326"/>
    <col min="3363" max="3363" width="10.625" style="326" customWidth="1"/>
    <col min="3364" max="3364" width="9" style="326"/>
    <col min="3365" max="3365" width="14.25" style="326" customWidth="1"/>
    <col min="3366" max="3366" width="10.75" style="326" bestFit="1" customWidth="1"/>
    <col min="3367" max="3367" width="11.625" style="326" customWidth="1"/>
    <col min="3368" max="3368" width="13.75" style="326" customWidth="1"/>
    <col min="3369" max="3369" width="10.625" style="326" customWidth="1"/>
    <col min="3370" max="3371" width="9" style="326"/>
    <col min="3372" max="3372" width="14.125" style="326" customWidth="1"/>
    <col min="3373" max="3373" width="11" style="326" customWidth="1"/>
    <col min="3374" max="3374" width="10.75" style="326" bestFit="1" customWidth="1"/>
    <col min="3375" max="3375" width="13.5" style="326" customWidth="1"/>
    <col min="3376" max="3377" width="9" style="326"/>
    <col min="3378" max="3378" width="10.75" style="326" bestFit="1" customWidth="1"/>
    <col min="3379" max="3379" width="14" style="326" customWidth="1"/>
    <col min="3380" max="3380" width="9" style="326"/>
    <col min="3381" max="3381" width="10.75" style="326" customWidth="1"/>
    <col min="3382" max="3382" width="12.75" style="326" customWidth="1"/>
    <col min="3383" max="3383" width="9" style="326"/>
    <col min="3384" max="3384" width="10.75" style="326" bestFit="1" customWidth="1"/>
    <col min="3385" max="3385" width="11.5" style="326" customWidth="1"/>
    <col min="3386" max="3386" width="13.625" style="326" customWidth="1"/>
    <col min="3387" max="3387" width="10.625" style="326" customWidth="1"/>
    <col min="3388" max="3388" width="10.75" style="326" bestFit="1" customWidth="1"/>
    <col min="3389" max="3389" width="12.375" style="326" customWidth="1"/>
    <col min="3390" max="3392" width="9" style="326"/>
    <col min="3393" max="3393" width="15.75" style="326" customWidth="1"/>
    <col min="3394" max="3394" width="9" style="326"/>
    <col min="3395" max="3395" width="10.75" style="326" bestFit="1" customWidth="1"/>
    <col min="3396" max="3396" width="12.625" style="326" customWidth="1"/>
    <col min="3397" max="3399" width="9" style="326"/>
    <col min="3400" max="3400" width="13.625" style="326" customWidth="1"/>
    <col min="3401" max="3401" width="9" style="326"/>
    <col min="3402" max="3402" width="10.75" style="326" bestFit="1" customWidth="1"/>
    <col min="3403" max="3403" width="12.5" style="326" customWidth="1"/>
    <col min="3404" max="3406" width="9" style="326"/>
    <col min="3407" max="3407" width="12.875" style="326" customWidth="1"/>
    <col min="3408" max="3408" width="9" style="326"/>
    <col min="3409" max="3409" width="10.75" style="326" bestFit="1" customWidth="1"/>
    <col min="3410" max="3410" width="13.875" style="326" customWidth="1"/>
    <col min="3411" max="3413" width="9" style="326"/>
    <col min="3414" max="3414" width="14.125" style="326" customWidth="1"/>
    <col min="3415" max="3415" width="9" style="326"/>
    <col min="3416" max="3416" width="10.75" style="326" bestFit="1" customWidth="1"/>
    <col min="3417" max="3417" width="13.25" style="326" customWidth="1"/>
    <col min="3418" max="3420" width="9" style="326"/>
    <col min="3421" max="3421" width="13.25" style="326" customWidth="1"/>
    <col min="3422" max="3422" width="9" style="326"/>
    <col min="3423" max="3423" width="10.75" style="326" bestFit="1" customWidth="1"/>
    <col min="3424" max="3424" width="13.875" style="326" customWidth="1"/>
    <col min="3425" max="3427" width="9" style="326"/>
    <col min="3428" max="3428" width="13.625" style="326" customWidth="1"/>
    <col min="3429" max="3429" width="9" style="326"/>
    <col min="3430" max="3430" width="10.75" style="326" bestFit="1" customWidth="1"/>
    <col min="3431" max="3431" width="13" style="326" customWidth="1"/>
    <col min="3432" max="3578" width="9" style="326"/>
    <col min="3579" max="3580" width="12.125" style="326" customWidth="1"/>
    <col min="3581" max="3583" width="13" style="326" customWidth="1"/>
    <col min="3584" max="3584" width="12.875" style="326" customWidth="1"/>
    <col min="3585" max="3585" width="13" style="326" customWidth="1"/>
    <col min="3586" max="3586" width="13.125" style="326" customWidth="1"/>
    <col min="3587" max="3588" width="12.125" style="326" customWidth="1"/>
    <col min="3589" max="3589" width="14.375" style="326" bestFit="1" customWidth="1"/>
    <col min="3590" max="3590" width="11" style="326" customWidth="1"/>
    <col min="3591" max="3591" width="10" style="326" customWidth="1"/>
    <col min="3592" max="3592" width="10.875" style="326" customWidth="1"/>
    <col min="3593" max="3593" width="13.75" style="326" customWidth="1"/>
    <col min="3594" max="3594" width="10" style="326" customWidth="1"/>
    <col min="3595" max="3595" width="13.25" style="326" customWidth="1"/>
    <col min="3596" max="3596" width="14.375" style="326" customWidth="1"/>
    <col min="3597" max="3597" width="10" style="326" customWidth="1"/>
    <col min="3598" max="3598" width="10.875" style="326" customWidth="1"/>
    <col min="3599" max="3599" width="11.375" style="326" customWidth="1"/>
    <col min="3600" max="3600" width="15.375" style="326" customWidth="1"/>
    <col min="3601" max="3602" width="10.75" style="326" customWidth="1"/>
    <col min="3603" max="3603" width="14.375" style="326" customWidth="1"/>
    <col min="3604" max="3604" width="10.75" style="326" customWidth="1"/>
    <col min="3605" max="3605" width="11.75" style="326" customWidth="1"/>
    <col min="3606" max="3606" width="10" style="326" customWidth="1"/>
    <col min="3607" max="3607" width="15.375" style="326" customWidth="1"/>
    <col min="3608" max="3608" width="10" style="326" customWidth="1"/>
    <col min="3609" max="3609" width="10.75" style="326" customWidth="1"/>
    <col min="3610" max="3610" width="14.875" style="326" customWidth="1"/>
    <col min="3611" max="3611" width="11.5" style="326" customWidth="1"/>
    <col min="3612" max="3612" width="10" style="326" customWidth="1"/>
    <col min="3613" max="3613" width="10.75" style="326" customWidth="1"/>
    <col min="3614" max="3614" width="13.5" style="326" customWidth="1"/>
    <col min="3615" max="3615" width="9" style="326"/>
    <col min="3616" max="3616" width="10.75" style="326" bestFit="1" customWidth="1"/>
    <col min="3617" max="3617" width="13.75" style="326" customWidth="1"/>
    <col min="3618" max="3618" width="9" style="326"/>
    <col min="3619" max="3619" width="10.625" style="326" customWidth="1"/>
    <col min="3620" max="3620" width="9" style="326"/>
    <col min="3621" max="3621" width="14.25" style="326" customWidth="1"/>
    <col min="3622" max="3622" width="10.75" style="326" bestFit="1" customWidth="1"/>
    <col min="3623" max="3623" width="11.625" style="326" customWidth="1"/>
    <col min="3624" max="3624" width="13.75" style="326" customWidth="1"/>
    <col min="3625" max="3625" width="10.625" style="326" customWidth="1"/>
    <col min="3626" max="3627" width="9" style="326"/>
    <col min="3628" max="3628" width="14.125" style="326" customWidth="1"/>
    <col min="3629" max="3629" width="11" style="326" customWidth="1"/>
    <col min="3630" max="3630" width="10.75" style="326" bestFit="1" customWidth="1"/>
    <col min="3631" max="3631" width="13.5" style="326" customWidth="1"/>
    <col min="3632" max="3633" width="9" style="326"/>
    <col min="3634" max="3634" width="10.75" style="326" bestFit="1" customWidth="1"/>
    <col min="3635" max="3635" width="14" style="326" customWidth="1"/>
    <col min="3636" max="3636" width="9" style="326"/>
    <col min="3637" max="3637" width="10.75" style="326" customWidth="1"/>
    <col min="3638" max="3638" width="12.75" style="326" customWidth="1"/>
    <col min="3639" max="3639" width="9" style="326"/>
    <col min="3640" max="3640" width="10.75" style="326" bestFit="1" customWidth="1"/>
    <col min="3641" max="3641" width="11.5" style="326" customWidth="1"/>
    <col min="3642" max="3642" width="13.625" style="326" customWidth="1"/>
    <col min="3643" max="3643" width="10.625" style="326" customWidth="1"/>
    <col min="3644" max="3644" width="10.75" style="326" bestFit="1" customWidth="1"/>
    <col min="3645" max="3645" width="12.375" style="326" customWidth="1"/>
    <col min="3646" max="3648" width="9" style="326"/>
    <col min="3649" max="3649" width="15.75" style="326" customWidth="1"/>
    <col min="3650" max="3650" width="9" style="326"/>
    <col min="3651" max="3651" width="10.75" style="326" bestFit="1" customWidth="1"/>
    <col min="3652" max="3652" width="12.625" style="326" customWidth="1"/>
    <col min="3653" max="3655" width="9" style="326"/>
    <col min="3656" max="3656" width="13.625" style="326" customWidth="1"/>
    <col min="3657" max="3657" width="9" style="326"/>
    <col min="3658" max="3658" width="10.75" style="326" bestFit="1" customWidth="1"/>
    <col min="3659" max="3659" width="12.5" style="326" customWidth="1"/>
    <col min="3660" max="3662" width="9" style="326"/>
    <col min="3663" max="3663" width="12.875" style="326" customWidth="1"/>
    <col min="3664" max="3664" width="9" style="326"/>
    <col min="3665" max="3665" width="10.75" style="326" bestFit="1" customWidth="1"/>
    <col min="3666" max="3666" width="13.875" style="326" customWidth="1"/>
    <col min="3667" max="3669" width="9" style="326"/>
    <col min="3670" max="3670" width="14.125" style="326" customWidth="1"/>
    <col min="3671" max="3671" width="9" style="326"/>
    <col min="3672" max="3672" width="10.75" style="326" bestFit="1" customWidth="1"/>
    <col min="3673" max="3673" width="13.25" style="326" customWidth="1"/>
    <col min="3674" max="3676" width="9" style="326"/>
    <col min="3677" max="3677" width="13.25" style="326" customWidth="1"/>
    <col min="3678" max="3678" width="9" style="326"/>
    <col min="3679" max="3679" width="10.75" style="326" bestFit="1" customWidth="1"/>
    <col min="3680" max="3680" width="13.875" style="326" customWidth="1"/>
    <col min="3681" max="3683" width="9" style="326"/>
    <col min="3684" max="3684" width="13.625" style="326" customWidth="1"/>
    <col min="3685" max="3685" width="9" style="326"/>
    <col min="3686" max="3686" width="10.75" style="326" bestFit="1" customWidth="1"/>
    <col min="3687" max="3687" width="13" style="326" customWidth="1"/>
    <col min="3688" max="3834" width="9" style="326"/>
    <col min="3835" max="3836" width="12.125" style="326" customWidth="1"/>
    <col min="3837" max="3839" width="13" style="326" customWidth="1"/>
    <col min="3840" max="3840" width="12.875" style="326" customWidth="1"/>
    <col min="3841" max="3841" width="13" style="326" customWidth="1"/>
    <col min="3842" max="3842" width="13.125" style="326" customWidth="1"/>
    <col min="3843" max="3844" width="12.125" style="326" customWidth="1"/>
    <col min="3845" max="3845" width="14.375" style="326" bestFit="1" customWidth="1"/>
    <col min="3846" max="3846" width="11" style="326" customWidth="1"/>
    <col min="3847" max="3847" width="10" style="326" customWidth="1"/>
    <col min="3848" max="3848" width="10.875" style="326" customWidth="1"/>
    <col min="3849" max="3849" width="13.75" style="326" customWidth="1"/>
    <col min="3850" max="3850" width="10" style="326" customWidth="1"/>
    <col min="3851" max="3851" width="13.25" style="326" customWidth="1"/>
    <col min="3852" max="3852" width="14.375" style="326" customWidth="1"/>
    <col min="3853" max="3853" width="10" style="326" customWidth="1"/>
    <col min="3854" max="3854" width="10.875" style="326" customWidth="1"/>
    <col min="3855" max="3855" width="11.375" style="326" customWidth="1"/>
    <col min="3856" max="3856" width="15.375" style="326" customWidth="1"/>
    <col min="3857" max="3858" width="10.75" style="326" customWidth="1"/>
    <col min="3859" max="3859" width="14.375" style="326" customWidth="1"/>
    <col min="3860" max="3860" width="10.75" style="326" customWidth="1"/>
    <col min="3861" max="3861" width="11.75" style="326" customWidth="1"/>
    <col min="3862" max="3862" width="10" style="326" customWidth="1"/>
    <col min="3863" max="3863" width="15.375" style="326" customWidth="1"/>
    <col min="3864" max="3864" width="10" style="326" customWidth="1"/>
    <col min="3865" max="3865" width="10.75" style="326" customWidth="1"/>
    <col min="3866" max="3866" width="14.875" style="326" customWidth="1"/>
    <col min="3867" max="3867" width="11.5" style="326" customWidth="1"/>
    <col min="3868" max="3868" width="10" style="326" customWidth="1"/>
    <col min="3869" max="3869" width="10.75" style="326" customWidth="1"/>
    <col min="3870" max="3870" width="13.5" style="326" customWidth="1"/>
    <col min="3871" max="3871" width="9" style="326"/>
    <col min="3872" max="3872" width="10.75" style="326" bestFit="1" customWidth="1"/>
    <col min="3873" max="3873" width="13.75" style="326" customWidth="1"/>
    <col min="3874" max="3874" width="9" style="326"/>
    <col min="3875" max="3875" width="10.625" style="326" customWidth="1"/>
    <col min="3876" max="3876" width="9" style="326"/>
    <col min="3877" max="3877" width="14.25" style="326" customWidth="1"/>
    <col min="3878" max="3878" width="10.75" style="326" bestFit="1" customWidth="1"/>
    <col min="3879" max="3879" width="11.625" style="326" customWidth="1"/>
    <col min="3880" max="3880" width="13.75" style="326" customWidth="1"/>
    <col min="3881" max="3881" width="10.625" style="326" customWidth="1"/>
    <col min="3882" max="3883" width="9" style="326"/>
    <col min="3884" max="3884" width="14.125" style="326" customWidth="1"/>
    <col min="3885" max="3885" width="11" style="326" customWidth="1"/>
    <col min="3886" max="3886" width="10.75" style="326" bestFit="1" customWidth="1"/>
    <col min="3887" max="3887" width="13.5" style="326" customWidth="1"/>
    <col min="3888" max="3889" width="9" style="326"/>
    <col min="3890" max="3890" width="10.75" style="326" bestFit="1" customWidth="1"/>
    <col min="3891" max="3891" width="14" style="326" customWidth="1"/>
    <col min="3892" max="3892" width="9" style="326"/>
    <col min="3893" max="3893" width="10.75" style="326" customWidth="1"/>
    <col min="3894" max="3894" width="12.75" style="326" customWidth="1"/>
    <col min="3895" max="3895" width="9" style="326"/>
    <col min="3896" max="3896" width="10.75" style="326" bestFit="1" customWidth="1"/>
    <col min="3897" max="3897" width="11.5" style="326" customWidth="1"/>
    <col min="3898" max="3898" width="13.625" style="326" customWidth="1"/>
    <col min="3899" max="3899" width="10.625" style="326" customWidth="1"/>
    <col min="3900" max="3900" width="10.75" style="326" bestFit="1" customWidth="1"/>
    <col min="3901" max="3901" width="12.375" style="326" customWidth="1"/>
    <col min="3902" max="3904" width="9" style="326"/>
    <col min="3905" max="3905" width="15.75" style="326" customWidth="1"/>
    <col min="3906" max="3906" width="9" style="326"/>
    <col min="3907" max="3907" width="10.75" style="326" bestFit="1" customWidth="1"/>
    <col min="3908" max="3908" width="12.625" style="326" customWidth="1"/>
    <col min="3909" max="3911" width="9" style="326"/>
    <col min="3912" max="3912" width="13.625" style="326" customWidth="1"/>
    <col min="3913" max="3913" width="9" style="326"/>
    <col min="3914" max="3914" width="10.75" style="326" bestFit="1" customWidth="1"/>
    <col min="3915" max="3915" width="12.5" style="326" customWidth="1"/>
    <col min="3916" max="3918" width="9" style="326"/>
    <col min="3919" max="3919" width="12.875" style="326" customWidth="1"/>
    <col min="3920" max="3920" width="9" style="326"/>
    <col min="3921" max="3921" width="10.75" style="326" bestFit="1" customWidth="1"/>
    <col min="3922" max="3922" width="13.875" style="326" customWidth="1"/>
    <col min="3923" max="3925" width="9" style="326"/>
    <col min="3926" max="3926" width="14.125" style="326" customWidth="1"/>
    <col min="3927" max="3927" width="9" style="326"/>
    <col min="3928" max="3928" width="10.75" style="326" bestFit="1" customWidth="1"/>
    <col min="3929" max="3929" width="13.25" style="326" customWidth="1"/>
    <col min="3930" max="3932" width="9" style="326"/>
    <col min="3933" max="3933" width="13.25" style="326" customWidth="1"/>
    <col min="3934" max="3934" width="9" style="326"/>
    <col min="3935" max="3935" width="10.75" style="326" bestFit="1" customWidth="1"/>
    <col min="3936" max="3936" width="13.875" style="326" customWidth="1"/>
    <col min="3937" max="3939" width="9" style="326"/>
    <col min="3940" max="3940" width="13.625" style="326" customWidth="1"/>
    <col min="3941" max="3941" width="9" style="326"/>
    <col min="3942" max="3942" width="10.75" style="326" bestFit="1" customWidth="1"/>
    <col min="3943" max="3943" width="13" style="326" customWidth="1"/>
    <col min="3944" max="4090" width="9" style="326"/>
    <col min="4091" max="4092" width="12.125" style="326" customWidth="1"/>
    <col min="4093" max="4095" width="13" style="326" customWidth="1"/>
    <col min="4096" max="4096" width="12.875" style="326" customWidth="1"/>
    <col min="4097" max="4097" width="13" style="326" customWidth="1"/>
    <col min="4098" max="4098" width="13.125" style="326" customWidth="1"/>
    <col min="4099" max="4100" width="12.125" style="326" customWidth="1"/>
    <col min="4101" max="4101" width="14.375" style="326" bestFit="1" customWidth="1"/>
    <col min="4102" max="4102" width="11" style="326" customWidth="1"/>
    <col min="4103" max="4103" width="10" style="326" customWidth="1"/>
    <col min="4104" max="4104" width="10.875" style="326" customWidth="1"/>
    <col min="4105" max="4105" width="13.75" style="326" customWidth="1"/>
    <col min="4106" max="4106" width="10" style="326" customWidth="1"/>
    <col min="4107" max="4107" width="13.25" style="326" customWidth="1"/>
    <col min="4108" max="4108" width="14.375" style="326" customWidth="1"/>
    <col min="4109" max="4109" width="10" style="326" customWidth="1"/>
    <col min="4110" max="4110" width="10.875" style="326" customWidth="1"/>
    <col min="4111" max="4111" width="11.375" style="326" customWidth="1"/>
    <col min="4112" max="4112" width="15.375" style="326" customWidth="1"/>
    <col min="4113" max="4114" width="10.75" style="326" customWidth="1"/>
    <col min="4115" max="4115" width="14.375" style="326" customWidth="1"/>
    <col min="4116" max="4116" width="10.75" style="326" customWidth="1"/>
    <col min="4117" max="4117" width="11.75" style="326" customWidth="1"/>
    <col min="4118" max="4118" width="10" style="326" customWidth="1"/>
    <col min="4119" max="4119" width="15.375" style="326" customWidth="1"/>
    <col min="4120" max="4120" width="10" style="326" customWidth="1"/>
    <col min="4121" max="4121" width="10.75" style="326" customWidth="1"/>
    <col min="4122" max="4122" width="14.875" style="326" customWidth="1"/>
    <col min="4123" max="4123" width="11.5" style="326" customWidth="1"/>
    <col min="4124" max="4124" width="10" style="326" customWidth="1"/>
    <col min="4125" max="4125" width="10.75" style="326" customWidth="1"/>
    <col min="4126" max="4126" width="13.5" style="326" customWidth="1"/>
    <col min="4127" max="4127" width="9" style="326"/>
    <col min="4128" max="4128" width="10.75" style="326" bestFit="1" customWidth="1"/>
    <col min="4129" max="4129" width="13.75" style="326" customWidth="1"/>
    <col min="4130" max="4130" width="9" style="326"/>
    <col min="4131" max="4131" width="10.625" style="326" customWidth="1"/>
    <col min="4132" max="4132" width="9" style="326"/>
    <col min="4133" max="4133" width="14.25" style="326" customWidth="1"/>
    <col min="4134" max="4134" width="10.75" style="326" bestFit="1" customWidth="1"/>
    <col min="4135" max="4135" width="11.625" style="326" customWidth="1"/>
    <col min="4136" max="4136" width="13.75" style="326" customWidth="1"/>
    <col min="4137" max="4137" width="10.625" style="326" customWidth="1"/>
    <col min="4138" max="4139" width="9" style="326"/>
    <col min="4140" max="4140" width="14.125" style="326" customWidth="1"/>
    <col min="4141" max="4141" width="11" style="326" customWidth="1"/>
    <col min="4142" max="4142" width="10.75" style="326" bestFit="1" customWidth="1"/>
    <col min="4143" max="4143" width="13.5" style="326" customWidth="1"/>
    <col min="4144" max="4145" width="9" style="326"/>
    <col min="4146" max="4146" width="10.75" style="326" bestFit="1" customWidth="1"/>
    <col min="4147" max="4147" width="14" style="326" customWidth="1"/>
    <col min="4148" max="4148" width="9" style="326"/>
    <col min="4149" max="4149" width="10.75" style="326" customWidth="1"/>
    <col min="4150" max="4150" width="12.75" style="326" customWidth="1"/>
    <col min="4151" max="4151" width="9" style="326"/>
    <col min="4152" max="4152" width="10.75" style="326" bestFit="1" customWidth="1"/>
    <col min="4153" max="4153" width="11.5" style="326" customWidth="1"/>
    <col min="4154" max="4154" width="13.625" style="326" customWidth="1"/>
    <col min="4155" max="4155" width="10.625" style="326" customWidth="1"/>
    <col min="4156" max="4156" width="10.75" style="326" bestFit="1" customWidth="1"/>
    <col min="4157" max="4157" width="12.375" style="326" customWidth="1"/>
    <col min="4158" max="4160" width="9" style="326"/>
    <col min="4161" max="4161" width="15.75" style="326" customWidth="1"/>
    <col min="4162" max="4162" width="9" style="326"/>
    <col min="4163" max="4163" width="10.75" style="326" bestFit="1" customWidth="1"/>
    <col min="4164" max="4164" width="12.625" style="326" customWidth="1"/>
    <col min="4165" max="4167" width="9" style="326"/>
    <col min="4168" max="4168" width="13.625" style="326" customWidth="1"/>
    <col min="4169" max="4169" width="9" style="326"/>
    <col min="4170" max="4170" width="10.75" style="326" bestFit="1" customWidth="1"/>
    <col min="4171" max="4171" width="12.5" style="326" customWidth="1"/>
    <col min="4172" max="4174" width="9" style="326"/>
    <col min="4175" max="4175" width="12.875" style="326" customWidth="1"/>
    <col min="4176" max="4176" width="9" style="326"/>
    <col min="4177" max="4177" width="10.75" style="326" bestFit="1" customWidth="1"/>
    <col min="4178" max="4178" width="13.875" style="326" customWidth="1"/>
    <col min="4179" max="4181" width="9" style="326"/>
    <col min="4182" max="4182" width="14.125" style="326" customWidth="1"/>
    <col min="4183" max="4183" width="9" style="326"/>
    <col min="4184" max="4184" width="10.75" style="326" bestFit="1" customWidth="1"/>
    <col min="4185" max="4185" width="13.25" style="326" customWidth="1"/>
    <col min="4186" max="4188" width="9" style="326"/>
    <col min="4189" max="4189" width="13.25" style="326" customWidth="1"/>
    <col min="4190" max="4190" width="9" style="326"/>
    <col min="4191" max="4191" width="10.75" style="326" bestFit="1" customWidth="1"/>
    <col min="4192" max="4192" width="13.875" style="326" customWidth="1"/>
    <col min="4193" max="4195" width="9" style="326"/>
    <col min="4196" max="4196" width="13.625" style="326" customWidth="1"/>
    <col min="4197" max="4197" width="9" style="326"/>
    <col min="4198" max="4198" width="10.75" style="326" bestFit="1" customWidth="1"/>
    <col min="4199" max="4199" width="13" style="326" customWidth="1"/>
    <col min="4200" max="4346" width="9" style="326"/>
    <col min="4347" max="4348" width="12.125" style="326" customWidth="1"/>
    <col min="4349" max="4351" width="13" style="326" customWidth="1"/>
    <col min="4352" max="4352" width="12.875" style="326" customWidth="1"/>
    <col min="4353" max="4353" width="13" style="326" customWidth="1"/>
    <col min="4354" max="4354" width="13.125" style="326" customWidth="1"/>
    <col min="4355" max="4356" width="12.125" style="326" customWidth="1"/>
    <col min="4357" max="4357" width="14.375" style="326" bestFit="1" customWidth="1"/>
    <col min="4358" max="4358" width="11" style="326" customWidth="1"/>
    <col min="4359" max="4359" width="10" style="326" customWidth="1"/>
    <col min="4360" max="4360" width="10.875" style="326" customWidth="1"/>
    <col min="4361" max="4361" width="13.75" style="326" customWidth="1"/>
    <col min="4362" max="4362" width="10" style="326" customWidth="1"/>
    <col min="4363" max="4363" width="13.25" style="326" customWidth="1"/>
    <col min="4364" max="4364" width="14.375" style="326" customWidth="1"/>
    <col min="4365" max="4365" width="10" style="326" customWidth="1"/>
    <col min="4366" max="4366" width="10.875" style="326" customWidth="1"/>
    <col min="4367" max="4367" width="11.375" style="326" customWidth="1"/>
    <col min="4368" max="4368" width="15.375" style="326" customWidth="1"/>
    <col min="4369" max="4370" width="10.75" style="326" customWidth="1"/>
    <col min="4371" max="4371" width="14.375" style="326" customWidth="1"/>
    <col min="4372" max="4372" width="10.75" style="326" customWidth="1"/>
    <col min="4373" max="4373" width="11.75" style="326" customWidth="1"/>
    <col min="4374" max="4374" width="10" style="326" customWidth="1"/>
    <col min="4375" max="4375" width="15.375" style="326" customWidth="1"/>
    <col min="4376" max="4376" width="10" style="326" customWidth="1"/>
    <col min="4377" max="4377" width="10.75" style="326" customWidth="1"/>
    <col min="4378" max="4378" width="14.875" style="326" customWidth="1"/>
    <col min="4379" max="4379" width="11.5" style="326" customWidth="1"/>
    <col min="4380" max="4380" width="10" style="326" customWidth="1"/>
    <col min="4381" max="4381" width="10.75" style="326" customWidth="1"/>
    <col min="4382" max="4382" width="13.5" style="326" customWidth="1"/>
    <col min="4383" max="4383" width="9" style="326"/>
    <col min="4384" max="4384" width="10.75" style="326" bestFit="1" customWidth="1"/>
    <col min="4385" max="4385" width="13.75" style="326" customWidth="1"/>
    <col min="4386" max="4386" width="9" style="326"/>
    <col min="4387" max="4387" width="10.625" style="326" customWidth="1"/>
    <col min="4388" max="4388" width="9" style="326"/>
    <col min="4389" max="4389" width="14.25" style="326" customWidth="1"/>
    <col min="4390" max="4390" width="10.75" style="326" bestFit="1" customWidth="1"/>
    <col min="4391" max="4391" width="11.625" style="326" customWidth="1"/>
    <col min="4392" max="4392" width="13.75" style="326" customWidth="1"/>
    <col min="4393" max="4393" width="10.625" style="326" customWidth="1"/>
    <col min="4394" max="4395" width="9" style="326"/>
    <col min="4396" max="4396" width="14.125" style="326" customWidth="1"/>
    <col min="4397" max="4397" width="11" style="326" customWidth="1"/>
    <col min="4398" max="4398" width="10.75" style="326" bestFit="1" customWidth="1"/>
    <col min="4399" max="4399" width="13.5" style="326" customWidth="1"/>
    <col min="4400" max="4401" width="9" style="326"/>
    <col min="4402" max="4402" width="10.75" style="326" bestFit="1" customWidth="1"/>
    <col min="4403" max="4403" width="14" style="326" customWidth="1"/>
    <col min="4404" max="4404" width="9" style="326"/>
    <col min="4405" max="4405" width="10.75" style="326" customWidth="1"/>
    <col min="4406" max="4406" width="12.75" style="326" customWidth="1"/>
    <col min="4407" max="4407" width="9" style="326"/>
    <col min="4408" max="4408" width="10.75" style="326" bestFit="1" customWidth="1"/>
    <col min="4409" max="4409" width="11.5" style="326" customWidth="1"/>
    <col min="4410" max="4410" width="13.625" style="326" customWidth="1"/>
    <col min="4411" max="4411" width="10.625" style="326" customWidth="1"/>
    <col min="4412" max="4412" width="10.75" style="326" bestFit="1" customWidth="1"/>
    <col min="4413" max="4413" width="12.375" style="326" customWidth="1"/>
    <col min="4414" max="4416" width="9" style="326"/>
    <col min="4417" max="4417" width="15.75" style="326" customWidth="1"/>
    <col min="4418" max="4418" width="9" style="326"/>
    <col min="4419" max="4419" width="10.75" style="326" bestFit="1" customWidth="1"/>
    <col min="4420" max="4420" width="12.625" style="326" customWidth="1"/>
    <col min="4421" max="4423" width="9" style="326"/>
    <col min="4424" max="4424" width="13.625" style="326" customWidth="1"/>
    <col min="4425" max="4425" width="9" style="326"/>
    <col min="4426" max="4426" width="10.75" style="326" bestFit="1" customWidth="1"/>
    <col min="4427" max="4427" width="12.5" style="326" customWidth="1"/>
    <col min="4428" max="4430" width="9" style="326"/>
    <col min="4431" max="4431" width="12.875" style="326" customWidth="1"/>
    <col min="4432" max="4432" width="9" style="326"/>
    <col min="4433" max="4433" width="10.75" style="326" bestFit="1" customWidth="1"/>
    <col min="4434" max="4434" width="13.875" style="326" customWidth="1"/>
    <col min="4435" max="4437" width="9" style="326"/>
    <col min="4438" max="4438" width="14.125" style="326" customWidth="1"/>
    <col min="4439" max="4439" width="9" style="326"/>
    <col min="4440" max="4440" width="10.75" style="326" bestFit="1" customWidth="1"/>
    <col min="4441" max="4441" width="13.25" style="326" customWidth="1"/>
    <col min="4442" max="4444" width="9" style="326"/>
    <col min="4445" max="4445" width="13.25" style="326" customWidth="1"/>
    <col min="4446" max="4446" width="9" style="326"/>
    <col min="4447" max="4447" width="10.75" style="326" bestFit="1" customWidth="1"/>
    <col min="4448" max="4448" width="13.875" style="326" customWidth="1"/>
    <col min="4449" max="4451" width="9" style="326"/>
    <col min="4452" max="4452" width="13.625" style="326" customWidth="1"/>
    <col min="4453" max="4453" width="9" style="326"/>
    <col min="4454" max="4454" width="10.75" style="326" bestFit="1" customWidth="1"/>
    <col min="4455" max="4455" width="13" style="326" customWidth="1"/>
    <col min="4456" max="4602" width="9" style="326"/>
    <col min="4603" max="4604" width="12.125" style="326" customWidth="1"/>
    <col min="4605" max="4607" width="13" style="326" customWidth="1"/>
    <col min="4608" max="4608" width="12.875" style="326" customWidth="1"/>
    <col min="4609" max="4609" width="13" style="326" customWidth="1"/>
    <col min="4610" max="4610" width="13.125" style="326" customWidth="1"/>
    <col min="4611" max="4612" width="12.125" style="326" customWidth="1"/>
    <col min="4613" max="4613" width="14.375" style="326" bestFit="1" customWidth="1"/>
    <col min="4614" max="4614" width="11" style="326" customWidth="1"/>
    <col min="4615" max="4615" width="10" style="326" customWidth="1"/>
    <col min="4616" max="4616" width="10.875" style="326" customWidth="1"/>
    <col min="4617" max="4617" width="13.75" style="326" customWidth="1"/>
    <col min="4618" max="4618" width="10" style="326" customWidth="1"/>
    <col min="4619" max="4619" width="13.25" style="326" customWidth="1"/>
    <col min="4620" max="4620" width="14.375" style="326" customWidth="1"/>
    <col min="4621" max="4621" width="10" style="326" customWidth="1"/>
    <col min="4622" max="4622" width="10.875" style="326" customWidth="1"/>
    <col min="4623" max="4623" width="11.375" style="326" customWidth="1"/>
    <col min="4624" max="4624" width="15.375" style="326" customWidth="1"/>
    <col min="4625" max="4626" width="10.75" style="326" customWidth="1"/>
    <col min="4627" max="4627" width="14.375" style="326" customWidth="1"/>
    <col min="4628" max="4628" width="10.75" style="326" customWidth="1"/>
    <col min="4629" max="4629" width="11.75" style="326" customWidth="1"/>
    <col min="4630" max="4630" width="10" style="326" customWidth="1"/>
    <col min="4631" max="4631" width="15.375" style="326" customWidth="1"/>
    <col min="4632" max="4632" width="10" style="326" customWidth="1"/>
    <col min="4633" max="4633" width="10.75" style="326" customWidth="1"/>
    <col min="4634" max="4634" width="14.875" style="326" customWidth="1"/>
    <col min="4635" max="4635" width="11.5" style="326" customWidth="1"/>
    <col min="4636" max="4636" width="10" style="326" customWidth="1"/>
    <col min="4637" max="4637" width="10.75" style="326" customWidth="1"/>
    <col min="4638" max="4638" width="13.5" style="326" customWidth="1"/>
    <col min="4639" max="4639" width="9" style="326"/>
    <col min="4640" max="4640" width="10.75" style="326" bestFit="1" customWidth="1"/>
    <col min="4641" max="4641" width="13.75" style="326" customWidth="1"/>
    <col min="4642" max="4642" width="9" style="326"/>
    <col min="4643" max="4643" width="10.625" style="326" customWidth="1"/>
    <col min="4644" max="4644" width="9" style="326"/>
    <col min="4645" max="4645" width="14.25" style="326" customWidth="1"/>
    <col min="4646" max="4646" width="10.75" style="326" bestFit="1" customWidth="1"/>
    <col min="4647" max="4647" width="11.625" style="326" customWidth="1"/>
    <col min="4648" max="4648" width="13.75" style="326" customWidth="1"/>
    <col min="4649" max="4649" width="10.625" style="326" customWidth="1"/>
    <col min="4650" max="4651" width="9" style="326"/>
    <col min="4652" max="4652" width="14.125" style="326" customWidth="1"/>
    <col min="4653" max="4653" width="11" style="326" customWidth="1"/>
    <col min="4654" max="4654" width="10.75" style="326" bestFit="1" customWidth="1"/>
    <col min="4655" max="4655" width="13.5" style="326" customWidth="1"/>
    <col min="4656" max="4657" width="9" style="326"/>
    <col min="4658" max="4658" width="10.75" style="326" bestFit="1" customWidth="1"/>
    <col min="4659" max="4659" width="14" style="326" customWidth="1"/>
    <col min="4660" max="4660" width="9" style="326"/>
    <col min="4661" max="4661" width="10.75" style="326" customWidth="1"/>
    <col min="4662" max="4662" width="12.75" style="326" customWidth="1"/>
    <col min="4663" max="4663" width="9" style="326"/>
    <col min="4664" max="4664" width="10.75" style="326" bestFit="1" customWidth="1"/>
    <col min="4665" max="4665" width="11.5" style="326" customWidth="1"/>
    <col min="4666" max="4666" width="13.625" style="326" customWidth="1"/>
    <col min="4667" max="4667" width="10.625" style="326" customWidth="1"/>
    <col min="4668" max="4668" width="10.75" style="326" bestFit="1" customWidth="1"/>
    <col min="4669" max="4669" width="12.375" style="326" customWidth="1"/>
    <col min="4670" max="4672" width="9" style="326"/>
    <col min="4673" max="4673" width="15.75" style="326" customWidth="1"/>
    <col min="4674" max="4674" width="9" style="326"/>
    <col min="4675" max="4675" width="10.75" style="326" bestFit="1" customWidth="1"/>
    <col min="4676" max="4676" width="12.625" style="326" customWidth="1"/>
    <col min="4677" max="4679" width="9" style="326"/>
    <col min="4680" max="4680" width="13.625" style="326" customWidth="1"/>
    <col min="4681" max="4681" width="9" style="326"/>
    <col min="4682" max="4682" width="10.75" style="326" bestFit="1" customWidth="1"/>
    <col min="4683" max="4683" width="12.5" style="326" customWidth="1"/>
    <col min="4684" max="4686" width="9" style="326"/>
    <col min="4687" max="4687" width="12.875" style="326" customWidth="1"/>
    <col min="4688" max="4688" width="9" style="326"/>
    <col min="4689" max="4689" width="10.75" style="326" bestFit="1" customWidth="1"/>
    <col min="4690" max="4690" width="13.875" style="326" customWidth="1"/>
    <col min="4691" max="4693" width="9" style="326"/>
    <col min="4694" max="4694" width="14.125" style="326" customWidth="1"/>
    <col min="4695" max="4695" width="9" style="326"/>
    <col min="4696" max="4696" width="10.75" style="326" bestFit="1" customWidth="1"/>
    <col min="4697" max="4697" width="13.25" style="326" customWidth="1"/>
    <col min="4698" max="4700" width="9" style="326"/>
    <col min="4701" max="4701" width="13.25" style="326" customWidth="1"/>
    <col min="4702" max="4702" width="9" style="326"/>
    <col min="4703" max="4703" width="10.75" style="326" bestFit="1" customWidth="1"/>
    <col min="4704" max="4704" width="13.875" style="326" customWidth="1"/>
    <col min="4705" max="4707" width="9" style="326"/>
    <col min="4708" max="4708" width="13.625" style="326" customWidth="1"/>
    <col min="4709" max="4709" width="9" style="326"/>
    <col min="4710" max="4710" width="10.75" style="326" bestFit="1" customWidth="1"/>
    <col min="4711" max="4711" width="13" style="326" customWidth="1"/>
    <col min="4712" max="4858" width="9" style="326"/>
    <col min="4859" max="4860" width="12.125" style="326" customWidth="1"/>
    <col min="4861" max="4863" width="13" style="326" customWidth="1"/>
    <col min="4864" max="4864" width="12.875" style="326" customWidth="1"/>
    <col min="4865" max="4865" width="13" style="326" customWidth="1"/>
    <col min="4866" max="4866" width="13.125" style="326" customWidth="1"/>
    <col min="4867" max="4868" width="12.125" style="326" customWidth="1"/>
    <col min="4869" max="4869" width="14.375" style="326" bestFit="1" customWidth="1"/>
    <col min="4870" max="4870" width="11" style="326" customWidth="1"/>
    <col min="4871" max="4871" width="10" style="326" customWidth="1"/>
    <col min="4872" max="4872" width="10.875" style="326" customWidth="1"/>
    <col min="4873" max="4873" width="13.75" style="326" customWidth="1"/>
    <col min="4874" max="4874" width="10" style="326" customWidth="1"/>
    <col min="4875" max="4875" width="13.25" style="326" customWidth="1"/>
    <col min="4876" max="4876" width="14.375" style="326" customWidth="1"/>
    <col min="4877" max="4877" width="10" style="326" customWidth="1"/>
    <col min="4878" max="4878" width="10.875" style="326" customWidth="1"/>
    <col min="4879" max="4879" width="11.375" style="326" customWidth="1"/>
    <col min="4880" max="4880" width="15.375" style="326" customWidth="1"/>
    <col min="4881" max="4882" width="10.75" style="326" customWidth="1"/>
    <col min="4883" max="4883" width="14.375" style="326" customWidth="1"/>
    <col min="4884" max="4884" width="10.75" style="326" customWidth="1"/>
    <col min="4885" max="4885" width="11.75" style="326" customWidth="1"/>
    <col min="4886" max="4886" width="10" style="326" customWidth="1"/>
    <col min="4887" max="4887" width="15.375" style="326" customWidth="1"/>
    <col min="4888" max="4888" width="10" style="326" customWidth="1"/>
    <col min="4889" max="4889" width="10.75" style="326" customWidth="1"/>
    <col min="4890" max="4890" width="14.875" style="326" customWidth="1"/>
    <col min="4891" max="4891" width="11.5" style="326" customWidth="1"/>
    <col min="4892" max="4892" width="10" style="326" customWidth="1"/>
    <col min="4893" max="4893" width="10.75" style="326" customWidth="1"/>
    <col min="4894" max="4894" width="13.5" style="326" customWidth="1"/>
    <col min="4895" max="4895" width="9" style="326"/>
    <col min="4896" max="4896" width="10.75" style="326" bestFit="1" customWidth="1"/>
    <col min="4897" max="4897" width="13.75" style="326" customWidth="1"/>
    <col min="4898" max="4898" width="9" style="326"/>
    <col min="4899" max="4899" width="10.625" style="326" customWidth="1"/>
    <col min="4900" max="4900" width="9" style="326"/>
    <col min="4901" max="4901" width="14.25" style="326" customWidth="1"/>
    <col min="4902" max="4902" width="10.75" style="326" bestFit="1" customWidth="1"/>
    <col min="4903" max="4903" width="11.625" style="326" customWidth="1"/>
    <col min="4904" max="4904" width="13.75" style="326" customWidth="1"/>
    <col min="4905" max="4905" width="10.625" style="326" customWidth="1"/>
    <col min="4906" max="4907" width="9" style="326"/>
    <col min="4908" max="4908" width="14.125" style="326" customWidth="1"/>
    <col min="4909" max="4909" width="11" style="326" customWidth="1"/>
    <col min="4910" max="4910" width="10.75" style="326" bestFit="1" customWidth="1"/>
    <col min="4911" max="4911" width="13.5" style="326" customWidth="1"/>
    <col min="4912" max="4913" width="9" style="326"/>
    <col min="4914" max="4914" width="10.75" style="326" bestFit="1" customWidth="1"/>
    <col min="4915" max="4915" width="14" style="326" customWidth="1"/>
    <col min="4916" max="4916" width="9" style="326"/>
    <col min="4917" max="4917" width="10.75" style="326" customWidth="1"/>
    <col min="4918" max="4918" width="12.75" style="326" customWidth="1"/>
    <col min="4919" max="4919" width="9" style="326"/>
    <col min="4920" max="4920" width="10.75" style="326" bestFit="1" customWidth="1"/>
    <col min="4921" max="4921" width="11.5" style="326" customWidth="1"/>
    <col min="4922" max="4922" width="13.625" style="326" customWidth="1"/>
    <col min="4923" max="4923" width="10.625" style="326" customWidth="1"/>
    <col min="4924" max="4924" width="10.75" style="326" bestFit="1" customWidth="1"/>
    <col min="4925" max="4925" width="12.375" style="326" customWidth="1"/>
    <col min="4926" max="4928" width="9" style="326"/>
    <col min="4929" max="4929" width="15.75" style="326" customWidth="1"/>
    <col min="4930" max="4930" width="9" style="326"/>
    <col min="4931" max="4931" width="10.75" style="326" bestFit="1" customWidth="1"/>
    <col min="4932" max="4932" width="12.625" style="326" customWidth="1"/>
    <col min="4933" max="4935" width="9" style="326"/>
    <col min="4936" max="4936" width="13.625" style="326" customWidth="1"/>
    <col min="4937" max="4937" width="9" style="326"/>
    <col min="4938" max="4938" width="10.75" style="326" bestFit="1" customWidth="1"/>
    <col min="4939" max="4939" width="12.5" style="326" customWidth="1"/>
    <col min="4940" max="4942" width="9" style="326"/>
    <col min="4943" max="4943" width="12.875" style="326" customWidth="1"/>
    <col min="4944" max="4944" width="9" style="326"/>
    <col min="4945" max="4945" width="10.75" style="326" bestFit="1" customWidth="1"/>
    <col min="4946" max="4946" width="13.875" style="326" customWidth="1"/>
    <col min="4947" max="4949" width="9" style="326"/>
    <col min="4950" max="4950" width="14.125" style="326" customWidth="1"/>
    <col min="4951" max="4951" width="9" style="326"/>
    <col min="4952" max="4952" width="10.75" style="326" bestFit="1" customWidth="1"/>
    <col min="4953" max="4953" width="13.25" style="326" customWidth="1"/>
    <col min="4954" max="4956" width="9" style="326"/>
    <col min="4957" max="4957" width="13.25" style="326" customWidth="1"/>
    <col min="4958" max="4958" width="9" style="326"/>
    <col min="4959" max="4959" width="10.75" style="326" bestFit="1" customWidth="1"/>
    <col min="4960" max="4960" width="13.875" style="326" customWidth="1"/>
    <col min="4961" max="4963" width="9" style="326"/>
    <col min="4964" max="4964" width="13.625" style="326" customWidth="1"/>
    <col min="4965" max="4965" width="9" style="326"/>
    <col min="4966" max="4966" width="10.75" style="326" bestFit="1" customWidth="1"/>
    <col min="4967" max="4967" width="13" style="326" customWidth="1"/>
    <col min="4968" max="5114" width="9" style="326"/>
    <col min="5115" max="5116" width="12.125" style="326" customWidth="1"/>
    <col min="5117" max="5119" width="13" style="326" customWidth="1"/>
    <col min="5120" max="5120" width="12.875" style="326" customWidth="1"/>
    <col min="5121" max="5121" width="13" style="326" customWidth="1"/>
    <col min="5122" max="5122" width="13.125" style="326" customWidth="1"/>
    <col min="5123" max="5124" width="12.125" style="326" customWidth="1"/>
    <col min="5125" max="5125" width="14.375" style="326" bestFit="1" customWidth="1"/>
    <col min="5126" max="5126" width="11" style="326" customWidth="1"/>
    <col min="5127" max="5127" width="10" style="326" customWidth="1"/>
    <col min="5128" max="5128" width="10.875" style="326" customWidth="1"/>
    <col min="5129" max="5129" width="13.75" style="326" customWidth="1"/>
    <col min="5130" max="5130" width="10" style="326" customWidth="1"/>
    <col min="5131" max="5131" width="13.25" style="326" customWidth="1"/>
    <col min="5132" max="5132" width="14.375" style="326" customWidth="1"/>
    <col min="5133" max="5133" width="10" style="326" customWidth="1"/>
    <col min="5134" max="5134" width="10.875" style="326" customWidth="1"/>
    <col min="5135" max="5135" width="11.375" style="326" customWidth="1"/>
    <col min="5136" max="5136" width="15.375" style="326" customWidth="1"/>
    <col min="5137" max="5138" width="10.75" style="326" customWidth="1"/>
    <col min="5139" max="5139" width="14.375" style="326" customWidth="1"/>
    <col min="5140" max="5140" width="10.75" style="326" customWidth="1"/>
    <col min="5141" max="5141" width="11.75" style="326" customWidth="1"/>
    <col min="5142" max="5142" width="10" style="326" customWidth="1"/>
    <col min="5143" max="5143" width="15.375" style="326" customWidth="1"/>
    <col min="5144" max="5144" width="10" style="326" customWidth="1"/>
    <col min="5145" max="5145" width="10.75" style="326" customWidth="1"/>
    <col min="5146" max="5146" width="14.875" style="326" customWidth="1"/>
    <col min="5147" max="5147" width="11.5" style="326" customWidth="1"/>
    <col min="5148" max="5148" width="10" style="326" customWidth="1"/>
    <col min="5149" max="5149" width="10.75" style="326" customWidth="1"/>
    <col min="5150" max="5150" width="13.5" style="326" customWidth="1"/>
    <col min="5151" max="5151" width="9" style="326"/>
    <col min="5152" max="5152" width="10.75" style="326" bestFit="1" customWidth="1"/>
    <col min="5153" max="5153" width="13.75" style="326" customWidth="1"/>
    <col min="5154" max="5154" width="9" style="326"/>
    <col min="5155" max="5155" width="10.625" style="326" customWidth="1"/>
    <col min="5156" max="5156" width="9" style="326"/>
    <col min="5157" max="5157" width="14.25" style="326" customWidth="1"/>
    <col min="5158" max="5158" width="10.75" style="326" bestFit="1" customWidth="1"/>
    <col min="5159" max="5159" width="11.625" style="326" customWidth="1"/>
    <col min="5160" max="5160" width="13.75" style="326" customWidth="1"/>
    <col min="5161" max="5161" width="10.625" style="326" customWidth="1"/>
    <col min="5162" max="5163" width="9" style="326"/>
    <col min="5164" max="5164" width="14.125" style="326" customWidth="1"/>
    <col min="5165" max="5165" width="11" style="326" customWidth="1"/>
    <col min="5166" max="5166" width="10.75" style="326" bestFit="1" customWidth="1"/>
    <col min="5167" max="5167" width="13.5" style="326" customWidth="1"/>
    <col min="5168" max="5169" width="9" style="326"/>
    <col min="5170" max="5170" width="10.75" style="326" bestFit="1" customWidth="1"/>
    <col min="5171" max="5171" width="14" style="326" customWidth="1"/>
    <col min="5172" max="5172" width="9" style="326"/>
    <col min="5173" max="5173" width="10.75" style="326" customWidth="1"/>
    <col min="5174" max="5174" width="12.75" style="326" customWidth="1"/>
    <col min="5175" max="5175" width="9" style="326"/>
    <col min="5176" max="5176" width="10.75" style="326" bestFit="1" customWidth="1"/>
    <col min="5177" max="5177" width="11.5" style="326" customWidth="1"/>
    <col min="5178" max="5178" width="13.625" style="326" customWidth="1"/>
    <col min="5179" max="5179" width="10.625" style="326" customWidth="1"/>
    <col min="5180" max="5180" width="10.75" style="326" bestFit="1" customWidth="1"/>
    <col min="5181" max="5181" width="12.375" style="326" customWidth="1"/>
    <col min="5182" max="5184" width="9" style="326"/>
    <col min="5185" max="5185" width="15.75" style="326" customWidth="1"/>
    <col min="5186" max="5186" width="9" style="326"/>
    <col min="5187" max="5187" width="10.75" style="326" bestFit="1" customWidth="1"/>
    <col min="5188" max="5188" width="12.625" style="326" customWidth="1"/>
    <col min="5189" max="5191" width="9" style="326"/>
    <col min="5192" max="5192" width="13.625" style="326" customWidth="1"/>
    <col min="5193" max="5193" width="9" style="326"/>
    <col min="5194" max="5194" width="10.75" style="326" bestFit="1" customWidth="1"/>
    <col min="5195" max="5195" width="12.5" style="326" customWidth="1"/>
    <col min="5196" max="5198" width="9" style="326"/>
    <col min="5199" max="5199" width="12.875" style="326" customWidth="1"/>
    <col min="5200" max="5200" width="9" style="326"/>
    <col min="5201" max="5201" width="10.75" style="326" bestFit="1" customWidth="1"/>
    <col min="5202" max="5202" width="13.875" style="326" customWidth="1"/>
    <col min="5203" max="5205" width="9" style="326"/>
    <col min="5206" max="5206" width="14.125" style="326" customWidth="1"/>
    <col min="5207" max="5207" width="9" style="326"/>
    <col min="5208" max="5208" width="10.75" style="326" bestFit="1" customWidth="1"/>
    <col min="5209" max="5209" width="13.25" style="326" customWidth="1"/>
    <col min="5210" max="5212" width="9" style="326"/>
    <col min="5213" max="5213" width="13.25" style="326" customWidth="1"/>
    <col min="5214" max="5214" width="9" style="326"/>
    <col min="5215" max="5215" width="10.75" style="326" bestFit="1" customWidth="1"/>
    <col min="5216" max="5216" width="13.875" style="326" customWidth="1"/>
    <col min="5217" max="5219" width="9" style="326"/>
    <col min="5220" max="5220" width="13.625" style="326" customWidth="1"/>
    <col min="5221" max="5221" width="9" style="326"/>
    <col min="5222" max="5222" width="10.75" style="326" bestFit="1" customWidth="1"/>
    <col min="5223" max="5223" width="13" style="326" customWidth="1"/>
    <col min="5224" max="5370" width="9" style="326"/>
    <col min="5371" max="5372" width="12.125" style="326" customWidth="1"/>
    <col min="5373" max="5375" width="13" style="326" customWidth="1"/>
    <col min="5376" max="5376" width="12.875" style="326" customWidth="1"/>
    <col min="5377" max="5377" width="13" style="326" customWidth="1"/>
    <col min="5378" max="5378" width="13.125" style="326" customWidth="1"/>
    <col min="5379" max="5380" width="12.125" style="326" customWidth="1"/>
    <col min="5381" max="5381" width="14.375" style="326" bestFit="1" customWidth="1"/>
    <col min="5382" max="5382" width="11" style="326" customWidth="1"/>
    <col min="5383" max="5383" width="10" style="326" customWidth="1"/>
    <col min="5384" max="5384" width="10.875" style="326" customWidth="1"/>
    <col min="5385" max="5385" width="13.75" style="326" customWidth="1"/>
    <col min="5386" max="5386" width="10" style="326" customWidth="1"/>
    <col min="5387" max="5387" width="13.25" style="326" customWidth="1"/>
    <col min="5388" max="5388" width="14.375" style="326" customWidth="1"/>
    <col min="5389" max="5389" width="10" style="326" customWidth="1"/>
    <col min="5390" max="5390" width="10.875" style="326" customWidth="1"/>
    <col min="5391" max="5391" width="11.375" style="326" customWidth="1"/>
    <col min="5392" max="5392" width="15.375" style="326" customWidth="1"/>
    <col min="5393" max="5394" width="10.75" style="326" customWidth="1"/>
    <col min="5395" max="5395" width="14.375" style="326" customWidth="1"/>
    <col min="5396" max="5396" width="10.75" style="326" customWidth="1"/>
    <col min="5397" max="5397" width="11.75" style="326" customWidth="1"/>
    <col min="5398" max="5398" width="10" style="326" customWidth="1"/>
    <col min="5399" max="5399" width="15.375" style="326" customWidth="1"/>
    <col min="5400" max="5400" width="10" style="326" customWidth="1"/>
    <col min="5401" max="5401" width="10.75" style="326" customWidth="1"/>
    <col min="5402" max="5402" width="14.875" style="326" customWidth="1"/>
    <col min="5403" max="5403" width="11.5" style="326" customWidth="1"/>
    <col min="5404" max="5404" width="10" style="326" customWidth="1"/>
    <col min="5405" max="5405" width="10.75" style="326" customWidth="1"/>
    <col min="5406" max="5406" width="13.5" style="326" customWidth="1"/>
    <col min="5407" max="5407" width="9" style="326"/>
    <col min="5408" max="5408" width="10.75" style="326" bestFit="1" customWidth="1"/>
    <col min="5409" max="5409" width="13.75" style="326" customWidth="1"/>
    <col min="5410" max="5410" width="9" style="326"/>
    <col min="5411" max="5411" width="10.625" style="326" customWidth="1"/>
    <col min="5412" max="5412" width="9" style="326"/>
    <col min="5413" max="5413" width="14.25" style="326" customWidth="1"/>
    <col min="5414" max="5414" width="10.75" style="326" bestFit="1" customWidth="1"/>
    <col min="5415" max="5415" width="11.625" style="326" customWidth="1"/>
    <col min="5416" max="5416" width="13.75" style="326" customWidth="1"/>
    <col min="5417" max="5417" width="10.625" style="326" customWidth="1"/>
    <col min="5418" max="5419" width="9" style="326"/>
    <col min="5420" max="5420" width="14.125" style="326" customWidth="1"/>
    <col min="5421" max="5421" width="11" style="326" customWidth="1"/>
    <col min="5422" max="5422" width="10.75" style="326" bestFit="1" customWidth="1"/>
    <col min="5423" max="5423" width="13.5" style="326" customWidth="1"/>
    <col min="5424" max="5425" width="9" style="326"/>
    <col min="5426" max="5426" width="10.75" style="326" bestFit="1" customWidth="1"/>
    <col min="5427" max="5427" width="14" style="326" customWidth="1"/>
    <col min="5428" max="5428" width="9" style="326"/>
    <col min="5429" max="5429" width="10.75" style="326" customWidth="1"/>
    <col min="5430" max="5430" width="12.75" style="326" customWidth="1"/>
    <col min="5431" max="5431" width="9" style="326"/>
    <col min="5432" max="5432" width="10.75" style="326" bestFit="1" customWidth="1"/>
    <col min="5433" max="5433" width="11.5" style="326" customWidth="1"/>
    <col min="5434" max="5434" width="13.625" style="326" customWidth="1"/>
    <col min="5435" max="5435" width="10.625" style="326" customWidth="1"/>
    <col min="5436" max="5436" width="10.75" style="326" bestFit="1" customWidth="1"/>
    <col min="5437" max="5437" width="12.375" style="326" customWidth="1"/>
    <col min="5438" max="5440" width="9" style="326"/>
    <col min="5441" max="5441" width="15.75" style="326" customWidth="1"/>
    <col min="5442" max="5442" width="9" style="326"/>
    <col min="5443" max="5443" width="10.75" style="326" bestFit="1" customWidth="1"/>
    <col min="5444" max="5444" width="12.625" style="326" customWidth="1"/>
    <col min="5445" max="5447" width="9" style="326"/>
    <col min="5448" max="5448" width="13.625" style="326" customWidth="1"/>
    <col min="5449" max="5449" width="9" style="326"/>
    <col min="5450" max="5450" width="10.75" style="326" bestFit="1" customWidth="1"/>
    <col min="5451" max="5451" width="12.5" style="326" customWidth="1"/>
    <col min="5452" max="5454" width="9" style="326"/>
    <col min="5455" max="5455" width="12.875" style="326" customWidth="1"/>
    <col min="5456" max="5456" width="9" style="326"/>
    <col min="5457" max="5457" width="10.75" style="326" bestFit="1" customWidth="1"/>
    <col min="5458" max="5458" width="13.875" style="326" customWidth="1"/>
    <col min="5459" max="5461" width="9" style="326"/>
    <col min="5462" max="5462" width="14.125" style="326" customWidth="1"/>
    <col min="5463" max="5463" width="9" style="326"/>
    <col min="5464" max="5464" width="10.75" style="326" bestFit="1" customWidth="1"/>
    <col min="5465" max="5465" width="13.25" style="326" customWidth="1"/>
    <col min="5466" max="5468" width="9" style="326"/>
    <col min="5469" max="5469" width="13.25" style="326" customWidth="1"/>
    <col min="5470" max="5470" width="9" style="326"/>
    <col min="5471" max="5471" width="10.75" style="326" bestFit="1" customWidth="1"/>
    <col min="5472" max="5472" width="13.875" style="326" customWidth="1"/>
    <col min="5473" max="5475" width="9" style="326"/>
    <col min="5476" max="5476" width="13.625" style="326" customWidth="1"/>
    <col min="5477" max="5477" width="9" style="326"/>
    <col min="5478" max="5478" width="10.75" style="326" bestFit="1" customWidth="1"/>
    <col min="5479" max="5479" width="13" style="326" customWidth="1"/>
    <col min="5480" max="5626" width="9" style="326"/>
    <col min="5627" max="5628" width="12.125" style="326" customWidth="1"/>
    <col min="5629" max="5631" width="13" style="326" customWidth="1"/>
    <col min="5632" max="5632" width="12.875" style="326" customWidth="1"/>
    <col min="5633" max="5633" width="13" style="326" customWidth="1"/>
    <col min="5634" max="5634" width="13.125" style="326" customWidth="1"/>
    <col min="5635" max="5636" width="12.125" style="326" customWidth="1"/>
    <col min="5637" max="5637" width="14.375" style="326" bestFit="1" customWidth="1"/>
    <col min="5638" max="5638" width="11" style="326" customWidth="1"/>
    <col min="5639" max="5639" width="10" style="326" customWidth="1"/>
    <col min="5640" max="5640" width="10.875" style="326" customWidth="1"/>
    <col min="5641" max="5641" width="13.75" style="326" customWidth="1"/>
    <col min="5642" max="5642" width="10" style="326" customWidth="1"/>
    <col min="5643" max="5643" width="13.25" style="326" customWidth="1"/>
    <col min="5644" max="5644" width="14.375" style="326" customWidth="1"/>
    <col min="5645" max="5645" width="10" style="326" customWidth="1"/>
    <col min="5646" max="5646" width="10.875" style="326" customWidth="1"/>
    <col min="5647" max="5647" width="11.375" style="326" customWidth="1"/>
    <col min="5648" max="5648" width="15.375" style="326" customWidth="1"/>
    <col min="5649" max="5650" width="10.75" style="326" customWidth="1"/>
    <col min="5651" max="5651" width="14.375" style="326" customWidth="1"/>
    <col min="5652" max="5652" width="10.75" style="326" customWidth="1"/>
    <col min="5653" max="5653" width="11.75" style="326" customWidth="1"/>
    <col min="5654" max="5654" width="10" style="326" customWidth="1"/>
    <col min="5655" max="5655" width="15.375" style="326" customWidth="1"/>
    <col min="5656" max="5656" width="10" style="326" customWidth="1"/>
    <col min="5657" max="5657" width="10.75" style="326" customWidth="1"/>
    <col min="5658" max="5658" width="14.875" style="326" customWidth="1"/>
    <col min="5659" max="5659" width="11.5" style="326" customWidth="1"/>
    <col min="5660" max="5660" width="10" style="326" customWidth="1"/>
    <col min="5661" max="5661" width="10.75" style="326" customWidth="1"/>
    <col min="5662" max="5662" width="13.5" style="326" customWidth="1"/>
    <col min="5663" max="5663" width="9" style="326"/>
    <col min="5664" max="5664" width="10.75" style="326" bestFit="1" customWidth="1"/>
    <col min="5665" max="5665" width="13.75" style="326" customWidth="1"/>
    <col min="5666" max="5666" width="9" style="326"/>
    <col min="5667" max="5667" width="10.625" style="326" customWidth="1"/>
    <col min="5668" max="5668" width="9" style="326"/>
    <col min="5669" max="5669" width="14.25" style="326" customWidth="1"/>
    <col min="5670" max="5670" width="10.75" style="326" bestFit="1" customWidth="1"/>
    <col min="5671" max="5671" width="11.625" style="326" customWidth="1"/>
    <col min="5672" max="5672" width="13.75" style="326" customWidth="1"/>
    <col min="5673" max="5673" width="10.625" style="326" customWidth="1"/>
    <col min="5674" max="5675" width="9" style="326"/>
    <col min="5676" max="5676" width="14.125" style="326" customWidth="1"/>
    <col min="5677" max="5677" width="11" style="326" customWidth="1"/>
    <col min="5678" max="5678" width="10.75" style="326" bestFit="1" customWidth="1"/>
    <col min="5679" max="5679" width="13.5" style="326" customWidth="1"/>
    <col min="5680" max="5681" width="9" style="326"/>
    <col min="5682" max="5682" width="10.75" style="326" bestFit="1" customWidth="1"/>
    <col min="5683" max="5683" width="14" style="326" customWidth="1"/>
    <col min="5684" max="5684" width="9" style="326"/>
    <col min="5685" max="5685" width="10.75" style="326" customWidth="1"/>
    <col min="5686" max="5686" width="12.75" style="326" customWidth="1"/>
    <col min="5687" max="5687" width="9" style="326"/>
    <col min="5688" max="5688" width="10.75" style="326" bestFit="1" customWidth="1"/>
    <col min="5689" max="5689" width="11.5" style="326" customWidth="1"/>
    <col min="5690" max="5690" width="13.625" style="326" customWidth="1"/>
    <col min="5691" max="5691" width="10.625" style="326" customWidth="1"/>
    <col min="5692" max="5692" width="10.75" style="326" bestFit="1" customWidth="1"/>
    <col min="5693" max="5693" width="12.375" style="326" customWidth="1"/>
    <col min="5694" max="5696" width="9" style="326"/>
    <col min="5697" max="5697" width="15.75" style="326" customWidth="1"/>
    <col min="5698" max="5698" width="9" style="326"/>
    <col min="5699" max="5699" width="10.75" style="326" bestFit="1" customWidth="1"/>
    <col min="5700" max="5700" width="12.625" style="326" customWidth="1"/>
    <col min="5701" max="5703" width="9" style="326"/>
    <col min="5704" max="5704" width="13.625" style="326" customWidth="1"/>
    <col min="5705" max="5705" width="9" style="326"/>
    <col min="5706" max="5706" width="10.75" style="326" bestFit="1" customWidth="1"/>
    <col min="5707" max="5707" width="12.5" style="326" customWidth="1"/>
    <col min="5708" max="5710" width="9" style="326"/>
    <col min="5711" max="5711" width="12.875" style="326" customWidth="1"/>
    <col min="5712" max="5712" width="9" style="326"/>
    <col min="5713" max="5713" width="10.75" style="326" bestFit="1" customWidth="1"/>
    <col min="5714" max="5714" width="13.875" style="326" customWidth="1"/>
    <col min="5715" max="5717" width="9" style="326"/>
    <col min="5718" max="5718" width="14.125" style="326" customWidth="1"/>
    <col min="5719" max="5719" width="9" style="326"/>
    <col min="5720" max="5720" width="10.75" style="326" bestFit="1" customWidth="1"/>
    <col min="5721" max="5721" width="13.25" style="326" customWidth="1"/>
    <col min="5722" max="5724" width="9" style="326"/>
    <col min="5725" max="5725" width="13.25" style="326" customWidth="1"/>
    <col min="5726" max="5726" width="9" style="326"/>
    <col min="5727" max="5727" width="10.75" style="326" bestFit="1" customWidth="1"/>
    <col min="5728" max="5728" width="13.875" style="326" customWidth="1"/>
    <col min="5729" max="5731" width="9" style="326"/>
    <col min="5732" max="5732" width="13.625" style="326" customWidth="1"/>
    <col min="5733" max="5733" width="9" style="326"/>
    <col min="5734" max="5734" width="10.75" style="326" bestFit="1" customWidth="1"/>
    <col min="5735" max="5735" width="13" style="326" customWidth="1"/>
    <col min="5736" max="5882" width="9" style="326"/>
    <col min="5883" max="5884" width="12.125" style="326" customWidth="1"/>
    <col min="5885" max="5887" width="13" style="326" customWidth="1"/>
    <col min="5888" max="5888" width="12.875" style="326" customWidth="1"/>
    <col min="5889" max="5889" width="13" style="326" customWidth="1"/>
    <col min="5890" max="5890" width="13.125" style="326" customWidth="1"/>
    <col min="5891" max="5892" width="12.125" style="326" customWidth="1"/>
    <col min="5893" max="5893" width="14.375" style="326" bestFit="1" customWidth="1"/>
    <col min="5894" max="5894" width="11" style="326" customWidth="1"/>
    <col min="5895" max="5895" width="10" style="326" customWidth="1"/>
    <col min="5896" max="5896" width="10.875" style="326" customWidth="1"/>
    <col min="5897" max="5897" width="13.75" style="326" customWidth="1"/>
    <col min="5898" max="5898" width="10" style="326" customWidth="1"/>
    <col min="5899" max="5899" width="13.25" style="326" customWidth="1"/>
    <col min="5900" max="5900" width="14.375" style="326" customWidth="1"/>
    <col min="5901" max="5901" width="10" style="326" customWidth="1"/>
    <col min="5902" max="5902" width="10.875" style="326" customWidth="1"/>
    <col min="5903" max="5903" width="11.375" style="326" customWidth="1"/>
    <col min="5904" max="5904" width="15.375" style="326" customWidth="1"/>
    <col min="5905" max="5906" width="10.75" style="326" customWidth="1"/>
    <col min="5907" max="5907" width="14.375" style="326" customWidth="1"/>
    <col min="5908" max="5908" width="10.75" style="326" customWidth="1"/>
    <col min="5909" max="5909" width="11.75" style="326" customWidth="1"/>
    <col min="5910" max="5910" width="10" style="326" customWidth="1"/>
    <col min="5911" max="5911" width="15.375" style="326" customWidth="1"/>
    <col min="5912" max="5912" width="10" style="326" customWidth="1"/>
    <col min="5913" max="5913" width="10.75" style="326" customWidth="1"/>
    <col min="5914" max="5914" width="14.875" style="326" customWidth="1"/>
    <col min="5915" max="5915" width="11.5" style="326" customWidth="1"/>
    <col min="5916" max="5916" width="10" style="326" customWidth="1"/>
    <col min="5917" max="5917" width="10.75" style="326" customWidth="1"/>
    <col min="5918" max="5918" width="13.5" style="326" customWidth="1"/>
    <col min="5919" max="5919" width="9" style="326"/>
    <col min="5920" max="5920" width="10.75" style="326" bestFit="1" customWidth="1"/>
    <col min="5921" max="5921" width="13.75" style="326" customWidth="1"/>
    <col min="5922" max="5922" width="9" style="326"/>
    <col min="5923" max="5923" width="10.625" style="326" customWidth="1"/>
    <col min="5924" max="5924" width="9" style="326"/>
    <col min="5925" max="5925" width="14.25" style="326" customWidth="1"/>
    <col min="5926" max="5926" width="10.75" style="326" bestFit="1" customWidth="1"/>
    <col min="5927" max="5927" width="11.625" style="326" customWidth="1"/>
    <col min="5928" max="5928" width="13.75" style="326" customWidth="1"/>
    <col min="5929" max="5929" width="10.625" style="326" customWidth="1"/>
    <col min="5930" max="5931" width="9" style="326"/>
    <col min="5932" max="5932" width="14.125" style="326" customWidth="1"/>
    <col min="5933" max="5933" width="11" style="326" customWidth="1"/>
    <col min="5934" max="5934" width="10.75" style="326" bestFit="1" customWidth="1"/>
    <col min="5935" max="5935" width="13.5" style="326" customWidth="1"/>
    <col min="5936" max="5937" width="9" style="326"/>
    <col min="5938" max="5938" width="10.75" style="326" bestFit="1" customWidth="1"/>
    <col min="5939" max="5939" width="14" style="326" customWidth="1"/>
    <col min="5940" max="5940" width="9" style="326"/>
    <col min="5941" max="5941" width="10.75" style="326" customWidth="1"/>
    <col min="5942" max="5942" width="12.75" style="326" customWidth="1"/>
    <col min="5943" max="5943" width="9" style="326"/>
    <col min="5944" max="5944" width="10.75" style="326" bestFit="1" customWidth="1"/>
    <col min="5945" max="5945" width="11.5" style="326" customWidth="1"/>
    <col min="5946" max="5946" width="13.625" style="326" customWidth="1"/>
    <col min="5947" max="5947" width="10.625" style="326" customWidth="1"/>
    <col min="5948" max="5948" width="10.75" style="326" bestFit="1" customWidth="1"/>
    <col min="5949" max="5949" width="12.375" style="326" customWidth="1"/>
    <col min="5950" max="5952" width="9" style="326"/>
    <col min="5953" max="5953" width="15.75" style="326" customWidth="1"/>
    <col min="5954" max="5954" width="9" style="326"/>
    <col min="5955" max="5955" width="10.75" style="326" bestFit="1" customWidth="1"/>
    <col min="5956" max="5956" width="12.625" style="326" customWidth="1"/>
    <col min="5957" max="5959" width="9" style="326"/>
    <col min="5960" max="5960" width="13.625" style="326" customWidth="1"/>
    <col min="5961" max="5961" width="9" style="326"/>
    <col min="5962" max="5962" width="10.75" style="326" bestFit="1" customWidth="1"/>
    <col min="5963" max="5963" width="12.5" style="326" customWidth="1"/>
    <col min="5964" max="5966" width="9" style="326"/>
    <col min="5967" max="5967" width="12.875" style="326" customWidth="1"/>
    <col min="5968" max="5968" width="9" style="326"/>
    <col min="5969" max="5969" width="10.75" style="326" bestFit="1" customWidth="1"/>
    <col min="5970" max="5970" width="13.875" style="326" customWidth="1"/>
    <col min="5971" max="5973" width="9" style="326"/>
    <col min="5974" max="5974" width="14.125" style="326" customWidth="1"/>
    <col min="5975" max="5975" width="9" style="326"/>
    <col min="5976" max="5976" width="10.75" style="326" bestFit="1" customWidth="1"/>
    <col min="5977" max="5977" width="13.25" style="326" customWidth="1"/>
    <col min="5978" max="5980" width="9" style="326"/>
    <col min="5981" max="5981" width="13.25" style="326" customWidth="1"/>
    <col min="5982" max="5982" width="9" style="326"/>
    <col min="5983" max="5983" width="10.75" style="326" bestFit="1" customWidth="1"/>
    <col min="5984" max="5984" width="13.875" style="326" customWidth="1"/>
    <col min="5985" max="5987" width="9" style="326"/>
    <col min="5988" max="5988" width="13.625" style="326" customWidth="1"/>
    <col min="5989" max="5989" width="9" style="326"/>
    <col min="5990" max="5990" width="10.75" style="326" bestFit="1" customWidth="1"/>
    <col min="5991" max="5991" width="13" style="326" customWidth="1"/>
    <col min="5992" max="6138" width="9" style="326"/>
    <col min="6139" max="6140" width="12.125" style="326" customWidth="1"/>
    <col min="6141" max="6143" width="13" style="326" customWidth="1"/>
    <col min="6144" max="6144" width="12.875" style="326" customWidth="1"/>
    <col min="6145" max="6145" width="13" style="326" customWidth="1"/>
    <col min="6146" max="6146" width="13.125" style="326" customWidth="1"/>
    <col min="6147" max="6148" width="12.125" style="326" customWidth="1"/>
    <col min="6149" max="6149" width="14.375" style="326" bestFit="1" customWidth="1"/>
    <col min="6150" max="6150" width="11" style="326" customWidth="1"/>
    <col min="6151" max="6151" width="10" style="326" customWidth="1"/>
    <col min="6152" max="6152" width="10.875" style="326" customWidth="1"/>
    <col min="6153" max="6153" width="13.75" style="326" customWidth="1"/>
    <col min="6154" max="6154" width="10" style="326" customWidth="1"/>
    <col min="6155" max="6155" width="13.25" style="326" customWidth="1"/>
    <col min="6156" max="6156" width="14.375" style="326" customWidth="1"/>
    <col min="6157" max="6157" width="10" style="326" customWidth="1"/>
    <col min="6158" max="6158" width="10.875" style="326" customWidth="1"/>
    <col min="6159" max="6159" width="11.375" style="326" customWidth="1"/>
    <col min="6160" max="6160" width="15.375" style="326" customWidth="1"/>
    <col min="6161" max="6162" width="10.75" style="326" customWidth="1"/>
    <col min="6163" max="6163" width="14.375" style="326" customWidth="1"/>
    <col min="6164" max="6164" width="10.75" style="326" customWidth="1"/>
    <col min="6165" max="6165" width="11.75" style="326" customWidth="1"/>
    <col min="6166" max="6166" width="10" style="326" customWidth="1"/>
    <col min="6167" max="6167" width="15.375" style="326" customWidth="1"/>
    <col min="6168" max="6168" width="10" style="326" customWidth="1"/>
    <col min="6169" max="6169" width="10.75" style="326" customWidth="1"/>
    <col min="6170" max="6170" width="14.875" style="326" customWidth="1"/>
    <col min="6171" max="6171" width="11.5" style="326" customWidth="1"/>
    <col min="6172" max="6172" width="10" style="326" customWidth="1"/>
    <col min="6173" max="6173" width="10.75" style="326" customWidth="1"/>
    <col min="6174" max="6174" width="13.5" style="326" customWidth="1"/>
    <col min="6175" max="6175" width="9" style="326"/>
    <col min="6176" max="6176" width="10.75" style="326" bestFit="1" customWidth="1"/>
    <col min="6177" max="6177" width="13.75" style="326" customWidth="1"/>
    <col min="6178" max="6178" width="9" style="326"/>
    <col min="6179" max="6179" width="10.625" style="326" customWidth="1"/>
    <col min="6180" max="6180" width="9" style="326"/>
    <col min="6181" max="6181" width="14.25" style="326" customWidth="1"/>
    <col min="6182" max="6182" width="10.75" style="326" bestFit="1" customWidth="1"/>
    <col min="6183" max="6183" width="11.625" style="326" customWidth="1"/>
    <col min="6184" max="6184" width="13.75" style="326" customWidth="1"/>
    <col min="6185" max="6185" width="10.625" style="326" customWidth="1"/>
    <col min="6186" max="6187" width="9" style="326"/>
    <col min="6188" max="6188" width="14.125" style="326" customWidth="1"/>
    <col min="6189" max="6189" width="11" style="326" customWidth="1"/>
    <col min="6190" max="6190" width="10.75" style="326" bestFit="1" customWidth="1"/>
    <col min="6191" max="6191" width="13.5" style="326" customWidth="1"/>
    <col min="6192" max="6193" width="9" style="326"/>
    <col min="6194" max="6194" width="10.75" style="326" bestFit="1" customWidth="1"/>
    <col min="6195" max="6195" width="14" style="326" customWidth="1"/>
    <col min="6196" max="6196" width="9" style="326"/>
    <col min="6197" max="6197" width="10.75" style="326" customWidth="1"/>
    <col min="6198" max="6198" width="12.75" style="326" customWidth="1"/>
    <col min="6199" max="6199" width="9" style="326"/>
    <col min="6200" max="6200" width="10.75" style="326" bestFit="1" customWidth="1"/>
    <col min="6201" max="6201" width="11.5" style="326" customWidth="1"/>
    <col min="6202" max="6202" width="13.625" style="326" customWidth="1"/>
    <col min="6203" max="6203" width="10.625" style="326" customWidth="1"/>
    <col min="6204" max="6204" width="10.75" style="326" bestFit="1" customWidth="1"/>
    <col min="6205" max="6205" width="12.375" style="326" customWidth="1"/>
    <col min="6206" max="6208" width="9" style="326"/>
    <col min="6209" max="6209" width="15.75" style="326" customWidth="1"/>
    <col min="6210" max="6210" width="9" style="326"/>
    <col min="6211" max="6211" width="10.75" style="326" bestFit="1" customWidth="1"/>
    <col min="6212" max="6212" width="12.625" style="326" customWidth="1"/>
    <col min="6213" max="6215" width="9" style="326"/>
    <col min="6216" max="6216" width="13.625" style="326" customWidth="1"/>
    <col min="6217" max="6217" width="9" style="326"/>
    <col min="6218" max="6218" width="10.75" style="326" bestFit="1" customWidth="1"/>
    <col min="6219" max="6219" width="12.5" style="326" customWidth="1"/>
    <col min="6220" max="6222" width="9" style="326"/>
    <col min="6223" max="6223" width="12.875" style="326" customWidth="1"/>
    <col min="6224" max="6224" width="9" style="326"/>
    <col min="6225" max="6225" width="10.75" style="326" bestFit="1" customWidth="1"/>
    <col min="6226" max="6226" width="13.875" style="326" customWidth="1"/>
    <col min="6227" max="6229" width="9" style="326"/>
    <col min="6230" max="6230" width="14.125" style="326" customWidth="1"/>
    <col min="6231" max="6231" width="9" style="326"/>
    <col min="6232" max="6232" width="10.75" style="326" bestFit="1" customWidth="1"/>
    <col min="6233" max="6233" width="13.25" style="326" customWidth="1"/>
    <col min="6234" max="6236" width="9" style="326"/>
    <col min="6237" max="6237" width="13.25" style="326" customWidth="1"/>
    <col min="6238" max="6238" width="9" style="326"/>
    <col min="6239" max="6239" width="10.75" style="326" bestFit="1" customWidth="1"/>
    <col min="6240" max="6240" width="13.875" style="326" customWidth="1"/>
    <col min="6241" max="6243" width="9" style="326"/>
    <col min="6244" max="6244" width="13.625" style="326" customWidth="1"/>
    <col min="6245" max="6245" width="9" style="326"/>
    <col min="6246" max="6246" width="10.75" style="326" bestFit="1" customWidth="1"/>
    <col min="6247" max="6247" width="13" style="326" customWidth="1"/>
    <col min="6248" max="6394" width="9" style="326"/>
    <col min="6395" max="6396" width="12.125" style="326" customWidth="1"/>
    <col min="6397" max="6399" width="13" style="326" customWidth="1"/>
    <col min="6400" max="6400" width="12.875" style="326" customWidth="1"/>
    <col min="6401" max="6401" width="13" style="326" customWidth="1"/>
    <col min="6402" max="6402" width="13.125" style="326" customWidth="1"/>
    <col min="6403" max="6404" width="12.125" style="326" customWidth="1"/>
    <col min="6405" max="6405" width="14.375" style="326" bestFit="1" customWidth="1"/>
    <col min="6406" max="6406" width="11" style="326" customWidth="1"/>
    <col min="6407" max="6407" width="10" style="326" customWidth="1"/>
    <col min="6408" max="6408" width="10.875" style="326" customWidth="1"/>
    <col min="6409" max="6409" width="13.75" style="326" customWidth="1"/>
    <col min="6410" max="6410" width="10" style="326" customWidth="1"/>
    <col min="6411" max="6411" width="13.25" style="326" customWidth="1"/>
    <col min="6412" max="6412" width="14.375" style="326" customWidth="1"/>
    <col min="6413" max="6413" width="10" style="326" customWidth="1"/>
    <col min="6414" max="6414" width="10.875" style="326" customWidth="1"/>
    <col min="6415" max="6415" width="11.375" style="326" customWidth="1"/>
    <col min="6416" max="6416" width="15.375" style="326" customWidth="1"/>
    <col min="6417" max="6418" width="10.75" style="326" customWidth="1"/>
    <col min="6419" max="6419" width="14.375" style="326" customWidth="1"/>
    <col min="6420" max="6420" width="10.75" style="326" customWidth="1"/>
    <col min="6421" max="6421" width="11.75" style="326" customWidth="1"/>
    <col min="6422" max="6422" width="10" style="326" customWidth="1"/>
    <col min="6423" max="6423" width="15.375" style="326" customWidth="1"/>
    <col min="6424" max="6424" width="10" style="326" customWidth="1"/>
    <col min="6425" max="6425" width="10.75" style="326" customWidth="1"/>
    <col min="6426" max="6426" width="14.875" style="326" customWidth="1"/>
    <col min="6427" max="6427" width="11.5" style="326" customWidth="1"/>
    <col min="6428" max="6428" width="10" style="326" customWidth="1"/>
    <col min="6429" max="6429" width="10.75" style="326" customWidth="1"/>
    <col min="6430" max="6430" width="13.5" style="326" customWidth="1"/>
    <col min="6431" max="6431" width="9" style="326"/>
    <col min="6432" max="6432" width="10.75" style="326" bestFit="1" customWidth="1"/>
    <col min="6433" max="6433" width="13.75" style="326" customWidth="1"/>
    <col min="6434" max="6434" width="9" style="326"/>
    <col min="6435" max="6435" width="10.625" style="326" customWidth="1"/>
    <col min="6436" max="6436" width="9" style="326"/>
    <col min="6437" max="6437" width="14.25" style="326" customWidth="1"/>
    <col min="6438" max="6438" width="10.75" style="326" bestFit="1" customWidth="1"/>
    <col min="6439" max="6439" width="11.625" style="326" customWidth="1"/>
    <col min="6440" max="6440" width="13.75" style="326" customWidth="1"/>
    <col min="6441" max="6441" width="10.625" style="326" customWidth="1"/>
    <col min="6442" max="6443" width="9" style="326"/>
    <col min="6444" max="6444" width="14.125" style="326" customWidth="1"/>
    <col min="6445" max="6445" width="11" style="326" customWidth="1"/>
    <col min="6446" max="6446" width="10.75" style="326" bestFit="1" customWidth="1"/>
    <col min="6447" max="6447" width="13.5" style="326" customWidth="1"/>
    <col min="6448" max="6449" width="9" style="326"/>
    <col min="6450" max="6450" width="10.75" style="326" bestFit="1" customWidth="1"/>
    <col min="6451" max="6451" width="14" style="326" customWidth="1"/>
    <col min="6452" max="6452" width="9" style="326"/>
    <col min="6453" max="6453" width="10.75" style="326" customWidth="1"/>
    <col min="6454" max="6454" width="12.75" style="326" customWidth="1"/>
    <col min="6455" max="6455" width="9" style="326"/>
    <col min="6456" max="6456" width="10.75" style="326" bestFit="1" customWidth="1"/>
    <col min="6457" max="6457" width="11.5" style="326" customWidth="1"/>
    <col min="6458" max="6458" width="13.625" style="326" customWidth="1"/>
    <col min="6459" max="6459" width="10.625" style="326" customWidth="1"/>
    <col min="6460" max="6460" width="10.75" style="326" bestFit="1" customWidth="1"/>
    <col min="6461" max="6461" width="12.375" style="326" customWidth="1"/>
    <col min="6462" max="6464" width="9" style="326"/>
    <col min="6465" max="6465" width="15.75" style="326" customWidth="1"/>
    <col min="6466" max="6466" width="9" style="326"/>
    <col min="6467" max="6467" width="10.75" style="326" bestFit="1" customWidth="1"/>
    <col min="6468" max="6468" width="12.625" style="326" customWidth="1"/>
    <col min="6469" max="6471" width="9" style="326"/>
    <col min="6472" max="6472" width="13.625" style="326" customWidth="1"/>
    <col min="6473" max="6473" width="9" style="326"/>
    <col min="6474" max="6474" width="10.75" style="326" bestFit="1" customWidth="1"/>
    <col min="6475" max="6475" width="12.5" style="326" customWidth="1"/>
    <col min="6476" max="6478" width="9" style="326"/>
    <col min="6479" max="6479" width="12.875" style="326" customWidth="1"/>
    <col min="6480" max="6480" width="9" style="326"/>
    <col min="6481" max="6481" width="10.75" style="326" bestFit="1" customWidth="1"/>
    <col min="6482" max="6482" width="13.875" style="326" customWidth="1"/>
    <col min="6483" max="6485" width="9" style="326"/>
    <col min="6486" max="6486" width="14.125" style="326" customWidth="1"/>
    <col min="6487" max="6487" width="9" style="326"/>
    <col min="6488" max="6488" width="10.75" style="326" bestFit="1" customWidth="1"/>
    <col min="6489" max="6489" width="13.25" style="326" customWidth="1"/>
    <col min="6490" max="6492" width="9" style="326"/>
    <col min="6493" max="6493" width="13.25" style="326" customWidth="1"/>
    <col min="6494" max="6494" width="9" style="326"/>
    <col min="6495" max="6495" width="10.75" style="326" bestFit="1" customWidth="1"/>
    <col min="6496" max="6496" width="13.875" style="326" customWidth="1"/>
    <col min="6497" max="6499" width="9" style="326"/>
    <col min="6500" max="6500" width="13.625" style="326" customWidth="1"/>
    <col min="6501" max="6501" width="9" style="326"/>
    <col min="6502" max="6502" width="10.75" style="326" bestFit="1" customWidth="1"/>
    <col min="6503" max="6503" width="13" style="326" customWidth="1"/>
    <col min="6504" max="6650" width="9" style="326"/>
    <col min="6651" max="6652" width="12.125" style="326" customWidth="1"/>
    <col min="6653" max="6655" width="13" style="326" customWidth="1"/>
    <col min="6656" max="6656" width="12.875" style="326" customWidth="1"/>
    <col min="6657" max="6657" width="13" style="326" customWidth="1"/>
    <col min="6658" max="6658" width="13.125" style="326" customWidth="1"/>
    <col min="6659" max="6660" width="12.125" style="326" customWidth="1"/>
    <col min="6661" max="6661" width="14.375" style="326" bestFit="1" customWidth="1"/>
    <col min="6662" max="6662" width="11" style="326" customWidth="1"/>
    <col min="6663" max="6663" width="10" style="326" customWidth="1"/>
    <col min="6664" max="6664" width="10.875" style="326" customWidth="1"/>
    <col min="6665" max="6665" width="13.75" style="326" customWidth="1"/>
    <col min="6666" max="6666" width="10" style="326" customWidth="1"/>
    <col min="6667" max="6667" width="13.25" style="326" customWidth="1"/>
    <col min="6668" max="6668" width="14.375" style="326" customWidth="1"/>
    <col min="6669" max="6669" width="10" style="326" customWidth="1"/>
    <col min="6670" max="6670" width="10.875" style="326" customWidth="1"/>
    <col min="6671" max="6671" width="11.375" style="326" customWidth="1"/>
    <col min="6672" max="6672" width="15.375" style="326" customWidth="1"/>
    <col min="6673" max="6674" width="10.75" style="326" customWidth="1"/>
    <col min="6675" max="6675" width="14.375" style="326" customWidth="1"/>
    <col min="6676" max="6676" width="10.75" style="326" customWidth="1"/>
    <col min="6677" max="6677" width="11.75" style="326" customWidth="1"/>
    <col min="6678" max="6678" width="10" style="326" customWidth="1"/>
    <col min="6679" max="6679" width="15.375" style="326" customWidth="1"/>
    <col min="6680" max="6680" width="10" style="326" customWidth="1"/>
    <col min="6681" max="6681" width="10.75" style="326" customWidth="1"/>
    <col min="6682" max="6682" width="14.875" style="326" customWidth="1"/>
    <col min="6683" max="6683" width="11.5" style="326" customWidth="1"/>
    <col min="6684" max="6684" width="10" style="326" customWidth="1"/>
    <col min="6685" max="6685" width="10.75" style="326" customWidth="1"/>
    <col min="6686" max="6686" width="13.5" style="326" customWidth="1"/>
    <col min="6687" max="6687" width="9" style="326"/>
    <col min="6688" max="6688" width="10.75" style="326" bestFit="1" customWidth="1"/>
    <col min="6689" max="6689" width="13.75" style="326" customWidth="1"/>
    <col min="6690" max="6690" width="9" style="326"/>
    <col min="6691" max="6691" width="10.625" style="326" customWidth="1"/>
    <col min="6692" max="6692" width="9" style="326"/>
    <col min="6693" max="6693" width="14.25" style="326" customWidth="1"/>
    <col min="6694" max="6694" width="10.75" style="326" bestFit="1" customWidth="1"/>
    <col min="6695" max="6695" width="11.625" style="326" customWidth="1"/>
    <col min="6696" max="6696" width="13.75" style="326" customWidth="1"/>
    <col min="6697" max="6697" width="10.625" style="326" customWidth="1"/>
    <col min="6698" max="6699" width="9" style="326"/>
    <col min="6700" max="6700" width="14.125" style="326" customWidth="1"/>
    <col min="6701" max="6701" width="11" style="326" customWidth="1"/>
    <col min="6702" max="6702" width="10.75" style="326" bestFit="1" customWidth="1"/>
    <col min="6703" max="6703" width="13.5" style="326" customWidth="1"/>
    <col min="6704" max="6705" width="9" style="326"/>
    <col min="6706" max="6706" width="10.75" style="326" bestFit="1" customWidth="1"/>
    <col min="6707" max="6707" width="14" style="326" customWidth="1"/>
    <col min="6708" max="6708" width="9" style="326"/>
    <col min="6709" max="6709" width="10.75" style="326" customWidth="1"/>
    <col min="6710" max="6710" width="12.75" style="326" customWidth="1"/>
    <col min="6711" max="6711" width="9" style="326"/>
    <col min="6712" max="6712" width="10.75" style="326" bestFit="1" customWidth="1"/>
    <col min="6713" max="6713" width="11.5" style="326" customWidth="1"/>
    <col min="6714" max="6714" width="13.625" style="326" customWidth="1"/>
    <col min="6715" max="6715" width="10.625" style="326" customWidth="1"/>
    <col min="6716" max="6716" width="10.75" style="326" bestFit="1" customWidth="1"/>
    <col min="6717" max="6717" width="12.375" style="326" customWidth="1"/>
    <col min="6718" max="6720" width="9" style="326"/>
    <col min="6721" max="6721" width="15.75" style="326" customWidth="1"/>
    <col min="6722" max="6722" width="9" style="326"/>
    <col min="6723" max="6723" width="10.75" style="326" bestFit="1" customWidth="1"/>
    <col min="6724" max="6724" width="12.625" style="326" customWidth="1"/>
    <col min="6725" max="6727" width="9" style="326"/>
    <col min="6728" max="6728" width="13.625" style="326" customWidth="1"/>
    <col min="6729" max="6729" width="9" style="326"/>
    <col min="6730" max="6730" width="10.75" style="326" bestFit="1" customWidth="1"/>
    <col min="6731" max="6731" width="12.5" style="326" customWidth="1"/>
    <col min="6732" max="6734" width="9" style="326"/>
    <col min="6735" max="6735" width="12.875" style="326" customWidth="1"/>
    <col min="6736" max="6736" width="9" style="326"/>
    <col min="6737" max="6737" width="10.75" style="326" bestFit="1" customWidth="1"/>
    <col min="6738" max="6738" width="13.875" style="326" customWidth="1"/>
    <col min="6739" max="6741" width="9" style="326"/>
    <col min="6742" max="6742" width="14.125" style="326" customWidth="1"/>
    <col min="6743" max="6743" width="9" style="326"/>
    <col min="6744" max="6744" width="10.75" style="326" bestFit="1" customWidth="1"/>
    <col min="6745" max="6745" width="13.25" style="326" customWidth="1"/>
    <col min="6746" max="6748" width="9" style="326"/>
    <col min="6749" max="6749" width="13.25" style="326" customWidth="1"/>
    <col min="6750" max="6750" width="9" style="326"/>
    <col min="6751" max="6751" width="10.75" style="326" bestFit="1" customWidth="1"/>
    <col min="6752" max="6752" width="13.875" style="326" customWidth="1"/>
    <col min="6753" max="6755" width="9" style="326"/>
    <col min="6756" max="6756" width="13.625" style="326" customWidth="1"/>
    <col min="6757" max="6757" width="9" style="326"/>
    <col min="6758" max="6758" width="10.75" style="326" bestFit="1" customWidth="1"/>
    <col min="6759" max="6759" width="13" style="326" customWidth="1"/>
    <col min="6760" max="6906" width="9" style="326"/>
    <col min="6907" max="6908" width="12.125" style="326" customWidth="1"/>
    <col min="6909" max="6911" width="13" style="326" customWidth="1"/>
    <col min="6912" max="6912" width="12.875" style="326" customWidth="1"/>
    <col min="6913" max="6913" width="13" style="326" customWidth="1"/>
    <col min="6914" max="6914" width="13.125" style="326" customWidth="1"/>
    <col min="6915" max="6916" width="12.125" style="326" customWidth="1"/>
    <col min="6917" max="6917" width="14.375" style="326" bestFit="1" customWidth="1"/>
    <col min="6918" max="6918" width="11" style="326" customWidth="1"/>
    <col min="6919" max="6919" width="10" style="326" customWidth="1"/>
    <col min="6920" max="6920" width="10.875" style="326" customWidth="1"/>
    <col min="6921" max="6921" width="13.75" style="326" customWidth="1"/>
    <col min="6922" max="6922" width="10" style="326" customWidth="1"/>
    <col min="6923" max="6923" width="13.25" style="326" customWidth="1"/>
    <col min="6924" max="6924" width="14.375" style="326" customWidth="1"/>
    <col min="6925" max="6925" width="10" style="326" customWidth="1"/>
    <col min="6926" max="6926" width="10.875" style="326" customWidth="1"/>
    <col min="6927" max="6927" width="11.375" style="326" customWidth="1"/>
    <col min="6928" max="6928" width="15.375" style="326" customWidth="1"/>
    <col min="6929" max="6930" width="10.75" style="326" customWidth="1"/>
    <col min="6931" max="6931" width="14.375" style="326" customWidth="1"/>
    <col min="6932" max="6932" width="10.75" style="326" customWidth="1"/>
    <col min="6933" max="6933" width="11.75" style="326" customWidth="1"/>
    <col min="6934" max="6934" width="10" style="326" customWidth="1"/>
    <col min="6935" max="6935" width="15.375" style="326" customWidth="1"/>
    <col min="6936" max="6936" width="10" style="326" customWidth="1"/>
    <col min="6937" max="6937" width="10.75" style="326" customWidth="1"/>
    <col min="6938" max="6938" width="14.875" style="326" customWidth="1"/>
    <col min="6939" max="6939" width="11.5" style="326" customWidth="1"/>
    <col min="6940" max="6940" width="10" style="326" customWidth="1"/>
    <col min="6941" max="6941" width="10.75" style="326" customWidth="1"/>
    <col min="6942" max="6942" width="13.5" style="326" customWidth="1"/>
    <col min="6943" max="6943" width="9" style="326"/>
    <col min="6944" max="6944" width="10.75" style="326" bestFit="1" customWidth="1"/>
    <col min="6945" max="6945" width="13.75" style="326" customWidth="1"/>
    <col min="6946" max="6946" width="9" style="326"/>
    <col min="6947" max="6947" width="10.625" style="326" customWidth="1"/>
    <col min="6948" max="6948" width="9" style="326"/>
    <col min="6949" max="6949" width="14.25" style="326" customWidth="1"/>
    <col min="6950" max="6950" width="10.75" style="326" bestFit="1" customWidth="1"/>
    <col min="6951" max="6951" width="11.625" style="326" customWidth="1"/>
    <col min="6952" max="6952" width="13.75" style="326" customWidth="1"/>
    <col min="6953" max="6953" width="10.625" style="326" customWidth="1"/>
    <col min="6954" max="6955" width="9" style="326"/>
    <col min="6956" max="6956" width="14.125" style="326" customWidth="1"/>
    <col min="6957" max="6957" width="11" style="326" customWidth="1"/>
    <col min="6958" max="6958" width="10.75" style="326" bestFit="1" customWidth="1"/>
    <col min="6959" max="6959" width="13.5" style="326" customWidth="1"/>
    <col min="6960" max="6961" width="9" style="326"/>
    <col min="6962" max="6962" width="10.75" style="326" bestFit="1" customWidth="1"/>
    <col min="6963" max="6963" width="14" style="326" customWidth="1"/>
    <col min="6964" max="6964" width="9" style="326"/>
    <col min="6965" max="6965" width="10.75" style="326" customWidth="1"/>
    <col min="6966" max="6966" width="12.75" style="326" customWidth="1"/>
    <col min="6967" max="6967" width="9" style="326"/>
    <col min="6968" max="6968" width="10.75" style="326" bestFit="1" customWidth="1"/>
    <col min="6969" max="6969" width="11.5" style="326" customWidth="1"/>
    <col min="6970" max="6970" width="13.625" style="326" customWidth="1"/>
    <col min="6971" max="6971" width="10.625" style="326" customWidth="1"/>
    <col min="6972" max="6972" width="10.75" style="326" bestFit="1" customWidth="1"/>
    <col min="6973" max="6973" width="12.375" style="326" customWidth="1"/>
    <col min="6974" max="6976" width="9" style="326"/>
    <col min="6977" max="6977" width="15.75" style="326" customWidth="1"/>
    <col min="6978" max="6978" width="9" style="326"/>
    <col min="6979" max="6979" width="10.75" style="326" bestFit="1" customWidth="1"/>
    <col min="6980" max="6980" width="12.625" style="326" customWidth="1"/>
    <col min="6981" max="6983" width="9" style="326"/>
    <col min="6984" max="6984" width="13.625" style="326" customWidth="1"/>
    <col min="6985" max="6985" width="9" style="326"/>
    <col min="6986" max="6986" width="10.75" style="326" bestFit="1" customWidth="1"/>
    <col min="6987" max="6987" width="12.5" style="326" customWidth="1"/>
    <col min="6988" max="6990" width="9" style="326"/>
    <col min="6991" max="6991" width="12.875" style="326" customWidth="1"/>
    <col min="6992" max="6992" width="9" style="326"/>
    <col min="6993" max="6993" width="10.75" style="326" bestFit="1" customWidth="1"/>
    <col min="6994" max="6994" width="13.875" style="326" customWidth="1"/>
    <col min="6995" max="6997" width="9" style="326"/>
    <col min="6998" max="6998" width="14.125" style="326" customWidth="1"/>
    <col min="6999" max="6999" width="9" style="326"/>
    <col min="7000" max="7000" width="10.75" style="326" bestFit="1" customWidth="1"/>
    <col min="7001" max="7001" width="13.25" style="326" customWidth="1"/>
    <col min="7002" max="7004" width="9" style="326"/>
    <col min="7005" max="7005" width="13.25" style="326" customWidth="1"/>
    <col min="7006" max="7006" width="9" style="326"/>
    <col min="7007" max="7007" width="10.75" style="326" bestFit="1" customWidth="1"/>
    <col min="7008" max="7008" width="13.875" style="326" customWidth="1"/>
    <col min="7009" max="7011" width="9" style="326"/>
    <col min="7012" max="7012" width="13.625" style="326" customWidth="1"/>
    <col min="7013" max="7013" width="9" style="326"/>
    <col min="7014" max="7014" width="10.75" style="326" bestFit="1" customWidth="1"/>
    <col min="7015" max="7015" width="13" style="326" customWidth="1"/>
    <col min="7016" max="7162" width="9" style="326"/>
    <col min="7163" max="7164" width="12.125" style="326" customWidth="1"/>
    <col min="7165" max="7167" width="13" style="326" customWidth="1"/>
    <col min="7168" max="7168" width="12.875" style="326" customWidth="1"/>
    <col min="7169" max="7169" width="13" style="326" customWidth="1"/>
    <col min="7170" max="7170" width="13.125" style="326" customWidth="1"/>
    <col min="7171" max="7172" width="12.125" style="326" customWidth="1"/>
    <col min="7173" max="7173" width="14.375" style="326" bestFit="1" customWidth="1"/>
    <col min="7174" max="7174" width="11" style="326" customWidth="1"/>
    <col min="7175" max="7175" width="10" style="326" customWidth="1"/>
    <col min="7176" max="7176" width="10.875" style="326" customWidth="1"/>
    <col min="7177" max="7177" width="13.75" style="326" customWidth="1"/>
    <col min="7178" max="7178" width="10" style="326" customWidth="1"/>
    <col min="7179" max="7179" width="13.25" style="326" customWidth="1"/>
    <col min="7180" max="7180" width="14.375" style="326" customWidth="1"/>
    <col min="7181" max="7181" width="10" style="326" customWidth="1"/>
    <col min="7182" max="7182" width="10.875" style="326" customWidth="1"/>
    <col min="7183" max="7183" width="11.375" style="326" customWidth="1"/>
    <col min="7184" max="7184" width="15.375" style="326" customWidth="1"/>
    <col min="7185" max="7186" width="10.75" style="326" customWidth="1"/>
    <col min="7187" max="7187" width="14.375" style="326" customWidth="1"/>
    <col min="7188" max="7188" width="10.75" style="326" customWidth="1"/>
    <col min="7189" max="7189" width="11.75" style="326" customWidth="1"/>
    <col min="7190" max="7190" width="10" style="326" customWidth="1"/>
    <col min="7191" max="7191" width="15.375" style="326" customWidth="1"/>
    <col min="7192" max="7192" width="10" style="326" customWidth="1"/>
    <col min="7193" max="7193" width="10.75" style="326" customWidth="1"/>
    <col min="7194" max="7194" width="14.875" style="326" customWidth="1"/>
    <col min="7195" max="7195" width="11.5" style="326" customWidth="1"/>
    <col min="7196" max="7196" width="10" style="326" customWidth="1"/>
    <col min="7197" max="7197" width="10.75" style="326" customWidth="1"/>
    <col min="7198" max="7198" width="13.5" style="326" customWidth="1"/>
    <col min="7199" max="7199" width="9" style="326"/>
    <col min="7200" max="7200" width="10.75" style="326" bestFit="1" customWidth="1"/>
    <col min="7201" max="7201" width="13.75" style="326" customWidth="1"/>
    <col min="7202" max="7202" width="9" style="326"/>
    <col min="7203" max="7203" width="10.625" style="326" customWidth="1"/>
    <col min="7204" max="7204" width="9" style="326"/>
    <col min="7205" max="7205" width="14.25" style="326" customWidth="1"/>
    <col min="7206" max="7206" width="10.75" style="326" bestFit="1" customWidth="1"/>
    <col min="7207" max="7207" width="11.625" style="326" customWidth="1"/>
    <col min="7208" max="7208" width="13.75" style="326" customWidth="1"/>
    <col min="7209" max="7209" width="10.625" style="326" customWidth="1"/>
    <col min="7210" max="7211" width="9" style="326"/>
    <col min="7212" max="7212" width="14.125" style="326" customWidth="1"/>
    <col min="7213" max="7213" width="11" style="326" customWidth="1"/>
    <col min="7214" max="7214" width="10.75" style="326" bestFit="1" customWidth="1"/>
    <col min="7215" max="7215" width="13.5" style="326" customWidth="1"/>
    <col min="7216" max="7217" width="9" style="326"/>
    <col min="7218" max="7218" width="10.75" style="326" bestFit="1" customWidth="1"/>
    <col min="7219" max="7219" width="14" style="326" customWidth="1"/>
    <col min="7220" max="7220" width="9" style="326"/>
    <col min="7221" max="7221" width="10.75" style="326" customWidth="1"/>
    <col min="7222" max="7222" width="12.75" style="326" customWidth="1"/>
    <col min="7223" max="7223" width="9" style="326"/>
    <col min="7224" max="7224" width="10.75" style="326" bestFit="1" customWidth="1"/>
    <col min="7225" max="7225" width="11.5" style="326" customWidth="1"/>
    <col min="7226" max="7226" width="13.625" style="326" customWidth="1"/>
    <col min="7227" max="7227" width="10.625" style="326" customWidth="1"/>
    <col min="7228" max="7228" width="10.75" style="326" bestFit="1" customWidth="1"/>
    <col min="7229" max="7229" width="12.375" style="326" customWidth="1"/>
    <col min="7230" max="7232" width="9" style="326"/>
    <col min="7233" max="7233" width="15.75" style="326" customWidth="1"/>
    <col min="7234" max="7234" width="9" style="326"/>
    <col min="7235" max="7235" width="10.75" style="326" bestFit="1" customWidth="1"/>
    <col min="7236" max="7236" width="12.625" style="326" customWidth="1"/>
    <col min="7237" max="7239" width="9" style="326"/>
    <col min="7240" max="7240" width="13.625" style="326" customWidth="1"/>
    <col min="7241" max="7241" width="9" style="326"/>
    <col min="7242" max="7242" width="10.75" style="326" bestFit="1" customWidth="1"/>
    <col min="7243" max="7243" width="12.5" style="326" customWidth="1"/>
    <col min="7244" max="7246" width="9" style="326"/>
    <col min="7247" max="7247" width="12.875" style="326" customWidth="1"/>
    <col min="7248" max="7248" width="9" style="326"/>
    <col min="7249" max="7249" width="10.75" style="326" bestFit="1" customWidth="1"/>
    <col min="7250" max="7250" width="13.875" style="326" customWidth="1"/>
    <col min="7251" max="7253" width="9" style="326"/>
    <col min="7254" max="7254" width="14.125" style="326" customWidth="1"/>
    <col min="7255" max="7255" width="9" style="326"/>
    <col min="7256" max="7256" width="10.75" style="326" bestFit="1" customWidth="1"/>
    <col min="7257" max="7257" width="13.25" style="326" customWidth="1"/>
    <col min="7258" max="7260" width="9" style="326"/>
    <col min="7261" max="7261" width="13.25" style="326" customWidth="1"/>
    <col min="7262" max="7262" width="9" style="326"/>
    <col min="7263" max="7263" width="10.75" style="326" bestFit="1" customWidth="1"/>
    <col min="7264" max="7264" width="13.875" style="326" customWidth="1"/>
    <col min="7265" max="7267" width="9" style="326"/>
    <col min="7268" max="7268" width="13.625" style="326" customWidth="1"/>
    <col min="7269" max="7269" width="9" style="326"/>
    <col min="7270" max="7270" width="10.75" style="326" bestFit="1" customWidth="1"/>
    <col min="7271" max="7271" width="13" style="326" customWidth="1"/>
    <col min="7272" max="7418" width="9" style="326"/>
    <col min="7419" max="7420" width="12.125" style="326" customWidth="1"/>
    <col min="7421" max="7423" width="13" style="326" customWidth="1"/>
    <col min="7424" max="7424" width="12.875" style="326" customWidth="1"/>
    <col min="7425" max="7425" width="13" style="326" customWidth="1"/>
    <col min="7426" max="7426" width="13.125" style="326" customWidth="1"/>
    <col min="7427" max="7428" width="12.125" style="326" customWidth="1"/>
    <col min="7429" max="7429" width="14.375" style="326" bestFit="1" customWidth="1"/>
    <col min="7430" max="7430" width="11" style="326" customWidth="1"/>
    <col min="7431" max="7431" width="10" style="326" customWidth="1"/>
    <col min="7432" max="7432" width="10.875" style="326" customWidth="1"/>
    <col min="7433" max="7433" width="13.75" style="326" customWidth="1"/>
    <col min="7434" max="7434" width="10" style="326" customWidth="1"/>
    <col min="7435" max="7435" width="13.25" style="326" customWidth="1"/>
    <col min="7436" max="7436" width="14.375" style="326" customWidth="1"/>
    <col min="7437" max="7437" width="10" style="326" customWidth="1"/>
    <col min="7438" max="7438" width="10.875" style="326" customWidth="1"/>
    <col min="7439" max="7439" width="11.375" style="326" customWidth="1"/>
    <col min="7440" max="7440" width="15.375" style="326" customWidth="1"/>
    <col min="7441" max="7442" width="10.75" style="326" customWidth="1"/>
    <col min="7443" max="7443" width="14.375" style="326" customWidth="1"/>
    <col min="7444" max="7444" width="10.75" style="326" customWidth="1"/>
    <col min="7445" max="7445" width="11.75" style="326" customWidth="1"/>
    <col min="7446" max="7446" width="10" style="326" customWidth="1"/>
    <col min="7447" max="7447" width="15.375" style="326" customWidth="1"/>
    <col min="7448" max="7448" width="10" style="326" customWidth="1"/>
    <col min="7449" max="7449" width="10.75" style="326" customWidth="1"/>
    <col min="7450" max="7450" width="14.875" style="326" customWidth="1"/>
    <col min="7451" max="7451" width="11.5" style="326" customWidth="1"/>
    <col min="7452" max="7452" width="10" style="326" customWidth="1"/>
    <col min="7453" max="7453" width="10.75" style="326" customWidth="1"/>
    <col min="7454" max="7454" width="13.5" style="326" customWidth="1"/>
    <col min="7455" max="7455" width="9" style="326"/>
    <col min="7456" max="7456" width="10.75" style="326" bestFit="1" customWidth="1"/>
    <col min="7457" max="7457" width="13.75" style="326" customWidth="1"/>
    <col min="7458" max="7458" width="9" style="326"/>
    <col min="7459" max="7459" width="10.625" style="326" customWidth="1"/>
    <col min="7460" max="7460" width="9" style="326"/>
    <col min="7461" max="7461" width="14.25" style="326" customWidth="1"/>
    <col min="7462" max="7462" width="10.75" style="326" bestFit="1" customWidth="1"/>
    <col min="7463" max="7463" width="11.625" style="326" customWidth="1"/>
    <col min="7464" max="7464" width="13.75" style="326" customWidth="1"/>
    <col min="7465" max="7465" width="10.625" style="326" customWidth="1"/>
    <col min="7466" max="7467" width="9" style="326"/>
    <col min="7468" max="7468" width="14.125" style="326" customWidth="1"/>
    <col min="7469" max="7469" width="11" style="326" customWidth="1"/>
    <col min="7470" max="7470" width="10.75" style="326" bestFit="1" customWidth="1"/>
    <col min="7471" max="7471" width="13.5" style="326" customWidth="1"/>
    <col min="7472" max="7473" width="9" style="326"/>
    <col min="7474" max="7474" width="10.75" style="326" bestFit="1" customWidth="1"/>
    <col min="7475" max="7475" width="14" style="326" customWidth="1"/>
    <col min="7476" max="7476" width="9" style="326"/>
    <col min="7477" max="7477" width="10.75" style="326" customWidth="1"/>
    <col min="7478" max="7478" width="12.75" style="326" customWidth="1"/>
    <col min="7479" max="7479" width="9" style="326"/>
    <col min="7480" max="7480" width="10.75" style="326" bestFit="1" customWidth="1"/>
    <col min="7481" max="7481" width="11.5" style="326" customWidth="1"/>
    <col min="7482" max="7482" width="13.625" style="326" customWidth="1"/>
    <col min="7483" max="7483" width="10.625" style="326" customWidth="1"/>
    <col min="7484" max="7484" width="10.75" style="326" bestFit="1" customWidth="1"/>
    <col min="7485" max="7485" width="12.375" style="326" customWidth="1"/>
    <col min="7486" max="7488" width="9" style="326"/>
    <col min="7489" max="7489" width="15.75" style="326" customWidth="1"/>
    <col min="7490" max="7490" width="9" style="326"/>
    <col min="7491" max="7491" width="10.75" style="326" bestFit="1" customWidth="1"/>
    <col min="7492" max="7492" width="12.625" style="326" customWidth="1"/>
    <col min="7493" max="7495" width="9" style="326"/>
    <col min="7496" max="7496" width="13.625" style="326" customWidth="1"/>
    <col min="7497" max="7497" width="9" style="326"/>
    <col min="7498" max="7498" width="10.75" style="326" bestFit="1" customWidth="1"/>
    <col min="7499" max="7499" width="12.5" style="326" customWidth="1"/>
    <col min="7500" max="7502" width="9" style="326"/>
    <col min="7503" max="7503" width="12.875" style="326" customWidth="1"/>
    <col min="7504" max="7504" width="9" style="326"/>
    <col min="7505" max="7505" width="10.75" style="326" bestFit="1" customWidth="1"/>
    <col min="7506" max="7506" width="13.875" style="326" customWidth="1"/>
    <col min="7507" max="7509" width="9" style="326"/>
    <col min="7510" max="7510" width="14.125" style="326" customWidth="1"/>
    <col min="7511" max="7511" width="9" style="326"/>
    <col min="7512" max="7512" width="10.75" style="326" bestFit="1" customWidth="1"/>
    <col min="7513" max="7513" width="13.25" style="326" customWidth="1"/>
    <col min="7514" max="7516" width="9" style="326"/>
    <col min="7517" max="7517" width="13.25" style="326" customWidth="1"/>
    <col min="7518" max="7518" width="9" style="326"/>
    <col min="7519" max="7519" width="10.75" style="326" bestFit="1" customWidth="1"/>
    <col min="7520" max="7520" width="13.875" style="326" customWidth="1"/>
    <col min="7521" max="7523" width="9" style="326"/>
    <col min="7524" max="7524" width="13.625" style="326" customWidth="1"/>
    <col min="7525" max="7525" width="9" style="326"/>
    <col min="7526" max="7526" width="10.75" style="326" bestFit="1" customWidth="1"/>
    <col min="7527" max="7527" width="13" style="326" customWidth="1"/>
    <col min="7528" max="7674" width="9" style="326"/>
    <col min="7675" max="7676" width="12.125" style="326" customWidth="1"/>
    <col min="7677" max="7679" width="13" style="326" customWidth="1"/>
    <col min="7680" max="7680" width="12.875" style="326" customWidth="1"/>
    <col min="7681" max="7681" width="13" style="326" customWidth="1"/>
    <col min="7682" max="7682" width="13.125" style="326" customWidth="1"/>
    <col min="7683" max="7684" width="12.125" style="326" customWidth="1"/>
    <col min="7685" max="7685" width="14.375" style="326" bestFit="1" customWidth="1"/>
    <col min="7686" max="7686" width="11" style="326" customWidth="1"/>
    <col min="7687" max="7687" width="10" style="326" customWidth="1"/>
    <col min="7688" max="7688" width="10.875" style="326" customWidth="1"/>
    <col min="7689" max="7689" width="13.75" style="326" customWidth="1"/>
    <col min="7690" max="7690" width="10" style="326" customWidth="1"/>
    <col min="7691" max="7691" width="13.25" style="326" customWidth="1"/>
    <col min="7692" max="7692" width="14.375" style="326" customWidth="1"/>
    <col min="7693" max="7693" width="10" style="326" customWidth="1"/>
    <col min="7694" max="7694" width="10.875" style="326" customWidth="1"/>
    <col min="7695" max="7695" width="11.375" style="326" customWidth="1"/>
    <col min="7696" max="7696" width="15.375" style="326" customWidth="1"/>
    <col min="7697" max="7698" width="10.75" style="326" customWidth="1"/>
    <col min="7699" max="7699" width="14.375" style="326" customWidth="1"/>
    <col min="7700" max="7700" width="10.75" style="326" customWidth="1"/>
    <col min="7701" max="7701" width="11.75" style="326" customWidth="1"/>
    <col min="7702" max="7702" width="10" style="326" customWidth="1"/>
    <col min="7703" max="7703" width="15.375" style="326" customWidth="1"/>
    <col min="7704" max="7704" width="10" style="326" customWidth="1"/>
    <col min="7705" max="7705" width="10.75" style="326" customWidth="1"/>
    <col min="7706" max="7706" width="14.875" style="326" customWidth="1"/>
    <col min="7707" max="7707" width="11.5" style="326" customWidth="1"/>
    <col min="7708" max="7708" width="10" style="326" customWidth="1"/>
    <col min="7709" max="7709" width="10.75" style="326" customWidth="1"/>
    <col min="7710" max="7710" width="13.5" style="326" customWidth="1"/>
    <col min="7711" max="7711" width="9" style="326"/>
    <col min="7712" max="7712" width="10.75" style="326" bestFit="1" customWidth="1"/>
    <col min="7713" max="7713" width="13.75" style="326" customWidth="1"/>
    <col min="7714" max="7714" width="9" style="326"/>
    <col min="7715" max="7715" width="10.625" style="326" customWidth="1"/>
    <col min="7716" max="7716" width="9" style="326"/>
    <col min="7717" max="7717" width="14.25" style="326" customWidth="1"/>
    <col min="7718" max="7718" width="10.75" style="326" bestFit="1" customWidth="1"/>
    <col min="7719" max="7719" width="11.625" style="326" customWidth="1"/>
    <col min="7720" max="7720" width="13.75" style="326" customWidth="1"/>
    <col min="7721" max="7721" width="10.625" style="326" customWidth="1"/>
    <col min="7722" max="7723" width="9" style="326"/>
    <col min="7724" max="7724" width="14.125" style="326" customWidth="1"/>
    <col min="7725" max="7725" width="11" style="326" customWidth="1"/>
    <col min="7726" max="7726" width="10.75" style="326" bestFit="1" customWidth="1"/>
    <col min="7727" max="7727" width="13.5" style="326" customWidth="1"/>
    <col min="7728" max="7729" width="9" style="326"/>
    <col min="7730" max="7730" width="10.75" style="326" bestFit="1" customWidth="1"/>
    <col min="7731" max="7731" width="14" style="326" customWidth="1"/>
    <col min="7732" max="7732" width="9" style="326"/>
    <col min="7733" max="7733" width="10.75" style="326" customWidth="1"/>
    <col min="7734" max="7734" width="12.75" style="326" customWidth="1"/>
    <col min="7735" max="7735" width="9" style="326"/>
    <col min="7736" max="7736" width="10.75" style="326" bestFit="1" customWidth="1"/>
    <col min="7737" max="7737" width="11.5" style="326" customWidth="1"/>
    <col min="7738" max="7738" width="13.625" style="326" customWidth="1"/>
    <col min="7739" max="7739" width="10.625" style="326" customWidth="1"/>
    <col min="7740" max="7740" width="10.75" style="326" bestFit="1" customWidth="1"/>
    <col min="7741" max="7741" width="12.375" style="326" customWidth="1"/>
    <col min="7742" max="7744" width="9" style="326"/>
    <col min="7745" max="7745" width="15.75" style="326" customWidth="1"/>
    <col min="7746" max="7746" width="9" style="326"/>
    <col min="7747" max="7747" width="10.75" style="326" bestFit="1" customWidth="1"/>
    <col min="7748" max="7748" width="12.625" style="326" customWidth="1"/>
    <col min="7749" max="7751" width="9" style="326"/>
    <col min="7752" max="7752" width="13.625" style="326" customWidth="1"/>
    <col min="7753" max="7753" width="9" style="326"/>
    <col min="7754" max="7754" width="10.75" style="326" bestFit="1" customWidth="1"/>
    <col min="7755" max="7755" width="12.5" style="326" customWidth="1"/>
    <col min="7756" max="7758" width="9" style="326"/>
    <col min="7759" max="7759" width="12.875" style="326" customWidth="1"/>
    <col min="7760" max="7760" width="9" style="326"/>
    <col min="7761" max="7761" width="10.75" style="326" bestFit="1" customWidth="1"/>
    <col min="7762" max="7762" width="13.875" style="326" customWidth="1"/>
    <col min="7763" max="7765" width="9" style="326"/>
    <col min="7766" max="7766" width="14.125" style="326" customWidth="1"/>
    <col min="7767" max="7767" width="9" style="326"/>
    <col min="7768" max="7768" width="10.75" style="326" bestFit="1" customWidth="1"/>
    <col min="7769" max="7769" width="13.25" style="326" customWidth="1"/>
    <col min="7770" max="7772" width="9" style="326"/>
    <col min="7773" max="7773" width="13.25" style="326" customWidth="1"/>
    <col min="7774" max="7774" width="9" style="326"/>
    <col min="7775" max="7775" width="10.75" style="326" bestFit="1" customWidth="1"/>
    <col min="7776" max="7776" width="13.875" style="326" customWidth="1"/>
    <col min="7777" max="7779" width="9" style="326"/>
    <col min="7780" max="7780" width="13.625" style="326" customWidth="1"/>
    <col min="7781" max="7781" width="9" style="326"/>
    <col min="7782" max="7782" width="10.75" style="326" bestFit="1" customWidth="1"/>
    <col min="7783" max="7783" width="13" style="326" customWidth="1"/>
    <col min="7784" max="7930" width="9" style="326"/>
    <col min="7931" max="7932" width="12.125" style="326" customWidth="1"/>
    <col min="7933" max="7935" width="13" style="326" customWidth="1"/>
    <col min="7936" max="7936" width="12.875" style="326" customWidth="1"/>
    <col min="7937" max="7937" width="13" style="326" customWidth="1"/>
    <col min="7938" max="7938" width="13.125" style="326" customWidth="1"/>
    <col min="7939" max="7940" width="12.125" style="326" customWidth="1"/>
    <col min="7941" max="7941" width="14.375" style="326" bestFit="1" customWidth="1"/>
    <col min="7942" max="7942" width="11" style="326" customWidth="1"/>
    <col min="7943" max="7943" width="10" style="326" customWidth="1"/>
    <col min="7944" max="7944" width="10.875" style="326" customWidth="1"/>
    <col min="7945" max="7945" width="13.75" style="326" customWidth="1"/>
    <col min="7946" max="7946" width="10" style="326" customWidth="1"/>
    <col min="7947" max="7947" width="13.25" style="326" customWidth="1"/>
    <col min="7948" max="7948" width="14.375" style="326" customWidth="1"/>
    <col min="7949" max="7949" width="10" style="326" customWidth="1"/>
    <col min="7950" max="7950" width="10.875" style="326" customWidth="1"/>
    <col min="7951" max="7951" width="11.375" style="326" customWidth="1"/>
    <col min="7952" max="7952" width="15.375" style="326" customWidth="1"/>
    <col min="7953" max="7954" width="10.75" style="326" customWidth="1"/>
    <col min="7955" max="7955" width="14.375" style="326" customWidth="1"/>
    <col min="7956" max="7956" width="10.75" style="326" customWidth="1"/>
    <col min="7957" max="7957" width="11.75" style="326" customWidth="1"/>
    <col min="7958" max="7958" width="10" style="326" customWidth="1"/>
    <col min="7959" max="7959" width="15.375" style="326" customWidth="1"/>
    <col min="7960" max="7960" width="10" style="326" customWidth="1"/>
    <col min="7961" max="7961" width="10.75" style="326" customWidth="1"/>
    <col min="7962" max="7962" width="14.875" style="326" customWidth="1"/>
    <col min="7963" max="7963" width="11.5" style="326" customWidth="1"/>
    <col min="7964" max="7964" width="10" style="326" customWidth="1"/>
    <col min="7965" max="7965" width="10.75" style="326" customWidth="1"/>
    <col min="7966" max="7966" width="13.5" style="326" customWidth="1"/>
    <col min="7967" max="7967" width="9" style="326"/>
    <col min="7968" max="7968" width="10.75" style="326" bestFit="1" customWidth="1"/>
    <col min="7969" max="7969" width="13.75" style="326" customWidth="1"/>
    <col min="7970" max="7970" width="9" style="326"/>
    <col min="7971" max="7971" width="10.625" style="326" customWidth="1"/>
    <col min="7972" max="7972" width="9" style="326"/>
    <col min="7973" max="7973" width="14.25" style="326" customWidth="1"/>
    <col min="7974" max="7974" width="10.75" style="326" bestFit="1" customWidth="1"/>
    <col min="7975" max="7975" width="11.625" style="326" customWidth="1"/>
    <col min="7976" max="7976" width="13.75" style="326" customWidth="1"/>
    <col min="7977" max="7977" width="10.625" style="326" customWidth="1"/>
    <col min="7978" max="7979" width="9" style="326"/>
    <col min="7980" max="7980" width="14.125" style="326" customWidth="1"/>
    <col min="7981" max="7981" width="11" style="326" customWidth="1"/>
    <col min="7982" max="7982" width="10.75" style="326" bestFit="1" customWidth="1"/>
    <col min="7983" max="7983" width="13.5" style="326" customWidth="1"/>
    <col min="7984" max="7985" width="9" style="326"/>
    <col min="7986" max="7986" width="10.75" style="326" bestFit="1" customWidth="1"/>
    <col min="7987" max="7987" width="14" style="326" customWidth="1"/>
    <col min="7988" max="7988" width="9" style="326"/>
    <col min="7989" max="7989" width="10.75" style="326" customWidth="1"/>
    <col min="7990" max="7990" width="12.75" style="326" customWidth="1"/>
    <col min="7991" max="7991" width="9" style="326"/>
    <col min="7992" max="7992" width="10.75" style="326" bestFit="1" customWidth="1"/>
    <col min="7993" max="7993" width="11.5" style="326" customWidth="1"/>
    <col min="7994" max="7994" width="13.625" style="326" customWidth="1"/>
    <col min="7995" max="7995" width="10.625" style="326" customWidth="1"/>
    <col min="7996" max="7996" width="10.75" style="326" bestFit="1" customWidth="1"/>
    <col min="7997" max="7997" width="12.375" style="326" customWidth="1"/>
    <col min="7998" max="8000" width="9" style="326"/>
    <col min="8001" max="8001" width="15.75" style="326" customWidth="1"/>
    <col min="8002" max="8002" width="9" style="326"/>
    <col min="8003" max="8003" width="10.75" style="326" bestFit="1" customWidth="1"/>
    <col min="8004" max="8004" width="12.625" style="326" customWidth="1"/>
    <col min="8005" max="8007" width="9" style="326"/>
    <col min="8008" max="8008" width="13.625" style="326" customWidth="1"/>
    <col min="8009" max="8009" width="9" style="326"/>
    <col min="8010" max="8010" width="10.75" style="326" bestFit="1" customWidth="1"/>
    <col min="8011" max="8011" width="12.5" style="326" customWidth="1"/>
    <col min="8012" max="8014" width="9" style="326"/>
    <col min="8015" max="8015" width="12.875" style="326" customWidth="1"/>
    <col min="8016" max="8016" width="9" style="326"/>
    <col min="8017" max="8017" width="10.75" style="326" bestFit="1" customWidth="1"/>
    <col min="8018" max="8018" width="13.875" style="326" customWidth="1"/>
    <col min="8019" max="8021" width="9" style="326"/>
    <col min="8022" max="8022" width="14.125" style="326" customWidth="1"/>
    <col min="8023" max="8023" width="9" style="326"/>
    <col min="8024" max="8024" width="10.75" style="326" bestFit="1" customWidth="1"/>
    <col min="8025" max="8025" width="13.25" style="326" customWidth="1"/>
    <col min="8026" max="8028" width="9" style="326"/>
    <col min="8029" max="8029" width="13.25" style="326" customWidth="1"/>
    <col min="8030" max="8030" width="9" style="326"/>
    <col min="8031" max="8031" width="10.75" style="326" bestFit="1" customWidth="1"/>
    <col min="8032" max="8032" width="13.875" style="326" customWidth="1"/>
    <col min="8033" max="8035" width="9" style="326"/>
    <col min="8036" max="8036" width="13.625" style="326" customWidth="1"/>
    <col min="8037" max="8037" width="9" style="326"/>
    <col min="8038" max="8038" width="10.75" style="326" bestFit="1" customWidth="1"/>
    <col min="8039" max="8039" width="13" style="326" customWidth="1"/>
    <col min="8040" max="8186" width="9" style="326"/>
    <col min="8187" max="8188" width="12.125" style="326" customWidth="1"/>
    <col min="8189" max="8191" width="13" style="326" customWidth="1"/>
    <col min="8192" max="8192" width="12.875" style="326" customWidth="1"/>
    <col min="8193" max="8193" width="13" style="326" customWidth="1"/>
    <col min="8194" max="8194" width="13.125" style="326" customWidth="1"/>
    <col min="8195" max="8196" width="12.125" style="326" customWidth="1"/>
    <col min="8197" max="8197" width="14.375" style="326" bestFit="1" customWidth="1"/>
    <col min="8198" max="8198" width="11" style="326" customWidth="1"/>
    <col min="8199" max="8199" width="10" style="326" customWidth="1"/>
    <col min="8200" max="8200" width="10.875" style="326" customWidth="1"/>
    <col min="8201" max="8201" width="13.75" style="326" customWidth="1"/>
    <col min="8202" max="8202" width="10" style="326" customWidth="1"/>
    <col min="8203" max="8203" width="13.25" style="326" customWidth="1"/>
    <col min="8204" max="8204" width="14.375" style="326" customWidth="1"/>
    <col min="8205" max="8205" width="10" style="326" customWidth="1"/>
    <col min="8206" max="8206" width="10.875" style="326" customWidth="1"/>
    <col min="8207" max="8207" width="11.375" style="326" customWidth="1"/>
    <col min="8208" max="8208" width="15.375" style="326" customWidth="1"/>
    <col min="8209" max="8210" width="10.75" style="326" customWidth="1"/>
    <col min="8211" max="8211" width="14.375" style="326" customWidth="1"/>
    <col min="8212" max="8212" width="10.75" style="326" customWidth="1"/>
    <col min="8213" max="8213" width="11.75" style="326" customWidth="1"/>
    <col min="8214" max="8214" width="10" style="326" customWidth="1"/>
    <col min="8215" max="8215" width="15.375" style="326" customWidth="1"/>
    <col min="8216" max="8216" width="10" style="326" customWidth="1"/>
    <col min="8217" max="8217" width="10.75" style="326" customWidth="1"/>
    <col min="8218" max="8218" width="14.875" style="326" customWidth="1"/>
    <col min="8219" max="8219" width="11.5" style="326" customWidth="1"/>
    <col min="8220" max="8220" width="10" style="326" customWidth="1"/>
    <col min="8221" max="8221" width="10.75" style="326" customWidth="1"/>
    <col min="8222" max="8222" width="13.5" style="326" customWidth="1"/>
    <col min="8223" max="8223" width="9" style="326"/>
    <col min="8224" max="8224" width="10.75" style="326" bestFit="1" customWidth="1"/>
    <col min="8225" max="8225" width="13.75" style="326" customWidth="1"/>
    <col min="8226" max="8226" width="9" style="326"/>
    <col min="8227" max="8227" width="10.625" style="326" customWidth="1"/>
    <col min="8228" max="8228" width="9" style="326"/>
    <col min="8229" max="8229" width="14.25" style="326" customWidth="1"/>
    <col min="8230" max="8230" width="10.75" style="326" bestFit="1" customWidth="1"/>
    <col min="8231" max="8231" width="11.625" style="326" customWidth="1"/>
    <col min="8232" max="8232" width="13.75" style="326" customWidth="1"/>
    <col min="8233" max="8233" width="10.625" style="326" customWidth="1"/>
    <col min="8234" max="8235" width="9" style="326"/>
    <col min="8236" max="8236" width="14.125" style="326" customWidth="1"/>
    <col min="8237" max="8237" width="11" style="326" customWidth="1"/>
    <col min="8238" max="8238" width="10.75" style="326" bestFit="1" customWidth="1"/>
    <col min="8239" max="8239" width="13.5" style="326" customWidth="1"/>
    <col min="8240" max="8241" width="9" style="326"/>
    <col min="8242" max="8242" width="10.75" style="326" bestFit="1" customWidth="1"/>
    <col min="8243" max="8243" width="14" style="326" customWidth="1"/>
    <col min="8244" max="8244" width="9" style="326"/>
    <col min="8245" max="8245" width="10.75" style="326" customWidth="1"/>
    <col min="8246" max="8246" width="12.75" style="326" customWidth="1"/>
    <col min="8247" max="8247" width="9" style="326"/>
    <col min="8248" max="8248" width="10.75" style="326" bestFit="1" customWidth="1"/>
    <col min="8249" max="8249" width="11.5" style="326" customWidth="1"/>
    <col min="8250" max="8250" width="13.625" style="326" customWidth="1"/>
    <col min="8251" max="8251" width="10.625" style="326" customWidth="1"/>
    <col min="8252" max="8252" width="10.75" style="326" bestFit="1" customWidth="1"/>
    <col min="8253" max="8253" width="12.375" style="326" customWidth="1"/>
    <col min="8254" max="8256" width="9" style="326"/>
    <col min="8257" max="8257" width="15.75" style="326" customWidth="1"/>
    <col min="8258" max="8258" width="9" style="326"/>
    <col min="8259" max="8259" width="10.75" style="326" bestFit="1" customWidth="1"/>
    <col min="8260" max="8260" width="12.625" style="326" customWidth="1"/>
    <col min="8261" max="8263" width="9" style="326"/>
    <col min="8264" max="8264" width="13.625" style="326" customWidth="1"/>
    <col min="8265" max="8265" width="9" style="326"/>
    <col min="8266" max="8266" width="10.75" style="326" bestFit="1" customWidth="1"/>
    <col min="8267" max="8267" width="12.5" style="326" customWidth="1"/>
    <col min="8268" max="8270" width="9" style="326"/>
    <col min="8271" max="8271" width="12.875" style="326" customWidth="1"/>
    <col min="8272" max="8272" width="9" style="326"/>
    <col min="8273" max="8273" width="10.75" style="326" bestFit="1" customWidth="1"/>
    <col min="8274" max="8274" width="13.875" style="326" customWidth="1"/>
    <col min="8275" max="8277" width="9" style="326"/>
    <col min="8278" max="8278" width="14.125" style="326" customWidth="1"/>
    <col min="8279" max="8279" width="9" style="326"/>
    <col min="8280" max="8280" width="10.75" style="326" bestFit="1" customWidth="1"/>
    <col min="8281" max="8281" width="13.25" style="326" customWidth="1"/>
    <col min="8282" max="8284" width="9" style="326"/>
    <col min="8285" max="8285" width="13.25" style="326" customWidth="1"/>
    <col min="8286" max="8286" width="9" style="326"/>
    <col min="8287" max="8287" width="10.75" style="326" bestFit="1" customWidth="1"/>
    <col min="8288" max="8288" width="13.875" style="326" customWidth="1"/>
    <col min="8289" max="8291" width="9" style="326"/>
    <col min="8292" max="8292" width="13.625" style="326" customWidth="1"/>
    <col min="8293" max="8293" width="9" style="326"/>
    <col min="8294" max="8294" width="10.75" style="326" bestFit="1" customWidth="1"/>
    <col min="8295" max="8295" width="13" style="326" customWidth="1"/>
    <col min="8296" max="8442" width="9" style="326"/>
    <col min="8443" max="8444" width="12.125" style="326" customWidth="1"/>
    <col min="8445" max="8447" width="13" style="326" customWidth="1"/>
    <col min="8448" max="8448" width="12.875" style="326" customWidth="1"/>
    <col min="8449" max="8449" width="13" style="326" customWidth="1"/>
    <col min="8450" max="8450" width="13.125" style="326" customWidth="1"/>
    <col min="8451" max="8452" width="12.125" style="326" customWidth="1"/>
    <col min="8453" max="8453" width="14.375" style="326" bestFit="1" customWidth="1"/>
    <col min="8454" max="8454" width="11" style="326" customWidth="1"/>
    <col min="8455" max="8455" width="10" style="326" customWidth="1"/>
    <col min="8456" max="8456" width="10.875" style="326" customWidth="1"/>
    <col min="8457" max="8457" width="13.75" style="326" customWidth="1"/>
    <col min="8458" max="8458" width="10" style="326" customWidth="1"/>
    <col min="8459" max="8459" width="13.25" style="326" customWidth="1"/>
    <col min="8460" max="8460" width="14.375" style="326" customWidth="1"/>
    <col min="8461" max="8461" width="10" style="326" customWidth="1"/>
    <col min="8462" max="8462" width="10.875" style="326" customWidth="1"/>
    <col min="8463" max="8463" width="11.375" style="326" customWidth="1"/>
    <col min="8464" max="8464" width="15.375" style="326" customWidth="1"/>
    <col min="8465" max="8466" width="10.75" style="326" customWidth="1"/>
    <col min="8467" max="8467" width="14.375" style="326" customWidth="1"/>
    <col min="8468" max="8468" width="10.75" style="326" customWidth="1"/>
    <col min="8469" max="8469" width="11.75" style="326" customWidth="1"/>
    <col min="8470" max="8470" width="10" style="326" customWidth="1"/>
    <col min="8471" max="8471" width="15.375" style="326" customWidth="1"/>
    <col min="8472" max="8472" width="10" style="326" customWidth="1"/>
    <col min="8473" max="8473" width="10.75" style="326" customWidth="1"/>
    <col min="8474" max="8474" width="14.875" style="326" customWidth="1"/>
    <col min="8475" max="8475" width="11.5" style="326" customWidth="1"/>
    <col min="8476" max="8476" width="10" style="326" customWidth="1"/>
    <col min="8477" max="8477" width="10.75" style="326" customWidth="1"/>
    <col min="8478" max="8478" width="13.5" style="326" customWidth="1"/>
    <col min="8479" max="8479" width="9" style="326"/>
    <col min="8480" max="8480" width="10.75" style="326" bestFit="1" customWidth="1"/>
    <col min="8481" max="8481" width="13.75" style="326" customWidth="1"/>
    <col min="8482" max="8482" width="9" style="326"/>
    <col min="8483" max="8483" width="10.625" style="326" customWidth="1"/>
    <col min="8484" max="8484" width="9" style="326"/>
    <col min="8485" max="8485" width="14.25" style="326" customWidth="1"/>
    <col min="8486" max="8486" width="10.75" style="326" bestFit="1" customWidth="1"/>
    <col min="8487" max="8487" width="11.625" style="326" customWidth="1"/>
    <col min="8488" max="8488" width="13.75" style="326" customWidth="1"/>
    <col min="8489" max="8489" width="10.625" style="326" customWidth="1"/>
    <col min="8490" max="8491" width="9" style="326"/>
    <col min="8492" max="8492" width="14.125" style="326" customWidth="1"/>
    <col min="8493" max="8493" width="11" style="326" customWidth="1"/>
    <col min="8494" max="8494" width="10.75" style="326" bestFit="1" customWidth="1"/>
    <col min="8495" max="8495" width="13.5" style="326" customWidth="1"/>
    <col min="8496" max="8497" width="9" style="326"/>
    <col min="8498" max="8498" width="10.75" style="326" bestFit="1" customWidth="1"/>
    <col min="8499" max="8499" width="14" style="326" customWidth="1"/>
    <col min="8500" max="8500" width="9" style="326"/>
    <col min="8501" max="8501" width="10.75" style="326" customWidth="1"/>
    <col min="8502" max="8502" width="12.75" style="326" customWidth="1"/>
    <col min="8503" max="8503" width="9" style="326"/>
    <col min="8504" max="8504" width="10.75" style="326" bestFit="1" customWidth="1"/>
    <col min="8505" max="8505" width="11.5" style="326" customWidth="1"/>
    <col min="8506" max="8506" width="13.625" style="326" customWidth="1"/>
    <col min="8507" max="8507" width="10.625" style="326" customWidth="1"/>
    <col min="8508" max="8508" width="10.75" style="326" bestFit="1" customWidth="1"/>
    <col min="8509" max="8509" width="12.375" style="326" customWidth="1"/>
    <col min="8510" max="8512" width="9" style="326"/>
    <col min="8513" max="8513" width="15.75" style="326" customWidth="1"/>
    <col min="8514" max="8514" width="9" style="326"/>
    <col min="8515" max="8515" width="10.75" style="326" bestFit="1" customWidth="1"/>
    <col min="8516" max="8516" width="12.625" style="326" customWidth="1"/>
    <col min="8517" max="8519" width="9" style="326"/>
    <col min="8520" max="8520" width="13.625" style="326" customWidth="1"/>
    <col min="8521" max="8521" width="9" style="326"/>
    <col min="8522" max="8522" width="10.75" style="326" bestFit="1" customWidth="1"/>
    <col min="8523" max="8523" width="12.5" style="326" customWidth="1"/>
    <col min="8524" max="8526" width="9" style="326"/>
    <col min="8527" max="8527" width="12.875" style="326" customWidth="1"/>
    <col min="8528" max="8528" width="9" style="326"/>
    <col min="8529" max="8529" width="10.75" style="326" bestFit="1" customWidth="1"/>
    <col min="8530" max="8530" width="13.875" style="326" customWidth="1"/>
    <col min="8531" max="8533" width="9" style="326"/>
    <col min="8534" max="8534" width="14.125" style="326" customWidth="1"/>
    <col min="8535" max="8535" width="9" style="326"/>
    <col min="8536" max="8536" width="10.75" style="326" bestFit="1" customWidth="1"/>
    <col min="8537" max="8537" width="13.25" style="326" customWidth="1"/>
    <col min="8538" max="8540" width="9" style="326"/>
    <col min="8541" max="8541" width="13.25" style="326" customWidth="1"/>
    <col min="8542" max="8542" width="9" style="326"/>
    <col min="8543" max="8543" width="10.75" style="326" bestFit="1" customWidth="1"/>
    <col min="8544" max="8544" width="13.875" style="326" customWidth="1"/>
    <col min="8545" max="8547" width="9" style="326"/>
    <col min="8548" max="8548" width="13.625" style="326" customWidth="1"/>
    <col min="8549" max="8549" width="9" style="326"/>
    <col min="8550" max="8550" width="10.75" style="326" bestFit="1" customWidth="1"/>
    <col min="8551" max="8551" width="13" style="326" customWidth="1"/>
    <col min="8552" max="8698" width="9" style="326"/>
    <col min="8699" max="8700" width="12.125" style="326" customWidth="1"/>
    <col min="8701" max="8703" width="13" style="326" customWidth="1"/>
    <col min="8704" max="8704" width="12.875" style="326" customWidth="1"/>
    <col min="8705" max="8705" width="13" style="326" customWidth="1"/>
    <col min="8706" max="8706" width="13.125" style="326" customWidth="1"/>
    <col min="8707" max="8708" width="12.125" style="326" customWidth="1"/>
    <col min="8709" max="8709" width="14.375" style="326" bestFit="1" customWidth="1"/>
    <col min="8710" max="8710" width="11" style="326" customWidth="1"/>
    <col min="8711" max="8711" width="10" style="326" customWidth="1"/>
    <col min="8712" max="8712" width="10.875" style="326" customWidth="1"/>
    <col min="8713" max="8713" width="13.75" style="326" customWidth="1"/>
    <col min="8714" max="8714" width="10" style="326" customWidth="1"/>
    <col min="8715" max="8715" width="13.25" style="326" customWidth="1"/>
    <col min="8716" max="8716" width="14.375" style="326" customWidth="1"/>
    <col min="8717" max="8717" width="10" style="326" customWidth="1"/>
    <col min="8718" max="8718" width="10.875" style="326" customWidth="1"/>
    <col min="8719" max="8719" width="11.375" style="326" customWidth="1"/>
    <col min="8720" max="8720" width="15.375" style="326" customWidth="1"/>
    <col min="8721" max="8722" width="10.75" style="326" customWidth="1"/>
    <col min="8723" max="8723" width="14.375" style="326" customWidth="1"/>
    <col min="8724" max="8724" width="10.75" style="326" customWidth="1"/>
    <col min="8725" max="8725" width="11.75" style="326" customWidth="1"/>
    <col min="8726" max="8726" width="10" style="326" customWidth="1"/>
    <col min="8727" max="8727" width="15.375" style="326" customWidth="1"/>
    <col min="8728" max="8728" width="10" style="326" customWidth="1"/>
    <col min="8729" max="8729" width="10.75" style="326" customWidth="1"/>
    <col min="8730" max="8730" width="14.875" style="326" customWidth="1"/>
    <col min="8731" max="8731" width="11.5" style="326" customWidth="1"/>
    <col min="8732" max="8732" width="10" style="326" customWidth="1"/>
    <col min="8733" max="8733" width="10.75" style="326" customWidth="1"/>
    <col min="8734" max="8734" width="13.5" style="326" customWidth="1"/>
    <col min="8735" max="8735" width="9" style="326"/>
    <col min="8736" max="8736" width="10.75" style="326" bestFit="1" customWidth="1"/>
    <col min="8737" max="8737" width="13.75" style="326" customWidth="1"/>
    <col min="8738" max="8738" width="9" style="326"/>
    <col min="8739" max="8739" width="10.625" style="326" customWidth="1"/>
    <col min="8740" max="8740" width="9" style="326"/>
    <col min="8741" max="8741" width="14.25" style="326" customWidth="1"/>
    <col min="8742" max="8742" width="10.75" style="326" bestFit="1" customWidth="1"/>
    <col min="8743" max="8743" width="11.625" style="326" customWidth="1"/>
    <col min="8744" max="8744" width="13.75" style="326" customWidth="1"/>
    <col min="8745" max="8745" width="10.625" style="326" customWidth="1"/>
    <col min="8746" max="8747" width="9" style="326"/>
    <col min="8748" max="8748" width="14.125" style="326" customWidth="1"/>
    <col min="8749" max="8749" width="11" style="326" customWidth="1"/>
    <col min="8750" max="8750" width="10.75" style="326" bestFit="1" customWidth="1"/>
    <col min="8751" max="8751" width="13.5" style="326" customWidth="1"/>
    <col min="8752" max="8753" width="9" style="326"/>
    <col min="8754" max="8754" width="10.75" style="326" bestFit="1" customWidth="1"/>
    <col min="8755" max="8755" width="14" style="326" customWidth="1"/>
    <col min="8756" max="8756" width="9" style="326"/>
    <col min="8757" max="8757" width="10.75" style="326" customWidth="1"/>
    <col min="8758" max="8758" width="12.75" style="326" customWidth="1"/>
    <col min="8759" max="8759" width="9" style="326"/>
    <col min="8760" max="8760" width="10.75" style="326" bestFit="1" customWidth="1"/>
    <col min="8761" max="8761" width="11.5" style="326" customWidth="1"/>
    <col min="8762" max="8762" width="13.625" style="326" customWidth="1"/>
    <col min="8763" max="8763" width="10.625" style="326" customWidth="1"/>
    <col min="8764" max="8764" width="10.75" style="326" bestFit="1" customWidth="1"/>
    <col min="8765" max="8765" width="12.375" style="326" customWidth="1"/>
    <col min="8766" max="8768" width="9" style="326"/>
    <col min="8769" max="8769" width="15.75" style="326" customWidth="1"/>
    <col min="8770" max="8770" width="9" style="326"/>
    <col min="8771" max="8771" width="10.75" style="326" bestFit="1" customWidth="1"/>
    <col min="8772" max="8772" width="12.625" style="326" customWidth="1"/>
    <col min="8773" max="8775" width="9" style="326"/>
    <col min="8776" max="8776" width="13.625" style="326" customWidth="1"/>
    <col min="8777" max="8777" width="9" style="326"/>
    <col min="8778" max="8778" width="10.75" style="326" bestFit="1" customWidth="1"/>
    <col min="8779" max="8779" width="12.5" style="326" customWidth="1"/>
    <col min="8780" max="8782" width="9" style="326"/>
    <col min="8783" max="8783" width="12.875" style="326" customWidth="1"/>
    <col min="8784" max="8784" width="9" style="326"/>
    <col min="8785" max="8785" width="10.75" style="326" bestFit="1" customWidth="1"/>
    <col min="8786" max="8786" width="13.875" style="326" customWidth="1"/>
    <col min="8787" max="8789" width="9" style="326"/>
    <col min="8790" max="8790" width="14.125" style="326" customWidth="1"/>
    <col min="8791" max="8791" width="9" style="326"/>
    <col min="8792" max="8792" width="10.75" style="326" bestFit="1" customWidth="1"/>
    <col min="8793" max="8793" width="13.25" style="326" customWidth="1"/>
    <col min="8794" max="8796" width="9" style="326"/>
    <col min="8797" max="8797" width="13.25" style="326" customWidth="1"/>
    <col min="8798" max="8798" width="9" style="326"/>
    <col min="8799" max="8799" width="10.75" style="326" bestFit="1" customWidth="1"/>
    <col min="8800" max="8800" width="13.875" style="326" customWidth="1"/>
    <col min="8801" max="8803" width="9" style="326"/>
    <col min="8804" max="8804" width="13.625" style="326" customWidth="1"/>
    <col min="8805" max="8805" width="9" style="326"/>
    <col min="8806" max="8806" width="10.75" style="326" bestFit="1" customWidth="1"/>
    <col min="8807" max="8807" width="13" style="326" customWidth="1"/>
    <col min="8808" max="8954" width="9" style="326"/>
    <col min="8955" max="8956" width="12.125" style="326" customWidth="1"/>
    <col min="8957" max="8959" width="13" style="326" customWidth="1"/>
    <col min="8960" max="8960" width="12.875" style="326" customWidth="1"/>
    <col min="8961" max="8961" width="13" style="326" customWidth="1"/>
    <col min="8962" max="8962" width="13.125" style="326" customWidth="1"/>
    <col min="8963" max="8964" width="12.125" style="326" customWidth="1"/>
    <col min="8965" max="8965" width="14.375" style="326" bestFit="1" customWidth="1"/>
    <col min="8966" max="8966" width="11" style="326" customWidth="1"/>
    <col min="8967" max="8967" width="10" style="326" customWidth="1"/>
    <col min="8968" max="8968" width="10.875" style="326" customWidth="1"/>
    <col min="8969" max="8969" width="13.75" style="326" customWidth="1"/>
    <col min="8970" max="8970" width="10" style="326" customWidth="1"/>
    <col min="8971" max="8971" width="13.25" style="326" customWidth="1"/>
    <col min="8972" max="8972" width="14.375" style="326" customWidth="1"/>
    <col min="8973" max="8973" width="10" style="326" customWidth="1"/>
    <col min="8974" max="8974" width="10.875" style="326" customWidth="1"/>
    <col min="8975" max="8975" width="11.375" style="326" customWidth="1"/>
    <col min="8976" max="8976" width="15.375" style="326" customWidth="1"/>
    <col min="8977" max="8978" width="10.75" style="326" customWidth="1"/>
    <col min="8979" max="8979" width="14.375" style="326" customWidth="1"/>
    <col min="8980" max="8980" width="10.75" style="326" customWidth="1"/>
    <col min="8981" max="8981" width="11.75" style="326" customWidth="1"/>
    <col min="8982" max="8982" width="10" style="326" customWidth="1"/>
    <col min="8983" max="8983" width="15.375" style="326" customWidth="1"/>
    <col min="8984" max="8984" width="10" style="326" customWidth="1"/>
    <col min="8985" max="8985" width="10.75" style="326" customWidth="1"/>
    <col min="8986" max="8986" width="14.875" style="326" customWidth="1"/>
    <col min="8987" max="8987" width="11.5" style="326" customWidth="1"/>
    <col min="8988" max="8988" width="10" style="326" customWidth="1"/>
    <col min="8989" max="8989" width="10.75" style="326" customWidth="1"/>
    <col min="8990" max="8990" width="13.5" style="326" customWidth="1"/>
    <col min="8991" max="8991" width="9" style="326"/>
    <col min="8992" max="8992" width="10.75" style="326" bestFit="1" customWidth="1"/>
    <col min="8993" max="8993" width="13.75" style="326" customWidth="1"/>
    <col min="8994" max="8994" width="9" style="326"/>
    <col min="8995" max="8995" width="10.625" style="326" customWidth="1"/>
    <col min="8996" max="8996" width="9" style="326"/>
    <col min="8997" max="8997" width="14.25" style="326" customWidth="1"/>
    <col min="8998" max="8998" width="10.75" style="326" bestFit="1" customWidth="1"/>
    <col min="8999" max="8999" width="11.625" style="326" customWidth="1"/>
    <col min="9000" max="9000" width="13.75" style="326" customWidth="1"/>
    <col min="9001" max="9001" width="10.625" style="326" customWidth="1"/>
    <col min="9002" max="9003" width="9" style="326"/>
    <col min="9004" max="9004" width="14.125" style="326" customWidth="1"/>
    <col min="9005" max="9005" width="11" style="326" customWidth="1"/>
    <col min="9006" max="9006" width="10.75" style="326" bestFit="1" customWidth="1"/>
    <col min="9007" max="9007" width="13.5" style="326" customWidth="1"/>
    <col min="9008" max="9009" width="9" style="326"/>
    <col min="9010" max="9010" width="10.75" style="326" bestFit="1" customWidth="1"/>
    <col min="9011" max="9011" width="14" style="326" customWidth="1"/>
    <col min="9012" max="9012" width="9" style="326"/>
    <col min="9013" max="9013" width="10.75" style="326" customWidth="1"/>
    <col min="9014" max="9014" width="12.75" style="326" customWidth="1"/>
    <col min="9015" max="9015" width="9" style="326"/>
    <col min="9016" max="9016" width="10.75" style="326" bestFit="1" customWidth="1"/>
    <col min="9017" max="9017" width="11.5" style="326" customWidth="1"/>
    <col min="9018" max="9018" width="13.625" style="326" customWidth="1"/>
    <col min="9019" max="9019" width="10.625" style="326" customWidth="1"/>
    <col min="9020" max="9020" width="10.75" style="326" bestFit="1" customWidth="1"/>
    <col min="9021" max="9021" width="12.375" style="326" customWidth="1"/>
    <col min="9022" max="9024" width="9" style="326"/>
    <col min="9025" max="9025" width="15.75" style="326" customWidth="1"/>
    <col min="9026" max="9026" width="9" style="326"/>
    <col min="9027" max="9027" width="10.75" style="326" bestFit="1" customWidth="1"/>
    <col min="9028" max="9028" width="12.625" style="326" customWidth="1"/>
    <col min="9029" max="9031" width="9" style="326"/>
    <col min="9032" max="9032" width="13.625" style="326" customWidth="1"/>
    <col min="9033" max="9033" width="9" style="326"/>
    <col min="9034" max="9034" width="10.75" style="326" bestFit="1" customWidth="1"/>
    <col min="9035" max="9035" width="12.5" style="326" customWidth="1"/>
    <col min="9036" max="9038" width="9" style="326"/>
    <col min="9039" max="9039" width="12.875" style="326" customWidth="1"/>
    <col min="9040" max="9040" width="9" style="326"/>
    <col min="9041" max="9041" width="10.75" style="326" bestFit="1" customWidth="1"/>
    <col min="9042" max="9042" width="13.875" style="326" customWidth="1"/>
    <col min="9043" max="9045" width="9" style="326"/>
    <col min="9046" max="9046" width="14.125" style="326" customWidth="1"/>
    <col min="9047" max="9047" width="9" style="326"/>
    <col min="9048" max="9048" width="10.75" style="326" bestFit="1" customWidth="1"/>
    <col min="9049" max="9049" width="13.25" style="326" customWidth="1"/>
    <col min="9050" max="9052" width="9" style="326"/>
    <col min="9053" max="9053" width="13.25" style="326" customWidth="1"/>
    <col min="9054" max="9054" width="9" style="326"/>
    <col min="9055" max="9055" width="10.75" style="326" bestFit="1" customWidth="1"/>
    <col min="9056" max="9056" width="13.875" style="326" customWidth="1"/>
    <col min="9057" max="9059" width="9" style="326"/>
    <col min="9060" max="9060" width="13.625" style="326" customWidth="1"/>
    <col min="9061" max="9061" width="9" style="326"/>
    <col min="9062" max="9062" width="10.75" style="326" bestFit="1" customWidth="1"/>
    <col min="9063" max="9063" width="13" style="326" customWidth="1"/>
    <col min="9064" max="9210" width="9" style="326"/>
    <col min="9211" max="9212" width="12.125" style="326" customWidth="1"/>
    <col min="9213" max="9215" width="13" style="326" customWidth="1"/>
    <col min="9216" max="9216" width="12.875" style="326" customWidth="1"/>
    <col min="9217" max="9217" width="13" style="326" customWidth="1"/>
    <col min="9218" max="9218" width="13.125" style="326" customWidth="1"/>
    <col min="9219" max="9220" width="12.125" style="326" customWidth="1"/>
    <col min="9221" max="9221" width="14.375" style="326" bestFit="1" customWidth="1"/>
    <col min="9222" max="9222" width="11" style="326" customWidth="1"/>
    <col min="9223" max="9223" width="10" style="326" customWidth="1"/>
    <col min="9224" max="9224" width="10.875" style="326" customWidth="1"/>
    <col min="9225" max="9225" width="13.75" style="326" customWidth="1"/>
    <col min="9226" max="9226" width="10" style="326" customWidth="1"/>
    <col min="9227" max="9227" width="13.25" style="326" customWidth="1"/>
    <col min="9228" max="9228" width="14.375" style="326" customWidth="1"/>
    <col min="9229" max="9229" width="10" style="326" customWidth="1"/>
    <col min="9230" max="9230" width="10.875" style="326" customWidth="1"/>
    <col min="9231" max="9231" width="11.375" style="326" customWidth="1"/>
    <col min="9232" max="9232" width="15.375" style="326" customWidth="1"/>
    <col min="9233" max="9234" width="10.75" style="326" customWidth="1"/>
    <col min="9235" max="9235" width="14.375" style="326" customWidth="1"/>
    <col min="9236" max="9236" width="10.75" style="326" customWidth="1"/>
    <col min="9237" max="9237" width="11.75" style="326" customWidth="1"/>
    <col min="9238" max="9238" width="10" style="326" customWidth="1"/>
    <col min="9239" max="9239" width="15.375" style="326" customWidth="1"/>
    <col min="9240" max="9240" width="10" style="326" customWidth="1"/>
    <col min="9241" max="9241" width="10.75" style="326" customWidth="1"/>
    <col min="9242" max="9242" width="14.875" style="326" customWidth="1"/>
    <col min="9243" max="9243" width="11.5" style="326" customWidth="1"/>
    <col min="9244" max="9244" width="10" style="326" customWidth="1"/>
    <col min="9245" max="9245" width="10.75" style="326" customWidth="1"/>
    <col min="9246" max="9246" width="13.5" style="326" customWidth="1"/>
    <col min="9247" max="9247" width="9" style="326"/>
    <col min="9248" max="9248" width="10.75" style="326" bestFit="1" customWidth="1"/>
    <col min="9249" max="9249" width="13.75" style="326" customWidth="1"/>
    <col min="9250" max="9250" width="9" style="326"/>
    <col min="9251" max="9251" width="10.625" style="326" customWidth="1"/>
    <col min="9252" max="9252" width="9" style="326"/>
    <col min="9253" max="9253" width="14.25" style="326" customWidth="1"/>
    <col min="9254" max="9254" width="10.75" style="326" bestFit="1" customWidth="1"/>
    <col min="9255" max="9255" width="11.625" style="326" customWidth="1"/>
    <col min="9256" max="9256" width="13.75" style="326" customWidth="1"/>
    <col min="9257" max="9257" width="10.625" style="326" customWidth="1"/>
    <col min="9258" max="9259" width="9" style="326"/>
    <col min="9260" max="9260" width="14.125" style="326" customWidth="1"/>
    <col min="9261" max="9261" width="11" style="326" customWidth="1"/>
    <col min="9262" max="9262" width="10.75" style="326" bestFit="1" customWidth="1"/>
    <col min="9263" max="9263" width="13.5" style="326" customWidth="1"/>
    <col min="9264" max="9265" width="9" style="326"/>
    <col min="9266" max="9266" width="10.75" style="326" bestFit="1" customWidth="1"/>
    <col min="9267" max="9267" width="14" style="326" customWidth="1"/>
    <col min="9268" max="9268" width="9" style="326"/>
    <col min="9269" max="9269" width="10.75" style="326" customWidth="1"/>
    <col min="9270" max="9270" width="12.75" style="326" customWidth="1"/>
    <col min="9271" max="9271" width="9" style="326"/>
    <col min="9272" max="9272" width="10.75" style="326" bestFit="1" customWidth="1"/>
    <col min="9273" max="9273" width="11.5" style="326" customWidth="1"/>
    <col min="9274" max="9274" width="13.625" style="326" customWidth="1"/>
    <col min="9275" max="9275" width="10.625" style="326" customWidth="1"/>
    <col min="9276" max="9276" width="10.75" style="326" bestFit="1" customWidth="1"/>
    <col min="9277" max="9277" width="12.375" style="326" customWidth="1"/>
    <col min="9278" max="9280" width="9" style="326"/>
    <col min="9281" max="9281" width="15.75" style="326" customWidth="1"/>
    <col min="9282" max="9282" width="9" style="326"/>
    <col min="9283" max="9283" width="10.75" style="326" bestFit="1" customWidth="1"/>
    <col min="9284" max="9284" width="12.625" style="326" customWidth="1"/>
    <col min="9285" max="9287" width="9" style="326"/>
    <col min="9288" max="9288" width="13.625" style="326" customWidth="1"/>
    <col min="9289" max="9289" width="9" style="326"/>
    <col min="9290" max="9290" width="10.75" style="326" bestFit="1" customWidth="1"/>
    <col min="9291" max="9291" width="12.5" style="326" customWidth="1"/>
    <col min="9292" max="9294" width="9" style="326"/>
    <col min="9295" max="9295" width="12.875" style="326" customWidth="1"/>
    <col min="9296" max="9296" width="9" style="326"/>
    <col min="9297" max="9297" width="10.75" style="326" bestFit="1" customWidth="1"/>
    <col min="9298" max="9298" width="13.875" style="326" customWidth="1"/>
    <col min="9299" max="9301" width="9" style="326"/>
    <col min="9302" max="9302" width="14.125" style="326" customWidth="1"/>
    <col min="9303" max="9303" width="9" style="326"/>
    <col min="9304" max="9304" width="10.75" style="326" bestFit="1" customWidth="1"/>
    <col min="9305" max="9305" width="13.25" style="326" customWidth="1"/>
    <col min="9306" max="9308" width="9" style="326"/>
    <col min="9309" max="9309" width="13.25" style="326" customWidth="1"/>
    <col min="9310" max="9310" width="9" style="326"/>
    <col min="9311" max="9311" width="10.75" style="326" bestFit="1" customWidth="1"/>
    <col min="9312" max="9312" width="13.875" style="326" customWidth="1"/>
    <col min="9313" max="9315" width="9" style="326"/>
    <col min="9316" max="9316" width="13.625" style="326" customWidth="1"/>
    <col min="9317" max="9317" width="9" style="326"/>
    <col min="9318" max="9318" width="10.75" style="326" bestFit="1" customWidth="1"/>
    <col min="9319" max="9319" width="13" style="326" customWidth="1"/>
    <col min="9320" max="9466" width="9" style="326"/>
    <col min="9467" max="9468" width="12.125" style="326" customWidth="1"/>
    <col min="9469" max="9471" width="13" style="326" customWidth="1"/>
    <col min="9472" max="9472" width="12.875" style="326" customWidth="1"/>
    <col min="9473" max="9473" width="13" style="326" customWidth="1"/>
    <col min="9474" max="9474" width="13.125" style="326" customWidth="1"/>
    <col min="9475" max="9476" width="12.125" style="326" customWidth="1"/>
    <col min="9477" max="9477" width="14.375" style="326" bestFit="1" customWidth="1"/>
    <col min="9478" max="9478" width="11" style="326" customWidth="1"/>
    <col min="9479" max="9479" width="10" style="326" customWidth="1"/>
    <col min="9480" max="9480" width="10.875" style="326" customWidth="1"/>
    <col min="9481" max="9481" width="13.75" style="326" customWidth="1"/>
    <col min="9482" max="9482" width="10" style="326" customWidth="1"/>
    <col min="9483" max="9483" width="13.25" style="326" customWidth="1"/>
    <col min="9484" max="9484" width="14.375" style="326" customWidth="1"/>
    <col min="9485" max="9485" width="10" style="326" customWidth="1"/>
    <col min="9486" max="9486" width="10.875" style="326" customWidth="1"/>
    <col min="9487" max="9487" width="11.375" style="326" customWidth="1"/>
    <col min="9488" max="9488" width="15.375" style="326" customWidth="1"/>
    <col min="9489" max="9490" width="10.75" style="326" customWidth="1"/>
    <col min="9491" max="9491" width="14.375" style="326" customWidth="1"/>
    <col min="9492" max="9492" width="10.75" style="326" customWidth="1"/>
    <col min="9493" max="9493" width="11.75" style="326" customWidth="1"/>
    <col min="9494" max="9494" width="10" style="326" customWidth="1"/>
    <col min="9495" max="9495" width="15.375" style="326" customWidth="1"/>
    <col min="9496" max="9496" width="10" style="326" customWidth="1"/>
    <col min="9497" max="9497" width="10.75" style="326" customWidth="1"/>
    <col min="9498" max="9498" width="14.875" style="326" customWidth="1"/>
    <col min="9499" max="9499" width="11.5" style="326" customWidth="1"/>
    <col min="9500" max="9500" width="10" style="326" customWidth="1"/>
    <col min="9501" max="9501" width="10.75" style="326" customWidth="1"/>
    <col min="9502" max="9502" width="13.5" style="326" customWidth="1"/>
    <col min="9503" max="9503" width="9" style="326"/>
    <col min="9504" max="9504" width="10.75" style="326" bestFit="1" customWidth="1"/>
    <col min="9505" max="9505" width="13.75" style="326" customWidth="1"/>
    <col min="9506" max="9506" width="9" style="326"/>
    <col min="9507" max="9507" width="10.625" style="326" customWidth="1"/>
    <col min="9508" max="9508" width="9" style="326"/>
    <col min="9509" max="9509" width="14.25" style="326" customWidth="1"/>
    <col min="9510" max="9510" width="10.75" style="326" bestFit="1" customWidth="1"/>
    <col min="9511" max="9511" width="11.625" style="326" customWidth="1"/>
    <col min="9512" max="9512" width="13.75" style="326" customWidth="1"/>
    <col min="9513" max="9513" width="10.625" style="326" customWidth="1"/>
    <col min="9514" max="9515" width="9" style="326"/>
    <col min="9516" max="9516" width="14.125" style="326" customWidth="1"/>
    <col min="9517" max="9517" width="11" style="326" customWidth="1"/>
    <col min="9518" max="9518" width="10.75" style="326" bestFit="1" customWidth="1"/>
    <col min="9519" max="9519" width="13.5" style="326" customWidth="1"/>
    <col min="9520" max="9521" width="9" style="326"/>
    <col min="9522" max="9522" width="10.75" style="326" bestFit="1" customWidth="1"/>
    <col min="9523" max="9523" width="14" style="326" customWidth="1"/>
    <col min="9524" max="9524" width="9" style="326"/>
    <col min="9525" max="9525" width="10.75" style="326" customWidth="1"/>
    <col min="9526" max="9526" width="12.75" style="326" customWidth="1"/>
    <col min="9527" max="9527" width="9" style="326"/>
    <col min="9528" max="9528" width="10.75" style="326" bestFit="1" customWidth="1"/>
    <col min="9529" max="9529" width="11.5" style="326" customWidth="1"/>
    <col min="9530" max="9530" width="13.625" style="326" customWidth="1"/>
    <col min="9531" max="9531" width="10.625" style="326" customWidth="1"/>
    <col min="9532" max="9532" width="10.75" style="326" bestFit="1" customWidth="1"/>
    <col min="9533" max="9533" width="12.375" style="326" customWidth="1"/>
    <col min="9534" max="9536" width="9" style="326"/>
    <col min="9537" max="9537" width="15.75" style="326" customWidth="1"/>
    <col min="9538" max="9538" width="9" style="326"/>
    <col min="9539" max="9539" width="10.75" style="326" bestFit="1" customWidth="1"/>
    <col min="9540" max="9540" width="12.625" style="326" customWidth="1"/>
    <col min="9541" max="9543" width="9" style="326"/>
    <col min="9544" max="9544" width="13.625" style="326" customWidth="1"/>
    <col min="9545" max="9545" width="9" style="326"/>
    <col min="9546" max="9546" width="10.75" style="326" bestFit="1" customWidth="1"/>
    <col min="9547" max="9547" width="12.5" style="326" customWidth="1"/>
    <col min="9548" max="9550" width="9" style="326"/>
    <col min="9551" max="9551" width="12.875" style="326" customWidth="1"/>
    <col min="9552" max="9552" width="9" style="326"/>
    <col min="9553" max="9553" width="10.75" style="326" bestFit="1" customWidth="1"/>
    <col min="9554" max="9554" width="13.875" style="326" customWidth="1"/>
    <col min="9555" max="9557" width="9" style="326"/>
    <col min="9558" max="9558" width="14.125" style="326" customWidth="1"/>
    <col min="9559" max="9559" width="9" style="326"/>
    <col min="9560" max="9560" width="10.75" style="326" bestFit="1" customWidth="1"/>
    <col min="9561" max="9561" width="13.25" style="326" customWidth="1"/>
    <col min="9562" max="9564" width="9" style="326"/>
    <col min="9565" max="9565" width="13.25" style="326" customWidth="1"/>
    <col min="9566" max="9566" width="9" style="326"/>
    <col min="9567" max="9567" width="10.75" style="326" bestFit="1" customWidth="1"/>
    <col min="9568" max="9568" width="13.875" style="326" customWidth="1"/>
    <col min="9569" max="9571" width="9" style="326"/>
    <col min="9572" max="9572" width="13.625" style="326" customWidth="1"/>
    <col min="9573" max="9573" width="9" style="326"/>
    <col min="9574" max="9574" width="10.75" style="326" bestFit="1" customWidth="1"/>
    <col min="9575" max="9575" width="13" style="326" customWidth="1"/>
    <col min="9576" max="9722" width="9" style="326"/>
    <col min="9723" max="9724" width="12.125" style="326" customWidth="1"/>
    <col min="9725" max="9727" width="13" style="326" customWidth="1"/>
    <col min="9728" max="9728" width="12.875" style="326" customWidth="1"/>
    <col min="9729" max="9729" width="13" style="326" customWidth="1"/>
    <col min="9730" max="9730" width="13.125" style="326" customWidth="1"/>
    <col min="9731" max="9732" width="12.125" style="326" customWidth="1"/>
    <col min="9733" max="9733" width="14.375" style="326" bestFit="1" customWidth="1"/>
    <col min="9734" max="9734" width="11" style="326" customWidth="1"/>
    <col min="9735" max="9735" width="10" style="326" customWidth="1"/>
    <col min="9736" max="9736" width="10.875" style="326" customWidth="1"/>
    <col min="9737" max="9737" width="13.75" style="326" customWidth="1"/>
    <col min="9738" max="9738" width="10" style="326" customWidth="1"/>
    <col min="9739" max="9739" width="13.25" style="326" customWidth="1"/>
    <col min="9740" max="9740" width="14.375" style="326" customWidth="1"/>
    <col min="9741" max="9741" width="10" style="326" customWidth="1"/>
    <col min="9742" max="9742" width="10.875" style="326" customWidth="1"/>
    <col min="9743" max="9743" width="11.375" style="326" customWidth="1"/>
    <col min="9744" max="9744" width="15.375" style="326" customWidth="1"/>
    <col min="9745" max="9746" width="10.75" style="326" customWidth="1"/>
    <col min="9747" max="9747" width="14.375" style="326" customWidth="1"/>
    <col min="9748" max="9748" width="10.75" style="326" customWidth="1"/>
    <col min="9749" max="9749" width="11.75" style="326" customWidth="1"/>
    <col min="9750" max="9750" width="10" style="326" customWidth="1"/>
    <col min="9751" max="9751" width="15.375" style="326" customWidth="1"/>
    <col min="9752" max="9752" width="10" style="326" customWidth="1"/>
    <col min="9753" max="9753" width="10.75" style="326" customWidth="1"/>
    <col min="9754" max="9754" width="14.875" style="326" customWidth="1"/>
    <col min="9755" max="9755" width="11.5" style="326" customWidth="1"/>
    <col min="9756" max="9756" width="10" style="326" customWidth="1"/>
    <col min="9757" max="9757" width="10.75" style="326" customWidth="1"/>
    <col min="9758" max="9758" width="13.5" style="326" customWidth="1"/>
    <col min="9759" max="9759" width="9" style="326"/>
    <col min="9760" max="9760" width="10.75" style="326" bestFit="1" customWidth="1"/>
    <col min="9761" max="9761" width="13.75" style="326" customWidth="1"/>
    <col min="9762" max="9762" width="9" style="326"/>
    <col min="9763" max="9763" width="10.625" style="326" customWidth="1"/>
    <col min="9764" max="9764" width="9" style="326"/>
    <col min="9765" max="9765" width="14.25" style="326" customWidth="1"/>
    <col min="9766" max="9766" width="10.75" style="326" bestFit="1" customWidth="1"/>
    <col min="9767" max="9767" width="11.625" style="326" customWidth="1"/>
    <col min="9768" max="9768" width="13.75" style="326" customWidth="1"/>
    <col min="9769" max="9769" width="10.625" style="326" customWidth="1"/>
    <col min="9770" max="9771" width="9" style="326"/>
    <col min="9772" max="9772" width="14.125" style="326" customWidth="1"/>
    <col min="9773" max="9773" width="11" style="326" customWidth="1"/>
    <col min="9774" max="9774" width="10.75" style="326" bestFit="1" customWidth="1"/>
    <col min="9775" max="9775" width="13.5" style="326" customWidth="1"/>
    <col min="9776" max="9777" width="9" style="326"/>
    <col min="9778" max="9778" width="10.75" style="326" bestFit="1" customWidth="1"/>
    <col min="9779" max="9779" width="14" style="326" customWidth="1"/>
    <col min="9780" max="9780" width="9" style="326"/>
    <col min="9781" max="9781" width="10.75" style="326" customWidth="1"/>
    <col min="9782" max="9782" width="12.75" style="326" customWidth="1"/>
    <col min="9783" max="9783" width="9" style="326"/>
    <col min="9784" max="9784" width="10.75" style="326" bestFit="1" customWidth="1"/>
    <col min="9785" max="9785" width="11.5" style="326" customWidth="1"/>
    <col min="9786" max="9786" width="13.625" style="326" customWidth="1"/>
    <col min="9787" max="9787" width="10.625" style="326" customWidth="1"/>
    <col min="9788" max="9788" width="10.75" style="326" bestFit="1" customWidth="1"/>
    <col min="9789" max="9789" width="12.375" style="326" customWidth="1"/>
    <col min="9790" max="9792" width="9" style="326"/>
    <col min="9793" max="9793" width="15.75" style="326" customWidth="1"/>
    <col min="9794" max="9794" width="9" style="326"/>
    <col min="9795" max="9795" width="10.75" style="326" bestFit="1" customWidth="1"/>
    <col min="9796" max="9796" width="12.625" style="326" customWidth="1"/>
    <col min="9797" max="9799" width="9" style="326"/>
    <col min="9800" max="9800" width="13.625" style="326" customWidth="1"/>
    <col min="9801" max="9801" width="9" style="326"/>
    <col min="9802" max="9802" width="10.75" style="326" bestFit="1" customWidth="1"/>
    <col min="9803" max="9803" width="12.5" style="326" customWidth="1"/>
    <col min="9804" max="9806" width="9" style="326"/>
    <col min="9807" max="9807" width="12.875" style="326" customWidth="1"/>
    <col min="9808" max="9808" width="9" style="326"/>
    <col min="9809" max="9809" width="10.75" style="326" bestFit="1" customWidth="1"/>
    <col min="9810" max="9810" width="13.875" style="326" customWidth="1"/>
    <col min="9811" max="9813" width="9" style="326"/>
    <col min="9814" max="9814" width="14.125" style="326" customWidth="1"/>
    <col min="9815" max="9815" width="9" style="326"/>
    <col min="9816" max="9816" width="10.75" style="326" bestFit="1" customWidth="1"/>
    <col min="9817" max="9817" width="13.25" style="326" customWidth="1"/>
    <col min="9818" max="9820" width="9" style="326"/>
    <col min="9821" max="9821" width="13.25" style="326" customWidth="1"/>
    <col min="9822" max="9822" width="9" style="326"/>
    <col min="9823" max="9823" width="10.75" style="326" bestFit="1" customWidth="1"/>
    <col min="9824" max="9824" width="13.875" style="326" customWidth="1"/>
    <col min="9825" max="9827" width="9" style="326"/>
    <col min="9828" max="9828" width="13.625" style="326" customWidth="1"/>
    <col min="9829" max="9829" width="9" style="326"/>
    <col min="9830" max="9830" width="10.75" style="326" bestFit="1" customWidth="1"/>
    <col min="9831" max="9831" width="13" style="326" customWidth="1"/>
    <col min="9832" max="9978" width="9" style="326"/>
    <col min="9979" max="9980" width="12.125" style="326" customWidth="1"/>
    <col min="9981" max="9983" width="13" style="326" customWidth="1"/>
    <col min="9984" max="9984" width="12.875" style="326" customWidth="1"/>
    <col min="9985" max="9985" width="13" style="326" customWidth="1"/>
    <col min="9986" max="9986" width="13.125" style="326" customWidth="1"/>
    <col min="9987" max="9988" width="12.125" style="326" customWidth="1"/>
    <col min="9989" max="9989" width="14.375" style="326" bestFit="1" customWidth="1"/>
    <col min="9990" max="9990" width="11" style="326" customWidth="1"/>
    <col min="9991" max="9991" width="10" style="326" customWidth="1"/>
    <col min="9992" max="9992" width="10.875" style="326" customWidth="1"/>
    <col min="9993" max="9993" width="13.75" style="326" customWidth="1"/>
    <col min="9994" max="9994" width="10" style="326" customWidth="1"/>
    <col min="9995" max="9995" width="13.25" style="326" customWidth="1"/>
    <col min="9996" max="9996" width="14.375" style="326" customWidth="1"/>
    <col min="9997" max="9997" width="10" style="326" customWidth="1"/>
    <col min="9998" max="9998" width="10.875" style="326" customWidth="1"/>
    <col min="9999" max="9999" width="11.375" style="326" customWidth="1"/>
    <col min="10000" max="10000" width="15.375" style="326" customWidth="1"/>
    <col min="10001" max="10002" width="10.75" style="326" customWidth="1"/>
    <col min="10003" max="10003" width="14.375" style="326" customWidth="1"/>
    <col min="10004" max="10004" width="10.75" style="326" customWidth="1"/>
    <col min="10005" max="10005" width="11.75" style="326" customWidth="1"/>
    <col min="10006" max="10006" width="10" style="326" customWidth="1"/>
    <col min="10007" max="10007" width="15.375" style="326" customWidth="1"/>
    <col min="10008" max="10008" width="10" style="326" customWidth="1"/>
    <col min="10009" max="10009" width="10.75" style="326" customWidth="1"/>
    <col min="10010" max="10010" width="14.875" style="326" customWidth="1"/>
    <col min="10011" max="10011" width="11.5" style="326" customWidth="1"/>
    <col min="10012" max="10012" width="10" style="326" customWidth="1"/>
    <col min="10013" max="10013" width="10.75" style="326" customWidth="1"/>
    <col min="10014" max="10014" width="13.5" style="326" customWidth="1"/>
    <col min="10015" max="10015" width="9" style="326"/>
    <col min="10016" max="10016" width="10.75" style="326" bestFit="1" customWidth="1"/>
    <col min="10017" max="10017" width="13.75" style="326" customWidth="1"/>
    <col min="10018" max="10018" width="9" style="326"/>
    <col min="10019" max="10019" width="10.625" style="326" customWidth="1"/>
    <col min="10020" max="10020" width="9" style="326"/>
    <col min="10021" max="10021" width="14.25" style="326" customWidth="1"/>
    <col min="10022" max="10022" width="10.75" style="326" bestFit="1" customWidth="1"/>
    <col min="10023" max="10023" width="11.625" style="326" customWidth="1"/>
    <col min="10024" max="10024" width="13.75" style="326" customWidth="1"/>
    <col min="10025" max="10025" width="10.625" style="326" customWidth="1"/>
    <col min="10026" max="10027" width="9" style="326"/>
    <col min="10028" max="10028" width="14.125" style="326" customWidth="1"/>
    <col min="10029" max="10029" width="11" style="326" customWidth="1"/>
    <col min="10030" max="10030" width="10.75" style="326" bestFit="1" customWidth="1"/>
    <col min="10031" max="10031" width="13.5" style="326" customWidth="1"/>
    <col min="10032" max="10033" width="9" style="326"/>
    <col min="10034" max="10034" width="10.75" style="326" bestFit="1" customWidth="1"/>
    <col min="10035" max="10035" width="14" style="326" customWidth="1"/>
    <col min="10036" max="10036" width="9" style="326"/>
    <col min="10037" max="10037" width="10.75" style="326" customWidth="1"/>
    <col min="10038" max="10038" width="12.75" style="326" customWidth="1"/>
    <col min="10039" max="10039" width="9" style="326"/>
    <col min="10040" max="10040" width="10.75" style="326" bestFit="1" customWidth="1"/>
    <col min="10041" max="10041" width="11.5" style="326" customWidth="1"/>
    <col min="10042" max="10042" width="13.625" style="326" customWidth="1"/>
    <col min="10043" max="10043" width="10.625" style="326" customWidth="1"/>
    <col min="10044" max="10044" width="10.75" style="326" bestFit="1" customWidth="1"/>
    <col min="10045" max="10045" width="12.375" style="326" customWidth="1"/>
    <col min="10046" max="10048" width="9" style="326"/>
    <col min="10049" max="10049" width="15.75" style="326" customWidth="1"/>
    <col min="10050" max="10050" width="9" style="326"/>
    <col min="10051" max="10051" width="10.75" style="326" bestFit="1" customWidth="1"/>
    <col min="10052" max="10052" width="12.625" style="326" customWidth="1"/>
    <col min="10053" max="10055" width="9" style="326"/>
    <col min="10056" max="10056" width="13.625" style="326" customWidth="1"/>
    <col min="10057" max="10057" width="9" style="326"/>
    <col min="10058" max="10058" width="10.75" style="326" bestFit="1" customWidth="1"/>
    <col min="10059" max="10059" width="12.5" style="326" customWidth="1"/>
    <col min="10060" max="10062" width="9" style="326"/>
    <col min="10063" max="10063" width="12.875" style="326" customWidth="1"/>
    <col min="10064" max="10064" width="9" style="326"/>
    <col min="10065" max="10065" width="10.75" style="326" bestFit="1" customWidth="1"/>
    <col min="10066" max="10066" width="13.875" style="326" customWidth="1"/>
    <col min="10067" max="10069" width="9" style="326"/>
    <col min="10070" max="10070" width="14.125" style="326" customWidth="1"/>
    <col min="10071" max="10071" width="9" style="326"/>
    <col min="10072" max="10072" width="10.75" style="326" bestFit="1" customWidth="1"/>
    <col min="10073" max="10073" width="13.25" style="326" customWidth="1"/>
    <col min="10074" max="10076" width="9" style="326"/>
    <col min="10077" max="10077" width="13.25" style="326" customWidth="1"/>
    <col min="10078" max="10078" width="9" style="326"/>
    <col min="10079" max="10079" width="10.75" style="326" bestFit="1" customWidth="1"/>
    <col min="10080" max="10080" width="13.875" style="326" customWidth="1"/>
    <col min="10081" max="10083" width="9" style="326"/>
    <col min="10084" max="10084" width="13.625" style="326" customWidth="1"/>
    <col min="10085" max="10085" width="9" style="326"/>
    <col min="10086" max="10086" width="10.75" style="326" bestFit="1" customWidth="1"/>
    <col min="10087" max="10087" width="13" style="326" customWidth="1"/>
    <col min="10088" max="10234" width="9" style="326"/>
    <col min="10235" max="10236" width="12.125" style="326" customWidth="1"/>
    <col min="10237" max="10239" width="13" style="326" customWidth="1"/>
    <col min="10240" max="10240" width="12.875" style="326" customWidth="1"/>
    <col min="10241" max="10241" width="13" style="326" customWidth="1"/>
    <col min="10242" max="10242" width="13.125" style="326" customWidth="1"/>
    <col min="10243" max="10244" width="12.125" style="326" customWidth="1"/>
    <col min="10245" max="10245" width="14.375" style="326" bestFit="1" customWidth="1"/>
    <col min="10246" max="10246" width="11" style="326" customWidth="1"/>
    <col min="10247" max="10247" width="10" style="326" customWidth="1"/>
    <col min="10248" max="10248" width="10.875" style="326" customWidth="1"/>
    <col min="10249" max="10249" width="13.75" style="326" customWidth="1"/>
    <col min="10250" max="10250" width="10" style="326" customWidth="1"/>
    <col min="10251" max="10251" width="13.25" style="326" customWidth="1"/>
    <col min="10252" max="10252" width="14.375" style="326" customWidth="1"/>
    <col min="10253" max="10253" width="10" style="326" customWidth="1"/>
    <col min="10254" max="10254" width="10.875" style="326" customWidth="1"/>
    <col min="10255" max="10255" width="11.375" style="326" customWidth="1"/>
    <col min="10256" max="10256" width="15.375" style="326" customWidth="1"/>
    <col min="10257" max="10258" width="10.75" style="326" customWidth="1"/>
    <col min="10259" max="10259" width="14.375" style="326" customWidth="1"/>
    <col min="10260" max="10260" width="10.75" style="326" customWidth="1"/>
    <col min="10261" max="10261" width="11.75" style="326" customWidth="1"/>
    <col min="10262" max="10262" width="10" style="326" customWidth="1"/>
    <col min="10263" max="10263" width="15.375" style="326" customWidth="1"/>
    <col min="10264" max="10264" width="10" style="326" customWidth="1"/>
    <col min="10265" max="10265" width="10.75" style="326" customWidth="1"/>
    <col min="10266" max="10266" width="14.875" style="326" customWidth="1"/>
    <col min="10267" max="10267" width="11.5" style="326" customWidth="1"/>
    <col min="10268" max="10268" width="10" style="326" customWidth="1"/>
    <col min="10269" max="10269" width="10.75" style="326" customWidth="1"/>
    <col min="10270" max="10270" width="13.5" style="326" customWidth="1"/>
    <col min="10271" max="10271" width="9" style="326"/>
    <col min="10272" max="10272" width="10.75" style="326" bestFit="1" customWidth="1"/>
    <col min="10273" max="10273" width="13.75" style="326" customWidth="1"/>
    <col min="10274" max="10274" width="9" style="326"/>
    <col min="10275" max="10275" width="10.625" style="326" customWidth="1"/>
    <col min="10276" max="10276" width="9" style="326"/>
    <col min="10277" max="10277" width="14.25" style="326" customWidth="1"/>
    <col min="10278" max="10278" width="10.75" style="326" bestFit="1" customWidth="1"/>
    <col min="10279" max="10279" width="11.625" style="326" customWidth="1"/>
    <col min="10280" max="10280" width="13.75" style="326" customWidth="1"/>
    <col min="10281" max="10281" width="10.625" style="326" customWidth="1"/>
    <col min="10282" max="10283" width="9" style="326"/>
    <col min="10284" max="10284" width="14.125" style="326" customWidth="1"/>
    <col min="10285" max="10285" width="11" style="326" customWidth="1"/>
    <col min="10286" max="10286" width="10.75" style="326" bestFit="1" customWidth="1"/>
    <col min="10287" max="10287" width="13.5" style="326" customWidth="1"/>
    <col min="10288" max="10289" width="9" style="326"/>
    <col min="10290" max="10290" width="10.75" style="326" bestFit="1" customWidth="1"/>
    <col min="10291" max="10291" width="14" style="326" customWidth="1"/>
    <col min="10292" max="10292" width="9" style="326"/>
    <col min="10293" max="10293" width="10.75" style="326" customWidth="1"/>
    <col min="10294" max="10294" width="12.75" style="326" customWidth="1"/>
    <col min="10295" max="10295" width="9" style="326"/>
    <col min="10296" max="10296" width="10.75" style="326" bestFit="1" customWidth="1"/>
    <col min="10297" max="10297" width="11.5" style="326" customWidth="1"/>
    <col min="10298" max="10298" width="13.625" style="326" customWidth="1"/>
    <col min="10299" max="10299" width="10.625" style="326" customWidth="1"/>
    <col min="10300" max="10300" width="10.75" style="326" bestFit="1" customWidth="1"/>
    <col min="10301" max="10301" width="12.375" style="326" customWidth="1"/>
    <col min="10302" max="10304" width="9" style="326"/>
    <col min="10305" max="10305" width="15.75" style="326" customWidth="1"/>
    <col min="10306" max="10306" width="9" style="326"/>
    <col min="10307" max="10307" width="10.75" style="326" bestFit="1" customWidth="1"/>
    <col min="10308" max="10308" width="12.625" style="326" customWidth="1"/>
    <col min="10309" max="10311" width="9" style="326"/>
    <col min="10312" max="10312" width="13.625" style="326" customWidth="1"/>
    <col min="10313" max="10313" width="9" style="326"/>
    <col min="10314" max="10314" width="10.75" style="326" bestFit="1" customWidth="1"/>
    <col min="10315" max="10315" width="12.5" style="326" customWidth="1"/>
    <col min="10316" max="10318" width="9" style="326"/>
    <col min="10319" max="10319" width="12.875" style="326" customWidth="1"/>
    <col min="10320" max="10320" width="9" style="326"/>
    <col min="10321" max="10321" width="10.75" style="326" bestFit="1" customWidth="1"/>
    <col min="10322" max="10322" width="13.875" style="326" customWidth="1"/>
    <col min="10323" max="10325" width="9" style="326"/>
    <col min="10326" max="10326" width="14.125" style="326" customWidth="1"/>
    <col min="10327" max="10327" width="9" style="326"/>
    <col min="10328" max="10328" width="10.75" style="326" bestFit="1" customWidth="1"/>
    <col min="10329" max="10329" width="13.25" style="326" customWidth="1"/>
    <col min="10330" max="10332" width="9" style="326"/>
    <col min="10333" max="10333" width="13.25" style="326" customWidth="1"/>
    <col min="10334" max="10334" width="9" style="326"/>
    <col min="10335" max="10335" width="10.75" style="326" bestFit="1" customWidth="1"/>
    <col min="10336" max="10336" width="13.875" style="326" customWidth="1"/>
    <col min="10337" max="10339" width="9" style="326"/>
    <col min="10340" max="10340" width="13.625" style="326" customWidth="1"/>
    <col min="10341" max="10341" width="9" style="326"/>
    <col min="10342" max="10342" width="10.75" style="326" bestFit="1" customWidth="1"/>
    <col min="10343" max="10343" width="13" style="326" customWidth="1"/>
    <col min="10344" max="10490" width="9" style="326"/>
    <col min="10491" max="10492" width="12.125" style="326" customWidth="1"/>
    <col min="10493" max="10495" width="13" style="326" customWidth="1"/>
    <col min="10496" max="10496" width="12.875" style="326" customWidth="1"/>
    <col min="10497" max="10497" width="13" style="326" customWidth="1"/>
    <col min="10498" max="10498" width="13.125" style="326" customWidth="1"/>
    <col min="10499" max="10500" width="12.125" style="326" customWidth="1"/>
    <col min="10501" max="10501" width="14.375" style="326" bestFit="1" customWidth="1"/>
    <col min="10502" max="10502" width="11" style="326" customWidth="1"/>
    <col min="10503" max="10503" width="10" style="326" customWidth="1"/>
    <col min="10504" max="10504" width="10.875" style="326" customWidth="1"/>
    <col min="10505" max="10505" width="13.75" style="326" customWidth="1"/>
    <col min="10506" max="10506" width="10" style="326" customWidth="1"/>
    <col min="10507" max="10507" width="13.25" style="326" customWidth="1"/>
    <col min="10508" max="10508" width="14.375" style="326" customWidth="1"/>
    <col min="10509" max="10509" width="10" style="326" customWidth="1"/>
    <col min="10510" max="10510" width="10.875" style="326" customWidth="1"/>
    <col min="10511" max="10511" width="11.375" style="326" customWidth="1"/>
    <col min="10512" max="10512" width="15.375" style="326" customWidth="1"/>
    <col min="10513" max="10514" width="10.75" style="326" customWidth="1"/>
    <col min="10515" max="10515" width="14.375" style="326" customWidth="1"/>
    <col min="10516" max="10516" width="10.75" style="326" customWidth="1"/>
    <col min="10517" max="10517" width="11.75" style="326" customWidth="1"/>
    <col min="10518" max="10518" width="10" style="326" customWidth="1"/>
    <col min="10519" max="10519" width="15.375" style="326" customWidth="1"/>
    <col min="10520" max="10520" width="10" style="326" customWidth="1"/>
    <col min="10521" max="10521" width="10.75" style="326" customWidth="1"/>
    <col min="10522" max="10522" width="14.875" style="326" customWidth="1"/>
    <col min="10523" max="10523" width="11.5" style="326" customWidth="1"/>
    <col min="10524" max="10524" width="10" style="326" customWidth="1"/>
    <col min="10525" max="10525" width="10.75" style="326" customWidth="1"/>
    <col min="10526" max="10526" width="13.5" style="326" customWidth="1"/>
    <col min="10527" max="10527" width="9" style="326"/>
    <col min="10528" max="10528" width="10.75" style="326" bestFit="1" customWidth="1"/>
    <col min="10529" max="10529" width="13.75" style="326" customWidth="1"/>
    <col min="10530" max="10530" width="9" style="326"/>
    <col min="10531" max="10531" width="10.625" style="326" customWidth="1"/>
    <col min="10532" max="10532" width="9" style="326"/>
    <col min="10533" max="10533" width="14.25" style="326" customWidth="1"/>
    <col min="10534" max="10534" width="10.75" style="326" bestFit="1" customWidth="1"/>
    <col min="10535" max="10535" width="11.625" style="326" customWidth="1"/>
    <col min="10536" max="10536" width="13.75" style="326" customWidth="1"/>
    <col min="10537" max="10537" width="10.625" style="326" customWidth="1"/>
    <col min="10538" max="10539" width="9" style="326"/>
    <col min="10540" max="10540" width="14.125" style="326" customWidth="1"/>
    <col min="10541" max="10541" width="11" style="326" customWidth="1"/>
    <col min="10542" max="10542" width="10.75" style="326" bestFit="1" customWidth="1"/>
    <col min="10543" max="10543" width="13.5" style="326" customWidth="1"/>
    <col min="10544" max="10545" width="9" style="326"/>
    <col min="10546" max="10546" width="10.75" style="326" bestFit="1" customWidth="1"/>
    <col min="10547" max="10547" width="14" style="326" customWidth="1"/>
    <col min="10548" max="10548" width="9" style="326"/>
    <col min="10549" max="10549" width="10.75" style="326" customWidth="1"/>
    <col min="10550" max="10550" width="12.75" style="326" customWidth="1"/>
    <col min="10551" max="10551" width="9" style="326"/>
    <col min="10552" max="10552" width="10.75" style="326" bestFit="1" customWidth="1"/>
    <col min="10553" max="10553" width="11.5" style="326" customWidth="1"/>
    <col min="10554" max="10554" width="13.625" style="326" customWidth="1"/>
    <col min="10555" max="10555" width="10.625" style="326" customWidth="1"/>
    <col min="10556" max="10556" width="10.75" style="326" bestFit="1" customWidth="1"/>
    <col min="10557" max="10557" width="12.375" style="326" customWidth="1"/>
    <col min="10558" max="10560" width="9" style="326"/>
    <col min="10561" max="10561" width="15.75" style="326" customWidth="1"/>
    <col min="10562" max="10562" width="9" style="326"/>
    <col min="10563" max="10563" width="10.75" style="326" bestFit="1" customWidth="1"/>
    <col min="10564" max="10564" width="12.625" style="326" customWidth="1"/>
    <col min="10565" max="10567" width="9" style="326"/>
    <col min="10568" max="10568" width="13.625" style="326" customWidth="1"/>
    <col min="10569" max="10569" width="9" style="326"/>
    <col min="10570" max="10570" width="10.75" style="326" bestFit="1" customWidth="1"/>
    <col min="10571" max="10571" width="12.5" style="326" customWidth="1"/>
    <col min="10572" max="10574" width="9" style="326"/>
    <col min="10575" max="10575" width="12.875" style="326" customWidth="1"/>
    <col min="10576" max="10576" width="9" style="326"/>
    <col min="10577" max="10577" width="10.75" style="326" bestFit="1" customWidth="1"/>
    <col min="10578" max="10578" width="13.875" style="326" customWidth="1"/>
    <col min="10579" max="10581" width="9" style="326"/>
    <col min="10582" max="10582" width="14.125" style="326" customWidth="1"/>
    <col min="10583" max="10583" width="9" style="326"/>
    <col min="10584" max="10584" width="10.75" style="326" bestFit="1" customWidth="1"/>
    <col min="10585" max="10585" width="13.25" style="326" customWidth="1"/>
    <col min="10586" max="10588" width="9" style="326"/>
    <col min="10589" max="10589" width="13.25" style="326" customWidth="1"/>
    <col min="10590" max="10590" width="9" style="326"/>
    <col min="10591" max="10591" width="10.75" style="326" bestFit="1" customWidth="1"/>
    <col min="10592" max="10592" width="13.875" style="326" customWidth="1"/>
    <col min="10593" max="10595" width="9" style="326"/>
    <col min="10596" max="10596" width="13.625" style="326" customWidth="1"/>
    <col min="10597" max="10597" width="9" style="326"/>
    <col min="10598" max="10598" width="10.75" style="326" bestFit="1" customWidth="1"/>
    <col min="10599" max="10599" width="13" style="326" customWidth="1"/>
    <col min="10600" max="10746" width="9" style="326"/>
    <col min="10747" max="10748" width="12.125" style="326" customWidth="1"/>
    <col min="10749" max="10751" width="13" style="326" customWidth="1"/>
    <col min="10752" max="10752" width="12.875" style="326" customWidth="1"/>
    <col min="10753" max="10753" width="13" style="326" customWidth="1"/>
    <col min="10754" max="10754" width="13.125" style="326" customWidth="1"/>
    <col min="10755" max="10756" width="12.125" style="326" customWidth="1"/>
    <col min="10757" max="10757" width="14.375" style="326" bestFit="1" customWidth="1"/>
    <col min="10758" max="10758" width="11" style="326" customWidth="1"/>
    <col min="10759" max="10759" width="10" style="326" customWidth="1"/>
    <col min="10760" max="10760" width="10.875" style="326" customWidth="1"/>
    <col min="10761" max="10761" width="13.75" style="326" customWidth="1"/>
    <col min="10762" max="10762" width="10" style="326" customWidth="1"/>
    <col min="10763" max="10763" width="13.25" style="326" customWidth="1"/>
    <col min="10764" max="10764" width="14.375" style="326" customWidth="1"/>
    <col min="10765" max="10765" width="10" style="326" customWidth="1"/>
    <col min="10766" max="10766" width="10.875" style="326" customWidth="1"/>
    <col min="10767" max="10767" width="11.375" style="326" customWidth="1"/>
    <col min="10768" max="10768" width="15.375" style="326" customWidth="1"/>
    <col min="10769" max="10770" width="10.75" style="326" customWidth="1"/>
    <col min="10771" max="10771" width="14.375" style="326" customWidth="1"/>
    <col min="10772" max="10772" width="10.75" style="326" customWidth="1"/>
    <col min="10773" max="10773" width="11.75" style="326" customWidth="1"/>
    <col min="10774" max="10774" width="10" style="326" customWidth="1"/>
    <col min="10775" max="10775" width="15.375" style="326" customWidth="1"/>
    <col min="10776" max="10776" width="10" style="326" customWidth="1"/>
    <col min="10777" max="10777" width="10.75" style="326" customWidth="1"/>
    <col min="10778" max="10778" width="14.875" style="326" customWidth="1"/>
    <col min="10779" max="10779" width="11.5" style="326" customWidth="1"/>
    <col min="10780" max="10780" width="10" style="326" customWidth="1"/>
    <col min="10781" max="10781" width="10.75" style="326" customWidth="1"/>
    <col min="10782" max="10782" width="13.5" style="326" customWidth="1"/>
    <col min="10783" max="10783" width="9" style="326"/>
    <col min="10784" max="10784" width="10.75" style="326" bestFit="1" customWidth="1"/>
    <col min="10785" max="10785" width="13.75" style="326" customWidth="1"/>
    <col min="10786" max="10786" width="9" style="326"/>
    <col min="10787" max="10787" width="10.625" style="326" customWidth="1"/>
    <col min="10788" max="10788" width="9" style="326"/>
    <col min="10789" max="10789" width="14.25" style="326" customWidth="1"/>
    <col min="10790" max="10790" width="10.75" style="326" bestFit="1" customWidth="1"/>
    <col min="10791" max="10791" width="11.625" style="326" customWidth="1"/>
    <col min="10792" max="10792" width="13.75" style="326" customWidth="1"/>
    <col min="10793" max="10793" width="10.625" style="326" customWidth="1"/>
    <col min="10794" max="10795" width="9" style="326"/>
    <col min="10796" max="10796" width="14.125" style="326" customWidth="1"/>
    <col min="10797" max="10797" width="11" style="326" customWidth="1"/>
    <col min="10798" max="10798" width="10.75" style="326" bestFit="1" customWidth="1"/>
    <col min="10799" max="10799" width="13.5" style="326" customWidth="1"/>
    <col min="10800" max="10801" width="9" style="326"/>
    <col min="10802" max="10802" width="10.75" style="326" bestFit="1" customWidth="1"/>
    <col min="10803" max="10803" width="14" style="326" customWidth="1"/>
    <col min="10804" max="10804" width="9" style="326"/>
    <col min="10805" max="10805" width="10.75" style="326" customWidth="1"/>
    <col min="10806" max="10806" width="12.75" style="326" customWidth="1"/>
    <col min="10807" max="10807" width="9" style="326"/>
    <col min="10808" max="10808" width="10.75" style="326" bestFit="1" customWidth="1"/>
    <col min="10809" max="10809" width="11.5" style="326" customWidth="1"/>
    <col min="10810" max="10810" width="13.625" style="326" customWidth="1"/>
    <col min="10811" max="10811" width="10.625" style="326" customWidth="1"/>
    <col min="10812" max="10812" width="10.75" style="326" bestFit="1" customWidth="1"/>
    <col min="10813" max="10813" width="12.375" style="326" customWidth="1"/>
    <col min="10814" max="10816" width="9" style="326"/>
    <col min="10817" max="10817" width="15.75" style="326" customWidth="1"/>
    <col min="10818" max="10818" width="9" style="326"/>
    <col min="10819" max="10819" width="10.75" style="326" bestFit="1" customWidth="1"/>
    <col min="10820" max="10820" width="12.625" style="326" customWidth="1"/>
    <col min="10821" max="10823" width="9" style="326"/>
    <col min="10824" max="10824" width="13.625" style="326" customWidth="1"/>
    <col min="10825" max="10825" width="9" style="326"/>
    <col min="10826" max="10826" width="10.75" style="326" bestFit="1" customWidth="1"/>
    <col min="10827" max="10827" width="12.5" style="326" customWidth="1"/>
    <col min="10828" max="10830" width="9" style="326"/>
    <col min="10831" max="10831" width="12.875" style="326" customWidth="1"/>
    <col min="10832" max="10832" width="9" style="326"/>
    <col min="10833" max="10833" width="10.75" style="326" bestFit="1" customWidth="1"/>
    <col min="10834" max="10834" width="13.875" style="326" customWidth="1"/>
    <col min="10835" max="10837" width="9" style="326"/>
    <col min="10838" max="10838" width="14.125" style="326" customWidth="1"/>
    <col min="10839" max="10839" width="9" style="326"/>
    <col min="10840" max="10840" width="10.75" style="326" bestFit="1" customWidth="1"/>
    <col min="10841" max="10841" width="13.25" style="326" customWidth="1"/>
    <col min="10842" max="10844" width="9" style="326"/>
    <col min="10845" max="10845" width="13.25" style="326" customWidth="1"/>
    <col min="10846" max="10846" width="9" style="326"/>
    <col min="10847" max="10847" width="10.75" style="326" bestFit="1" customWidth="1"/>
    <col min="10848" max="10848" width="13.875" style="326" customWidth="1"/>
    <col min="10849" max="10851" width="9" style="326"/>
    <col min="10852" max="10852" width="13.625" style="326" customWidth="1"/>
    <col min="10853" max="10853" width="9" style="326"/>
    <col min="10854" max="10854" width="10.75" style="326" bestFit="1" customWidth="1"/>
    <col min="10855" max="10855" width="13" style="326" customWidth="1"/>
    <col min="10856" max="11002" width="9" style="326"/>
    <col min="11003" max="11004" width="12.125" style="326" customWidth="1"/>
    <col min="11005" max="11007" width="13" style="326" customWidth="1"/>
    <col min="11008" max="11008" width="12.875" style="326" customWidth="1"/>
    <col min="11009" max="11009" width="13" style="326" customWidth="1"/>
    <col min="11010" max="11010" width="13.125" style="326" customWidth="1"/>
    <col min="11011" max="11012" width="12.125" style="326" customWidth="1"/>
    <col min="11013" max="11013" width="14.375" style="326" bestFit="1" customWidth="1"/>
    <col min="11014" max="11014" width="11" style="326" customWidth="1"/>
    <col min="11015" max="11015" width="10" style="326" customWidth="1"/>
    <col min="11016" max="11016" width="10.875" style="326" customWidth="1"/>
    <col min="11017" max="11017" width="13.75" style="326" customWidth="1"/>
    <col min="11018" max="11018" width="10" style="326" customWidth="1"/>
    <col min="11019" max="11019" width="13.25" style="326" customWidth="1"/>
    <col min="11020" max="11020" width="14.375" style="326" customWidth="1"/>
    <col min="11021" max="11021" width="10" style="326" customWidth="1"/>
    <col min="11022" max="11022" width="10.875" style="326" customWidth="1"/>
    <col min="11023" max="11023" width="11.375" style="326" customWidth="1"/>
    <col min="11024" max="11024" width="15.375" style="326" customWidth="1"/>
    <col min="11025" max="11026" width="10.75" style="326" customWidth="1"/>
    <col min="11027" max="11027" width="14.375" style="326" customWidth="1"/>
    <col min="11028" max="11028" width="10.75" style="326" customWidth="1"/>
    <col min="11029" max="11029" width="11.75" style="326" customWidth="1"/>
    <col min="11030" max="11030" width="10" style="326" customWidth="1"/>
    <col min="11031" max="11031" width="15.375" style="326" customWidth="1"/>
    <col min="11032" max="11032" width="10" style="326" customWidth="1"/>
    <col min="11033" max="11033" width="10.75" style="326" customWidth="1"/>
    <col min="11034" max="11034" width="14.875" style="326" customWidth="1"/>
    <col min="11035" max="11035" width="11.5" style="326" customWidth="1"/>
    <col min="11036" max="11036" width="10" style="326" customWidth="1"/>
    <col min="11037" max="11037" width="10.75" style="326" customWidth="1"/>
    <col min="11038" max="11038" width="13.5" style="326" customWidth="1"/>
    <col min="11039" max="11039" width="9" style="326"/>
    <col min="11040" max="11040" width="10.75" style="326" bestFit="1" customWidth="1"/>
    <col min="11041" max="11041" width="13.75" style="326" customWidth="1"/>
    <col min="11042" max="11042" width="9" style="326"/>
    <col min="11043" max="11043" width="10.625" style="326" customWidth="1"/>
    <col min="11044" max="11044" width="9" style="326"/>
    <col min="11045" max="11045" width="14.25" style="326" customWidth="1"/>
    <col min="11046" max="11046" width="10.75" style="326" bestFit="1" customWidth="1"/>
    <col min="11047" max="11047" width="11.625" style="326" customWidth="1"/>
    <col min="11048" max="11048" width="13.75" style="326" customWidth="1"/>
    <col min="11049" max="11049" width="10.625" style="326" customWidth="1"/>
    <col min="11050" max="11051" width="9" style="326"/>
    <col min="11052" max="11052" width="14.125" style="326" customWidth="1"/>
    <col min="11053" max="11053" width="11" style="326" customWidth="1"/>
    <col min="11054" max="11054" width="10.75" style="326" bestFit="1" customWidth="1"/>
    <col min="11055" max="11055" width="13.5" style="326" customWidth="1"/>
    <col min="11056" max="11057" width="9" style="326"/>
    <col min="11058" max="11058" width="10.75" style="326" bestFit="1" customWidth="1"/>
    <col min="11059" max="11059" width="14" style="326" customWidth="1"/>
    <col min="11060" max="11060" width="9" style="326"/>
    <col min="11061" max="11061" width="10.75" style="326" customWidth="1"/>
    <col min="11062" max="11062" width="12.75" style="326" customWidth="1"/>
    <col min="11063" max="11063" width="9" style="326"/>
    <col min="11064" max="11064" width="10.75" style="326" bestFit="1" customWidth="1"/>
    <col min="11065" max="11065" width="11.5" style="326" customWidth="1"/>
    <col min="11066" max="11066" width="13.625" style="326" customWidth="1"/>
    <col min="11067" max="11067" width="10.625" style="326" customWidth="1"/>
    <col min="11068" max="11068" width="10.75" style="326" bestFit="1" customWidth="1"/>
    <col min="11069" max="11069" width="12.375" style="326" customWidth="1"/>
    <col min="11070" max="11072" width="9" style="326"/>
    <col min="11073" max="11073" width="15.75" style="326" customWidth="1"/>
    <col min="11074" max="11074" width="9" style="326"/>
    <col min="11075" max="11075" width="10.75" style="326" bestFit="1" customWidth="1"/>
    <col min="11076" max="11076" width="12.625" style="326" customWidth="1"/>
    <col min="11077" max="11079" width="9" style="326"/>
    <col min="11080" max="11080" width="13.625" style="326" customWidth="1"/>
    <col min="11081" max="11081" width="9" style="326"/>
    <col min="11082" max="11082" width="10.75" style="326" bestFit="1" customWidth="1"/>
    <col min="11083" max="11083" width="12.5" style="326" customWidth="1"/>
    <col min="11084" max="11086" width="9" style="326"/>
    <col min="11087" max="11087" width="12.875" style="326" customWidth="1"/>
    <col min="11088" max="11088" width="9" style="326"/>
    <col min="11089" max="11089" width="10.75" style="326" bestFit="1" customWidth="1"/>
    <col min="11090" max="11090" width="13.875" style="326" customWidth="1"/>
    <col min="11091" max="11093" width="9" style="326"/>
    <col min="11094" max="11094" width="14.125" style="326" customWidth="1"/>
    <col min="11095" max="11095" width="9" style="326"/>
    <col min="11096" max="11096" width="10.75" style="326" bestFit="1" customWidth="1"/>
    <col min="11097" max="11097" width="13.25" style="326" customWidth="1"/>
    <col min="11098" max="11100" width="9" style="326"/>
    <col min="11101" max="11101" width="13.25" style="326" customWidth="1"/>
    <col min="11102" max="11102" width="9" style="326"/>
    <col min="11103" max="11103" width="10.75" style="326" bestFit="1" customWidth="1"/>
    <col min="11104" max="11104" width="13.875" style="326" customWidth="1"/>
    <col min="11105" max="11107" width="9" style="326"/>
    <col min="11108" max="11108" width="13.625" style="326" customWidth="1"/>
    <col min="11109" max="11109" width="9" style="326"/>
    <col min="11110" max="11110" width="10.75" style="326" bestFit="1" customWidth="1"/>
    <col min="11111" max="11111" width="13" style="326" customWidth="1"/>
    <col min="11112" max="11258" width="9" style="326"/>
    <col min="11259" max="11260" width="12.125" style="326" customWidth="1"/>
    <col min="11261" max="11263" width="13" style="326" customWidth="1"/>
    <col min="11264" max="11264" width="12.875" style="326" customWidth="1"/>
    <col min="11265" max="11265" width="13" style="326" customWidth="1"/>
    <col min="11266" max="11266" width="13.125" style="326" customWidth="1"/>
    <col min="11267" max="11268" width="12.125" style="326" customWidth="1"/>
    <col min="11269" max="11269" width="14.375" style="326" bestFit="1" customWidth="1"/>
    <col min="11270" max="11270" width="11" style="326" customWidth="1"/>
    <col min="11271" max="11271" width="10" style="326" customWidth="1"/>
    <col min="11272" max="11272" width="10.875" style="326" customWidth="1"/>
    <col min="11273" max="11273" width="13.75" style="326" customWidth="1"/>
    <col min="11274" max="11274" width="10" style="326" customWidth="1"/>
    <col min="11275" max="11275" width="13.25" style="326" customWidth="1"/>
    <col min="11276" max="11276" width="14.375" style="326" customWidth="1"/>
    <col min="11277" max="11277" width="10" style="326" customWidth="1"/>
    <col min="11278" max="11278" width="10.875" style="326" customWidth="1"/>
    <col min="11279" max="11279" width="11.375" style="326" customWidth="1"/>
    <col min="11280" max="11280" width="15.375" style="326" customWidth="1"/>
    <col min="11281" max="11282" width="10.75" style="326" customWidth="1"/>
    <col min="11283" max="11283" width="14.375" style="326" customWidth="1"/>
    <col min="11284" max="11284" width="10.75" style="326" customWidth="1"/>
    <col min="11285" max="11285" width="11.75" style="326" customWidth="1"/>
    <col min="11286" max="11286" width="10" style="326" customWidth="1"/>
    <col min="11287" max="11287" width="15.375" style="326" customWidth="1"/>
    <col min="11288" max="11288" width="10" style="326" customWidth="1"/>
    <col min="11289" max="11289" width="10.75" style="326" customWidth="1"/>
    <col min="11290" max="11290" width="14.875" style="326" customWidth="1"/>
    <col min="11291" max="11291" width="11.5" style="326" customWidth="1"/>
    <col min="11292" max="11292" width="10" style="326" customWidth="1"/>
    <col min="11293" max="11293" width="10.75" style="326" customWidth="1"/>
    <col min="11294" max="11294" width="13.5" style="326" customWidth="1"/>
    <col min="11295" max="11295" width="9" style="326"/>
    <col min="11296" max="11296" width="10.75" style="326" bestFit="1" customWidth="1"/>
    <col min="11297" max="11297" width="13.75" style="326" customWidth="1"/>
    <col min="11298" max="11298" width="9" style="326"/>
    <col min="11299" max="11299" width="10.625" style="326" customWidth="1"/>
    <col min="11300" max="11300" width="9" style="326"/>
    <col min="11301" max="11301" width="14.25" style="326" customWidth="1"/>
    <col min="11302" max="11302" width="10.75" style="326" bestFit="1" customWidth="1"/>
    <col min="11303" max="11303" width="11.625" style="326" customWidth="1"/>
    <col min="11304" max="11304" width="13.75" style="326" customWidth="1"/>
    <col min="11305" max="11305" width="10.625" style="326" customWidth="1"/>
    <col min="11306" max="11307" width="9" style="326"/>
    <col min="11308" max="11308" width="14.125" style="326" customWidth="1"/>
    <col min="11309" max="11309" width="11" style="326" customWidth="1"/>
    <col min="11310" max="11310" width="10.75" style="326" bestFit="1" customWidth="1"/>
    <col min="11311" max="11311" width="13.5" style="326" customWidth="1"/>
    <col min="11312" max="11313" width="9" style="326"/>
    <col min="11314" max="11314" width="10.75" style="326" bestFit="1" customWidth="1"/>
    <col min="11315" max="11315" width="14" style="326" customWidth="1"/>
    <col min="11316" max="11316" width="9" style="326"/>
    <col min="11317" max="11317" width="10.75" style="326" customWidth="1"/>
    <col min="11318" max="11318" width="12.75" style="326" customWidth="1"/>
    <col min="11319" max="11319" width="9" style="326"/>
    <col min="11320" max="11320" width="10.75" style="326" bestFit="1" customWidth="1"/>
    <col min="11321" max="11321" width="11.5" style="326" customWidth="1"/>
    <col min="11322" max="11322" width="13.625" style="326" customWidth="1"/>
    <col min="11323" max="11323" width="10.625" style="326" customWidth="1"/>
    <col min="11324" max="11324" width="10.75" style="326" bestFit="1" customWidth="1"/>
    <col min="11325" max="11325" width="12.375" style="326" customWidth="1"/>
    <col min="11326" max="11328" width="9" style="326"/>
    <col min="11329" max="11329" width="15.75" style="326" customWidth="1"/>
    <col min="11330" max="11330" width="9" style="326"/>
    <col min="11331" max="11331" width="10.75" style="326" bestFit="1" customWidth="1"/>
    <col min="11332" max="11332" width="12.625" style="326" customWidth="1"/>
    <col min="11333" max="11335" width="9" style="326"/>
    <col min="11336" max="11336" width="13.625" style="326" customWidth="1"/>
    <col min="11337" max="11337" width="9" style="326"/>
    <col min="11338" max="11338" width="10.75" style="326" bestFit="1" customWidth="1"/>
    <col min="11339" max="11339" width="12.5" style="326" customWidth="1"/>
    <col min="11340" max="11342" width="9" style="326"/>
    <col min="11343" max="11343" width="12.875" style="326" customWidth="1"/>
    <col min="11344" max="11344" width="9" style="326"/>
    <col min="11345" max="11345" width="10.75" style="326" bestFit="1" customWidth="1"/>
    <col min="11346" max="11346" width="13.875" style="326" customWidth="1"/>
    <col min="11347" max="11349" width="9" style="326"/>
    <col min="11350" max="11350" width="14.125" style="326" customWidth="1"/>
    <col min="11351" max="11351" width="9" style="326"/>
    <col min="11352" max="11352" width="10.75" style="326" bestFit="1" customWidth="1"/>
    <col min="11353" max="11353" width="13.25" style="326" customWidth="1"/>
    <col min="11354" max="11356" width="9" style="326"/>
    <col min="11357" max="11357" width="13.25" style="326" customWidth="1"/>
    <col min="11358" max="11358" width="9" style="326"/>
    <col min="11359" max="11359" width="10.75" style="326" bestFit="1" customWidth="1"/>
    <col min="11360" max="11360" width="13.875" style="326" customWidth="1"/>
    <col min="11361" max="11363" width="9" style="326"/>
    <col min="11364" max="11364" width="13.625" style="326" customWidth="1"/>
    <col min="11365" max="11365" width="9" style="326"/>
    <col min="11366" max="11366" width="10.75" style="326" bestFit="1" customWidth="1"/>
    <col min="11367" max="11367" width="13" style="326" customWidth="1"/>
    <col min="11368" max="11514" width="9" style="326"/>
    <col min="11515" max="11516" width="12.125" style="326" customWidth="1"/>
    <col min="11517" max="11519" width="13" style="326" customWidth="1"/>
    <col min="11520" max="11520" width="12.875" style="326" customWidth="1"/>
    <col min="11521" max="11521" width="13" style="326" customWidth="1"/>
    <col min="11522" max="11522" width="13.125" style="326" customWidth="1"/>
    <col min="11523" max="11524" width="12.125" style="326" customWidth="1"/>
    <col min="11525" max="11525" width="14.375" style="326" bestFit="1" customWidth="1"/>
    <col min="11526" max="11526" width="11" style="326" customWidth="1"/>
    <col min="11527" max="11527" width="10" style="326" customWidth="1"/>
    <col min="11528" max="11528" width="10.875" style="326" customWidth="1"/>
    <col min="11529" max="11529" width="13.75" style="326" customWidth="1"/>
    <col min="11530" max="11530" width="10" style="326" customWidth="1"/>
    <col min="11531" max="11531" width="13.25" style="326" customWidth="1"/>
    <col min="11532" max="11532" width="14.375" style="326" customWidth="1"/>
    <col min="11533" max="11533" width="10" style="326" customWidth="1"/>
    <col min="11534" max="11534" width="10.875" style="326" customWidth="1"/>
    <col min="11535" max="11535" width="11.375" style="326" customWidth="1"/>
    <col min="11536" max="11536" width="15.375" style="326" customWidth="1"/>
    <col min="11537" max="11538" width="10.75" style="326" customWidth="1"/>
    <col min="11539" max="11539" width="14.375" style="326" customWidth="1"/>
    <col min="11540" max="11540" width="10.75" style="326" customWidth="1"/>
    <col min="11541" max="11541" width="11.75" style="326" customWidth="1"/>
    <col min="11542" max="11542" width="10" style="326" customWidth="1"/>
    <col min="11543" max="11543" width="15.375" style="326" customWidth="1"/>
    <col min="11544" max="11544" width="10" style="326" customWidth="1"/>
    <col min="11545" max="11545" width="10.75" style="326" customWidth="1"/>
    <col min="11546" max="11546" width="14.875" style="326" customWidth="1"/>
    <col min="11547" max="11547" width="11.5" style="326" customWidth="1"/>
    <col min="11548" max="11548" width="10" style="326" customWidth="1"/>
    <col min="11549" max="11549" width="10.75" style="326" customWidth="1"/>
    <col min="11550" max="11550" width="13.5" style="326" customWidth="1"/>
    <col min="11551" max="11551" width="9" style="326"/>
    <col min="11552" max="11552" width="10.75" style="326" bestFit="1" customWidth="1"/>
    <col min="11553" max="11553" width="13.75" style="326" customWidth="1"/>
    <col min="11554" max="11554" width="9" style="326"/>
    <col min="11555" max="11555" width="10.625" style="326" customWidth="1"/>
    <col min="11556" max="11556" width="9" style="326"/>
    <col min="11557" max="11557" width="14.25" style="326" customWidth="1"/>
    <col min="11558" max="11558" width="10.75" style="326" bestFit="1" customWidth="1"/>
    <col min="11559" max="11559" width="11.625" style="326" customWidth="1"/>
    <col min="11560" max="11560" width="13.75" style="326" customWidth="1"/>
    <col min="11561" max="11561" width="10.625" style="326" customWidth="1"/>
    <col min="11562" max="11563" width="9" style="326"/>
    <col min="11564" max="11564" width="14.125" style="326" customWidth="1"/>
    <col min="11565" max="11565" width="11" style="326" customWidth="1"/>
    <col min="11566" max="11566" width="10.75" style="326" bestFit="1" customWidth="1"/>
    <col min="11567" max="11567" width="13.5" style="326" customWidth="1"/>
    <col min="11568" max="11569" width="9" style="326"/>
    <col min="11570" max="11570" width="10.75" style="326" bestFit="1" customWidth="1"/>
    <col min="11571" max="11571" width="14" style="326" customWidth="1"/>
    <col min="11572" max="11572" width="9" style="326"/>
    <col min="11573" max="11573" width="10.75" style="326" customWidth="1"/>
    <col min="11574" max="11574" width="12.75" style="326" customWidth="1"/>
    <col min="11575" max="11575" width="9" style="326"/>
    <col min="11576" max="11576" width="10.75" style="326" bestFit="1" customWidth="1"/>
    <col min="11577" max="11577" width="11.5" style="326" customWidth="1"/>
    <col min="11578" max="11578" width="13.625" style="326" customWidth="1"/>
    <col min="11579" max="11579" width="10.625" style="326" customWidth="1"/>
    <col min="11580" max="11580" width="10.75" style="326" bestFit="1" customWidth="1"/>
    <col min="11581" max="11581" width="12.375" style="326" customWidth="1"/>
    <col min="11582" max="11584" width="9" style="326"/>
    <col min="11585" max="11585" width="15.75" style="326" customWidth="1"/>
    <col min="11586" max="11586" width="9" style="326"/>
    <col min="11587" max="11587" width="10.75" style="326" bestFit="1" customWidth="1"/>
    <col min="11588" max="11588" width="12.625" style="326" customWidth="1"/>
    <col min="11589" max="11591" width="9" style="326"/>
    <col min="11592" max="11592" width="13.625" style="326" customWidth="1"/>
    <col min="11593" max="11593" width="9" style="326"/>
    <col min="11594" max="11594" width="10.75" style="326" bestFit="1" customWidth="1"/>
    <col min="11595" max="11595" width="12.5" style="326" customWidth="1"/>
    <col min="11596" max="11598" width="9" style="326"/>
    <col min="11599" max="11599" width="12.875" style="326" customWidth="1"/>
    <col min="11600" max="11600" width="9" style="326"/>
    <col min="11601" max="11601" width="10.75" style="326" bestFit="1" customWidth="1"/>
    <col min="11602" max="11602" width="13.875" style="326" customWidth="1"/>
    <col min="11603" max="11605" width="9" style="326"/>
    <col min="11606" max="11606" width="14.125" style="326" customWidth="1"/>
    <col min="11607" max="11607" width="9" style="326"/>
    <col min="11608" max="11608" width="10.75" style="326" bestFit="1" customWidth="1"/>
    <col min="11609" max="11609" width="13.25" style="326" customWidth="1"/>
    <col min="11610" max="11612" width="9" style="326"/>
    <col min="11613" max="11613" width="13.25" style="326" customWidth="1"/>
    <col min="11614" max="11614" width="9" style="326"/>
    <col min="11615" max="11615" width="10.75" style="326" bestFit="1" customWidth="1"/>
    <col min="11616" max="11616" width="13.875" style="326" customWidth="1"/>
    <col min="11617" max="11619" width="9" style="326"/>
    <col min="11620" max="11620" width="13.625" style="326" customWidth="1"/>
    <col min="11621" max="11621" width="9" style="326"/>
    <col min="11622" max="11622" width="10.75" style="326" bestFit="1" customWidth="1"/>
    <col min="11623" max="11623" width="13" style="326" customWidth="1"/>
    <col min="11624" max="11770" width="9" style="326"/>
    <col min="11771" max="11772" width="12.125" style="326" customWidth="1"/>
    <col min="11773" max="11775" width="13" style="326" customWidth="1"/>
    <col min="11776" max="11776" width="12.875" style="326" customWidth="1"/>
    <col min="11777" max="11777" width="13" style="326" customWidth="1"/>
    <col min="11778" max="11778" width="13.125" style="326" customWidth="1"/>
    <col min="11779" max="11780" width="12.125" style="326" customWidth="1"/>
    <col min="11781" max="11781" width="14.375" style="326" bestFit="1" customWidth="1"/>
    <col min="11782" max="11782" width="11" style="326" customWidth="1"/>
    <col min="11783" max="11783" width="10" style="326" customWidth="1"/>
    <col min="11784" max="11784" width="10.875" style="326" customWidth="1"/>
    <col min="11785" max="11785" width="13.75" style="326" customWidth="1"/>
    <col min="11786" max="11786" width="10" style="326" customWidth="1"/>
    <col min="11787" max="11787" width="13.25" style="326" customWidth="1"/>
    <col min="11788" max="11788" width="14.375" style="326" customWidth="1"/>
    <col min="11789" max="11789" width="10" style="326" customWidth="1"/>
    <col min="11790" max="11790" width="10.875" style="326" customWidth="1"/>
    <col min="11791" max="11791" width="11.375" style="326" customWidth="1"/>
    <col min="11792" max="11792" width="15.375" style="326" customWidth="1"/>
    <col min="11793" max="11794" width="10.75" style="326" customWidth="1"/>
    <col min="11795" max="11795" width="14.375" style="326" customWidth="1"/>
    <col min="11796" max="11796" width="10.75" style="326" customWidth="1"/>
    <col min="11797" max="11797" width="11.75" style="326" customWidth="1"/>
    <col min="11798" max="11798" width="10" style="326" customWidth="1"/>
    <col min="11799" max="11799" width="15.375" style="326" customWidth="1"/>
    <col min="11800" max="11800" width="10" style="326" customWidth="1"/>
    <col min="11801" max="11801" width="10.75" style="326" customWidth="1"/>
    <col min="11802" max="11802" width="14.875" style="326" customWidth="1"/>
    <col min="11803" max="11803" width="11.5" style="326" customWidth="1"/>
    <col min="11804" max="11804" width="10" style="326" customWidth="1"/>
    <col min="11805" max="11805" width="10.75" style="326" customWidth="1"/>
    <col min="11806" max="11806" width="13.5" style="326" customWidth="1"/>
    <col min="11807" max="11807" width="9" style="326"/>
    <col min="11808" max="11808" width="10.75" style="326" bestFit="1" customWidth="1"/>
    <col min="11809" max="11809" width="13.75" style="326" customWidth="1"/>
    <col min="11810" max="11810" width="9" style="326"/>
    <col min="11811" max="11811" width="10.625" style="326" customWidth="1"/>
    <col min="11812" max="11812" width="9" style="326"/>
    <col min="11813" max="11813" width="14.25" style="326" customWidth="1"/>
    <col min="11814" max="11814" width="10.75" style="326" bestFit="1" customWidth="1"/>
    <col min="11815" max="11815" width="11.625" style="326" customWidth="1"/>
    <col min="11816" max="11816" width="13.75" style="326" customWidth="1"/>
    <col min="11817" max="11817" width="10.625" style="326" customWidth="1"/>
    <col min="11818" max="11819" width="9" style="326"/>
    <col min="11820" max="11820" width="14.125" style="326" customWidth="1"/>
    <col min="11821" max="11821" width="11" style="326" customWidth="1"/>
    <col min="11822" max="11822" width="10.75" style="326" bestFit="1" customWidth="1"/>
    <col min="11823" max="11823" width="13.5" style="326" customWidth="1"/>
    <col min="11824" max="11825" width="9" style="326"/>
    <col min="11826" max="11826" width="10.75" style="326" bestFit="1" customWidth="1"/>
    <col min="11827" max="11827" width="14" style="326" customWidth="1"/>
    <col min="11828" max="11828" width="9" style="326"/>
    <col min="11829" max="11829" width="10.75" style="326" customWidth="1"/>
    <col min="11830" max="11830" width="12.75" style="326" customWidth="1"/>
    <col min="11831" max="11831" width="9" style="326"/>
    <col min="11832" max="11832" width="10.75" style="326" bestFit="1" customWidth="1"/>
    <col min="11833" max="11833" width="11.5" style="326" customWidth="1"/>
    <col min="11834" max="11834" width="13.625" style="326" customWidth="1"/>
    <col min="11835" max="11835" width="10.625" style="326" customWidth="1"/>
    <col min="11836" max="11836" width="10.75" style="326" bestFit="1" customWidth="1"/>
    <col min="11837" max="11837" width="12.375" style="326" customWidth="1"/>
    <col min="11838" max="11840" width="9" style="326"/>
    <col min="11841" max="11841" width="15.75" style="326" customWidth="1"/>
    <col min="11842" max="11842" width="9" style="326"/>
    <col min="11843" max="11843" width="10.75" style="326" bestFit="1" customWidth="1"/>
    <col min="11844" max="11844" width="12.625" style="326" customWidth="1"/>
    <col min="11845" max="11847" width="9" style="326"/>
    <col min="11848" max="11848" width="13.625" style="326" customWidth="1"/>
    <col min="11849" max="11849" width="9" style="326"/>
    <col min="11850" max="11850" width="10.75" style="326" bestFit="1" customWidth="1"/>
    <col min="11851" max="11851" width="12.5" style="326" customWidth="1"/>
    <col min="11852" max="11854" width="9" style="326"/>
    <col min="11855" max="11855" width="12.875" style="326" customWidth="1"/>
    <col min="11856" max="11856" width="9" style="326"/>
    <col min="11857" max="11857" width="10.75" style="326" bestFit="1" customWidth="1"/>
    <col min="11858" max="11858" width="13.875" style="326" customWidth="1"/>
    <col min="11859" max="11861" width="9" style="326"/>
    <col min="11862" max="11862" width="14.125" style="326" customWidth="1"/>
    <col min="11863" max="11863" width="9" style="326"/>
    <col min="11864" max="11864" width="10.75" style="326" bestFit="1" customWidth="1"/>
    <col min="11865" max="11865" width="13.25" style="326" customWidth="1"/>
    <col min="11866" max="11868" width="9" style="326"/>
    <col min="11869" max="11869" width="13.25" style="326" customWidth="1"/>
    <col min="11870" max="11870" width="9" style="326"/>
    <col min="11871" max="11871" width="10.75" style="326" bestFit="1" customWidth="1"/>
    <col min="11872" max="11872" width="13.875" style="326" customWidth="1"/>
    <col min="11873" max="11875" width="9" style="326"/>
    <col min="11876" max="11876" width="13.625" style="326" customWidth="1"/>
    <col min="11877" max="11877" width="9" style="326"/>
    <col min="11878" max="11878" width="10.75" style="326" bestFit="1" customWidth="1"/>
    <col min="11879" max="11879" width="13" style="326" customWidth="1"/>
    <col min="11880" max="12026" width="9" style="326"/>
    <col min="12027" max="12028" width="12.125" style="326" customWidth="1"/>
    <col min="12029" max="12031" width="13" style="326" customWidth="1"/>
    <col min="12032" max="12032" width="12.875" style="326" customWidth="1"/>
    <col min="12033" max="12033" width="13" style="326" customWidth="1"/>
    <col min="12034" max="12034" width="13.125" style="326" customWidth="1"/>
    <col min="12035" max="12036" width="12.125" style="326" customWidth="1"/>
    <col min="12037" max="12037" width="14.375" style="326" bestFit="1" customWidth="1"/>
    <col min="12038" max="12038" width="11" style="326" customWidth="1"/>
    <col min="12039" max="12039" width="10" style="326" customWidth="1"/>
    <col min="12040" max="12040" width="10.875" style="326" customWidth="1"/>
    <col min="12041" max="12041" width="13.75" style="326" customWidth="1"/>
    <col min="12042" max="12042" width="10" style="326" customWidth="1"/>
    <col min="12043" max="12043" width="13.25" style="326" customWidth="1"/>
    <col min="12044" max="12044" width="14.375" style="326" customWidth="1"/>
    <col min="12045" max="12045" width="10" style="326" customWidth="1"/>
    <col min="12046" max="12046" width="10.875" style="326" customWidth="1"/>
    <col min="12047" max="12047" width="11.375" style="326" customWidth="1"/>
    <col min="12048" max="12048" width="15.375" style="326" customWidth="1"/>
    <col min="12049" max="12050" width="10.75" style="326" customWidth="1"/>
    <col min="12051" max="12051" width="14.375" style="326" customWidth="1"/>
    <col min="12052" max="12052" width="10.75" style="326" customWidth="1"/>
    <col min="12053" max="12053" width="11.75" style="326" customWidth="1"/>
    <col min="12054" max="12054" width="10" style="326" customWidth="1"/>
    <col min="12055" max="12055" width="15.375" style="326" customWidth="1"/>
    <col min="12056" max="12056" width="10" style="326" customWidth="1"/>
    <col min="12057" max="12057" width="10.75" style="326" customWidth="1"/>
    <col min="12058" max="12058" width="14.875" style="326" customWidth="1"/>
    <col min="12059" max="12059" width="11.5" style="326" customWidth="1"/>
    <col min="12060" max="12060" width="10" style="326" customWidth="1"/>
    <col min="12061" max="12061" width="10.75" style="326" customWidth="1"/>
    <col min="12062" max="12062" width="13.5" style="326" customWidth="1"/>
    <col min="12063" max="12063" width="9" style="326"/>
    <col min="12064" max="12064" width="10.75" style="326" bestFit="1" customWidth="1"/>
    <col min="12065" max="12065" width="13.75" style="326" customWidth="1"/>
    <col min="12066" max="12066" width="9" style="326"/>
    <col min="12067" max="12067" width="10.625" style="326" customWidth="1"/>
    <col min="12068" max="12068" width="9" style="326"/>
    <col min="12069" max="12069" width="14.25" style="326" customWidth="1"/>
    <col min="12070" max="12070" width="10.75" style="326" bestFit="1" customWidth="1"/>
    <col min="12071" max="12071" width="11.625" style="326" customWidth="1"/>
    <col min="12072" max="12072" width="13.75" style="326" customWidth="1"/>
    <col min="12073" max="12073" width="10.625" style="326" customWidth="1"/>
    <col min="12074" max="12075" width="9" style="326"/>
    <col min="12076" max="12076" width="14.125" style="326" customWidth="1"/>
    <col min="12077" max="12077" width="11" style="326" customWidth="1"/>
    <col min="12078" max="12078" width="10.75" style="326" bestFit="1" customWidth="1"/>
    <col min="12079" max="12079" width="13.5" style="326" customWidth="1"/>
    <col min="12080" max="12081" width="9" style="326"/>
    <col min="12082" max="12082" width="10.75" style="326" bestFit="1" customWidth="1"/>
    <col min="12083" max="12083" width="14" style="326" customWidth="1"/>
    <col min="12084" max="12084" width="9" style="326"/>
    <col min="12085" max="12085" width="10.75" style="326" customWidth="1"/>
    <col min="12086" max="12086" width="12.75" style="326" customWidth="1"/>
    <col min="12087" max="12087" width="9" style="326"/>
    <col min="12088" max="12088" width="10.75" style="326" bestFit="1" customWidth="1"/>
    <col min="12089" max="12089" width="11.5" style="326" customWidth="1"/>
    <col min="12090" max="12090" width="13.625" style="326" customWidth="1"/>
    <col min="12091" max="12091" width="10.625" style="326" customWidth="1"/>
    <col min="12092" max="12092" width="10.75" style="326" bestFit="1" customWidth="1"/>
    <col min="12093" max="12093" width="12.375" style="326" customWidth="1"/>
    <col min="12094" max="12096" width="9" style="326"/>
    <col min="12097" max="12097" width="15.75" style="326" customWidth="1"/>
    <col min="12098" max="12098" width="9" style="326"/>
    <col min="12099" max="12099" width="10.75" style="326" bestFit="1" customWidth="1"/>
    <col min="12100" max="12100" width="12.625" style="326" customWidth="1"/>
    <col min="12101" max="12103" width="9" style="326"/>
    <col min="12104" max="12104" width="13.625" style="326" customWidth="1"/>
    <col min="12105" max="12105" width="9" style="326"/>
    <col min="12106" max="12106" width="10.75" style="326" bestFit="1" customWidth="1"/>
    <col min="12107" max="12107" width="12.5" style="326" customWidth="1"/>
    <col min="12108" max="12110" width="9" style="326"/>
    <col min="12111" max="12111" width="12.875" style="326" customWidth="1"/>
    <col min="12112" max="12112" width="9" style="326"/>
    <col min="12113" max="12113" width="10.75" style="326" bestFit="1" customWidth="1"/>
    <col min="12114" max="12114" width="13.875" style="326" customWidth="1"/>
    <col min="12115" max="12117" width="9" style="326"/>
    <col min="12118" max="12118" width="14.125" style="326" customWidth="1"/>
    <col min="12119" max="12119" width="9" style="326"/>
    <col min="12120" max="12120" width="10.75" style="326" bestFit="1" customWidth="1"/>
    <col min="12121" max="12121" width="13.25" style="326" customWidth="1"/>
    <col min="12122" max="12124" width="9" style="326"/>
    <col min="12125" max="12125" width="13.25" style="326" customWidth="1"/>
    <col min="12126" max="12126" width="9" style="326"/>
    <col min="12127" max="12127" width="10.75" style="326" bestFit="1" customWidth="1"/>
    <col min="12128" max="12128" width="13.875" style="326" customWidth="1"/>
    <col min="12129" max="12131" width="9" style="326"/>
    <col min="12132" max="12132" width="13.625" style="326" customWidth="1"/>
    <col min="12133" max="12133" width="9" style="326"/>
    <col min="12134" max="12134" width="10.75" style="326" bestFit="1" customWidth="1"/>
    <col min="12135" max="12135" width="13" style="326" customWidth="1"/>
    <col min="12136" max="12282" width="9" style="326"/>
    <col min="12283" max="12284" width="12.125" style="326" customWidth="1"/>
    <col min="12285" max="12287" width="13" style="326" customWidth="1"/>
    <col min="12288" max="12288" width="12.875" style="326" customWidth="1"/>
    <col min="12289" max="12289" width="13" style="326" customWidth="1"/>
    <col min="12290" max="12290" width="13.125" style="326" customWidth="1"/>
    <col min="12291" max="12292" width="12.125" style="326" customWidth="1"/>
    <col min="12293" max="12293" width="14.375" style="326" bestFit="1" customWidth="1"/>
    <col min="12294" max="12294" width="11" style="326" customWidth="1"/>
    <col min="12295" max="12295" width="10" style="326" customWidth="1"/>
    <col min="12296" max="12296" width="10.875" style="326" customWidth="1"/>
    <col min="12297" max="12297" width="13.75" style="326" customWidth="1"/>
    <col min="12298" max="12298" width="10" style="326" customWidth="1"/>
    <col min="12299" max="12299" width="13.25" style="326" customWidth="1"/>
    <col min="12300" max="12300" width="14.375" style="326" customWidth="1"/>
    <col min="12301" max="12301" width="10" style="326" customWidth="1"/>
    <col min="12302" max="12302" width="10.875" style="326" customWidth="1"/>
    <col min="12303" max="12303" width="11.375" style="326" customWidth="1"/>
    <col min="12304" max="12304" width="15.375" style="326" customWidth="1"/>
    <col min="12305" max="12306" width="10.75" style="326" customWidth="1"/>
    <col min="12307" max="12307" width="14.375" style="326" customWidth="1"/>
    <col min="12308" max="12308" width="10.75" style="326" customWidth="1"/>
    <col min="12309" max="12309" width="11.75" style="326" customWidth="1"/>
    <col min="12310" max="12310" width="10" style="326" customWidth="1"/>
    <col min="12311" max="12311" width="15.375" style="326" customWidth="1"/>
    <col min="12312" max="12312" width="10" style="326" customWidth="1"/>
    <col min="12313" max="12313" width="10.75" style="326" customWidth="1"/>
    <col min="12314" max="12314" width="14.875" style="326" customWidth="1"/>
    <col min="12315" max="12315" width="11.5" style="326" customWidth="1"/>
    <col min="12316" max="12316" width="10" style="326" customWidth="1"/>
    <col min="12317" max="12317" width="10.75" style="326" customWidth="1"/>
    <col min="12318" max="12318" width="13.5" style="326" customWidth="1"/>
    <col min="12319" max="12319" width="9" style="326"/>
    <col min="12320" max="12320" width="10.75" style="326" bestFit="1" customWidth="1"/>
    <col min="12321" max="12321" width="13.75" style="326" customWidth="1"/>
    <col min="12322" max="12322" width="9" style="326"/>
    <col min="12323" max="12323" width="10.625" style="326" customWidth="1"/>
    <col min="12324" max="12324" width="9" style="326"/>
    <col min="12325" max="12325" width="14.25" style="326" customWidth="1"/>
    <col min="12326" max="12326" width="10.75" style="326" bestFit="1" customWidth="1"/>
    <col min="12327" max="12327" width="11.625" style="326" customWidth="1"/>
    <col min="12328" max="12328" width="13.75" style="326" customWidth="1"/>
    <col min="12329" max="12329" width="10.625" style="326" customWidth="1"/>
    <col min="12330" max="12331" width="9" style="326"/>
    <col min="12332" max="12332" width="14.125" style="326" customWidth="1"/>
    <col min="12333" max="12333" width="11" style="326" customWidth="1"/>
    <col min="12334" max="12334" width="10.75" style="326" bestFit="1" customWidth="1"/>
    <col min="12335" max="12335" width="13.5" style="326" customWidth="1"/>
    <col min="12336" max="12337" width="9" style="326"/>
    <col min="12338" max="12338" width="10.75" style="326" bestFit="1" customWidth="1"/>
    <col min="12339" max="12339" width="14" style="326" customWidth="1"/>
    <col min="12340" max="12340" width="9" style="326"/>
    <col min="12341" max="12341" width="10.75" style="326" customWidth="1"/>
    <col min="12342" max="12342" width="12.75" style="326" customWidth="1"/>
    <col min="12343" max="12343" width="9" style="326"/>
    <col min="12344" max="12344" width="10.75" style="326" bestFit="1" customWidth="1"/>
    <col min="12345" max="12345" width="11.5" style="326" customWidth="1"/>
    <col min="12346" max="12346" width="13.625" style="326" customWidth="1"/>
    <col min="12347" max="12347" width="10.625" style="326" customWidth="1"/>
    <col min="12348" max="12348" width="10.75" style="326" bestFit="1" customWidth="1"/>
    <col min="12349" max="12349" width="12.375" style="326" customWidth="1"/>
    <col min="12350" max="12352" width="9" style="326"/>
    <col min="12353" max="12353" width="15.75" style="326" customWidth="1"/>
    <col min="12354" max="12354" width="9" style="326"/>
    <col min="12355" max="12355" width="10.75" style="326" bestFit="1" customWidth="1"/>
    <col min="12356" max="12356" width="12.625" style="326" customWidth="1"/>
    <col min="12357" max="12359" width="9" style="326"/>
    <col min="12360" max="12360" width="13.625" style="326" customWidth="1"/>
    <col min="12361" max="12361" width="9" style="326"/>
    <col min="12362" max="12362" width="10.75" style="326" bestFit="1" customWidth="1"/>
    <col min="12363" max="12363" width="12.5" style="326" customWidth="1"/>
    <col min="12364" max="12366" width="9" style="326"/>
    <col min="12367" max="12367" width="12.875" style="326" customWidth="1"/>
    <col min="12368" max="12368" width="9" style="326"/>
    <col min="12369" max="12369" width="10.75" style="326" bestFit="1" customWidth="1"/>
    <col min="12370" max="12370" width="13.875" style="326" customWidth="1"/>
    <col min="12371" max="12373" width="9" style="326"/>
    <col min="12374" max="12374" width="14.125" style="326" customWidth="1"/>
    <col min="12375" max="12375" width="9" style="326"/>
    <col min="12376" max="12376" width="10.75" style="326" bestFit="1" customWidth="1"/>
    <col min="12377" max="12377" width="13.25" style="326" customWidth="1"/>
    <col min="12378" max="12380" width="9" style="326"/>
    <col min="12381" max="12381" width="13.25" style="326" customWidth="1"/>
    <col min="12382" max="12382" width="9" style="326"/>
    <col min="12383" max="12383" width="10.75" style="326" bestFit="1" customWidth="1"/>
    <col min="12384" max="12384" width="13.875" style="326" customWidth="1"/>
    <col min="12385" max="12387" width="9" style="326"/>
    <col min="12388" max="12388" width="13.625" style="326" customWidth="1"/>
    <col min="12389" max="12389" width="9" style="326"/>
    <col min="12390" max="12390" width="10.75" style="326" bestFit="1" customWidth="1"/>
    <col min="12391" max="12391" width="13" style="326" customWidth="1"/>
    <col min="12392" max="12538" width="9" style="326"/>
    <col min="12539" max="12540" width="12.125" style="326" customWidth="1"/>
    <col min="12541" max="12543" width="13" style="326" customWidth="1"/>
    <col min="12544" max="12544" width="12.875" style="326" customWidth="1"/>
    <col min="12545" max="12545" width="13" style="326" customWidth="1"/>
    <col min="12546" max="12546" width="13.125" style="326" customWidth="1"/>
    <col min="12547" max="12548" width="12.125" style="326" customWidth="1"/>
    <col min="12549" max="12549" width="14.375" style="326" bestFit="1" customWidth="1"/>
    <col min="12550" max="12550" width="11" style="326" customWidth="1"/>
    <col min="12551" max="12551" width="10" style="326" customWidth="1"/>
    <col min="12552" max="12552" width="10.875" style="326" customWidth="1"/>
    <col min="12553" max="12553" width="13.75" style="326" customWidth="1"/>
    <col min="12554" max="12554" width="10" style="326" customWidth="1"/>
    <col min="12555" max="12555" width="13.25" style="326" customWidth="1"/>
    <col min="12556" max="12556" width="14.375" style="326" customWidth="1"/>
    <col min="12557" max="12557" width="10" style="326" customWidth="1"/>
    <col min="12558" max="12558" width="10.875" style="326" customWidth="1"/>
    <col min="12559" max="12559" width="11.375" style="326" customWidth="1"/>
    <col min="12560" max="12560" width="15.375" style="326" customWidth="1"/>
    <col min="12561" max="12562" width="10.75" style="326" customWidth="1"/>
    <col min="12563" max="12563" width="14.375" style="326" customWidth="1"/>
    <col min="12564" max="12564" width="10.75" style="326" customWidth="1"/>
    <col min="12565" max="12565" width="11.75" style="326" customWidth="1"/>
    <col min="12566" max="12566" width="10" style="326" customWidth="1"/>
    <col min="12567" max="12567" width="15.375" style="326" customWidth="1"/>
    <col min="12568" max="12568" width="10" style="326" customWidth="1"/>
    <col min="12569" max="12569" width="10.75" style="326" customWidth="1"/>
    <col min="12570" max="12570" width="14.875" style="326" customWidth="1"/>
    <col min="12571" max="12571" width="11.5" style="326" customWidth="1"/>
    <col min="12572" max="12572" width="10" style="326" customWidth="1"/>
    <col min="12573" max="12573" width="10.75" style="326" customWidth="1"/>
    <col min="12574" max="12574" width="13.5" style="326" customWidth="1"/>
    <col min="12575" max="12575" width="9" style="326"/>
    <col min="12576" max="12576" width="10.75" style="326" bestFit="1" customWidth="1"/>
    <col min="12577" max="12577" width="13.75" style="326" customWidth="1"/>
    <col min="12578" max="12578" width="9" style="326"/>
    <col min="12579" max="12579" width="10.625" style="326" customWidth="1"/>
    <col min="12580" max="12580" width="9" style="326"/>
    <col min="12581" max="12581" width="14.25" style="326" customWidth="1"/>
    <col min="12582" max="12582" width="10.75" style="326" bestFit="1" customWidth="1"/>
    <col min="12583" max="12583" width="11.625" style="326" customWidth="1"/>
    <col min="12584" max="12584" width="13.75" style="326" customWidth="1"/>
    <col min="12585" max="12585" width="10.625" style="326" customWidth="1"/>
    <col min="12586" max="12587" width="9" style="326"/>
    <col min="12588" max="12588" width="14.125" style="326" customWidth="1"/>
    <col min="12589" max="12589" width="11" style="326" customWidth="1"/>
    <col min="12590" max="12590" width="10.75" style="326" bestFit="1" customWidth="1"/>
    <col min="12591" max="12591" width="13.5" style="326" customWidth="1"/>
    <col min="12592" max="12593" width="9" style="326"/>
    <col min="12594" max="12594" width="10.75" style="326" bestFit="1" customWidth="1"/>
    <col min="12595" max="12595" width="14" style="326" customWidth="1"/>
    <col min="12596" max="12596" width="9" style="326"/>
    <col min="12597" max="12597" width="10.75" style="326" customWidth="1"/>
    <col min="12598" max="12598" width="12.75" style="326" customWidth="1"/>
    <col min="12599" max="12599" width="9" style="326"/>
    <col min="12600" max="12600" width="10.75" style="326" bestFit="1" customWidth="1"/>
    <col min="12601" max="12601" width="11.5" style="326" customWidth="1"/>
    <col min="12602" max="12602" width="13.625" style="326" customWidth="1"/>
    <col min="12603" max="12603" width="10.625" style="326" customWidth="1"/>
    <col min="12604" max="12604" width="10.75" style="326" bestFit="1" customWidth="1"/>
    <col min="12605" max="12605" width="12.375" style="326" customWidth="1"/>
    <col min="12606" max="12608" width="9" style="326"/>
    <col min="12609" max="12609" width="15.75" style="326" customWidth="1"/>
    <col min="12610" max="12610" width="9" style="326"/>
    <col min="12611" max="12611" width="10.75" style="326" bestFit="1" customWidth="1"/>
    <col min="12612" max="12612" width="12.625" style="326" customWidth="1"/>
    <col min="12613" max="12615" width="9" style="326"/>
    <col min="12616" max="12616" width="13.625" style="326" customWidth="1"/>
    <col min="12617" max="12617" width="9" style="326"/>
    <col min="12618" max="12618" width="10.75" style="326" bestFit="1" customWidth="1"/>
    <col min="12619" max="12619" width="12.5" style="326" customWidth="1"/>
    <col min="12620" max="12622" width="9" style="326"/>
    <col min="12623" max="12623" width="12.875" style="326" customWidth="1"/>
    <col min="12624" max="12624" width="9" style="326"/>
    <col min="12625" max="12625" width="10.75" style="326" bestFit="1" customWidth="1"/>
    <col min="12626" max="12626" width="13.875" style="326" customWidth="1"/>
    <col min="12627" max="12629" width="9" style="326"/>
    <col min="12630" max="12630" width="14.125" style="326" customWidth="1"/>
    <col min="12631" max="12631" width="9" style="326"/>
    <col min="12632" max="12632" width="10.75" style="326" bestFit="1" customWidth="1"/>
    <col min="12633" max="12633" width="13.25" style="326" customWidth="1"/>
    <col min="12634" max="12636" width="9" style="326"/>
    <col min="12637" max="12637" width="13.25" style="326" customWidth="1"/>
    <col min="12638" max="12638" width="9" style="326"/>
    <col min="12639" max="12639" width="10.75" style="326" bestFit="1" customWidth="1"/>
    <col min="12640" max="12640" width="13.875" style="326" customWidth="1"/>
    <col min="12641" max="12643" width="9" style="326"/>
    <col min="12644" max="12644" width="13.625" style="326" customWidth="1"/>
    <col min="12645" max="12645" width="9" style="326"/>
    <col min="12646" max="12646" width="10.75" style="326" bestFit="1" customWidth="1"/>
    <col min="12647" max="12647" width="13" style="326" customWidth="1"/>
    <col min="12648" max="12794" width="9" style="326"/>
    <col min="12795" max="12796" width="12.125" style="326" customWidth="1"/>
    <col min="12797" max="12799" width="13" style="326" customWidth="1"/>
    <col min="12800" max="12800" width="12.875" style="326" customWidth="1"/>
    <col min="12801" max="12801" width="13" style="326" customWidth="1"/>
    <col min="12802" max="12802" width="13.125" style="326" customWidth="1"/>
    <col min="12803" max="12804" width="12.125" style="326" customWidth="1"/>
    <col min="12805" max="12805" width="14.375" style="326" bestFit="1" customWidth="1"/>
    <col min="12806" max="12806" width="11" style="326" customWidth="1"/>
    <col min="12807" max="12807" width="10" style="326" customWidth="1"/>
    <col min="12808" max="12808" width="10.875" style="326" customWidth="1"/>
    <col min="12809" max="12809" width="13.75" style="326" customWidth="1"/>
    <col min="12810" max="12810" width="10" style="326" customWidth="1"/>
    <col min="12811" max="12811" width="13.25" style="326" customWidth="1"/>
    <col min="12812" max="12812" width="14.375" style="326" customWidth="1"/>
    <col min="12813" max="12813" width="10" style="326" customWidth="1"/>
    <col min="12814" max="12814" width="10.875" style="326" customWidth="1"/>
    <col min="12815" max="12815" width="11.375" style="326" customWidth="1"/>
    <col min="12816" max="12816" width="15.375" style="326" customWidth="1"/>
    <col min="12817" max="12818" width="10.75" style="326" customWidth="1"/>
    <col min="12819" max="12819" width="14.375" style="326" customWidth="1"/>
    <col min="12820" max="12820" width="10.75" style="326" customWidth="1"/>
    <col min="12821" max="12821" width="11.75" style="326" customWidth="1"/>
    <col min="12822" max="12822" width="10" style="326" customWidth="1"/>
    <col min="12823" max="12823" width="15.375" style="326" customWidth="1"/>
    <col min="12824" max="12824" width="10" style="326" customWidth="1"/>
    <col min="12825" max="12825" width="10.75" style="326" customWidth="1"/>
    <col min="12826" max="12826" width="14.875" style="326" customWidth="1"/>
    <col min="12827" max="12827" width="11.5" style="326" customWidth="1"/>
    <col min="12828" max="12828" width="10" style="326" customWidth="1"/>
    <col min="12829" max="12829" width="10.75" style="326" customWidth="1"/>
    <col min="12830" max="12830" width="13.5" style="326" customWidth="1"/>
    <col min="12831" max="12831" width="9" style="326"/>
    <col min="12832" max="12832" width="10.75" style="326" bestFit="1" customWidth="1"/>
    <col min="12833" max="12833" width="13.75" style="326" customWidth="1"/>
    <col min="12834" max="12834" width="9" style="326"/>
    <col min="12835" max="12835" width="10.625" style="326" customWidth="1"/>
    <col min="12836" max="12836" width="9" style="326"/>
    <col min="12837" max="12837" width="14.25" style="326" customWidth="1"/>
    <col min="12838" max="12838" width="10.75" style="326" bestFit="1" customWidth="1"/>
    <col min="12839" max="12839" width="11.625" style="326" customWidth="1"/>
    <col min="12840" max="12840" width="13.75" style="326" customWidth="1"/>
    <col min="12841" max="12841" width="10.625" style="326" customWidth="1"/>
    <col min="12842" max="12843" width="9" style="326"/>
    <col min="12844" max="12844" width="14.125" style="326" customWidth="1"/>
    <col min="12845" max="12845" width="11" style="326" customWidth="1"/>
    <col min="12846" max="12846" width="10.75" style="326" bestFit="1" customWidth="1"/>
    <col min="12847" max="12847" width="13.5" style="326" customWidth="1"/>
    <col min="12848" max="12849" width="9" style="326"/>
    <col min="12850" max="12850" width="10.75" style="326" bestFit="1" customWidth="1"/>
    <col min="12851" max="12851" width="14" style="326" customWidth="1"/>
    <col min="12852" max="12852" width="9" style="326"/>
    <col min="12853" max="12853" width="10.75" style="326" customWidth="1"/>
    <col min="12854" max="12854" width="12.75" style="326" customWidth="1"/>
    <col min="12855" max="12855" width="9" style="326"/>
    <col min="12856" max="12856" width="10.75" style="326" bestFit="1" customWidth="1"/>
    <col min="12857" max="12857" width="11.5" style="326" customWidth="1"/>
    <col min="12858" max="12858" width="13.625" style="326" customWidth="1"/>
    <col min="12859" max="12859" width="10.625" style="326" customWidth="1"/>
    <col min="12860" max="12860" width="10.75" style="326" bestFit="1" customWidth="1"/>
    <col min="12861" max="12861" width="12.375" style="326" customWidth="1"/>
    <col min="12862" max="12864" width="9" style="326"/>
    <col min="12865" max="12865" width="15.75" style="326" customWidth="1"/>
    <col min="12866" max="12866" width="9" style="326"/>
    <col min="12867" max="12867" width="10.75" style="326" bestFit="1" customWidth="1"/>
    <col min="12868" max="12868" width="12.625" style="326" customWidth="1"/>
    <col min="12869" max="12871" width="9" style="326"/>
    <col min="12872" max="12872" width="13.625" style="326" customWidth="1"/>
    <col min="12873" max="12873" width="9" style="326"/>
    <col min="12874" max="12874" width="10.75" style="326" bestFit="1" customWidth="1"/>
    <col min="12875" max="12875" width="12.5" style="326" customWidth="1"/>
    <col min="12876" max="12878" width="9" style="326"/>
    <col min="12879" max="12879" width="12.875" style="326" customWidth="1"/>
    <col min="12880" max="12880" width="9" style="326"/>
    <col min="12881" max="12881" width="10.75" style="326" bestFit="1" customWidth="1"/>
    <col min="12882" max="12882" width="13.875" style="326" customWidth="1"/>
    <col min="12883" max="12885" width="9" style="326"/>
    <col min="12886" max="12886" width="14.125" style="326" customWidth="1"/>
    <col min="12887" max="12887" width="9" style="326"/>
    <col min="12888" max="12888" width="10.75" style="326" bestFit="1" customWidth="1"/>
    <col min="12889" max="12889" width="13.25" style="326" customWidth="1"/>
    <col min="12890" max="12892" width="9" style="326"/>
    <col min="12893" max="12893" width="13.25" style="326" customWidth="1"/>
    <col min="12894" max="12894" width="9" style="326"/>
    <col min="12895" max="12895" width="10.75" style="326" bestFit="1" customWidth="1"/>
    <col min="12896" max="12896" width="13.875" style="326" customWidth="1"/>
    <col min="12897" max="12899" width="9" style="326"/>
    <col min="12900" max="12900" width="13.625" style="326" customWidth="1"/>
    <col min="12901" max="12901" width="9" style="326"/>
    <col min="12902" max="12902" width="10.75" style="326" bestFit="1" customWidth="1"/>
    <col min="12903" max="12903" width="13" style="326" customWidth="1"/>
    <col min="12904" max="13050" width="9" style="326"/>
    <col min="13051" max="13052" width="12.125" style="326" customWidth="1"/>
    <col min="13053" max="13055" width="13" style="326" customWidth="1"/>
    <col min="13056" max="13056" width="12.875" style="326" customWidth="1"/>
    <col min="13057" max="13057" width="13" style="326" customWidth="1"/>
    <col min="13058" max="13058" width="13.125" style="326" customWidth="1"/>
    <col min="13059" max="13060" width="12.125" style="326" customWidth="1"/>
    <col min="13061" max="13061" width="14.375" style="326" bestFit="1" customWidth="1"/>
    <col min="13062" max="13062" width="11" style="326" customWidth="1"/>
    <col min="13063" max="13063" width="10" style="326" customWidth="1"/>
    <col min="13064" max="13064" width="10.875" style="326" customWidth="1"/>
    <col min="13065" max="13065" width="13.75" style="326" customWidth="1"/>
    <col min="13066" max="13066" width="10" style="326" customWidth="1"/>
    <col min="13067" max="13067" width="13.25" style="326" customWidth="1"/>
    <col min="13068" max="13068" width="14.375" style="326" customWidth="1"/>
    <col min="13069" max="13069" width="10" style="326" customWidth="1"/>
    <col min="13070" max="13070" width="10.875" style="326" customWidth="1"/>
    <col min="13071" max="13071" width="11.375" style="326" customWidth="1"/>
    <col min="13072" max="13072" width="15.375" style="326" customWidth="1"/>
    <col min="13073" max="13074" width="10.75" style="326" customWidth="1"/>
    <col min="13075" max="13075" width="14.375" style="326" customWidth="1"/>
    <col min="13076" max="13076" width="10.75" style="326" customWidth="1"/>
    <col min="13077" max="13077" width="11.75" style="326" customWidth="1"/>
    <col min="13078" max="13078" width="10" style="326" customWidth="1"/>
    <col min="13079" max="13079" width="15.375" style="326" customWidth="1"/>
    <col min="13080" max="13080" width="10" style="326" customWidth="1"/>
    <col min="13081" max="13081" width="10.75" style="326" customWidth="1"/>
    <col min="13082" max="13082" width="14.875" style="326" customWidth="1"/>
    <col min="13083" max="13083" width="11.5" style="326" customWidth="1"/>
    <col min="13084" max="13084" width="10" style="326" customWidth="1"/>
    <col min="13085" max="13085" width="10.75" style="326" customWidth="1"/>
    <col min="13086" max="13086" width="13.5" style="326" customWidth="1"/>
    <col min="13087" max="13087" width="9" style="326"/>
    <col min="13088" max="13088" width="10.75" style="326" bestFit="1" customWidth="1"/>
    <col min="13089" max="13089" width="13.75" style="326" customWidth="1"/>
    <col min="13090" max="13090" width="9" style="326"/>
    <col min="13091" max="13091" width="10.625" style="326" customWidth="1"/>
    <col min="13092" max="13092" width="9" style="326"/>
    <col min="13093" max="13093" width="14.25" style="326" customWidth="1"/>
    <col min="13094" max="13094" width="10.75" style="326" bestFit="1" customWidth="1"/>
    <col min="13095" max="13095" width="11.625" style="326" customWidth="1"/>
    <col min="13096" max="13096" width="13.75" style="326" customWidth="1"/>
    <col min="13097" max="13097" width="10.625" style="326" customWidth="1"/>
    <col min="13098" max="13099" width="9" style="326"/>
    <col min="13100" max="13100" width="14.125" style="326" customWidth="1"/>
    <col min="13101" max="13101" width="11" style="326" customWidth="1"/>
    <col min="13102" max="13102" width="10.75" style="326" bestFit="1" customWidth="1"/>
    <col min="13103" max="13103" width="13.5" style="326" customWidth="1"/>
    <col min="13104" max="13105" width="9" style="326"/>
    <col min="13106" max="13106" width="10.75" style="326" bestFit="1" customWidth="1"/>
    <col min="13107" max="13107" width="14" style="326" customWidth="1"/>
    <col min="13108" max="13108" width="9" style="326"/>
    <col min="13109" max="13109" width="10.75" style="326" customWidth="1"/>
    <col min="13110" max="13110" width="12.75" style="326" customWidth="1"/>
    <col min="13111" max="13111" width="9" style="326"/>
    <col min="13112" max="13112" width="10.75" style="326" bestFit="1" customWidth="1"/>
    <col min="13113" max="13113" width="11.5" style="326" customWidth="1"/>
    <col min="13114" max="13114" width="13.625" style="326" customWidth="1"/>
    <col min="13115" max="13115" width="10.625" style="326" customWidth="1"/>
    <col min="13116" max="13116" width="10.75" style="326" bestFit="1" customWidth="1"/>
    <col min="13117" max="13117" width="12.375" style="326" customWidth="1"/>
    <col min="13118" max="13120" width="9" style="326"/>
    <col min="13121" max="13121" width="15.75" style="326" customWidth="1"/>
    <col min="13122" max="13122" width="9" style="326"/>
    <col min="13123" max="13123" width="10.75" style="326" bestFit="1" customWidth="1"/>
    <col min="13124" max="13124" width="12.625" style="326" customWidth="1"/>
    <col min="13125" max="13127" width="9" style="326"/>
    <col min="13128" max="13128" width="13.625" style="326" customWidth="1"/>
    <col min="13129" max="13129" width="9" style="326"/>
    <col min="13130" max="13130" width="10.75" style="326" bestFit="1" customWidth="1"/>
    <col min="13131" max="13131" width="12.5" style="326" customWidth="1"/>
    <col min="13132" max="13134" width="9" style="326"/>
    <col min="13135" max="13135" width="12.875" style="326" customWidth="1"/>
    <col min="13136" max="13136" width="9" style="326"/>
    <col min="13137" max="13137" width="10.75" style="326" bestFit="1" customWidth="1"/>
    <col min="13138" max="13138" width="13.875" style="326" customWidth="1"/>
    <col min="13139" max="13141" width="9" style="326"/>
    <col min="13142" max="13142" width="14.125" style="326" customWidth="1"/>
    <col min="13143" max="13143" width="9" style="326"/>
    <col min="13144" max="13144" width="10.75" style="326" bestFit="1" customWidth="1"/>
    <col min="13145" max="13145" width="13.25" style="326" customWidth="1"/>
    <col min="13146" max="13148" width="9" style="326"/>
    <col min="13149" max="13149" width="13.25" style="326" customWidth="1"/>
    <col min="13150" max="13150" width="9" style="326"/>
    <col min="13151" max="13151" width="10.75" style="326" bestFit="1" customWidth="1"/>
    <col min="13152" max="13152" width="13.875" style="326" customWidth="1"/>
    <col min="13153" max="13155" width="9" style="326"/>
    <col min="13156" max="13156" width="13.625" style="326" customWidth="1"/>
    <col min="13157" max="13157" width="9" style="326"/>
    <col min="13158" max="13158" width="10.75" style="326" bestFit="1" customWidth="1"/>
    <col min="13159" max="13159" width="13" style="326" customWidth="1"/>
    <col min="13160" max="13306" width="9" style="326"/>
    <col min="13307" max="13308" width="12.125" style="326" customWidth="1"/>
    <col min="13309" max="13311" width="13" style="326" customWidth="1"/>
    <col min="13312" max="13312" width="12.875" style="326" customWidth="1"/>
    <col min="13313" max="13313" width="13" style="326" customWidth="1"/>
    <col min="13314" max="13314" width="13.125" style="326" customWidth="1"/>
    <col min="13315" max="13316" width="12.125" style="326" customWidth="1"/>
    <col min="13317" max="13317" width="14.375" style="326" bestFit="1" customWidth="1"/>
    <col min="13318" max="13318" width="11" style="326" customWidth="1"/>
    <col min="13319" max="13319" width="10" style="326" customWidth="1"/>
    <col min="13320" max="13320" width="10.875" style="326" customWidth="1"/>
    <col min="13321" max="13321" width="13.75" style="326" customWidth="1"/>
    <col min="13322" max="13322" width="10" style="326" customWidth="1"/>
    <col min="13323" max="13323" width="13.25" style="326" customWidth="1"/>
    <col min="13324" max="13324" width="14.375" style="326" customWidth="1"/>
    <col min="13325" max="13325" width="10" style="326" customWidth="1"/>
    <col min="13326" max="13326" width="10.875" style="326" customWidth="1"/>
    <col min="13327" max="13327" width="11.375" style="326" customWidth="1"/>
    <col min="13328" max="13328" width="15.375" style="326" customWidth="1"/>
    <col min="13329" max="13330" width="10.75" style="326" customWidth="1"/>
    <col min="13331" max="13331" width="14.375" style="326" customWidth="1"/>
    <col min="13332" max="13332" width="10.75" style="326" customWidth="1"/>
    <col min="13333" max="13333" width="11.75" style="326" customWidth="1"/>
    <col min="13334" max="13334" width="10" style="326" customWidth="1"/>
    <col min="13335" max="13335" width="15.375" style="326" customWidth="1"/>
    <col min="13336" max="13336" width="10" style="326" customWidth="1"/>
    <col min="13337" max="13337" width="10.75" style="326" customWidth="1"/>
    <col min="13338" max="13338" width="14.875" style="326" customWidth="1"/>
    <col min="13339" max="13339" width="11.5" style="326" customWidth="1"/>
    <col min="13340" max="13340" width="10" style="326" customWidth="1"/>
    <col min="13341" max="13341" width="10.75" style="326" customWidth="1"/>
    <col min="13342" max="13342" width="13.5" style="326" customWidth="1"/>
    <col min="13343" max="13343" width="9" style="326"/>
    <col min="13344" max="13344" width="10.75" style="326" bestFit="1" customWidth="1"/>
    <col min="13345" max="13345" width="13.75" style="326" customWidth="1"/>
    <col min="13346" max="13346" width="9" style="326"/>
    <col min="13347" max="13347" width="10.625" style="326" customWidth="1"/>
    <col min="13348" max="13348" width="9" style="326"/>
    <col min="13349" max="13349" width="14.25" style="326" customWidth="1"/>
    <col min="13350" max="13350" width="10.75" style="326" bestFit="1" customWidth="1"/>
    <col min="13351" max="13351" width="11.625" style="326" customWidth="1"/>
    <col min="13352" max="13352" width="13.75" style="326" customWidth="1"/>
    <col min="13353" max="13353" width="10.625" style="326" customWidth="1"/>
    <col min="13354" max="13355" width="9" style="326"/>
    <col min="13356" max="13356" width="14.125" style="326" customWidth="1"/>
    <col min="13357" max="13357" width="11" style="326" customWidth="1"/>
    <col min="13358" max="13358" width="10.75" style="326" bestFit="1" customWidth="1"/>
    <col min="13359" max="13359" width="13.5" style="326" customWidth="1"/>
    <col min="13360" max="13361" width="9" style="326"/>
    <col min="13362" max="13362" width="10.75" style="326" bestFit="1" customWidth="1"/>
    <col min="13363" max="13363" width="14" style="326" customWidth="1"/>
    <col min="13364" max="13364" width="9" style="326"/>
    <col min="13365" max="13365" width="10.75" style="326" customWidth="1"/>
    <col min="13366" max="13366" width="12.75" style="326" customWidth="1"/>
    <col min="13367" max="13367" width="9" style="326"/>
    <col min="13368" max="13368" width="10.75" style="326" bestFit="1" customWidth="1"/>
    <col min="13369" max="13369" width="11.5" style="326" customWidth="1"/>
    <col min="13370" max="13370" width="13.625" style="326" customWidth="1"/>
    <col min="13371" max="13371" width="10.625" style="326" customWidth="1"/>
    <col min="13372" max="13372" width="10.75" style="326" bestFit="1" customWidth="1"/>
    <col min="13373" max="13373" width="12.375" style="326" customWidth="1"/>
    <col min="13374" max="13376" width="9" style="326"/>
    <col min="13377" max="13377" width="15.75" style="326" customWidth="1"/>
    <col min="13378" max="13378" width="9" style="326"/>
    <col min="13379" max="13379" width="10.75" style="326" bestFit="1" customWidth="1"/>
    <col min="13380" max="13380" width="12.625" style="326" customWidth="1"/>
    <col min="13381" max="13383" width="9" style="326"/>
    <col min="13384" max="13384" width="13.625" style="326" customWidth="1"/>
    <col min="13385" max="13385" width="9" style="326"/>
    <col min="13386" max="13386" width="10.75" style="326" bestFit="1" customWidth="1"/>
    <col min="13387" max="13387" width="12.5" style="326" customWidth="1"/>
    <col min="13388" max="13390" width="9" style="326"/>
    <col min="13391" max="13391" width="12.875" style="326" customWidth="1"/>
    <col min="13392" max="13392" width="9" style="326"/>
    <col min="13393" max="13393" width="10.75" style="326" bestFit="1" customWidth="1"/>
    <col min="13394" max="13394" width="13.875" style="326" customWidth="1"/>
    <col min="13395" max="13397" width="9" style="326"/>
    <col min="13398" max="13398" width="14.125" style="326" customWidth="1"/>
    <col min="13399" max="13399" width="9" style="326"/>
    <col min="13400" max="13400" width="10.75" style="326" bestFit="1" customWidth="1"/>
    <col min="13401" max="13401" width="13.25" style="326" customWidth="1"/>
    <col min="13402" max="13404" width="9" style="326"/>
    <col min="13405" max="13405" width="13.25" style="326" customWidth="1"/>
    <col min="13406" max="13406" width="9" style="326"/>
    <col min="13407" max="13407" width="10.75" style="326" bestFit="1" customWidth="1"/>
    <col min="13408" max="13408" width="13.875" style="326" customWidth="1"/>
    <col min="13409" max="13411" width="9" style="326"/>
    <col min="13412" max="13412" width="13.625" style="326" customWidth="1"/>
    <col min="13413" max="13413" width="9" style="326"/>
    <col min="13414" max="13414" width="10.75" style="326" bestFit="1" customWidth="1"/>
    <col min="13415" max="13415" width="13" style="326" customWidth="1"/>
    <col min="13416" max="13562" width="9" style="326"/>
    <col min="13563" max="13564" width="12.125" style="326" customWidth="1"/>
    <col min="13565" max="13567" width="13" style="326" customWidth="1"/>
    <col min="13568" max="13568" width="12.875" style="326" customWidth="1"/>
    <col min="13569" max="13569" width="13" style="326" customWidth="1"/>
    <col min="13570" max="13570" width="13.125" style="326" customWidth="1"/>
    <col min="13571" max="13572" width="12.125" style="326" customWidth="1"/>
    <col min="13573" max="13573" width="14.375" style="326" bestFit="1" customWidth="1"/>
    <col min="13574" max="13574" width="11" style="326" customWidth="1"/>
    <col min="13575" max="13575" width="10" style="326" customWidth="1"/>
    <col min="13576" max="13576" width="10.875" style="326" customWidth="1"/>
    <col min="13577" max="13577" width="13.75" style="326" customWidth="1"/>
    <col min="13578" max="13578" width="10" style="326" customWidth="1"/>
    <col min="13579" max="13579" width="13.25" style="326" customWidth="1"/>
    <col min="13580" max="13580" width="14.375" style="326" customWidth="1"/>
    <col min="13581" max="13581" width="10" style="326" customWidth="1"/>
    <col min="13582" max="13582" width="10.875" style="326" customWidth="1"/>
    <col min="13583" max="13583" width="11.375" style="326" customWidth="1"/>
    <col min="13584" max="13584" width="15.375" style="326" customWidth="1"/>
    <col min="13585" max="13586" width="10.75" style="326" customWidth="1"/>
    <col min="13587" max="13587" width="14.375" style="326" customWidth="1"/>
    <col min="13588" max="13588" width="10.75" style="326" customWidth="1"/>
    <col min="13589" max="13589" width="11.75" style="326" customWidth="1"/>
    <col min="13590" max="13590" width="10" style="326" customWidth="1"/>
    <col min="13591" max="13591" width="15.375" style="326" customWidth="1"/>
    <col min="13592" max="13592" width="10" style="326" customWidth="1"/>
    <col min="13593" max="13593" width="10.75" style="326" customWidth="1"/>
    <col min="13594" max="13594" width="14.875" style="326" customWidth="1"/>
    <col min="13595" max="13595" width="11.5" style="326" customWidth="1"/>
    <col min="13596" max="13596" width="10" style="326" customWidth="1"/>
    <col min="13597" max="13597" width="10.75" style="326" customWidth="1"/>
    <col min="13598" max="13598" width="13.5" style="326" customWidth="1"/>
    <col min="13599" max="13599" width="9" style="326"/>
    <col min="13600" max="13600" width="10.75" style="326" bestFit="1" customWidth="1"/>
    <col min="13601" max="13601" width="13.75" style="326" customWidth="1"/>
    <col min="13602" max="13602" width="9" style="326"/>
    <col min="13603" max="13603" width="10.625" style="326" customWidth="1"/>
    <col min="13604" max="13604" width="9" style="326"/>
    <col min="13605" max="13605" width="14.25" style="326" customWidth="1"/>
    <col min="13606" max="13606" width="10.75" style="326" bestFit="1" customWidth="1"/>
    <col min="13607" max="13607" width="11.625" style="326" customWidth="1"/>
    <col min="13608" max="13608" width="13.75" style="326" customWidth="1"/>
    <col min="13609" max="13609" width="10.625" style="326" customWidth="1"/>
    <col min="13610" max="13611" width="9" style="326"/>
    <col min="13612" max="13612" width="14.125" style="326" customWidth="1"/>
    <col min="13613" max="13613" width="11" style="326" customWidth="1"/>
    <col min="13614" max="13614" width="10.75" style="326" bestFit="1" customWidth="1"/>
    <col min="13615" max="13615" width="13.5" style="326" customWidth="1"/>
    <col min="13616" max="13617" width="9" style="326"/>
    <col min="13618" max="13618" width="10.75" style="326" bestFit="1" customWidth="1"/>
    <col min="13619" max="13619" width="14" style="326" customWidth="1"/>
    <col min="13620" max="13620" width="9" style="326"/>
    <col min="13621" max="13621" width="10.75" style="326" customWidth="1"/>
    <col min="13622" max="13622" width="12.75" style="326" customWidth="1"/>
    <col min="13623" max="13623" width="9" style="326"/>
    <col min="13624" max="13624" width="10.75" style="326" bestFit="1" customWidth="1"/>
    <col min="13625" max="13625" width="11.5" style="326" customWidth="1"/>
    <col min="13626" max="13626" width="13.625" style="326" customWidth="1"/>
    <col min="13627" max="13627" width="10.625" style="326" customWidth="1"/>
    <col min="13628" max="13628" width="10.75" style="326" bestFit="1" customWidth="1"/>
    <col min="13629" max="13629" width="12.375" style="326" customWidth="1"/>
    <col min="13630" max="13632" width="9" style="326"/>
    <col min="13633" max="13633" width="15.75" style="326" customWidth="1"/>
    <col min="13634" max="13634" width="9" style="326"/>
    <col min="13635" max="13635" width="10.75" style="326" bestFit="1" customWidth="1"/>
    <col min="13636" max="13636" width="12.625" style="326" customWidth="1"/>
    <col min="13637" max="13639" width="9" style="326"/>
    <col min="13640" max="13640" width="13.625" style="326" customWidth="1"/>
    <col min="13641" max="13641" width="9" style="326"/>
    <col min="13642" max="13642" width="10.75" style="326" bestFit="1" customWidth="1"/>
    <col min="13643" max="13643" width="12.5" style="326" customWidth="1"/>
    <col min="13644" max="13646" width="9" style="326"/>
    <col min="13647" max="13647" width="12.875" style="326" customWidth="1"/>
    <col min="13648" max="13648" width="9" style="326"/>
    <col min="13649" max="13649" width="10.75" style="326" bestFit="1" customWidth="1"/>
    <col min="13650" max="13650" width="13.875" style="326" customWidth="1"/>
    <col min="13651" max="13653" width="9" style="326"/>
    <col min="13654" max="13654" width="14.125" style="326" customWidth="1"/>
    <col min="13655" max="13655" width="9" style="326"/>
    <col min="13656" max="13656" width="10.75" style="326" bestFit="1" customWidth="1"/>
    <col min="13657" max="13657" width="13.25" style="326" customWidth="1"/>
    <col min="13658" max="13660" width="9" style="326"/>
    <col min="13661" max="13661" width="13.25" style="326" customWidth="1"/>
    <col min="13662" max="13662" width="9" style="326"/>
    <col min="13663" max="13663" width="10.75" style="326" bestFit="1" customWidth="1"/>
    <col min="13664" max="13664" width="13.875" style="326" customWidth="1"/>
    <col min="13665" max="13667" width="9" style="326"/>
    <col min="13668" max="13668" width="13.625" style="326" customWidth="1"/>
    <col min="13669" max="13669" width="9" style="326"/>
    <col min="13670" max="13670" width="10.75" style="326" bestFit="1" customWidth="1"/>
    <col min="13671" max="13671" width="13" style="326" customWidth="1"/>
    <col min="13672" max="13818" width="9" style="326"/>
    <col min="13819" max="13820" width="12.125" style="326" customWidth="1"/>
    <col min="13821" max="13823" width="13" style="326" customWidth="1"/>
    <col min="13824" max="13824" width="12.875" style="326" customWidth="1"/>
    <col min="13825" max="13825" width="13" style="326" customWidth="1"/>
    <col min="13826" max="13826" width="13.125" style="326" customWidth="1"/>
    <col min="13827" max="13828" width="12.125" style="326" customWidth="1"/>
    <col min="13829" max="13829" width="14.375" style="326" bestFit="1" customWidth="1"/>
    <col min="13830" max="13830" width="11" style="326" customWidth="1"/>
    <col min="13831" max="13831" width="10" style="326" customWidth="1"/>
    <col min="13832" max="13832" width="10.875" style="326" customWidth="1"/>
    <col min="13833" max="13833" width="13.75" style="326" customWidth="1"/>
    <col min="13834" max="13834" width="10" style="326" customWidth="1"/>
    <col min="13835" max="13835" width="13.25" style="326" customWidth="1"/>
    <col min="13836" max="13836" width="14.375" style="326" customWidth="1"/>
    <col min="13837" max="13837" width="10" style="326" customWidth="1"/>
    <col min="13838" max="13838" width="10.875" style="326" customWidth="1"/>
    <col min="13839" max="13839" width="11.375" style="326" customWidth="1"/>
    <col min="13840" max="13840" width="15.375" style="326" customWidth="1"/>
    <col min="13841" max="13842" width="10.75" style="326" customWidth="1"/>
    <col min="13843" max="13843" width="14.375" style="326" customWidth="1"/>
    <col min="13844" max="13844" width="10.75" style="326" customWidth="1"/>
    <col min="13845" max="13845" width="11.75" style="326" customWidth="1"/>
    <col min="13846" max="13846" width="10" style="326" customWidth="1"/>
    <col min="13847" max="13847" width="15.375" style="326" customWidth="1"/>
    <col min="13848" max="13848" width="10" style="326" customWidth="1"/>
    <col min="13849" max="13849" width="10.75" style="326" customWidth="1"/>
    <col min="13850" max="13850" width="14.875" style="326" customWidth="1"/>
    <col min="13851" max="13851" width="11.5" style="326" customWidth="1"/>
    <col min="13852" max="13852" width="10" style="326" customWidth="1"/>
    <col min="13853" max="13853" width="10.75" style="326" customWidth="1"/>
    <col min="13854" max="13854" width="13.5" style="326" customWidth="1"/>
    <col min="13855" max="13855" width="9" style="326"/>
    <col min="13856" max="13856" width="10.75" style="326" bestFit="1" customWidth="1"/>
    <col min="13857" max="13857" width="13.75" style="326" customWidth="1"/>
    <col min="13858" max="13858" width="9" style="326"/>
    <col min="13859" max="13859" width="10.625" style="326" customWidth="1"/>
    <col min="13860" max="13860" width="9" style="326"/>
    <col min="13861" max="13861" width="14.25" style="326" customWidth="1"/>
    <col min="13862" max="13862" width="10.75" style="326" bestFit="1" customWidth="1"/>
    <col min="13863" max="13863" width="11.625" style="326" customWidth="1"/>
    <col min="13864" max="13864" width="13.75" style="326" customWidth="1"/>
    <col min="13865" max="13865" width="10.625" style="326" customWidth="1"/>
    <col min="13866" max="13867" width="9" style="326"/>
    <col min="13868" max="13868" width="14.125" style="326" customWidth="1"/>
    <col min="13869" max="13869" width="11" style="326" customWidth="1"/>
    <col min="13870" max="13870" width="10.75" style="326" bestFit="1" customWidth="1"/>
    <col min="13871" max="13871" width="13.5" style="326" customWidth="1"/>
    <col min="13872" max="13873" width="9" style="326"/>
    <col min="13874" max="13874" width="10.75" style="326" bestFit="1" customWidth="1"/>
    <col min="13875" max="13875" width="14" style="326" customWidth="1"/>
    <col min="13876" max="13876" width="9" style="326"/>
    <col min="13877" max="13877" width="10.75" style="326" customWidth="1"/>
    <col min="13878" max="13878" width="12.75" style="326" customWidth="1"/>
    <col min="13879" max="13879" width="9" style="326"/>
    <col min="13880" max="13880" width="10.75" style="326" bestFit="1" customWidth="1"/>
    <col min="13881" max="13881" width="11.5" style="326" customWidth="1"/>
    <col min="13882" max="13882" width="13.625" style="326" customWidth="1"/>
    <col min="13883" max="13883" width="10.625" style="326" customWidth="1"/>
    <col min="13884" max="13884" width="10.75" style="326" bestFit="1" customWidth="1"/>
    <col min="13885" max="13885" width="12.375" style="326" customWidth="1"/>
    <col min="13886" max="13888" width="9" style="326"/>
    <col min="13889" max="13889" width="15.75" style="326" customWidth="1"/>
    <col min="13890" max="13890" width="9" style="326"/>
    <col min="13891" max="13891" width="10.75" style="326" bestFit="1" customWidth="1"/>
    <col min="13892" max="13892" width="12.625" style="326" customWidth="1"/>
    <col min="13893" max="13895" width="9" style="326"/>
    <col min="13896" max="13896" width="13.625" style="326" customWidth="1"/>
    <col min="13897" max="13897" width="9" style="326"/>
    <col min="13898" max="13898" width="10.75" style="326" bestFit="1" customWidth="1"/>
    <col min="13899" max="13899" width="12.5" style="326" customWidth="1"/>
    <col min="13900" max="13902" width="9" style="326"/>
    <col min="13903" max="13903" width="12.875" style="326" customWidth="1"/>
    <col min="13904" max="13904" width="9" style="326"/>
    <col min="13905" max="13905" width="10.75" style="326" bestFit="1" customWidth="1"/>
    <col min="13906" max="13906" width="13.875" style="326" customWidth="1"/>
    <col min="13907" max="13909" width="9" style="326"/>
    <col min="13910" max="13910" width="14.125" style="326" customWidth="1"/>
    <col min="13911" max="13911" width="9" style="326"/>
    <col min="13912" max="13912" width="10.75" style="326" bestFit="1" customWidth="1"/>
    <col min="13913" max="13913" width="13.25" style="326" customWidth="1"/>
    <col min="13914" max="13916" width="9" style="326"/>
    <col min="13917" max="13917" width="13.25" style="326" customWidth="1"/>
    <col min="13918" max="13918" width="9" style="326"/>
    <col min="13919" max="13919" width="10.75" style="326" bestFit="1" customWidth="1"/>
    <col min="13920" max="13920" width="13.875" style="326" customWidth="1"/>
    <col min="13921" max="13923" width="9" style="326"/>
    <col min="13924" max="13924" width="13.625" style="326" customWidth="1"/>
    <col min="13925" max="13925" width="9" style="326"/>
    <col min="13926" max="13926" width="10.75" style="326" bestFit="1" customWidth="1"/>
    <col min="13927" max="13927" width="13" style="326" customWidth="1"/>
    <col min="13928" max="14074" width="9" style="326"/>
    <col min="14075" max="14076" width="12.125" style="326" customWidth="1"/>
    <col min="14077" max="14079" width="13" style="326" customWidth="1"/>
    <col min="14080" max="14080" width="12.875" style="326" customWidth="1"/>
    <col min="14081" max="14081" width="13" style="326" customWidth="1"/>
    <col min="14082" max="14082" width="13.125" style="326" customWidth="1"/>
    <col min="14083" max="14084" width="12.125" style="326" customWidth="1"/>
    <col min="14085" max="14085" width="14.375" style="326" bestFit="1" customWidth="1"/>
    <col min="14086" max="14086" width="11" style="326" customWidth="1"/>
    <col min="14087" max="14087" width="10" style="326" customWidth="1"/>
    <col min="14088" max="14088" width="10.875" style="326" customWidth="1"/>
    <col min="14089" max="14089" width="13.75" style="326" customWidth="1"/>
    <col min="14090" max="14090" width="10" style="326" customWidth="1"/>
    <col min="14091" max="14091" width="13.25" style="326" customWidth="1"/>
    <col min="14092" max="14092" width="14.375" style="326" customWidth="1"/>
    <col min="14093" max="14093" width="10" style="326" customWidth="1"/>
    <col min="14094" max="14094" width="10.875" style="326" customWidth="1"/>
    <col min="14095" max="14095" width="11.375" style="326" customWidth="1"/>
    <col min="14096" max="14096" width="15.375" style="326" customWidth="1"/>
    <col min="14097" max="14098" width="10.75" style="326" customWidth="1"/>
    <col min="14099" max="14099" width="14.375" style="326" customWidth="1"/>
    <col min="14100" max="14100" width="10.75" style="326" customWidth="1"/>
    <col min="14101" max="14101" width="11.75" style="326" customWidth="1"/>
    <col min="14102" max="14102" width="10" style="326" customWidth="1"/>
    <col min="14103" max="14103" width="15.375" style="326" customWidth="1"/>
    <col min="14104" max="14104" width="10" style="326" customWidth="1"/>
    <col min="14105" max="14105" width="10.75" style="326" customWidth="1"/>
    <col min="14106" max="14106" width="14.875" style="326" customWidth="1"/>
    <col min="14107" max="14107" width="11.5" style="326" customWidth="1"/>
    <col min="14108" max="14108" width="10" style="326" customWidth="1"/>
    <col min="14109" max="14109" width="10.75" style="326" customWidth="1"/>
    <col min="14110" max="14110" width="13.5" style="326" customWidth="1"/>
    <col min="14111" max="14111" width="9" style="326"/>
    <col min="14112" max="14112" width="10.75" style="326" bestFit="1" customWidth="1"/>
    <col min="14113" max="14113" width="13.75" style="326" customWidth="1"/>
    <col min="14114" max="14114" width="9" style="326"/>
    <col min="14115" max="14115" width="10.625" style="326" customWidth="1"/>
    <col min="14116" max="14116" width="9" style="326"/>
    <col min="14117" max="14117" width="14.25" style="326" customWidth="1"/>
    <col min="14118" max="14118" width="10.75" style="326" bestFit="1" customWidth="1"/>
    <col min="14119" max="14119" width="11.625" style="326" customWidth="1"/>
    <col min="14120" max="14120" width="13.75" style="326" customWidth="1"/>
    <col min="14121" max="14121" width="10.625" style="326" customWidth="1"/>
    <col min="14122" max="14123" width="9" style="326"/>
    <col min="14124" max="14124" width="14.125" style="326" customWidth="1"/>
    <col min="14125" max="14125" width="11" style="326" customWidth="1"/>
    <col min="14126" max="14126" width="10.75" style="326" bestFit="1" customWidth="1"/>
    <col min="14127" max="14127" width="13.5" style="326" customWidth="1"/>
    <col min="14128" max="14129" width="9" style="326"/>
    <col min="14130" max="14130" width="10.75" style="326" bestFit="1" customWidth="1"/>
    <col min="14131" max="14131" width="14" style="326" customWidth="1"/>
    <col min="14132" max="14132" width="9" style="326"/>
    <col min="14133" max="14133" width="10.75" style="326" customWidth="1"/>
    <col min="14134" max="14134" width="12.75" style="326" customWidth="1"/>
    <col min="14135" max="14135" width="9" style="326"/>
    <col min="14136" max="14136" width="10.75" style="326" bestFit="1" customWidth="1"/>
    <col min="14137" max="14137" width="11.5" style="326" customWidth="1"/>
    <col min="14138" max="14138" width="13.625" style="326" customWidth="1"/>
    <col min="14139" max="14139" width="10.625" style="326" customWidth="1"/>
    <col min="14140" max="14140" width="10.75" style="326" bestFit="1" customWidth="1"/>
    <col min="14141" max="14141" width="12.375" style="326" customWidth="1"/>
    <col min="14142" max="14144" width="9" style="326"/>
    <col min="14145" max="14145" width="15.75" style="326" customWidth="1"/>
    <col min="14146" max="14146" width="9" style="326"/>
    <col min="14147" max="14147" width="10.75" style="326" bestFit="1" customWidth="1"/>
    <col min="14148" max="14148" width="12.625" style="326" customWidth="1"/>
    <col min="14149" max="14151" width="9" style="326"/>
    <col min="14152" max="14152" width="13.625" style="326" customWidth="1"/>
    <col min="14153" max="14153" width="9" style="326"/>
    <col min="14154" max="14154" width="10.75" style="326" bestFit="1" customWidth="1"/>
    <col min="14155" max="14155" width="12.5" style="326" customWidth="1"/>
    <col min="14156" max="14158" width="9" style="326"/>
    <col min="14159" max="14159" width="12.875" style="326" customWidth="1"/>
    <col min="14160" max="14160" width="9" style="326"/>
    <col min="14161" max="14161" width="10.75" style="326" bestFit="1" customWidth="1"/>
    <col min="14162" max="14162" width="13.875" style="326" customWidth="1"/>
    <col min="14163" max="14165" width="9" style="326"/>
    <col min="14166" max="14166" width="14.125" style="326" customWidth="1"/>
    <col min="14167" max="14167" width="9" style="326"/>
    <col min="14168" max="14168" width="10.75" style="326" bestFit="1" customWidth="1"/>
    <col min="14169" max="14169" width="13.25" style="326" customWidth="1"/>
    <col min="14170" max="14172" width="9" style="326"/>
    <col min="14173" max="14173" width="13.25" style="326" customWidth="1"/>
    <col min="14174" max="14174" width="9" style="326"/>
    <col min="14175" max="14175" width="10.75" style="326" bestFit="1" customWidth="1"/>
    <col min="14176" max="14176" width="13.875" style="326" customWidth="1"/>
    <col min="14177" max="14179" width="9" style="326"/>
    <col min="14180" max="14180" width="13.625" style="326" customWidth="1"/>
    <col min="14181" max="14181" width="9" style="326"/>
    <col min="14182" max="14182" width="10.75" style="326" bestFit="1" customWidth="1"/>
    <col min="14183" max="14183" width="13" style="326" customWidth="1"/>
    <col min="14184" max="14330" width="9" style="326"/>
    <col min="14331" max="14332" width="12.125" style="326" customWidth="1"/>
    <col min="14333" max="14335" width="13" style="326" customWidth="1"/>
    <col min="14336" max="14336" width="12.875" style="326" customWidth="1"/>
    <col min="14337" max="14337" width="13" style="326" customWidth="1"/>
    <col min="14338" max="14338" width="13.125" style="326" customWidth="1"/>
    <col min="14339" max="14340" width="12.125" style="326" customWidth="1"/>
    <col min="14341" max="14341" width="14.375" style="326" bestFit="1" customWidth="1"/>
    <col min="14342" max="14342" width="11" style="326" customWidth="1"/>
    <col min="14343" max="14343" width="10" style="326" customWidth="1"/>
    <col min="14344" max="14344" width="10.875" style="326" customWidth="1"/>
    <col min="14345" max="14345" width="13.75" style="326" customWidth="1"/>
    <col min="14346" max="14346" width="10" style="326" customWidth="1"/>
    <col min="14347" max="14347" width="13.25" style="326" customWidth="1"/>
    <col min="14348" max="14348" width="14.375" style="326" customWidth="1"/>
    <col min="14349" max="14349" width="10" style="326" customWidth="1"/>
    <col min="14350" max="14350" width="10.875" style="326" customWidth="1"/>
    <col min="14351" max="14351" width="11.375" style="326" customWidth="1"/>
    <col min="14352" max="14352" width="15.375" style="326" customWidth="1"/>
    <col min="14353" max="14354" width="10.75" style="326" customWidth="1"/>
    <col min="14355" max="14355" width="14.375" style="326" customWidth="1"/>
    <col min="14356" max="14356" width="10.75" style="326" customWidth="1"/>
    <col min="14357" max="14357" width="11.75" style="326" customWidth="1"/>
    <col min="14358" max="14358" width="10" style="326" customWidth="1"/>
    <col min="14359" max="14359" width="15.375" style="326" customWidth="1"/>
    <col min="14360" max="14360" width="10" style="326" customWidth="1"/>
    <col min="14361" max="14361" width="10.75" style="326" customWidth="1"/>
    <col min="14362" max="14362" width="14.875" style="326" customWidth="1"/>
    <col min="14363" max="14363" width="11.5" style="326" customWidth="1"/>
    <col min="14364" max="14364" width="10" style="326" customWidth="1"/>
    <col min="14365" max="14365" width="10.75" style="326" customWidth="1"/>
    <col min="14366" max="14366" width="13.5" style="326" customWidth="1"/>
    <col min="14367" max="14367" width="9" style="326"/>
    <col min="14368" max="14368" width="10.75" style="326" bestFit="1" customWidth="1"/>
    <col min="14369" max="14369" width="13.75" style="326" customWidth="1"/>
    <col min="14370" max="14370" width="9" style="326"/>
    <col min="14371" max="14371" width="10.625" style="326" customWidth="1"/>
    <col min="14372" max="14372" width="9" style="326"/>
    <col min="14373" max="14373" width="14.25" style="326" customWidth="1"/>
    <col min="14374" max="14374" width="10.75" style="326" bestFit="1" customWidth="1"/>
    <col min="14375" max="14375" width="11.625" style="326" customWidth="1"/>
    <col min="14376" max="14376" width="13.75" style="326" customWidth="1"/>
    <col min="14377" max="14377" width="10.625" style="326" customWidth="1"/>
    <col min="14378" max="14379" width="9" style="326"/>
    <col min="14380" max="14380" width="14.125" style="326" customWidth="1"/>
    <col min="14381" max="14381" width="11" style="326" customWidth="1"/>
    <col min="14382" max="14382" width="10.75" style="326" bestFit="1" customWidth="1"/>
    <col min="14383" max="14383" width="13.5" style="326" customWidth="1"/>
    <col min="14384" max="14385" width="9" style="326"/>
    <col min="14386" max="14386" width="10.75" style="326" bestFit="1" customWidth="1"/>
    <col min="14387" max="14387" width="14" style="326" customWidth="1"/>
    <col min="14388" max="14388" width="9" style="326"/>
    <col min="14389" max="14389" width="10.75" style="326" customWidth="1"/>
    <col min="14390" max="14390" width="12.75" style="326" customWidth="1"/>
    <col min="14391" max="14391" width="9" style="326"/>
    <col min="14392" max="14392" width="10.75" style="326" bestFit="1" customWidth="1"/>
    <col min="14393" max="14393" width="11.5" style="326" customWidth="1"/>
    <col min="14394" max="14394" width="13.625" style="326" customWidth="1"/>
    <col min="14395" max="14395" width="10.625" style="326" customWidth="1"/>
    <col min="14396" max="14396" width="10.75" style="326" bestFit="1" customWidth="1"/>
    <col min="14397" max="14397" width="12.375" style="326" customWidth="1"/>
    <col min="14398" max="14400" width="9" style="326"/>
    <col min="14401" max="14401" width="15.75" style="326" customWidth="1"/>
    <col min="14402" max="14402" width="9" style="326"/>
    <col min="14403" max="14403" width="10.75" style="326" bestFit="1" customWidth="1"/>
    <col min="14404" max="14404" width="12.625" style="326" customWidth="1"/>
    <col min="14405" max="14407" width="9" style="326"/>
    <col min="14408" max="14408" width="13.625" style="326" customWidth="1"/>
    <col min="14409" max="14409" width="9" style="326"/>
    <col min="14410" max="14410" width="10.75" style="326" bestFit="1" customWidth="1"/>
    <col min="14411" max="14411" width="12.5" style="326" customWidth="1"/>
    <col min="14412" max="14414" width="9" style="326"/>
    <col min="14415" max="14415" width="12.875" style="326" customWidth="1"/>
    <col min="14416" max="14416" width="9" style="326"/>
    <col min="14417" max="14417" width="10.75" style="326" bestFit="1" customWidth="1"/>
    <col min="14418" max="14418" width="13.875" style="326" customWidth="1"/>
    <col min="14419" max="14421" width="9" style="326"/>
    <col min="14422" max="14422" width="14.125" style="326" customWidth="1"/>
    <col min="14423" max="14423" width="9" style="326"/>
    <col min="14424" max="14424" width="10.75" style="326" bestFit="1" customWidth="1"/>
    <col min="14425" max="14425" width="13.25" style="326" customWidth="1"/>
    <col min="14426" max="14428" width="9" style="326"/>
    <col min="14429" max="14429" width="13.25" style="326" customWidth="1"/>
    <col min="14430" max="14430" width="9" style="326"/>
    <col min="14431" max="14431" width="10.75" style="326" bestFit="1" customWidth="1"/>
    <col min="14432" max="14432" width="13.875" style="326" customWidth="1"/>
    <col min="14433" max="14435" width="9" style="326"/>
    <col min="14436" max="14436" width="13.625" style="326" customWidth="1"/>
    <col min="14437" max="14437" width="9" style="326"/>
    <col min="14438" max="14438" width="10.75" style="326" bestFit="1" customWidth="1"/>
    <col min="14439" max="14439" width="13" style="326" customWidth="1"/>
    <col min="14440" max="14586" width="9" style="326"/>
    <col min="14587" max="14588" width="12.125" style="326" customWidth="1"/>
    <col min="14589" max="14591" width="13" style="326" customWidth="1"/>
    <col min="14592" max="14592" width="12.875" style="326" customWidth="1"/>
    <col min="14593" max="14593" width="13" style="326" customWidth="1"/>
    <col min="14594" max="14594" width="13.125" style="326" customWidth="1"/>
    <col min="14595" max="14596" width="12.125" style="326" customWidth="1"/>
    <col min="14597" max="14597" width="14.375" style="326" bestFit="1" customWidth="1"/>
    <col min="14598" max="14598" width="11" style="326" customWidth="1"/>
    <col min="14599" max="14599" width="10" style="326" customWidth="1"/>
    <col min="14600" max="14600" width="10.875" style="326" customWidth="1"/>
    <col min="14601" max="14601" width="13.75" style="326" customWidth="1"/>
    <col min="14602" max="14602" width="10" style="326" customWidth="1"/>
    <col min="14603" max="14603" width="13.25" style="326" customWidth="1"/>
    <col min="14604" max="14604" width="14.375" style="326" customWidth="1"/>
    <col min="14605" max="14605" width="10" style="326" customWidth="1"/>
    <col min="14606" max="14606" width="10.875" style="326" customWidth="1"/>
    <col min="14607" max="14607" width="11.375" style="326" customWidth="1"/>
    <col min="14608" max="14608" width="15.375" style="326" customWidth="1"/>
    <col min="14609" max="14610" width="10.75" style="326" customWidth="1"/>
    <col min="14611" max="14611" width="14.375" style="326" customWidth="1"/>
    <col min="14612" max="14612" width="10.75" style="326" customWidth="1"/>
    <col min="14613" max="14613" width="11.75" style="326" customWidth="1"/>
    <col min="14614" max="14614" width="10" style="326" customWidth="1"/>
    <col min="14615" max="14615" width="15.375" style="326" customWidth="1"/>
    <col min="14616" max="14616" width="10" style="326" customWidth="1"/>
    <col min="14617" max="14617" width="10.75" style="326" customWidth="1"/>
    <col min="14618" max="14618" width="14.875" style="326" customWidth="1"/>
    <col min="14619" max="14619" width="11.5" style="326" customWidth="1"/>
    <col min="14620" max="14620" width="10" style="326" customWidth="1"/>
    <col min="14621" max="14621" width="10.75" style="326" customWidth="1"/>
    <col min="14622" max="14622" width="13.5" style="326" customWidth="1"/>
    <col min="14623" max="14623" width="9" style="326"/>
    <col min="14624" max="14624" width="10.75" style="326" bestFit="1" customWidth="1"/>
    <col min="14625" max="14625" width="13.75" style="326" customWidth="1"/>
    <col min="14626" max="14626" width="9" style="326"/>
    <col min="14627" max="14627" width="10.625" style="326" customWidth="1"/>
    <col min="14628" max="14628" width="9" style="326"/>
    <col min="14629" max="14629" width="14.25" style="326" customWidth="1"/>
    <col min="14630" max="14630" width="10.75" style="326" bestFit="1" customWidth="1"/>
    <col min="14631" max="14631" width="11.625" style="326" customWidth="1"/>
    <col min="14632" max="14632" width="13.75" style="326" customWidth="1"/>
    <col min="14633" max="14633" width="10.625" style="326" customWidth="1"/>
    <col min="14634" max="14635" width="9" style="326"/>
    <col min="14636" max="14636" width="14.125" style="326" customWidth="1"/>
    <col min="14637" max="14637" width="11" style="326" customWidth="1"/>
    <col min="14638" max="14638" width="10.75" style="326" bestFit="1" customWidth="1"/>
    <col min="14639" max="14639" width="13.5" style="326" customWidth="1"/>
    <col min="14640" max="14641" width="9" style="326"/>
    <col min="14642" max="14642" width="10.75" style="326" bestFit="1" customWidth="1"/>
    <col min="14643" max="14643" width="14" style="326" customWidth="1"/>
    <col min="14644" max="14644" width="9" style="326"/>
    <col min="14645" max="14645" width="10.75" style="326" customWidth="1"/>
    <col min="14646" max="14646" width="12.75" style="326" customWidth="1"/>
    <col min="14647" max="14647" width="9" style="326"/>
    <col min="14648" max="14648" width="10.75" style="326" bestFit="1" customWidth="1"/>
    <col min="14649" max="14649" width="11.5" style="326" customWidth="1"/>
    <col min="14650" max="14650" width="13.625" style="326" customWidth="1"/>
    <col min="14651" max="14651" width="10.625" style="326" customWidth="1"/>
    <col min="14652" max="14652" width="10.75" style="326" bestFit="1" customWidth="1"/>
    <col min="14653" max="14653" width="12.375" style="326" customWidth="1"/>
    <col min="14654" max="14656" width="9" style="326"/>
    <col min="14657" max="14657" width="15.75" style="326" customWidth="1"/>
    <col min="14658" max="14658" width="9" style="326"/>
    <col min="14659" max="14659" width="10.75" style="326" bestFit="1" customWidth="1"/>
    <col min="14660" max="14660" width="12.625" style="326" customWidth="1"/>
    <col min="14661" max="14663" width="9" style="326"/>
    <col min="14664" max="14664" width="13.625" style="326" customWidth="1"/>
    <col min="14665" max="14665" width="9" style="326"/>
    <col min="14666" max="14666" width="10.75" style="326" bestFit="1" customWidth="1"/>
    <col min="14667" max="14667" width="12.5" style="326" customWidth="1"/>
    <col min="14668" max="14670" width="9" style="326"/>
    <col min="14671" max="14671" width="12.875" style="326" customWidth="1"/>
    <col min="14672" max="14672" width="9" style="326"/>
    <col min="14673" max="14673" width="10.75" style="326" bestFit="1" customWidth="1"/>
    <col min="14674" max="14674" width="13.875" style="326" customWidth="1"/>
    <col min="14675" max="14677" width="9" style="326"/>
    <col min="14678" max="14678" width="14.125" style="326" customWidth="1"/>
    <col min="14679" max="14679" width="9" style="326"/>
    <col min="14680" max="14680" width="10.75" style="326" bestFit="1" customWidth="1"/>
    <col min="14681" max="14681" width="13.25" style="326" customWidth="1"/>
    <col min="14682" max="14684" width="9" style="326"/>
    <col min="14685" max="14685" width="13.25" style="326" customWidth="1"/>
    <col min="14686" max="14686" width="9" style="326"/>
    <col min="14687" max="14687" width="10.75" style="326" bestFit="1" customWidth="1"/>
    <col min="14688" max="14688" width="13.875" style="326" customWidth="1"/>
    <col min="14689" max="14691" width="9" style="326"/>
    <col min="14692" max="14692" width="13.625" style="326" customWidth="1"/>
    <col min="14693" max="14693" width="9" style="326"/>
    <col min="14694" max="14694" width="10.75" style="326" bestFit="1" customWidth="1"/>
    <col min="14695" max="14695" width="13" style="326" customWidth="1"/>
    <col min="14696" max="14842" width="9" style="326"/>
    <col min="14843" max="14844" width="12.125" style="326" customWidth="1"/>
    <col min="14845" max="14847" width="13" style="326" customWidth="1"/>
    <col min="14848" max="14848" width="12.875" style="326" customWidth="1"/>
    <col min="14849" max="14849" width="13" style="326" customWidth="1"/>
    <col min="14850" max="14850" width="13.125" style="326" customWidth="1"/>
    <col min="14851" max="14852" width="12.125" style="326" customWidth="1"/>
    <col min="14853" max="14853" width="14.375" style="326" bestFit="1" customWidth="1"/>
    <col min="14854" max="14854" width="11" style="326" customWidth="1"/>
    <col min="14855" max="14855" width="10" style="326" customWidth="1"/>
    <col min="14856" max="14856" width="10.875" style="326" customWidth="1"/>
    <col min="14857" max="14857" width="13.75" style="326" customWidth="1"/>
    <col min="14858" max="14858" width="10" style="326" customWidth="1"/>
    <col min="14859" max="14859" width="13.25" style="326" customWidth="1"/>
    <col min="14860" max="14860" width="14.375" style="326" customWidth="1"/>
    <col min="14861" max="14861" width="10" style="326" customWidth="1"/>
    <col min="14862" max="14862" width="10.875" style="326" customWidth="1"/>
    <col min="14863" max="14863" width="11.375" style="326" customWidth="1"/>
    <col min="14864" max="14864" width="15.375" style="326" customWidth="1"/>
    <col min="14865" max="14866" width="10.75" style="326" customWidth="1"/>
    <col min="14867" max="14867" width="14.375" style="326" customWidth="1"/>
    <col min="14868" max="14868" width="10.75" style="326" customWidth="1"/>
    <col min="14869" max="14869" width="11.75" style="326" customWidth="1"/>
    <col min="14870" max="14870" width="10" style="326" customWidth="1"/>
    <col min="14871" max="14871" width="15.375" style="326" customWidth="1"/>
    <col min="14872" max="14872" width="10" style="326" customWidth="1"/>
    <col min="14873" max="14873" width="10.75" style="326" customWidth="1"/>
    <col min="14874" max="14874" width="14.875" style="326" customWidth="1"/>
    <col min="14875" max="14875" width="11.5" style="326" customWidth="1"/>
    <col min="14876" max="14876" width="10" style="326" customWidth="1"/>
    <col min="14877" max="14877" width="10.75" style="326" customWidth="1"/>
    <col min="14878" max="14878" width="13.5" style="326" customWidth="1"/>
    <col min="14879" max="14879" width="9" style="326"/>
    <col min="14880" max="14880" width="10.75" style="326" bestFit="1" customWidth="1"/>
    <col min="14881" max="14881" width="13.75" style="326" customWidth="1"/>
    <col min="14882" max="14882" width="9" style="326"/>
    <col min="14883" max="14883" width="10.625" style="326" customWidth="1"/>
    <col min="14884" max="14884" width="9" style="326"/>
    <col min="14885" max="14885" width="14.25" style="326" customWidth="1"/>
    <col min="14886" max="14886" width="10.75" style="326" bestFit="1" customWidth="1"/>
    <col min="14887" max="14887" width="11.625" style="326" customWidth="1"/>
    <col min="14888" max="14888" width="13.75" style="326" customWidth="1"/>
    <col min="14889" max="14889" width="10.625" style="326" customWidth="1"/>
    <col min="14890" max="14891" width="9" style="326"/>
    <col min="14892" max="14892" width="14.125" style="326" customWidth="1"/>
    <col min="14893" max="14893" width="11" style="326" customWidth="1"/>
    <col min="14894" max="14894" width="10.75" style="326" bestFit="1" customWidth="1"/>
    <col min="14895" max="14895" width="13.5" style="326" customWidth="1"/>
    <col min="14896" max="14897" width="9" style="326"/>
    <col min="14898" max="14898" width="10.75" style="326" bestFit="1" customWidth="1"/>
    <col min="14899" max="14899" width="14" style="326" customWidth="1"/>
    <col min="14900" max="14900" width="9" style="326"/>
    <col min="14901" max="14901" width="10.75" style="326" customWidth="1"/>
    <col min="14902" max="14902" width="12.75" style="326" customWidth="1"/>
    <col min="14903" max="14903" width="9" style="326"/>
    <col min="14904" max="14904" width="10.75" style="326" bestFit="1" customWidth="1"/>
    <col min="14905" max="14905" width="11.5" style="326" customWidth="1"/>
    <col min="14906" max="14906" width="13.625" style="326" customWidth="1"/>
    <col min="14907" max="14907" width="10.625" style="326" customWidth="1"/>
    <col min="14908" max="14908" width="10.75" style="326" bestFit="1" customWidth="1"/>
    <col min="14909" max="14909" width="12.375" style="326" customWidth="1"/>
    <col min="14910" max="14912" width="9" style="326"/>
    <col min="14913" max="14913" width="15.75" style="326" customWidth="1"/>
    <col min="14914" max="14914" width="9" style="326"/>
    <col min="14915" max="14915" width="10.75" style="326" bestFit="1" customWidth="1"/>
    <col min="14916" max="14916" width="12.625" style="326" customWidth="1"/>
    <col min="14917" max="14919" width="9" style="326"/>
    <col min="14920" max="14920" width="13.625" style="326" customWidth="1"/>
    <col min="14921" max="14921" width="9" style="326"/>
    <col min="14922" max="14922" width="10.75" style="326" bestFit="1" customWidth="1"/>
    <col min="14923" max="14923" width="12.5" style="326" customWidth="1"/>
    <col min="14924" max="14926" width="9" style="326"/>
    <col min="14927" max="14927" width="12.875" style="326" customWidth="1"/>
    <col min="14928" max="14928" width="9" style="326"/>
    <col min="14929" max="14929" width="10.75" style="326" bestFit="1" customWidth="1"/>
    <col min="14930" max="14930" width="13.875" style="326" customWidth="1"/>
    <col min="14931" max="14933" width="9" style="326"/>
    <col min="14934" max="14934" width="14.125" style="326" customWidth="1"/>
    <col min="14935" max="14935" width="9" style="326"/>
    <col min="14936" max="14936" width="10.75" style="326" bestFit="1" customWidth="1"/>
    <col min="14937" max="14937" width="13.25" style="326" customWidth="1"/>
    <col min="14938" max="14940" width="9" style="326"/>
    <col min="14941" max="14941" width="13.25" style="326" customWidth="1"/>
    <col min="14942" max="14942" width="9" style="326"/>
    <col min="14943" max="14943" width="10.75" style="326" bestFit="1" customWidth="1"/>
    <col min="14944" max="14944" width="13.875" style="326" customWidth="1"/>
    <col min="14945" max="14947" width="9" style="326"/>
    <col min="14948" max="14948" width="13.625" style="326" customWidth="1"/>
    <col min="14949" max="14949" width="9" style="326"/>
    <col min="14950" max="14950" width="10.75" style="326" bestFit="1" customWidth="1"/>
    <col min="14951" max="14951" width="13" style="326" customWidth="1"/>
    <col min="14952" max="15098" width="9" style="326"/>
    <col min="15099" max="15100" width="12.125" style="326" customWidth="1"/>
    <col min="15101" max="15103" width="13" style="326" customWidth="1"/>
    <col min="15104" max="15104" width="12.875" style="326" customWidth="1"/>
    <col min="15105" max="15105" width="13" style="326" customWidth="1"/>
    <col min="15106" max="15106" width="13.125" style="326" customWidth="1"/>
    <col min="15107" max="15108" width="12.125" style="326" customWidth="1"/>
    <col min="15109" max="15109" width="14.375" style="326" bestFit="1" customWidth="1"/>
    <col min="15110" max="15110" width="11" style="326" customWidth="1"/>
    <col min="15111" max="15111" width="10" style="326" customWidth="1"/>
    <col min="15112" max="15112" width="10.875" style="326" customWidth="1"/>
    <col min="15113" max="15113" width="13.75" style="326" customWidth="1"/>
    <col min="15114" max="15114" width="10" style="326" customWidth="1"/>
    <col min="15115" max="15115" width="13.25" style="326" customWidth="1"/>
    <col min="15116" max="15116" width="14.375" style="326" customWidth="1"/>
    <col min="15117" max="15117" width="10" style="326" customWidth="1"/>
    <col min="15118" max="15118" width="10.875" style="326" customWidth="1"/>
    <col min="15119" max="15119" width="11.375" style="326" customWidth="1"/>
    <col min="15120" max="15120" width="15.375" style="326" customWidth="1"/>
    <col min="15121" max="15122" width="10.75" style="326" customWidth="1"/>
    <col min="15123" max="15123" width="14.375" style="326" customWidth="1"/>
    <col min="15124" max="15124" width="10.75" style="326" customWidth="1"/>
    <col min="15125" max="15125" width="11.75" style="326" customWidth="1"/>
    <col min="15126" max="15126" width="10" style="326" customWidth="1"/>
    <col min="15127" max="15127" width="15.375" style="326" customWidth="1"/>
    <col min="15128" max="15128" width="10" style="326" customWidth="1"/>
    <col min="15129" max="15129" width="10.75" style="326" customWidth="1"/>
    <col min="15130" max="15130" width="14.875" style="326" customWidth="1"/>
    <col min="15131" max="15131" width="11.5" style="326" customWidth="1"/>
    <col min="15132" max="15132" width="10" style="326" customWidth="1"/>
    <col min="15133" max="15133" width="10.75" style="326" customWidth="1"/>
    <col min="15134" max="15134" width="13.5" style="326" customWidth="1"/>
    <col min="15135" max="15135" width="9" style="326"/>
    <col min="15136" max="15136" width="10.75" style="326" bestFit="1" customWidth="1"/>
    <col min="15137" max="15137" width="13.75" style="326" customWidth="1"/>
    <col min="15138" max="15138" width="9" style="326"/>
    <col min="15139" max="15139" width="10.625" style="326" customWidth="1"/>
    <col min="15140" max="15140" width="9" style="326"/>
    <col min="15141" max="15141" width="14.25" style="326" customWidth="1"/>
    <col min="15142" max="15142" width="10.75" style="326" bestFit="1" customWidth="1"/>
    <col min="15143" max="15143" width="11.625" style="326" customWidth="1"/>
    <col min="15144" max="15144" width="13.75" style="326" customWidth="1"/>
    <col min="15145" max="15145" width="10.625" style="326" customWidth="1"/>
    <col min="15146" max="15147" width="9" style="326"/>
    <col min="15148" max="15148" width="14.125" style="326" customWidth="1"/>
    <col min="15149" max="15149" width="11" style="326" customWidth="1"/>
    <col min="15150" max="15150" width="10.75" style="326" bestFit="1" customWidth="1"/>
    <col min="15151" max="15151" width="13.5" style="326" customWidth="1"/>
    <col min="15152" max="15153" width="9" style="326"/>
    <col min="15154" max="15154" width="10.75" style="326" bestFit="1" customWidth="1"/>
    <col min="15155" max="15155" width="14" style="326" customWidth="1"/>
    <col min="15156" max="15156" width="9" style="326"/>
    <col min="15157" max="15157" width="10.75" style="326" customWidth="1"/>
    <col min="15158" max="15158" width="12.75" style="326" customWidth="1"/>
    <col min="15159" max="15159" width="9" style="326"/>
    <col min="15160" max="15160" width="10.75" style="326" bestFit="1" customWidth="1"/>
    <col min="15161" max="15161" width="11.5" style="326" customWidth="1"/>
    <col min="15162" max="15162" width="13.625" style="326" customWidth="1"/>
    <col min="15163" max="15163" width="10.625" style="326" customWidth="1"/>
    <col min="15164" max="15164" width="10.75" style="326" bestFit="1" customWidth="1"/>
    <col min="15165" max="15165" width="12.375" style="326" customWidth="1"/>
    <col min="15166" max="15168" width="9" style="326"/>
    <col min="15169" max="15169" width="15.75" style="326" customWidth="1"/>
    <col min="15170" max="15170" width="9" style="326"/>
    <col min="15171" max="15171" width="10.75" style="326" bestFit="1" customWidth="1"/>
    <col min="15172" max="15172" width="12.625" style="326" customWidth="1"/>
    <col min="15173" max="15175" width="9" style="326"/>
    <col min="15176" max="15176" width="13.625" style="326" customWidth="1"/>
    <col min="15177" max="15177" width="9" style="326"/>
    <col min="15178" max="15178" width="10.75" style="326" bestFit="1" customWidth="1"/>
    <col min="15179" max="15179" width="12.5" style="326" customWidth="1"/>
    <col min="15180" max="15182" width="9" style="326"/>
    <col min="15183" max="15183" width="12.875" style="326" customWidth="1"/>
    <col min="15184" max="15184" width="9" style="326"/>
    <col min="15185" max="15185" width="10.75" style="326" bestFit="1" customWidth="1"/>
    <col min="15186" max="15186" width="13.875" style="326" customWidth="1"/>
    <col min="15187" max="15189" width="9" style="326"/>
    <col min="15190" max="15190" width="14.125" style="326" customWidth="1"/>
    <col min="15191" max="15191" width="9" style="326"/>
    <col min="15192" max="15192" width="10.75" style="326" bestFit="1" customWidth="1"/>
    <col min="15193" max="15193" width="13.25" style="326" customWidth="1"/>
    <col min="15194" max="15196" width="9" style="326"/>
    <col min="15197" max="15197" width="13.25" style="326" customWidth="1"/>
    <col min="15198" max="15198" width="9" style="326"/>
    <col min="15199" max="15199" width="10.75" style="326" bestFit="1" customWidth="1"/>
    <col min="15200" max="15200" width="13.875" style="326" customWidth="1"/>
    <col min="15201" max="15203" width="9" style="326"/>
    <col min="15204" max="15204" width="13.625" style="326" customWidth="1"/>
    <col min="15205" max="15205" width="9" style="326"/>
    <col min="15206" max="15206" width="10.75" style="326" bestFit="1" customWidth="1"/>
    <col min="15207" max="15207" width="13" style="326" customWidth="1"/>
    <col min="15208" max="15354" width="9" style="326"/>
    <col min="15355" max="15356" width="12.125" style="326" customWidth="1"/>
    <col min="15357" max="15359" width="13" style="326" customWidth="1"/>
    <col min="15360" max="15360" width="12.875" style="326" customWidth="1"/>
    <col min="15361" max="15361" width="13" style="326" customWidth="1"/>
    <col min="15362" max="15362" width="13.125" style="326" customWidth="1"/>
    <col min="15363" max="15364" width="12.125" style="326" customWidth="1"/>
    <col min="15365" max="15365" width="14.375" style="326" bestFit="1" customWidth="1"/>
    <col min="15366" max="15366" width="11" style="326" customWidth="1"/>
    <col min="15367" max="15367" width="10" style="326" customWidth="1"/>
    <col min="15368" max="15368" width="10.875" style="326" customWidth="1"/>
    <col min="15369" max="15369" width="13.75" style="326" customWidth="1"/>
    <col min="15370" max="15370" width="10" style="326" customWidth="1"/>
    <col min="15371" max="15371" width="13.25" style="326" customWidth="1"/>
    <col min="15372" max="15372" width="14.375" style="326" customWidth="1"/>
    <col min="15373" max="15373" width="10" style="326" customWidth="1"/>
    <col min="15374" max="15374" width="10.875" style="326" customWidth="1"/>
    <col min="15375" max="15375" width="11.375" style="326" customWidth="1"/>
    <col min="15376" max="15376" width="15.375" style="326" customWidth="1"/>
    <col min="15377" max="15378" width="10.75" style="326" customWidth="1"/>
    <col min="15379" max="15379" width="14.375" style="326" customWidth="1"/>
    <col min="15380" max="15380" width="10.75" style="326" customWidth="1"/>
    <col min="15381" max="15381" width="11.75" style="326" customWidth="1"/>
    <col min="15382" max="15382" width="10" style="326" customWidth="1"/>
    <col min="15383" max="15383" width="15.375" style="326" customWidth="1"/>
    <col min="15384" max="15384" width="10" style="326" customWidth="1"/>
    <col min="15385" max="15385" width="10.75" style="326" customWidth="1"/>
    <col min="15386" max="15386" width="14.875" style="326" customWidth="1"/>
    <col min="15387" max="15387" width="11.5" style="326" customWidth="1"/>
    <col min="15388" max="15388" width="10" style="326" customWidth="1"/>
    <col min="15389" max="15389" width="10.75" style="326" customWidth="1"/>
    <col min="15390" max="15390" width="13.5" style="326" customWidth="1"/>
    <col min="15391" max="15391" width="9" style="326"/>
    <col min="15392" max="15392" width="10.75" style="326" bestFit="1" customWidth="1"/>
    <col min="15393" max="15393" width="13.75" style="326" customWidth="1"/>
    <col min="15394" max="15394" width="9" style="326"/>
    <col min="15395" max="15395" width="10.625" style="326" customWidth="1"/>
    <col min="15396" max="15396" width="9" style="326"/>
    <col min="15397" max="15397" width="14.25" style="326" customWidth="1"/>
    <col min="15398" max="15398" width="10.75" style="326" bestFit="1" customWidth="1"/>
    <col min="15399" max="15399" width="11.625" style="326" customWidth="1"/>
    <col min="15400" max="15400" width="13.75" style="326" customWidth="1"/>
    <col min="15401" max="15401" width="10.625" style="326" customWidth="1"/>
    <col min="15402" max="15403" width="9" style="326"/>
    <col min="15404" max="15404" width="14.125" style="326" customWidth="1"/>
    <col min="15405" max="15405" width="11" style="326" customWidth="1"/>
    <col min="15406" max="15406" width="10.75" style="326" bestFit="1" customWidth="1"/>
    <col min="15407" max="15407" width="13.5" style="326" customWidth="1"/>
    <col min="15408" max="15409" width="9" style="326"/>
    <col min="15410" max="15410" width="10.75" style="326" bestFit="1" customWidth="1"/>
    <col min="15411" max="15411" width="14" style="326" customWidth="1"/>
    <col min="15412" max="15412" width="9" style="326"/>
    <col min="15413" max="15413" width="10.75" style="326" customWidth="1"/>
    <col min="15414" max="15414" width="12.75" style="326" customWidth="1"/>
    <col min="15415" max="15415" width="9" style="326"/>
    <col min="15416" max="15416" width="10.75" style="326" bestFit="1" customWidth="1"/>
    <col min="15417" max="15417" width="11.5" style="326" customWidth="1"/>
    <col min="15418" max="15418" width="13.625" style="326" customWidth="1"/>
    <col min="15419" max="15419" width="10.625" style="326" customWidth="1"/>
    <col min="15420" max="15420" width="10.75" style="326" bestFit="1" customWidth="1"/>
    <col min="15421" max="15421" width="12.375" style="326" customWidth="1"/>
    <col min="15422" max="15424" width="9" style="326"/>
    <col min="15425" max="15425" width="15.75" style="326" customWidth="1"/>
    <col min="15426" max="15426" width="9" style="326"/>
    <col min="15427" max="15427" width="10.75" style="326" bestFit="1" customWidth="1"/>
    <col min="15428" max="15428" width="12.625" style="326" customWidth="1"/>
    <col min="15429" max="15431" width="9" style="326"/>
    <col min="15432" max="15432" width="13.625" style="326" customWidth="1"/>
    <col min="15433" max="15433" width="9" style="326"/>
    <col min="15434" max="15434" width="10.75" style="326" bestFit="1" customWidth="1"/>
    <col min="15435" max="15435" width="12.5" style="326" customWidth="1"/>
    <col min="15436" max="15438" width="9" style="326"/>
    <col min="15439" max="15439" width="12.875" style="326" customWidth="1"/>
    <col min="15440" max="15440" width="9" style="326"/>
    <col min="15441" max="15441" width="10.75" style="326" bestFit="1" customWidth="1"/>
    <col min="15442" max="15442" width="13.875" style="326" customWidth="1"/>
    <col min="15443" max="15445" width="9" style="326"/>
    <col min="15446" max="15446" width="14.125" style="326" customWidth="1"/>
    <col min="15447" max="15447" width="9" style="326"/>
    <col min="15448" max="15448" width="10.75" style="326" bestFit="1" customWidth="1"/>
    <col min="15449" max="15449" width="13.25" style="326" customWidth="1"/>
    <col min="15450" max="15452" width="9" style="326"/>
    <col min="15453" max="15453" width="13.25" style="326" customWidth="1"/>
    <col min="15454" max="15454" width="9" style="326"/>
    <col min="15455" max="15455" width="10.75" style="326" bestFit="1" customWidth="1"/>
    <col min="15456" max="15456" width="13.875" style="326" customWidth="1"/>
    <col min="15457" max="15459" width="9" style="326"/>
    <col min="15460" max="15460" width="13.625" style="326" customWidth="1"/>
    <col min="15461" max="15461" width="9" style="326"/>
    <col min="15462" max="15462" width="10.75" style="326" bestFit="1" customWidth="1"/>
    <col min="15463" max="15463" width="13" style="326" customWidth="1"/>
    <col min="15464" max="15610" width="9" style="326"/>
    <col min="15611" max="15612" width="12.125" style="326" customWidth="1"/>
    <col min="15613" max="15615" width="13" style="326" customWidth="1"/>
    <col min="15616" max="15616" width="12.875" style="326" customWidth="1"/>
    <col min="15617" max="15617" width="13" style="326" customWidth="1"/>
    <col min="15618" max="15618" width="13.125" style="326" customWidth="1"/>
    <col min="15619" max="15620" width="12.125" style="326" customWidth="1"/>
    <col min="15621" max="15621" width="14.375" style="326" bestFit="1" customWidth="1"/>
    <col min="15622" max="15622" width="11" style="326" customWidth="1"/>
    <col min="15623" max="15623" width="10" style="326" customWidth="1"/>
    <col min="15624" max="15624" width="10.875" style="326" customWidth="1"/>
    <col min="15625" max="15625" width="13.75" style="326" customWidth="1"/>
    <col min="15626" max="15626" width="10" style="326" customWidth="1"/>
    <col min="15627" max="15627" width="13.25" style="326" customWidth="1"/>
    <col min="15628" max="15628" width="14.375" style="326" customWidth="1"/>
    <col min="15629" max="15629" width="10" style="326" customWidth="1"/>
    <col min="15630" max="15630" width="10.875" style="326" customWidth="1"/>
    <col min="15631" max="15631" width="11.375" style="326" customWidth="1"/>
    <col min="15632" max="15632" width="15.375" style="326" customWidth="1"/>
    <col min="15633" max="15634" width="10.75" style="326" customWidth="1"/>
    <col min="15635" max="15635" width="14.375" style="326" customWidth="1"/>
    <col min="15636" max="15636" width="10.75" style="326" customWidth="1"/>
    <col min="15637" max="15637" width="11.75" style="326" customWidth="1"/>
    <col min="15638" max="15638" width="10" style="326" customWidth="1"/>
    <col min="15639" max="15639" width="15.375" style="326" customWidth="1"/>
    <col min="15640" max="15640" width="10" style="326" customWidth="1"/>
    <col min="15641" max="15641" width="10.75" style="326" customWidth="1"/>
    <col min="15642" max="15642" width="14.875" style="326" customWidth="1"/>
    <col min="15643" max="15643" width="11.5" style="326" customWidth="1"/>
    <col min="15644" max="15644" width="10" style="326" customWidth="1"/>
    <col min="15645" max="15645" width="10.75" style="326" customWidth="1"/>
    <col min="15646" max="15646" width="13.5" style="326" customWidth="1"/>
    <col min="15647" max="15647" width="9" style="326"/>
    <col min="15648" max="15648" width="10.75" style="326" bestFit="1" customWidth="1"/>
    <col min="15649" max="15649" width="13.75" style="326" customWidth="1"/>
    <col min="15650" max="15650" width="9" style="326"/>
    <col min="15651" max="15651" width="10.625" style="326" customWidth="1"/>
    <col min="15652" max="15652" width="9" style="326"/>
    <col min="15653" max="15653" width="14.25" style="326" customWidth="1"/>
    <col min="15654" max="15654" width="10.75" style="326" bestFit="1" customWidth="1"/>
    <col min="15655" max="15655" width="11.625" style="326" customWidth="1"/>
    <col min="15656" max="15656" width="13.75" style="326" customWidth="1"/>
    <col min="15657" max="15657" width="10.625" style="326" customWidth="1"/>
    <col min="15658" max="15659" width="9" style="326"/>
    <col min="15660" max="15660" width="14.125" style="326" customWidth="1"/>
    <col min="15661" max="15661" width="11" style="326" customWidth="1"/>
    <col min="15662" max="15662" width="10.75" style="326" bestFit="1" customWidth="1"/>
    <col min="15663" max="15663" width="13.5" style="326" customWidth="1"/>
    <col min="15664" max="15665" width="9" style="326"/>
    <col min="15666" max="15666" width="10.75" style="326" bestFit="1" customWidth="1"/>
    <col min="15667" max="15667" width="14" style="326" customWidth="1"/>
    <col min="15668" max="15668" width="9" style="326"/>
    <col min="15669" max="15669" width="10.75" style="326" customWidth="1"/>
    <col min="15670" max="15670" width="12.75" style="326" customWidth="1"/>
    <col min="15671" max="15671" width="9" style="326"/>
    <col min="15672" max="15672" width="10.75" style="326" bestFit="1" customWidth="1"/>
    <col min="15673" max="15673" width="11.5" style="326" customWidth="1"/>
    <col min="15674" max="15674" width="13.625" style="326" customWidth="1"/>
    <col min="15675" max="15675" width="10.625" style="326" customWidth="1"/>
    <col min="15676" max="15676" width="10.75" style="326" bestFit="1" customWidth="1"/>
    <col min="15677" max="15677" width="12.375" style="326" customWidth="1"/>
    <col min="15678" max="15680" width="9" style="326"/>
    <col min="15681" max="15681" width="15.75" style="326" customWidth="1"/>
    <col min="15682" max="15682" width="9" style="326"/>
    <col min="15683" max="15683" width="10.75" style="326" bestFit="1" customWidth="1"/>
    <col min="15684" max="15684" width="12.625" style="326" customWidth="1"/>
    <col min="15685" max="15687" width="9" style="326"/>
    <col min="15688" max="15688" width="13.625" style="326" customWidth="1"/>
    <col min="15689" max="15689" width="9" style="326"/>
    <col min="15690" max="15690" width="10.75" style="326" bestFit="1" customWidth="1"/>
    <col min="15691" max="15691" width="12.5" style="326" customWidth="1"/>
    <col min="15692" max="15694" width="9" style="326"/>
    <col min="15695" max="15695" width="12.875" style="326" customWidth="1"/>
    <col min="15696" max="15696" width="9" style="326"/>
    <col min="15697" max="15697" width="10.75" style="326" bestFit="1" customWidth="1"/>
    <col min="15698" max="15698" width="13.875" style="326" customWidth="1"/>
    <col min="15699" max="15701" width="9" style="326"/>
    <col min="15702" max="15702" width="14.125" style="326" customWidth="1"/>
    <col min="15703" max="15703" width="9" style="326"/>
    <col min="15704" max="15704" width="10.75" style="326" bestFit="1" customWidth="1"/>
    <col min="15705" max="15705" width="13.25" style="326" customWidth="1"/>
    <col min="15706" max="15708" width="9" style="326"/>
    <col min="15709" max="15709" width="13.25" style="326" customWidth="1"/>
    <col min="15710" max="15710" width="9" style="326"/>
    <col min="15711" max="15711" width="10.75" style="326" bestFit="1" customWidth="1"/>
    <col min="15712" max="15712" width="13.875" style="326" customWidth="1"/>
    <col min="15713" max="15715" width="9" style="326"/>
    <col min="15716" max="15716" width="13.625" style="326" customWidth="1"/>
    <col min="15717" max="15717" width="9" style="326"/>
    <col min="15718" max="15718" width="10.75" style="326" bestFit="1" customWidth="1"/>
    <col min="15719" max="15719" width="13" style="326" customWidth="1"/>
    <col min="15720" max="15866" width="9" style="326"/>
    <col min="15867" max="15868" width="12.125" style="326" customWidth="1"/>
    <col min="15869" max="15871" width="13" style="326" customWidth="1"/>
    <col min="15872" max="15872" width="12.875" style="326" customWidth="1"/>
    <col min="15873" max="15873" width="13" style="326" customWidth="1"/>
    <col min="15874" max="15874" width="13.125" style="326" customWidth="1"/>
    <col min="15875" max="15876" width="12.125" style="326" customWidth="1"/>
    <col min="15877" max="15877" width="14.375" style="326" bestFit="1" customWidth="1"/>
    <col min="15878" max="15878" width="11" style="326" customWidth="1"/>
    <col min="15879" max="15879" width="10" style="326" customWidth="1"/>
    <col min="15880" max="15880" width="10.875" style="326" customWidth="1"/>
    <col min="15881" max="15881" width="13.75" style="326" customWidth="1"/>
    <col min="15882" max="15882" width="10" style="326" customWidth="1"/>
    <col min="15883" max="15883" width="13.25" style="326" customWidth="1"/>
    <col min="15884" max="15884" width="14.375" style="326" customWidth="1"/>
    <col min="15885" max="15885" width="10" style="326" customWidth="1"/>
    <col min="15886" max="15886" width="10.875" style="326" customWidth="1"/>
    <col min="15887" max="15887" width="11.375" style="326" customWidth="1"/>
    <col min="15888" max="15888" width="15.375" style="326" customWidth="1"/>
    <col min="15889" max="15890" width="10.75" style="326" customWidth="1"/>
    <col min="15891" max="15891" width="14.375" style="326" customWidth="1"/>
    <col min="15892" max="15892" width="10.75" style="326" customWidth="1"/>
    <col min="15893" max="15893" width="11.75" style="326" customWidth="1"/>
    <col min="15894" max="15894" width="10" style="326" customWidth="1"/>
    <col min="15895" max="15895" width="15.375" style="326" customWidth="1"/>
    <col min="15896" max="15896" width="10" style="326" customWidth="1"/>
    <col min="15897" max="15897" width="10.75" style="326" customWidth="1"/>
    <col min="15898" max="15898" width="14.875" style="326" customWidth="1"/>
    <col min="15899" max="15899" width="11.5" style="326" customWidth="1"/>
    <col min="15900" max="15900" width="10" style="326" customWidth="1"/>
    <col min="15901" max="15901" width="10.75" style="326" customWidth="1"/>
    <col min="15902" max="15902" width="13.5" style="326" customWidth="1"/>
    <col min="15903" max="15903" width="9" style="326"/>
    <col min="15904" max="15904" width="10.75" style="326" bestFit="1" customWidth="1"/>
    <col min="15905" max="15905" width="13.75" style="326" customWidth="1"/>
    <col min="15906" max="15906" width="9" style="326"/>
    <col min="15907" max="15907" width="10.625" style="326" customWidth="1"/>
    <col min="15908" max="15908" width="9" style="326"/>
    <col min="15909" max="15909" width="14.25" style="326" customWidth="1"/>
    <col min="15910" max="15910" width="10.75" style="326" bestFit="1" customWidth="1"/>
    <col min="15911" max="15911" width="11.625" style="326" customWidth="1"/>
    <col min="15912" max="15912" width="13.75" style="326" customWidth="1"/>
    <col min="15913" max="15913" width="10.625" style="326" customWidth="1"/>
    <col min="15914" max="15915" width="9" style="326"/>
    <col min="15916" max="15916" width="14.125" style="326" customWidth="1"/>
    <col min="15917" max="15917" width="11" style="326" customWidth="1"/>
    <col min="15918" max="15918" width="10.75" style="326" bestFit="1" customWidth="1"/>
    <col min="15919" max="15919" width="13.5" style="326" customWidth="1"/>
    <col min="15920" max="15921" width="9" style="326"/>
    <col min="15922" max="15922" width="10.75" style="326" bestFit="1" customWidth="1"/>
    <col min="15923" max="15923" width="14" style="326" customWidth="1"/>
    <col min="15924" max="15924" width="9" style="326"/>
    <col min="15925" max="15925" width="10.75" style="326" customWidth="1"/>
    <col min="15926" max="15926" width="12.75" style="326" customWidth="1"/>
    <col min="15927" max="15927" width="9" style="326"/>
    <col min="15928" max="15928" width="10.75" style="326" bestFit="1" customWidth="1"/>
    <col min="15929" max="15929" width="11.5" style="326" customWidth="1"/>
    <col min="15930" max="15930" width="13.625" style="326" customWidth="1"/>
    <col min="15931" max="15931" width="10.625" style="326" customWidth="1"/>
    <col min="15932" max="15932" width="10.75" style="326" bestFit="1" customWidth="1"/>
    <col min="15933" max="15933" width="12.375" style="326" customWidth="1"/>
    <col min="15934" max="15936" width="9" style="326"/>
    <col min="15937" max="15937" width="15.75" style="326" customWidth="1"/>
    <col min="15938" max="15938" width="9" style="326"/>
    <col min="15939" max="15939" width="10.75" style="326" bestFit="1" customWidth="1"/>
    <col min="15940" max="15940" width="12.625" style="326" customWidth="1"/>
    <col min="15941" max="15943" width="9" style="326"/>
    <col min="15944" max="15944" width="13.625" style="326" customWidth="1"/>
    <col min="15945" max="15945" width="9" style="326"/>
    <col min="15946" max="15946" width="10.75" style="326" bestFit="1" customWidth="1"/>
    <col min="15947" max="15947" width="12.5" style="326" customWidth="1"/>
    <col min="15948" max="15950" width="9" style="326"/>
    <col min="15951" max="15951" width="12.875" style="326" customWidth="1"/>
    <col min="15952" max="15952" width="9" style="326"/>
    <col min="15953" max="15953" width="10.75" style="326" bestFit="1" customWidth="1"/>
    <col min="15954" max="15954" width="13.875" style="326" customWidth="1"/>
    <col min="15955" max="15957" width="9" style="326"/>
    <col min="15958" max="15958" width="14.125" style="326" customWidth="1"/>
    <col min="15959" max="15959" width="9" style="326"/>
    <col min="15960" max="15960" width="10.75" style="326" bestFit="1" customWidth="1"/>
    <col min="15961" max="15961" width="13.25" style="326" customWidth="1"/>
    <col min="15962" max="15964" width="9" style="326"/>
    <col min="15965" max="15965" width="13.25" style="326" customWidth="1"/>
    <col min="15966" max="15966" width="9" style="326"/>
    <col min="15967" max="15967" width="10.75" style="326" bestFit="1" customWidth="1"/>
    <col min="15968" max="15968" width="13.875" style="326" customWidth="1"/>
    <col min="15969" max="15971" width="9" style="326"/>
    <col min="15972" max="15972" width="13.625" style="326" customWidth="1"/>
    <col min="15973" max="15973" width="9" style="326"/>
    <col min="15974" max="15974" width="10.75" style="326" bestFit="1" customWidth="1"/>
    <col min="15975" max="15975" width="13" style="326" customWidth="1"/>
    <col min="15976" max="16122" width="9" style="326"/>
    <col min="16123" max="16124" width="12.125" style="326" customWidth="1"/>
    <col min="16125" max="16127" width="13" style="326" customWidth="1"/>
    <col min="16128" max="16128" width="12.875" style="326" customWidth="1"/>
    <col min="16129" max="16129" width="13" style="326" customWidth="1"/>
    <col min="16130" max="16130" width="13.125" style="326" customWidth="1"/>
    <col min="16131" max="16132" width="12.125" style="326" customWidth="1"/>
    <col min="16133" max="16133" width="14.375" style="326" bestFit="1" customWidth="1"/>
    <col min="16134" max="16134" width="11" style="326" customWidth="1"/>
    <col min="16135" max="16135" width="10" style="326" customWidth="1"/>
    <col min="16136" max="16136" width="10.875" style="326" customWidth="1"/>
    <col min="16137" max="16137" width="13.75" style="326" customWidth="1"/>
    <col min="16138" max="16138" width="10" style="326" customWidth="1"/>
    <col min="16139" max="16139" width="13.25" style="326" customWidth="1"/>
    <col min="16140" max="16140" width="14.375" style="326" customWidth="1"/>
    <col min="16141" max="16141" width="10" style="326" customWidth="1"/>
    <col min="16142" max="16142" width="10.875" style="326" customWidth="1"/>
    <col min="16143" max="16143" width="11.375" style="326" customWidth="1"/>
    <col min="16144" max="16144" width="15.375" style="326" customWidth="1"/>
    <col min="16145" max="16146" width="10.75" style="326" customWidth="1"/>
    <col min="16147" max="16147" width="14.375" style="326" customWidth="1"/>
    <col min="16148" max="16148" width="10.75" style="326" customWidth="1"/>
    <col min="16149" max="16149" width="11.75" style="326" customWidth="1"/>
    <col min="16150" max="16150" width="10" style="326" customWidth="1"/>
    <col min="16151" max="16151" width="15.375" style="326" customWidth="1"/>
    <col min="16152" max="16152" width="10" style="326" customWidth="1"/>
    <col min="16153" max="16153" width="10.75" style="326" customWidth="1"/>
    <col min="16154" max="16154" width="14.875" style="326" customWidth="1"/>
    <col min="16155" max="16155" width="11.5" style="326" customWidth="1"/>
    <col min="16156" max="16156" width="10" style="326" customWidth="1"/>
    <col min="16157" max="16157" width="10.75" style="326" customWidth="1"/>
    <col min="16158" max="16158" width="13.5" style="326" customWidth="1"/>
    <col min="16159" max="16159" width="9" style="326"/>
    <col min="16160" max="16160" width="10.75" style="326" bestFit="1" customWidth="1"/>
    <col min="16161" max="16161" width="13.75" style="326" customWidth="1"/>
    <col min="16162" max="16162" width="9" style="326"/>
    <col min="16163" max="16163" width="10.625" style="326" customWidth="1"/>
    <col min="16164" max="16164" width="9" style="326"/>
    <col min="16165" max="16165" width="14.25" style="326" customWidth="1"/>
    <col min="16166" max="16166" width="10.75" style="326" bestFit="1" customWidth="1"/>
    <col min="16167" max="16167" width="11.625" style="326" customWidth="1"/>
    <col min="16168" max="16168" width="13.75" style="326" customWidth="1"/>
    <col min="16169" max="16169" width="10.625" style="326" customWidth="1"/>
    <col min="16170" max="16171" width="9" style="326"/>
    <col min="16172" max="16172" width="14.125" style="326" customWidth="1"/>
    <col min="16173" max="16173" width="11" style="326" customWidth="1"/>
    <col min="16174" max="16174" width="10.75" style="326" bestFit="1" customWidth="1"/>
    <col min="16175" max="16175" width="13.5" style="326" customWidth="1"/>
    <col min="16176" max="16177" width="9" style="326"/>
    <col min="16178" max="16178" width="10.75" style="326" bestFit="1" customWidth="1"/>
    <col min="16179" max="16179" width="14" style="326" customWidth="1"/>
    <col min="16180" max="16180" width="9" style="326"/>
    <col min="16181" max="16181" width="10.75" style="326" customWidth="1"/>
    <col min="16182" max="16182" width="12.75" style="326" customWidth="1"/>
    <col min="16183" max="16183" width="9" style="326"/>
    <col min="16184" max="16184" width="10.75" style="326" bestFit="1" customWidth="1"/>
    <col min="16185" max="16185" width="11.5" style="326" customWidth="1"/>
    <col min="16186" max="16186" width="13.625" style="326" customWidth="1"/>
    <col min="16187" max="16187" width="10.625" style="326" customWidth="1"/>
    <col min="16188" max="16188" width="10.75" style="326" bestFit="1" customWidth="1"/>
    <col min="16189" max="16189" width="12.375" style="326" customWidth="1"/>
    <col min="16190" max="16192" width="9" style="326"/>
    <col min="16193" max="16193" width="15.75" style="326" customWidth="1"/>
    <col min="16194" max="16194" width="9" style="326"/>
    <col min="16195" max="16195" width="10.75" style="326" bestFit="1" customWidth="1"/>
    <col min="16196" max="16196" width="12.625" style="326" customWidth="1"/>
    <col min="16197" max="16199" width="9" style="326"/>
    <col min="16200" max="16200" width="13.625" style="326" customWidth="1"/>
    <col min="16201" max="16201" width="9" style="326"/>
    <col min="16202" max="16202" width="10.75" style="326" bestFit="1" customWidth="1"/>
    <col min="16203" max="16203" width="12.5" style="326" customWidth="1"/>
    <col min="16204" max="16206" width="9" style="326"/>
    <col min="16207" max="16207" width="12.875" style="326" customWidth="1"/>
    <col min="16208" max="16208" width="9" style="326"/>
    <col min="16209" max="16209" width="10.75" style="326" bestFit="1" customWidth="1"/>
    <col min="16210" max="16210" width="13.875" style="326" customWidth="1"/>
    <col min="16211" max="16213" width="9" style="326"/>
    <col min="16214" max="16214" width="14.125" style="326" customWidth="1"/>
    <col min="16215" max="16215" width="9" style="326"/>
    <col min="16216" max="16216" width="10.75" style="326" bestFit="1" customWidth="1"/>
    <col min="16217" max="16217" width="13.25" style="326" customWidth="1"/>
    <col min="16218" max="16220" width="9" style="326"/>
    <col min="16221" max="16221" width="13.25" style="326" customWidth="1"/>
    <col min="16222" max="16222" width="9" style="326"/>
    <col min="16223" max="16223" width="10.75" style="326" bestFit="1" customWidth="1"/>
    <col min="16224" max="16224" width="13.875" style="326" customWidth="1"/>
    <col min="16225" max="16227" width="9" style="326"/>
    <col min="16228" max="16228" width="13.625" style="326" customWidth="1"/>
    <col min="16229" max="16229" width="9" style="326"/>
    <col min="16230" max="16230" width="10.75" style="326" bestFit="1" customWidth="1"/>
    <col min="16231" max="16231" width="13" style="326" customWidth="1"/>
    <col min="16232" max="16384" width="9" style="326"/>
  </cols>
  <sheetData>
    <row r="1" spans="1:41" ht="18.75" customHeight="1">
      <c r="D1" s="325" t="s">
        <v>262</v>
      </c>
      <c r="E1" s="327">
        <f>A5</f>
        <v>2006</v>
      </c>
      <c r="F1" s="326" t="s">
        <v>263</v>
      </c>
      <c r="G1" s="328">
        <v>0</v>
      </c>
      <c r="H1" s="329"/>
      <c r="I1" s="328"/>
    </row>
    <row r="2" spans="1:41" ht="24.95" customHeight="1">
      <c r="A2" s="330" t="s">
        <v>675</v>
      </c>
      <c r="C2" s="330"/>
    </row>
    <row r="3" spans="1:41" ht="9.9499999999999993" customHeight="1">
      <c r="A3" s="2262"/>
      <c r="B3" s="425"/>
      <c r="C3" s="426"/>
      <c r="D3" s="426"/>
      <c r="E3" s="426"/>
      <c r="F3" s="426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2"/>
      <c r="Z3" s="331"/>
      <c r="AA3" s="332"/>
      <c r="AB3" s="333"/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1"/>
      <c r="AN3" s="331"/>
      <c r="AO3" s="332"/>
    </row>
    <row r="4" spans="1:41" s="344" customFormat="1" ht="14.1" customHeight="1">
      <c r="A4" s="2257" t="s">
        <v>264</v>
      </c>
      <c r="B4" s="2258" t="s">
        <v>265</v>
      </c>
      <c r="C4" s="2259" t="s">
        <v>266</v>
      </c>
      <c r="D4" s="2260" t="s">
        <v>267</v>
      </c>
      <c r="E4" s="2260" t="s">
        <v>268</v>
      </c>
      <c r="F4" s="2261" t="s">
        <v>269</v>
      </c>
      <c r="G4" s="339" t="s">
        <v>270</v>
      </c>
      <c r="H4" s="340" t="s">
        <v>271</v>
      </c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41"/>
      <c r="W4" s="341"/>
      <c r="X4" s="341"/>
      <c r="Y4" s="342"/>
      <c r="Z4" s="341"/>
      <c r="AA4" s="342"/>
      <c r="AB4" s="343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341"/>
      <c r="AN4" s="341"/>
      <c r="AO4" s="342"/>
    </row>
    <row r="5" spans="1:41" s="344" customFormat="1" ht="14.1" customHeight="1">
      <c r="A5" s="345">
        <v>2006</v>
      </c>
      <c r="B5" s="346">
        <f>+'1.1.2 인구분석'!E6</f>
        <v>90159</v>
      </c>
      <c r="C5" s="347">
        <f>I65</f>
        <v>90250</v>
      </c>
      <c r="D5" s="348">
        <f>I104</f>
        <v>90446</v>
      </c>
      <c r="E5" s="349">
        <f>I142</f>
        <v>90436</v>
      </c>
      <c r="F5" s="350">
        <f>I178</f>
        <v>90443</v>
      </c>
      <c r="G5" s="351">
        <f t="shared" ref="G5:G34" si="0">ROUND(SUMIF(C$38:H$38,"○",C5:H5),$G$1)</f>
        <v>180882</v>
      </c>
      <c r="H5" s="352">
        <f>B5</f>
        <v>90159</v>
      </c>
      <c r="I5" s="2316" t="s">
        <v>272</v>
      </c>
      <c r="J5" s="2317"/>
      <c r="K5" s="353"/>
      <c r="L5" s="341"/>
      <c r="M5" s="341"/>
      <c r="N5" s="341"/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2"/>
      <c r="Z5" s="341"/>
      <c r="AA5" s="342"/>
      <c r="AB5" s="343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2"/>
    </row>
    <row r="6" spans="1:41" s="344" customFormat="1" ht="14.1" customHeight="1">
      <c r="A6" s="354">
        <v>2007</v>
      </c>
      <c r="B6" s="355">
        <f>+'1.1.2 인구분석'!E7</f>
        <v>92520</v>
      </c>
      <c r="C6" s="356">
        <f t="shared" ref="C6:C37" si="1">I66</f>
        <v>91770</v>
      </c>
      <c r="D6" s="357">
        <f t="shared" ref="D6:D37" si="2">I105</f>
        <v>91858</v>
      </c>
      <c r="E6" s="358">
        <f t="shared" ref="E6:E37" si="3">I143</f>
        <v>91496</v>
      </c>
      <c r="F6" s="359">
        <f t="shared" ref="F6:F37" si="4">I179</f>
        <v>91857</v>
      </c>
      <c r="G6" s="351">
        <f t="shared" si="0"/>
        <v>183354</v>
      </c>
      <c r="H6" s="352">
        <f>B6</f>
        <v>92520</v>
      </c>
      <c r="I6" s="360" t="s">
        <v>273</v>
      </c>
      <c r="J6" s="361">
        <f>ROUND(((B15/B10)^(1/(A15-A10))-1)*100,2)</f>
        <v>1.87</v>
      </c>
      <c r="K6" s="353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2"/>
      <c r="Z6" s="341"/>
      <c r="AA6" s="342"/>
      <c r="AB6" s="343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2"/>
    </row>
    <row r="7" spans="1:41" s="344" customFormat="1" ht="14.1" customHeight="1">
      <c r="A7" s="354">
        <v>2008</v>
      </c>
      <c r="B7" s="355">
        <f>+'1.1.2 인구분석'!E8</f>
        <v>94144</v>
      </c>
      <c r="C7" s="356">
        <f t="shared" si="1"/>
        <v>93291</v>
      </c>
      <c r="D7" s="357">
        <f t="shared" si="2"/>
        <v>93293</v>
      </c>
      <c r="E7" s="358">
        <f t="shared" si="3"/>
        <v>92775</v>
      </c>
      <c r="F7" s="359">
        <f t="shared" si="4"/>
        <v>93293</v>
      </c>
      <c r="G7" s="351">
        <f t="shared" si="0"/>
        <v>186068</v>
      </c>
      <c r="H7" s="352">
        <f t="shared" ref="H7:H15" si="5">B7</f>
        <v>94144</v>
      </c>
      <c r="I7" s="360" t="s">
        <v>274</v>
      </c>
      <c r="J7" s="360">
        <f>ROUND(((B15/B5)^(1/(A15-A5))-1)*100,2)</f>
        <v>1.67</v>
      </c>
      <c r="K7" s="353"/>
      <c r="L7" s="362"/>
      <c r="M7" s="363"/>
      <c r="N7" s="341"/>
      <c r="O7" s="341"/>
      <c r="P7" s="341"/>
      <c r="Q7" s="341"/>
      <c r="R7" s="341"/>
      <c r="S7" s="341"/>
      <c r="T7" s="341"/>
      <c r="U7" s="341"/>
      <c r="V7" s="341"/>
      <c r="W7" s="341"/>
      <c r="X7" s="341"/>
      <c r="Y7" s="342"/>
      <c r="Z7" s="341"/>
      <c r="AA7" s="342"/>
      <c r="AB7" s="343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2"/>
    </row>
    <row r="8" spans="1:41" s="344" customFormat="1" ht="14.1" customHeight="1">
      <c r="A8" s="354">
        <v>2009</v>
      </c>
      <c r="B8" s="355">
        <f>+'1.1.2 인구분석'!E9</f>
        <v>94580</v>
      </c>
      <c r="C8" s="356">
        <f t="shared" si="1"/>
        <v>94811</v>
      </c>
      <c r="D8" s="357">
        <f t="shared" si="2"/>
        <v>94750</v>
      </c>
      <c r="E8" s="358">
        <f t="shared" si="3"/>
        <v>94220</v>
      </c>
      <c r="F8" s="359">
        <f t="shared" si="4"/>
        <v>94751</v>
      </c>
      <c r="G8" s="351">
        <f t="shared" si="0"/>
        <v>188970</v>
      </c>
      <c r="H8" s="352">
        <f t="shared" si="5"/>
        <v>94580</v>
      </c>
      <c r="I8" s="341"/>
      <c r="J8" s="341"/>
      <c r="K8" s="341"/>
      <c r="L8" s="341"/>
      <c r="M8" s="341"/>
      <c r="N8" s="341"/>
      <c r="O8" s="341"/>
      <c r="P8" s="341"/>
      <c r="Q8" s="341"/>
      <c r="R8" s="341"/>
      <c r="S8" s="341"/>
      <c r="T8" s="341"/>
      <c r="U8" s="341"/>
      <c r="V8" s="341"/>
      <c r="W8" s="341"/>
      <c r="X8" s="341"/>
      <c r="Y8" s="342"/>
      <c r="Z8" s="341"/>
      <c r="AA8" s="342"/>
      <c r="AB8" s="343"/>
      <c r="AC8" s="341"/>
      <c r="AD8" s="341"/>
      <c r="AE8" s="341"/>
      <c r="AF8" s="341"/>
      <c r="AG8" s="341"/>
      <c r="AH8" s="341"/>
      <c r="AI8" s="341"/>
      <c r="AJ8" s="341"/>
      <c r="AK8" s="341"/>
      <c r="AL8" s="341"/>
      <c r="AM8" s="341"/>
      <c r="AN8" s="341"/>
      <c r="AO8" s="342"/>
    </row>
    <row r="9" spans="1:41" s="344" customFormat="1" ht="14.1" customHeight="1">
      <c r="A9" s="354">
        <v>2010</v>
      </c>
      <c r="B9" s="355">
        <f>+'1.1.2 인구분석'!E10</f>
        <v>96214</v>
      </c>
      <c r="C9" s="356">
        <f t="shared" si="1"/>
        <v>96332</v>
      </c>
      <c r="D9" s="357">
        <f t="shared" si="2"/>
        <v>96229</v>
      </c>
      <c r="E9" s="358">
        <f t="shared" si="3"/>
        <v>95803</v>
      </c>
      <c r="F9" s="359">
        <f t="shared" si="4"/>
        <v>96231</v>
      </c>
      <c r="G9" s="351">
        <f t="shared" si="0"/>
        <v>192032</v>
      </c>
      <c r="H9" s="352">
        <f t="shared" si="5"/>
        <v>96214</v>
      </c>
      <c r="I9" s="341"/>
      <c r="J9" s="341"/>
      <c r="K9" s="353"/>
      <c r="L9" s="341"/>
      <c r="M9" s="341"/>
      <c r="N9" s="341"/>
      <c r="O9" s="341"/>
      <c r="P9" s="341"/>
      <c r="Q9" s="341"/>
      <c r="R9" s="341"/>
      <c r="S9" s="341"/>
      <c r="T9" s="341"/>
      <c r="U9" s="341"/>
      <c r="V9" s="341"/>
      <c r="W9" s="341"/>
      <c r="X9" s="341"/>
      <c r="Y9" s="342"/>
      <c r="Z9" s="341"/>
      <c r="AA9" s="342"/>
      <c r="AB9" s="343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2"/>
    </row>
    <row r="10" spans="1:41" s="344" customFormat="1" ht="14.1" customHeight="1">
      <c r="A10" s="354">
        <v>2011</v>
      </c>
      <c r="B10" s="355">
        <f>+'1.1.2 인구분석'!E11</f>
        <v>96993</v>
      </c>
      <c r="C10" s="356">
        <f t="shared" si="1"/>
        <v>97852</v>
      </c>
      <c r="D10" s="357">
        <f t="shared" si="2"/>
        <v>97732</v>
      </c>
      <c r="E10" s="358">
        <f t="shared" si="3"/>
        <v>97505</v>
      </c>
      <c r="F10" s="359">
        <f t="shared" si="4"/>
        <v>97734</v>
      </c>
      <c r="G10" s="351">
        <f t="shared" si="0"/>
        <v>195237</v>
      </c>
      <c r="H10" s="352">
        <f t="shared" si="5"/>
        <v>96993</v>
      </c>
      <c r="I10" s="341"/>
      <c r="J10" s="341"/>
      <c r="K10" s="353"/>
      <c r="L10" s="341"/>
      <c r="M10" s="341"/>
      <c r="N10" s="341"/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2"/>
      <c r="Z10" s="341"/>
      <c r="AA10" s="342"/>
      <c r="AB10" s="343"/>
      <c r="AC10" s="341"/>
      <c r="AD10" s="341"/>
      <c r="AE10" s="341"/>
      <c r="AF10" s="341"/>
      <c r="AG10" s="341"/>
      <c r="AH10" s="341"/>
      <c r="AI10" s="341"/>
      <c r="AJ10" s="341"/>
      <c r="AK10" s="341"/>
      <c r="AL10" s="341"/>
      <c r="AM10" s="341"/>
      <c r="AN10" s="341"/>
      <c r="AO10" s="342"/>
    </row>
    <row r="11" spans="1:41" s="344" customFormat="1" ht="14.1" customHeight="1">
      <c r="A11" s="354">
        <v>2012</v>
      </c>
      <c r="B11" s="355">
        <f>+'1.1.2 인구분석'!E12</f>
        <v>98279</v>
      </c>
      <c r="C11" s="356">
        <f t="shared" si="1"/>
        <v>99372</v>
      </c>
      <c r="D11" s="357">
        <f t="shared" si="2"/>
        <v>99258</v>
      </c>
      <c r="E11" s="358">
        <f t="shared" si="3"/>
        <v>99312</v>
      </c>
      <c r="F11" s="359">
        <f t="shared" si="4"/>
        <v>99260</v>
      </c>
      <c r="G11" s="351">
        <f t="shared" si="0"/>
        <v>198570</v>
      </c>
      <c r="H11" s="352">
        <f t="shared" si="5"/>
        <v>98279</v>
      </c>
      <c r="I11" s="341"/>
      <c r="J11" s="341"/>
      <c r="K11" s="353"/>
      <c r="L11" s="341"/>
      <c r="M11" s="341"/>
      <c r="N11" s="341"/>
      <c r="O11" s="341"/>
      <c r="P11" s="341"/>
      <c r="Q11" s="341"/>
      <c r="R11" s="341"/>
      <c r="S11" s="341"/>
      <c r="T11" s="341"/>
      <c r="U11" s="341"/>
      <c r="V11" s="341"/>
      <c r="W11" s="341"/>
      <c r="X11" s="341"/>
      <c r="Y11" s="342"/>
      <c r="Z11" s="341"/>
      <c r="AA11" s="342"/>
      <c r="AB11" s="343"/>
      <c r="AC11" s="341"/>
      <c r="AD11" s="341"/>
      <c r="AE11" s="341"/>
      <c r="AF11" s="341"/>
      <c r="AG11" s="341"/>
      <c r="AH11" s="341"/>
      <c r="AI11" s="341"/>
      <c r="AJ11" s="341"/>
      <c r="AK11" s="341"/>
      <c r="AL11" s="341"/>
      <c r="AM11" s="341"/>
      <c r="AN11" s="341"/>
      <c r="AO11" s="342"/>
    </row>
    <row r="12" spans="1:41" s="344" customFormat="1" ht="14.1" customHeight="1">
      <c r="A12" s="354">
        <v>2013</v>
      </c>
      <c r="B12" s="355">
        <f>+'1.1.2 인구분석'!E13</f>
        <v>99952</v>
      </c>
      <c r="C12" s="356">
        <f t="shared" si="1"/>
        <v>100893</v>
      </c>
      <c r="D12" s="357">
        <f t="shared" si="2"/>
        <v>100808</v>
      </c>
      <c r="E12" s="358">
        <f t="shared" si="3"/>
        <v>101216</v>
      </c>
      <c r="F12" s="359">
        <f t="shared" si="4"/>
        <v>100810</v>
      </c>
      <c r="G12" s="351">
        <f t="shared" si="0"/>
        <v>202024</v>
      </c>
      <c r="H12" s="352">
        <f t="shared" si="5"/>
        <v>99952</v>
      </c>
      <c r="I12" s="341"/>
      <c r="J12" s="341"/>
      <c r="K12" s="353"/>
      <c r="L12" s="341"/>
      <c r="M12" s="341"/>
      <c r="N12" s="341"/>
      <c r="O12" s="341"/>
      <c r="P12" s="341"/>
      <c r="Q12" s="341"/>
      <c r="R12" s="341"/>
      <c r="S12" s="341"/>
      <c r="T12" s="341"/>
      <c r="U12" s="341"/>
      <c r="V12" s="341"/>
      <c r="W12" s="341"/>
      <c r="X12" s="341"/>
      <c r="Y12" s="342"/>
      <c r="Z12" s="341"/>
      <c r="AA12" s="342"/>
      <c r="AB12" s="343"/>
      <c r="AC12" s="341"/>
      <c r="AD12" s="341"/>
      <c r="AE12" s="341"/>
      <c r="AF12" s="341"/>
      <c r="AG12" s="341"/>
      <c r="AH12" s="341"/>
      <c r="AI12" s="341"/>
      <c r="AJ12" s="341"/>
      <c r="AK12" s="341"/>
      <c r="AL12" s="341"/>
      <c r="AM12" s="341"/>
      <c r="AN12" s="341"/>
      <c r="AO12" s="342"/>
    </row>
    <row r="13" spans="1:41" s="344" customFormat="1" ht="14.1" customHeight="1">
      <c r="A13" s="354">
        <v>2014</v>
      </c>
      <c r="B13" s="355">
        <f>+'1.1.2 인구분석'!E14</f>
        <v>102796</v>
      </c>
      <c r="C13" s="356">
        <f t="shared" si="1"/>
        <v>102413</v>
      </c>
      <c r="D13" s="357">
        <f t="shared" si="2"/>
        <v>102383</v>
      </c>
      <c r="E13" s="358">
        <f t="shared" si="3"/>
        <v>103208</v>
      </c>
      <c r="F13" s="359">
        <f t="shared" si="4"/>
        <v>102383</v>
      </c>
      <c r="G13" s="351">
        <f t="shared" si="0"/>
        <v>205591</v>
      </c>
      <c r="H13" s="352">
        <f t="shared" si="5"/>
        <v>102796</v>
      </c>
      <c r="I13" s="341"/>
      <c r="J13" s="341"/>
      <c r="K13" s="353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2"/>
      <c r="Z13" s="341"/>
      <c r="AA13" s="342"/>
      <c r="AB13" s="343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2"/>
    </row>
    <row r="14" spans="1:41" s="344" customFormat="1" ht="14.1" customHeight="1">
      <c r="A14" s="386">
        <v>2015</v>
      </c>
      <c r="B14" s="2071">
        <f>+'1.1.2 인구분석'!E15</f>
        <v>104316</v>
      </c>
      <c r="C14" s="2072">
        <f t="shared" si="1"/>
        <v>103934</v>
      </c>
      <c r="D14" s="2073">
        <f t="shared" si="2"/>
        <v>103982</v>
      </c>
      <c r="E14" s="2074">
        <f t="shared" si="3"/>
        <v>105282</v>
      </c>
      <c r="F14" s="2075">
        <f t="shared" si="4"/>
        <v>103981</v>
      </c>
      <c r="G14" s="2076">
        <f t="shared" si="0"/>
        <v>209264</v>
      </c>
      <c r="H14" s="2077">
        <f t="shared" si="5"/>
        <v>104316</v>
      </c>
      <c r="I14" s="383"/>
      <c r="J14" s="383"/>
      <c r="K14" s="2078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2079"/>
      <c r="Z14" s="341"/>
      <c r="AA14" s="342"/>
      <c r="AB14" s="343"/>
      <c r="AC14" s="341"/>
      <c r="AD14" s="341"/>
      <c r="AE14" s="341"/>
      <c r="AF14" s="341"/>
      <c r="AG14" s="341"/>
      <c r="AH14" s="341"/>
      <c r="AI14" s="341"/>
      <c r="AJ14" s="341"/>
      <c r="AK14" s="341"/>
      <c r="AL14" s="341"/>
      <c r="AM14" s="341"/>
      <c r="AN14" s="341"/>
      <c r="AO14" s="342"/>
    </row>
    <row r="15" spans="1:41" s="344" customFormat="1" ht="14.1" customHeight="1" thickBot="1">
      <c r="A15" s="2010">
        <v>2016</v>
      </c>
      <c r="B15" s="2014">
        <f>+'1.1.2 인구분석'!E16</f>
        <v>106419</v>
      </c>
      <c r="C15" s="2011">
        <f t="shared" si="1"/>
        <v>105454</v>
      </c>
      <c r="D15" s="2012">
        <f t="shared" si="2"/>
        <v>105605</v>
      </c>
      <c r="E15" s="2011">
        <f t="shared" si="3"/>
        <v>107431</v>
      </c>
      <c r="F15" s="2013">
        <f t="shared" si="4"/>
        <v>105603</v>
      </c>
      <c r="G15" s="351">
        <f t="shared" si="0"/>
        <v>213036</v>
      </c>
      <c r="H15" s="352">
        <f t="shared" si="5"/>
        <v>106419</v>
      </c>
      <c r="I15" s="341"/>
      <c r="J15" s="341"/>
      <c r="K15" s="353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2"/>
      <c r="AB15" s="343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  <c r="AN15" s="341"/>
      <c r="AO15" s="342"/>
    </row>
    <row r="16" spans="1:41" s="344" customFormat="1" ht="14.1" customHeight="1" thickTop="1">
      <c r="A16" s="2114">
        <v>2017</v>
      </c>
      <c r="B16" s="2115"/>
      <c r="C16" s="2116">
        <f t="shared" si="1"/>
        <v>106975</v>
      </c>
      <c r="D16" s="2117">
        <f t="shared" si="2"/>
        <v>107255</v>
      </c>
      <c r="E16" s="2116">
        <f t="shared" si="3"/>
        <v>109653</v>
      </c>
      <c r="F16" s="2118">
        <f t="shared" si="4"/>
        <v>107250</v>
      </c>
      <c r="G16" s="364">
        <f t="shared" si="0"/>
        <v>216908</v>
      </c>
      <c r="H16" s="365"/>
      <c r="I16" s="341"/>
      <c r="J16" s="341"/>
      <c r="K16" s="353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2"/>
      <c r="AB16" s="343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  <c r="AM16" s="341"/>
      <c r="AN16" s="341"/>
      <c r="AO16" s="342"/>
    </row>
    <row r="17" spans="1:41" s="381" customFormat="1" ht="14.1" customHeight="1">
      <c r="A17" s="345">
        <v>2018</v>
      </c>
      <c r="B17" s="346"/>
      <c r="C17" s="347">
        <f t="shared" si="1"/>
        <v>108495</v>
      </c>
      <c r="D17" s="2168">
        <f t="shared" si="2"/>
        <v>108930</v>
      </c>
      <c r="E17" s="347">
        <f t="shared" si="3"/>
        <v>111943</v>
      </c>
      <c r="F17" s="2169">
        <f t="shared" si="4"/>
        <v>108922</v>
      </c>
      <c r="G17" s="2170">
        <f t="shared" si="0"/>
        <v>220873</v>
      </c>
      <c r="H17" s="2171"/>
      <c r="I17" s="2172"/>
      <c r="J17" s="2172"/>
      <c r="K17" s="2173"/>
      <c r="L17" s="2172"/>
      <c r="M17" s="2172"/>
      <c r="N17" s="2172"/>
      <c r="O17" s="2172"/>
      <c r="P17" s="2172"/>
      <c r="Q17" s="2172"/>
      <c r="R17" s="2172"/>
      <c r="S17" s="2172"/>
      <c r="T17" s="2172"/>
      <c r="U17" s="2172"/>
      <c r="V17" s="2172"/>
      <c r="W17" s="2172"/>
      <c r="X17" s="2172"/>
      <c r="Y17" s="2174"/>
      <c r="Z17" s="378"/>
      <c r="AA17" s="379"/>
      <c r="AB17" s="380"/>
      <c r="AC17" s="378"/>
      <c r="AD17" s="378"/>
      <c r="AE17" s="378"/>
      <c r="AF17" s="378"/>
      <c r="AG17" s="378"/>
      <c r="AH17" s="378"/>
      <c r="AI17" s="378"/>
      <c r="AJ17" s="378"/>
      <c r="AK17" s="378"/>
      <c r="AL17" s="378"/>
      <c r="AM17" s="378"/>
      <c r="AN17" s="378"/>
      <c r="AO17" s="379"/>
    </row>
    <row r="18" spans="1:41" s="381" customFormat="1" ht="14.1" customHeight="1">
      <c r="A18" s="354">
        <v>2019</v>
      </c>
      <c r="B18" s="355"/>
      <c r="C18" s="356">
        <f t="shared" si="1"/>
        <v>110016</v>
      </c>
      <c r="D18" s="371">
        <f t="shared" si="2"/>
        <v>110631</v>
      </c>
      <c r="E18" s="356">
        <f t="shared" si="3"/>
        <v>114297</v>
      </c>
      <c r="F18" s="372">
        <f t="shared" si="4"/>
        <v>110619</v>
      </c>
      <c r="G18" s="376">
        <f t="shared" si="0"/>
        <v>224928</v>
      </c>
      <c r="H18" s="377"/>
      <c r="I18" s="378"/>
      <c r="J18" s="378"/>
      <c r="K18" s="1912"/>
      <c r="L18" s="378"/>
      <c r="M18" s="378"/>
      <c r="N18" s="378"/>
      <c r="O18" s="378"/>
      <c r="P18" s="378"/>
      <c r="Q18" s="378"/>
      <c r="R18" s="378"/>
      <c r="S18" s="378"/>
      <c r="T18" s="378"/>
      <c r="U18" s="378"/>
      <c r="V18" s="378"/>
      <c r="W18" s="378"/>
      <c r="X18" s="378"/>
      <c r="Y18" s="379"/>
      <c r="Z18" s="378"/>
      <c r="AA18" s="379"/>
      <c r="AB18" s="380"/>
      <c r="AC18" s="378"/>
      <c r="AD18" s="378"/>
      <c r="AE18" s="378"/>
      <c r="AF18" s="378"/>
      <c r="AG18" s="378"/>
      <c r="AH18" s="378"/>
      <c r="AI18" s="378"/>
      <c r="AJ18" s="378"/>
      <c r="AK18" s="378"/>
      <c r="AL18" s="378"/>
      <c r="AM18" s="378"/>
      <c r="AN18" s="378"/>
      <c r="AO18" s="379"/>
    </row>
    <row r="19" spans="1:41" s="1929" customFormat="1" ht="14.1" customHeight="1">
      <c r="A19" s="366">
        <v>2020</v>
      </c>
      <c r="B19" s="367"/>
      <c r="C19" s="368">
        <f t="shared" si="1"/>
        <v>111536</v>
      </c>
      <c r="D19" s="369">
        <f t="shared" si="2"/>
        <v>112358</v>
      </c>
      <c r="E19" s="368">
        <f t="shared" si="3"/>
        <v>116712</v>
      </c>
      <c r="F19" s="370">
        <f t="shared" si="4"/>
        <v>112343</v>
      </c>
      <c r="G19" s="374">
        <f t="shared" si="0"/>
        <v>229070</v>
      </c>
      <c r="H19" s="373"/>
      <c r="I19" s="1925"/>
      <c r="J19" s="1925"/>
      <c r="K19" s="1926"/>
      <c r="L19" s="1925"/>
      <c r="M19" s="1925"/>
      <c r="N19" s="1925"/>
      <c r="O19" s="1925"/>
      <c r="P19" s="1925"/>
      <c r="Q19" s="1925"/>
      <c r="R19" s="1925"/>
      <c r="S19" s="1925"/>
      <c r="T19" s="1925"/>
      <c r="U19" s="1925"/>
      <c r="V19" s="1925"/>
      <c r="W19" s="1925"/>
      <c r="X19" s="1925"/>
      <c r="Y19" s="1927"/>
      <c r="Z19" s="1925"/>
      <c r="AA19" s="1927"/>
      <c r="AB19" s="1928"/>
      <c r="AC19" s="1925"/>
      <c r="AD19" s="1925"/>
      <c r="AE19" s="1925"/>
      <c r="AF19" s="1925"/>
      <c r="AG19" s="1925"/>
      <c r="AH19" s="1925"/>
      <c r="AI19" s="1925"/>
      <c r="AJ19" s="1925"/>
      <c r="AK19" s="1925"/>
      <c r="AL19" s="1925"/>
      <c r="AM19" s="1925"/>
      <c r="AN19" s="1925"/>
      <c r="AO19" s="1927"/>
    </row>
    <row r="20" spans="1:41" s="381" customFormat="1" ht="14.1" customHeight="1">
      <c r="A20" s="354">
        <v>2021</v>
      </c>
      <c r="B20" s="355"/>
      <c r="C20" s="356">
        <f t="shared" si="1"/>
        <v>113056</v>
      </c>
      <c r="D20" s="371">
        <f t="shared" si="2"/>
        <v>114113</v>
      </c>
      <c r="E20" s="356">
        <f t="shared" si="3"/>
        <v>119187</v>
      </c>
      <c r="F20" s="372">
        <f t="shared" si="4"/>
        <v>114093</v>
      </c>
      <c r="G20" s="376">
        <f t="shared" si="0"/>
        <v>233300</v>
      </c>
      <c r="H20" s="1913"/>
      <c r="I20" s="378"/>
      <c r="J20" s="378"/>
      <c r="K20" s="1912"/>
      <c r="L20" s="378"/>
      <c r="M20" s="378"/>
      <c r="N20" s="378"/>
      <c r="O20" s="378"/>
      <c r="P20" s="378"/>
      <c r="Q20" s="378"/>
      <c r="R20" s="378"/>
      <c r="S20" s="378"/>
      <c r="T20" s="378"/>
      <c r="U20" s="378"/>
      <c r="V20" s="378"/>
      <c r="W20" s="378"/>
      <c r="X20" s="378"/>
      <c r="Y20" s="379"/>
      <c r="Z20" s="378"/>
      <c r="AA20" s="379"/>
      <c r="AB20" s="380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9"/>
    </row>
    <row r="21" spans="1:41" s="381" customFormat="1" ht="14.1" customHeight="1">
      <c r="A21" s="354">
        <v>2022</v>
      </c>
      <c r="B21" s="355"/>
      <c r="C21" s="356">
        <f t="shared" si="1"/>
        <v>114577</v>
      </c>
      <c r="D21" s="371">
        <f t="shared" si="2"/>
        <v>115895</v>
      </c>
      <c r="E21" s="356">
        <f t="shared" si="3"/>
        <v>121718</v>
      </c>
      <c r="F21" s="372">
        <f t="shared" si="4"/>
        <v>115869</v>
      </c>
      <c r="G21" s="376">
        <f t="shared" si="0"/>
        <v>237613</v>
      </c>
      <c r="H21" s="377"/>
      <c r="I21" s="378"/>
      <c r="J21" s="378"/>
      <c r="K21" s="1912"/>
      <c r="L21" s="378"/>
      <c r="M21" s="378"/>
      <c r="N21" s="378"/>
      <c r="O21" s="378"/>
      <c r="P21" s="378"/>
      <c r="Q21" s="378"/>
      <c r="R21" s="378"/>
      <c r="S21" s="378"/>
      <c r="T21" s="378"/>
      <c r="U21" s="378"/>
      <c r="V21" s="378"/>
      <c r="W21" s="378"/>
      <c r="X21" s="378"/>
      <c r="Y21" s="379"/>
      <c r="Z21" s="378"/>
      <c r="AA21" s="379"/>
      <c r="AB21" s="380"/>
      <c r="AC21" s="378"/>
      <c r="AD21" s="378"/>
      <c r="AE21" s="378"/>
      <c r="AF21" s="378"/>
      <c r="AG21" s="378"/>
      <c r="AH21" s="378"/>
      <c r="AI21" s="378"/>
      <c r="AJ21" s="378"/>
      <c r="AK21" s="378"/>
      <c r="AL21" s="378"/>
      <c r="AM21" s="378"/>
      <c r="AN21" s="378"/>
      <c r="AO21" s="379"/>
    </row>
    <row r="22" spans="1:41" s="381" customFormat="1" ht="14.1" customHeight="1">
      <c r="A22" s="354">
        <v>2023</v>
      </c>
      <c r="B22" s="355"/>
      <c r="C22" s="356">
        <f t="shared" si="1"/>
        <v>116097</v>
      </c>
      <c r="D22" s="371">
        <f t="shared" si="2"/>
        <v>117705</v>
      </c>
      <c r="E22" s="356">
        <f t="shared" si="3"/>
        <v>124303</v>
      </c>
      <c r="F22" s="372">
        <f t="shared" si="4"/>
        <v>117673</v>
      </c>
      <c r="G22" s="376">
        <f t="shared" si="0"/>
        <v>242008</v>
      </c>
      <c r="H22" s="377"/>
      <c r="I22" s="378"/>
      <c r="J22" s="378"/>
      <c r="K22" s="1912"/>
      <c r="L22" s="378"/>
      <c r="M22" s="378"/>
      <c r="N22" s="378"/>
      <c r="O22" s="378"/>
      <c r="P22" s="378"/>
      <c r="Q22" s="378"/>
      <c r="R22" s="378"/>
      <c r="S22" s="378"/>
      <c r="T22" s="378"/>
      <c r="U22" s="378"/>
      <c r="V22" s="378"/>
      <c r="W22" s="378"/>
      <c r="X22" s="378"/>
      <c r="Y22" s="379"/>
      <c r="Z22" s="378"/>
      <c r="AA22" s="379"/>
      <c r="AB22" s="380"/>
      <c r="AC22" s="378"/>
      <c r="AD22" s="378"/>
      <c r="AE22" s="378"/>
      <c r="AF22" s="378"/>
      <c r="AG22" s="378"/>
      <c r="AH22" s="378"/>
      <c r="AI22" s="378"/>
      <c r="AJ22" s="378"/>
      <c r="AK22" s="378"/>
      <c r="AL22" s="378"/>
      <c r="AM22" s="378"/>
      <c r="AN22" s="378"/>
      <c r="AO22" s="379"/>
    </row>
    <row r="23" spans="1:41" s="381" customFormat="1" ht="14.1" customHeight="1">
      <c r="A23" s="354">
        <v>2024</v>
      </c>
      <c r="B23" s="355"/>
      <c r="C23" s="356">
        <f t="shared" si="1"/>
        <v>117618</v>
      </c>
      <c r="D23" s="371">
        <f t="shared" si="2"/>
        <v>119543</v>
      </c>
      <c r="E23" s="356">
        <f t="shared" si="3"/>
        <v>126941</v>
      </c>
      <c r="F23" s="372">
        <f t="shared" si="4"/>
        <v>119504</v>
      </c>
      <c r="G23" s="376">
        <f t="shared" si="0"/>
        <v>246484</v>
      </c>
      <c r="H23" s="377"/>
      <c r="I23" s="378"/>
      <c r="J23" s="378"/>
      <c r="K23" s="1912"/>
      <c r="L23" s="378"/>
      <c r="M23" s="378"/>
      <c r="N23" s="378"/>
      <c r="O23" s="378"/>
      <c r="P23" s="378"/>
      <c r="Q23" s="378"/>
      <c r="R23" s="378"/>
      <c r="S23" s="378"/>
      <c r="T23" s="378"/>
      <c r="U23" s="378"/>
      <c r="V23" s="378"/>
      <c r="W23" s="378"/>
      <c r="X23" s="378"/>
      <c r="Y23" s="379"/>
      <c r="Z23" s="378"/>
      <c r="AA23" s="379"/>
      <c r="AB23" s="380"/>
      <c r="AC23" s="378"/>
      <c r="AD23" s="378"/>
      <c r="AE23" s="378"/>
      <c r="AF23" s="378"/>
      <c r="AG23" s="378"/>
      <c r="AH23" s="378"/>
      <c r="AI23" s="378"/>
      <c r="AJ23" s="378"/>
      <c r="AK23" s="378"/>
      <c r="AL23" s="378"/>
      <c r="AM23" s="378"/>
      <c r="AN23" s="378"/>
      <c r="AO23" s="379"/>
    </row>
    <row r="24" spans="1:41" s="1929" customFormat="1" ht="14.1" customHeight="1">
      <c r="A24" s="366">
        <v>2025</v>
      </c>
      <c r="B24" s="367"/>
      <c r="C24" s="368">
        <f t="shared" si="1"/>
        <v>119138</v>
      </c>
      <c r="D24" s="369">
        <f t="shared" si="2"/>
        <v>121410</v>
      </c>
      <c r="E24" s="368">
        <f t="shared" si="3"/>
        <v>129629</v>
      </c>
      <c r="F24" s="370">
        <f t="shared" si="4"/>
        <v>121363</v>
      </c>
      <c r="G24" s="374">
        <f t="shared" si="0"/>
        <v>251039</v>
      </c>
      <c r="H24" s="373"/>
      <c r="I24" s="1925"/>
      <c r="J24" s="1925"/>
      <c r="K24" s="1926"/>
      <c r="L24" s="1925"/>
      <c r="M24" s="1925"/>
      <c r="N24" s="1925"/>
      <c r="O24" s="1925"/>
      <c r="P24" s="1925"/>
      <c r="Q24" s="1925"/>
      <c r="R24" s="1925"/>
      <c r="S24" s="1925"/>
      <c r="T24" s="1925"/>
      <c r="U24" s="1925"/>
      <c r="V24" s="1925"/>
      <c r="W24" s="1925"/>
      <c r="X24" s="1925"/>
      <c r="Y24" s="1927"/>
      <c r="Z24" s="1925"/>
      <c r="AA24" s="1927"/>
      <c r="AB24" s="1928"/>
      <c r="AC24" s="1925"/>
      <c r="AD24" s="1925"/>
      <c r="AE24" s="1925"/>
      <c r="AF24" s="1925"/>
      <c r="AG24" s="1925"/>
      <c r="AH24" s="1925"/>
      <c r="AI24" s="1925"/>
      <c r="AJ24" s="1925"/>
      <c r="AK24" s="1925"/>
      <c r="AL24" s="1925"/>
      <c r="AM24" s="1925"/>
      <c r="AN24" s="1925"/>
      <c r="AO24" s="1927"/>
    </row>
    <row r="25" spans="1:41" s="381" customFormat="1" ht="14.1" customHeight="1">
      <c r="A25" s="354">
        <v>2026</v>
      </c>
      <c r="B25" s="355"/>
      <c r="C25" s="356">
        <f t="shared" si="1"/>
        <v>120659</v>
      </c>
      <c r="D25" s="371">
        <f t="shared" si="2"/>
        <v>123306</v>
      </c>
      <c r="E25" s="356">
        <f t="shared" si="3"/>
        <v>132367</v>
      </c>
      <c r="F25" s="372">
        <f t="shared" si="4"/>
        <v>123251</v>
      </c>
      <c r="G25" s="376">
        <f t="shared" si="0"/>
        <v>255673</v>
      </c>
      <c r="H25" s="1913"/>
      <c r="I25" s="378"/>
      <c r="J25" s="378"/>
      <c r="K25" s="1912"/>
      <c r="L25" s="378"/>
      <c r="M25" s="378"/>
      <c r="N25" s="378"/>
      <c r="O25" s="378"/>
      <c r="P25" s="378"/>
      <c r="Q25" s="378"/>
      <c r="R25" s="378"/>
      <c r="S25" s="378"/>
      <c r="T25" s="378"/>
      <c r="U25" s="378"/>
      <c r="V25" s="378"/>
      <c r="W25" s="378"/>
      <c r="X25" s="378"/>
      <c r="Y25" s="379"/>
      <c r="Z25" s="378"/>
      <c r="AA25" s="379"/>
      <c r="AB25" s="380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9"/>
    </row>
    <row r="26" spans="1:41" s="381" customFormat="1" ht="14.1" customHeight="1">
      <c r="A26" s="354">
        <v>2027</v>
      </c>
      <c r="B26" s="355"/>
      <c r="C26" s="356">
        <f t="shared" si="1"/>
        <v>122179</v>
      </c>
      <c r="D26" s="371">
        <f t="shared" si="2"/>
        <v>125231</v>
      </c>
      <c r="E26" s="356">
        <f t="shared" si="3"/>
        <v>135152</v>
      </c>
      <c r="F26" s="372">
        <f t="shared" si="4"/>
        <v>125167</v>
      </c>
      <c r="G26" s="376">
        <f t="shared" si="0"/>
        <v>260383</v>
      </c>
      <c r="H26" s="375"/>
      <c r="I26" s="378"/>
      <c r="J26" s="378"/>
      <c r="K26" s="1914"/>
      <c r="L26" s="378"/>
      <c r="M26" s="378"/>
      <c r="N26" s="378"/>
      <c r="O26" s="378"/>
      <c r="P26" s="378"/>
      <c r="Q26" s="378"/>
      <c r="R26" s="378"/>
      <c r="S26" s="378"/>
      <c r="T26" s="378"/>
      <c r="U26" s="378"/>
      <c r="V26" s="378"/>
      <c r="W26" s="378"/>
      <c r="X26" s="378"/>
      <c r="Y26" s="379"/>
      <c r="Z26" s="378"/>
      <c r="AA26" s="379"/>
      <c r="AB26" s="380"/>
      <c r="AC26" s="378"/>
      <c r="AD26" s="378"/>
      <c r="AE26" s="378"/>
      <c r="AF26" s="378"/>
      <c r="AG26" s="378"/>
      <c r="AH26" s="378"/>
      <c r="AI26" s="378"/>
      <c r="AJ26" s="378"/>
      <c r="AK26" s="378"/>
      <c r="AL26" s="378"/>
      <c r="AM26" s="378"/>
      <c r="AN26" s="378"/>
      <c r="AO26" s="379"/>
    </row>
    <row r="27" spans="1:41" s="381" customFormat="1" ht="14.1" customHeight="1">
      <c r="A27" s="354">
        <v>2028</v>
      </c>
      <c r="B27" s="382"/>
      <c r="C27" s="356">
        <f t="shared" si="1"/>
        <v>123700</v>
      </c>
      <c r="D27" s="371">
        <f t="shared" si="2"/>
        <v>127187</v>
      </c>
      <c r="E27" s="356">
        <f t="shared" si="3"/>
        <v>137982</v>
      </c>
      <c r="F27" s="372">
        <f t="shared" si="4"/>
        <v>127112</v>
      </c>
      <c r="G27" s="376">
        <f t="shared" si="0"/>
        <v>265169</v>
      </c>
      <c r="H27" s="377"/>
      <c r="I27" s="378"/>
      <c r="J27" s="378"/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9"/>
      <c r="Z27" s="378"/>
      <c r="AA27" s="379"/>
      <c r="AB27" s="380"/>
      <c r="AC27" s="378"/>
      <c r="AD27" s="378"/>
      <c r="AE27" s="378"/>
      <c r="AF27" s="378"/>
      <c r="AG27" s="378"/>
      <c r="AH27" s="378"/>
      <c r="AI27" s="378"/>
      <c r="AJ27" s="378"/>
      <c r="AK27" s="378"/>
      <c r="AL27" s="378"/>
      <c r="AM27" s="378"/>
      <c r="AN27" s="378"/>
      <c r="AO27" s="379"/>
    </row>
    <row r="28" spans="1:41" s="381" customFormat="1" ht="14.1" customHeight="1">
      <c r="A28" s="386">
        <v>2029</v>
      </c>
      <c r="B28" s="387"/>
      <c r="C28" s="2072">
        <f t="shared" si="1"/>
        <v>125220</v>
      </c>
      <c r="D28" s="2175">
        <f t="shared" si="2"/>
        <v>129173</v>
      </c>
      <c r="E28" s="2072">
        <f t="shared" si="3"/>
        <v>140858</v>
      </c>
      <c r="F28" s="2176">
        <f t="shared" si="4"/>
        <v>129087</v>
      </c>
      <c r="G28" s="2177">
        <f t="shared" si="0"/>
        <v>270031</v>
      </c>
      <c r="H28" s="2178"/>
      <c r="I28" s="1916"/>
      <c r="J28" s="1916"/>
      <c r="K28" s="1916"/>
      <c r="L28" s="1916"/>
      <c r="M28" s="1916"/>
      <c r="N28" s="1916"/>
      <c r="O28" s="1916"/>
      <c r="P28" s="1916"/>
      <c r="Q28" s="1916"/>
      <c r="R28" s="1916"/>
      <c r="S28" s="1916"/>
      <c r="T28" s="1916"/>
      <c r="U28" s="1916"/>
      <c r="V28" s="1916"/>
      <c r="W28" s="1916"/>
      <c r="X28" s="1916"/>
      <c r="Y28" s="1917"/>
      <c r="Z28" s="378"/>
      <c r="AA28" s="379"/>
      <c r="AB28" s="1915"/>
      <c r="AC28" s="1916"/>
      <c r="AD28" s="1916"/>
      <c r="AE28" s="1916"/>
      <c r="AF28" s="1916"/>
      <c r="AG28" s="1916"/>
      <c r="AH28" s="1916"/>
      <c r="AI28" s="1916"/>
      <c r="AJ28" s="1916"/>
      <c r="AK28" s="1916"/>
      <c r="AL28" s="1916"/>
      <c r="AM28" s="1916"/>
      <c r="AN28" s="1916"/>
      <c r="AO28" s="1917"/>
    </row>
    <row r="29" spans="1:41" s="1929" customFormat="1" ht="14.1" customHeight="1">
      <c r="A29" s="2135">
        <v>2030</v>
      </c>
      <c r="B29" s="1911"/>
      <c r="C29" s="2136">
        <f t="shared" si="1"/>
        <v>126740</v>
      </c>
      <c r="D29" s="2137">
        <f t="shared" si="2"/>
        <v>131190</v>
      </c>
      <c r="E29" s="2136">
        <f t="shared" si="3"/>
        <v>143777</v>
      </c>
      <c r="F29" s="2138">
        <f t="shared" si="4"/>
        <v>131092</v>
      </c>
      <c r="G29" s="374">
        <f t="shared" si="0"/>
        <v>274967</v>
      </c>
      <c r="H29" s="373"/>
      <c r="I29" s="1925"/>
      <c r="J29" s="1925"/>
      <c r="K29" s="1925"/>
      <c r="L29" s="1925"/>
      <c r="M29" s="1925"/>
      <c r="N29" s="1925"/>
      <c r="O29" s="1925"/>
      <c r="P29" s="1925"/>
      <c r="Q29" s="1925"/>
      <c r="R29" s="1925"/>
      <c r="S29" s="1925"/>
      <c r="T29" s="1925"/>
      <c r="U29" s="1925"/>
      <c r="V29" s="1925"/>
      <c r="W29" s="1925"/>
      <c r="X29" s="1925"/>
      <c r="Y29" s="1925"/>
      <c r="Z29" s="1925"/>
      <c r="AA29" s="1927"/>
    </row>
    <row r="30" spans="1:41" s="381" customFormat="1" ht="14.1" customHeight="1">
      <c r="A30" s="354">
        <v>2031</v>
      </c>
      <c r="B30" s="355"/>
      <c r="C30" s="356">
        <f t="shared" si="1"/>
        <v>128261</v>
      </c>
      <c r="D30" s="371">
        <f t="shared" si="2"/>
        <v>133239</v>
      </c>
      <c r="E30" s="356">
        <f t="shared" si="3"/>
        <v>146739</v>
      </c>
      <c r="F30" s="372">
        <f t="shared" si="4"/>
        <v>133127</v>
      </c>
      <c r="G30" s="376">
        <f t="shared" si="0"/>
        <v>279978</v>
      </c>
      <c r="H30" s="1913"/>
      <c r="I30" s="378"/>
      <c r="J30" s="378"/>
      <c r="K30" s="378"/>
      <c r="L30" s="378"/>
      <c r="M30" s="378"/>
      <c r="N30" s="378"/>
      <c r="O30" s="378"/>
      <c r="P30" s="378"/>
      <c r="Q30" s="378"/>
      <c r="R30" s="378"/>
      <c r="S30" s="378"/>
      <c r="T30" s="378"/>
      <c r="U30" s="378"/>
      <c r="V30" s="378"/>
      <c r="W30" s="378"/>
      <c r="X30" s="378"/>
      <c r="Y30" s="378"/>
      <c r="Z30" s="378"/>
      <c r="AA30" s="379"/>
    </row>
    <row r="31" spans="1:41" s="381" customFormat="1" ht="14.1" customHeight="1">
      <c r="A31" s="354">
        <v>2032</v>
      </c>
      <c r="B31" s="382"/>
      <c r="C31" s="356">
        <f t="shared" si="1"/>
        <v>129781</v>
      </c>
      <c r="D31" s="371">
        <f t="shared" si="2"/>
        <v>135320</v>
      </c>
      <c r="E31" s="356">
        <f t="shared" si="3"/>
        <v>149742</v>
      </c>
      <c r="F31" s="372">
        <f t="shared" si="4"/>
        <v>135193</v>
      </c>
      <c r="G31" s="376">
        <f t="shared" si="0"/>
        <v>285062</v>
      </c>
      <c r="H31" s="377"/>
      <c r="I31" s="378"/>
      <c r="J31" s="378"/>
      <c r="K31" s="378"/>
      <c r="L31" s="378"/>
      <c r="M31" s="378"/>
      <c r="N31" s="378"/>
      <c r="O31" s="378"/>
      <c r="P31" s="378"/>
      <c r="Q31" s="378"/>
      <c r="R31" s="378"/>
      <c r="S31" s="378"/>
      <c r="T31" s="378"/>
      <c r="U31" s="378"/>
      <c r="V31" s="378"/>
      <c r="W31" s="378"/>
      <c r="X31" s="378"/>
      <c r="Y31" s="378"/>
      <c r="Z31" s="378"/>
      <c r="AA31" s="379"/>
    </row>
    <row r="32" spans="1:41" s="381" customFormat="1" ht="14.1" customHeight="1">
      <c r="A32" s="354">
        <v>2033</v>
      </c>
      <c r="B32" s="382"/>
      <c r="C32" s="356">
        <f t="shared" si="1"/>
        <v>131302</v>
      </c>
      <c r="D32" s="371">
        <f t="shared" si="2"/>
        <v>137433</v>
      </c>
      <c r="E32" s="356">
        <f t="shared" si="3"/>
        <v>152786</v>
      </c>
      <c r="F32" s="372">
        <f t="shared" si="4"/>
        <v>137291</v>
      </c>
      <c r="G32" s="376">
        <f t="shared" si="0"/>
        <v>290219</v>
      </c>
      <c r="H32" s="377"/>
      <c r="I32" s="378"/>
      <c r="J32" s="378"/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  <c r="Y32" s="378"/>
      <c r="Z32" s="378"/>
      <c r="AA32" s="379"/>
    </row>
    <row r="33" spans="1:40" s="381" customFormat="1" ht="14.1" customHeight="1">
      <c r="A33" s="354">
        <v>2034</v>
      </c>
      <c r="B33" s="382"/>
      <c r="C33" s="356">
        <f t="shared" si="1"/>
        <v>132822</v>
      </c>
      <c r="D33" s="371">
        <f t="shared" si="2"/>
        <v>139579</v>
      </c>
      <c r="E33" s="356">
        <f t="shared" si="3"/>
        <v>155869</v>
      </c>
      <c r="F33" s="372">
        <f t="shared" si="4"/>
        <v>139420</v>
      </c>
      <c r="G33" s="376">
        <f t="shared" si="0"/>
        <v>295448</v>
      </c>
      <c r="H33" s="377"/>
      <c r="I33" s="378"/>
      <c r="J33" s="378"/>
      <c r="K33" s="378"/>
      <c r="L33" s="378"/>
      <c r="M33" s="378"/>
      <c r="N33" s="378"/>
      <c r="O33" s="378"/>
      <c r="P33" s="378"/>
      <c r="Q33" s="378"/>
      <c r="R33" s="378"/>
      <c r="S33" s="378"/>
      <c r="T33" s="378"/>
      <c r="U33" s="378"/>
      <c r="V33" s="378"/>
      <c r="W33" s="378"/>
      <c r="X33" s="378"/>
      <c r="Y33" s="378"/>
      <c r="Z33" s="378"/>
      <c r="AA33" s="379"/>
    </row>
    <row r="34" spans="1:40" s="1929" customFormat="1" ht="14.1" customHeight="1">
      <c r="A34" s="366">
        <v>2035</v>
      </c>
      <c r="B34" s="367"/>
      <c r="C34" s="368">
        <f t="shared" si="1"/>
        <v>134343</v>
      </c>
      <c r="D34" s="369">
        <f t="shared" si="2"/>
        <v>141759</v>
      </c>
      <c r="E34" s="368">
        <f t="shared" si="3"/>
        <v>158991</v>
      </c>
      <c r="F34" s="370">
        <f t="shared" si="4"/>
        <v>141582</v>
      </c>
      <c r="G34" s="374">
        <f t="shared" si="0"/>
        <v>300750</v>
      </c>
      <c r="H34" s="384"/>
      <c r="I34" s="1925"/>
      <c r="J34" s="1925"/>
      <c r="K34" s="1925"/>
      <c r="L34" s="1930"/>
      <c r="M34" s="1925"/>
      <c r="N34" s="1925"/>
      <c r="O34" s="1925"/>
      <c r="P34" s="1925"/>
      <c r="Q34" s="1925"/>
      <c r="R34" s="1925"/>
      <c r="S34" s="1925"/>
      <c r="T34" s="1925"/>
      <c r="U34" s="1925"/>
      <c r="V34" s="1925"/>
      <c r="W34" s="1925"/>
      <c r="X34" s="1925"/>
      <c r="Y34" s="1925"/>
      <c r="Z34" s="1925"/>
      <c r="AA34" s="1927"/>
    </row>
    <row r="35" spans="1:40" s="381" customFormat="1" ht="14.1" customHeight="1">
      <c r="A35" s="354">
        <v>2036</v>
      </c>
      <c r="B35" s="385"/>
      <c r="C35" s="356">
        <f t="shared" si="1"/>
        <v>135863</v>
      </c>
      <c r="D35" s="371">
        <f t="shared" si="2"/>
        <v>143973</v>
      </c>
      <c r="E35" s="356">
        <f t="shared" si="3"/>
        <v>162151</v>
      </c>
      <c r="F35" s="372">
        <f t="shared" si="4"/>
        <v>143776</v>
      </c>
      <c r="G35" s="376"/>
      <c r="H35" s="377"/>
      <c r="I35" s="378"/>
      <c r="J35" s="378"/>
      <c r="K35" s="378"/>
      <c r="L35" s="410"/>
      <c r="M35" s="378"/>
      <c r="N35" s="378"/>
      <c r="O35" s="378"/>
      <c r="P35" s="378"/>
      <c r="Q35" s="378"/>
      <c r="R35" s="378"/>
      <c r="S35" s="378"/>
      <c r="T35" s="378"/>
      <c r="U35" s="378"/>
      <c r="V35" s="378"/>
      <c r="W35" s="378"/>
      <c r="X35" s="378"/>
      <c r="Y35" s="378"/>
      <c r="Z35" s="378"/>
      <c r="AA35" s="379"/>
    </row>
    <row r="36" spans="1:40" s="381" customFormat="1" ht="14.1" customHeight="1">
      <c r="A36" s="354">
        <v>2037</v>
      </c>
      <c r="B36" s="385"/>
      <c r="C36" s="356">
        <f t="shared" si="1"/>
        <v>137384</v>
      </c>
      <c r="D36" s="371">
        <f t="shared" si="2"/>
        <v>146221</v>
      </c>
      <c r="E36" s="356">
        <f t="shared" si="3"/>
        <v>165347</v>
      </c>
      <c r="F36" s="372">
        <f t="shared" si="4"/>
        <v>146003</v>
      </c>
      <c r="G36" s="376"/>
      <c r="H36" s="377"/>
      <c r="I36" s="378"/>
      <c r="J36" s="378"/>
      <c r="K36" s="378"/>
      <c r="L36" s="410"/>
      <c r="M36" s="378"/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9"/>
    </row>
    <row r="37" spans="1:40" s="381" customFormat="1" ht="14.1" customHeight="1">
      <c r="A37" s="354">
        <f t="shared" ref="A37" si="6">A36+1</f>
        <v>2038</v>
      </c>
      <c r="B37" s="385"/>
      <c r="C37" s="356">
        <f t="shared" si="1"/>
        <v>138904</v>
      </c>
      <c r="D37" s="371">
        <f t="shared" si="2"/>
        <v>148505</v>
      </c>
      <c r="E37" s="356">
        <f t="shared" si="3"/>
        <v>168580</v>
      </c>
      <c r="F37" s="372">
        <f t="shared" si="4"/>
        <v>148264</v>
      </c>
      <c r="G37" s="376"/>
      <c r="H37" s="377"/>
      <c r="I37" s="378"/>
      <c r="J37" s="378"/>
      <c r="K37" s="378"/>
      <c r="L37" s="410"/>
      <c r="M37" s="378"/>
      <c r="N37" s="378"/>
      <c r="O37" s="378"/>
      <c r="P37" s="378"/>
      <c r="Q37" s="378"/>
      <c r="R37" s="378"/>
      <c r="S37" s="378"/>
      <c r="T37" s="378"/>
      <c r="U37" s="378"/>
      <c r="V37" s="378"/>
      <c r="W37" s="378"/>
      <c r="X37" s="378"/>
      <c r="Y37" s="378"/>
      <c r="Z37" s="378"/>
      <c r="AA37" s="379"/>
    </row>
    <row r="38" spans="1:40" s="381" customFormat="1" ht="14.1" customHeight="1">
      <c r="A38" s="386" t="s">
        <v>275</v>
      </c>
      <c r="B38" s="387"/>
      <c r="C38" s="387" t="str">
        <f>IF(OR(C42=1,C42=2),"○","")</f>
        <v/>
      </c>
      <c r="D38" s="387" t="str">
        <f>IF(OR(D42=1,D42=2),"○","")</f>
        <v>○</v>
      </c>
      <c r="E38" s="387" t="str">
        <f>IF(OR(E42=1,E42=2),"○","")</f>
        <v>○</v>
      </c>
      <c r="F38" s="1918" t="str">
        <f>IF(OR(F42=1,F42=2),"○","")</f>
        <v/>
      </c>
      <c r="G38" s="1919"/>
      <c r="H38" s="1920"/>
      <c r="I38" s="378"/>
      <c r="J38" s="378"/>
      <c r="K38" s="1921"/>
      <c r="L38" s="1921"/>
      <c r="M38" s="1921"/>
      <c r="N38" s="1921"/>
      <c r="O38" s="1921"/>
      <c r="P38" s="1921"/>
      <c r="Q38" s="1921"/>
      <c r="R38" s="1921"/>
      <c r="S38" s="1921"/>
      <c r="T38" s="1922"/>
      <c r="U38" s="1922"/>
      <c r="V38" s="410"/>
      <c r="W38" s="410"/>
      <c r="X38" s="410"/>
      <c r="Y38" s="410"/>
      <c r="Z38" s="410"/>
      <c r="AA38" s="1923"/>
      <c r="AB38" s="1924"/>
      <c r="AC38" s="1924"/>
      <c r="AD38" s="1924"/>
      <c r="AE38" s="1924"/>
      <c r="AF38" s="1924"/>
      <c r="AG38" s="1924"/>
      <c r="AH38" s="1924"/>
      <c r="AI38" s="1924"/>
      <c r="AJ38" s="1924"/>
      <c r="AK38" s="1924"/>
      <c r="AL38" s="1924"/>
      <c r="AM38" s="1924"/>
      <c r="AN38" s="1924"/>
    </row>
    <row r="39" spans="1:40" s="344" customFormat="1" ht="14.1" customHeight="1">
      <c r="A39" s="2318" t="s">
        <v>276</v>
      </c>
      <c r="B39" s="2319"/>
      <c r="C39" s="392">
        <f>F70</f>
        <v>0.97917787734145489</v>
      </c>
      <c r="D39" s="393">
        <f>G115</f>
        <v>0.9828657002765967</v>
      </c>
      <c r="E39" s="393">
        <f>H153</f>
        <v>0.98645841540145163</v>
      </c>
      <c r="F39" s="394">
        <f>G190</f>
        <v>0.98281017860978792</v>
      </c>
      <c r="G39" s="395"/>
      <c r="H39" s="396"/>
      <c r="I39" s="341"/>
      <c r="J39" s="341"/>
      <c r="K39" s="362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90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</row>
    <row r="40" spans="1:40" s="344" customFormat="1" ht="14.1" customHeight="1">
      <c r="A40" s="2318" t="s">
        <v>277</v>
      </c>
      <c r="B40" s="2319"/>
      <c r="C40" s="397">
        <f>F71</f>
        <v>5407.5240000000003</v>
      </c>
      <c r="D40" s="398">
        <f>G116</f>
        <v>4455.9580000000005</v>
      </c>
      <c r="E40" s="398">
        <f>H154</f>
        <v>8351.9599999999991</v>
      </c>
      <c r="F40" s="399">
        <f>G191</f>
        <v>4470.2119999999995</v>
      </c>
      <c r="G40" s="400"/>
      <c r="H40" s="401"/>
      <c r="I40" s="341"/>
      <c r="J40" s="341"/>
      <c r="K40" s="388"/>
      <c r="L40" s="388"/>
      <c r="M40" s="388"/>
      <c r="N40" s="388"/>
      <c r="O40" s="388"/>
      <c r="P40" s="388"/>
      <c r="Q40" s="388"/>
      <c r="R40" s="388"/>
      <c r="S40" s="388"/>
      <c r="T40" s="389"/>
      <c r="U40" s="389"/>
      <c r="V40" s="362"/>
      <c r="W40" s="362"/>
      <c r="X40" s="362"/>
      <c r="Y40" s="362"/>
      <c r="Z40" s="362"/>
      <c r="AA40" s="390"/>
      <c r="AB40" s="391"/>
      <c r="AC40" s="391"/>
      <c r="AD40" s="391"/>
      <c r="AE40" s="391"/>
      <c r="AF40" s="391"/>
      <c r="AG40" s="391"/>
      <c r="AH40" s="391"/>
      <c r="AI40" s="391"/>
      <c r="AJ40" s="391"/>
      <c r="AK40" s="391"/>
      <c r="AL40" s="391"/>
      <c r="AM40" s="391"/>
      <c r="AN40" s="391"/>
    </row>
    <row r="41" spans="1:40" s="344" customFormat="1" ht="14.1" customHeight="1">
      <c r="A41" s="2318" t="s">
        <v>278</v>
      </c>
      <c r="B41" s="2319"/>
      <c r="C41" s="402">
        <f>F72</f>
        <v>0.6153910377662245</v>
      </c>
      <c r="D41" s="403">
        <f>G117</f>
        <v>0.56676619129705696</v>
      </c>
      <c r="E41" s="403">
        <f>H155</f>
        <v>0.79975769296464105</v>
      </c>
      <c r="F41" s="404">
        <f>G192</f>
        <v>0.2838297036095761</v>
      </c>
      <c r="G41" s="405"/>
      <c r="H41" s="401"/>
      <c r="I41" s="383"/>
      <c r="J41" s="383"/>
      <c r="K41" s="406"/>
      <c r="L41" s="406"/>
      <c r="M41" s="406"/>
      <c r="N41" s="406"/>
      <c r="O41" s="406"/>
      <c r="P41" s="406"/>
      <c r="Q41" s="406"/>
      <c r="R41" s="406"/>
      <c r="S41" s="406"/>
      <c r="T41" s="407"/>
      <c r="U41" s="407"/>
      <c r="V41" s="408"/>
      <c r="W41" s="408"/>
      <c r="X41" s="408"/>
      <c r="Y41" s="408"/>
      <c r="Z41" s="408"/>
      <c r="AA41" s="409"/>
      <c r="AB41" s="391"/>
      <c r="AC41" s="391"/>
      <c r="AD41" s="391"/>
      <c r="AE41" s="391"/>
      <c r="AF41" s="391"/>
      <c r="AG41" s="391"/>
      <c r="AH41" s="391"/>
      <c r="AI41" s="391"/>
      <c r="AJ41" s="391"/>
      <c r="AK41" s="391"/>
      <c r="AL41" s="391"/>
      <c r="AM41" s="391"/>
      <c r="AN41" s="391"/>
    </row>
    <row r="42" spans="1:40" s="344" customFormat="1" ht="20.100000000000001" customHeight="1">
      <c r="A42" s="410"/>
      <c r="B42" s="411"/>
      <c r="C42" s="1007">
        <f>RANK(C39,$C$39:$F$39)</f>
        <v>4</v>
      </c>
      <c r="D42" s="1007">
        <f>RANK(D39,$C$39:$F$39)</f>
        <v>2</v>
      </c>
      <c r="E42" s="1007">
        <f>RANK(E39,$C$39:$F$39)</f>
        <v>1</v>
      </c>
      <c r="F42" s="1007">
        <f>RANK(F39,$C$39:$F$39)</f>
        <v>3</v>
      </c>
      <c r="G42" s="341"/>
      <c r="H42" s="341"/>
      <c r="I42" s="341"/>
      <c r="J42" s="413"/>
      <c r="K42" s="391"/>
      <c r="L42" s="391"/>
      <c r="M42" s="391"/>
      <c r="N42" s="391"/>
      <c r="O42" s="391"/>
      <c r="P42" s="391"/>
      <c r="Q42" s="391"/>
      <c r="R42" s="391"/>
      <c r="S42" s="391"/>
      <c r="T42" s="391"/>
      <c r="U42" s="391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391"/>
      <c r="AG42" s="391"/>
      <c r="AH42" s="391"/>
      <c r="AI42" s="391"/>
      <c r="AJ42" s="391"/>
      <c r="AK42" s="391"/>
      <c r="AL42" s="391"/>
      <c r="AM42" s="391"/>
    </row>
    <row r="43" spans="1:40" s="344" customFormat="1" ht="18.95" customHeight="1">
      <c r="A43" s="414" t="s">
        <v>85</v>
      </c>
      <c r="B43" s="415" t="s">
        <v>279</v>
      </c>
      <c r="C43" s="415" t="s">
        <v>280</v>
      </c>
      <c r="D43" s="415" t="s">
        <v>281</v>
      </c>
      <c r="E43" s="415" t="s">
        <v>282</v>
      </c>
      <c r="F43" s="360" t="s">
        <v>5</v>
      </c>
      <c r="G43" s="341"/>
      <c r="H43" s="341"/>
      <c r="I43" s="341"/>
      <c r="J43" s="413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  <c r="AM43" s="391"/>
    </row>
    <row r="44" spans="1:40" s="344" customFormat="1" ht="18.95" customHeight="1">
      <c r="A44" s="416" t="s">
        <v>251</v>
      </c>
      <c r="B44" s="417">
        <f>+C19</f>
        <v>111536</v>
      </c>
      <c r="C44" s="417">
        <f>+C24</f>
        <v>119138</v>
      </c>
      <c r="D44" s="417">
        <f>+C29</f>
        <v>126740</v>
      </c>
      <c r="E44" s="418">
        <f>+C34</f>
        <v>134343</v>
      </c>
      <c r="F44" s="419" t="str">
        <f>IF(C38="","제외","")</f>
        <v>제외</v>
      </c>
      <c r="G44" s="341"/>
      <c r="H44" s="341"/>
      <c r="I44" s="341"/>
      <c r="J44" s="413"/>
      <c r="K44" s="391"/>
      <c r="L44" s="391"/>
      <c r="M44" s="391"/>
      <c r="N44" s="391"/>
      <c r="O44" s="391"/>
      <c r="P44" s="391"/>
      <c r="Q44" s="391"/>
      <c r="R44" s="391"/>
      <c r="S44" s="391"/>
      <c r="T44" s="391"/>
      <c r="U44" s="391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391"/>
      <c r="AG44" s="391"/>
      <c r="AH44" s="391"/>
      <c r="AI44" s="391"/>
      <c r="AJ44" s="391"/>
      <c r="AK44" s="391"/>
      <c r="AL44" s="391"/>
      <c r="AM44" s="391"/>
    </row>
    <row r="45" spans="1:40" s="344" customFormat="1" ht="18.95" customHeight="1">
      <c r="A45" s="416" t="s">
        <v>253</v>
      </c>
      <c r="B45" s="417">
        <f>+D19</f>
        <v>112358</v>
      </c>
      <c r="C45" s="417">
        <f>+D24</f>
        <v>121410</v>
      </c>
      <c r="D45" s="417">
        <f>+D29</f>
        <v>131190</v>
      </c>
      <c r="E45" s="418">
        <f>+D34</f>
        <v>141759</v>
      </c>
      <c r="F45" s="419" t="str">
        <f>IF(D38="","제외","")</f>
        <v/>
      </c>
      <c r="G45" s="341"/>
      <c r="H45" s="341"/>
      <c r="I45" s="341"/>
      <c r="J45" s="413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1"/>
    </row>
    <row r="46" spans="1:40" s="344" customFormat="1" ht="18.95" customHeight="1">
      <c r="A46" s="416" t="s">
        <v>254</v>
      </c>
      <c r="B46" s="417">
        <f>+E19</f>
        <v>116712</v>
      </c>
      <c r="C46" s="417">
        <f>+E24</f>
        <v>129629</v>
      </c>
      <c r="D46" s="417">
        <f>+E29</f>
        <v>143777</v>
      </c>
      <c r="E46" s="418">
        <f>+E34</f>
        <v>158991</v>
      </c>
      <c r="F46" s="419" t="str">
        <f>IF(E38="","제외","")</f>
        <v/>
      </c>
      <c r="G46" s="341"/>
      <c r="H46" s="341"/>
      <c r="I46" s="341"/>
      <c r="J46" s="413"/>
      <c r="K46" s="391"/>
      <c r="L46" s="391"/>
      <c r="M46" s="391"/>
      <c r="N46" s="391"/>
      <c r="O46" s="391"/>
      <c r="P46" s="391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  <c r="AM46" s="391"/>
    </row>
    <row r="47" spans="1:40" s="344" customFormat="1" ht="18.95" customHeight="1">
      <c r="A47" s="416" t="s">
        <v>256</v>
      </c>
      <c r="B47" s="417">
        <f>+F19</f>
        <v>112343</v>
      </c>
      <c r="C47" s="417">
        <f>+F24</f>
        <v>121363</v>
      </c>
      <c r="D47" s="417">
        <f>+F29</f>
        <v>131092</v>
      </c>
      <c r="E47" s="418">
        <f>+F34</f>
        <v>141582</v>
      </c>
      <c r="F47" s="419" t="str">
        <f>IF(F38="","제외","")</f>
        <v>제외</v>
      </c>
      <c r="G47" s="341"/>
      <c r="H47" s="341"/>
      <c r="I47" s="341"/>
      <c r="J47" s="413"/>
      <c r="K47" s="391"/>
      <c r="L47" s="391"/>
      <c r="M47" s="391"/>
      <c r="N47" s="391"/>
      <c r="O47" s="391"/>
      <c r="P47" s="391"/>
      <c r="Q47" s="391"/>
      <c r="R47" s="391"/>
      <c r="S47" s="391"/>
      <c r="T47" s="391"/>
      <c r="U47" s="391"/>
      <c r="V47" s="391"/>
      <c r="W47" s="391"/>
      <c r="X47" s="391"/>
      <c r="Y47" s="391"/>
      <c r="Z47" s="391"/>
      <c r="AA47" s="391"/>
      <c r="AB47" s="391"/>
      <c r="AC47" s="391"/>
      <c r="AD47" s="391"/>
      <c r="AE47" s="391"/>
      <c r="AF47" s="391"/>
      <c r="AG47" s="391"/>
      <c r="AH47" s="391"/>
      <c r="AI47" s="391"/>
      <c r="AJ47" s="391"/>
      <c r="AK47" s="391"/>
      <c r="AL47" s="391"/>
      <c r="AM47" s="391"/>
    </row>
    <row r="48" spans="1:40" s="344" customFormat="1" ht="18.95" customHeight="1">
      <c r="A48" s="416" t="s">
        <v>283</v>
      </c>
      <c r="B48" s="420">
        <f>ROUND(AVERAGE(B45,B46),0)</f>
        <v>114535</v>
      </c>
      <c r="C48" s="420">
        <f t="shared" ref="C48:E48" si="7">ROUND(AVERAGE(C45,C46),0)</f>
        <v>125520</v>
      </c>
      <c r="D48" s="420">
        <f t="shared" si="7"/>
        <v>137484</v>
      </c>
      <c r="E48" s="420">
        <f t="shared" si="7"/>
        <v>150375</v>
      </c>
      <c r="F48" s="419"/>
      <c r="G48" s="341"/>
      <c r="H48" s="341"/>
      <c r="I48" s="341"/>
      <c r="J48" s="413"/>
      <c r="K48" s="391"/>
      <c r="L48" s="391"/>
      <c r="M48" s="391"/>
      <c r="N48" s="391"/>
      <c r="O48" s="391"/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  <c r="AM48" s="391"/>
    </row>
    <row r="49" spans="1:40" s="344" customFormat="1" ht="18.95" customHeight="1">
      <c r="A49" s="416" t="s">
        <v>284</v>
      </c>
      <c r="B49" s="420">
        <f>B48</f>
        <v>114535</v>
      </c>
      <c r="C49" s="420">
        <f>C48</f>
        <v>125520</v>
      </c>
      <c r="D49" s="420">
        <f>D48</f>
        <v>137484</v>
      </c>
      <c r="E49" s="420">
        <f>E48</f>
        <v>150375</v>
      </c>
      <c r="F49" s="419"/>
      <c r="G49" s="341"/>
      <c r="H49" s="341"/>
      <c r="I49" s="341"/>
      <c r="J49" s="413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391"/>
      <c r="AG49" s="391"/>
      <c r="AH49" s="391"/>
      <c r="AI49" s="391"/>
      <c r="AJ49" s="391"/>
      <c r="AK49" s="391"/>
      <c r="AL49" s="391"/>
      <c r="AM49" s="391"/>
    </row>
    <row r="50" spans="1:40" s="344" customFormat="1" ht="20.100000000000001" customHeight="1">
      <c r="A50" s="410"/>
      <c r="B50" s="411"/>
      <c r="C50" s="421">
        <f>C48-B48</f>
        <v>10985</v>
      </c>
      <c r="D50" s="421">
        <f>D48-C48</f>
        <v>11964</v>
      </c>
      <c r="E50" s="421">
        <f>E48-D48</f>
        <v>12891</v>
      </c>
      <c r="F50" s="341"/>
      <c r="G50" s="341"/>
      <c r="H50" s="341"/>
      <c r="I50" s="341"/>
      <c r="J50" s="413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391"/>
      <c r="AG50" s="391"/>
      <c r="AH50" s="391"/>
      <c r="AI50" s="391"/>
      <c r="AJ50" s="391"/>
      <c r="AK50" s="391"/>
      <c r="AL50" s="391"/>
      <c r="AM50" s="391"/>
    </row>
    <row r="51" spans="1:40" s="344" customFormat="1" ht="20.100000000000001" customHeight="1">
      <c r="A51" s="410"/>
      <c r="B51" s="422"/>
      <c r="C51" s="423">
        <f>ROUND((C48/B48)^(1/5)-1,4)</f>
        <v>1.8499999999999999E-2</v>
      </c>
      <c r="D51" s="423">
        <f>ROUND((D48/C48)^(1/5)-1,4)</f>
        <v>1.84E-2</v>
      </c>
      <c r="E51" s="423">
        <f>ROUND((E48/D48)^(1/5)-1,4)</f>
        <v>1.8100000000000002E-2</v>
      </c>
      <c r="F51" s="341"/>
      <c r="G51" s="341"/>
      <c r="H51" s="341"/>
      <c r="I51" s="341"/>
      <c r="J51" s="413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391"/>
      <c r="AG51" s="391"/>
      <c r="AH51" s="391"/>
      <c r="AI51" s="391"/>
      <c r="AJ51" s="391"/>
      <c r="AK51" s="391"/>
      <c r="AL51" s="391"/>
      <c r="AM51" s="391"/>
    </row>
    <row r="52" spans="1:40" s="344" customFormat="1" ht="20.100000000000001" customHeight="1">
      <c r="A52" s="410"/>
      <c r="B52" s="411"/>
      <c r="C52" s="423"/>
      <c r="D52" s="423"/>
      <c r="E52" s="423"/>
      <c r="F52" s="341"/>
      <c r="G52" s="341"/>
      <c r="H52" s="341"/>
      <c r="I52" s="341"/>
      <c r="J52" s="413"/>
      <c r="K52" s="391"/>
      <c r="L52" s="391"/>
      <c r="M52" s="391"/>
      <c r="N52" s="391"/>
      <c r="O52" s="391"/>
      <c r="P52" s="391"/>
      <c r="Q52" s="391"/>
      <c r="R52" s="391"/>
      <c r="S52" s="391"/>
      <c r="T52" s="391"/>
      <c r="U52" s="391"/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391"/>
      <c r="AG52" s="391"/>
      <c r="AH52" s="391"/>
      <c r="AI52" s="391"/>
      <c r="AJ52" s="391"/>
      <c r="AK52" s="391"/>
      <c r="AL52" s="391"/>
      <c r="AM52" s="391"/>
    </row>
    <row r="53" spans="1:40" s="344" customFormat="1" ht="20.100000000000001" customHeight="1">
      <c r="A53" s="410"/>
      <c r="B53" s="411"/>
      <c r="C53" s="412"/>
      <c r="D53" s="412"/>
      <c r="E53" s="412"/>
      <c r="G53" s="341"/>
      <c r="H53" s="341"/>
      <c r="I53" s="341"/>
      <c r="J53" s="413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  <c r="AF53" s="391"/>
      <c r="AG53" s="391"/>
      <c r="AH53" s="391"/>
      <c r="AI53" s="391"/>
      <c r="AJ53" s="391"/>
      <c r="AK53" s="391"/>
      <c r="AL53" s="391"/>
      <c r="AM53" s="391"/>
    </row>
    <row r="54" spans="1:40" s="344" customFormat="1" ht="20.100000000000001" customHeight="1">
      <c r="A54" s="410"/>
      <c r="B54" s="411"/>
      <c r="C54" s="412"/>
      <c r="D54" s="412"/>
      <c r="E54" s="412"/>
      <c r="F54" s="341"/>
      <c r="G54" s="341"/>
      <c r="H54" s="341"/>
      <c r="I54" s="341"/>
      <c r="J54" s="413"/>
      <c r="K54" s="391"/>
      <c r="L54" s="391"/>
      <c r="M54" s="391"/>
      <c r="N54" s="391"/>
      <c r="O54" s="391"/>
      <c r="P54" s="391"/>
      <c r="Q54" s="391"/>
      <c r="R54" s="391"/>
      <c r="S54" s="391"/>
      <c r="T54" s="391"/>
      <c r="U54" s="391"/>
      <c r="V54" s="391"/>
      <c r="W54" s="391"/>
      <c r="X54" s="391"/>
      <c r="Y54" s="391"/>
      <c r="Z54" s="391"/>
      <c r="AA54" s="391"/>
      <c r="AB54" s="391"/>
      <c r="AC54" s="391"/>
      <c r="AD54" s="391"/>
      <c r="AE54" s="391"/>
      <c r="AF54" s="391"/>
      <c r="AG54" s="391"/>
      <c r="AH54" s="391"/>
      <c r="AI54" s="391"/>
      <c r="AJ54" s="391"/>
      <c r="AK54" s="391"/>
      <c r="AL54" s="391"/>
      <c r="AM54" s="391"/>
    </row>
    <row r="55" spans="1:40" s="344" customFormat="1" ht="20.100000000000001" customHeight="1">
      <c r="A55" s="410"/>
      <c r="B55" s="411"/>
      <c r="C55" s="412"/>
      <c r="D55" s="412"/>
      <c r="E55" s="412"/>
      <c r="F55" s="341"/>
      <c r="G55" s="341"/>
      <c r="H55" s="341"/>
      <c r="I55" s="341"/>
      <c r="J55" s="413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1"/>
    </row>
    <row r="56" spans="1:40" s="344" customFormat="1" ht="20.100000000000001" customHeight="1">
      <c r="A56" s="410"/>
      <c r="B56" s="411"/>
      <c r="C56" s="412"/>
      <c r="D56" s="412"/>
      <c r="E56" s="412"/>
      <c r="F56" s="341"/>
      <c r="G56" s="341"/>
      <c r="H56" s="341"/>
      <c r="I56" s="341"/>
      <c r="J56" s="413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  <c r="AF56" s="391"/>
      <c r="AG56" s="391"/>
      <c r="AH56" s="391"/>
      <c r="AI56" s="391"/>
      <c r="AJ56" s="391"/>
      <c r="AK56" s="391"/>
      <c r="AL56" s="391"/>
      <c r="AM56" s="391"/>
    </row>
    <row r="57" spans="1:40" s="344" customFormat="1" ht="20.100000000000001" customHeight="1">
      <c r="A57" s="410"/>
      <c r="B57" s="411"/>
      <c r="C57" s="412"/>
      <c r="D57" s="412"/>
      <c r="E57" s="412"/>
      <c r="F57" s="341"/>
      <c r="G57" s="341"/>
      <c r="H57" s="341"/>
      <c r="I57" s="341"/>
      <c r="J57" s="413"/>
      <c r="K57" s="391"/>
      <c r="L57" s="391"/>
      <c r="M57" s="391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91"/>
      <c r="Y57" s="391"/>
      <c r="Z57" s="391"/>
      <c r="AA57" s="391"/>
      <c r="AB57" s="391"/>
      <c r="AC57" s="391"/>
      <c r="AD57" s="391"/>
      <c r="AE57" s="391"/>
      <c r="AF57" s="391"/>
      <c r="AG57" s="391"/>
      <c r="AH57" s="391"/>
      <c r="AI57" s="391"/>
      <c r="AJ57" s="391"/>
      <c r="AK57" s="391"/>
      <c r="AL57" s="391"/>
      <c r="AM57" s="391"/>
    </row>
    <row r="58" spans="1:40" s="344" customFormat="1" ht="20.100000000000001" customHeight="1">
      <c r="A58" s="410"/>
      <c r="B58" s="411"/>
      <c r="C58" s="412"/>
      <c r="D58" s="412"/>
      <c r="E58" s="412"/>
      <c r="F58" s="341"/>
      <c r="G58" s="341"/>
      <c r="H58" s="341"/>
      <c r="I58" s="341"/>
      <c r="J58" s="413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1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  <c r="AF58" s="391"/>
      <c r="AG58" s="391"/>
      <c r="AH58" s="391"/>
      <c r="AI58" s="391"/>
      <c r="AJ58" s="391"/>
      <c r="AK58" s="391"/>
      <c r="AL58" s="391"/>
      <c r="AM58" s="391"/>
    </row>
    <row r="59" spans="1:40" s="344" customFormat="1" ht="20.100000000000001" customHeight="1">
      <c r="A59" s="410"/>
      <c r="B59" s="411"/>
      <c r="C59" s="412"/>
      <c r="D59" s="412"/>
      <c r="E59" s="412"/>
      <c r="F59" s="341"/>
      <c r="G59" s="341"/>
      <c r="H59" s="341"/>
      <c r="I59" s="341"/>
      <c r="J59" s="413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  <c r="AF59" s="391"/>
      <c r="AG59" s="391"/>
      <c r="AH59" s="391"/>
      <c r="AI59" s="391"/>
      <c r="AJ59" s="391"/>
      <c r="AK59" s="391"/>
      <c r="AL59" s="391"/>
      <c r="AM59" s="391"/>
    </row>
    <row r="60" spans="1:40" s="344" customFormat="1" ht="20.100000000000001" customHeight="1">
      <c r="A60" s="410"/>
      <c r="B60" s="411"/>
      <c r="C60" s="412"/>
      <c r="D60" s="412"/>
      <c r="E60" s="412"/>
      <c r="F60" s="341"/>
      <c r="G60" s="341"/>
      <c r="H60" s="341"/>
      <c r="I60" s="341"/>
      <c r="J60" s="413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  <c r="Z60" s="391"/>
      <c r="AA60" s="391"/>
      <c r="AB60" s="391"/>
      <c r="AC60" s="391"/>
      <c r="AD60" s="391"/>
      <c r="AE60" s="391"/>
      <c r="AF60" s="391"/>
      <c r="AG60" s="391"/>
      <c r="AH60" s="391"/>
      <c r="AI60" s="391"/>
      <c r="AJ60" s="391"/>
      <c r="AK60" s="391"/>
      <c r="AL60" s="391"/>
      <c r="AM60" s="391"/>
    </row>
    <row r="61" spans="1:40" s="344" customFormat="1" ht="20.100000000000001" customHeight="1">
      <c r="A61" s="410"/>
      <c r="B61" s="411"/>
      <c r="C61" s="412"/>
      <c r="D61" s="412"/>
      <c r="E61" s="412"/>
      <c r="F61" s="341"/>
      <c r="G61" s="341"/>
      <c r="H61" s="341"/>
      <c r="I61" s="341"/>
      <c r="J61" s="413"/>
      <c r="K61" s="391"/>
      <c r="L61" s="391"/>
      <c r="M61" s="391"/>
      <c r="N61" s="391"/>
      <c r="O61" s="391"/>
      <c r="P61" s="391"/>
      <c r="Q61" s="391"/>
      <c r="R61" s="391"/>
      <c r="S61" s="391"/>
      <c r="T61" s="391"/>
      <c r="U61" s="391"/>
      <c r="V61" s="391"/>
      <c r="W61" s="391"/>
      <c r="X61" s="391"/>
      <c r="Y61" s="391"/>
      <c r="Z61" s="391"/>
      <c r="AA61" s="391"/>
      <c r="AB61" s="391"/>
      <c r="AC61" s="391"/>
      <c r="AD61" s="391"/>
      <c r="AE61" s="391"/>
      <c r="AF61" s="391"/>
      <c r="AG61" s="391"/>
      <c r="AH61" s="391"/>
      <c r="AI61" s="391"/>
      <c r="AJ61" s="391"/>
      <c r="AK61" s="391"/>
      <c r="AL61" s="391"/>
      <c r="AM61" s="391"/>
    </row>
    <row r="62" spans="1:40" s="344" customFormat="1" ht="20.100000000000001" customHeight="1">
      <c r="A62" s="410"/>
      <c r="B62" s="411"/>
      <c r="C62" s="412"/>
      <c r="D62" s="412"/>
      <c r="E62" s="412"/>
      <c r="F62" s="341"/>
      <c r="G62" s="341"/>
      <c r="H62" s="341"/>
      <c r="I62" s="341"/>
      <c r="J62" s="413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  <c r="Z62" s="391"/>
      <c r="AA62" s="391"/>
      <c r="AB62" s="391"/>
      <c r="AC62" s="391"/>
      <c r="AD62" s="391"/>
      <c r="AE62" s="391"/>
      <c r="AF62" s="391"/>
      <c r="AG62" s="391"/>
      <c r="AH62" s="391"/>
      <c r="AI62" s="391"/>
      <c r="AJ62" s="391"/>
      <c r="AK62" s="391"/>
      <c r="AL62" s="391"/>
      <c r="AM62" s="391"/>
      <c r="AN62" s="391"/>
    </row>
    <row r="63" spans="1:40" ht="15" customHeight="1">
      <c r="A63" s="424" t="s">
        <v>285</v>
      </c>
      <c r="B63" s="425"/>
      <c r="I63" s="426"/>
    </row>
    <row r="64" spans="1:40" ht="15" customHeight="1">
      <c r="A64" s="427" t="s">
        <v>264</v>
      </c>
      <c r="B64" s="428" t="s">
        <v>286</v>
      </c>
      <c r="C64" s="429" t="s">
        <v>287</v>
      </c>
      <c r="D64" s="430"/>
      <c r="E64" s="430"/>
      <c r="F64" s="431"/>
      <c r="G64" s="432"/>
      <c r="H64" s="432" t="s">
        <v>288</v>
      </c>
      <c r="I64" s="433">
        <f>RSQ(I65:I75,B65:B75)</f>
        <v>0.97917787734145489</v>
      </c>
      <c r="J64" s="434" t="s">
        <v>289</v>
      </c>
      <c r="K64" s="435" t="s">
        <v>290</v>
      </c>
    </row>
    <row r="65" spans="1:14" ht="15" customHeight="1">
      <c r="A65" s="436">
        <f>A5</f>
        <v>2006</v>
      </c>
      <c r="B65" s="437">
        <f>B5</f>
        <v>90159</v>
      </c>
      <c r="C65" s="438">
        <v>1</v>
      </c>
      <c r="D65" s="439" t="s">
        <v>291</v>
      </c>
      <c r="E65" s="440"/>
      <c r="F65" s="440"/>
      <c r="G65" s="441"/>
      <c r="H65" s="442"/>
      <c r="I65" s="443">
        <f t="shared" ref="I65:I97" si="8">ROUND($E$66*C65+$E$67,$G$1)</f>
        <v>90250</v>
      </c>
      <c r="J65" s="444">
        <f t="shared" ref="J65:J75" si="9">ABS(B65-I65)/B65*100</f>
        <v>0.10093279650395413</v>
      </c>
      <c r="K65" s="443">
        <f t="shared" ref="K65:K75" si="10">(B65-I65)^2/1000</f>
        <v>8.2810000000000006</v>
      </c>
      <c r="L65" s="445"/>
    </row>
    <row r="66" spans="1:14" ht="15" customHeight="1">
      <c r="A66" s="436">
        <f t="shared" ref="A66:A97" si="11">A65+1</f>
        <v>2007</v>
      </c>
      <c r="B66" s="437">
        <f t="shared" ref="B66:B75" si="12">B6</f>
        <v>92520</v>
      </c>
      <c r="C66" s="438">
        <f t="shared" ref="C66:C75" si="13">C65+1</f>
        <v>2</v>
      </c>
      <c r="D66" s="439" t="s">
        <v>292</v>
      </c>
      <c r="E66" s="363">
        <f>INDEX(LINEST(B65:B75,C65:C75),1)</f>
        <v>1520.4454545454537</v>
      </c>
      <c r="F66" s="440"/>
      <c r="G66" s="441"/>
      <c r="H66" s="442"/>
      <c r="I66" s="443">
        <f t="shared" si="8"/>
        <v>91770</v>
      </c>
      <c r="J66" s="446">
        <f t="shared" si="9"/>
        <v>0.81063553826199752</v>
      </c>
      <c r="K66" s="443">
        <f>(B66-I66)^2/1000</f>
        <v>562.5</v>
      </c>
      <c r="L66" s="445">
        <f t="shared" ref="L66:L97" si="14">+I66-I65</f>
        <v>1520</v>
      </c>
      <c r="M66" s="445"/>
    </row>
    <row r="67" spans="1:14" ht="15" customHeight="1">
      <c r="A67" s="436">
        <f t="shared" si="11"/>
        <v>2008</v>
      </c>
      <c r="B67" s="437">
        <f t="shared" si="12"/>
        <v>94144</v>
      </c>
      <c r="C67" s="438">
        <f t="shared" si="13"/>
        <v>3</v>
      </c>
      <c r="D67" s="439" t="s">
        <v>293</v>
      </c>
      <c r="E67" s="363">
        <f>INDEX(LINEST(B65:B75,C65:C75),2)</f>
        <v>88729.327272727271</v>
      </c>
      <c r="G67" s="441"/>
      <c r="H67" s="442"/>
      <c r="I67" s="443">
        <f t="shared" si="8"/>
        <v>93291</v>
      </c>
      <c r="J67" s="446">
        <f t="shared" si="9"/>
        <v>0.90605880353501023</v>
      </c>
      <c r="K67" s="443">
        <f>(B67-I67)^2/1000</f>
        <v>727.60900000000004</v>
      </c>
      <c r="L67" s="445">
        <f t="shared" si="14"/>
        <v>1521</v>
      </c>
      <c r="M67" s="445"/>
    </row>
    <row r="68" spans="1:14" ht="15" customHeight="1">
      <c r="A68" s="436">
        <f t="shared" si="11"/>
        <v>2009</v>
      </c>
      <c r="B68" s="437">
        <f t="shared" si="12"/>
        <v>94580</v>
      </c>
      <c r="C68" s="438">
        <f t="shared" si="13"/>
        <v>4</v>
      </c>
      <c r="G68" s="442"/>
      <c r="H68" s="442"/>
      <c r="I68" s="443">
        <f t="shared" si="8"/>
        <v>94811</v>
      </c>
      <c r="J68" s="446">
        <f t="shared" si="9"/>
        <v>0.24423768238528232</v>
      </c>
      <c r="K68" s="443">
        <f t="shared" si="10"/>
        <v>53.360999999999997</v>
      </c>
      <c r="L68" s="445">
        <f t="shared" si="14"/>
        <v>1520</v>
      </c>
      <c r="M68" s="445"/>
    </row>
    <row r="69" spans="1:14" ht="15" customHeight="1">
      <c r="A69" s="436">
        <f t="shared" si="11"/>
        <v>2010</v>
      </c>
      <c r="B69" s="437">
        <f t="shared" si="12"/>
        <v>96214</v>
      </c>
      <c r="C69" s="438">
        <f t="shared" si="13"/>
        <v>5</v>
      </c>
      <c r="G69" s="442"/>
      <c r="H69" s="442"/>
      <c r="I69" s="443">
        <f t="shared" si="8"/>
        <v>96332</v>
      </c>
      <c r="J69" s="446">
        <f t="shared" si="9"/>
        <v>0.12264327436755566</v>
      </c>
      <c r="K69" s="443">
        <f t="shared" si="10"/>
        <v>13.923999999999999</v>
      </c>
      <c r="L69" s="445">
        <f t="shared" si="14"/>
        <v>1521</v>
      </c>
      <c r="M69" s="445"/>
    </row>
    <row r="70" spans="1:14" ht="15" customHeight="1">
      <c r="A70" s="436">
        <f t="shared" si="11"/>
        <v>2011</v>
      </c>
      <c r="B70" s="437">
        <f t="shared" si="12"/>
        <v>96993</v>
      </c>
      <c r="C70" s="438">
        <f t="shared" si="13"/>
        <v>6</v>
      </c>
      <c r="D70" s="2318" t="s">
        <v>276</v>
      </c>
      <c r="E70" s="2320"/>
      <c r="F70" s="447">
        <f>I64</f>
        <v>0.97917787734145489</v>
      </c>
      <c r="G70" s="442"/>
      <c r="H70" s="442"/>
      <c r="I70" s="443">
        <f t="shared" si="8"/>
        <v>97852</v>
      </c>
      <c r="J70" s="446">
        <f t="shared" si="9"/>
        <v>0.8856309218191003</v>
      </c>
      <c r="K70" s="443">
        <f t="shared" si="10"/>
        <v>737.88099999999997</v>
      </c>
      <c r="L70" s="445">
        <f t="shared" si="14"/>
        <v>1520</v>
      </c>
      <c r="M70" s="445"/>
    </row>
    <row r="71" spans="1:14" ht="15" customHeight="1">
      <c r="A71" s="436">
        <f t="shared" si="11"/>
        <v>2012</v>
      </c>
      <c r="B71" s="437">
        <f t="shared" si="12"/>
        <v>98279</v>
      </c>
      <c r="C71" s="438">
        <f t="shared" si="13"/>
        <v>7</v>
      </c>
      <c r="D71" s="2318" t="s">
        <v>294</v>
      </c>
      <c r="E71" s="2320"/>
      <c r="F71" s="448">
        <f>SUM(K65:K75)</f>
        <v>5407.5240000000003</v>
      </c>
      <c r="G71" s="442"/>
      <c r="H71" s="442"/>
      <c r="I71" s="443">
        <f t="shared" si="8"/>
        <v>99372</v>
      </c>
      <c r="J71" s="446">
        <f t="shared" si="9"/>
        <v>1.1121399281636972</v>
      </c>
      <c r="K71" s="443">
        <f t="shared" si="10"/>
        <v>1194.6489999999999</v>
      </c>
      <c r="L71" s="445">
        <f t="shared" si="14"/>
        <v>1520</v>
      </c>
      <c r="M71" s="445"/>
    </row>
    <row r="72" spans="1:14" ht="15" customHeight="1">
      <c r="A72" s="436">
        <f t="shared" si="11"/>
        <v>2013</v>
      </c>
      <c r="B72" s="437">
        <f t="shared" si="12"/>
        <v>99952</v>
      </c>
      <c r="C72" s="438">
        <f t="shared" si="13"/>
        <v>8</v>
      </c>
      <c r="D72" s="2318" t="s">
        <v>295</v>
      </c>
      <c r="E72" s="2321"/>
      <c r="F72" s="449">
        <f>SUM(J65:J75)/C75</f>
        <v>0.6153910377662245</v>
      </c>
      <c r="G72" s="442"/>
      <c r="H72" s="442"/>
      <c r="I72" s="443">
        <f t="shared" si="8"/>
        <v>100893</v>
      </c>
      <c r="J72" s="446">
        <f t="shared" si="9"/>
        <v>0.94145189691051712</v>
      </c>
      <c r="K72" s="443">
        <f t="shared" si="10"/>
        <v>885.48099999999999</v>
      </c>
      <c r="L72" s="445">
        <f t="shared" si="14"/>
        <v>1521</v>
      </c>
      <c r="M72" s="445"/>
    </row>
    <row r="73" spans="1:14" ht="15" customHeight="1">
      <c r="A73" s="436">
        <f t="shared" si="11"/>
        <v>2014</v>
      </c>
      <c r="B73" s="437">
        <f t="shared" si="12"/>
        <v>102796</v>
      </c>
      <c r="C73" s="438">
        <f t="shared" si="13"/>
        <v>9</v>
      </c>
      <c r="D73" s="2322"/>
      <c r="E73" s="2322"/>
      <c r="F73" s="450"/>
      <c r="G73" s="442"/>
      <c r="H73" s="442"/>
      <c r="I73" s="443">
        <f t="shared" si="8"/>
        <v>102413</v>
      </c>
      <c r="J73" s="446">
        <f t="shared" si="9"/>
        <v>0.3725825907622865</v>
      </c>
      <c r="K73" s="443">
        <f t="shared" si="10"/>
        <v>146.68899999999999</v>
      </c>
      <c r="L73" s="445">
        <f t="shared" si="14"/>
        <v>1520</v>
      </c>
      <c r="M73" s="445"/>
    </row>
    <row r="74" spans="1:14" ht="15" customHeight="1">
      <c r="A74" s="436">
        <f t="shared" si="11"/>
        <v>2015</v>
      </c>
      <c r="B74" s="437">
        <f t="shared" si="12"/>
        <v>104316</v>
      </c>
      <c r="C74" s="438">
        <f t="shared" si="13"/>
        <v>10</v>
      </c>
      <c r="G74" s="439"/>
      <c r="H74" s="451"/>
      <c r="I74" s="443">
        <f t="shared" si="8"/>
        <v>103934</v>
      </c>
      <c r="J74" s="446">
        <f t="shared" si="9"/>
        <v>0.36619502281529198</v>
      </c>
      <c r="K74" s="443">
        <f t="shared" si="10"/>
        <v>145.92400000000001</v>
      </c>
      <c r="L74" s="445">
        <f t="shared" si="14"/>
        <v>1521</v>
      </c>
      <c r="M74" s="445"/>
    </row>
    <row r="75" spans="1:14" ht="15" customHeight="1" thickBot="1">
      <c r="A75" s="452">
        <f t="shared" si="11"/>
        <v>2016</v>
      </c>
      <c r="B75" s="453">
        <f t="shared" si="12"/>
        <v>106419</v>
      </c>
      <c r="C75" s="438">
        <f t="shared" si="13"/>
        <v>11</v>
      </c>
      <c r="D75" s="454"/>
      <c r="E75" s="454"/>
      <c r="F75" s="454"/>
      <c r="G75" s="455"/>
      <c r="H75" s="454"/>
      <c r="I75" s="456">
        <f t="shared" si="8"/>
        <v>105454</v>
      </c>
      <c r="J75" s="457">
        <f t="shared" si="9"/>
        <v>0.90679295990377662</v>
      </c>
      <c r="K75" s="456">
        <f t="shared" si="10"/>
        <v>931.22500000000002</v>
      </c>
      <c r="L75" s="445">
        <f t="shared" si="14"/>
        <v>1520</v>
      </c>
      <c r="M75" s="445"/>
    </row>
    <row r="76" spans="1:14" ht="15" customHeight="1" thickTop="1">
      <c r="A76" s="458">
        <f t="shared" si="11"/>
        <v>2017</v>
      </c>
      <c r="B76" s="459">
        <f t="shared" ref="B76:B97" si="15">ROUND($E$66*C76+$E$67,$G$1)</f>
        <v>106975</v>
      </c>
      <c r="C76" s="460">
        <f>C75+1</f>
        <v>12</v>
      </c>
      <c r="D76" s="461"/>
      <c r="E76" s="461"/>
      <c r="F76" s="461"/>
      <c r="G76" s="462"/>
      <c r="H76" s="461"/>
      <c r="I76" s="443">
        <f t="shared" si="8"/>
        <v>106975</v>
      </c>
      <c r="J76" s="463"/>
      <c r="K76" s="464"/>
      <c r="L76" s="445">
        <f t="shared" si="14"/>
        <v>1521</v>
      </c>
    </row>
    <row r="77" spans="1:14" ht="15" customHeight="1">
      <c r="A77" s="465">
        <f t="shared" si="11"/>
        <v>2018</v>
      </c>
      <c r="B77" s="437">
        <f t="shared" si="15"/>
        <v>108495</v>
      </c>
      <c r="C77" s="466">
        <f>C76+1</f>
        <v>13</v>
      </c>
      <c r="F77" s="451"/>
      <c r="G77" s="439"/>
      <c r="H77" s="451"/>
      <c r="I77" s="443">
        <f t="shared" si="8"/>
        <v>108495</v>
      </c>
      <c r="J77" s="467"/>
      <c r="K77" s="443"/>
      <c r="L77" s="445">
        <f t="shared" si="14"/>
        <v>1520</v>
      </c>
    </row>
    <row r="78" spans="1:14" ht="15" customHeight="1">
      <c r="A78" s="465">
        <f t="shared" si="11"/>
        <v>2019</v>
      </c>
      <c r="B78" s="437">
        <f t="shared" si="15"/>
        <v>110016</v>
      </c>
      <c r="C78" s="466">
        <f t="shared" ref="C78:C94" si="16">C77+1</f>
        <v>14</v>
      </c>
      <c r="F78" s="451"/>
      <c r="G78" s="439"/>
      <c r="H78" s="451"/>
      <c r="I78" s="443">
        <f t="shared" si="8"/>
        <v>110016</v>
      </c>
      <c r="J78" s="467"/>
      <c r="K78" s="443"/>
      <c r="L78" s="445">
        <f t="shared" si="14"/>
        <v>1521</v>
      </c>
    </row>
    <row r="79" spans="1:14" ht="15" customHeight="1">
      <c r="A79" s="465">
        <f t="shared" si="11"/>
        <v>2020</v>
      </c>
      <c r="B79" s="437">
        <f t="shared" si="15"/>
        <v>111536</v>
      </c>
      <c r="C79" s="466">
        <f t="shared" si="16"/>
        <v>15</v>
      </c>
      <c r="F79" s="451"/>
      <c r="G79" s="439"/>
      <c r="H79" s="451"/>
      <c r="I79" s="443">
        <f t="shared" si="8"/>
        <v>111536</v>
      </c>
      <c r="J79" s="467"/>
      <c r="K79" s="443"/>
      <c r="L79" s="445">
        <f t="shared" si="14"/>
        <v>1520</v>
      </c>
      <c r="N79" s="326">
        <f>1/0.75</f>
        <v>1.3333333333333333</v>
      </c>
    </row>
    <row r="80" spans="1:14" ht="15" customHeight="1">
      <c r="A80" s="465">
        <f t="shared" si="11"/>
        <v>2021</v>
      </c>
      <c r="B80" s="437">
        <f t="shared" si="15"/>
        <v>113056</v>
      </c>
      <c r="C80" s="466">
        <f t="shared" si="16"/>
        <v>16</v>
      </c>
      <c r="F80" s="451"/>
      <c r="G80" s="439"/>
      <c r="H80" s="451"/>
      <c r="I80" s="443">
        <f t="shared" si="8"/>
        <v>113056</v>
      </c>
      <c r="J80" s="467"/>
      <c r="K80" s="443"/>
      <c r="L80" s="445">
        <f t="shared" si="14"/>
        <v>1520</v>
      </c>
    </row>
    <row r="81" spans="1:12" ht="15" customHeight="1">
      <c r="A81" s="465">
        <f t="shared" si="11"/>
        <v>2022</v>
      </c>
      <c r="B81" s="437">
        <f t="shared" si="15"/>
        <v>114577</v>
      </c>
      <c r="C81" s="466">
        <f t="shared" si="16"/>
        <v>17</v>
      </c>
      <c r="D81" s="439"/>
      <c r="E81" s="439"/>
      <c r="F81" s="451"/>
      <c r="G81" s="439"/>
      <c r="H81" s="451"/>
      <c r="I81" s="443">
        <f t="shared" si="8"/>
        <v>114577</v>
      </c>
      <c r="J81" s="467"/>
      <c r="K81" s="443"/>
      <c r="L81" s="445">
        <f t="shared" si="14"/>
        <v>1521</v>
      </c>
    </row>
    <row r="82" spans="1:12" ht="15" customHeight="1">
      <c r="A82" s="465">
        <f t="shared" si="11"/>
        <v>2023</v>
      </c>
      <c r="B82" s="437">
        <f t="shared" si="15"/>
        <v>116097</v>
      </c>
      <c r="C82" s="466">
        <f t="shared" si="16"/>
        <v>18</v>
      </c>
      <c r="D82" s="439"/>
      <c r="E82" s="439"/>
      <c r="F82" s="451"/>
      <c r="G82" s="439"/>
      <c r="H82" s="451"/>
      <c r="I82" s="443">
        <f t="shared" si="8"/>
        <v>116097</v>
      </c>
      <c r="J82" s="467"/>
      <c r="K82" s="443"/>
      <c r="L82" s="445">
        <f t="shared" si="14"/>
        <v>1520</v>
      </c>
    </row>
    <row r="83" spans="1:12" s="451" customFormat="1" ht="15" customHeight="1">
      <c r="A83" s="465">
        <f t="shared" si="11"/>
        <v>2024</v>
      </c>
      <c r="B83" s="437">
        <f t="shared" si="15"/>
        <v>117618</v>
      </c>
      <c r="C83" s="466">
        <f t="shared" si="16"/>
        <v>19</v>
      </c>
      <c r="G83" s="439"/>
      <c r="H83" s="439"/>
      <c r="I83" s="443">
        <f t="shared" si="8"/>
        <v>117618</v>
      </c>
      <c r="J83" s="467"/>
      <c r="K83" s="443"/>
      <c r="L83" s="445">
        <f t="shared" si="14"/>
        <v>1521</v>
      </c>
    </row>
    <row r="84" spans="1:12" ht="15" customHeight="1">
      <c r="A84" s="465">
        <f t="shared" si="11"/>
        <v>2025</v>
      </c>
      <c r="B84" s="437">
        <f t="shared" si="15"/>
        <v>119138</v>
      </c>
      <c r="C84" s="466">
        <f t="shared" si="16"/>
        <v>20</v>
      </c>
      <c r="D84" s="451"/>
      <c r="E84" s="451"/>
      <c r="F84" s="451"/>
      <c r="G84" s="439"/>
      <c r="H84" s="451"/>
      <c r="I84" s="443">
        <f t="shared" si="8"/>
        <v>119138</v>
      </c>
      <c r="J84" s="467"/>
      <c r="K84" s="443"/>
      <c r="L84" s="445">
        <f t="shared" si="14"/>
        <v>1520</v>
      </c>
    </row>
    <row r="85" spans="1:12" s="451" customFormat="1" ht="15" customHeight="1">
      <c r="A85" s="465">
        <f t="shared" si="11"/>
        <v>2026</v>
      </c>
      <c r="B85" s="437">
        <f t="shared" si="15"/>
        <v>120659</v>
      </c>
      <c r="C85" s="466">
        <f t="shared" si="16"/>
        <v>21</v>
      </c>
      <c r="G85" s="439"/>
      <c r="I85" s="443">
        <f t="shared" si="8"/>
        <v>120659</v>
      </c>
      <c r="J85" s="467"/>
      <c r="K85" s="443"/>
      <c r="L85" s="445">
        <f t="shared" si="14"/>
        <v>1521</v>
      </c>
    </row>
    <row r="86" spans="1:12" s="451" customFormat="1" ht="15" customHeight="1">
      <c r="A86" s="465">
        <f t="shared" si="11"/>
        <v>2027</v>
      </c>
      <c r="B86" s="437">
        <f t="shared" si="15"/>
        <v>122179</v>
      </c>
      <c r="C86" s="466">
        <f t="shared" si="16"/>
        <v>22</v>
      </c>
      <c r="G86" s="439"/>
      <c r="I86" s="443">
        <f t="shared" si="8"/>
        <v>122179</v>
      </c>
      <c r="J86" s="467"/>
      <c r="K86" s="443"/>
      <c r="L86" s="445">
        <f t="shared" si="14"/>
        <v>1520</v>
      </c>
    </row>
    <row r="87" spans="1:12" s="451" customFormat="1" ht="15" customHeight="1">
      <c r="A87" s="465">
        <f t="shared" si="11"/>
        <v>2028</v>
      </c>
      <c r="B87" s="437">
        <f t="shared" si="15"/>
        <v>123700</v>
      </c>
      <c r="C87" s="466">
        <f t="shared" si="16"/>
        <v>23</v>
      </c>
      <c r="D87" s="468"/>
      <c r="E87" s="468"/>
      <c r="I87" s="443">
        <f t="shared" si="8"/>
        <v>123700</v>
      </c>
      <c r="J87" s="469"/>
      <c r="K87" s="469"/>
      <c r="L87" s="445">
        <f t="shared" si="14"/>
        <v>1521</v>
      </c>
    </row>
    <row r="88" spans="1:12" ht="15" customHeight="1">
      <c r="A88" s="465">
        <f t="shared" si="11"/>
        <v>2029</v>
      </c>
      <c r="B88" s="437">
        <f t="shared" si="15"/>
        <v>125220</v>
      </c>
      <c r="C88" s="466">
        <f t="shared" si="16"/>
        <v>24</v>
      </c>
      <c r="D88" s="468"/>
      <c r="E88" s="468"/>
      <c r="F88" s="451"/>
      <c r="G88" s="451"/>
      <c r="H88" s="451"/>
      <c r="I88" s="443">
        <f t="shared" si="8"/>
        <v>125220</v>
      </c>
      <c r="J88" s="469"/>
      <c r="K88" s="469"/>
      <c r="L88" s="445">
        <f t="shared" si="14"/>
        <v>1520</v>
      </c>
    </row>
    <row r="89" spans="1:12" ht="15" customHeight="1">
      <c r="A89" s="465">
        <f t="shared" si="11"/>
        <v>2030</v>
      </c>
      <c r="B89" s="437">
        <f t="shared" si="15"/>
        <v>126740</v>
      </c>
      <c r="C89" s="466">
        <f t="shared" si="16"/>
        <v>25</v>
      </c>
      <c r="D89" s="468"/>
      <c r="E89" s="468"/>
      <c r="F89" s="451"/>
      <c r="G89" s="451"/>
      <c r="H89" s="451"/>
      <c r="I89" s="443">
        <f t="shared" si="8"/>
        <v>126740</v>
      </c>
      <c r="J89" s="469"/>
      <c r="K89" s="469"/>
      <c r="L89" s="445">
        <f t="shared" si="14"/>
        <v>1520</v>
      </c>
    </row>
    <row r="90" spans="1:12" ht="15" customHeight="1">
      <c r="A90" s="465">
        <f t="shared" si="11"/>
        <v>2031</v>
      </c>
      <c r="B90" s="437">
        <f t="shared" si="15"/>
        <v>128261</v>
      </c>
      <c r="C90" s="466">
        <f t="shared" si="16"/>
        <v>26</v>
      </c>
      <c r="D90" s="468"/>
      <c r="E90" s="468"/>
      <c r="F90" s="451"/>
      <c r="G90" s="451"/>
      <c r="H90" s="451"/>
      <c r="I90" s="443">
        <f t="shared" si="8"/>
        <v>128261</v>
      </c>
      <c r="J90" s="469"/>
      <c r="K90" s="469"/>
      <c r="L90" s="445">
        <f t="shared" si="14"/>
        <v>1521</v>
      </c>
    </row>
    <row r="91" spans="1:12" ht="15" customHeight="1">
      <c r="A91" s="465">
        <f t="shared" si="11"/>
        <v>2032</v>
      </c>
      <c r="B91" s="437">
        <f t="shared" si="15"/>
        <v>129781</v>
      </c>
      <c r="C91" s="466">
        <f t="shared" si="16"/>
        <v>27</v>
      </c>
      <c r="D91" s="468"/>
      <c r="E91" s="468"/>
      <c r="F91" s="451"/>
      <c r="G91" s="451"/>
      <c r="H91" s="451"/>
      <c r="I91" s="443">
        <f t="shared" si="8"/>
        <v>129781</v>
      </c>
      <c r="J91" s="469"/>
      <c r="K91" s="469"/>
      <c r="L91" s="445">
        <f t="shared" si="14"/>
        <v>1520</v>
      </c>
    </row>
    <row r="92" spans="1:12" ht="15" customHeight="1">
      <c r="A92" s="465">
        <f t="shared" si="11"/>
        <v>2033</v>
      </c>
      <c r="B92" s="437">
        <f t="shared" si="15"/>
        <v>131302</v>
      </c>
      <c r="C92" s="466">
        <f t="shared" si="16"/>
        <v>28</v>
      </c>
      <c r="D92" s="468"/>
      <c r="E92" s="468"/>
      <c r="F92" s="451"/>
      <c r="G92" s="451"/>
      <c r="H92" s="451"/>
      <c r="I92" s="443">
        <f t="shared" si="8"/>
        <v>131302</v>
      </c>
      <c r="J92" s="469"/>
      <c r="K92" s="469"/>
      <c r="L92" s="445">
        <f t="shared" si="14"/>
        <v>1521</v>
      </c>
    </row>
    <row r="93" spans="1:12" ht="15" customHeight="1">
      <c r="A93" s="465">
        <f t="shared" si="11"/>
        <v>2034</v>
      </c>
      <c r="B93" s="437">
        <f t="shared" si="15"/>
        <v>132822</v>
      </c>
      <c r="C93" s="466">
        <f t="shared" si="16"/>
        <v>29</v>
      </c>
      <c r="D93" s="468"/>
      <c r="E93" s="468"/>
      <c r="F93" s="451"/>
      <c r="G93" s="451"/>
      <c r="H93" s="451"/>
      <c r="I93" s="443">
        <f t="shared" si="8"/>
        <v>132822</v>
      </c>
      <c r="J93" s="469"/>
      <c r="K93" s="469"/>
      <c r="L93" s="445">
        <f t="shared" si="14"/>
        <v>1520</v>
      </c>
    </row>
    <row r="94" spans="1:12" ht="15" customHeight="1">
      <c r="A94" s="470">
        <f t="shared" si="11"/>
        <v>2035</v>
      </c>
      <c r="B94" s="471">
        <f t="shared" si="15"/>
        <v>134343</v>
      </c>
      <c r="C94" s="472">
        <f t="shared" si="16"/>
        <v>30</v>
      </c>
      <c r="D94" s="473"/>
      <c r="E94" s="473"/>
      <c r="F94" s="474"/>
      <c r="G94" s="474"/>
      <c r="H94" s="474"/>
      <c r="I94" s="471">
        <f t="shared" si="8"/>
        <v>134343</v>
      </c>
      <c r="J94" s="475"/>
      <c r="K94" s="476"/>
      <c r="L94" s="445">
        <f t="shared" si="14"/>
        <v>1521</v>
      </c>
    </row>
    <row r="95" spans="1:12" ht="15" customHeight="1">
      <c r="A95" s="477">
        <f t="shared" si="11"/>
        <v>2036</v>
      </c>
      <c r="B95" s="478">
        <f t="shared" si="15"/>
        <v>135863</v>
      </c>
      <c r="C95" s="479">
        <v>31</v>
      </c>
      <c r="D95" s="480"/>
      <c r="E95" s="480"/>
      <c r="F95" s="481"/>
      <c r="G95" s="481"/>
      <c r="H95" s="481"/>
      <c r="I95" s="478">
        <f t="shared" si="8"/>
        <v>135863</v>
      </c>
      <c r="J95" s="482"/>
      <c r="K95" s="483"/>
      <c r="L95" s="445">
        <f t="shared" si="14"/>
        <v>1520</v>
      </c>
    </row>
    <row r="96" spans="1:12" ht="15" customHeight="1">
      <c r="A96" s="477">
        <f t="shared" si="11"/>
        <v>2037</v>
      </c>
      <c r="B96" s="478">
        <f t="shared" si="15"/>
        <v>137384</v>
      </c>
      <c r="C96" s="479">
        <v>32</v>
      </c>
      <c r="D96" s="480"/>
      <c r="E96" s="480"/>
      <c r="F96" s="481"/>
      <c r="G96" s="481"/>
      <c r="H96" s="481"/>
      <c r="I96" s="478">
        <f t="shared" si="8"/>
        <v>137384</v>
      </c>
      <c r="J96" s="482"/>
      <c r="K96" s="483"/>
      <c r="L96" s="445">
        <f t="shared" si="14"/>
        <v>1521</v>
      </c>
    </row>
    <row r="97" spans="1:13" ht="15" customHeight="1">
      <c r="A97" s="484">
        <f t="shared" si="11"/>
        <v>2038</v>
      </c>
      <c r="B97" s="485">
        <f t="shared" si="15"/>
        <v>138904</v>
      </c>
      <c r="C97" s="486">
        <v>33</v>
      </c>
      <c r="D97" s="487"/>
      <c r="E97" s="487"/>
      <c r="F97" s="488"/>
      <c r="G97" s="488"/>
      <c r="H97" s="488"/>
      <c r="I97" s="485">
        <f t="shared" si="8"/>
        <v>138904</v>
      </c>
      <c r="J97" s="489"/>
      <c r="K97" s="490"/>
      <c r="L97" s="445">
        <f t="shared" si="14"/>
        <v>1520</v>
      </c>
    </row>
    <row r="98" spans="1:13" ht="15" customHeight="1">
      <c r="A98" s="491"/>
      <c r="B98" s="492"/>
      <c r="C98" s="439"/>
      <c r="D98" s="468"/>
      <c r="E98" s="468"/>
      <c r="F98" s="451"/>
      <c r="G98" s="451"/>
      <c r="H98" s="451"/>
      <c r="I98" s="492"/>
      <c r="J98" s="493"/>
      <c r="K98" s="493"/>
      <c r="L98" s="445"/>
    </row>
    <row r="99" spans="1:13" ht="15" customHeight="1">
      <c r="A99" s="491"/>
      <c r="B99" s="492"/>
      <c r="C99" s="439"/>
      <c r="D99" s="468"/>
      <c r="E99" s="468"/>
      <c r="F99" s="451"/>
      <c r="G99" s="451"/>
      <c r="H99" s="451"/>
      <c r="I99" s="492"/>
      <c r="J99" s="493"/>
      <c r="K99" s="493"/>
      <c r="L99" s="445"/>
    </row>
    <row r="100" spans="1:13" ht="15" customHeight="1">
      <c r="A100" s="491"/>
      <c r="B100" s="492"/>
      <c r="C100" s="439"/>
      <c r="D100" s="468"/>
      <c r="E100" s="468"/>
      <c r="F100" s="451"/>
      <c r="G100" s="451"/>
      <c r="H100" s="451"/>
      <c r="I100" s="492"/>
      <c r="J100" s="493"/>
      <c r="K100" s="493"/>
      <c r="L100" s="445"/>
    </row>
    <row r="101" spans="1:13" ht="15" customHeight="1">
      <c r="A101" s="491"/>
      <c r="B101" s="494"/>
      <c r="C101" s="439"/>
      <c r="D101" s="468"/>
      <c r="E101" s="468"/>
      <c r="F101" s="451"/>
      <c r="G101" s="451"/>
      <c r="H101" s="451"/>
      <c r="I101" s="495"/>
      <c r="J101" s="495"/>
    </row>
    <row r="102" spans="1:13" ht="15" customHeight="1">
      <c r="A102" s="424" t="s">
        <v>296</v>
      </c>
    </row>
    <row r="103" spans="1:13" ht="15" customHeight="1">
      <c r="A103" s="427" t="s">
        <v>264</v>
      </c>
      <c r="B103" s="428" t="s">
        <v>286</v>
      </c>
      <c r="C103" s="429" t="s">
        <v>297</v>
      </c>
      <c r="D103" s="429" t="s">
        <v>287</v>
      </c>
      <c r="E103" s="496"/>
      <c r="F103" s="430"/>
      <c r="G103" s="431"/>
      <c r="H103" s="432" t="s">
        <v>288</v>
      </c>
      <c r="I103" s="433">
        <f>RSQ(I104:I114,B104:B114)</f>
        <v>0.9828657002765967</v>
      </c>
      <c r="J103" s="434" t="s">
        <v>289</v>
      </c>
      <c r="K103" s="435" t="s">
        <v>290</v>
      </c>
    </row>
    <row r="104" spans="1:13" ht="15" customHeight="1">
      <c r="A104" s="436">
        <f t="shared" ref="A104:B119" si="17">A65</f>
        <v>2006</v>
      </c>
      <c r="B104" s="437">
        <f t="shared" si="17"/>
        <v>90159</v>
      </c>
      <c r="C104" s="497">
        <f t="shared" ref="C104:C114" si="18">LN(B104)</f>
        <v>11.409330057259069</v>
      </c>
      <c r="D104" s="438">
        <f>C65</f>
        <v>1</v>
      </c>
      <c r="E104" s="498" t="s">
        <v>298</v>
      </c>
      <c r="F104" s="499"/>
      <c r="G104" s="500"/>
      <c r="H104" s="501"/>
      <c r="I104" s="502">
        <f t="shared" ref="I104:I136" si="19">ROUND($F$111*(1+$F$112)^D104,$G$1)</f>
        <v>90446</v>
      </c>
      <c r="J104" s="444">
        <f t="shared" ref="J104:J114" si="20">ABS(B104-I104)/B104*100</f>
        <v>0.31832651205093221</v>
      </c>
      <c r="K104" s="443">
        <f t="shared" ref="K104:K114" si="21">(B104-I104)^2/1000</f>
        <v>82.369</v>
      </c>
      <c r="L104" s="503"/>
    </row>
    <row r="105" spans="1:13" ht="15" customHeight="1">
      <c r="A105" s="436">
        <f t="shared" si="17"/>
        <v>2007</v>
      </c>
      <c r="B105" s="437">
        <f t="shared" si="17"/>
        <v>92520</v>
      </c>
      <c r="C105" s="497">
        <f>LN(B105)</f>
        <v>11.435180116345375</v>
      </c>
      <c r="D105" s="438">
        <f t="shared" ref="D105:D136" si="22">D104+1</f>
        <v>2</v>
      </c>
      <c r="E105" s="498" t="s">
        <v>299</v>
      </c>
      <c r="F105" s="439"/>
      <c r="G105" s="500"/>
      <c r="H105" s="501"/>
      <c r="I105" s="443">
        <f t="shared" si="19"/>
        <v>91858</v>
      </c>
      <c r="J105" s="446">
        <f t="shared" si="20"/>
        <v>0.71552096843925639</v>
      </c>
      <c r="K105" s="443">
        <f t="shared" si="21"/>
        <v>438.24400000000003</v>
      </c>
      <c r="L105" s="503">
        <f>ROUND((I105/I104)^(1/1)-1,4)</f>
        <v>1.5599999999999999E-2</v>
      </c>
    </row>
    <row r="106" spans="1:13" ht="15" customHeight="1">
      <c r="A106" s="436">
        <f t="shared" si="17"/>
        <v>2008</v>
      </c>
      <c r="B106" s="437">
        <f t="shared" si="17"/>
        <v>94144</v>
      </c>
      <c r="C106" s="497">
        <f>LN(B106)</f>
        <v>11.452580803961109</v>
      </c>
      <c r="D106" s="438">
        <f t="shared" si="22"/>
        <v>3</v>
      </c>
      <c r="E106" s="326" t="s">
        <v>300</v>
      </c>
      <c r="G106" s="451"/>
      <c r="H106" s="442"/>
      <c r="I106" s="443">
        <f t="shared" si="19"/>
        <v>93293</v>
      </c>
      <c r="J106" s="446">
        <f t="shared" si="20"/>
        <v>0.90393439836845679</v>
      </c>
      <c r="K106" s="443">
        <f t="shared" si="21"/>
        <v>724.20100000000002</v>
      </c>
      <c r="L106" s="503">
        <f t="shared" ref="L106:L136" si="23">ROUND((I106/I105)^(1/1)-1,4)</f>
        <v>1.5599999999999999E-2</v>
      </c>
      <c r="M106" s="503"/>
    </row>
    <row r="107" spans="1:13" ht="15" customHeight="1">
      <c r="A107" s="436">
        <f t="shared" si="17"/>
        <v>2009</v>
      </c>
      <c r="B107" s="437">
        <f t="shared" si="17"/>
        <v>94580</v>
      </c>
      <c r="C107" s="497">
        <f t="shared" si="18"/>
        <v>11.457201316197867</v>
      </c>
      <c r="D107" s="438">
        <f t="shared" si="22"/>
        <v>4</v>
      </c>
      <c r="G107" s="451"/>
      <c r="H107" s="442"/>
      <c r="I107" s="443">
        <f t="shared" si="19"/>
        <v>94750</v>
      </c>
      <c r="J107" s="446">
        <f t="shared" si="20"/>
        <v>0.17974201733981815</v>
      </c>
      <c r="K107" s="443">
        <f t="shared" si="21"/>
        <v>28.9</v>
      </c>
      <c r="L107" s="503">
        <f t="shared" si="23"/>
        <v>1.5599999999999999E-2</v>
      </c>
      <c r="M107" s="503"/>
    </row>
    <row r="108" spans="1:13" ht="15" customHeight="1">
      <c r="A108" s="436">
        <f t="shared" si="17"/>
        <v>2010</v>
      </c>
      <c r="B108" s="437">
        <f t="shared" si="17"/>
        <v>96214</v>
      </c>
      <c r="C108" s="497">
        <f t="shared" si="18"/>
        <v>11.474330156210844</v>
      </c>
      <c r="D108" s="438">
        <f t="shared" si="22"/>
        <v>5</v>
      </c>
      <c r="E108" s="329" t="s">
        <v>301</v>
      </c>
      <c r="F108" s="442" t="s">
        <v>302</v>
      </c>
      <c r="G108" s="504">
        <f>INDEX(LINEST(C104:C114,D104:D114),2)</f>
        <v>11.397011732411933</v>
      </c>
      <c r="H108" s="442"/>
      <c r="I108" s="443">
        <f t="shared" si="19"/>
        <v>96229</v>
      </c>
      <c r="J108" s="446">
        <f t="shared" si="20"/>
        <v>1.559024674163843E-2</v>
      </c>
      <c r="K108" s="443">
        <f t="shared" si="21"/>
        <v>0.22500000000000001</v>
      </c>
      <c r="L108" s="503">
        <f t="shared" si="23"/>
        <v>1.5599999999999999E-2</v>
      </c>
      <c r="M108" s="503"/>
    </row>
    <row r="109" spans="1:13" ht="15" customHeight="1">
      <c r="A109" s="436">
        <f t="shared" si="17"/>
        <v>2011</v>
      </c>
      <c r="B109" s="437">
        <f t="shared" si="17"/>
        <v>96993</v>
      </c>
      <c r="C109" s="497">
        <f t="shared" si="18"/>
        <v>11.482394089933051</v>
      </c>
      <c r="D109" s="438">
        <f t="shared" si="22"/>
        <v>6</v>
      </c>
      <c r="E109" s="329" t="s">
        <v>303</v>
      </c>
      <c r="F109" s="442" t="s">
        <v>304</v>
      </c>
      <c r="G109" s="504">
        <f>INDEX(LINEST(C104:C114,D104:D114),1)</f>
        <v>1.5495752267670485E-2</v>
      </c>
      <c r="H109" s="442"/>
      <c r="I109" s="443">
        <f t="shared" si="19"/>
        <v>97732</v>
      </c>
      <c r="J109" s="446">
        <f t="shared" si="20"/>
        <v>0.76191065334611774</v>
      </c>
      <c r="K109" s="443">
        <f t="shared" si="21"/>
        <v>546.12099999999998</v>
      </c>
      <c r="L109" s="503">
        <f t="shared" si="23"/>
        <v>1.5599999999999999E-2</v>
      </c>
      <c r="M109" s="503"/>
    </row>
    <row r="110" spans="1:13" ht="15" customHeight="1">
      <c r="A110" s="436">
        <f t="shared" si="17"/>
        <v>2012</v>
      </c>
      <c r="B110" s="437">
        <f t="shared" si="17"/>
        <v>98279</v>
      </c>
      <c r="C110" s="497">
        <f t="shared" si="18"/>
        <v>11.495565651573175</v>
      </c>
      <c r="D110" s="438">
        <f t="shared" si="22"/>
        <v>7</v>
      </c>
      <c r="H110" s="442"/>
      <c r="I110" s="443">
        <f t="shared" si="19"/>
        <v>99258</v>
      </c>
      <c r="J110" s="446">
        <f t="shared" si="20"/>
        <v>0.99614363190508659</v>
      </c>
      <c r="K110" s="443">
        <f t="shared" si="21"/>
        <v>958.44100000000003</v>
      </c>
      <c r="L110" s="503">
        <f t="shared" si="23"/>
        <v>1.5599999999999999E-2</v>
      </c>
      <c r="M110" s="503"/>
    </row>
    <row r="111" spans="1:13" ht="15" customHeight="1">
      <c r="A111" s="436">
        <f t="shared" si="17"/>
        <v>2013</v>
      </c>
      <c r="B111" s="437">
        <f t="shared" si="17"/>
        <v>99952</v>
      </c>
      <c r="C111" s="497">
        <f t="shared" si="18"/>
        <v>11.512445349733351</v>
      </c>
      <c r="D111" s="438">
        <f t="shared" si="22"/>
        <v>8</v>
      </c>
      <c r="E111" s="329" t="s">
        <v>305</v>
      </c>
      <c r="F111" s="505">
        <f>EXP(G108)</f>
        <v>89055.204563047315</v>
      </c>
      <c r="G111" s="451"/>
      <c r="H111" s="442"/>
      <c r="I111" s="443">
        <f t="shared" si="19"/>
        <v>100808</v>
      </c>
      <c r="J111" s="446">
        <f t="shared" si="20"/>
        <v>0.85641107731711219</v>
      </c>
      <c r="K111" s="443">
        <f t="shared" si="21"/>
        <v>732.73599999999999</v>
      </c>
      <c r="L111" s="503">
        <f t="shared" si="23"/>
        <v>1.5599999999999999E-2</v>
      </c>
      <c r="M111" s="503"/>
    </row>
    <row r="112" spans="1:13" ht="15" customHeight="1">
      <c r="A112" s="436">
        <f t="shared" si="17"/>
        <v>2014</v>
      </c>
      <c r="B112" s="437">
        <f t="shared" si="17"/>
        <v>102796</v>
      </c>
      <c r="C112" s="506">
        <f t="shared" si="18"/>
        <v>11.540501720740332</v>
      </c>
      <c r="D112" s="438">
        <f t="shared" si="22"/>
        <v>9</v>
      </c>
      <c r="E112" s="329" t="s">
        <v>306</v>
      </c>
      <c r="F112" s="507">
        <f>EXP(G109)-1</f>
        <v>1.5616433982387212E-2</v>
      </c>
      <c r="G112" s="451"/>
      <c r="H112" s="442"/>
      <c r="I112" s="443">
        <f t="shared" si="19"/>
        <v>102383</v>
      </c>
      <c r="J112" s="467">
        <f t="shared" si="20"/>
        <v>0.40176660570450212</v>
      </c>
      <c r="K112" s="443">
        <f t="shared" si="21"/>
        <v>170.56899999999999</v>
      </c>
      <c r="L112" s="503">
        <f t="shared" si="23"/>
        <v>1.5599999999999999E-2</v>
      </c>
      <c r="M112" s="503"/>
    </row>
    <row r="113" spans="1:13" ht="15" customHeight="1">
      <c r="A113" s="436">
        <f t="shared" si="17"/>
        <v>2015</v>
      </c>
      <c r="B113" s="437">
        <f t="shared" si="17"/>
        <v>104316</v>
      </c>
      <c r="C113" s="506">
        <f t="shared" si="18"/>
        <v>11.555180032867066</v>
      </c>
      <c r="D113" s="508">
        <f t="shared" si="22"/>
        <v>10</v>
      </c>
      <c r="H113" s="509"/>
      <c r="I113" s="443">
        <f t="shared" si="19"/>
        <v>103982</v>
      </c>
      <c r="J113" s="467">
        <f t="shared" si="20"/>
        <v>0.32018098853483645</v>
      </c>
      <c r="K113" s="443">
        <f t="shared" si="21"/>
        <v>111.556</v>
      </c>
      <c r="L113" s="503">
        <f t="shared" si="23"/>
        <v>1.5599999999999999E-2</v>
      </c>
      <c r="M113" s="503"/>
    </row>
    <row r="114" spans="1:13" ht="15" customHeight="1" thickBot="1">
      <c r="A114" s="436">
        <f t="shared" si="17"/>
        <v>2016</v>
      </c>
      <c r="B114" s="437">
        <f t="shared" si="17"/>
        <v>106419</v>
      </c>
      <c r="C114" s="506">
        <f t="shared" si="18"/>
        <v>11.575139411376274</v>
      </c>
      <c r="D114" s="508">
        <f t="shared" si="22"/>
        <v>11</v>
      </c>
      <c r="G114" s="510"/>
      <c r="H114" s="509"/>
      <c r="I114" s="443">
        <f t="shared" si="19"/>
        <v>105605</v>
      </c>
      <c r="J114" s="467">
        <f t="shared" si="20"/>
        <v>0.76490100451986953</v>
      </c>
      <c r="K114" s="443">
        <f t="shared" si="21"/>
        <v>662.596</v>
      </c>
      <c r="L114" s="503">
        <f t="shared" si="23"/>
        <v>1.5599999999999999E-2</v>
      </c>
      <c r="M114" s="503"/>
    </row>
    <row r="115" spans="1:13" ht="15" customHeight="1" thickTop="1">
      <c r="A115" s="511">
        <f t="shared" si="17"/>
        <v>2017</v>
      </c>
      <c r="B115" s="459">
        <f t="shared" ref="B115:B136" si="24">ROUND($F$111*(1+$F$112)^D115,$G$1)</f>
        <v>107255</v>
      </c>
      <c r="C115" s="512"/>
      <c r="D115" s="513">
        <f t="shared" si="22"/>
        <v>12</v>
      </c>
      <c r="E115" s="2314" t="s">
        <v>276</v>
      </c>
      <c r="F115" s="2315"/>
      <c r="G115" s="514">
        <f>I103</f>
        <v>0.9828657002765967</v>
      </c>
      <c r="H115" s="515"/>
      <c r="I115" s="464">
        <f t="shared" si="19"/>
        <v>107255</v>
      </c>
      <c r="J115" s="463"/>
      <c r="K115" s="464"/>
      <c r="L115" s="503">
        <f t="shared" si="23"/>
        <v>1.5599999999999999E-2</v>
      </c>
      <c r="M115" s="503"/>
    </row>
    <row r="116" spans="1:13" ht="15" customHeight="1">
      <c r="A116" s="436">
        <f t="shared" si="17"/>
        <v>2018</v>
      </c>
      <c r="B116" s="437">
        <f t="shared" si="24"/>
        <v>108930</v>
      </c>
      <c r="C116" s="506"/>
      <c r="D116" s="508">
        <f t="shared" si="22"/>
        <v>13</v>
      </c>
      <c r="E116" s="2318" t="s">
        <v>294</v>
      </c>
      <c r="F116" s="2320"/>
      <c r="G116" s="448">
        <f>SUM(K104:K114)</f>
        <v>4455.9580000000005</v>
      </c>
      <c r="H116" s="509"/>
      <c r="I116" s="443">
        <f t="shared" si="19"/>
        <v>108930</v>
      </c>
      <c r="J116" s="467"/>
      <c r="K116" s="443"/>
      <c r="L116" s="503">
        <f t="shared" si="23"/>
        <v>1.5599999999999999E-2</v>
      </c>
      <c r="M116" s="503"/>
    </row>
    <row r="117" spans="1:13" ht="15" customHeight="1">
      <c r="A117" s="436">
        <f t="shared" si="17"/>
        <v>2019</v>
      </c>
      <c r="B117" s="437">
        <f t="shared" si="24"/>
        <v>110631</v>
      </c>
      <c r="C117" s="506"/>
      <c r="D117" s="508">
        <f t="shared" si="22"/>
        <v>14</v>
      </c>
      <c r="E117" s="2318" t="s">
        <v>278</v>
      </c>
      <c r="F117" s="2320"/>
      <c r="G117" s="449">
        <f>SUM(J104:J114)/D114</f>
        <v>0.56676619129705696</v>
      </c>
      <c r="H117" s="509"/>
      <c r="I117" s="443">
        <f t="shared" si="19"/>
        <v>110631</v>
      </c>
      <c r="J117" s="467"/>
      <c r="K117" s="443"/>
      <c r="L117" s="503">
        <f t="shared" si="23"/>
        <v>1.5599999999999999E-2</v>
      </c>
      <c r="M117" s="503"/>
    </row>
    <row r="118" spans="1:13" ht="15" customHeight="1">
      <c r="A118" s="436">
        <f t="shared" si="17"/>
        <v>2020</v>
      </c>
      <c r="B118" s="437">
        <f t="shared" si="24"/>
        <v>112358</v>
      </c>
      <c r="C118" s="506"/>
      <c r="D118" s="508">
        <f t="shared" si="22"/>
        <v>15</v>
      </c>
      <c r="H118" s="509"/>
      <c r="I118" s="443">
        <f t="shared" si="19"/>
        <v>112358</v>
      </c>
      <c r="J118" s="467"/>
      <c r="K118" s="443"/>
      <c r="L118" s="503">
        <f t="shared" si="23"/>
        <v>1.5599999999999999E-2</v>
      </c>
      <c r="M118" s="503"/>
    </row>
    <row r="119" spans="1:13" ht="15" customHeight="1">
      <c r="A119" s="436">
        <f t="shared" si="17"/>
        <v>2021</v>
      </c>
      <c r="B119" s="437">
        <f t="shared" si="24"/>
        <v>114113</v>
      </c>
      <c r="C119" s="506"/>
      <c r="D119" s="508">
        <f t="shared" si="22"/>
        <v>16</v>
      </c>
      <c r="E119" s="451"/>
      <c r="F119" s="451"/>
      <c r="G119" s="451"/>
      <c r="H119" s="509"/>
      <c r="I119" s="443">
        <f t="shared" si="19"/>
        <v>114113</v>
      </c>
      <c r="J119" s="467"/>
      <c r="K119" s="443"/>
      <c r="L119" s="503">
        <f t="shared" si="23"/>
        <v>1.5599999999999999E-2</v>
      </c>
      <c r="M119" s="503"/>
    </row>
    <row r="120" spans="1:13" ht="15" customHeight="1">
      <c r="A120" s="436">
        <f t="shared" ref="A120:A136" si="25">A81</f>
        <v>2022</v>
      </c>
      <c r="B120" s="437">
        <f t="shared" si="24"/>
        <v>115895</v>
      </c>
      <c r="C120" s="506"/>
      <c r="D120" s="508">
        <f t="shared" si="22"/>
        <v>17</v>
      </c>
      <c r="E120" s="516"/>
      <c r="F120" s="517"/>
      <c r="G120" s="509"/>
      <c r="H120" s="509"/>
      <c r="I120" s="443">
        <f t="shared" si="19"/>
        <v>115895</v>
      </c>
      <c r="J120" s="467"/>
      <c r="K120" s="443"/>
      <c r="L120" s="503">
        <f t="shared" si="23"/>
        <v>1.5599999999999999E-2</v>
      </c>
      <c r="M120" s="503"/>
    </row>
    <row r="121" spans="1:13" ht="15" customHeight="1">
      <c r="A121" s="436">
        <f t="shared" si="25"/>
        <v>2023</v>
      </c>
      <c r="B121" s="437">
        <f t="shared" si="24"/>
        <v>117705</v>
      </c>
      <c r="C121" s="506"/>
      <c r="D121" s="508">
        <f t="shared" si="22"/>
        <v>18</v>
      </c>
      <c r="E121" s="509"/>
      <c r="F121" s="509"/>
      <c r="G121" s="518"/>
      <c r="H121" s="509"/>
      <c r="I121" s="443">
        <f t="shared" si="19"/>
        <v>117705</v>
      </c>
      <c r="J121" s="467"/>
      <c r="K121" s="443"/>
      <c r="L121" s="503">
        <f t="shared" si="23"/>
        <v>1.5599999999999999E-2</v>
      </c>
      <c r="M121" s="503"/>
    </row>
    <row r="122" spans="1:13" s="451" customFormat="1" ht="15" customHeight="1">
      <c r="A122" s="436">
        <f t="shared" si="25"/>
        <v>2024</v>
      </c>
      <c r="B122" s="437">
        <f t="shared" si="24"/>
        <v>119543</v>
      </c>
      <c r="C122" s="506"/>
      <c r="D122" s="508">
        <f t="shared" si="22"/>
        <v>19</v>
      </c>
      <c r="G122" s="518"/>
      <c r="H122" s="509"/>
      <c r="I122" s="443">
        <f t="shared" si="19"/>
        <v>119543</v>
      </c>
      <c r="J122" s="467"/>
      <c r="K122" s="443"/>
      <c r="L122" s="503">
        <f t="shared" si="23"/>
        <v>1.5599999999999999E-2</v>
      </c>
      <c r="M122" s="503"/>
    </row>
    <row r="123" spans="1:13" ht="15" customHeight="1">
      <c r="A123" s="436">
        <f t="shared" si="25"/>
        <v>2025</v>
      </c>
      <c r="B123" s="437">
        <f t="shared" si="24"/>
        <v>121410</v>
      </c>
      <c r="C123" s="506"/>
      <c r="D123" s="508">
        <f t="shared" si="22"/>
        <v>20</v>
      </c>
      <c r="E123" s="519"/>
      <c r="F123" s="451"/>
      <c r="G123" s="451"/>
      <c r="H123" s="451"/>
      <c r="I123" s="443">
        <f t="shared" si="19"/>
        <v>121410</v>
      </c>
      <c r="J123" s="467"/>
      <c r="K123" s="443"/>
      <c r="L123" s="503">
        <f t="shared" si="23"/>
        <v>1.5599999999999999E-2</v>
      </c>
      <c r="M123" s="503"/>
    </row>
    <row r="124" spans="1:13" s="451" customFormat="1" ht="15" customHeight="1">
      <c r="A124" s="436">
        <f t="shared" si="25"/>
        <v>2026</v>
      </c>
      <c r="B124" s="437">
        <f t="shared" si="24"/>
        <v>123306</v>
      </c>
      <c r="C124" s="506"/>
      <c r="D124" s="508">
        <f t="shared" si="22"/>
        <v>21</v>
      </c>
      <c r="E124" s="519"/>
      <c r="I124" s="443">
        <f t="shared" si="19"/>
        <v>123306</v>
      </c>
      <c r="J124" s="467"/>
      <c r="K124" s="443"/>
      <c r="L124" s="503">
        <f t="shared" si="23"/>
        <v>1.5599999999999999E-2</v>
      </c>
      <c r="M124" s="503"/>
    </row>
    <row r="125" spans="1:13" s="451" customFormat="1" ht="15" customHeight="1">
      <c r="A125" s="436">
        <f t="shared" si="25"/>
        <v>2027</v>
      </c>
      <c r="B125" s="437">
        <f t="shared" si="24"/>
        <v>125231</v>
      </c>
      <c r="C125" s="506"/>
      <c r="D125" s="508">
        <f t="shared" si="22"/>
        <v>22</v>
      </c>
      <c r="E125" s="519"/>
      <c r="I125" s="443">
        <f t="shared" si="19"/>
        <v>125231</v>
      </c>
      <c r="J125" s="467"/>
      <c r="K125" s="443"/>
      <c r="L125" s="503">
        <f t="shared" si="23"/>
        <v>1.5599999999999999E-2</v>
      </c>
      <c r="M125" s="503"/>
    </row>
    <row r="126" spans="1:13" ht="15" customHeight="1">
      <c r="A126" s="436">
        <f t="shared" si="25"/>
        <v>2028</v>
      </c>
      <c r="B126" s="437">
        <f t="shared" si="24"/>
        <v>127187</v>
      </c>
      <c r="C126" s="520"/>
      <c r="D126" s="508">
        <f t="shared" si="22"/>
        <v>23</v>
      </c>
      <c r="E126" s="521"/>
      <c r="F126" s="468"/>
      <c r="G126" s="451"/>
      <c r="H126" s="451"/>
      <c r="I126" s="443">
        <f t="shared" si="19"/>
        <v>127187</v>
      </c>
      <c r="J126" s="469"/>
      <c r="K126" s="469"/>
      <c r="L126" s="503">
        <f t="shared" si="23"/>
        <v>1.5599999999999999E-2</v>
      </c>
      <c r="M126" s="503"/>
    </row>
    <row r="127" spans="1:13" ht="15" customHeight="1">
      <c r="A127" s="436">
        <f t="shared" si="25"/>
        <v>2029</v>
      </c>
      <c r="B127" s="437">
        <f t="shared" si="24"/>
        <v>129173</v>
      </c>
      <c r="C127" s="520"/>
      <c r="D127" s="508">
        <f t="shared" si="22"/>
        <v>24</v>
      </c>
      <c r="E127" s="521"/>
      <c r="F127" s="468"/>
      <c r="G127" s="451"/>
      <c r="H127" s="451"/>
      <c r="I127" s="443">
        <f t="shared" si="19"/>
        <v>129173</v>
      </c>
      <c r="J127" s="469"/>
      <c r="K127" s="469"/>
      <c r="L127" s="503">
        <f t="shared" si="23"/>
        <v>1.5599999999999999E-2</v>
      </c>
      <c r="M127" s="503"/>
    </row>
    <row r="128" spans="1:13" ht="15" customHeight="1">
      <c r="A128" s="436">
        <f t="shared" si="25"/>
        <v>2030</v>
      </c>
      <c r="B128" s="437">
        <f t="shared" si="24"/>
        <v>131190</v>
      </c>
      <c r="C128" s="520"/>
      <c r="D128" s="508">
        <f t="shared" si="22"/>
        <v>25</v>
      </c>
      <c r="E128" s="521"/>
      <c r="F128" s="468"/>
      <c r="G128" s="451"/>
      <c r="H128" s="451"/>
      <c r="I128" s="443">
        <f t="shared" si="19"/>
        <v>131190</v>
      </c>
      <c r="J128" s="469"/>
      <c r="K128" s="469"/>
      <c r="L128" s="503">
        <f t="shared" si="23"/>
        <v>1.5599999999999999E-2</v>
      </c>
      <c r="M128" s="503"/>
    </row>
    <row r="129" spans="1:102" ht="15" customHeight="1">
      <c r="A129" s="436">
        <f t="shared" si="25"/>
        <v>2031</v>
      </c>
      <c r="B129" s="437">
        <f t="shared" si="24"/>
        <v>133239</v>
      </c>
      <c r="C129" s="520"/>
      <c r="D129" s="508">
        <f t="shared" si="22"/>
        <v>26</v>
      </c>
      <c r="E129" s="521"/>
      <c r="F129" s="468"/>
      <c r="G129" s="451"/>
      <c r="H129" s="451"/>
      <c r="I129" s="443">
        <f t="shared" si="19"/>
        <v>133239</v>
      </c>
      <c r="J129" s="469"/>
      <c r="K129" s="469"/>
      <c r="L129" s="503">
        <f t="shared" si="23"/>
        <v>1.5599999999999999E-2</v>
      </c>
      <c r="M129" s="503"/>
    </row>
    <row r="130" spans="1:102" ht="15" customHeight="1">
      <c r="A130" s="436">
        <f t="shared" si="25"/>
        <v>2032</v>
      </c>
      <c r="B130" s="437">
        <f t="shared" si="24"/>
        <v>135320</v>
      </c>
      <c r="C130" s="520"/>
      <c r="D130" s="508">
        <f t="shared" si="22"/>
        <v>27</v>
      </c>
      <c r="E130" s="521"/>
      <c r="F130" s="468"/>
      <c r="G130" s="451"/>
      <c r="H130" s="451"/>
      <c r="I130" s="443">
        <f t="shared" si="19"/>
        <v>135320</v>
      </c>
      <c r="J130" s="469"/>
      <c r="K130" s="469"/>
      <c r="L130" s="503">
        <f t="shared" si="23"/>
        <v>1.5599999999999999E-2</v>
      </c>
      <c r="M130" s="503"/>
    </row>
    <row r="131" spans="1:102" ht="15" customHeight="1">
      <c r="A131" s="436">
        <f t="shared" si="25"/>
        <v>2033</v>
      </c>
      <c r="B131" s="437">
        <f t="shared" si="24"/>
        <v>137433</v>
      </c>
      <c r="C131" s="520"/>
      <c r="D131" s="508">
        <f t="shared" si="22"/>
        <v>28</v>
      </c>
      <c r="E131" s="521"/>
      <c r="F131" s="468"/>
      <c r="G131" s="451"/>
      <c r="H131" s="451"/>
      <c r="I131" s="443">
        <f t="shared" si="19"/>
        <v>137433</v>
      </c>
      <c r="J131" s="469"/>
      <c r="K131" s="469"/>
      <c r="L131" s="503">
        <f t="shared" si="23"/>
        <v>1.5599999999999999E-2</v>
      </c>
      <c r="M131" s="503"/>
    </row>
    <row r="132" spans="1:102" ht="15" customHeight="1">
      <c r="A132" s="436">
        <f t="shared" si="25"/>
        <v>2034</v>
      </c>
      <c r="B132" s="437">
        <f t="shared" si="24"/>
        <v>139579</v>
      </c>
      <c r="C132" s="520"/>
      <c r="D132" s="508">
        <f t="shared" si="22"/>
        <v>29</v>
      </c>
      <c r="E132" s="521"/>
      <c r="F132" s="468"/>
      <c r="G132" s="451"/>
      <c r="H132" s="451"/>
      <c r="I132" s="443">
        <f t="shared" si="19"/>
        <v>139579</v>
      </c>
      <c r="J132" s="469"/>
      <c r="K132" s="469"/>
      <c r="L132" s="503">
        <f t="shared" si="23"/>
        <v>1.5599999999999999E-2</v>
      </c>
      <c r="M132" s="503"/>
    </row>
    <row r="133" spans="1:102" ht="15" customHeight="1">
      <c r="A133" s="522">
        <f t="shared" si="25"/>
        <v>2035</v>
      </c>
      <c r="B133" s="523">
        <f t="shared" si="24"/>
        <v>141759</v>
      </c>
      <c r="C133" s="524"/>
      <c r="D133" s="525">
        <f t="shared" si="22"/>
        <v>30</v>
      </c>
      <c r="E133" s="526"/>
      <c r="F133" s="527"/>
      <c r="G133" s="426"/>
      <c r="H133" s="426"/>
      <c r="I133" s="528">
        <f t="shared" si="19"/>
        <v>141759</v>
      </c>
      <c r="J133" s="529"/>
      <c r="K133" s="529"/>
      <c r="L133" s="503">
        <f t="shared" si="23"/>
        <v>1.5599999999999999E-2</v>
      </c>
      <c r="M133" s="503"/>
    </row>
    <row r="134" spans="1:102" ht="15" customHeight="1">
      <c r="A134" s="522">
        <f t="shared" si="25"/>
        <v>2036</v>
      </c>
      <c r="B134" s="523">
        <f t="shared" si="24"/>
        <v>143973</v>
      </c>
      <c r="C134" s="524"/>
      <c r="D134" s="525">
        <f t="shared" si="22"/>
        <v>31</v>
      </c>
      <c r="E134" s="526"/>
      <c r="F134" s="527"/>
      <c r="G134" s="426"/>
      <c r="H134" s="426"/>
      <c r="I134" s="528">
        <f t="shared" si="19"/>
        <v>143973</v>
      </c>
      <c r="J134" s="529"/>
      <c r="K134" s="529"/>
      <c r="L134" s="503">
        <f t="shared" si="23"/>
        <v>1.5599999999999999E-2</v>
      </c>
      <c r="M134" s="503"/>
    </row>
    <row r="135" spans="1:102" ht="15" customHeight="1">
      <c r="A135" s="522">
        <f t="shared" si="25"/>
        <v>2037</v>
      </c>
      <c r="B135" s="523">
        <f t="shared" si="24"/>
        <v>146221</v>
      </c>
      <c r="C135" s="524"/>
      <c r="D135" s="525">
        <f t="shared" si="22"/>
        <v>32</v>
      </c>
      <c r="E135" s="526"/>
      <c r="F135" s="527"/>
      <c r="G135" s="426"/>
      <c r="H135" s="426"/>
      <c r="I135" s="528">
        <f t="shared" si="19"/>
        <v>146221</v>
      </c>
      <c r="J135" s="529"/>
      <c r="K135" s="529"/>
      <c r="L135" s="503">
        <f t="shared" si="23"/>
        <v>1.5599999999999999E-2</v>
      </c>
      <c r="M135" s="503"/>
    </row>
    <row r="136" spans="1:102" ht="15" customHeight="1">
      <c r="A136" s="522">
        <f t="shared" si="25"/>
        <v>2038</v>
      </c>
      <c r="B136" s="523">
        <f t="shared" si="24"/>
        <v>148505</v>
      </c>
      <c r="C136" s="524"/>
      <c r="D136" s="525">
        <f t="shared" si="22"/>
        <v>33</v>
      </c>
      <c r="E136" s="526"/>
      <c r="F136" s="527"/>
      <c r="G136" s="426"/>
      <c r="H136" s="426"/>
      <c r="I136" s="528">
        <f t="shared" si="19"/>
        <v>148505</v>
      </c>
      <c r="J136" s="529"/>
      <c r="K136" s="529"/>
      <c r="L136" s="503">
        <f t="shared" si="23"/>
        <v>1.5599999999999999E-2</v>
      </c>
      <c r="M136" s="503"/>
    </row>
    <row r="137" spans="1:102" ht="15" customHeight="1">
      <c r="A137" s="491"/>
      <c r="B137" s="492"/>
      <c r="C137" s="451"/>
      <c r="D137" s="439"/>
      <c r="E137" s="530"/>
      <c r="F137" s="468"/>
      <c r="G137" s="451"/>
      <c r="H137" s="451"/>
      <c r="I137" s="492"/>
      <c r="J137" s="493"/>
      <c r="K137" s="493"/>
      <c r="L137" s="503"/>
      <c r="M137" s="503"/>
    </row>
    <row r="138" spans="1:102" ht="15" customHeight="1">
      <c r="A138" s="491"/>
      <c r="B138" s="492"/>
      <c r="C138" s="451"/>
      <c r="D138" s="439"/>
      <c r="E138" s="530"/>
      <c r="F138" s="468"/>
      <c r="G138" s="451"/>
      <c r="H138" s="451"/>
      <c r="I138" s="492"/>
      <c r="J138" s="493"/>
      <c r="K138" s="493"/>
      <c r="L138" s="503"/>
      <c r="M138" s="503"/>
    </row>
    <row r="139" spans="1:102" ht="15" customHeight="1">
      <c r="A139" s="491"/>
      <c r="B139" s="493"/>
      <c r="C139" s="451"/>
      <c r="D139" s="439"/>
      <c r="E139" s="530"/>
      <c r="F139" s="468"/>
      <c r="G139" s="451"/>
      <c r="H139" s="451"/>
      <c r="I139" s="531"/>
      <c r="J139" s="531"/>
    </row>
    <row r="140" spans="1:102" ht="15" customHeight="1">
      <c r="A140" s="424" t="s">
        <v>307</v>
      </c>
    </row>
    <row r="141" spans="1:102" ht="15" customHeight="1">
      <c r="A141" s="427" t="s">
        <v>264</v>
      </c>
      <c r="B141" s="428" t="s">
        <v>286</v>
      </c>
      <c r="C141" s="429" t="s">
        <v>308</v>
      </c>
      <c r="D141" s="429" t="s">
        <v>287</v>
      </c>
      <c r="E141" s="429" t="s">
        <v>309</v>
      </c>
      <c r="F141" s="496"/>
      <c r="G141" s="430"/>
      <c r="H141" s="432" t="s">
        <v>288</v>
      </c>
      <c r="I141" s="433">
        <f>RSQ(I142:I152,B142:B152)</f>
        <v>0.98645841540145163</v>
      </c>
      <c r="J141" s="434" t="s">
        <v>289</v>
      </c>
      <c r="K141" s="435" t="s">
        <v>290</v>
      </c>
      <c r="M141" s="532" t="s">
        <v>308</v>
      </c>
      <c r="N141" s="431"/>
      <c r="O141" s="432" t="s">
        <v>288</v>
      </c>
      <c r="P141" s="433">
        <f>RSQ($B142:$B152,Q142:Q152)</f>
        <v>0.9606064105268397</v>
      </c>
      <c r="Q141" s="434" t="s">
        <v>310</v>
      </c>
      <c r="R141" s="435" t="s">
        <v>290</v>
      </c>
      <c r="T141" s="532" t="s">
        <v>308</v>
      </c>
      <c r="U141" s="431"/>
      <c r="V141" s="432" t="s">
        <v>288</v>
      </c>
      <c r="W141" s="433">
        <f>RSQ($B142:$B152,X142:X152)</f>
        <v>0.96999615001133921</v>
      </c>
      <c r="X141" s="434" t="s">
        <v>310</v>
      </c>
      <c r="Y141" s="435" t="s">
        <v>290</v>
      </c>
      <c r="AA141" s="532" t="s">
        <v>308</v>
      </c>
      <c r="AB141" s="431"/>
      <c r="AC141" s="432" t="s">
        <v>288</v>
      </c>
      <c r="AD141" s="433">
        <f>RSQ($B142:$B152,AE142:AE152)</f>
        <v>0.98045651959184554</v>
      </c>
      <c r="AE141" s="434" t="s">
        <v>310</v>
      </c>
      <c r="AF141" s="435" t="s">
        <v>290</v>
      </c>
      <c r="AH141" s="532" t="s">
        <v>308</v>
      </c>
      <c r="AI141" s="431"/>
      <c r="AJ141" s="432" t="s">
        <v>288</v>
      </c>
      <c r="AK141" s="433">
        <f>RSQ($B142:$B152,AL142:AL152)</f>
        <v>0.98325472943720738</v>
      </c>
      <c r="AL141" s="434" t="s">
        <v>310</v>
      </c>
      <c r="AM141" s="435" t="s">
        <v>290</v>
      </c>
      <c r="AO141" s="532" t="s">
        <v>308</v>
      </c>
      <c r="AP141" s="431"/>
      <c r="AQ141" s="432" t="s">
        <v>288</v>
      </c>
      <c r="AR141" s="433" t="e">
        <f>RSQ($B142:$B152,AS142:AS152)</f>
        <v>#VALUE!</v>
      </c>
      <c r="AS141" s="434" t="s">
        <v>310</v>
      </c>
      <c r="AT141" s="435" t="s">
        <v>290</v>
      </c>
      <c r="AV141" s="532" t="s">
        <v>308</v>
      </c>
      <c r="AW141" s="431"/>
      <c r="AX141" s="432" t="s">
        <v>288</v>
      </c>
      <c r="AY141" s="433">
        <f>RSQ($B142:$B152,AZ142:AZ152)</f>
        <v>0.98522980967979579</v>
      </c>
      <c r="AZ141" s="434" t="s">
        <v>310</v>
      </c>
      <c r="BA141" s="435" t="s">
        <v>290</v>
      </c>
      <c r="BC141" s="532" t="s">
        <v>308</v>
      </c>
      <c r="BD141" s="431"/>
      <c r="BE141" s="432" t="s">
        <v>288</v>
      </c>
      <c r="BF141" s="433">
        <f>RSQ($B142:$B152,BG142:BG152)</f>
        <v>0.98591206847880308</v>
      </c>
      <c r="BG141" s="434" t="s">
        <v>310</v>
      </c>
      <c r="BH141" s="435" t="s">
        <v>290</v>
      </c>
      <c r="BJ141" s="532" t="s">
        <v>308</v>
      </c>
      <c r="BK141" s="431"/>
      <c r="BL141" s="432" t="s">
        <v>288</v>
      </c>
      <c r="BM141" s="433">
        <f>RSQ($B142:$B152,BN142:BN152)</f>
        <v>0.98636502098582746</v>
      </c>
      <c r="BN141" s="434" t="s">
        <v>310</v>
      </c>
      <c r="BO141" s="435" t="s">
        <v>290</v>
      </c>
      <c r="BQ141" s="532" t="s">
        <v>308</v>
      </c>
      <c r="BR141" s="431"/>
      <c r="BS141" s="432" t="s">
        <v>288</v>
      </c>
      <c r="BT141" s="433">
        <f>RSQ($B142:$B152,BU142:BU152)</f>
        <v>0.98641525423431353</v>
      </c>
      <c r="BU141" s="434" t="s">
        <v>310</v>
      </c>
      <c r="BV141" s="435" t="s">
        <v>290</v>
      </c>
      <c r="BX141" s="532" t="s">
        <v>308</v>
      </c>
      <c r="BY141" s="431"/>
      <c r="BZ141" s="432" t="s">
        <v>288</v>
      </c>
      <c r="CA141" s="433">
        <f>RSQ($B142:$B152,CB142:CB152)</f>
        <v>0.98570856807273299</v>
      </c>
      <c r="CB141" s="434" t="s">
        <v>310</v>
      </c>
      <c r="CC141" s="435" t="s">
        <v>290</v>
      </c>
      <c r="CE141" s="532" t="s">
        <v>308</v>
      </c>
      <c r="CF141" s="431"/>
      <c r="CG141" s="432" t="s">
        <v>288</v>
      </c>
      <c r="CH141" s="433">
        <f>RSQ($B142:$B152,CI142:CI152)</f>
        <v>0.98644795327827062</v>
      </c>
      <c r="CI141" s="434" t="s">
        <v>310</v>
      </c>
      <c r="CJ141" s="435" t="s">
        <v>290</v>
      </c>
      <c r="CL141" s="532" t="s">
        <v>308</v>
      </c>
      <c r="CM141" s="431"/>
      <c r="CN141" s="432" t="s">
        <v>288</v>
      </c>
      <c r="CO141" s="433">
        <f>RSQ($B142:$B152,CP142:CP152)</f>
        <v>0.98645841540145163</v>
      </c>
      <c r="CP141" s="434" t="s">
        <v>310</v>
      </c>
      <c r="CQ141" s="435" t="s">
        <v>290</v>
      </c>
      <c r="CS141" s="532" t="s">
        <v>308</v>
      </c>
      <c r="CT141" s="431"/>
      <c r="CU141" s="432" t="s">
        <v>288</v>
      </c>
      <c r="CV141" s="433">
        <f>RSQ($B142:$B152,CW142:CW152)</f>
        <v>0.98644534413920271</v>
      </c>
      <c r="CW141" s="434" t="s">
        <v>310</v>
      </c>
      <c r="CX141" s="435" t="s">
        <v>290</v>
      </c>
    </row>
    <row r="142" spans="1:102" ht="15" customHeight="1">
      <c r="A142" s="436">
        <f t="shared" ref="A142:B157" si="26">A104</f>
        <v>2006</v>
      </c>
      <c r="B142" s="437">
        <f t="shared" si="26"/>
        <v>90159</v>
      </c>
      <c r="C142" s="533">
        <f>LN(B142-$G$147)</f>
        <v>5.9889614168898637</v>
      </c>
      <c r="D142" s="438">
        <f t="shared" ref="D142:D174" si="27">C65</f>
        <v>1</v>
      </c>
      <c r="E142" s="534">
        <f>LN(D142)</f>
        <v>0</v>
      </c>
      <c r="F142" s="498" t="s">
        <v>311</v>
      </c>
      <c r="I142" s="502">
        <f t="shared" ref="I142:I174" si="28">ROUND($G$147+$G$150*D142^$G$148,$G$1)</f>
        <v>90436</v>
      </c>
      <c r="J142" s="444">
        <f t="shared" ref="J142:J152" si="29">ABS(B142-I142)/B142*100</f>
        <v>0.30723499595159659</v>
      </c>
      <c r="K142" s="535">
        <f>(B142-I142)^2/1000</f>
        <v>76.728999999999999</v>
      </c>
      <c r="M142" s="536">
        <f>LN($B142-$O$144)</f>
        <v>8.0580108008020854</v>
      </c>
      <c r="N142" s="331"/>
      <c r="O142" s="331"/>
      <c r="P142" s="331"/>
      <c r="Q142" s="443">
        <f t="shared" ref="Q142:Q152" si="30">ROUND($O$147*D142^$O$145+$O$144,$G$1)</f>
        <v>90102</v>
      </c>
      <c r="R142" s="502">
        <f t="shared" ref="R142:R152" si="31">($B142-Q142)^2/1000</f>
        <v>3.2490000000000001</v>
      </c>
      <c r="T142" s="536">
        <f>LN($B142-$V$144)</f>
        <v>7.6774004305148074</v>
      </c>
      <c r="U142" s="331"/>
      <c r="V142" s="331"/>
      <c r="W142" s="331"/>
      <c r="X142" s="443">
        <f t="shared" ref="X142:X152" si="32">ROUND($V$147*D142^$V$145+$V$144,$G$1)</f>
        <v>90246</v>
      </c>
      <c r="Y142" s="502">
        <f t="shared" ref="Y142:Y152" si="33">($B142-X142)^2/1000</f>
        <v>7.569</v>
      </c>
      <c r="AA142" s="536">
        <f>LN($B142-$AC$144)</f>
        <v>7.0553128433397516</v>
      </c>
      <c r="AB142" s="331"/>
      <c r="AC142" s="331"/>
      <c r="AD142" s="331"/>
      <c r="AE142" s="443">
        <f t="shared" ref="AE142:AE152" si="34">ROUND($AC$147*$D142^$AC$145+$AC$144,$G$1)</f>
        <v>90387</v>
      </c>
      <c r="AF142" s="502">
        <f t="shared" ref="AF142:AF152" si="35">($B142-AE142)^2/1000</f>
        <v>51.984000000000002</v>
      </c>
      <c r="AH142" s="536">
        <f>LN($B142-$AJ$144)</f>
        <v>5.0689042022202315</v>
      </c>
      <c r="AI142" s="331"/>
      <c r="AJ142" s="331"/>
      <c r="AK142" s="331"/>
      <c r="AL142" s="443">
        <f t="shared" ref="AL142:AL152" si="36">ROUND($AJ$147*$D142^$AJ$145+$AJ$144,$G$1)</f>
        <v>90389</v>
      </c>
      <c r="AM142" s="502">
        <f t="shared" ref="AM142:AM152" si="37">($B142-AL142)^2/1000</f>
        <v>52.9</v>
      </c>
      <c r="AO142" s="536" t="e">
        <f>LN($B142-$AQ$144)</f>
        <v>#NUM!</v>
      </c>
      <c r="AP142" s="331"/>
      <c r="AQ142" s="331"/>
      <c r="AR142" s="331"/>
      <c r="AS142" s="443" t="e">
        <f t="shared" ref="AS142:AS152" si="38">ROUND($AQ$147*$D142^$AQ$145+$AQ$144,$G$1)</f>
        <v>#VALUE!</v>
      </c>
      <c r="AT142" s="502" t="e">
        <f t="shared" ref="AT142:AT152" si="39">($B142-AS142)^2/1000</f>
        <v>#VALUE!</v>
      </c>
      <c r="AV142" s="536">
        <f>LN($B142-$AX$144)</f>
        <v>6.4907235345025072</v>
      </c>
      <c r="AW142" s="331"/>
      <c r="AX142" s="331"/>
      <c r="AY142" s="331"/>
      <c r="AZ142" s="443">
        <f t="shared" ref="AZ142:AZ152" si="40">ROUND($AX$147*$D142^$AX$145+$AX$144,$G$1)</f>
        <v>90435</v>
      </c>
      <c r="BA142" s="502">
        <f t="shared" ref="BA142:BA152" si="41">($B142-AZ142)^2/1000</f>
        <v>76.176000000000002</v>
      </c>
      <c r="BC142" s="536">
        <f>LN($B142-$BE$144)</f>
        <v>6.3261494731550991</v>
      </c>
      <c r="BD142" s="331"/>
      <c r="BE142" s="331"/>
      <c r="BF142" s="331"/>
      <c r="BG142" s="443">
        <f t="shared" ref="BG142:BG152" si="42">ROUND($BE$147*$D142^$BE$145+$BE$144,$G$1)</f>
        <v>90439</v>
      </c>
      <c r="BH142" s="502">
        <f t="shared" ref="BH142:BH152" si="43">($B142-BG142)^2/1000</f>
        <v>78.400000000000006</v>
      </c>
      <c r="BJ142" s="536">
        <f>LN($B142-$BL$144)</f>
        <v>6.1290502100605453</v>
      </c>
      <c r="BK142" s="331"/>
      <c r="BL142" s="331"/>
      <c r="BM142" s="331"/>
      <c r="BN142" s="443">
        <f t="shared" ref="BN142:BN152" si="44">ROUND($BL$147*$D142^$BL$145+$BL$144,$G$1)</f>
        <v>90438</v>
      </c>
      <c r="BO142" s="502">
        <f t="shared" ref="BO142:BO152" si="45">($B142-BN142)^2/1000</f>
        <v>77.840999999999994</v>
      </c>
      <c r="BQ142" s="536">
        <f>LN($B142-$BS$144)</f>
        <v>5.8833223884882786</v>
      </c>
      <c r="BR142" s="331"/>
      <c r="BS142" s="331"/>
      <c r="BT142" s="331"/>
      <c r="BU142" s="443">
        <f t="shared" ref="BU142:BU152" si="46">ROUND($BS$147*$D142^$BS$145+$BS$144,$G$1)</f>
        <v>90433</v>
      </c>
      <c r="BV142" s="502">
        <f t="shared" ref="BV142:BV152" si="47">($B142-BU142)^2/1000</f>
        <v>75.075999999999993</v>
      </c>
      <c r="BX142" s="536">
        <f>LN($B142-$BZ$144)</f>
        <v>5.5568280616995374</v>
      </c>
      <c r="BY142" s="331"/>
      <c r="BZ142" s="331"/>
      <c r="CA142" s="331"/>
      <c r="CB142" s="443">
        <f t="shared" ref="CB142:CB152" si="48">ROUND($BZ$147*$D142^$BZ$145+$BZ$144,$G$1)</f>
        <v>90419</v>
      </c>
      <c r="CC142" s="502">
        <f t="shared" ref="CC142:CC152" si="49">($B142-CB142)^2/1000</f>
        <v>67.599999999999994</v>
      </c>
      <c r="CE142" s="536">
        <f>LN($B142-$CG$144)</f>
        <v>6.0137151560428022</v>
      </c>
      <c r="CF142" s="331"/>
      <c r="CG142" s="331"/>
      <c r="CH142" s="331"/>
      <c r="CI142" s="443">
        <f t="shared" ref="CI142:CI152" si="50">ROUND($CG$147*$D142^$CG$145+$CG$144,$G$1)</f>
        <v>90437</v>
      </c>
      <c r="CJ142" s="502">
        <f t="shared" ref="CJ142:CJ152" si="51">($B142-CI142)^2/1000</f>
        <v>77.284000000000006</v>
      </c>
      <c r="CL142" s="536">
        <f>LN($B142-$CN$144)</f>
        <v>5.9889614168898637</v>
      </c>
      <c r="CM142" s="331"/>
      <c r="CN142" s="331"/>
      <c r="CO142" s="331"/>
      <c r="CP142" s="443">
        <f t="shared" ref="CP142:CP152" si="52">ROUND($CN$147*$D142^$CN$145+$CN$144,$G$1)</f>
        <v>90436</v>
      </c>
      <c r="CQ142" s="502">
        <f t="shared" ref="CQ142:CQ152" si="53">($B142-CP142)^2/1000</f>
        <v>76.728999999999999</v>
      </c>
      <c r="CS142" s="536">
        <f>LN($B142-$CU$144)</f>
        <v>6.0378709199221374</v>
      </c>
      <c r="CT142" s="331"/>
      <c r="CU142" s="331"/>
      <c r="CV142" s="331"/>
      <c r="CW142" s="443">
        <f t="shared" ref="CW142:CW152" si="54">ROUND($CU$147*$D142^$CU$145+$CU$144,$G$1)</f>
        <v>90437</v>
      </c>
      <c r="CX142" s="502">
        <f t="shared" ref="CX142:CX152" si="55">($B142-CW142)^2/1000</f>
        <v>77.284000000000006</v>
      </c>
    </row>
    <row r="143" spans="1:102" ht="15" customHeight="1">
      <c r="A143" s="436">
        <f t="shared" si="26"/>
        <v>2007</v>
      </c>
      <c r="B143" s="437">
        <f t="shared" si="26"/>
        <v>92520</v>
      </c>
      <c r="C143" s="533">
        <f>LN(B143-$G$147)</f>
        <v>7.9229859587111955</v>
      </c>
      <c r="D143" s="438">
        <f t="shared" si="27"/>
        <v>2</v>
      </c>
      <c r="E143" s="534">
        <f>LN(D143)</f>
        <v>0.69314718055994529</v>
      </c>
      <c r="F143" s="498"/>
      <c r="I143" s="443">
        <f t="shared" si="28"/>
        <v>91496</v>
      </c>
      <c r="J143" s="446">
        <f>ABS(B143-I143)/B143*100</f>
        <v>1.1067877215737139</v>
      </c>
      <c r="K143" s="535">
        <f>(B143-I143)^2/1000</f>
        <v>1048.576</v>
      </c>
      <c r="M143" s="536">
        <f t="shared" ref="M143:M152" si="56">LN($B143-$O$144)</f>
        <v>8.6161331392711418</v>
      </c>
      <c r="N143" s="451"/>
      <c r="O143" s="451"/>
      <c r="P143" s="451"/>
      <c r="Q143" s="443">
        <f t="shared" si="30"/>
        <v>92085</v>
      </c>
      <c r="R143" s="443">
        <f t="shared" si="31"/>
        <v>189.22499999999999</v>
      </c>
      <c r="T143" s="536">
        <f t="shared" ref="T143:T152" si="57">LN($B143-$V$144)</f>
        <v>8.4162672728262766</v>
      </c>
      <c r="U143" s="451"/>
      <c r="V143" s="451"/>
      <c r="W143" s="451"/>
      <c r="X143" s="443">
        <f t="shared" si="32"/>
        <v>92003</v>
      </c>
      <c r="Y143" s="443">
        <f t="shared" si="33"/>
        <v>267.28899999999999</v>
      </c>
      <c r="AA143" s="536">
        <f t="shared" ref="AA143:AA152" si="58">LN($B143-$AC$144)</f>
        <v>8.1662162685921427</v>
      </c>
      <c r="AB143" s="451"/>
      <c r="AC143" s="451"/>
      <c r="AD143" s="451"/>
      <c r="AE143" s="443">
        <f t="shared" si="34"/>
        <v>91835</v>
      </c>
      <c r="AF143" s="443">
        <f t="shared" si="35"/>
        <v>469.22500000000002</v>
      </c>
      <c r="AH143" s="536">
        <f t="shared" ref="AH143:AH152" si="59">LN($B143-$AJ$144)</f>
        <v>7.8320141805054693</v>
      </c>
      <c r="AI143" s="451"/>
      <c r="AJ143" s="451"/>
      <c r="AK143" s="451"/>
      <c r="AL143" s="443">
        <f t="shared" si="36"/>
        <v>91207</v>
      </c>
      <c r="AM143" s="443">
        <f t="shared" si="37"/>
        <v>1723.9690000000001</v>
      </c>
      <c r="AO143" s="536">
        <f t="shared" ref="AO143:AO152" si="60">LN($B143-$AQ$144)</f>
        <v>7.3264656138403224</v>
      </c>
      <c r="AP143" s="451"/>
      <c r="AQ143" s="451"/>
      <c r="AR143" s="451"/>
      <c r="AS143" s="443" t="e">
        <f t="shared" si="38"/>
        <v>#VALUE!</v>
      </c>
      <c r="AT143" s="443" t="e">
        <f t="shared" si="39"/>
        <v>#VALUE!</v>
      </c>
      <c r="AV143" s="536">
        <f t="shared" ref="AV143:AV152" si="61">LN($B143-$AX$144)</f>
        <v>8.0130121103689156</v>
      </c>
      <c r="AW143" s="451"/>
      <c r="AX143" s="451"/>
      <c r="AY143" s="451"/>
      <c r="AZ143" s="443">
        <f t="shared" si="40"/>
        <v>91659</v>
      </c>
      <c r="BA143" s="443">
        <f t="shared" si="41"/>
        <v>741.32100000000003</v>
      </c>
      <c r="BC143" s="536">
        <f t="shared" ref="BC143:BC152" si="62">LN($B143-$BE$144)</f>
        <v>7.9793388952623276</v>
      </c>
      <c r="BD143" s="451"/>
      <c r="BE143" s="451"/>
      <c r="BF143" s="451"/>
      <c r="BG143" s="443">
        <f t="shared" si="42"/>
        <v>91606</v>
      </c>
      <c r="BH143" s="443">
        <f t="shared" si="43"/>
        <v>835.39599999999996</v>
      </c>
      <c r="BJ143" s="536">
        <f t="shared" ref="BJ143:BJ152" si="63">LN($B143-$BL$144)</f>
        <v>7.9444921639321588</v>
      </c>
      <c r="BK143" s="451"/>
      <c r="BL143" s="451"/>
      <c r="BM143" s="451"/>
      <c r="BN143" s="443">
        <f t="shared" si="44"/>
        <v>91542</v>
      </c>
      <c r="BO143" s="443">
        <f t="shared" si="45"/>
        <v>956.48400000000004</v>
      </c>
      <c r="BQ143" s="536">
        <f t="shared" ref="BQ143:BQ152" si="64">LN($B143-$BS$144)</f>
        <v>7.9083871592900428</v>
      </c>
      <c r="BR143" s="451"/>
      <c r="BS143" s="451"/>
      <c r="BT143" s="451"/>
      <c r="BU143" s="443">
        <f t="shared" si="46"/>
        <v>91462</v>
      </c>
      <c r="BV143" s="443">
        <f t="shared" si="47"/>
        <v>1119.364</v>
      </c>
      <c r="BX143" s="536">
        <f t="shared" ref="BX143:BX152" si="65">LN($B143-$BZ$144)</f>
        <v>7.8709295967551425</v>
      </c>
      <c r="BY143" s="451"/>
      <c r="BZ143" s="451"/>
      <c r="CA143" s="451"/>
      <c r="CB143" s="443">
        <f t="shared" si="48"/>
        <v>91357</v>
      </c>
      <c r="CC143" s="443">
        <f t="shared" si="49"/>
        <v>1352.569</v>
      </c>
      <c r="CE143" s="536">
        <f t="shared" ref="CE143:CE152" si="66">LN($B143-$CG$144)</f>
        <v>7.9266025991813844</v>
      </c>
      <c r="CF143" s="451"/>
      <c r="CG143" s="451"/>
      <c r="CH143" s="451"/>
      <c r="CI143" s="443">
        <f t="shared" si="50"/>
        <v>91504</v>
      </c>
      <c r="CJ143" s="443">
        <f t="shared" si="51"/>
        <v>1032.2560000000001</v>
      </c>
      <c r="CL143" s="536">
        <f t="shared" ref="CL143:CL152" si="67">LN($B143-$CN$144)</f>
        <v>7.9229859587111955</v>
      </c>
      <c r="CM143" s="451"/>
      <c r="CN143" s="451"/>
      <c r="CO143" s="451"/>
      <c r="CP143" s="443">
        <f t="shared" si="52"/>
        <v>91496</v>
      </c>
      <c r="CQ143" s="443">
        <f t="shared" si="53"/>
        <v>1048.576</v>
      </c>
      <c r="CS143" s="536">
        <f t="shared" ref="CS143:CS152" si="68">LN($B143-$CU$144)</f>
        <v>7.9302062066846828</v>
      </c>
      <c r="CT143" s="451"/>
      <c r="CU143" s="451"/>
      <c r="CV143" s="451"/>
      <c r="CW143" s="443">
        <f t="shared" si="54"/>
        <v>91512</v>
      </c>
      <c r="CX143" s="443">
        <f t="shared" si="55"/>
        <v>1016.064</v>
      </c>
    </row>
    <row r="144" spans="1:102" ht="15" customHeight="1">
      <c r="A144" s="436">
        <f t="shared" si="26"/>
        <v>2008</v>
      </c>
      <c r="B144" s="437">
        <f t="shared" si="26"/>
        <v>94144</v>
      </c>
      <c r="C144" s="533">
        <f>LN(B144-$G$147)</f>
        <v>8.3857168286278512</v>
      </c>
      <c r="D144" s="438">
        <f t="shared" si="27"/>
        <v>3</v>
      </c>
      <c r="E144" s="534">
        <f>LN(D144)</f>
        <v>1.0986122886681098</v>
      </c>
      <c r="F144" s="498" t="s">
        <v>312</v>
      </c>
      <c r="I144" s="443">
        <f t="shared" si="28"/>
        <v>92775</v>
      </c>
      <c r="J144" s="446">
        <f>ABS(B144-I144)/B144*100</f>
        <v>1.4541553365057782</v>
      </c>
      <c r="K144" s="535">
        <f>(B144-I144)^2/1000</f>
        <v>1874.1610000000001</v>
      </c>
      <c r="M144" s="536">
        <f t="shared" si="56"/>
        <v>8.8740281225563358</v>
      </c>
      <c r="N144" s="442" t="s">
        <v>313</v>
      </c>
      <c r="O144" s="537">
        <f>F159</f>
        <v>87000</v>
      </c>
      <c r="P144" s="451"/>
      <c r="Q144" s="443">
        <f t="shared" si="30"/>
        <v>93790</v>
      </c>
      <c r="R144" s="443">
        <f t="shared" si="31"/>
        <v>125.316</v>
      </c>
      <c r="T144" s="536">
        <f t="shared" si="57"/>
        <v>8.7232312748275085</v>
      </c>
      <c r="U144" s="442" t="s">
        <v>313</v>
      </c>
      <c r="V144" s="538">
        <f>F160</f>
        <v>88000</v>
      </c>
      <c r="W144" s="451"/>
      <c r="X144" s="443">
        <f t="shared" si="32"/>
        <v>93612</v>
      </c>
      <c r="Y144" s="443">
        <f t="shared" si="33"/>
        <v>283.024</v>
      </c>
      <c r="AA144" s="536">
        <f t="shared" si="58"/>
        <v>8.5455862659174553</v>
      </c>
      <c r="AB144" s="442" t="s">
        <v>313</v>
      </c>
      <c r="AC144" s="538">
        <f>F161</f>
        <v>89000</v>
      </c>
      <c r="AD144" s="451"/>
      <c r="AE144" s="443">
        <f t="shared" si="34"/>
        <v>93307</v>
      </c>
      <c r="AF144" s="443">
        <f t="shared" si="35"/>
        <v>700.56899999999996</v>
      </c>
      <c r="AH144" s="536">
        <f t="shared" si="59"/>
        <v>8.3294167839393189</v>
      </c>
      <c r="AI144" s="442" t="s">
        <v>313</v>
      </c>
      <c r="AJ144" s="538">
        <f>F162</f>
        <v>90000</v>
      </c>
      <c r="AK144" s="451"/>
      <c r="AL144" s="443">
        <f t="shared" si="36"/>
        <v>92343</v>
      </c>
      <c r="AM144" s="443">
        <f t="shared" si="37"/>
        <v>3243.6010000000001</v>
      </c>
      <c r="AO144" s="536">
        <f t="shared" si="60"/>
        <v>8.0532511535490965</v>
      </c>
      <c r="AP144" s="442" t="s">
        <v>313</v>
      </c>
      <c r="AQ144" s="538">
        <f>F163</f>
        <v>91000</v>
      </c>
      <c r="AR144" s="451"/>
      <c r="AS144" s="443" t="e">
        <f t="shared" si="38"/>
        <v>#VALUE!</v>
      </c>
      <c r="AT144" s="443" t="e">
        <f t="shared" si="39"/>
        <v>#VALUE!</v>
      </c>
      <c r="AV144" s="536">
        <f t="shared" si="61"/>
        <v>8.4433313428177819</v>
      </c>
      <c r="AW144" s="442" t="s">
        <v>313</v>
      </c>
      <c r="AX144" s="538">
        <f>F164</f>
        <v>89500</v>
      </c>
      <c r="AY144" s="538"/>
      <c r="AZ144" s="443">
        <f t="shared" si="40"/>
        <v>93024</v>
      </c>
      <c r="BA144" s="443">
        <f t="shared" si="41"/>
        <v>1254.4000000000001</v>
      </c>
      <c r="BC144" s="536">
        <f t="shared" si="62"/>
        <v>8.421562960400987</v>
      </c>
      <c r="BD144" s="442" t="s">
        <v>314</v>
      </c>
      <c r="BE144" s="538">
        <f>F165</f>
        <v>89600</v>
      </c>
      <c r="BF144" s="451"/>
      <c r="BG144" s="443">
        <f t="shared" si="42"/>
        <v>92942</v>
      </c>
      <c r="BH144" s="443">
        <f t="shared" si="43"/>
        <v>1444.8040000000001</v>
      </c>
      <c r="BJ144" s="536">
        <f t="shared" si="63"/>
        <v>8.3993101507595203</v>
      </c>
      <c r="BK144" s="442" t="s">
        <v>313</v>
      </c>
      <c r="BL144" s="538">
        <f>F166</f>
        <v>89700</v>
      </c>
      <c r="BM144" s="451"/>
      <c r="BN144" s="443">
        <f t="shared" si="44"/>
        <v>92844</v>
      </c>
      <c r="BO144" s="443">
        <f t="shared" si="45"/>
        <v>1690</v>
      </c>
      <c r="BQ144" s="536">
        <f t="shared" si="64"/>
        <v>8.3765508616137705</v>
      </c>
      <c r="BR144" s="442" t="s">
        <v>313</v>
      </c>
      <c r="BS144" s="538">
        <f>F167</f>
        <v>89800</v>
      </c>
      <c r="BT144" s="451"/>
      <c r="BU144" s="443">
        <f t="shared" si="46"/>
        <v>92724</v>
      </c>
      <c r="BV144" s="443">
        <f t="shared" si="47"/>
        <v>2016.4</v>
      </c>
      <c r="BX144" s="536">
        <f t="shared" si="65"/>
        <v>8.3532614997338737</v>
      </c>
      <c r="BY144" s="442" t="s">
        <v>313</v>
      </c>
      <c r="BZ144" s="538">
        <f>F168</f>
        <v>89900</v>
      </c>
      <c r="CA144" s="451"/>
      <c r="CB144" s="443">
        <f t="shared" si="48"/>
        <v>92567</v>
      </c>
      <c r="CC144" s="443">
        <f t="shared" si="49"/>
        <v>2486.9290000000001</v>
      </c>
      <c r="CE144" s="536">
        <f t="shared" si="66"/>
        <v>8.3879952529445561</v>
      </c>
      <c r="CF144" s="442" t="s">
        <v>313</v>
      </c>
      <c r="CG144" s="538">
        <f>F169</f>
        <v>89750</v>
      </c>
      <c r="CH144" s="451"/>
      <c r="CI144" s="443">
        <f t="shared" si="50"/>
        <v>92787</v>
      </c>
      <c r="CJ144" s="443">
        <f t="shared" si="51"/>
        <v>1841.4490000000001</v>
      </c>
      <c r="CL144" s="536">
        <f t="shared" si="67"/>
        <v>8.3857168286278512</v>
      </c>
      <c r="CM144" s="442" t="s">
        <v>313</v>
      </c>
      <c r="CN144" s="538">
        <f>F170</f>
        <v>89760</v>
      </c>
      <c r="CO144" s="451"/>
      <c r="CP144" s="443">
        <f t="shared" si="52"/>
        <v>92775</v>
      </c>
      <c r="CQ144" s="443">
        <f t="shared" si="53"/>
        <v>1874.1610000000001</v>
      </c>
      <c r="CS144" s="536">
        <f t="shared" si="68"/>
        <v>8.3902684978425714</v>
      </c>
      <c r="CT144" s="442" t="s">
        <v>313</v>
      </c>
      <c r="CU144" s="538">
        <f>F171</f>
        <v>89740</v>
      </c>
      <c r="CV144" s="451"/>
      <c r="CW144" s="443">
        <f t="shared" si="54"/>
        <v>92799</v>
      </c>
      <c r="CX144" s="443">
        <f t="shared" si="55"/>
        <v>1809.0250000000001</v>
      </c>
    </row>
    <row r="145" spans="1:102" ht="15" customHeight="1">
      <c r="A145" s="436">
        <f t="shared" si="26"/>
        <v>2009</v>
      </c>
      <c r="B145" s="437">
        <f t="shared" si="26"/>
        <v>94580</v>
      </c>
      <c r="C145" s="533">
        <f t="shared" ref="C145:C152" si="69">LN(B145-$G$147)</f>
        <v>8.4805292070446452</v>
      </c>
      <c r="D145" s="438">
        <f t="shared" si="27"/>
        <v>4</v>
      </c>
      <c r="E145" s="534">
        <f t="shared" ref="E145:E152" si="70">LN(D145)</f>
        <v>1.3862943611198906</v>
      </c>
      <c r="F145" s="451" t="s">
        <v>315</v>
      </c>
      <c r="G145" s="539"/>
      <c r="H145" s="439"/>
      <c r="I145" s="443">
        <f t="shared" si="28"/>
        <v>94220</v>
      </c>
      <c r="J145" s="446">
        <f>ABS(B145-I145)/B145*100</f>
        <v>0.38063015436667375</v>
      </c>
      <c r="K145" s="535">
        <f t="shared" ref="K145:K152" si="71">(B145-I145)^2/1000</f>
        <v>129.6</v>
      </c>
      <c r="M145" s="536">
        <f t="shared" si="56"/>
        <v>8.9332684786364176</v>
      </c>
      <c r="N145" s="442" t="s">
        <v>316</v>
      </c>
      <c r="O145" s="504">
        <f>INDEX(LINEST(M142:M152,$E142:$E152),1)</f>
        <v>0.71326811457204653</v>
      </c>
      <c r="Q145" s="443">
        <f t="shared" si="30"/>
        <v>95337</v>
      </c>
      <c r="R145" s="443">
        <f t="shared" si="31"/>
        <v>573.04899999999998</v>
      </c>
      <c r="T145" s="536">
        <f t="shared" si="57"/>
        <v>8.7917900243193632</v>
      </c>
      <c r="U145" s="442" t="s">
        <v>316</v>
      </c>
      <c r="V145" s="504">
        <f>INDEX(LINEST(T142:T152,$E142:$E152),1)</f>
        <v>0.83363548800887055</v>
      </c>
      <c r="X145" s="443">
        <f t="shared" si="32"/>
        <v>95133</v>
      </c>
      <c r="Y145" s="443">
        <f t="shared" si="33"/>
        <v>305.80900000000003</v>
      </c>
      <c r="AA145" s="536">
        <f t="shared" si="58"/>
        <v>8.6269440553753558</v>
      </c>
      <c r="AB145" s="442" t="s">
        <v>316</v>
      </c>
      <c r="AC145" s="504">
        <f>INDEX(LINEST(AA142:AA152,$E142:$E152),1)</f>
        <v>1.0314331328474113</v>
      </c>
      <c r="AE145" s="443">
        <f t="shared" si="34"/>
        <v>94794</v>
      </c>
      <c r="AF145" s="443">
        <f t="shared" si="35"/>
        <v>45.795999999999999</v>
      </c>
      <c r="AH145" s="536">
        <f t="shared" si="59"/>
        <v>8.4294542771082313</v>
      </c>
      <c r="AI145" s="442" t="s">
        <v>316</v>
      </c>
      <c r="AJ145" s="504">
        <f>INDEX(LINEST(AH142:AH152,$E142:$E152),1)</f>
        <v>1.6347452054813099</v>
      </c>
      <c r="AL145" s="443">
        <f t="shared" si="36"/>
        <v>93749</v>
      </c>
      <c r="AM145" s="443">
        <f t="shared" si="37"/>
        <v>690.56100000000004</v>
      </c>
      <c r="AO145" s="536">
        <f t="shared" si="60"/>
        <v>8.1831180793947453</v>
      </c>
      <c r="AP145" s="442" t="s">
        <v>316</v>
      </c>
      <c r="AQ145" s="504" t="e">
        <f>INDEX(LINEST(AO142:AO152,$E142:$E152),1)</f>
        <v>#VALUE!</v>
      </c>
      <c r="AS145" s="443" t="e">
        <f t="shared" si="38"/>
        <v>#VALUE!</v>
      </c>
      <c r="AT145" s="443" t="e">
        <f t="shared" si="39"/>
        <v>#VALUE!</v>
      </c>
      <c r="AV145" s="536">
        <f t="shared" si="61"/>
        <v>8.533066540572527</v>
      </c>
      <c r="AW145" s="442" t="s">
        <v>316</v>
      </c>
      <c r="AX145" s="504">
        <f>INDEX(LINEST(AV142:AV152,$E142:$E152),1)</f>
        <v>1.2078159387275078</v>
      </c>
      <c r="AZ145" s="443">
        <f t="shared" si="40"/>
        <v>94488</v>
      </c>
      <c r="BA145" s="443">
        <f t="shared" si="41"/>
        <v>8.4640000000000004</v>
      </c>
      <c r="BC145" s="536">
        <f t="shared" si="62"/>
        <v>8.5131851700186978</v>
      </c>
      <c r="BD145" s="442" t="s">
        <v>316</v>
      </c>
      <c r="BE145" s="504">
        <f>INDEX(LINEST(BC142:BC152,$E142:$E152),1)</f>
        <v>1.2584259455182025</v>
      </c>
      <c r="BG145" s="443">
        <f t="shared" si="42"/>
        <v>94399</v>
      </c>
      <c r="BH145" s="443">
        <f t="shared" si="43"/>
        <v>32.761000000000003</v>
      </c>
      <c r="BJ145" s="536">
        <f t="shared" si="63"/>
        <v>8.4929004988471934</v>
      </c>
      <c r="BK145" s="442" t="s">
        <v>316</v>
      </c>
      <c r="BL145" s="504">
        <f>INDEX(LINEST(BJ142:BJ152,$E142:$E152),1)</f>
        <v>1.3185636361045465</v>
      </c>
      <c r="BN145" s="443">
        <f t="shared" si="44"/>
        <v>94294</v>
      </c>
      <c r="BO145" s="443">
        <f t="shared" si="45"/>
        <v>81.796000000000006</v>
      </c>
      <c r="BQ145" s="536">
        <f t="shared" si="64"/>
        <v>8.4721958254855014</v>
      </c>
      <c r="BR145" s="442" t="s">
        <v>316</v>
      </c>
      <c r="BS145" s="504">
        <f>INDEX(LINEST(BQ142:BQ152,$E142:$E152),1)</f>
        <v>1.3928595534250547</v>
      </c>
      <c r="BU145" s="443">
        <f t="shared" si="46"/>
        <v>94164</v>
      </c>
      <c r="BV145" s="443">
        <f t="shared" si="47"/>
        <v>173.05600000000001</v>
      </c>
      <c r="BX145" s="536">
        <f t="shared" si="65"/>
        <v>8.4510533889116921</v>
      </c>
      <c r="BY145" s="442" t="s">
        <v>316</v>
      </c>
      <c r="BZ145" s="504">
        <f>INDEX(LINEST(BX142:BX152,$E142:$E152),1)</f>
        <v>1.4905412902590516</v>
      </c>
      <c r="CB145" s="443">
        <f t="shared" si="48"/>
        <v>93995</v>
      </c>
      <c r="CC145" s="443">
        <f t="shared" si="49"/>
        <v>342.22500000000002</v>
      </c>
      <c r="CE145" s="536">
        <f t="shared" si="66"/>
        <v>8.482601746646619</v>
      </c>
      <c r="CF145" s="442" t="s">
        <v>316</v>
      </c>
      <c r="CG145" s="504">
        <f>INDEX(LINEST(CE142:CE152,$E142:$E152),1)</f>
        <v>1.3535251476198726</v>
      </c>
      <c r="CI145" s="443">
        <f t="shared" si="50"/>
        <v>94233</v>
      </c>
      <c r="CJ145" s="443">
        <f t="shared" si="51"/>
        <v>120.40900000000001</v>
      </c>
      <c r="CL145" s="536">
        <f t="shared" si="67"/>
        <v>8.4805292070446452</v>
      </c>
      <c r="CM145" s="442" t="s">
        <v>316</v>
      </c>
      <c r="CN145" s="504">
        <f>INDEX(LINEST(CL142:CL152,$E142:$E152),1)</f>
        <v>1.3610076811221821</v>
      </c>
      <c r="CP145" s="443">
        <f t="shared" si="52"/>
        <v>94220</v>
      </c>
      <c r="CQ145" s="443">
        <f t="shared" si="53"/>
        <v>129.6</v>
      </c>
      <c r="CS145" s="536">
        <f t="shared" si="68"/>
        <v>8.4846699997106771</v>
      </c>
      <c r="CT145" s="442" t="s">
        <v>316</v>
      </c>
      <c r="CU145" s="504">
        <f>INDEX(LINEST(CS142:CS152,$E142:$E152),1)</f>
        <v>1.3462162876552155</v>
      </c>
      <c r="CW145" s="443">
        <f t="shared" si="54"/>
        <v>94246</v>
      </c>
      <c r="CX145" s="443">
        <f t="shared" si="55"/>
        <v>111.556</v>
      </c>
    </row>
    <row r="146" spans="1:102" ht="15" customHeight="1">
      <c r="A146" s="436">
        <f t="shared" si="26"/>
        <v>2010</v>
      </c>
      <c r="B146" s="437">
        <f t="shared" si="26"/>
        <v>96214</v>
      </c>
      <c r="C146" s="533">
        <f t="shared" si="69"/>
        <v>8.7724553726119066</v>
      </c>
      <c r="D146" s="438">
        <f t="shared" si="27"/>
        <v>5</v>
      </c>
      <c r="E146" s="534">
        <f t="shared" si="70"/>
        <v>1.6094379124341003</v>
      </c>
      <c r="I146" s="443">
        <f t="shared" si="28"/>
        <v>95803</v>
      </c>
      <c r="J146" s="446">
        <f>ABS(B146-I146)/B146*100</f>
        <v>0.427172760720893</v>
      </c>
      <c r="K146" s="443">
        <f t="shared" si="71"/>
        <v>168.92099999999999</v>
      </c>
      <c r="M146" s="536">
        <f t="shared" si="56"/>
        <v>9.1284793454958617</v>
      </c>
      <c r="N146" s="442" t="s">
        <v>317</v>
      </c>
      <c r="O146" s="442" t="s">
        <v>318</v>
      </c>
      <c r="P146" s="504">
        <f>INDEX(LINEST(M142:M152,$E142:$E152),2)</f>
        <v>8.0396664307197341</v>
      </c>
      <c r="Q146" s="443">
        <f t="shared" si="30"/>
        <v>96775</v>
      </c>
      <c r="R146" s="443">
        <f t="shared" si="31"/>
        <v>314.721</v>
      </c>
      <c r="T146" s="536">
        <f t="shared" si="57"/>
        <v>9.0135952945165041</v>
      </c>
      <c r="U146" s="442" t="s">
        <v>317</v>
      </c>
      <c r="V146" s="442" t="s">
        <v>318</v>
      </c>
      <c r="W146" s="504">
        <f>INDEX(LINEST(T142:T152,$E142:$E152),2)</f>
        <v>7.716873178985165</v>
      </c>
      <c r="X146" s="443">
        <f t="shared" si="32"/>
        <v>96592</v>
      </c>
      <c r="Y146" s="443">
        <f t="shared" si="33"/>
        <v>142.88399999999999</v>
      </c>
      <c r="AA146" s="536">
        <f t="shared" si="58"/>
        <v>8.8837788614634849</v>
      </c>
      <c r="AB146" s="442" t="s">
        <v>317</v>
      </c>
      <c r="AC146" s="442" t="s">
        <v>318</v>
      </c>
      <c r="AD146" s="504">
        <f>INDEX(LINEST(AA142:AA152,$E142:$E152),2)</f>
        <v>7.234780916112503</v>
      </c>
      <c r="AE146" s="443">
        <f t="shared" si="34"/>
        <v>96294</v>
      </c>
      <c r="AF146" s="443">
        <f t="shared" si="35"/>
        <v>6.4</v>
      </c>
      <c r="AH146" s="536">
        <f t="shared" si="59"/>
        <v>8.7345600899529927</v>
      </c>
      <c r="AI146" s="442" t="s">
        <v>317</v>
      </c>
      <c r="AJ146" s="442" t="s">
        <v>318</v>
      </c>
      <c r="AK146" s="504">
        <f>INDEX(LINEST(AH142:AH152,$E142:$E152),2)</f>
        <v>5.9631293054922709</v>
      </c>
      <c r="AL146" s="443">
        <f t="shared" si="36"/>
        <v>95400</v>
      </c>
      <c r="AM146" s="443">
        <f t="shared" si="37"/>
        <v>662.596</v>
      </c>
      <c r="AO146" s="536">
        <f t="shared" si="60"/>
        <v>8.5591025944934476</v>
      </c>
      <c r="AP146" s="442" t="s">
        <v>317</v>
      </c>
      <c r="AQ146" s="442" t="s">
        <v>318</v>
      </c>
      <c r="AR146" s="504" t="e">
        <f>INDEX(LINEST(AO142:AO152,$E142:$E152),2)</f>
        <v>#VALUE!</v>
      </c>
      <c r="AS146" s="443" t="e">
        <f t="shared" si="38"/>
        <v>#VALUE!</v>
      </c>
      <c r="AT146" s="443" t="e">
        <f t="shared" si="39"/>
        <v>#VALUE!</v>
      </c>
      <c r="AV146" s="536">
        <f t="shared" si="61"/>
        <v>8.8119501775399804</v>
      </c>
      <c r="AW146" s="442" t="s">
        <v>317</v>
      </c>
      <c r="AX146" s="442" t="s">
        <v>318</v>
      </c>
      <c r="AY146" s="504">
        <f>INDEX(LINEST(AV142:AV152,$E142:$E152),2)</f>
        <v>6.8403438427918832</v>
      </c>
      <c r="AZ146" s="443">
        <f t="shared" si="40"/>
        <v>96031</v>
      </c>
      <c r="BA146" s="443">
        <f t="shared" si="41"/>
        <v>33.488999999999997</v>
      </c>
      <c r="BC146" s="536">
        <f t="shared" si="62"/>
        <v>8.7969438935417372</v>
      </c>
      <c r="BD146" s="442" t="s">
        <v>317</v>
      </c>
      <c r="BE146" s="442" t="s">
        <v>318</v>
      </c>
      <c r="BF146" s="504">
        <f>INDEX(LINEST(BC142:BC152,$E142:$E152),2)</f>
        <v>6.7316665196297221</v>
      </c>
      <c r="BG146" s="443">
        <f t="shared" si="42"/>
        <v>95955</v>
      </c>
      <c r="BH146" s="443">
        <f t="shared" si="43"/>
        <v>67.081000000000003</v>
      </c>
      <c r="BJ146" s="536">
        <f t="shared" si="63"/>
        <v>8.781708985836179</v>
      </c>
      <c r="BK146" s="442" t="s">
        <v>317</v>
      </c>
      <c r="BL146" s="442" t="s">
        <v>318</v>
      </c>
      <c r="BM146" s="504">
        <f>INDEX(LINEST(BJ142:BJ152,$E142:$E152),2)</f>
        <v>6.6046146923042386</v>
      </c>
      <c r="BN146" s="443">
        <f t="shared" si="44"/>
        <v>95866</v>
      </c>
      <c r="BO146" s="443">
        <f t="shared" si="45"/>
        <v>121.104</v>
      </c>
      <c r="BQ146" s="536">
        <f t="shared" si="64"/>
        <v>8.7662383802530996</v>
      </c>
      <c r="BR146" s="442" t="s">
        <v>317</v>
      </c>
      <c r="BS146" s="442" t="s">
        <v>318</v>
      </c>
      <c r="BT146" s="504">
        <f>INDEX(LINEST(BQ142:BQ152,$E142:$E152),2)</f>
        <v>6.4503437186212729</v>
      </c>
      <c r="BU146" s="443">
        <f t="shared" si="46"/>
        <v>95755</v>
      </c>
      <c r="BV146" s="443">
        <f t="shared" si="47"/>
        <v>210.68100000000001</v>
      </c>
      <c r="BX146" s="536">
        <f t="shared" si="65"/>
        <v>8.7505246691179366</v>
      </c>
      <c r="BY146" s="442" t="s">
        <v>317</v>
      </c>
      <c r="BZ146" s="442" t="s">
        <v>318</v>
      </c>
      <c r="CA146" s="504">
        <f>INDEX(LINEST(BX142:BX152,$E142:$E152),2)</f>
        <v>6.2512356426133389</v>
      </c>
      <c r="CB146" s="443">
        <f t="shared" si="48"/>
        <v>95611</v>
      </c>
      <c r="CC146" s="443">
        <f t="shared" si="49"/>
        <v>363.60899999999998</v>
      </c>
      <c r="CE146" s="536">
        <f t="shared" si="66"/>
        <v>8.7740036002009312</v>
      </c>
      <c r="CF146" s="442" t="s">
        <v>317</v>
      </c>
      <c r="CG146" s="442" t="s">
        <v>318</v>
      </c>
      <c r="CH146" s="504">
        <f>INDEX(LINEST(CE142:CE152,$E142:$E152),2)</f>
        <v>6.5316772663923333</v>
      </c>
      <c r="CI146" s="443">
        <f t="shared" si="50"/>
        <v>95814</v>
      </c>
      <c r="CJ146" s="443">
        <f t="shared" si="51"/>
        <v>160</v>
      </c>
      <c r="CL146" s="536">
        <f t="shared" si="67"/>
        <v>8.7724553726119066</v>
      </c>
      <c r="CM146" s="442" t="s">
        <v>317</v>
      </c>
      <c r="CN146" s="442" t="s">
        <v>318</v>
      </c>
      <c r="CO146" s="504">
        <f>INDEX(LINEST(CL142:CL152,$E142:$E152),2)</f>
        <v>6.5161481494172175</v>
      </c>
      <c r="CP146" s="443">
        <f t="shared" si="52"/>
        <v>95803</v>
      </c>
      <c r="CQ146" s="443">
        <f t="shared" si="53"/>
        <v>168.92099999999999</v>
      </c>
      <c r="CS146" s="536">
        <f t="shared" si="68"/>
        <v>8.7755494344861891</v>
      </c>
      <c r="CT146" s="442" t="s">
        <v>317</v>
      </c>
      <c r="CU146" s="442" t="s">
        <v>318</v>
      </c>
      <c r="CV146" s="504">
        <f>INDEX(LINEST(CS142:CS152,$E142:$E152),2)</f>
        <v>6.5468729092171234</v>
      </c>
      <c r="CW146" s="443">
        <f t="shared" si="54"/>
        <v>95825</v>
      </c>
      <c r="CX146" s="443">
        <f t="shared" si="55"/>
        <v>151.321</v>
      </c>
    </row>
    <row r="147" spans="1:102" ht="15" customHeight="1">
      <c r="A147" s="436">
        <f t="shared" si="26"/>
        <v>2011</v>
      </c>
      <c r="B147" s="437">
        <f t="shared" si="26"/>
        <v>96993</v>
      </c>
      <c r="C147" s="533">
        <f t="shared" si="69"/>
        <v>8.8864091668492815</v>
      </c>
      <c r="D147" s="438">
        <f t="shared" si="27"/>
        <v>6</v>
      </c>
      <c r="E147" s="534">
        <f t="shared" si="70"/>
        <v>1.791759469228055</v>
      </c>
      <c r="F147" s="540" t="s">
        <v>314</v>
      </c>
      <c r="G147" s="541">
        <f>INDEX(F159:L171,MATCH(1,L159:L171,0),1)</f>
        <v>89760</v>
      </c>
      <c r="H147" s="439"/>
      <c r="I147" s="443">
        <f t="shared" si="28"/>
        <v>97505</v>
      </c>
      <c r="J147" s="446">
        <f t="shared" si="29"/>
        <v>0.52787314548472575</v>
      </c>
      <c r="K147" s="443">
        <f t="shared" si="71"/>
        <v>262.14400000000001</v>
      </c>
      <c r="M147" s="536">
        <f t="shared" si="56"/>
        <v>9.2096401268617889</v>
      </c>
      <c r="N147" s="442" t="s">
        <v>319</v>
      </c>
      <c r="O147" s="542">
        <f>EXP(P146)</f>
        <v>3101.5784264713552</v>
      </c>
      <c r="P147" s="451"/>
      <c r="Q147" s="443">
        <f t="shared" si="30"/>
        <v>98133</v>
      </c>
      <c r="R147" s="443">
        <f t="shared" si="31"/>
        <v>1299.5999999999999</v>
      </c>
      <c r="T147" s="536">
        <f t="shared" si="57"/>
        <v>9.1042017759145146</v>
      </c>
      <c r="U147" s="442" t="s">
        <v>305</v>
      </c>
      <c r="V147" s="542">
        <f>EXP(W146)</f>
        <v>2245.9259813401977</v>
      </c>
      <c r="W147" s="504"/>
      <c r="X147" s="443">
        <f t="shared" si="32"/>
        <v>98002</v>
      </c>
      <c r="Y147" s="443">
        <f t="shared" si="33"/>
        <v>1018.081</v>
      </c>
      <c r="AA147" s="536">
        <f t="shared" si="58"/>
        <v>8.9863214376260192</v>
      </c>
      <c r="AB147" s="442" t="s">
        <v>305</v>
      </c>
      <c r="AC147" s="542">
        <f>EXP(AD146)</f>
        <v>1386.8370312463144</v>
      </c>
      <c r="AD147" s="451"/>
      <c r="AE147" s="443">
        <f t="shared" si="34"/>
        <v>97803</v>
      </c>
      <c r="AF147" s="443">
        <f t="shared" si="35"/>
        <v>656.1</v>
      </c>
      <c r="AH147" s="536">
        <f t="shared" si="59"/>
        <v>8.8526649277038665</v>
      </c>
      <c r="AI147" s="442" t="s">
        <v>305</v>
      </c>
      <c r="AJ147" s="542">
        <f>EXP(AK146)</f>
        <v>388.8249745559333</v>
      </c>
      <c r="AK147" s="451"/>
      <c r="AL147" s="443">
        <f t="shared" si="36"/>
        <v>97275</v>
      </c>
      <c r="AM147" s="443">
        <f t="shared" si="37"/>
        <v>79.524000000000001</v>
      </c>
      <c r="AO147" s="536">
        <f t="shared" si="60"/>
        <v>8.6983474004581858</v>
      </c>
      <c r="AP147" s="442" t="s">
        <v>305</v>
      </c>
      <c r="AQ147" s="542" t="e">
        <f>EXP(AR146)</f>
        <v>#VALUE!</v>
      </c>
      <c r="AR147" s="451"/>
      <c r="AS147" s="443" t="e">
        <f t="shared" si="38"/>
        <v>#VALUE!</v>
      </c>
      <c r="AT147" s="443" t="e">
        <f t="shared" si="39"/>
        <v>#VALUE!</v>
      </c>
      <c r="AV147" s="536">
        <f t="shared" si="61"/>
        <v>8.92172453036431</v>
      </c>
      <c r="AW147" s="442" t="s">
        <v>305</v>
      </c>
      <c r="AX147" s="542">
        <f>EXP(AY146)</f>
        <v>934.81050732993992</v>
      </c>
      <c r="AY147" s="451"/>
      <c r="AZ147" s="443">
        <f t="shared" si="40"/>
        <v>97639</v>
      </c>
      <c r="BA147" s="443">
        <f t="shared" si="41"/>
        <v>417.31599999999997</v>
      </c>
      <c r="BC147" s="536">
        <f t="shared" si="62"/>
        <v>8.9082888855571003</v>
      </c>
      <c r="BD147" s="442" t="s">
        <v>305</v>
      </c>
      <c r="BE147" s="542">
        <f>EXP(BF146)</f>
        <v>838.54355145126135</v>
      </c>
      <c r="BF147" s="451"/>
      <c r="BG147" s="443">
        <f t="shared" si="42"/>
        <v>97594</v>
      </c>
      <c r="BH147" s="443">
        <f t="shared" si="43"/>
        <v>361.20100000000002</v>
      </c>
      <c r="BJ147" s="536">
        <f t="shared" si="63"/>
        <v>8.8946702629842331</v>
      </c>
      <c r="BK147" s="442" t="s">
        <v>305</v>
      </c>
      <c r="BL147" s="542">
        <f>EXP(BM146)</f>
        <v>738.49526647594598</v>
      </c>
      <c r="BM147" s="451"/>
      <c r="BN147" s="443">
        <f t="shared" si="44"/>
        <v>97541</v>
      </c>
      <c r="BO147" s="443">
        <f t="shared" si="45"/>
        <v>300.30399999999997</v>
      </c>
      <c r="BQ147" s="536">
        <f t="shared" si="64"/>
        <v>8.8808636098673563</v>
      </c>
      <c r="BR147" s="442" t="s">
        <v>305</v>
      </c>
      <c r="BS147" s="542">
        <f>EXP(BT146)</f>
        <v>632.91980175080982</v>
      </c>
      <c r="BT147" s="451"/>
      <c r="BU147" s="443">
        <f t="shared" si="46"/>
        <v>97477</v>
      </c>
      <c r="BV147" s="443">
        <f t="shared" si="47"/>
        <v>234.256</v>
      </c>
      <c r="BX147" s="536">
        <f t="shared" si="65"/>
        <v>8.8668636612020872</v>
      </c>
      <c r="BY147" s="442" t="s">
        <v>305</v>
      </c>
      <c r="BZ147" s="542">
        <f>EXP(CA146)</f>
        <v>518.65329900596009</v>
      </c>
      <c r="CA147" s="451"/>
      <c r="CB147" s="443">
        <f t="shared" si="48"/>
        <v>97395</v>
      </c>
      <c r="CC147" s="443">
        <f t="shared" si="49"/>
        <v>161.60400000000001</v>
      </c>
      <c r="CE147" s="536">
        <f t="shared" si="66"/>
        <v>8.8877907641953264</v>
      </c>
      <c r="CF147" s="442" t="s">
        <v>305</v>
      </c>
      <c r="CG147" s="542">
        <f>EXP(CH146)</f>
        <v>686.54877150539937</v>
      </c>
      <c r="CH147" s="451"/>
      <c r="CI147" s="443">
        <f t="shared" si="50"/>
        <v>97511</v>
      </c>
      <c r="CJ147" s="443">
        <f t="shared" si="51"/>
        <v>268.32400000000001</v>
      </c>
      <c r="CL147" s="536">
        <f t="shared" si="67"/>
        <v>8.8864091668492815</v>
      </c>
      <c r="CM147" s="442" t="s">
        <v>305</v>
      </c>
      <c r="CN147" s="542">
        <f>EXP(CO146)</f>
        <v>675.96963028320488</v>
      </c>
      <c r="CO147" s="451"/>
      <c r="CP147" s="443">
        <f t="shared" si="52"/>
        <v>97505</v>
      </c>
      <c r="CQ147" s="443">
        <f t="shared" si="53"/>
        <v>262.14400000000001</v>
      </c>
      <c r="CS147" s="536">
        <f t="shared" si="68"/>
        <v>8.8891704553634128</v>
      </c>
      <c r="CT147" s="442" t="s">
        <v>305</v>
      </c>
      <c r="CU147" s="542">
        <f>EXP(CV146)</f>
        <v>697.06098909243667</v>
      </c>
      <c r="CV147" s="451"/>
      <c r="CW147" s="443">
        <f t="shared" si="54"/>
        <v>97517</v>
      </c>
      <c r="CX147" s="443">
        <f t="shared" si="55"/>
        <v>274.57600000000002</v>
      </c>
    </row>
    <row r="148" spans="1:102" ht="15" customHeight="1">
      <c r="A148" s="436">
        <f t="shared" si="26"/>
        <v>2012</v>
      </c>
      <c r="B148" s="437">
        <f t="shared" si="26"/>
        <v>98279</v>
      </c>
      <c r="C148" s="533">
        <f t="shared" si="69"/>
        <v>9.0500542420428403</v>
      </c>
      <c r="D148" s="438">
        <f t="shared" si="27"/>
        <v>7</v>
      </c>
      <c r="E148" s="534">
        <f t="shared" si="70"/>
        <v>1.9459101490553132</v>
      </c>
      <c r="F148" s="540" t="s">
        <v>306</v>
      </c>
      <c r="G148" s="504">
        <f>INDEX(LINEST(C142:C152,E142:E152),1)</f>
        <v>1.3610076811221821</v>
      </c>
      <c r="H148" s="439"/>
      <c r="I148" s="443">
        <f t="shared" si="28"/>
        <v>99312</v>
      </c>
      <c r="J148" s="446">
        <f t="shared" si="29"/>
        <v>1.0510892459223231</v>
      </c>
      <c r="K148" s="443">
        <f t="shared" si="71"/>
        <v>1067.0889999999999</v>
      </c>
      <c r="M148" s="536">
        <f t="shared" si="56"/>
        <v>9.3306978686399162</v>
      </c>
      <c r="Q148" s="443">
        <f t="shared" si="30"/>
        <v>99427</v>
      </c>
      <c r="R148" s="443">
        <f t="shared" si="31"/>
        <v>1317.904</v>
      </c>
      <c r="T148" s="536">
        <f t="shared" si="57"/>
        <v>9.2378582580129223</v>
      </c>
      <c r="W148" s="451"/>
      <c r="X148" s="443">
        <f t="shared" si="32"/>
        <v>99374</v>
      </c>
      <c r="Y148" s="443">
        <f t="shared" si="33"/>
        <v>1199.0250000000001</v>
      </c>
      <c r="AA148" s="536">
        <f t="shared" si="58"/>
        <v>9.1355090613531793</v>
      </c>
      <c r="AD148" s="451"/>
      <c r="AE148" s="443">
        <f t="shared" si="34"/>
        <v>99320</v>
      </c>
      <c r="AF148" s="443">
        <f t="shared" si="35"/>
        <v>1083.681</v>
      </c>
      <c r="AH148" s="536">
        <f t="shared" si="59"/>
        <v>9.0214774671388067</v>
      </c>
      <c r="AK148" s="451"/>
      <c r="AL148" s="443">
        <f t="shared" si="36"/>
        <v>99360</v>
      </c>
      <c r="AM148" s="443">
        <f t="shared" si="37"/>
        <v>1168.5609999999999</v>
      </c>
      <c r="AO148" s="536">
        <f t="shared" si="60"/>
        <v>8.8927487691182581</v>
      </c>
      <c r="AR148" s="451"/>
      <c r="AS148" s="443" t="e">
        <f t="shared" si="38"/>
        <v>#VALUE!</v>
      </c>
      <c r="AT148" s="443" t="e">
        <f t="shared" si="39"/>
        <v>#VALUE!</v>
      </c>
      <c r="AV148" s="536">
        <f t="shared" si="61"/>
        <v>9.0801177849262089</v>
      </c>
      <c r="AY148" s="451"/>
      <c r="AZ148" s="443">
        <f t="shared" si="40"/>
        <v>99305</v>
      </c>
      <c r="BA148" s="443">
        <f t="shared" si="41"/>
        <v>1052.6759999999999</v>
      </c>
      <c r="BC148" s="536">
        <f t="shared" si="62"/>
        <v>9.0686615936442454</v>
      </c>
      <c r="BF148" s="451"/>
      <c r="BG148" s="443">
        <f t="shared" si="42"/>
        <v>99306</v>
      </c>
      <c r="BH148" s="443">
        <f t="shared" si="43"/>
        <v>1054.729</v>
      </c>
      <c r="BJ148" s="536">
        <f t="shared" si="63"/>
        <v>9.0570726355729647</v>
      </c>
      <c r="BM148" s="451"/>
      <c r="BN148" s="443">
        <f t="shared" si="44"/>
        <v>99309</v>
      </c>
      <c r="BO148" s="443">
        <f t="shared" si="45"/>
        <v>1060.9000000000001</v>
      </c>
      <c r="BQ148" s="536">
        <f t="shared" si="64"/>
        <v>9.0453477973040037</v>
      </c>
      <c r="BT148" s="451"/>
      <c r="BU148" s="443">
        <f t="shared" si="46"/>
        <v>99316</v>
      </c>
      <c r="BV148" s="443">
        <f t="shared" si="47"/>
        <v>1075.3689999999999</v>
      </c>
      <c r="BX148" s="536">
        <f t="shared" si="65"/>
        <v>9.0334838546132872</v>
      </c>
      <c r="CA148" s="451"/>
      <c r="CB148" s="443">
        <f t="shared" si="48"/>
        <v>99330</v>
      </c>
      <c r="CC148" s="443">
        <f t="shared" si="49"/>
        <v>1104.6010000000001</v>
      </c>
      <c r="CE148" s="536">
        <f t="shared" si="66"/>
        <v>9.0512274003191102</v>
      </c>
      <c r="CH148" s="451"/>
      <c r="CI148" s="443">
        <f t="shared" si="50"/>
        <v>99312</v>
      </c>
      <c r="CJ148" s="443">
        <f t="shared" si="51"/>
        <v>1067.0889999999999</v>
      </c>
      <c r="CL148" s="536">
        <f t="shared" si="67"/>
        <v>9.0500542420428403</v>
      </c>
      <c r="CO148" s="451"/>
      <c r="CP148" s="443">
        <f t="shared" si="52"/>
        <v>99312</v>
      </c>
      <c r="CQ148" s="443">
        <f t="shared" si="53"/>
        <v>1067.0889999999999</v>
      </c>
      <c r="CS148" s="536">
        <f t="shared" si="68"/>
        <v>9.0523991839076068</v>
      </c>
      <c r="CV148" s="451"/>
      <c r="CW148" s="443">
        <f t="shared" si="54"/>
        <v>99311</v>
      </c>
      <c r="CX148" s="443">
        <f t="shared" si="55"/>
        <v>1065.0239999999999</v>
      </c>
    </row>
    <row r="149" spans="1:102" ht="15" customHeight="1">
      <c r="A149" s="436">
        <f t="shared" si="26"/>
        <v>2013</v>
      </c>
      <c r="B149" s="437">
        <f t="shared" si="26"/>
        <v>99952</v>
      </c>
      <c r="C149" s="533">
        <f t="shared" si="69"/>
        <v>9.2293583778119448</v>
      </c>
      <c r="D149" s="438">
        <f t="shared" si="27"/>
        <v>8</v>
      </c>
      <c r="E149" s="543">
        <f t="shared" si="70"/>
        <v>2.0794415416798357</v>
      </c>
      <c r="F149" s="540" t="s">
        <v>301</v>
      </c>
      <c r="G149" s="504">
        <f>INDEX(LINEST(C142:C152,E142:E152),2)</f>
        <v>6.5161481494172175</v>
      </c>
      <c r="H149" s="544" t="s">
        <v>320</v>
      </c>
      <c r="I149" s="443">
        <f t="shared" si="28"/>
        <v>101216</v>
      </c>
      <c r="J149" s="446">
        <f t="shared" si="29"/>
        <v>1.2646070113654553</v>
      </c>
      <c r="K149" s="443">
        <f t="shared" si="71"/>
        <v>1597.6959999999999</v>
      </c>
      <c r="M149" s="536">
        <f t="shared" si="56"/>
        <v>9.4690054953574716</v>
      </c>
      <c r="P149" s="451"/>
      <c r="Q149" s="443">
        <f t="shared" si="30"/>
        <v>100669</v>
      </c>
      <c r="R149" s="443">
        <f t="shared" si="31"/>
        <v>514.08900000000006</v>
      </c>
      <c r="T149" s="536">
        <f t="shared" si="57"/>
        <v>9.3886539073725981</v>
      </c>
      <c r="W149" s="451"/>
      <c r="X149" s="443">
        <f t="shared" si="32"/>
        <v>100713</v>
      </c>
      <c r="Y149" s="443">
        <f t="shared" si="33"/>
        <v>579.12099999999998</v>
      </c>
      <c r="AA149" s="536">
        <f t="shared" si="58"/>
        <v>9.301277366968284</v>
      </c>
      <c r="AD149" s="451"/>
      <c r="AE149" s="443">
        <f t="shared" si="34"/>
        <v>100844</v>
      </c>
      <c r="AF149" s="443">
        <f t="shared" si="35"/>
        <v>795.66399999999999</v>
      </c>
      <c r="AH149" s="536">
        <f t="shared" si="59"/>
        <v>9.20552881497896</v>
      </c>
      <c r="AK149" s="451"/>
      <c r="AL149" s="443">
        <f t="shared" si="36"/>
        <v>101643</v>
      </c>
      <c r="AM149" s="443">
        <f t="shared" si="37"/>
        <v>2859.4810000000002</v>
      </c>
      <c r="AO149" s="536">
        <f t="shared" si="60"/>
        <v>9.0996322499917603</v>
      </c>
      <c r="AR149" s="451"/>
      <c r="AS149" s="443" t="e">
        <f t="shared" si="38"/>
        <v>#VALUE!</v>
      </c>
      <c r="AT149" s="443" t="e">
        <f t="shared" si="39"/>
        <v>#VALUE!</v>
      </c>
      <c r="AV149" s="536">
        <f t="shared" si="61"/>
        <v>9.2545486266405028</v>
      </c>
      <c r="AY149" s="451"/>
      <c r="AZ149" s="443">
        <f t="shared" si="40"/>
        <v>101021</v>
      </c>
      <c r="BA149" s="443">
        <f t="shared" si="41"/>
        <v>1142.761</v>
      </c>
      <c r="BC149" s="536">
        <f t="shared" si="62"/>
        <v>9.2449350167406816</v>
      </c>
      <c r="BF149" s="451"/>
      <c r="BG149" s="443">
        <f t="shared" si="42"/>
        <v>101081</v>
      </c>
      <c r="BH149" s="443">
        <f t="shared" si="43"/>
        <v>1274.6410000000001</v>
      </c>
      <c r="BJ149" s="536">
        <f t="shared" si="63"/>
        <v>9.2352280874839625</v>
      </c>
      <c r="BM149" s="451"/>
      <c r="BN149" s="443">
        <f t="shared" si="44"/>
        <v>101159</v>
      </c>
      <c r="BO149" s="443">
        <f t="shared" si="45"/>
        <v>1456.8489999999999</v>
      </c>
      <c r="BQ149" s="536">
        <f t="shared" si="64"/>
        <v>9.2254260093942229</v>
      </c>
      <c r="BT149" s="451"/>
      <c r="BU149" s="443">
        <f t="shared" si="46"/>
        <v>101261</v>
      </c>
      <c r="BV149" s="443">
        <f t="shared" si="47"/>
        <v>1713.481</v>
      </c>
      <c r="BX149" s="536">
        <f t="shared" si="65"/>
        <v>9.215526898663482</v>
      </c>
      <c r="CA149" s="451"/>
      <c r="CB149" s="443">
        <f t="shared" si="48"/>
        <v>101407</v>
      </c>
      <c r="CC149" s="443">
        <f t="shared" si="49"/>
        <v>2117.0250000000001</v>
      </c>
      <c r="CE149" s="536">
        <f t="shared" si="66"/>
        <v>9.2303390584828726</v>
      </c>
      <c r="CH149" s="451"/>
      <c r="CI149" s="443">
        <f t="shared" si="50"/>
        <v>101206</v>
      </c>
      <c r="CJ149" s="443">
        <f t="shared" si="51"/>
        <v>1572.5160000000001</v>
      </c>
      <c r="CL149" s="536">
        <f t="shared" si="67"/>
        <v>9.2293583778119448</v>
      </c>
      <c r="CO149" s="451"/>
      <c r="CP149" s="443">
        <f t="shared" si="52"/>
        <v>101216</v>
      </c>
      <c r="CQ149" s="443">
        <f t="shared" si="53"/>
        <v>1597.6959999999999</v>
      </c>
      <c r="CS149" s="536">
        <f t="shared" si="68"/>
        <v>9.2313187783613753</v>
      </c>
      <c r="CV149" s="451"/>
      <c r="CW149" s="443">
        <f t="shared" si="54"/>
        <v>101196</v>
      </c>
      <c r="CX149" s="443">
        <f t="shared" si="55"/>
        <v>1547.5360000000001</v>
      </c>
    </row>
    <row r="150" spans="1:102" ht="15" customHeight="1">
      <c r="A150" s="436">
        <f t="shared" si="26"/>
        <v>2014</v>
      </c>
      <c r="B150" s="437">
        <f t="shared" si="26"/>
        <v>102796</v>
      </c>
      <c r="C150" s="545">
        <f t="shared" si="69"/>
        <v>9.4754700399574521</v>
      </c>
      <c r="D150" s="438">
        <f t="shared" si="27"/>
        <v>9</v>
      </c>
      <c r="E150" s="546">
        <f t="shared" si="70"/>
        <v>2.1972245773362196</v>
      </c>
      <c r="F150" s="540" t="s">
        <v>305</v>
      </c>
      <c r="G150" s="547">
        <f>EXP(G149)</f>
        <v>675.96963028320488</v>
      </c>
      <c r="I150" s="443">
        <f t="shared" si="28"/>
        <v>103208</v>
      </c>
      <c r="J150" s="467">
        <f t="shared" si="29"/>
        <v>0.40079380520642827</v>
      </c>
      <c r="K150" s="443">
        <f t="shared" si="71"/>
        <v>169.744</v>
      </c>
      <c r="M150" s="536">
        <f t="shared" si="56"/>
        <v>9.6675120224065392</v>
      </c>
      <c r="N150" s="451"/>
      <c r="O150" s="451"/>
      <c r="P150" s="510"/>
      <c r="Q150" s="443">
        <f t="shared" si="30"/>
        <v>101867</v>
      </c>
      <c r="R150" s="443">
        <f t="shared" si="31"/>
        <v>863.04100000000005</v>
      </c>
      <c r="T150" s="536">
        <f t="shared" si="57"/>
        <v>9.6021121529523441</v>
      </c>
      <c r="U150" s="451"/>
      <c r="V150" s="451"/>
      <c r="W150" s="510"/>
      <c r="X150" s="443">
        <f t="shared" si="32"/>
        <v>102024</v>
      </c>
      <c r="Y150" s="443">
        <f t="shared" si="33"/>
        <v>595.98400000000004</v>
      </c>
      <c r="AA150" s="536">
        <f t="shared" si="58"/>
        <v>9.5321339740567321</v>
      </c>
      <c r="AB150" s="451"/>
      <c r="AC150" s="451"/>
      <c r="AD150" s="510"/>
      <c r="AE150" s="443">
        <f t="shared" si="34"/>
        <v>102374</v>
      </c>
      <c r="AF150" s="443">
        <f t="shared" si="35"/>
        <v>178.084</v>
      </c>
      <c r="AH150" s="536">
        <f t="shared" si="59"/>
        <v>9.4568879010694094</v>
      </c>
      <c r="AI150" s="451"/>
      <c r="AJ150" s="451"/>
      <c r="AK150" s="510"/>
      <c r="AL150" s="443">
        <f t="shared" si="36"/>
        <v>104116</v>
      </c>
      <c r="AM150" s="443">
        <f t="shared" si="37"/>
        <v>1742.4</v>
      </c>
      <c r="AO150" s="536">
        <f t="shared" si="60"/>
        <v>9.3755157699351663</v>
      </c>
      <c r="AP150" s="451"/>
      <c r="AQ150" s="451"/>
      <c r="AR150" s="510"/>
      <c r="AS150" s="443" t="e">
        <f t="shared" si="38"/>
        <v>#VALUE!</v>
      </c>
      <c r="AT150" s="443" t="e">
        <f t="shared" si="39"/>
        <v>#VALUE!</v>
      </c>
      <c r="AV150" s="536">
        <f t="shared" si="61"/>
        <v>9.4952185170952301</v>
      </c>
      <c r="AW150" s="451"/>
      <c r="AX150" s="451"/>
      <c r="AY150" s="510"/>
      <c r="AZ150" s="443">
        <f t="shared" si="40"/>
        <v>102782</v>
      </c>
      <c r="BA150" s="443">
        <f t="shared" si="41"/>
        <v>0.19600000000000001</v>
      </c>
      <c r="BC150" s="536">
        <f t="shared" si="62"/>
        <v>9.4876690323484727</v>
      </c>
      <c r="BD150" s="451"/>
      <c r="BE150" s="451"/>
      <c r="BF150" s="510"/>
      <c r="BG150" s="443">
        <f t="shared" si="42"/>
        <v>102916</v>
      </c>
      <c r="BH150" s="443">
        <f t="shared" si="43"/>
        <v>14.4</v>
      </c>
      <c r="BJ150" s="536">
        <f t="shared" si="63"/>
        <v>9.4800621190509702</v>
      </c>
      <c r="BK150" s="451"/>
      <c r="BL150" s="451"/>
      <c r="BM150" s="510"/>
      <c r="BN150" s="443">
        <f t="shared" si="44"/>
        <v>103084</v>
      </c>
      <c r="BO150" s="443">
        <f t="shared" si="45"/>
        <v>82.944000000000003</v>
      </c>
      <c r="BQ150" s="536">
        <f t="shared" si="64"/>
        <v>9.4723968967889913</v>
      </c>
      <c r="BR150" s="451"/>
      <c r="BS150" s="451"/>
      <c r="BT150" s="510"/>
      <c r="BU150" s="443">
        <f t="shared" si="46"/>
        <v>103304</v>
      </c>
      <c r="BV150" s="443">
        <f t="shared" si="47"/>
        <v>258.06400000000002</v>
      </c>
      <c r="BX150" s="536">
        <f t="shared" si="65"/>
        <v>9.4646724647464087</v>
      </c>
      <c r="BY150" s="451"/>
      <c r="BZ150" s="451"/>
      <c r="CA150" s="510"/>
      <c r="CB150" s="443">
        <f t="shared" si="48"/>
        <v>103616</v>
      </c>
      <c r="CC150" s="443">
        <f t="shared" si="49"/>
        <v>672.4</v>
      </c>
      <c r="CE150" s="536">
        <f t="shared" si="66"/>
        <v>9.4762368523560419</v>
      </c>
      <c r="CF150" s="451"/>
      <c r="CG150" s="451"/>
      <c r="CH150" s="510"/>
      <c r="CI150" s="443">
        <f t="shared" si="50"/>
        <v>103186</v>
      </c>
      <c r="CJ150" s="443">
        <f t="shared" si="51"/>
        <v>152.1</v>
      </c>
      <c r="CL150" s="536">
        <f t="shared" si="67"/>
        <v>9.4754700399574521</v>
      </c>
      <c r="CM150" s="451"/>
      <c r="CN150" s="451"/>
      <c r="CO150" s="510"/>
      <c r="CP150" s="443">
        <f t="shared" si="52"/>
        <v>103208</v>
      </c>
      <c r="CQ150" s="443">
        <f t="shared" si="53"/>
        <v>169.744</v>
      </c>
      <c r="CS150" s="536">
        <f t="shared" si="68"/>
        <v>9.4770030772038876</v>
      </c>
      <c r="CT150" s="451"/>
      <c r="CU150" s="451"/>
      <c r="CV150" s="510"/>
      <c r="CW150" s="443">
        <f t="shared" si="54"/>
        <v>103164</v>
      </c>
      <c r="CX150" s="443">
        <f t="shared" si="55"/>
        <v>135.42400000000001</v>
      </c>
    </row>
    <row r="151" spans="1:102" ht="15" customHeight="1">
      <c r="A151" s="436">
        <f t="shared" si="26"/>
        <v>2015</v>
      </c>
      <c r="B151" s="437">
        <f t="shared" si="26"/>
        <v>104316</v>
      </c>
      <c r="C151" s="545">
        <f t="shared" si="69"/>
        <v>9.5857585587320511</v>
      </c>
      <c r="D151" s="438">
        <f t="shared" si="27"/>
        <v>10</v>
      </c>
      <c r="E151" s="546">
        <f t="shared" si="70"/>
        <v>2.3025850929940459</v>
      </c>
      <c r="H151" s="439"/>
      <c r="I151" s="443">
        <f t="shared" si="28"/>
        <v>105282</v>
      </c>
      <c r="J151" s="467">
        <f t="shared" si="29"/>
        <v>0.92603243989416772</v>
      </c>
      <c r="K151" s="443">
        <f t="shared" si="71"/>
        <v>933.15599999999995</v>
      </c>
      <c r="M151" s="536">
        <f t="shared" si="56"/>
        <v>9.759386208561871</v>
      </c>
      <c r="N151" s="439" t="s">
        <v>321</v>
      </c>
      <c r="O151" s="504">
        <f>P141</f>
        <v>0.9606064105268397</v>
      </c>
      <c r="P151" s="510"/>
      <c r="Q151" s="443">
        <f t="shared" si="30"/>
        <v>103027</v>
      </c>
      <c r="R151" s="443">
        <f t="shared" si="31"/>
        <v>1661.521</v>
      </c>
      <c r="T151" s="536">
        <f t="shared" si="57"/>
        <v>9.6999015004374485</v>
      </c>
      <c r="U151" s="439" t="s">
        <v>321</v>
      </c>
      <c r="V151" s="504">
        <f>W141</f>
        <v>0.96999615001133921</v>
      </c>
      <c r="W151" s="510"/>
      <c r="X151" s="443">
        <f t="shared" si="32"/>
        <v>103312</v>
      </c>
      <c r="Y151" s="443">
        <f t="shared" si="33"/>
        <v>1008.016</v>
      </c>
      <c r="AA151" s="536">
        <f t="shared" si="58"/>
        <v>9.6366533125971845</v>
      </c>
      <c r="AB151" s="439" t="s">
        <v>321</v>
      </c>
      <c r="AC151" s="504">
        <f>AD141</f>
        <v>0.98045651959184554</v>
      </c>
      <c r="AD151" s="510"/>
      <c r="AE151" s="443">
        <f t="shared" si="34"/>
        <v>103909</v>
      </c>
      <c r="AF151" s="443">
        <f t="shared" si="35"/>
        <v>165.649</v>
      </c>
      <c r="AH151" s="536">
        <f t="shared" si="59"/>
        <v>9.5691330718859167</v>
      </c>
      <c r="AI151" s="439" t="s">
        <v>321</v>
      </c>
      <c r="AJ151" s="504">
        <f>AK141</f>
        <v>0.98325472943720738</v>
      </c>
      <c r="AK151" s="510"/>
      <c r="AL151" s="443">
        <f t="shared" si="36"/>
        <v>106769</v>
      </c>
      <c r="AM151" s="443">
        <f t="shared" si="37"/>
        <v>6017.2089999999998</v>
      </c>
      <c r="AO151" s="536">
        <f t="shared" si="60"/>
        <v>9.4967215986949149</v>
      </c>
      <c r="AP151" s="439" t="s">
        <v>321</v>
      </c>
      <c r="AQ151" s="504" t="e">
        <f>AR141</f>
        <v>#VALUE!</v>
      </c>
      <c r="AR151" s="510"/>
      <c r="AS151" s="443" t="e">
        <f t="shared" si="38"/>
        <v>#VALUE!</v>
      </c>
      <c r="AT151" s="443" t="e">
        <f t="shared" si="39"/>
        <v>#VALUE!</v>
      </c>
      <c r="AV151" s="536">
        <f t="shared" si="61"/>
        <v>9.6034629568859611</v>
      </c>
      <c r="AW151" s="439" t="s">
        <v>321</v>
      </c>
      <c r="AX151" s="504">
        <f>AY141</f>
        <v>0.98522980967979579</v>
      </c>
      <c r="AY151" s="510"/>
      <c r="AZ151" s="443">
        <f t="shared" si="40"/>
        <v>104585</v>
      </c>
      <c r="BA151" s="443">
        <f t="shared" si="41"/>
        <v>72.361000000000004</v>
      </c>
      <c r="BC151" s="536">
        <f t="shared" si="62"/>
        <v>9.5966906162246648</v>
      </c>
      <c r="BD151" s="439" t="s">
        <v>321</v>
      </c>
      <c r="BE151" s="504">
        <f>BF141</f>
        <v>0.98591206847880308</v>
      </c>
      <c r="BF151" s="510"/>
      <c r="BG151" s="443">
        <f t="shared" si="42"/>
        <v>104804</v>
      </c>
      <c r="BH151" s="443">
        <f t="shared" si="43"/>
        <v>238.14400000000001</v>
      </c>
      <c r="BJ151" s="536">
        <f t="shared" si="63"/>
        <v>9.5898720980578425</v>
      </c>
      <c r="BK151" s="439" t="s">
        <v>321</v>
      </c>
      <c r="BL151" s="504">
        <f>BM141</f>
        <v>0.98636502098582746</v>
      </c>
      <c r="BM151" s="510"/>
      <c r="BN151" s="443">
        <f t="shared" si="44"/>
        <v>105078</v>
      </c>
      <c r="BO151" s="443">
        <f t="shared" si="45"/>
        <v>580.64400000000001</v>
      </c>
      <c r="BQ151" s="536">
        <f t="shared" si="64"/>
        <v>9.5830067683329609</v>
      </c>
      <c r="BR151" s="439" t="s">
        <v>321</v>
      </c>
      <c r="BS151" s="504">
        <f>BT141</f>
        <v>0.98641525423431353</v>
      </c>
      <c r="BT151" s="510"/>
      <c r="BU151" s="443">
        <f t="shared" si="46"/>
        <v>105439</v>
      </c>
      <c r="BV151" s="443">
        <f t="shared" si="47"/>
        <v>1261.1289999999999</v>
      </c>
      <c r="BX151" s="536">
        <f t="shared" si="65"/>
        <v>9.5760939798481193</v>
      </c>
      <c r="BY151" s="439" t="s">
        <v>321</v>
      </c>
      <c r="BZ151" s="504">
        <f>CA141</f>
        <v>0.98570856807273299</v>
      </c>
      <c r="CA151" s="510"/>
      <c r="CB151" s="443">
        <f t="shared" si="48"/>
        <v>105948</v>
      </c>
      <c r="CC151" s="443">
        <f t="shared" si="49"/>
        <v>2663.424</v>
      </c>
      <c r="CE151" s="536">
        <f t="shared" si="66"/>
        <v>9.5864453247778609</v>
      </c>
      <c r="CF151" s="439" t="s">
        <v>321</v>
      </c>
      <c r="CG151" s="504">
        <f>CH141</f>
        <v>0.98644795327827062</v>
      </c>
      <c r="CH151" s="510"/>
      <c r="CI151" s="443">
        <f t="shared" si="50"/>
        <v>105245</v>
      </c>
      <c r="CJ151" s="443">
        <f t="shared" si="51"/>
        <v>863.04100000000005</v>
      </c>
      <c r="CL151" s="536">
        <f t="shared" si="67"/>
        <v>9.5857585587320511</v>
      </c>
      <c r="CM151" s="439" t="s">
        <v>321</v>
      </c>
      <c r="CN151" s="504">
        <f>CO141</f>
        <v>0.98645841540145163</v>
      </c>
      <c r="CO151" s="510"/>
      <c r="CP151" s="443">
        <f t="shared" si="52"/>
        <v>105282</v>
      </c>
      <c r="CQ151" s="443">
        <f t="shared" si="53"/>
        <v>933.15599999999995</v>
      </c>
      <c r="CS151" s="536">
        <f t="shared" si="68"/>
        <v>9.5871316194997398</v>
      </c>
      <c r="CT151" s="439" t="s">
        <v>321</v>
      </c>
      <c r="CU151" s="504">
        <f>CV141</f>
        <v>0.98644534413920271</v>
      </c>
      <c r="CV151" s="510"/>
      <c r="CW151" s="443">
        <f t="shared" si="54"/>
        <v>105210</v>
      </c>
      <c r="CX151" s="443">
        <f t="shared" si="55"/>
        <v>799.23599999999999</v>
      </c>
    </row>
    <row r="152" spans="1:102" ht="15" customHeight="1" thickBot="1">
      <c r="A152" s="436">
        <f t="shared" si="26"/>
        <v>2016</v>
      </c>
      <c r="B152" s="437">
        <f t="shared" si="26"/>
        <v>106419</v>
      </c>
      <c r="C152" s="545">
        <f t="shared" si="69"/>
        <v>9.7207058899097163</v>
      </c>
      <c r="D152" s="438">
        <f t="shared" si="27"/>
        <v>11</v>
      </c>
      <c r="E152" s="546">
        <f t="shared" si="70"/>
        <v>2.3978952727983707</v>
      </c>
      <c r="I152" s="443">
        <f t="shared" si="28"/>
        <v>107431</v>
      </c>
      <c r="J152" s="467">
        <f t="shared" si="29"/>
        <v>0.95095800561929722</v>
      </c>
      <c r="K152" s="443">
        <f t="shared" si="71"/>
        <v>1024.144</v>
      </c>
      <c r="M152" s="536">
        <f t="shared" si="56"/>
        <v>9.8740072472136191</v>
      </c>
      <c r="N152" s="439" t="s">
        <v>322</v>
      </c>
      <c r="O152" s="548">
        <f>SUM(R142:R152)</f>
        <v>11991.94</v>
      </c>
      <c r="P152" s="509"/>
      <c r="Q152" s="443">
        <f t="shared" si="30"/>
        <v>104154</v>
      </c>
      <c r="R152" s="443">
        <f t="shared" si="31"/>
        <v>5130.2250000000004</v>
      </c>
      <c r="T152" s="536">
        <f t="shared" si="57"/>
        <v>9.8211380195191023</v>
      </c>
      <c r="U152" s="439" t="s">
        <v>322</v>
      </c>
      <c r="V152" s="548">
        <f>SUM(Y142:Y152)</f>
        <v>8796.0829999999987</v>
      </c>
      <c r="W152" s="509"/>
      <c r="X152" s="443">
        <f t="shared" si="32"/>
        <v>104578</v>
      </c>
      <c r="Y152" s="443">
        <f t="shared" si="33"/>
        <v>3389.2809999999999</v>
      </c>
      <c r="AA152" s="536">
        <f t="shared" si="58"/>
        <v>9.7653168434774624</v>
      </c>
      <c r="AB152" s="439" t="s">
        <v>322</v>
      </c>
      <c r="AC152" s="548">
        <f>SUM(AF142:AF152)</f>
        <v>5094.0519999999997</v>
      </c>
      <c r="AD152" s="509"/>
      <c r="AE152" s="443">
        <f t="shared" si="34"/>
        <v>105449</v>
      </c>
      <c r="AF152" s="443">
        <f t="shared" si="35"/>
        <v>940.9</v>
      </c>
      <c r="AH152" s="536">
        <f t="shared" si="59"/>
        <v>9.7061944798120283</v>
      </c>
      <c r="AI152" s="439" t="s">
        <v>322</v>
      </c>
      <c r="AJ152" s="548">
        <f>SUM(AM142:AM152)</f>
        <v>28334.131000000001</v>
      </c>
      <c r="AK152" s="509"/>
      <c r="AL152" s="443">
        <f t="shared" si="36"/>
        <v>109596</v>
      </c>
      <c r="AM152" s="443">
        <f t="shared" si="37"/>
        <v>10093.329</v>
      </c>
      <c r="AO152" s="536">
        <f t="shared" si="60"/>
        <v>9.6433557941713524</v>
      </c>
      <c r="AP152" s="439" t="s">
        <v>322</v>
      </c>
      <c r="AQ152" s="548" t="e">
        <f>SUM(AT142:AT152)</f>
        <v>#VALUE!</v>
      </c>
      <c r="AR152" s="509"/>
      <c r="AS152" s="443" t="e">
        <f t="shared" si="38"/>
        <v>#VALUE!</v>
      </c>
      <c r="AT152" s="443" t="e">
        <f t="shared" si="39"/>
        <v>#VALUE!</v>
      </c>
      <c r="AV152" s="536">
        <f t="shared" si="61"/>
        <v>9.7361925297587959</v>
      </c>
      <c r="AW152" s="439" t="s">
        <v>322</v>
      </c>
      <c r="AX152" s="548">
        <f>SUM(BA142:BA152)</f>
        <v>4799.195999999999</v>
      </c>
      <c r="AY152" s="509"/>
      <c r="AZ152" s="443">
        <f t="shared" si="40"/>
        <v>106425</v>
      </c>
      <c r="BA152" s="443">
        <f t="shared" si="41"/>
        <v>3.5999999999999997E-2</v>
      </c>
      <c r="BC152" s="536">
        <f t="shared" si="62"/>
        <v>9.7302644787274328</v>
      </c>
      <c r="BD152" s="439" t="s">
        <v>322</v>
      </c>
      <c r="BE152" s="548">
        <f>SUM(BH142:BH152)</f>
        <v>5505.2410000000009</v>
      </c>
      <c r="BF152" s="509"/>
      <c r="BG152" s="443">
        <f t="shared" si="42"/>
        <v>106741</v>
      </c>
      <c r="BH152" s="443">
        <f t="shared" si="43"/>
        <v>103.684</v>
      </c>
      <c r="BJ152" s="536">
        <f t="shared" si="63"/>
        <v>9.7243010762376461</v>
      </c>
      <c r="BK152" s="439" t="s">
        <v>322</v>
      </c>
      <c r="BL152" s="548">
        <f>SUM(BO142:BO152)</f>
        <v>6925.8270000000011</v>
      </c>
      <c r="BM152" s="509"/>
      <c r="BN152" s="443">
        <f t="shared" si="44"/>
        <v>107138</v>
      </c>
      <c r="BO152" s="443">
        <f t="shared" si="45"/>
        <v>516.96100000000001</v>
      </c>
      <c r="BQ152" s="536">
        <f t="shared" si="64"/>
        <v>9.7183018981275229</v>
      </c>
      <c r="BR152" s="439" t="s">
        <v>322</v>
      </c>
      <c r="BS152" s="548">
        <f>SUM(BV142:BV152)</f>
        <v>9674.4760000000006</v>
      </c>
      <c r="BT152" s="509"/>
      <c r="BU152" s="443">
        <f t="shared" si="46"/>
        <v>107659</v>
      </c>
      <c r="BV152" s="443">
        <f t="shared" si="47"/>
        <v>1537.6</v>
      </c>
      <c r="BX152" s="536">
        <f t="shared" si="65"/>
        <v>9.7122665125551411</v>
      </c>
      <c r="BY152" s="439" t="s">
        <v>322</v>
      </c>
      <c r="BZ152" s="548">
        <f>SUM(CC142:CC152)</f>
        <v>15248.427</v>
      </c>
      <c r="CA152" s="509"/>
      <c r="CB152" s="443">
        <f t="shared" si="48"/>
        <v>108398</v>
      </c>
      <c r="CC152" s="443">
        <f t="shared" si="49"/>
        <v>3916.4409999999998</v>
      </c>
      <c r="CE152" s="536">
        <f t="shared" si="66"/>
        <v>9.7213059859430881</v>
      </c>
      <c r="CF152" s="439" t="s">
        <v>322</v>
      </c>
      <c r="CG152" s="548">
        <f>SUM(CJ142:CJ152)</f>
        <v>8076.068000000002</v>
      </c>
      <c r="CH152" s="509"/>
      <c r="CI152" s="443">
        <f t="shared" si="50"/>
        <v>107379</v>
      </c>
      <c r="CJ152" s="443">
        <f t="shared" si="51"/>
        <v>921.6</v>
      </c>
      <c r="CL152" s="536">
        <f t="shared" si="67"/>
        <v>9.7207058899097163</v>
      </c>
      <c r="CM152" s="439" t="s">
        <v>322</v>
      </c>
      <c r="CN152" s="548">
        <f>SUM(CQ142:CQ152)</f>
        <v>8351.9599999999991</v>
      </c>
      <c r="CO152" s="509"/>
      <c r="CP152" s="443">
        <f t="shared" si="52"/>
        <v>107431</v>
      </c>
      <c r="CQ152" s="443">
        <f t="shared" si="53"/>
        <v>1024.144</v>
      </c>
      <c r="CS152" s="536">
        <f t="shared" si="68"/>
        <v>9.7219057220771727</v>
      </c>
      <c r="CT152" s="439" t="s">
        <v>322</v>
      </c>
      <c r="CU152" s="548">
        <f>SUM(CX142:CX152)</f>
        <v>7813.3270000000002</v>
      </c>
      <c r="CV152" s="509"/>
      <c r="CW152" s="443">
        <f t="shared" si="54"/>
        <v>107328</v>
      </c>
      <c r="CX152" s="443">
        <f t="shared" si="55"/>
        <v>826.28099999999995</v>
      </c>
    </row>
    <row r="153" spans="1:102" ht="15" customHeight="1" thickTop="1">
      <c r="A153" s="458">
        <f t="shared" si="26"/>
        <v>2017</v>
      </c>
      <c r="B153" s="459">
        <f>ROUND($G$147+$G$150*D153^$G$148,$G$1)</f>
        <v>109653</v>
      </c>
      <c r="C153" s="549"/>
      <c r="D153" s="550">
        <f t="shared" si="27"/>
        <v>12</v>
      </c>
      <c r="E153" s="551"/>
      <c r="F153" s="2314" t="s">
        <v>276</v>
      </c>
      <c r="G153" s="2315"/>
      <c r="H153" s="514">
        <f>I141</f>
        <v>0.98645841540145163</v>
      </c>
      <c r="I153" s="464">
        <f t="shared" si="28"/>
        <v>109653</v>
      </c>
      <c r="J153" s="463"/>
      <c r="K153" s="464"/>
      <c r="M153" s="552"/>
      <c r="N153" s="553"/>
      <c r="O153" s="554"/>
      <c r="P153" s="331"/>
      <c r="Q153" s="555"/>
      <c r="R153" s="556"/>
      <c r="T153" s="552"/>
      <c r="U153" s="553"/>
      <c r="V153" s="554"/>
      <c r="W153" s="331"/>
      <c r="X153" s="555"/>
      <c r="Y153" s="556"/>
      <c r="AA153" s="552"/>
      <c r="AB153" s="553"/>
      <c r="AC153" s="554"/>
      <c r="AD153" s="331"/>
      <c r="AE153" s="555"/>
      <c r="AF153" s="556"/>
      <c r="AH153" s="552"/>
      <c r="AI153" s="553"/>
      <c r="AJ153" s="554"/>
      <c r="AK153" s="331"/>
      <c r="AL153" s="555"/>
      <c r="AM153" s="556"/>
      <c r="AO153" s="552"/>
      <c r="AP153" s="553"/>
      <c r="AQ153" s="554"/>
      <c r="AR153" s="331"/>
      <c r="AS153" s="555"/>
      <c r="AT153" s="556"/>
      <c r="AV153" s="552"/>
      <c r="AW153" s="553"/>
      <c r="AX153" s="554"/>
      <c r="AY153" s="331"/>
      <c r="AZ153" s="555"/>
      <c r="BA153" s="556"/>
      <c r="BC153" s="552"/>
      <c r="BD153" s="553"/>
      <c r="BE153" s="554"/>
      <c r="BF153" s="331"/>
      <c r="BG153" s="555"/>
      <c r="BH153" s="556"/>
      <c r="BJ153" s="552"/>
      <c r="BK153" s="553"/>
      <c r="BL153" s="554"/>
      <c r="BM153" s="331"/>
      <c r="BN153" s="555"/>
      <c r="BO153" s="556"/>
      <c r="BQ153" s="552"/>
      <c r="BR153" s="553"/>
      <c r="BS153" s="554"/>
      <c r="BT153" s="331"/>
      <c r="BU153" s="555"/>
      <c r="BV153" s="556"/>
      <c r="BX153" s="552"/>
      <c r="BY153" s="553"/>
      <c r="BZ153" s="554"/>
      <c r="CA153" s="331"/>
      <c r="CB153" s="555"/>
      <c r="CC153" s="556"/>
      <c r="CE153" s="552"/>
      <c r="CF153" s="553"/>
      <c r="CG153" s="554"/>
      <c r="CH153" s="331"/>
      <c r="CI153" s="555"/>
      <c r="CJ153" s="556"/>
      <c r="CL153" s="552"/>
      <c r="CM153" s="553"/>
      <c r="CN153" s="554"/>
      <c r="CO153" s="331"/>
      <c r="CP153" s="555"/>
      <c r="CQ153" s="556"/>
      <c r="CS153" s="552"/>
      <c r="CT153" s="553"/>
      <c r="CU153" s="554"/>
      <c r="CV153" s="331"/>
      <c r="CW153" s="555"/>
      <c r="CX153" s="556"/>
    </row>
    <row r="154" spans="1:102" ht="15" customHeight="1">
      <c r="A154" s="436">
        <f t="shared" si="26"/>
        <v>2018</v>
      </c>
      <c r="B154" s="437">
        <f>ROUND($G$147+$G$150*D154^$G$148,$G$1)</f>
        <v>111943</v>
      </c>
      <c r="C154" s="545"/>
      <c r="D154" s="438">
        <f t="shared" si="27"/>
        <v>13</v>
      </c>
      <c r="E154" s="546"/>
      <c r="F154" s="2318" t="s">
        <v>323</v>
      </c>
      <c r="G154" s="2320"/>
      <c r="H154" s="448">
        <f>SUM(K142:K152)</f>
        <v>8351.9599999999991</v>
      </c>
      <c r="I154" s="443">
        <f t="shared" si="28"/>
        <v>111943</v>
      </c>
      <c r="J154" s="467"/>
      <c r="K154" s="443"/>
      <c r="M154" s="557"/>
      <c r="N154" s="439"/>
      <c r="O154" s="548"/>
      <c r="P154" s="451"/>
      <c r="Q154" s="493"/>
      <c r="R154" s="492"/>
      <c r="T154" s="557"/>
      <c r="U154" s="439"/>
      <c r="V154" s="548"/>
      <c r="W154" s="451"/>
      <c r="X154" s="493"/>
      <c r="Y154" s="492"/>
      <c r="AA154" s="557"/>
      <c r="AB154" s="439"/>
      <c r="AC154" s="548"/>
      <c r="AD154" s="451"/>
      <c r="AE154" s="493"/>
      <c r="AF154" s="492"/>
      <c r="AH154" s="557"/>
      <c r="AI154" s="439"/>
      <c r="AJ154" s="548"/>
      <c r="AK154" s="451"/>
      <c r="AL154" s="493"/>
      <c r="AM154" s="492"/>
      <c r="AO154" s="557"/>
      <c r="AP154" s="439"/>
      <c r="AQ154" s="548"/>
      <c r="AR154" s="451"/>
      <c r="AS154" s="493"/>
      <c r="AT154" s="492"/>
      <c r="AV154" s="557"/>
      <c r="AW154" s="439"/>
      <c r="AX154" s="548"/>
      <c r="AY154" s="451"/>
      <c r="AZ154" s="493"/>
      <c r="BA154" s="492"/>
      <c r="BC154" s="557"/>
      <c r="BD154" s="439"/>
      <c r="BE154" s="548"/>
      <c r="BF154" s="451"/>
      <c r="BG154" s="493"/>
      <c r="BH154" s="492"/>
      <c r="BJ154" s="557"/>
      <c r="BK154" s="439"/>
      <c r="BL154" s="548"/>
      <c r="BM154" s="451"/>
      <c r="BN154" s="493"/>
      <c r="BO154" s="492"/>
      <c r="BQ154" s="557"/>
      <c r="BR154" s="439"/>
      <c r="BS154" s="548"/>
      <c r="BT154" s="451"/>
      <c r="BU154" s="493"/>
      <c r="BV154" s="492"/>
      <c r="BX154" s="557"/>
      <c r="BY154" s="439"/>
      <c r="BZ154" s="548"/>
      <c r="CA154" s="451"/>
      <c r="CB154" s="493"/>
      <c r="CC154" s="492"/>
      <c r="CE154" s="557"/>
      <c r="CF154" s="439"/>
      <c r="CG154" s="548"/>
      <c r="CH154" s="451"/>
      <c r="CI154" s="493"/>
      <c r="CJ154" s="492"/>
      <c r="CL154" s="557"/>
      <c r="CM154" s="439"/>
      <c r="CN154" s="548"/>
      <c r="CO154" s="451"/>
      <c r="CP154" s="493"/>
      <c r="CQ154" s="492"/>
      <c r="CS154" s="557"/>
      <c r="CT154" s="439"/>
      <c r="CU154" s="548"/>
      <c r="CV154" s="451"/>
      <c r="CW154" s="493"/>
      <c r="CX154" s="492"/>
    </row>
    <row r="155" spans="1:102" ht="15" customHeight="1">
      <c r="A155" s="436">
        <f t="shared" si="26"/>
        <v>2019</v>
      </c>
      <c r="B155" s="437">
        <f t="shared" ref="B155:B174" si="72">ROUND($G$147+$G$150*D155^$G$148,$G$1)</f>
        <v>114297</v>
      </c>
      <c r="C155" s="545"/>
      <c r="D155" s="438">
        <f t="shared" si="27"/>
        <v>14</v>
      </c>
      <c r="E155" s="546"/>
      <c r="F155" s="2318" t="s">
        <v>324</v>
      </c>
      <c r="G155" s="2320"/>
      <c r="H155" s="449">
        <f>SUM(J142:J152)/D152</f>
        <v>0.79975769296464105</v>
      </c>
      <c r="I155" s="443">
        <f t="shared" si="28"/>
        <v>114297</v>
      </c>
      <c r="J155" s="467"/>
      <c r="K155" s="443"/>
      <c r="M155" s="505" t="s">
        <v>325</v>
      </c>
      <c r="N155" s="505">
        <f>MIN(B142:B152)</f>
        <v>90159</v>
      </c>
      <c r="O155" s="505"/>
      <c r="P155" s="505"/>
      <c r="Q155" s="505"/>
      <c r="R155" s="505"/>
      <c r="S155" s="505"/>
      <c r="T155" s="505" t="s">
        <v>325</v>
      </c>
      <c r="U155" s="505">
        <f>N155</f>
        <v>90159</v>
      </c>
      <c r="V155" s="505"/>
      <c r="W155" s="505"/>
      <c r="X155" s="505"/>
      <c r="Y155" s="505"/>
      <c r="Z155" s="505"/>
      <c r="AA155" s="505" t="s">
        <v>325</v>
      </c>
      <c r="AB155" s="505">
        <f>U155</f>
        <v>90159</v>
      </c>
      <c r="AH155" s="505" t="s">
        <v>325</v>
      </c>
      <c r="AI155" s="505">
        <f>AB155</f>
        <v>90159</v>
      </c>
      <c r="AO155" s="505" t="s">
        <v>325</v>
      </c>
      <c r="AP155" s="505">
        <f>AI155</f>
        <v>90159</v>
      </c>
      <c r="AV155" s="505" t="s">
        <v>325</v>
      </c>
      <c r="AW155" s="505">
        <f>AP155</f>
        <v>90159</v>
      </c>
      <c r="BC155" s="505" t="s">
        <v>325</v>
      </c>
      <c r="BD155" s="505">
        <f>AW155</f>
        <v>90159</v>
      </c>
      <c r="BJ155" s="505" t="s">
        <v>325</v>
      </c>
      <c r="BK155" s="505">
        <f>BD155</f>
        <v>90159</v>
      </c>
      <c r="BQ155" s="505" t="s">
        <v>325</v>
      </c>
      <c r="BR155" s="505">
        <f>BK155</f>
        <v>90159</v>
      </c>
      <c r="BX155" s="505" t="s">
        <v>325</v>
      </c>
      <c r="BY155" s="505">
        <f>BR155</f>
        <v>90159</v>
      </c>
      <c r="CE155" s="505" t="s">
        <v>325</v>
      </c>
      <c r="CF155" s="505">
        <f>BY155</f>
        <v>90159</v>
      </c>
      <c r="CL155" s="505" t="s">
        <v>325</v>
      </c>
      <c r="CM155" s="505">
        <f>CF155</f>
        <v>90159</v>
      </c>
      <c r="CS155" s="505" t="s">
        <v>325</v>
      </c>
      <c r="CT155" s="505">
        <f>CM155</f>
        <v>90159</v>
      </c>
    </row>
    <row r="156" spans="1:102" ht="15" customHeight="1">
      <c r="A156" s="436">
        <f t="shared" si="26"/>
        <v>2020</v>
      </c>
      <c r="B156" s="437">
        <f t="shared" si="72"/>
        <v>116712</v>
      </c>
      <c r="C156" s="545"/>
      <c r="D156" s="438">
        <f t="shared" si="27"/>
        <v>15</v>
      </c>
      <c r="E156" s="546"/>
      <c r="I156" s="443">
        <f t="shared" si="28"/>
        <v>116712</v>
      </c>
      <c r="J156" s="467"/>
      <c r="K156" s="443"/>
      <c r="M156" s="505" t="s">
        <v>326</v>
      </c>
      <c r="N156" s="505">
        <v>3</v>
      </c>
      <c r="O156" s="505"/>
      <c r="P156" s="505"/>
      <c r="Q156" s="505"/>
      <c r="R156" s="505"/>
      <c r="S156" s="505"/>
      <c r="T156" s="505" t="s">
        <v>326</v>
      </c>
      <c r="U156" s="505">
        <f>N156</f>
        <v>3</v>
      </c>
      <c r="V156" s="505"/>
      <c r="W156" s="505"/>
      <c r="X156" s="505"/>
      <c r="Y156" s="505"/>
      <c r="Z156" s="505"/>
      <c r="AA156" s="505" t="s">
        <v>326</v>
      </c>
      <c r="AB156" s="505">
        <f>U156</f>
        <v>3</v>
      </c>
      <c r="AH156" s="505" t="s">
        <v>326</v>
      </c>
      <c r="AI156" s="505">
        <f>AB156</f>
        <v>3</v>
      </c>
      <c r="AO156" s="505" t="s">
        <v>326</v>
      </c>
      <c r="AP156" s="505">
        <f>AI156</f>
        <v>3</v>
      </c>
      <c r="AV156" s="505" t="s">
        <v>326</v>
      </c>
      <c r="AW156" s="505">
        <f>AP156</f>
        <v>3</v>
      </c>
      <c r="BC156" s="505" t="s">
        <v>326</v>
      </c>
      <c r="BD156" s="505">
        <f>AW156</f>
        <v>3</v>
      </c>
      <c r="BJ156" s="505" t="s">
        <v>326</v>
      </c>
      <c r="BK156" s="505">
        <f>BD156</f>
        <v>3</v>
      </c>
      <c r="BQ156" s="505" t="s">
        <v>326</v>
      </c>
      <c r="BR156" s="505">
        <f>BK156</f>
        <v>3</v>
      </c>
      <c r="BX156" s="505" t="s">
        <v>326</v>
      </c>
      <c r="BY156" s="505">
        <f>BR156</f>
        <v>3</v>
      </c>
      <c r="CE156" s="505" t="s">
        <v>326</v>
      </c>
      <c r="CF156" s="505">
        <f>BY156</f>
        <v>3</v>
      </c>
      <c r="CL156" s="505" t="s">
        <v>327</v>
      </c>
      <c r="CM156" s="505">
        <f>CF156</f>
        <v>3</v>
      </c>
      <c r="CS156" s="505" t="s">
        <v>327</v>
      </c>
      <c r="CT156" s="505">
        <f>CM156</f>
        <v>3</v>
      </c>
    </row>
    <row r="157" spans="1:102" ht="15" customHeight="1">
      <c r="A157" s="436">
        <f t="shared" si="26"/>
        <v>2021</v>
      </c>
      <c r="B157" s="437">
        <f t="shared" si="72"/>
        <v>119187</v>
      </c>
      <c r="C157" s="545"/>
      <c r="D157" s="438">
        <f t="shared" si="27"/>
        <v>16</v>
      </c>
      <c r="E157" s="546"/>
      <c r="F157" s="519"/>
      <c r="G157" s="451"/>
      <c r="H157" s="558"/>
      <c r="I157" s="443">
        <f t="shared" si="28"/>
        <v>119187</v>
      </c>
      <c r="J157" s="467"/>
      <c r="K157" s="443"/>
      <c r="M157" s="505" t="s">
        <v>328</v>
      </c>
      <c r="N157" s="559">
        <v>150</v>
      </c>
      <c r="O157" s="505"/>
      <c r="P157" s="505"/>
      <c r="Q157" s="505"/>
      <c r="R157" s="505"/>
      <c r="S157" s="505"/>
      <c r="T157" s="505" t="s">
        <v>328</v>
      </c>
      <c r="U157" s="505">
        <f>N157</f>
        <v>150</v>
      </c>
      <c r="V157" s="505"/>
      <c r="W157" s="505"/>
      <c r="X157" s="505"/>
      <c r="Y157" s="505"/>
      <c r="Z157" s="505"/>
      <c r="AA157" s="505" t="s">
        <v>328</v>
      </c>
      <c r="AB157" s="505">
        <f>U157</f>
        <v>150</v>
      </c>
      <c r="AH157" s="505" t="s">
        <v>328</v>
      </c>
      <c r="AI157" s="505">
        <v>500</v>
      </c>
      <c r="AO157" s="505" t="s">
        <v>328</v>
      </c>
      <c r="AP157" s="505">
        <f>AI157</f>
        <v>500</v>
      </c>
      <c r="AV157" s="505" t="s">
        <v>328</v>
      </c>
      <c r="AW157" s="505">
        <f>AP157</f>
        <v>500</v>
      </c>
      <c r="BC157" s="505" t="s">
        <v>329</v>
      </c>
      <c r="BD157" s="505">
        <f>AW157</f>
        <v>500</v>
      </c>
      <c r="BJ157" s="505" t="s">
        <v>329</v>
      </c>
      <c r="BK157" s="505">
        <f>BD157</f>
        <v>500</v>
      </c>
      <c r="BQ157" s="505" t="s">
        <v>329</v>
      </c>
      <c r="BR157" s="505">
        <f>BK157</f>
        <v>500</v>
      </c>
      <c r="BX157" s="505" t="s">
        <v>329</v>
      </c>
      <c r="BY157" s="505">
        <f>BR157</f>
        <v>500</v>
      </c>
      <c r="CE157" s="505" t="s">
        <v>329</v>
      </c>
      <c r="CF157" s="505">
        <f>BY157</f>
        <v>500</v>
      </c>
      <c r="CL157" s="505" t="s">
        <v>329</v>
      </c>
      <c r="CM157" s="505">
        <f>CF157</f>
        <v>500</v>
      </c>
      <c r="CS157" s="505" t="s">
        <v>330</v>
      </c>
      <c r="CT157" s="505">
        <f>CM157</f>
        <v>500</v>
      </c>
    </row>
    <row r="158" spans="1:102" ht="15" customHeight="1" thickBot="1">
      <c r="A158" s="436">
        <f t="shared" ref="A158:A174" si="73">A120</f>
        <v>2022</v>
      </c>
      <c r="B158" s="437">
        <f t="shared" si="72"/>
        <v>121718</v>
      </c>
      <c r="C158" s="545"/>
      <c r="D158" s="438">
        <f t="shared" si="27"/>
        <v>17</v>
      </c>
      <c r="E158" s="546"/>
      <c r="F158" s="560" t="s">
        <v>331</v>
      </c>
      <c r="G158" s="561" t="s">
        <v>332</v>
      </c>
      <c r="H158" s="562" t="s">
        <v>294</v>
      </c>
      <c r="I158" s="443">
        <f t="shared" si="28"/>
        <v>121718</v>
      </c>
      <c r="J158" s="467"/>
      <c r="K158" s="443"/>
      <c r="M158" s="557"/>
      <c r="N158" s="451"/>
      <c r="O158" s="451"/>
      <c r="P158" s="451"/>
      <c r="Q158" s="493"/>
      <c r="R158" s="492"/>
      <c r="T158" s="557"/>
      <c r="U158" s="451"/>
      <c r="V158" s="451"/>
      <c r="W158" s="451"/>
      <c r="X158" s="493"/>
      <c r="Y158" s="492"/>
      <c r="AA158" s="557"/>
      <c r="AB158" s="451"/>
      <c r="AC158" s="451"/>
      <c r="AD158" s="451"/>
      <c r="AE158" s="493"/>
      <c r="AF158" s="492"/>
      <c r="AH158" s="557"/>
      <c r="AI158" s="451"/>
      <c r="AJ158" s="451"/>
      <c r="AK158" s="451"/>
      <c r="AL158" s="493"/>
      <c r="AM158" s="492"/>
      <c r="AO158" s="557"/>
      <c r="AP158" s="451"/>
      <c r="AQ158" s="451"/>
      <c r="AR158" s="451"/>
      <c r="AS158" s="493"/>
      <c r="AT158" s="492"/>
      <c r="AV158" s="557"/>
      <c r="AW158" s="451"/>
      <c r="AX158" s="451"/>
      <c r="AY158" s="451"/>
      <c r="AZ158" s="493"/>
      <c r="BA158" s="492"/>
      <c r="BC158" s="557"/>
      <c r="BD158" s="451"/>
      <c r="BE158" s="451"/>
      <c r="BF158" s="451"/>
      <c r="BG158" s="493"/>
      <c r="BH158" s="492"/>
      <c r="BJ158" s="557"/>
      <c r="BK158" s="451"/>
      <c r="BL158" s="451"/>
      <c r="BM158" s="451"/>
      <c r="BN158" s="493"/>
      <c r="BO158" s="492"/>
      <c r="BQ158" s="557"/>
      <c r="BR158" s="451"/>
      <c r="BS158" s="451"/>
      <c r="BT158" s="451"/>
      <c r="BU158" s="493"/>
      <c r="BV158" s="492"/>
      <c r="BX158" s="557"/>
      <c r="BY158" s="451"/>
      <c r="BZ158" s="451"/>
      <c r="CA158" s="451"/>
      <c r="CB158" s="493"/>
      <c r="CC158" s="492"/>
      <c r="CE158" s="557"/>
      <c r="CF158" s="451"/>
      <c r="CG158" s="451"/>
      <c r="CH158" s="451"/>
      <c r="CI158" s="493"/>
      <c r="CJ158" s="492"/>
      <c r="CL158" s="557"/>
      <c r="CM158" s="451"/>
      <c r="CN158" s="451"/>
      <c r="CO158" s="451"/>
      <c r="CP158" s="493"/>
      <c r="CQ158" s="492"/>
      <c r="CS158" s="557"/>
      <c r="CT158" s="451"/>
      <c r="CU158" s="451"/>
      <c r="CV158" s="451"/>
      <c r="CW158" s="493"/>
      <c r="CX158" s="492"/>
    </row>
    <row r="159" spans="1:102" ht="15" customHeight="1" thickTop="1">
      <c r="A159" s="436">
        <f t="shared" si="73"/>
        <v>2023</v>
      </c>
      <c r="B159" s="437">
        <f t="shared" si="72"/>
        <v>124303</v>
      </c>
      <c r="C159" s="545"/>
      <c r="D159" s="438">
        <f t="shared" si="27"/>
        <v>18</v>
      </c>
      <c r="E159" s="546"/>
      <c r="F159" s="505">
        <v>87000</v>
      </c>
      <c r="G159" s="563">
        <f>IFERROR(O151,0)</f>
        <v>0.9606064105268397</v>
      </c>
      <c r="H159" s="564">
        <f>O152</f>
        <v>11991.94</v>
      </c>
      <c r="I159" s="443">
        <f t="shared" si="28"/>
        <v>124303</v>
      </c>
      <c r="J159" s="467"/>
      <c r="K159" s="443"/>
      <c r="L159" s="326">
        <f>RANK(G159,$G$159:$G$171)</f>
        <v>12</v>
      </c>
      <c r="M159" s="557"/>
      <c r="N159" s="451"/>
      <c r="O159" s="451"/>
      <c r="P159" s="451"/>
      <c r="Q159" s="493"/>
      <c r="R159" s="492"/>
      <c r="T159" s="557"/>
      <c r="U159" s="451"/>
      <c r="V159" s="451"/>
      <c r="W159" s="451"/>
      <c r="X159" s="493"/>
      <c r="Y159" s="492"/>
      <c r="AA159" s="557"/>
      <c r="AB159" s="451"/>
      <c r="AC159" s="451"/>
      <c r="AD159" s="451"/>
      <c r="AE159" s="493"/>
      <c r="AF159" s="492"/>
      <c r="AH159" s="557"/>
      <c r="AI159" s="451"/>
      <c r="AJ159" s="451"/>
      <c r="AK159" s="451"/>
      <c r="AL159" s="493"/>
      <c r="AM159" s="492"/>
      <c r="AO159" s="557"/>
      <c r="AP159" s="451"/>
      <c r="AQ159" s="451"/>
      <c r="AR159" s="451"/>
      <c r="AS159" s="493"/>
      <c r="AT159" s="492"/>
      <c r="AV159" s="557"/>
      <c r="AW159" s="451"/>
      <c r="AX159" s="451"/>
      <c r="AY159" s="451"/>
      <c r="AZ159" s="493"/>
      <c r="BA159" s="492"/>
      <c r="BC159" s="557"/>
      <c r="BD159" s="451"/>
      <c r="BE159" s="451"/>
      <c r="BF159" s="451"/>
      <c r="BG159" s="493"/>
      <c r="BH159" s="492"/>
      <c r="BJ159" s="557"/>
      <c r="BK159" s="451"/>
      <c r="BL159" s="451"/>
      <c r="BM159" s="451"/>
      <c r="BN159" s="493"/>
      <c r="BO159" s="492"/>
      <c r="BQ159" s="557"/>
      <c r="BR159" s="451"/>
      <c r="BS159" s="451"/>
      <c r="BT159" s="451"/>
      <c r="BU159" s="493"/>
      <c r="BV159" s="492"/>
      <c r="BX159" s="557"/>
      <c r="BY159" s="451"/>
      <c r="BZ159" s="451"/>
      <c r="CA159" s="451"/>
      <c r="CB159" s="493"/>
      <c r="CC159" s="492"/>
      <c r="CE159" s="557"/>
      <c r="CF159" s="451"/>
      <c r="CG159" s="451"/>
      <c r="CH159" s="451"/>
      <c r="CI159" s="493"/>
      <c r="CJ159" s="492"/>
      <c r="CL159" s="557"/>
      <c r="CM159" s="451"/>
      <c r="CN159" s="451"/>
      <c r="CO159" s="451"/>
      <c r="CP159" s="493"/>
      <c r="CQ159" s="492"/>
      <c r="CS159" s="557"/>
      <c r="CT159" s="451"/>
      <c r="CU159" s="451"/>
      <c r="CV159" s="451"/>
      <c r="CW159" s="493"/>
      <c r="CX159" s="492"/>
    </row>
    <row r="160" spans="1:102" s="451" customFormat="1" ht="15" customHeight="1">
      <c r="A160" s="436">
        <f t="shared" si="73"/>
        <v>2024</v>
      </c>
      <c r="B160" s="437">
        <f t="shared" si="72"/>
        <v>126941</v>
      </c>
      <c r="C160" s="545"/>
      <c r="D160" s="438">
        <f t="shared" si="27"/>
        <v>19</v>
      </c>
      <c r="E160" s="546"/>
      <c r="F160" s="505">
        <v>88000</v>
      </c>
      <c r="G160" s="565">
        <f>IFERROR(V151,0)</f>
        <v>0.96999615001133921</v>
      </c>
      <c r="H160" s="564">
        <f>V152</f>
        <v>8796.0829999999987</v>
      </c>
      <c r="I160" s="443">
        <f t="shared" si="28"/>
        <v>126941</v>
      </c>
      <c r="J160" s="467"/>
      <c r="K160" s="443"/>
      <c r="L160" s="326">
        <f t="shared" ref="L160:L171" si="74">RANK(G160,$G$159:$G$171)</f>
        <v>11</v>
      </c>
      <c r="M160" s="557"/>
      <c r="P160" s="439"/>
      <c r="Q160" s="493"/>
      <c r="R160" s="492"/>
      <c r="T160" s="557"/>
      <c r="W160" s="439"/>
      <c r="X160" s="493"/>
      <c r="Y160" s="492"/>
      <c r="AA160" s="557"/>
      <c r="AD160" s="439"/>
      <c r="AE160" s="493"/>
      <c r="AF160" s="492"/>
      <c r="AH160" s="557"/>
      <c r="AK160" s="439"/>
      <c r="AL160" s="493"/>
      <c r="AM160" s="492"/>
      <c r="AO160" s="557"/>
      <c r="AR160" s="439"/>
      <c r="AS160" s="493"/>
      <c r="AT160" s="492"/>
      <c r="AV160" s="557"/>
      <c r="AY160" s="439"/>
      <c r="AZ160" s="493"/>
      <c r="BA160" s="492"/>
      <c r="BC160" s="557"/>
      <c r="BF160" s="439"/>
      <c r="BG160" s="493"/>
      <c r="BH160" s="492"/>
      <c r="BJ160" s="557"/>
      <c r="BM160" s="439"/>
      <c r="BN160" s="493"/>
      <c r="BO160" s="492"/>
      <c r="BQ160" s="557"/>
      <c r="BT160" s="439"/>
      <c r="BU160" s="493"/>
      <c r="BV160" s="492"/>
      <c r="BX160" s="557"/>
      <c r="CA160" s="439"/>
      <c r="CB160" s="493"/>
      <c r="CC160" s="492"/>
      <c r="CE160" s="557"/>
      <c r="CH160" s="439"/>
      <c r="CI160" s="493"/>
      <c r="CJ160" s="492"/>
      <c r="CL160" s="557"/>
      <c r="CO160" s="439"/>
      <c r="CP160" s="493"/>
      <c r="CQ160" s="492"/>
      <c r="CS160" s="557"/>
      <c r="CV160" s="439"/>
      <c r="CW160" s="493"/>
      <c r="CX160" s="492"/>
    </row>
    <row r="161" spans="1:102" ht="15" customHeight="1">
      <c r="A161" s="436">
        <f t="shared" si="73"/>
        <v>2025</v>
      </c>
      <c r="B161" s="437">
        <f t="shared" si="72"/>
        <v>129629</v>
      </c>
      <c r="C161" s="545"/>
      <c r="D161" s="438">
        <f t="shared" si="27"/>
        <v>20</v>
      </c>
      <c r="E161" s="546"/>
      <c r="F161" s="505">
        <v>89000</v>
      </c>
      <c r="G161" s="565">
        <f>IFERROR(AC151,0)</f>
        <v>0.98045651959184554</v>
      </c>
      <c r="H161" s="505">
        <f>AC152</f>
        <v>5094.0519999999997</v>
      </c>
      <c r="I161" s="443">
        <f t="shared" si="28"/>
        <v>129629</v>
      </c>
      <c r="J161" s="467"/>
      <c r="K161" s="443"/>
      <c r="L161" s="326">
        <f t="shared" si="74"/>
        <v>10</v>
      </c>
      <c r="M161" s="557"/>
      <c r="N161" s="451"/>
      <c r="O161" s="451"/>
      <c r="P161" s="439"/>
      <c r="Q161" s="493"/>
      <c r="R161" s="492"/>
      <c r="T161" s="557"/>
      <c r="U161" s="451"/>
      <c r="V161" s="451"/>
      <c r="W161" s="439"/>
      <c r="X161" s="493"/>
      <c r="Y161" s="492"/>
      <c r="AA161" s="557"/>
      <c r="AB161" s="451"/>
      <c r="AC161" s="451"/>
      <c r="AD161" s="439"/>
      <c r="AE161" s="493"/>
      <c r="AF161" s="492"/>
      <c r="AH161" s="557"/>
      <c r="AI161" s="451"/>
      <c r="AJ161" s="451"/>
      <c r="AK161" s="439"/>
      <c r="AL161" s="493"/>
      <c r="AM161" s="492"/>
      <c r="AO161" s="557"/>
      <c r="AP161" s="451"/>
      <c r="AQ161" s="451"/>
      <c r="AR161" s="439"/>
      <c r="AS161" s="493"/>
      <c r="AT161" s="492"/>
      <c r="AV161" s="557"/>
      <c r="AW161" s="451"/>
      <c r="AX161" s="451"/>
      <c r="AY161" s="439"/>
      <c r="AZ161" s="493"/>
      <c r="BA161" s="492"/>
      <c r="BC161" s="557"/>
      <c r="BD161" s="451"/>
      <c r="BE161" s="451"/>
      <c r="BF161" s="439"/>
      <c r="BG161" s="493"/>
      <c r="BH161" s="492"/>
      <c r="BJ161" s="557"/>
      <c r="BK161" s="451"/>
      <c r="BL161" s="451"/>
      <c r="BM161" s="439"/>
      <c r="BN161" s="493"/>
      <c r="BO161" s="492"/>
      <c r="BQ161" s="557"/>
      <c r="BR161" s="451"/>
      <c r="BS161" s="451"/>
      <c r="BT161" s="439"/>
      <c r="BU161" s="493"/>
      <c r="BV161" s="492"/>
      <c r="BX161" s="557"/>
      <c r="BY161" s="451"/>
      <c r="BZ161" s="451"/>
      <c r="CA161" s="439"/>
      <c r="CB161" s="493"/>
      <c r="CC161" s="492"/>
      <c r="CE161" s="557"/>
      <c r="CF161" s="451"/>
      <c r="CG161" s="451"/>
      <c r="CH161" s="439"/>
      <c r="CI161" s="493"/>
      <c r="CJ161" s="492"/>
      <c r="CL161" s="557"/>
      <c r="CM161" s="451"/>
      <c r="CN161" s="451"/>
      <c r="CO161" s="439"/>
      <c r="CP161" s="493"/>
      <c r="CQ161" s="492"/>
      <c r="CS161" s="557"/>
      <c r="CT161" s="451"/>
      <c r="CU161" s="451"/>
      <c r="CV161" s="439"/>
      <c r="CW161" s="493"/>
      <c r="CX161" s="492"/>
    </row>
    <row r="162" spans="1:102" s="451" customFormat="1" ht="15" customHeight="1">
      <c r="A162" s="436">
        <f t="shared" si="73"/>
        <v>2026</v>
      </c>
      <c r="B162" s="437">
        <f t="shared" si="72"/>
        <v>132367</v>
      </c>
      <c r="C162" s="545"/>
      <c r="D162" s="438">
        <f t="shared" si="27"/>
        <v>21</v>
      </c>
      <c r="E162" s="546"/>
      <c r="F162" s="505">
        <v>90000</v>
      </c>
      <c r="G162" s="565">
        <f>IFERROR(AJ151,0)</f>
        <v>0.98325472943720738</v>
      </c>
      <c r="H162" s="505">
        <f>AJ152</f>
        <v>28334.131000000001</v>
      </c>
      <c r="I162" s="443">
        <f t="shared" si="28"/>
        <v>132367</v>
      </c>
      <c r="J162" s="467"/>
      <c r="K162" s="443"/>
      <c r="L162" s="326">
        <f t="shared" si="74"/>
        <v>9</v>
      </c>
      <c r="M162" s="557"/>
      <c r="Q162" s="493"/>
      <c r="R162" s="492"/>
      <c r="T162" s="557"/>
      <c r="X162" s="493"/>
      <c r="Y162" s="492"/>
      <c r="AA162" s="557"/>
      <c r="AE162" s="493"/>
      <c r="AF162" s="492"/>
      <c r="AH162" s="557"/>
      <c r="AL162" s="493"/>
      <c r="AM162" s="492"/>
      <c r="AO162" s="557"/>
      <c r="AS162" s="493"/>
      <c r="AT162" s="492"/>
      <c r="AV162" s="557"/>
      <c r="AZ162" s="493"/>
      <c r="BA162" s="492"/>
      <c r="BC162" s="557"/>
      <c r="BG162" s="493"/>
      <c r="BH162" s="492"/>
      <c r="BJ162" s="557"/>
      <c r="BN162" s="493"/>
      <c r="BO162" s="492"/>
      <c r="BQ162" s="557"/>
      <c r="BU162" s="493"/>
      <c r="BV162" s="492"/>
      <c r="BX162" s="557"/>
      <c r="CB162" s="493"/>
      <c r="CC162" s="492"/>
      <c r="CE162" s="557"/>
      <c r="CI162" s="493"/>
      <c r="CJ162" s="492"/>
      <c r="CL162" s="557"/>
      <c r="CP162" s="493"/>
      <c r="CQ162" s="492"/>
      <c r="CS162" s="557"/>
      <c r="CW162" s="493"/>
      <c r="CX162" s="492"/>
    </row>
    <row r="163" spans="1:102" s="451" customFormat="1" ht="15" customHeight="1">
      <c r="A163" s="436">
        <f t="shared" si="73"/>
        <v>2027</v>
      </c>
      <c r="B163" s="437">
        <f t="shared" si="72"/>
        <v>135152</v>
      </c>
      <c r="C163" s="545"/>
      <c r="D163" s="438">
        <f t="shared" si="27"/>
        <v>22</v>
      </c>
      <c r="E163" s="546"/>
      <c r="F163" s="505">
        <v>91000</v>
      </c>
      <c r="G163" s="565">
        <f>IFERROR(AQ151,0)</f>
        <v>0</v>
      </c>
      <c r="H163" s="505" t="e">
        <f>AQ152</f>
        <v>#VALUE!</v>
      </c>
      <c r="I163" s="443">
        <f t="shared" si="28"/>
        <v>135152</v>
      </c>
      <c r="J163" s="467"/>
      <c r="K163" s="443"/>
      <c r="L163" s="326">
        <f t="shared" si="74"/>
        <v>13</v>
      </c>
      <c r="M163" s="557"/>
      <c r="N163" s="538"/>
      <c r="O163" s="538"/>
      <c r="P163" s="566"/>
      <c r="Q163" s="493"/>
      <c r="R163" s="492"/>
      <c r="T163" s="557"/>
      <c r="X163" s="493"/>
      <c r="Y163" s="492"/>
      <c r="AA163" s="557"/>
      <c r="AE163" s="493"/>
      <c r="AF163" s="492"/>
      <c r="AH163" s="557"/>
      <c r="AL163" s="493"/>
      <c r="AM163" s="492"/>
      <c r="AO163" s="557"/>
      <c r="AS163" s="493"/>
      <c r="AT163" s="492"/>
      <c r="AV163" s="557"/>
      <c r="AZ163" s="493"/>
      <c r="BA163" s="492"/>
      <c r="BC163" s="557"/>
      <c r="BG163" s="493"/>
      <c r="BH163" s="492"/>
      <c r="BJ163" s="557"/>
      <c r="BN163" s="493"/>
      <c r="BO163" s="492"/>
      <c r="BQ163" s="557"/>
      <c r="BU163" s="493"/>
      <c r="BV163" s="492"/>
      <c r="BX163" s="557"/>
      <c r="CB163" s="493"/>
      <c r="CC163" s="492"/>
      <c r="CE163" s="557"/>
      <c r="CI163" s="493"/>
      <c r="CJ163" s="492"/>
      <c r="CL163" s="557"/>
      <c r="CP163" s="493"/>
      <c r="CQ163" s="492"/>
      <c r="CS163" s="557"/>
      <c r="CW163" s="493"/>
      <c r="CX163" s="492"/>
    </row>
    <row r="164" spans="1:102" ht="15" customHeight="1">
      <c r="A164" s="436">
        <f t="shared" si="73"/>
        <v>2028</v>
      </c>
      <c r="B164" s="437">
        <f t="shared" si="72"/>
        <v>137982</v>
      </c>
      <c r="C164" s="520"/>
      <c r="D164" s="438">
        <f t="shared" si="27"/>
        <v>23</v>
      </c>
      <c r="E164" s="508"/>
      <c r="F164" s="548">
        <v>89500</v>
      </c>
      <c r="G164" s="565">
        <f>IFERROR(AX151,0)</f>
        <v>0.98522980967979579</v>
      </c>
      <c r="H164" s="548">
        <f>AX152</f>
        <v>4799.195999999999</v>
      </c>
      <c r="I164" s="443">
        <f t="shared" si="28"/>
        <v>137982</v>
      </c>
      <c r="J164" s="469"/>
      <c r="K164" s="469"/>
      <c r="L164" s="326">
        <f t="shared" si="74"/>
        <v>8</v>
      </c>
    </row>
    <row r="165" spans="1:102" ht="15" customHeight="1">
      <c r="A165" s="436">
        <f t="shared" si="73"/>
        <v>2029</v>
      </c>
      <c r="B165" s="437">
        <f t="shared" si="72"/>
        <v>140858</v>
      </c>
      <c r="C165" s="520"/>
      <c r="D165" s="438">
        <f t="shared" si="27"/>
        <v>24</v>
      </c>
      <c r="E165" s="508"/>
      <c r="F165" s="548">
        <v>89600</v>
      </c>
      <c r="G165" s="565">
        <f>IFERROR(BE151,0)</f>
        <v>0.98591206847880308</v>
      </c>
      <c r="H165" s="548">
        <f>BE152</f>
        <v>5505.2410000000009</v>
      </c>
      <c r="I165" s="443">
        <f t="shared" si="28"/>
        <v>140858</v>
      </c>
      <c r="J165" s="469"/>
      <c r="K165" s="469"/>
      <c r="L165" s="326">
        <f t="shared" si="74"/>
        <v>6</v>
      </c>
    </row>
    <row r="166" spans="1:102" ht="15" customHeight="1">
      <c r="A166" s="436">
        <f t="shared" si="73"/>
        <v>2030</v>
      </c>
      <c r="B166" s="437">
        <f t="shared" si="72"/>
        <v>143777</v>
      </c>
      <c r="C166" s="520"/>
      <c r="D166" s="438">
        <f t="shared" si="27"/>
        <v>25</v>
      </c>
      <c r="E166" s="508"/>
      <c r="F166" s="567">
        <v>89700</v>
      </c>
      <c r="G166" s="568">
        <f>IFERROR(BL151,0)</f>
        <v>0.98636502098582746</v>
      </c>
      <c r="H166" s="567">
        <f>BL152</f>
        <v>6925.8270000000011</v>
      </c>
      <c r="I166" s="443">
        <f t="shared" si="28"/>
        <v>143777</v>
      </c>
      <c r="J166" s="469"/>
      <c r="K166" s="469"/>
      <c r="L166" s="326">
        <f t="shared" si="74"/>
        <v>5</v>
      </c>
    </row>
    <row r="167" spans="1:102" ht="15" customHeight="1">
      <c r="A167" s="436">
        <f t="shared" si="73"/>
        <v>2031</v>
      </c>
      <c r="B167" s="437">
        <f t="shared" si="72"/>
        <v>146739</v>
      </c>
      <c r="C167" s="520"/>
      <c r="D167" s="438">
        <f t="shared" si="27"/>
        <v>26</v>
      </c>
      <c r="E167" s="508"/>
      <c r="F167" s="567">
        <v>89800</v>
      </c>
      <c r="G167" s="568">
        <f>IFERROR(BS151,0)</f>
        <v>0.98641525423431353</v>
      </c>
      <c r="H167" s="567">
        <f>BS152</f>
        <v>9674.4760000000006</v>
      </c>
      <c r="I167" s="443">
        <f t="shared" si="28"/>
        <v>146739</v>
      </c>
      <c r="J167" s="469"/>
      <c r="K167" s="469"/>
      <c r="L167" s="326">
        <f t="shared" si="74"/>
        <v>4</v>
      </c>
    </row>
    <row r="168" spans="1:102" ht="15" customHeight="1">
      <c r="A168" s="436">
        <f t="shared" si="73"/>
        <v>2032</v>
      </c>
      <c r="B168" s="437">
        <f t="shared" si="72"/>
        <v>149742</v>
      </c>
      <c r="C168" s="520"/>
      <c r="D168" s="438">
        <f t="shared" si="27"/>
        <v>27</v>
      </c>
      <c r="E168" s="508"/>
      <c r="F168" s="567">
        <v>89900</v>
      </c>
      <c r="G168" s="568">
        <f>IFERROR(BZ151,0)</f>
        <v>0.98570856807273299</v>
      </c>
      <c r="H168" s="567">
        <f>BZ152</f>
        <v>15248.427</v>
      </c>
      <c r="I168" s="443">
        <f t="shared" si="28"/>
        <v>149742</v>
      </c>
      <c r="J168" s="469"/>
      <c r="K168" s="469"/>
      <c r="L168" s="326">
        <f t="shared" si="74"/>
        <v>7</v>
      </c>
    </row>
    <row r="169" spans="1:102" ht="15" customHeight="1">
      <c r="A169" s="436">
        <f t="shared" si="73"/>
        <v>2033</v>
      </c>
      <c r="B169" s="437">
        <f t="shared" si="72"/>
        <v>152786</v>
      </c>
      <c r="C169" s="520"/>
      <c r="D169" s="438">
        <f t="shared" si="27"/>
        <v>28</v>
      </c>
      <c r="E169" s="508"/>
      <c r="F169" s="567">
        <v>89750</v>
      </c>
      <c r="G169" s="568">
        <f>IFERROR(CG151,0)</f>
        <v>0.98644795327827062</v>
      </c>
      <c r="H169" s="567">
        <f>CG152</f>
        <v>8076.068000000002</v>
      </c>
      <c r="I169" s="443">
        <f t="shared" si="28"/>
        <v>152786</v>
      </c>
      <c r="J169" s="469"/>
      <c r="K169" s="469"/>
      <c r="L169" s="326">
        <f t="shared" si="74"/>
        <v>2</v>
      </c>
    </row>
    <row r="170" spans="1:102" ht="15" customHeight="1">
      <c r="A170" s="436">
        <f t="shared" si="73"/>
        <v>2034</v>
      </c>
      <c r="B170" s="437">
        <f t="shared" si="72"/>
        <v>155869</v>
      </c>
      <c r="C170" s="520"/>
      <c r="D170" s="438">
        <f t="shared" si="27"/>
        <v>29</v>
      </c>
      <c r="E170" s="508"/>
      <c r="F170" s="567">
        <v>89760</v>
      </c>
      <c r="G170" s="568">
        <f>IFERROR(CN151,0)</f>
        <v>0.98645841540145163</v>
      </c>
      <c r="H170" s="567">
        <f>CN152</f>
        <v>8351.9599999999991</v>
      </c>
      <c r="I170" s="443">
        <f t="shared" si="28"/>
        <v>155869</v>
      </c>
      <c r="J170" s="469"/>
      <c r="K170" s="469"/>
      <c r="L170" s="326">
        <f t="shared" si="74"/>
        <v>1</v>
      </c>
    </row>
    <row r="171" spans="1:102" ht="15" customHeight="1">
      <c r="A171" s="522">
        <f t="shared" si="73"/>
        <v>2035</v>
      </c>
      <c r="B171" s="523">
        <f t="shared" si="72"/>
        <v>158991</v>
      </c>
      <c r="C171" s="524"/>
      <c r="D171" s="569">
        <f t="shared" si="27"/>
        <v>30</v>
      </c>
      <c r="E171" s="525"/>
      <c r="F171" s="570">
        <v>89740</v>
      </c>
      <c r="G171" s="571">
        <f>IFERROR(CU151,0)</f>
        <v>0.98644534413920271</v>
      </c>
      <c r="H171" s="570">
        <f>CU152</f>
        <v>7813.3270000000002</v>
      </c>
      <c r="I171" s="528">
        <f t="shared" si="28"/>
        <v>158991</v>
      </c>
      <c r="J171" s="529"/>
      <c r="K171" s="529"/>
      <c r="L171" s="326">
        <f t="shared" si="74"/>
        <v>3</v>
      </c>
    </row>
    <row r="172" spans="1:102" ht="15" customHeight="1">
      <c r="A172" s="522">
        <f t="shared" si="73"/>
        <v>2036</v>
      </c>
      <c r="B172" s="523">
        <f t="shared" si="72"/>
        <v>162151</v>
      </c>
      <c r="C172" s="524"/>
      <c r="D172" s="569">
        <f t="shared" si="27"/>
        <v>31</v>
      </c>
      <c r="E172" s="525"/>
      <c r="F172" s="570"/>
      <c r="G172" s="571"/>
      <c r="H172" s="570"/>
      <c r="I172" s="528">
        <f t="shared" si="28"/>
        <v>162151</v>
      </c>
      <c r="J172" s="529"/>
      <c r="K172" s="529"/>
    </row>
    <row r="173" spans="1:102" ht="15" customHeight="1">
      <c r="A173" s="522">
        <f t="shared" si="73"/>
        <v>2037</v>
      </c>
      <c r="B173" s="523">
        <f t="shared" si="72"/>
        <v>165347</v>
      </c>
      <c r="C173" s="524"/>
      <c r="D173" s="569">
        <f t="shared" si="27"/>
        <v>32</v>
      </c>
      <c r="E173" s="525"/>
      <c r="F173" s="570"/>
      <c r="G173" s="571"/>
      <c r="H173" s="570"/>
      <c r="I173" s="528">
        <f t="shared" si="28"/>
        <v>165347</v>
      </c>
      <c r="J173" s="529"/>
      <c r="K173" s="529"/>
    </row>
    <row r="174" spans="1:102" ht="15" customHeight="1">
      <c r="A174" s="522">
        <f t="shared" si="73"/>
        <v>2038</v>
      </c>
      <c r="B174" s="523">
        <f t="shared" si="72"/>
        <v>168580</v>
      </c>
      <c r="C174" s="524"/>
      <c r="D174" s="569">
        <f t="shared" si="27"/>
        <v>33</v>
      </c>
      <c r="E174" s="525"/>
      <c r="F174" s="570"/>
      <c r="G174" s="571"/>
      <c r="H174" s="570"/>
      <c r="I174" s="528">
        <f t="shared" si="28"/>
        <v>168580</v>
      </c>
      <c r="J174" s="529"/>
      <c r="K174" s="529"/>
    </row>
    <row r="175" spans="1:102" ht="15" customHeight="1">
      <c r="A175" s="491"/>
      <c r="B175" s="494"/>
      <c r="C175" s="451"/>
      <c r="D175" s="439"/>
      <c r="E175" s="439"/>
      <c r="F175" s="530"/>
      <c r="G175" s="572"/>
      <c r="H175" s="451"/>
      <c r="I175" s="538"/>
      <c r="J175" s="538"/>
      <c r="O175" s="573"/>
    </row>
    <row r="176" spans="1:102" ht="15" customHeight="1">
      <c r="A176" s="424" t="s">
        <v>333</v>
      </c>
    </row>
    <row r="177" spans="1:60" ht="15" customHeight="1">
      <c r="A177" s="427" t="s">
        <v>264</v>
      </c>
      <c r="B177" s="428" t="s">
        <v>286</v>
      </c>
      <c r="C177" s="429" t="s">
        <v>334</v>
      </c>
      <c r="D177" s="429" t="s">
        <v>287</v>
      </c>
      <c r="E177" s="496"/>
      <c r="F177" s="430"/>
      <c r="G177" s="431"/>
      <c r="H177" s="432" t="s">
        <v>288</v>
      </c>
      <c r="I177" s="433">
        <f>RSQ(I178:I188,B178:B188)</f>
        <v>0.98281017860978792</v>
      </c>
      <c r="J177" s="434" t="s">
        <v>289</v>
      </c>
      <c r="K177" s="435" t="s">
        <v>290</v>
      </c>
      <c r="M177" s="532" t="s">
        <v>334</v>
      </c>
      <c r="N177" s="430"/>
      <c r="O177" s="432" t="s">
        <v>288</v>
      </c>
      <c r="P177" s="433">
        <f>RSQ($B178:$B188,P178:P188)</f>
        <v>0.98249519442318234</v>
      </c>
      <c r="Q177" s="435" t="s">
        <v>290</v>
      </c>
      <c r="S177" s="532" t="s">
        <v>334</v>
      </c>
      <c r="T177" s="430"/>
      <c r="U177" s="432" t="s">
        <v>288</v>
      </c>
      <c r="V177" s="433">
        <f>RSQ($B178:$B188,V178:V188)</f>
        <v>0.98269076395222044</v>
      </c>
      <c r="W177" s="435" t="s">
        <v>290</v>
      </c>
      <c r="Y177" s="532" t="s">
        <v>334</v>
      </c>
      <c r="Z177" s="430"/>
      <c r="AA177" s="432" t="s">
        <v>288</v>
      </c>
      <c r="AB177" s="433">
        <f>RSQ($B178:$B188,AB178:AB188)</f>
        <v>0.9827581745313746</v>
      </c>
      <c r="AC177" s="435" t="s">
        <v>290</v>
      </c>
      <c r="AE177" s="532" t="s">
        <v>334</v>
      </c>
      <c r="AF177" s="430"/>
      <c r="AG177" s="432" t="s">
        <v>288</v>
      </c>
      <c r="AH177" s="433">
        <f>RSQ($B178:$B188,AH178:AH188)</f>
        <v>0.98277704530566001</v>
      </c>
      <c r="AI177" s="435" t="s">
        <v>290</v>
      </c>
      <c r="AK177" s="532" t="s">
        <v>334</v>
      </c>
      <c r="AL177" s="430"/>
      <c r="AM177" s="432" t="s">
        <v>288</v>
      </c>
      <c r="AN177" s="433">
        <f>RSQ($B178:$B188,AN178:AN188)</f>
        <v>0.98279268509166529</v>
      </c>
      <c r="AO177" s="435" t="s">
        <v>290</v>
      </c>
      <c r="AQ177" s="532" t="s">
        <v>334</v>
      </c>
      <c r="AR177" s="430"/>
      <c r="AS177" s="432" t="s">
        <v>288</v>
      </c>
      <c r="AT177" s="433">
        <f>RSQ($B178:$B188,AT178:AT188)</f>
        <v>0.98281017860978792</v>
      </c>
      <c r="AU177" s="435" t="s">
        <v>290</v>
      </c>
      <c r="AW177" s="532" t="s">
        <v>334</v>
      </c>
      <c r="AX177" s="430"/>
      <c r="AY177" s="432" t="s">
        <v>288</v>
      </c>
      <c r="AZ177" s="433">
        <f>RSQ($B178:$B188,AZ178:AZ188)</f>
        <v>0.98281017860978792</v>
      </c>
      <c r="BA177" s="435" t="s">
        <v>290</v>
      </c>
      <c r="BC177" s="532" t="s">
        <v>334</v>
      </c>
      <c r="BD177" s="430"/>
      <c r="BE177" s="432" t="s">
        <v>288</v>
      </c>
      <c r="BF177" s="433">
        <f>RSQ($B178:$B188,BF178:BF188)</f>
        <v>0.98280823764801284</v>
      </c>
      <c r="BG177" s="435" t="s">
        <v>290</v>
      </c>
    </row>
    <row r="178" spans="1:60" ht="15" customHeight="1">
      <c r="A178" s="436">
        <f t="shared" ref="A178:B189" si="75">A142</f>
        <v>2006</v>
      </c>
      <c r="B178" s="437">
        <f t="shared" si="75"/>
        <v>90159</v>
      </c>
      <c r="C178" s="533">
        <f t="shared" ref="C178:C188" si="76">LN(F$182/B178-1)</f>
        <v>4.1827994282080052</v>
      </c>
      <c r="D178" s="438">
        <f t="shared" ref="D178:D184" si="77">D142</f>
        <v>1</v>
      </c>
      <c r="E178" s="498" t="s">
        <v>335</v>
      </c>
      <c r="F178" s="439"/>
      <c r="H178" s="574"/>
      <c r="I178" s="502">
        <f t="shared" ref="I178:I210" si="78">ROUND($F$182/(1+EXP($F$187+$F$186*D178)),$G$1)</f>
        <v>90443</v>
      </c>
      <c r="J178" s="444">
        <f t="shared" ref="J178:J188" si="79">ABS(B178-I178)/B178*100</f>
        <v>0.31499905722113158</v>
      </c>
      <c r="K178" s="443">
        <f t="shared" ref="K178:K188" si="80">(B178-I178)^2/1000</f>
        <v>80.656000000000006</v>
      </c>
      <c r="M178" s="575">
        <f t="shared" ref="M178:M188" si="81">LN($O$181/B178-1)</f>
        <v>2.3116950806929992</v>
      </c>
      <c r="N178" s="539" t="s">
        <v>335</v>
      </c>
      <c r="O178" s="439"/>
      <c r="P178" s="469">
        <f t="shared" ref="P178:P188" si="82">ROUND(O$181/(1+EXP(O$185+O$184*$D178)),$G$1)</f>
        <v>90426</v>
      </c>
      <c r="Q178" s="502">
        <f t="shared" ref="Q178:Q183" si="83">($B178-P178)^2/1000</f>
        <v>71.289000000000001</v>
      </c>
      <c r="S178" s="575">
        <f>LN($U$181/$B178-1)</f>
        <v>3.0532004932252983</v>
      </c>
      <c r="T178" s="539" t="s">
        <v>335</v>
      </c>
      <c r="U178" s="439"/>
      <c r="V178" s="469">
        <f t="shared" ref="V178:V188" si="84">ROUND(U$181/(1+EXP(U$185+U$184*$D178)),$G$1)</f>
        <v>90437</v>
      </c>
      <c r="W178" s="502">
        <f t="shared" ref="W178:W183" si="85">($B178-V178)^2/1000</f>
        <v>77.284000000000006</v>
      </c>
      <c r="Y178" s="575">
        <f>LN($AA$181/$B178-1)</f>
        <v>3.4742789412205743</v>
      </c>
      <c r="Z178" s="539" t="s">
        <v>335</v>
      </c>
      <c r="AA178" s="439"/>
      <c r="AB178" s="469">
        <f t="shared" ref="AB178:AB188" si="86">ROUND(AA$181/(1+EXP(AA$185+AA$184*$D178)),$G$1)</f>
        <v>90440</v>
      </c>
      <c r="AC178" s="502">
        <f t="shared" ref="AC178:AC185" si="87">($B178-AB178)^2/1000</f>
        <v>78.960999999999999</v>
      </c>
      <c r="AE178" s="575">
        <f>LN($AG$181/$B178-1)</f>
        <v>3.7696772089140005</v>
      </c>
      <c r="AF178" s="539" t="s">
        <v>335</v>
      </c>
      <c r="AG178" s="439"/>
      <c r="AH178" s="469">
        <f t="shared" ref="AH178:AH188" si="88">ROUND(AG$181/(1+EXP(AG$185+AG$184*$D178)),$G$1)</f>
        <v>90441</v>
      </c>
      <c r="AI178" s="502">
        <f t="shared" ref="AI178:AI185" si="89">($B178-AH178)^2/1000</f>
        <v>79.524000000000001</v>
      </c>
      <c r="AK178" s="575">
        <f>LN($AM$181/$B178-1)</f>
        <v>3.9974220590952401</v>
      </c>
      <c r="AL178" s="539" t="s">
        <v>335</v>
      </c>
      <c r="AM178" s="439"/>
      <c r="AN178" s="469">
        <f t="shared" ref="AN178:AN188" si="90">ROUND(AM$181/(1+EXP(AM$185+AM$184*$D178)),$G$1)</f>
        <v>90442</v>
      </c>
      <c r="AO178" s="502">
        <f t="shared" ref="AO178:AO187" si="91">($B178-AN178)^2/1000</f>
        <v>80.088999999999999</v>
      </c>
      <c r="AQ178" s="575">
        <f>LN($AS$181/$B178-1)</f>
        <v>4.1827994282080052</v>
      </c>
      <c r="AR178" s="539" t="s">
        <v>335</v>
      </c>
      <c r="AS178" s="439"/>
      <c r="AT178" s="469">
        <f t="shared" ref="AT178:AT188" si="92">ROUND(AS$181/(1+EXP(AS$185+AS$184*$D178)),$G$1)</f>
        <v>90443</v>
      </c>
      <c r="AU178" s="502">
        <f t="shared" ref="AU178:AU185" si="93">($B178-AT178)^2/1000</f>
        <v>80.656000000000006</v>
      </c>
      <c r="AW178" s="575">
        <f>LN($AY$181/$B178-1)</f>
        <v>4.3391271280898005</v>
      </c>
      <c r="AX178" s="539" t="s">
        <v>335</v>
      </c>
      <c r="AY178" s="439"/>
      <c r="AZ178" s="469">
        <f t="shared" ref="AZ178:AZ188" si="94">ROUND(AY$181/(1+EXP(AY$185+AY$184*$D178)),$G$1)</f>
        <v>90443</v>
      </c>
      <c r="BA178" s="502">
        <f t="shared" ref="BA178:BA185" si="95">($B178-AZ178)^2/1000</f>
        <v>80.656000000000006</v>
      </c>
      <c r="BC178" s="575">
        <f>LN($BE$181/$B178-1)</f>
        <v>4.4742881811449369</v>
      </c>
      <c r="BD178" s="539" t="s">
        <v>335</v>
      </c>
      <c r="BE178" s="439"/>
      <c r="BF178" s="469">
        <f t="shared" ref="BF178:BF188" si="96">ROUND(BE$181/(1+EXP(BE$185+BE$184*$D178)),$G$1)</f>
        <v>90444</v>
      </c>
      <c r="BG178" s="502">
        <f t="shared" ref="BG178:BG185" si="97">($B178-BF178)^2/1000</f>
        <v>81.224999999999994</v>
      </c>
    </row>
    <row r="179" spans="1:60" ht="15" customHeight="1">
      <c r="A179" s="436">
        <f t="shared" si="75"/>
        <v>2007</v>
      </c>
      <c r="B179" s="437">
        <f t="shared" si="75"/>
        <v>92520</v>
      </c>
      <c r="C179" s="533">
        <f t="shared" si="76"/>
        <v>4.156549786165221</v>
      </c>
      <c r="D179" s="438">
        <f t="shared" si="77"/>
        <v>2</v>
      </c>
      <c r="E179" s="498" t="s">
        <v>336</v>
      </c>
      <c r="F179" s="439"/>
      <c r="H179" s="574"/>
      <c r="I179" s="443">
        <f t="shared" si="78"/>
        <v>91857</v>
      </c>
      <c r="J179" s="446">
        <f t="shared" si="79"/>
        <v>0.71660181582360571</v>
      </c>
      <c r="K179" s="443">
        <f t="shared" si="80"/>
        <v>439.56900000000002</v>
      </c>
      <c r="M179" s="576">
        <f t="shared" si="81"/>
        <v>2.2832466899654218</v>
      </c>
      <c r="N179" s="539"/>
      <c r="O179" s="439"/>
      <c r="P179" s="469">
        <f t="shared" si="82"/>
        <v>91849</v>
      </c>
      <c r="Q179" s="443">
        <f t="shared" si="83"/>
        <v>450.24099999999999</v>
      </c>
      <c r="S179" s="576">
        <f t="shared" ref="S179:S188" si="98">LN($U$181/$B179-1)</f>
        <v>3.0261134408124906</v>
      </c>
      <c r="T179" s="539"/>
      <c r="U179" s="439"/>
      <c r="V179" s="469">
        <f t="shared" si="84"/>
        <v>91854</v>
      </c>
      <c r="W179" s="443">
        <f t="shared" si="85"/>
        <v>443.55599999999998</v>
      </c>
      <c r="Y179" s="576">
        <f t="shared" ref="Y179:Y188" si="99">LN($AA$181/$B179-1)</f>
        <v>3.4476171682440993</v>
      </c>
      <c r="Z179" s="539"/>
      <c r="AA179" s="439"/>
      <c r="AB179" s="469">
        <f t="shared" si="86"/>
        <v>91856</v>
      </c>
      <c r="AC179" s="443">
        <f t="shared" si="87"/>
        <v>440.89600000000002</v>
      </c>
      <c r="AE179" s="576">
        <f t="shared" ref="AE179:AE188" si="100">LN($AG$181/$B179-1)</f>
        <v>3.7432231065571702</v>
      </c>
      <c r="AF179" s="539"/>
      <c r="AG179" s="439"/>
      <c r="AH179" s="469">
        <f t="shared" si="88"/>
        <v>91856</v>
      </c>
      <c r="AI179" s="443">
        <f t="shared" si="89"/>
        <v>440.89600000000002</v>
      </c>
      <c r="AK179" s="576">
        <f t="shared" ref="AK179:AK188" si="101">LN($AM$181/$B179-1)</f>
        <v>3.9710910133842692</v>
      </c>
      <c r="AL179" s="539"/>
      <c r="AM179" s="439"/>
      <c r="AN179" s="469">
        <f t="shared" si="90"/>
        <v>91857</v>
      </c>
      <c r="AO179" s="443">
        <f t="shared" si="91"/>
        <v>439.56900000000002</v>
      </c>
      <c r="AQ179" s="576">
        <f t="shared" ref="AQ179:AQ188" si="102">LN($AS$181/$B179-1)</f>
        <v>4.156549786165221</v>
      </c>
      <c r="AR179" s="539"/>
      <c r="AS179" s="439"/>
      <c r="AT179" s="469">
        <f t="shared" si="92"/>
        <v>91857</v>
      </c>
      <c r="AU179" s="443">
        <f t="shared" si="93"/>
        <v>439.56900000000002</v>
      </c>
      <c r="AW179" s="576">
        <f t="shared" ref="AW179:AW188" si="103">LN($AY$181/$B179-1)</f>
        <v>4.3129353240265944</v>
      </c>
      <c r="AX179" s="539"/>
      <c r="AY179" s="439"/>
      <c r="AZ179" s="469">
        <f t="shared" si="94"/>
        <v>91857</v>
      </c>
      <c r="BA179" s="443">
        <f t="shared" si="95"/>
        <v>439.56900000000002</v>
      </c>
      <c r="BC179" s="576">
        <f t="shared" ref="BC179:BC188" si="104">LN($BE$181/$B179-1)</f>
        <v>4.4481395885689787</v>
      </c>
      <c r="BD179" s="539"/>
      <c r="BE179" s="439"/>
      <c r="BF179" s="469">
        <f t="shared" si="96"/>
        <v>91857</v>
      </c>
      <c r="BG179" s="443">
        <f t="shared" si="97"/>
        <v>439.56900000000002</v>
      </c>
    </row>
    <row r="180" spans="1:60" ht="15" customHeight="1">
      <c r="A180" s="436">
        <f t="shared" si="75"/>
        <v>2008</v>
      </c>
      <c r="B180" s="437">
        <f t="shared" si="75"/>
        <v>94144</v>
      </c>
      <c r="C180" s="533">
        <f t="shared" si="76"/>
        <v>4.1388741550432275</v>
      </c>
      <c r="D180" s="438">
        <f t="shared" si="77"/>
        <v>3</v>
      </c>
      <c r="H180" s="574"/>
      <c r="I180" s="443">
        <f t="shared" si="78"/>
        <v>93293</v>
      </c>
      <c r="J180" s="446">
        <f t="shared" si="79"/>
        <v>0.90393439836845679</v>
      </c>
      <c r="K180" s="443">
        <f t="shared" si="80"/>
        <v>724.20100000000002</v>
      </c>
      <c r="M180" s="576">
        <f t="shared" si="81"/>
        <v>2.2640548280342925</v>
      </c>
      <c r="N180" s="539" t="s">
        <v>336</v>
      </c>
      <c r="O180" s="439"/>
      <c r="P180" s="469">
        <f t="shared" si="82"/>
        <v>93293</v>
      </c>
      <c r="Q180" s="443">
        <f t="shared" si="83"/>
        <v>724.20100000000002</v>
      </c>
      <c r="S180" s="576">
        <f t="shared" si="98"/>
        <v>3.0078610054891426</v>
      </c>
      <c r="T180" s="539" t="s">
        <v>336</v>
      </c>
      <c r="U180" s="439"/>
      <c r="V180" s="469">
        <f t="shared" si="84"/>
        <v>93293</v>
      </c>
      <c r="W180" s="443">
        <f t="shared" si="85"/>
        <v>724.20100000000002</v>
      </c>
      <c r="Y180" s="576">
        <f t="shared" si="99"/>
        <v>3.4296577652737925</v>
      </c>
      <c r="Z180" s="539" t="s">
        <v>336</v>
      </c>
      <c r="AA180" s="439"/>
      <c r="AB180" s="469">
        <f t="shared" si="86"/>
        <v>93293</v>
      </c>
      <c r="AC180" s="443">
        <f t="shared" si="87"/>
        <v>724.20100000000002</v>
      </c>
      <c r="AE180" s="576">
        <f t="shared" si="100"/>
        <v>3.7254067194186238</v>
      </c>
      <c r="AF180" s="539" t="s">
        <v>336</v>
      </c>
      <c r="AG180" s="439"/>
      <c r="AH180" s="469">
        <f t="shared" si="88"/>
        <v>93293</v>
      </c>
      <c r="AI180" s="443">
        <f t="shared" si="89"/>
        <v>724.20100000000002</v>
      </c>
      <c r="AK180" s="576">
        <f t="shared" si="101"/>
        <v>3.9533593475945841</v>
      </c>
      <c r="AL180" s="539" t="s">
        <v>336</v>
      </c>
      <c r="AM180" s="439"/>
      <c r="AN180" s="469">
        <f t="shared" si="90"/>
        <v>93293</v>
      </c>
      <c r="AO180" s="443">
        <f t="shared" si="91"/>
        <v>724.20100000000002</v>
      </c>
      <c r="AQ180" s="576">
        <f t="shared" si="102"/>
        <v>4.1388741550432275</v>
      </c>
      <c r="AR180" s="539" t="s">
        <v>336</v>
      </c>
      <c r="AS180" s="439"/>
      <c r="AT180" s="469">
        <f t="shared" si="92"/>
        <v>93293</v>
      </c>
      <c r="AU180" s="443">
        <f t="shared" si="93"/>
        <v>724.20100000000002</v>
      </c>
      <c r="AW180" s="576">
        <f t="shared" si="103"/>
        <v>4.2952995013200352</v>
      </c>
      <c r="AX180" s="539" t="s">
        <v>336</v>
      </c>
      <c r="AY180" s="439"/>
      <c r="AZ180" s="469">
        <f t="shared" si="94"/>
        <v>93293</v>
      </c>
      <c r="BA180" s="443">
        <f t="shared" si="95"/>
        <v>724.20100000000002</v>
      </c>
      <c r="BC180" s="576">
        <f t="shared" si="104"/>
        <v>4.4305335046971086</v>
      </c>
      <c r="BD180" s="539" t="s">
        <v>336</v>
      </c>
      <c r="BE180" s="439"/>
      <c r="BF180" s="469">
        <f t="shared" si="96"/>
        <v>93293</v>
      </c>
      <c r="BG180" s="443">
        <f t="shared" si="97"/>
        <v>724.20100000000002</v>
      </c>
    </row>
    <row r="181" spans="1:60" ht="15" customHeight="1">
      <c r="A181" s="436">
        <f t="shared" si="75"/>
        <v>2009</v>
      </c>
      <c r="B181" s="437">
        <f t="shared" si="75"/>
        <v>94580</v>
      </c>
      <c r="C181" s="533">
        <f t="shared" si="76"/>
        <v>4.134179815050655</v>
      </c>
      <c r="D181" s="438">
        <f t="shared" si="77"/>
        <v>4</v>
      </c>
      <c r="E181" s="540"/>
      <c r="G181" s="451"/>
      <c r="H181" s="442"/>
      <c r="I181" s="443">
        <f t="shared" si="78"/>
        <v>94751</v>
      </c>
      <c r="J181" s="446">
        <f t="shared" si="79"/>
        <v>0.18079932332417001</v>
      </c>
      <c r="K181" s="443">
        <f t="shared" si="80"/>
        <v>29.241</v>
      </c>
      <c r="M181" s="576">
        <f t="shared" si="81"/>
        <v>2.2589528872262727</v>
      </c>
      <c r="N181" s="439" t="s">
        <v>337</v>
      </c>
      <c r="O181" s="577">
        <f>E200</f>
        <v>1000000</v>
      </c>
      <c r="P181" s="469">
        <f t="shared" si="82"/>
        <v>94756</v>
      </c>
      <c r="Q181" s="443">
        <f t="shared" si="83"/>
        <v>30.975999999999999</v>
      </c>
      <c r="S181" s="576">
        <f t="shared" si="98"/>
        <v>3.0030116984855395</v>
      </c>
      <c r="T181" s="439" t="s">
        <v>337</v>
      </c>
      <c r="U181" s="363">
        <f>E201</f>
        <v>2000000</v>
      </c>
      <c r="V181" s="469">
        <f t="shared" si="84"/>
        <v>94753</v>
      </c>
      <c r="W181" s="443">
        <f t="shared" si="85"/>
        <v>29.928999999999998</v>
      </c>
      <c r="Y181" s="576">
        <f t="shared" si="99"/>
        <v>3.4248871999330976</v>
      </c>
      <c r="Z181" s="439" t="s">
        <v>337</v>
      </c>
      <c r="AA181" s="363">
        <f>E202</f>
        <v>3000000</v>
      </c>
      <c r="AB181" s="469">
        <f t="shared" si="86"/>
        <v>94752</v>
      </c>
      <c r="AC181" s="443">
        <f t="shared" si="87"/>
        <v>29.584</v>
      </c>
      <c r="AE181" s="576">
        <f t="shared" si="100"/>
        <v>3.7206745736919085</v>
      </c>
      <c r="AF181" s="439" t="s">
        <v>337</v>
      </c>
      <c r="AG181" s="363">
        <f>E203</f>
        <v>4000000</v>
      </c>
      <c r="AH181" s="469">
        <f t="shared" si="88"/>
        <v>94751</v>
      </c>
      <c r="AI181" s="443">
        <f t="shared" si="89"/>
        <v>29.241</v>
      </c>
      <c r="AK181" s="576">
        <f t="shared" si="101"/>
        <v>3.9486499580292742</v>
      </c>
      <c r="AL181" s="439" t="s">
        <v>337</v>
      </c>
      <c r="AM181" s="363">
        <f>E204</f>
        <v>5000000</v>
      </c>
      <c r="AN181" s="469">
        <f t="shared" si="90"/>
        <v>94751</v>
      </c>
      <c r="AO181" s="443">
        <f t="shared" si="91"/>
        <v>29.241</v>
      </c>
      <c r="AQ181" s="576">
        <f t="shared" si="102"/>
        <v>4.134179815050655</v>
      </c>
      <c r="AR181" s="439" t="s">
        <v>337</v>
      </c>
      <c r="AS181" s="363">
        <f>E205</f>
        <v>6000000</v>
      </c>
      <c r="AT181" s="469">
        <f t="shared" si="92"/>
        <v>94751</v>
      </c>
      <c r="AU181" s="443">
        <f t="shared" si="93"/>
        <v>29.241</v>
      </c>
      <c r="AW181" s="576">
        <f t="shared" si="103"/>
        <v>4.2906158522666438</v>
      </c>
      <c r="AX181" s="439" t="s">
        <v>337</v>
      </c>
      <c r="AY181" s="363">
        <f>E206</f>
        <v>7000000</v>
      </c>
      <c r="AZ181" s="469">
        <f t="shared" si="94"/>
        <v>94751</v>
      </c>
      <c r="BA181" s="443">
        <f t="shared" si="95"/>
        <v>29.241</v>
      </c>
      <c r="BC181" s="576">
        <f t="shared" si="104"/>
        <v>4.425857841946236</v>
      </c>
      <c r="BD181" s="439" t="s">
        <v>337</v>
      </c>
      <c r="BE181" s="363">
        <f>E207</f>
        <v>8000000</v>
      </c>
      <c r="BF181" s="469">
        <f t="shared" si="96"/>
        <v>94751</v>
      </c>
      <c r="BG181" s="443">
        <f t="shared" si="97"/>
        <v>29.241</v>
      </c>
    </row>
    <row r="182" spans="1:60" ht="15" customHeight="1">
      <c r="A182" s="436">
        <f t="shared" si="75"/>
        <v>2010</v>
      </c>
      <c r="B182" s="437">
        <f t="shared" si="75"/>
        <v>96214</v>
      </c>
      <c r="C182" s="533">
        <f t="shared" si="76"/>
        <v>4.1167742417822115</v>
      </c>
      <c r="D182" s="438">
        <f t="shared" si="77"/>
        <v>5</v>
      </c>
      <c r="E182" s="540" t="s">
        <v>337</v>
      </c>
      <c r="F182" s="577">
        <f>INDEX(E200:L207,MATCH(1,L200:L207,0),1)</f>
        <v>6000000</v>
      </c>
      <c r="G182" s="451"/>
      <c r="I182" s="443">
        <f t="shared" si="78"/>
        <v>96231</v>
      </c>
      <c r="J182" s="446">
        <f t="shared" si="79"/>
        <v>1.7668946307190223E-2</v>
      </c>
      <c r="K182" s="443">
        <f t="shared" si="80"/>
        <v>0.28899999999999998</v>
      </c>
      <c r="M182" s="576">
        <f t="shared" si="81"/>
        <v>2.2400177294758103</v>
      </c>
      <c r="N182" s="578" t="s">
        <v>338</v>
      </c>
      <c r="O182" s="505">
        <f>MAX($B178:$B188)</f>
        <v>106419</v>
      </c>
      <c r="P182" s="469">
        <f t="shared" si="82"/>
        <v>96240</v>
      </c>
      <c r="Q182" s="443">
        <f t="shared" si="83"/>
        <v>0.67600000000000005</v>
      </c>
      <c r="S182" s="576">
        <f t="shared" si="98"/>
        <v>2.9850249368478341</v>
      </c>
      <c r="T182" s="578" t="s">
        <v>338</v>
      </c>
      <c r="U182" s="505">
        <f>MAX($B178:$B188)</f>
        <v>106419</v>
      </c>
      <c r="V182" s="469">
        <f t="shared" si="84"/>
        <v>96235</v>
      </c>
      <c r="W182" s="443">
        <f t="shared" si="85"/>
        <v>0.441</v>
      </c>
      <c r="Y182" s="576">
        <f t="shared" si="99"/>
        <v>3.4071958045405761</v>
      </c>
      <c r="Z182" s="578" t="s">
        <v>338</v>
      </c>
      <c r="AA182" s="505">
        <f>MAX($B178:$B188)</f>
        <v>106419</v>
      </c>
      <c r="AB182" s="469">
        <f t="shared" si="86"/>
        <v>96233</v>
      </c>
      <c r="AC182" s="443">
        <f t="shared" si="87"/>
        <v>0.36099999999999999</v>
      </c>
      <c r="AE182" s="576">
        <f t="shared" si="100"/>
        <v>3.7031272532280775</v>
      </c>
      <c r="AF182" s="578" t="s">
        <v>338</v>
      </c>
      <c r="AG182" s="505">
        <f>MAX($B178:$B188)</f>
        <v>106419</v>
      </c>
      <c r="AH182" s="469">
        <f t="shared" si="88"/>
        <v>96232</v>
      </c>
      <c r="AI182" s="443">
        <f t="shared" si="89"/>
        <v>0.32400000000000001</v>
      </c>
      <c r="AK182" s="576">
        <f t="shared" si="101"/>
        <v>3.9311879615885266</v>
      </c>
      <c r="AL182" s="578" t="s">
        <v>338</v>
      </c>
      <c r="AM182" s="505">
        <f>MAX($B178:$B188)</f>
        <v>106419</v>
      </c>
      <c r="AN182" s="469">
        <f t="shared" si="90"/>
        <v>96231</v>
      </c>
      <c r="AO182" s="443">
        <f t="shared" si="91"/>
        <v>0.28899999999999998</v>
      </c>
      <c r="AQ182" s="576">
        <f t="shared" si="102"/>
        <v>4.1167742417822115</v>
      </c>
      <c r="AR182" s="578" t="s">
        <v>338</v>
      </c>
      <c r="AS182" s="505">
        <f>MAX($B178:$B188)</f>
        <v>106419</v>
      </c>
      <c r="AT182" s="469">
        <f t="shared" si="92"/>
        <v>96231</v>
      </c>
      <c r="AU182" s="443">
        <f t="shared" si="93"/>
        <v>0.28899999999999998</v>
      </c>
      <c r="AW182" s="576">
        <f t="shared" si="103"/>
        <v>4.2732503585304009</v>
      </c>
      <c r="AX182" s="578" t="s">
        <v>338</v>
      </c>
      <c r="AY182" s="505">
        <f>MAX($B178:$B188)</f>
        <v>106419</v>
      </c>
      <c r="AZ182" s="469">
        <f t="shared" si="94"/>
        <v>96231</v>
      </c>
      <c r="BA182" s="443">
        <f t="shared" si="95"/>
        <v>0.28899999999999998</v>
      </c>
      <c r="BC182" s="576">
        <f t="shared" si="104"/>
        <v>4.40852228693368</v>
      </c>
      <c r="BD182" s="578" t="s">
        <v>338</v>
      </c>
      <c r="BE182" s="505">
        <f>MAX($B178:$B188)</f>
        <v>106419</v>
      </c>
      <c r="BF182" s="469">
        <f t="shared" si="96"/>
        <v>96231</v>
      </c>
      <c r="BG182" s="443">
        <f t="shared" si="97"/>
        <v>0.28899999999999998</v>
      </c>
    </row>
    <row r="183" spans="1:60" ht="15" customHeight="1">
      <c r="A183" s="436">
        <f t="shared" si="75"/>
        <v>2011</v>
      </c>
      <c r="B183" s="437">
        <f t="shared" si="75"/>
        <v>96993</v>
      </c>
      <c r="C183" s="533">
        <f t="shared" si="76"/>
        <v>4.1085783501267814</v>
      </c>
      <c r="D183" s="438">
        <f t="shared" si="77"/>
        <v>6</v>
      </c>
      <c r="E183" s="578" t="s">
        <v>338</v>
      </c>
      <c r="F183" s="505">
        <f>MAX(B178:B188)</f>
        <v>106419</v>
      </c>
      <c r="G183" s="451"/>
      <c r="H183" s="442"/>
      <c r="I183" s="443">
        <f t="shared" si="78"/>
        <v>97734</v>
      </c>
      <c r="J183" s="446">
        <f t="shared" si="79"/>
        <v>0.76397265782066748</v>
      </c>
      <c r="K183" s="443">
        <f t="shared" si="80"/>
        <v>549.08100000000002</v>
      </c>
      <c r="M183" s="576">
        <f t="shared" si="81"/>
        <v>2.2310914943740099</v>
      </c>
      <c r="N183" s="578" t="s">
        <v>339</v>
      </c>
      <c r="O183" s="505">
        <f>AVERAGE($B184:$B188)</f>
        <v>102352.4</v>
      </c>
      <c r="P183" s="469">
        <f t="shared" si="82"/>
        <v>97745</v>
      </c>
      <c r="Q183" s="443">
        <f t="shared" si="83"/>
        <v>565.50400000000002</v>
      </c>
      <c r="S183" s="576">
        <f t="shared" si="98"/>
        <v>2.9765517347409927</v>
      </c>
      <c r="T183" s="578" t="s">
        <v>339</v>
      </c>
      <c r="U183" s="505">
        <f>AVERAGE($B184:$B188)</f>
        <v>102352.4</v>
      </c>
      <c r="V183" s="469">
        <f t="shared" si="84"/>
        <v>97738</v>
      </c>
      <c r="W183" s="443">
        <f t="shared" si="85"/>
        <v>555.02499999999998</v>
      </c>
      <c r="Y183" s="576">
        <f t="shared" si="99"/>
        <v>3.3988635643694654</v>
      </c>
      <c r="Z183" s="578" t="s">
        <v>339</v>
      </c>
      <c r="AA183" s="505">
        <f>AVERAGE($B184:$B188)</f>
        <v>102352.4</v>
      </c>
      <c r="AB183" s="469">
        <f t="shared" si="86"/>
        <v>97736</v>
      </c>
      <c r="AC183" s="443">
        <f t="shared" si="87"/>
        <v>552.04899999999998</v>
      </c>
      <c r="AE183" s="576">
        <f t="shared" si="100"/>
        <v>3.6948637497202781</v>
      </c>
      <c r="AF183" s="578" t="s">
        <v>339</v>
      </c>
      <c r="AG183" s="505">
        <f>AVERAGE($B184:$B188)</f>
        <v>102352.4</v>
      </c>
      <c r="AH183" s="469">
        <f t="shared" si="88"/>
        <v>97735</v>
      </c>
      <c r="AI183" s="443">
        <f t="shared" si="89"/>
        <v>550.56399999999996</v>
      </c>
      <c r="AK183" s="576">
        <f t="shared" si="101"/>
        <v>3.9229651583966283</v>
      </c>
      <c r="AL183" s="578" t="s">
        <v>339</v>
      </c>
      <c r="AM183" s="505">
        <f>AVERAGE($B184:$B188)</f>
        <v>102352.4</v>
      </c>
      <c r="AN183" s="469">
        <f t="shared" si="90"/>
        <v>97735</v>
      </c>
      <c r="AO183" s="443">
        <f t="shared" si="91"/>
        <v>550.56399999999996</v>
      </c>
      <c r="AQ183" s="576">
        <f t="shared" si="102"/>
        <v>4.1085783501267814</v>
      </c>
      <c r="AR183" s="578" t="s">
        <v>339</v>
      </c>
      <c r="AS183" s="505">
        <f>AVERAGE($B184:$B188)</f>
        <v>102352.4</v>
      </c>
      <c r="AT183" s="469">
        <f t="shared" si="92"/>
        <v>97734</v>
      </c>
      <c r="AU183" s="443">
        <f t="shared" si="93"/>
        <v>549.08100000000002</v>
      </c>
      <c r="AW183" s="576">
        <f t="shared" si="103"/>
        <v>4.2650735818039092</v>
      </c>
      <c r="AX183" s="578" t="s">
        <v>339</v>
      </c>
      <c r="AY183" s="505">
        <f>AVERAGE($B184:$B188)</f>
        <v>102352.4</v>
      </c>
      <c r="AZ183" s="469">
        <f t="shared" si="94"/>
        <v>97734</v>
      </c>
      <c r="BA183" s="443">
        <f t="shared" si="95"/>
        <v>549.08100000000002</v>
      </c>
      <c r="BC183" s="576">
        <f t="shared" si="104"/>
        <v>4.4003597879932617</v>
      </c>
      <c r="BD183" s="578" t="s">
        <v>339</v>
      </c>
      <c r="BE183" s="505">
        <f>AVERAGE($B184:$B188)</f>
        <v>102352.4</v>
      </c>
      <c r="BF183" s="469">
        <f t="shared" si="96"/>
        <v>97734</v>
      </c>
      <c r="BG183" s="443">
        <f t="shared" si="97"/>
        <v>549.08100000000002</v>
      </c>
    </row>
    <row r="184" spans="1:60" ht="15" customHeight="1">
      <c r="A184" s="436">
        <f t="shared" si="75"/>
        <v>2012</v>
      </c>
      <c r="B184" s="437">
        <f t="shared" si="75"/>
        <v>98279</v>
      </c>
      <c r="C184" s="533">
        <f t="shared" si="76"/>
        <v>4.0951889096833369</v>
      </c>
      <c r="D184" s="438">
        <f t="shared" si="77"/>
        <v>7</v>
      </c>
      <c r="E184" s="578" t="s">
        <v>339</v>
      </c>
      <c r="F184" s="505">
        <f>AVERAGE(B184:B188)</f>
        <v>102352.4</v>
      </c>
      <c r="G184" s="451"/>
      <c r="H184" s="442"/>
      <c r="I184" s="443">
        <f t="shared" si="78"/>
        <v>99260</v>
      </c>
      <c r="J184" s="446">
        <f t="shared" si="79"/>
        <v>0.9981786546464656</v>
      </c>
      <c r="K184" s="443">
        <f t="shared" si="80"/>
        <v>962.36099999999999</v>
      </c>
      <c r="M184" s="576">
        <f t="shared" si="81"/>
        <v>2.2164947869859843</v>
      </c>
      <c r="N184" s="579" t="s">
        <v>340</v>
      </c>
      <c r="O184" s="504">
        <f>INDEX(LINEST(M178:M188,$D178:$D188),1)</f>
        <v>-1.7181935640442604E-2</v>
      </c>
      <c r="P184" s="469">
        <f t="shared" si="82"/>
        <v>99271</v>
      </c>
      <c r="Q184" s="443">
        <f>($B184-P184)^2/1000</f>
        <v>984.06399999999996</v>
      </c>
      <c r="S184" s="576">
        <f t="shared" si="98"/>
        <v>2.9627041720574447</v>
      </c>
      <c r="T184" s="579" t="s">
        <v>340</v>
      </c>
      <c r="U184" s="504">
        <f>INDEX(LINEST(S178:S188,$D178:$D188),1)</f>
        <v>-1.6295264163667694E-2</v>
      </c>
      <c r="V184" s="469">
        <f t="shared" si="84"/>
        <v>99264</v>
      </c>
      <c r="W184" s="443">
        <f>($B184-V184)^2/1000</f>
        <v>970.22500000000002</v>
      </c>
      <c r="Y184" s="576">
        <f t="shared" si="99"/>
        <v>3.3852489156385981</v>
      </c>
      <c r="Z184" s="579" t="s">
        <v>340</v>
      </c>
      <c r="AA184" s="504">
        <f>INDEX(LINEST(Y178:Y188,$D178:$D188),1)</f>
        <v>-1.6019733052873786E-2</v>
      </c>
      <c r="AB184" s="469">
        <f t="shared" si="86"/>
        <v>99262</v>
      </c>
      <c r="AC184" s="443">
        <f t="shared" si="87"/>
        <v>966.28899999999999</v>
      </c>
      <c r="AE184" s="576">
        <f t="shared" si="100"/>
        <v>3.681362644241692</v>
      </c>
      <c r="AF184" s="579" t="s">
        <v>340</v>
      </c>
      <c r="AG184" s="504">
        <f>INDEX(LINEST(AE178:AE188,$D178:$D188),1)</f>
        <v>-1.5885438094195199E-2</v>
      </c>
      <c r="AH184" s="469">
        <f t="shared" si="88"/>
        <v>99261</v>
      </c>
      <c r="AI184" s="443">
        <f t="shared" si="89"/>
        <v>964.32399999999996</v>
      </c>
      <c r="AK184" s="576">
        <f t="shared" si="101"/>
        <v>3.9095312743325938</v>
      </c>
      <c r="AL184" s="579" t="s">
        <v>340</v>
      </c>
      <c r="AM184" s="504">
        <f>INDEX(LINEST(AK178:AK188,$D178:$D188),1)</f>
        <v>-1.5805938249884913E-2</v>
      </c>
      <c r="AN184" s="469">
        <f t="shared" si="90"/>
        <v>99261</v>
      </c>
      <c r="AO184" s="443">
        <f t="shared" si="91"/>
        <v>964.32399999999996</v>
      </c>
      <c r="AQ184" s="576">
        <f t="shared" si="102"/>
        <v>4.0951889096833369</v>
      </c>
      <c r="AR184" s="579" t="s">
        <v>340</v>
      </c>
      <c r="AS184" s="504">
        <f>INDEX(LINEST(AQ178:AQ188,$D178:$D188),1)</f>
        <v>-1.5753379671671692E-2</v>
      </c>
      <c r="AT184" s="469">
        <f t="shared" si="92"/>
        <v>99260</v>
      </c>
      <c r="AU184" s="443">
        <f t="shared" si="93"/>
        <v>962.36099999999999</v>
      </c>
      <c r="AW184" s="576">
        <f t="shared" si="103"/>
        <v>4.2517157071840987</v>
      </c>
      <c r="AX184" s="579" t="s">
        <v>340</v>
      </c>
      <c r="AY184" s="504">
        <f>INDEX(LINEST(AW178:AW188,$D178:$D188),1)</f>
        <v>-1.5716051673467617E-2</v>
      </c>
      <c r="AZ184" s="469">
        <f t="shared" si="94"/>
        <v>99260</v>
      </c>
      <c r="BA184" s="443">
        <f t="shared" si="95"/>
        <v>962.36099999999999</v>
      </c>
      <c r="BC184" s="576">
        <f t="shared" si="104"/>
        <v>4.3870254902398891</v>
      </c>
      <c r="BD184" s="579" t="s">
        <v>340</v>
      </c>
      <c r="BE184" s="504">
        <f>INDEX(LINEST(BC178:BC188,$D178:$D188),1)</f>
        <v>-1.568817174625128E-2</v>
      </c>
      <c r="BF184" s="469">
        <f t="shared" si="96"/>
        <v>99260</v>
      </c>
      <c r="BG184" s="443">
        <f t="shared" si="97"/>
        <v>962.36099999999999</v>
      </c>
    </row>
    <row r="185" spans="1:60" ht="15" customHeight="1">
      <c r="A185" s="436">
        <f t="shared" si="75"/>
        <v>2013</v>
      </c>
      <c r="B185" s="437">
        <f t="shared" si="75"/>
        <v>99952</v>
      </c>
      <c r="C185" s="533">
        <f t="shared" si="76"/>
        <v>4.0780256947027231</v>
      </c>
      <c r="D185" s="438">
        <f t="shared" ref="D185:D210" si="105">D184+1</f>
        <v>8</v>
      </c>
      <c r="G185" s="451"/>
      <c r="H185" s="442"/>
      <c r="I185" s="443">
        <f t="shared" si="78"/>
        <v>100810</v>
      </c>
      <c r="J185" s="446">
        <f t="shared" si="79"/>
        <v>0.85841203777813346</v>
      </c>
      <c r="K185" s="443">
        <f t="shared" si="80"/>
        <v>736.16399999999999</v>
      </c>
      <c r="M185" s="576">
        <f t="shared" si="81"/>
        <v>2.1977580244842585</v>
      </c>
      <c r="N185" s="439" t="s">
        <v>305</v>
      </c>
      <c r="O185" s="504">
        <f>INDEX(LINEST(M178:M188,$D178:$D188),2)</f>
        <v>2.3256247148944409</v>
      </c>
      <c r="P185" s="469">
        <f t="shared" si="82"/>
        <v>100818</v>
      </c>
      <c r="Q185" s="443">
        <f>($B185-P185)^2/1000</f>
        <v>749.95600000000002</v>
      </c>
      <c r="S185" s="576">
        <f t="shared" si="98"/>
        <v>2.9449443572421043</v>
      </c>
      <c r="T185" s="439" t="s">
        <v>305</v>
      </c>
      <c r="U185" s="504">
        <f>INDEX(LINEST(S178:S188,$D178:$D188),2)</f>
        <v>3.0662764067860313</v>
      </c>
      <c r="V185" s="469">
        <f t="shared" si="84"/>
        <v>100813</v>
      </c>
      <c r="W185" s="443">
        <f>($B185-V185)^2/1000</f>
        <v>741.32100000000003</v>
      </c>
      <c r="Y185" s="576">
        <f t="shared" si="99"/>
        <v>3.3677924968105111</v>
      </c>
      <c r="Z185" s="439" t="s">
        <v>305</v>
      </c>
      <c r="AA185" s="504">
        <f>INDEX(LINEST(Y178:Y188,$D178:$D188),2)</f>
        <v>3.4870924607616258</v>
      </c>
      <c r="AB185" s="469">
        <f t="shared" si="86"/>
        <v>100811</v>
      </c>
      <c r="AC185" s="443">
        <f t="shared" si="87"/>
        <v>737.88099999999997</v>
      </c>
      <c r="AE185" s="576">
        <f t="shared" si="100"/>
        <v>3.6640540689830923</v>
      </c>
      <c r="AF185" s="439" t="s">
        <v>305</v>
      </c>
      <c r="AG185" s="504">
        <f>INDEX(LINEST(AE178:AE188,$D178:$D188),2)</f>
        <v>3.7823633358373616</v>
      </c>
      <c r="AH185" s="469">
        <f t="shared" si="88"/>
        <v>100811</v>
      </c>
      <c r="AI185" s="443">
        <f t="shared" si="89"/>
        <v>737.88099999999997</v>
      </c>
      <c r="AK185" s="576">
        <f t="shared" si="101"/>
        <v>3.8923102092178916</v>
      </c>
      <c r="AL185" s="439" t="s">
        <v>305</v>
      </c>
      <c r="AM185" s="504">
        <f>INDEX(LINEST(AK178:AK188,$D178:$D188),2)</f>
        <v>4.0100329265464554</v>
      </c>
      <c r="AN185" s="469">
        <f t="shared" si="90"/>
        <v>100810</v>
      </c>
      <c r="AO185" s="443">
        <f t="shared" si="91"/>
        <v>736.16399999999999</v>
      </c>
      <c r="AQ185" s="576">
        <f t="shared" si="102"/>
        <v>4.0780256947027231</v>
      </c>
      <c r="AR185" s="439" t="s">
        <v>305</v>
      </c>
      <c r="AS185" s="504">
        <f>INDEX(LINEST(AQ178:AQ188,$D178:$D188),2)</f>
        <v>4.1953606035109869</v>
      </c>
      <c r="AT185" s="469">
        <f t="shared" si="92"/>
        <v>100810</v>
      </c>
      <c r="AU185" s="443">
        <f t="shared" si="93"/>
        <v>736.16399999999999</v>
      </c>
      <c r="AW185" s="576">
        <f t="shared" si="103"/>
        <v>4.2345935763316795</v>
      </c>
      <c r="AX185" s="439" t="s">
        <v>305</v>
      </c>
      <c r="AY185" s="504">
        <f>INDEX(LINEST(AW178:AW188,$D178:$D188),2)</f>
        <v>4.3516530416732611</v>
      </c>
      <c r="AZ185" s="469">
        <f t="shared" si="94"/>
        <v>100810</v>
      </c>
      <c r="BA185" s="443">
        <f t="shared" si="95"/>
        <v>736.16399999999999</v>
      </c>
      <c r="BC185" s="576">
        <f t="shared" si="104"/>
        <v>4.3699340436348075</v>
      </c>
      <c r="BD185" s="439" t="s">
        <v>305</v>
      </c>
      <c r="BE185" s="504">
        <f>INDEX(LINEST(BC178:BC188,$D178:$D188),2)</f>
        <v>4.4867877746098772</v>
      </c>
      <c r="BF185" s="469">
        <f t="shared" si="96"/>
        <v>100810</v>
      </c>
      <c r="BG185" s="443">
        <f t="shared" si="97"/>
        <v>736.16399999999999</v>
      </c>
    </row>
    <row r="186" spans="1:60" ht="15" customHeight="1">
      <c r="A186" s="436">
        <f t="shared" si="75"/>
        <v>2014</v>
      </c>
      <c r="B186" s="437">
        <f t="shared" si="75"/>
        <v>102796</v>
      </c>
      <c r="C186" s="580">
        <f t="shared" si="76"/>
        <v>4.0494871775052408</v>
      </c>
      <c r="D186" s="508">
        <f t="shared" si="105"/>
        <v>9</v>
      </c>
      <c r="E186" s="581" t="s">
        <v>340</v>
      </c>
      <c r="F186" s="504">
        <f>INDEX(LINEST(C178:C188,D178:D188),1)</f>
        <v>-1.5753379671671692E-2</v>
      </c>
      <c r="G186" s="582"/>
      <c r="H186" s="442"/>
      <c r="I186" s="443">
        <f t="shared" si="78"/>
        <v>102383</v>
      </c>
      <c r="J186" s="467">
        <f t="shared" si="79"/>
        <v>0.40176660570450212</v>
      </c>
      <c r="K186" s="443">
        <f t="shared" si="80"/>
        <v>170.56899999999999</v>
      </c>
      <c r="M186" s="576">
        <f t="shared" si="81"/>
        <v>2.166536819192677</v>
      </c>
      <c r="N186" s="578" t="s">
        <v>306</v>
      </c>
      <c r="O186" s="583">
        <f>O184*-1</f>
        <v>1.7181935640442604E-2</v>
      </c>
      <c r="P186" s="469">
        <f t="shared" si="82"/>
        <v>102386</v>
      </c>
      <c r="Q186" s="443">
        <f>($B186-P186)^2/1000</f>
        <v>168.1</v>
      </c>
      <c r="S186" s="576">
        <f t="shared" si="98"/>
        <v>2.9153900606132392</v>
      </c>
      <c r="T186" s="578" t="s">
        <v>306</v>
      </c>
      <c r="U186" s="583">
        <f>U184*-1</f>
        <v>1.6295264163667694E-2</v>
      </c>
      <c r="V186" s="469">
        <f t="shared" si="84"/>
        <v>102384</v>
      </c>
      <c r="W186" s="443">
        <f>($B186-V186)^2/1000</f>
        <v>169.744</v>
      </c>
      <c r="Y186" s="576">
        <f t="shared" si="99"/>
        <v>3.338754971205403</v>
      </c>
      <c r="Z186" s="578" t="s">
        <v>306</v>
      </c>
      <c r="AA186" s="583">
        <f>AA184*-1</f>
        <v>1.6019733052873786E-2</v>
      </c>
      <c r="AB186" s="469">
        <f t="shared" si="86"/>
        <v>102384</v>
      </c>
      <c r="AC186" s="443">
        <f>($B186-AB186)^2/1000</f>
        <v>169.744</v>
      </c>
      <c r="AE186" s="576">
        <f t="shared" si="100"/>
        <v>3.635268210170377</v>
      </c>
      <c r="AF186" s="578" t="s">
        <v>306</v>
      </c>
      <c r="AG186" s="583">
        <f>AG184*-1</f>
        <v>1.5885438094195199E-2</v>
      </c>
      <c r="AH186" s="469">
        <f t="shared" si="88"/>
        <v>102384</v>
      </c>
      <c r="AI186" s="443">
        <f>($B186-AH186)^2/1000</f>
        <v>169.744</v>
      </c>
      <c r="AK186" s="576">
        <f t="shared" si="101"/>
        <v>3.8636732672345016</v>
      </c>
      <c r="AL186" s="578" t="s">
        <v>306</v>
      </c>
      <c r="AM186" s="583">
        <f>AM184*-1</f>
        <v>1.5805938249884913E-2</v>
      </c>
      <c r="AN186" s="469">
        <f t="shared" si="90"/>
        <v>102383</v>
      </c>
      <c r="AO186" s="443">
        <f t="shared" si="91"/>
        <v>170.56899999999999</v>
      </c>
      <c r="AQ186" s="576">
        <f t="shared" si="102"/>
        <v>4.0494871775052408</v>
      </c>
      <c r="AR186" s="578" t="s">
        <v>306</v>
      </c>
      <c r="AS186" s="583">
        <f>AS184*-1</f>
        <v>1.5753379671671692E-2</v>
      </c>
      <c r="AT186" s="469">
        <f t="shared" si="92"/>
        <v>102383</v>
      </c>
      <c r="AU186" s="443">
        <f>($B186-AT186)^2/1000</f>
        <v>170.56899999999999</v>
      </c>
      <c r="AW186" s="576">
        <f t="shared" si="103"/>
        <v>4.2061249493130992</v>
      </c>
      <c r="AX186" s="578" t="s">
        <v>306</v>
      </c>
      <c r="AY186" s="583">
        <f>AY184*-1</f>
        <v>1.5716051673467617E-2</v>
      </c>
      <c r="AZ186" s="469">
        <f t="shared" si="94"/>
        <v>102383</v>
      </c>
      <c r="BA186" s="443">
        <f>($B186-AZ186)^2/1000</f>
        <v>170.56899999999999</v>
      </c>
      <c r="BC186" s="576">
        <f t="shared" si="104"/>
        <v>4.3415176100003867</v>
      </c>
      <c r="BD186" s="578" t="s">
        <v>306</v>
      </c>
      <c r="BE186" s="583">
        <f>BE184*-1</f>
        <v>1.568817174625128E-2</v>
      </c>
      <c r="BF186" s="469">
        <f t="shared" si="96"/>
        <v>102383</v>
      </c>
      <c r="BG186" s="443">
        <f>($B186-BF186)^2/1000</f>
        <v>170.56899999999999</v>
      </c>
    </row>
    <row r="187" spans="1:60" ht="15" customHeight="1">
      <c r="A187" s="436">
        <f t="shared" si="75"/>
        <v>2015</v>
      </c>
      <c r="B187" s="437">
        <f t="shared" si="75"/>
        <v>104316</v>
      </c>
      <c r="C187" s="580">
        <f t="shared" si="76"/>
        <v>4.0345510828898732</v>
      </c>
      <c r="D187" s="508">
        <f t="shared" si="105"/>
        <v>10</v>
      </c>
      <c r="E187" s="540" t="s">
        <v>305</v>
      </c>
      <c r="F187" s="504">
        <f>INDEX(LINEST(C178:C188,D178:D188),2)</f>
        <v>4.1953606035109869</v>
      </c>
      <c r="G187" s="451"/>
      <c r="H187" s="439"/>
      <c r="I187" s="443">
        <f t="shared" si="78"/>
        <v>103981</v>
      </c>
      <c r="J187" s="467">
        <f t="shared" si="79"/>
        <v>0.32113961424901261</v>
      </c>
      <c r="K187" s="443">
        <f t="shared" si="80"/>
        <v>112.22499999999999</v>
      </c>
      <c r="M187" s="576">
        <f t="shared" si="81"/>
        <v>2.1501629183128608</v>
      </c>
      <c r="N187" s="439" t="s">
        <v>321</v>
      </c>
      <c r="O187" s="504">
        <f>P177</f>
        <v>0.98249519442318234</v>
      </c>
      <c r="P187" s="469">
        <f t="shared" si="82"/>
        <v>103976</v>
      </c>
      <c r="Q187" s="443">
        <f>($B187-P187)^2/1000</f>
        <v>115.6</v>
      </c>
      <c r="S187" s="576">
        <f t="shared" si="98"/>
        <v>2.8999102483729406</v>
      </c>
      <c r="T187" s="439" t="s">
        <v>321</v>
      </c>
      <c r="U187" s="504">
        <f>V177</f>
        <v>0.98269076395222044</v>
      </c>
      <c r="V187" s="469">
        <f t="shared" si="84"/>
        <v>103979</v>
      </c>
      <c r="W187" s="443">
        <f>($B187-V187)^2/1000</f>
        <v>113.569</v>
      </c>
      <c r="Y187" s="576">
        <f t="shared" si="99"/>
        <v>3.3235518776449937</v>
      </c>
      <c r="Z187" s="439" t="s">
        <v>321</v>
      </c>
      <c r="AA187" s="504">
        <f>AB177</f>
        <v>0.9827581745313746</v>
      </c>
      <c r="AB187" s="469">
        <f t="shared" si="86"/>
        <v>103980</v>
      </c>
      <c r="AC187" s="443">
        <f>($B187-AB187)^2/1000</f>
        <v>112.896</v>
      </c>
      <c r="AE187" s="576">
        <f t="shared" si="100"/>
        <v>3.6201997987584305</v>
      </c>
      <c r="AF187" s="439" t="s">
        <v>321</v>
      </c>
      <c r="AG187" s="504">
        <f>AH177</f>
        <v>0.98277704530566001</v>
      </c>
      <c r="AH187" s="469">
        <f t="shared" si="88"/>
        <v>103980</v>
      </c>
      <c r="AI187" s="443">
        <f>($B187-AH187)^2/1000</f>
        <v>112.896</v>
      </c>
      <c r="AK187" s="576">
        <f t="shared" si="101"/>
        <v>3.8486845257406186</v>
      </c>
      <c r="AL187" s="439" t="s">
        <v>341</v>
      </c>
      <c r="AM187" s="504">
        <f>AN177</f>
        <v>0.98279268509166529</v>
      </c>
      <c r="AN187" s="469">
        <f t="shared" si="90"/>
        <v>103981</v>
      </c>
      <c r="AO187" s="443">
        <f t="shared" si="91"/>
        <v>112.22499999999999</v>
      </c>
      <c r="AQ187" s="576">
        <f t="shared" si="102"/>
        <v>4.0345510828898732</v>
      </c>
      <c r="AR187" s="439" t="s">
        <v>321</v>
      </c>
      <c r="AS187" s="504">
        <f>AT177</f>
        <v>0.98281017860978792</v>
      </c>
      <c r="AT187" s="469">
        <f t="shared" si="92"/>
        <v>103981</v>
      </c>
      <c r="AU187" s="443">
        <f>($B187-AT187)^2/1000</f>
        <v>112.22499999999999</v>
      </c>
      <c r="AW187" s="576">
        <f t="shared" si="103"/>
        <v>4.1912262337427721</v>
      </c>
      <c r="AX187" s="439" t="s">
        <v>321</v>
      </c>
      <c r="AY187" s="504">
        <f>AZ177</f>
        <v>0.98281017860978792</v>
      </c>
      <c r="AZ187" s="469">
        <f t="shared" si="94"/>
        <v>103981</v>
      </c>
      <c r="BA187" s="443">
        <f>($B187-AZ187)^2/1000</f>
        <v>112.22499999999999</v>
      </c>
      <c r="BC187" s="576">
        <f t="shared" si="104"/>
        <v>4.326646806164133</v>
      </c>
      <c r="BD187" s="439" t="s">
        <v>321</v>
      </c>
      <c r="BE187" s="504">
        <f>BF177</f>
        <v>0.98280823764801284</v>
      </c>
      <c r="BF187" s="469">
        <f t="shared" si="96"/>
        <v>103981</v>
      </c>
      <c r="BG187" s="443">
        <f>($B187-BF187)^2/1000</f>
        <v>112.22499999999999</v>
      </c>
    </row>
    <row r="188" spans="1:60" ht="15" customHeight="1" thickBot="1">
      <c r="A188" s="436">
        <f t="shared" si="75"/>
        <v>2016</v>
      </c>
      <c r="B188" s="437">
        <f t="shared" si="75"/>
        <v>106419</v>
      </c>
      <c r="C188" s="580">
        <f t="shared" si="76"/>
        <v>4.0142349391332459</v>
      </c>
      <c r="D188" s="508">
        <f t="shared" si="105"/>
        <v>11</v>
      </c>
      <c r="E188" s="578" t="s">
        <v>306</v>
      </c>
      <c r="F188" s="583">
        <f>F186*-1</f>
        <v>1.5753379671671692E-2</v>
      </c>
      <c r="H188" s="558"/>
      <c r="I188" s="443">
        <f t="shared" si="78"/>
        <v>105603</v>
      </c>
      <c r="J188" s="467">
        <f t="shared" si="79"/>
        <v>0.76678036816733852</v>
      </c>
      <c r="K188" s="443">
        <f t="shared" si="80"/>
        <v>665.85599999999999</v>
      </c>
      <c r="M188" s="576">
        <f t="shared" si="81"/>
        <v>2.1278528528250509</v>
      </c>
      <c r="N188" s="439" t="s">
        <v>322</v>
      </c>
      <c r="O188" s="363">
        <f>SUM(Q178:Q188)</f>
        <v>4551.1679999999997</v>
      </c>
      <c r="P188" s="469">
        <f t="shared" si="82"/>
        <v>105588</v>
      </c>
      <c r="Q188" s="443">
        <f>($B188-P188)^2/1000</f>
        <v>690.56100000000004</v>
      </c>
      <c r="S188" s="584">
        <f t="shared" si="98"/>
        <v>2.878840891957243</v>
      </c>
      <c r="T188" s="439" t="s">
        <v>322</v>
      </c>
      <c r="U188" s="363">
        <f>SUM(W178:W188)</f>
        <v>4500.9790000000003</v>
      </c>
      <c r="V188" s="469">
        <f t="shared" si="84"/>
        <v>105597</v>
      </c>
      <c r="W188" s="443">
        <f>($B188-V188)^2/1000</f>
        <v>675.68399999999997</v>
      </c>
      <c r="Y188" s="584">
        <f t="shared" si="99"/>
        <v>3.3028659820070994</v>
      </c>
      <c r="Z188" s="439" t="s">
        <v>322</v>
      </c>
      <c r="AA188" s="363">
        <f>SUM(AC178:AC188)</f>
        <v>4483.6230000000005</v>
      </c>
      <c r="AB188" s="469">
        <f t="shared" si="86"/>
        <v>105600</v>
      </c>
      <c r="AC188" s="443">
        <f>($B188-AB188)^2/1000</f>
        <v>670.76099999999997</v>
      </c>
      <c r="AE188" s="584">
        <f t="shared" si="100"/>
        <v>3.5997004463104494</v>
      </c>
      <c r="AF188" s="439" t="s">
        <v>322</v>
      </c>
      <c r="AG188" s="363">
        <f>SUM(AI178:AI188)</f>
        <v>4478.7190000000001</v>
      </c>
      <c r="AH188" s="469">
        <f t="shared" si="88"/>
        <v>105601</v>
      </c>
      <c r="AI188" s="443">
        <f>($B188-AH188)^2/1000</f>
        <v>669.12400000000002</v>
      </c>
      <c r="AK188" s="584">
        <f t="shared" si="101"/>
        <v>3.8282954929044815</v>
      </c>
      <c r="AL188" s="439" t="s">
        <v>322</v>
      </c>
      <c r="AM188" s="363">
        <f>SUM(AO178:AO188)</f>
        <v>4474.7240000000002</v>
      </c>
      <c r="AN188" s="469">
        <f t="shared" si="90"/>
        <v>105602</v>
      </c>
      <c r="AO188" s="443">
        <f>($B188-AN188)^2/1000</f>
        <v>667.48900000000003</v>
      </c>
      <c r="AQ188" s="584">
        <f t="shared" si="102"/>
        <v>4.0142349391332459</v>
      </c>
      <c r="AR188" s="439" t="s">
        <v>322</v>
      </c>
      <c r="AS188" s="363">
        <f>SUM(AU178:AU188)</f>
        <v>4470.2119999999995</v>
      </c>
      <c r="AT188" s="469">
        <f t="shared" si="92"/>
        <v>105603</v>
      </c>
      <c r="AU188" s="443">
        <f>($B188-AT188)^2/1000</f>
        <v>665.85599999999999</v>
      </c>
      <c r="AW188" s="584">
        <f t="shared" si="103"/>
        <v>4.1709618353479785</v>
      </c>
      <c r="AX188" s="439" t="s">
        <v>322</v>
      </c>
      <c r="AY188" s="363">
        <f>SUM(BA178:BA188)</f>
        <v>4470.2119999999995</v>
      </c>
      <c r="AZ188" s="469">
        <f t="shared" si="94"/>
        <v>105603</v>
      </c>
      <c r="BA188" s="443">
        <f>($B188-AZ188)^2/1000</f>
        <v>665.85599999999999</v>
      </c>
      <c r="BC188" s="584">
        <f t="shared" si="104"/>
        <v>4.306421044132648</v>
      </c>
      <c r="BD188" s="439" t="s">
        <v>322</v>
      </c>
      <c r="BE188" s="363">
        <f>SUM(BG178:BG188)</f>
        <v>4470.780999999999</v>
      </c>
      <c r="BF188" s="469">
        <f t="shared" si="96"/>
        <v>105603</v>
      </c>
      <c r="BG188" s="443">
        <f>($B188-BF188)^2/1000</f>
        <v>665.85599999999999</v>
      </c>
    </row>
    <row r="189" spans="1:60" ht="15" customHeight="1" thickTop="1">
      <c r="A189" s="511">
        <f t="shared" si="75"/>
        <v>2017</v>
      </c>
      <c r="B189" s="459">
        <f t="shared" si="75"/>
        <v>109653</v>
      </c>
      <c r="C189" s="585"/>
      <c r="D189" s="513">
        <f t="shared" si="105"/>
        <v>12</v>
      </c>
      <c r="E189" s="462"/>
      <c r="F189" s="461"/>
      <c r="G189" s="461"/>
      <c r="H189" s="586"/>
      <c r="I189" s="464">
        <f t="shared" si="78"/>
        <v>107250</v>
      </c>
      <c r="J189" s="463"/>
      <c r="K189" s="464"/>
      <c r="M189" s="587"/>
      <c r="N189" s="461"/>
      <c r="O189" s="461"/>
      <c r="P189" s="588"/>
      <c r="Q189" s="589"/>
      <c r="S189" s="587"/>
      <c r="T189" s="461"/>
      <c r="U189" s="461"/>
      <c r="V189" s="588"/>
      <c r="W189" s="589"/>
      <c r="Y189" s="587"/>
      <c r="Z189" s="461"/>
      <c r="AA189" s="461"/>
      <c r="AB189" s="588"/>
      <c r="AC189" s="589"/>
      <c r="AE189" s="587"/>
      <c r="AF189" s="461"/>
      <c r="AG189" s="461"/>
      <c r="AH189" s="588"/>
      <c r="AI189" s="589"/>
      <c r="AK189" s="587"/>
      <c r="AL189" s="461"/>
      <c r="AM189" s="461"/>
      <c r="AN189" s="588"/>
      <c r="AO189" s="589"/>
      <c r="AQ189" s="587"/>
      <c r="AR189" s="461"/>
      <c r="AS189" s="461"/>
      <c r="AT189" s="588"/>
      <c r="AU189" s="589"/>
      <c r="AW189" s="587"/>
      <c r="AX189" s="461"/>
      <c r="AY189" s="461"/>
      <c r="AZ189" s="588"/>
      <c r="BA189" s="589"/>
      <c r="BC189" s="587"/>
      <c r="BD189" s="461"/>
      <c r="BE189" s="461"/>
      <c r="BF189" s="588"/>
      <c r="BG189" s="589"/>
    </row>
    <row r="190" spans="1:60" ht="15" customHeight="1">
      <c r="A190" s="436">
        <f>A154</f>
        <v>2018</v>
      </c>
      <c r="B190" s="437">
        <f t="shared" ref="B190:B210" si="106">ROUND(F$182/(1+EXP(F$187+F$186*D190)),$G$1)</f>
        <v>108922</v>
      </c>
      <c r="C190" s="580"/>
      <c r="D190" s="508">
        <f t="shared" si="105"/>
        <v>13</v>
      </c>
      <c r="E190" s="2318" t="s">
        <v>276</v>
      </c>
      <c r="F190" s="2320"/>
      <c r="G190" s="447">
        <f>I177</f>
        <v>0.98281017860978792</v>
      </c>
      <c r="H190" s="558"/>
      <c r="I190" s="443">
        <f t="shared" si="78"/>
        <v>108922</v>
      </c>
      <c r="J190" s="467"/>
      <c r="K190" s="443"/>
      <c r="M190" s="590"/>
      <c r="N190" s="451"/>
      <c r="O190" s="451"/>
      <c r="P190" s="493"/>
      <c r="Q190" s="492"/>
      <c r="S190" s="590"/>
      <c r="T190" s="451"/>
      <c r="U190" s="451"/>
      <c r="V190" s="493"/>
      <c r="W190" s="492"/>
      <c r="Y190" s="590"/>
      <c r="Z190" s="451"/>
      <c r="AA190" s="451"/>
      <c r="AB190" s="493"/>
      <c r="AC190" s="492"/>
      <c r="AE190" s="590"/>
      <c r="AF190" s="451"/>
      <c r="AG190" s="451"/>
      <c r="AH190" s="493"/>
      <c r="AI190" s="492"/>
      <c r="AK190" s="590"/>
      <c r="AL190" s="451"/>
      <c r="AM190" s="451"/>
      <c r="AN190" s="493"/>
      <c r="AO190" s="492"/>
      <c r="AQ190" s="590"/>
      <c r="AR190" s="451"/>
      <c r="AS190" s="451"/>
      <c r="AT190" s="493"/>
      <c r="AU190" s="492"/>
      <c r="AW190" s="590"/>
      <c r="AX190" s="451"/>
      <c r="AY190" s="451"/>
      <c r="AZ190" s="493"/>
      <c r="BA190" s="492"/>
      <c r="BC190" s="590"/>
      <c r="BD190" s="451"/>
      <c r="BE190" s="451"/>
      <c r="BF190" s="493"/>
      <c r="BG190" s="492"/>
    </row>
    <row r="191" spans="1:60" ht="15" customHeight="1">
      <c r="A191" s="436">
        <f>A155</f>
        <v>2019</v>
      </c>
      <c r="B191" s="437">
        <f t="shared" si="106"/>
        <v>110619</v>
      </c>
      <c r="C191" s="580"/>
      <c r="D191" s="508">
        <f t="shared" si="105"/>
        <v>14</v>
      </c>
      <c r="E191" s="2318" t="s">
        <v>323</v>
      </c>
      <c r="F191" s="2320"/>
      <c r="G191" s="448">
        <f>SUM(K178:K188)</f>
        <v>4470.2119999999995</v>
      </c>
      <c r="H191" s="558"/>
      <c r="I191" s="443">
        <f t="shared" si="78"/>
        <v>110619</v>
      </c>
      <c r="J191" s="467"/>
      <c r="K191" s="443"/>
      <c r="M191" s="505" t="str">
        <f>E183</f>
        <v>max(y) =</v>
      </c>
      <c r="N191" s="505">
        <f>F183</f>
        <v>106419</v>
      </c>
      <c r="O191" s="505"/>
      <c r="P191" s="505"/>
      <c r="Q191" s="505"/>
      <c r="R191" s="505"/>
      <c r="S191" s="505" t="str">
        <f>M191</f>
        <v>max(y) =</v>
      </c>
      <c r="T191" s="505">
        <f>N191</f>
        <v>106419</v>
      </c>
      <c r="U191" s="505"/>
      <c r="V191" s="505"/>
      <c r="W191" s="505"/>
      <c r="X191" s="505"/>
      <c r="Y191" s="505" t="str">
        <f>S191</f>
        <v>max(y) =</v>
      </c>
      <c r="Z191" s="505">
        <f>T191</f>
        <v>106419</v>
      </c>
      <c r="AA191" s="505"/>
      <c r="AB191" s="505"/>
      <c r="AC191" s="505"/>
      <c r="AD191" s="505"/>
      <c r="AE191" s="505" t="str">
        <f>Y191</f>
        <v>max(y) =</v>
      </c>
      <c r="AF191" s="505">
        <f>Z191</f>
        <v>106419</v>
      </c>
      <c r="AG191" s="505"/>
      <c r="AH191" s="505"/>
      <c r="AI191" s="505"/>
      <c r="AJ191" s="505"/>
      <c r="AK191" s="505" t="str">
        <f>AE191</f>
        <v>max(y) =</v>
      </c>
      <c r="AL191" s="505">
        <f>AF191</f>
        <v>106419</v>
      </c>
      <c r="AM191" s="505"/>
      <c r="AN191" s="505"/>
      <c r="AO191" s="505"/>
      <c r="AP191" s="505"/>
      <c r="AQ191" s="505" t="str">
        <f>AK191</f>
        <v>max(y) =</v>
      </c>
      <c r="AR191" s="505">
        <f>AL191</f>
        <v>106419</v>
      </c>
      <c r="AS191" s="505"/>
      <c r="AT191" s="505"/>
      <c r="AU191" s="505"/>
      <c r="AV191" s="505"/>
      <c r="AW191" s="505" t="str">
        <f>AQ191</f>
        <v>max(y) =</v>
      </c>
      <c r="AX191" s="505">
        <f>AR191</f>
        <v>106419</v>
      </c>
      <c r="AY191" s="505"/>
      <c r="AZ191" s="505"/>
      <c r="BA191" s="505"/>
      <c r="BB191" s="505"/>
      <c r="BC191" s="505" t="str">
        <f>AW191</f>
        <v>max(y) =</v>
      </c>
      <c r="BD191" s="505">
        <f>AX191</f>
        <v>106419</v>
      </c>
      <c r="BE191" s="505"/>
      <c r="BF191" s="505"/>
      <c r="BG191" s="505"/>
      <c r="BH191" s="505"/>
    </row>
    <row r="192" spans="1:60" ht="15" customHeight="1">
      <c r="A192" s="436">
        <f>A156</f>
        <v>2020</v>
      </c>
      <c r="B192" s="437">
        <f t="shared" si="106"/>
        <v>112343</v>
      </c>
      <c r="C192" s="580"/>
      <c r="D192" s="508">
        <f t="shared" si="105"/>
        <v>15</v>
      </c>
      <c r="E192" s="2318" t="s">
        <v>324</v>
      </c>
      <c r="F192" s="2320"/>
      <c r="G192" s="449">
        <f>SUM(J178:J188)/D199</f>
        <v>0.2838297036095761</v>
      </c>
      <c r="H192" s="558"/>
      <c r="I192" s="443">
        <f t="shared" si="78"/>
        <v>112343</v>
      </c>
      <c r="J192" s="467"/>
      <c r="K192" s="443"/>
      <c r="M192" s="505" t="s">
        <v>326</v>
      </c>
      <c r="N192" s="505">
        <v>3</v>
      </c>
      <c r="O192" s="505"/>
      <c r="P192" s="505"/>
      <c r="Q192" s="505"/>
      <c r="R192" s="505"/>
      <c r="S192" s="505" t="s">
        <v>326</v>
      </c>
      <c r="T192" s="505">
        <f>N192</f>
        <v>3</v>
      </c>
      <c r="U192" s="505"/>
      <c r="V192" s="505"/>
      <c r="W192" s="505"/>
      <c r="X192" s="505"/>
      <c r="Y192" s="505" t="s">
        <v>326</v>
      </c>
      <c r="Z192" s="505">
        <f>T192</f>
        <v>3</v>
      </c>
      <c r="AA192" s="505"/>
      <c r="AB192" s="505"/>
      <c r="AC192" s="505"/>
      <c r="AD192" s="505"/>
      <c r="AE192" s="505" t="s">
        <v>326</v>
      </c>
      <c r="AF192" s="505">
        <f>Z192</f>
        <v>3</v>
      </c>
      <c r="AG192" s="505"/>
      <c r="AH192" s="505"/>
      <c r="AI192" s="505"/>
      <c r="AJ192" s="505"/>
      <c r="AK192" s="505" t="s">
        <v>326</v>
      </c>
      <c r="AL192" s="505">
        <f>AF192</f>
        <v>3</v>
      </c>
      <c r="AM192" s="505"/>
      <c r="AN192" s="505"/>
      <c r="AO192" s="505"/>
      <c r="AP192" s="505"/>
      <c r="AQ192" s="505" t="s">
        <v>342</v>
      </c>
      <c r="AR192" s="505">
        <f>AL192</f>
        <v>3</v>
      </c>
      <c r="AS192" s="505"/>
      <c r="AT192" s="505"/>
      <c r="AU192" s="505"/>
      <c r="AV192" s="505"/>
      <c r="AW192" s="505" t="s">
        <v>326</v>
      </c>
      <c r="AX192" s="505">
        <f>AR192</f>
        <v>3</v>
      </c>
      <c r="AY192" s="505"/>
      <c r="AZ192" s="505"/>
      <c r="BA192" s="505"/>
      <c r="BB192" s="505"/>
      <c r="BC192" s="505" t="s">
        <v>326</v>
      </c>
      <c r="BD192" s="505">
        <f>AX192</f>
        <v>3</v>
      </c>
      <c r="BE192" s="505"/>
      <c r="BF192" s="505"/>
      <c r="BG192" s="505"/>
      <c r="BH192" s="505"/>
    </row>
    <row r="193" spans="1:70" ht="15" customHeight="1">
      <c r="A193" s="436">
        <f>A157</f>
        <v>2021</v>
      </c>
      <c r="B193" s="437">
        <f t="shared" si="106"/>
        <v>114093</v>
      </c>
      <c r="C193" s="580"/>
      <c r="D193" s="508">
        <f t="shared" si="105"/>
        <v>16</v>
      </c>
      <c r="H193" s="558"/>
      <c r="I193" s="443">
        <f t="shared" si="78"/>
        <v>114093</v>
      </c>
      <c r="J193" s="467"/>
      <c r="K193" s="443"/>
      <c r="M193" s="505" t="s">
        <v>343</v>
      </c>
      <c r="N193" s="559">
        <v>100000</v>
      </c>
      <c r="O193" s="505"/>
      <c r="P193" s="505"/>
      <c r="Q193" s="505"/>
      <c r="R193" s="505"/>
      <c r="S193" s="505" t="s">
        <v>343</v>
      </c>
      <c r="T193" s="505">
        <f>N193</f>
        <v>100000</v>
      </c>
      <c r="U193" s="505"/>
      <c r="V193" s="505"/>
      <c r="W193" s="505"/>
      <c r="X193" s="505"/>
      <c r="Y193" s="505" t="s">
        <v>343</v>
      </c>
      <c r="Z193" s="505">
        <f>T193</f>
        <v>100000</v>
      </c>
      <c r="AA193" s="505"/>
      <c r="AB193" s="505"/>
      <c r="AC193" s="505"/>
      <c r="AD193" s="505"/>
      <c r="AE193" s="505" t="s">
        <v>343</v>
      </c>
      <c r="AF193" s="505">
        <f>Z193</f>
        <v>100000</v>
      </c>
      <c r="AG193" s="505"/>
      <c r="AH193" s="505"/>
      <c r="AI193" s="505"/>
      <c r="AJ193" s="505"/>
      <c r="AK193" s="505" t="s">
        <v>343</v>
      </c>
      <c r="AL193" s="505">
        <f>AF193</f>
        <v>100000</v>
      </c>
      <c r="AM193" s="505"/>
      <c r="AN193" s="505"/>
      <c r="AO193" s="505"/>
      <c r="AP193" s="505"/>
      <c r="AQ193" s="505" t="s">
        <v>343</v>
      </c>
      <c r="AR193" s="505">
        <f>AL193</f>
        <v>100000</v>
      </c>
      <c r="AS193" s="505"/>
      <c r="AT193" s="505"/>
      <c r="AU193" s="505"/>
      <c r="AV193" s="505"/>
      <c r="AW193" s="505" t="s">
        <v>343</v>
      </c>
      <c r="AX193" s="505">
        <f>AR193</f>
        <v>100000</v>
      </c>
      <c r="AY193" s="505"/>
      <c r="AZ193" s="505"/>
      <c r="BA193" s="505"/>
      <c r="BB193" s="505"/>
      <c r="BC193" s="505" t="s">
        <v>343</v>
      </c>
      <c r="BD193" s="505">
        <f>AX193</f>
        <v>100000</v>
      </c>
      <c r="BE193" s="505"/>
      <c r="BF193" s="505"/>
      <c r="BG193" s="505"/>
      <c r="BH193" s="505"/>
    </row>
    <row r="194" spans="1:70" ht="15" customHeight="1">
      <c r="A194" s="436">
        <f>A158</f>
        <v>2022</v>
      </c>
      <c r="B194" s="437">
        <f t="shared" si="106"/>
        <v>115869</v>
      </c>
      <c r="C194" s="580"/>
      <c r="D194" s="508">
        <f t="shared" si="105"/>
        <v>17</v>
      </c>
      <c r="E194" s="451"/>
      <c r="F194" s="451"/>
      <c r="G194" s="451"/>
      <c r="H194" s="558"/>
      <c r="I194" s="443">
        <f t="shared" si="78"/>
        <v>115869</v>
      </c>
      <c r="J194" s="467"/>
      <c r="K194" s="443"/>
      <c r="M194" s="590"/>
      <c r="N194" s="451"/>
      <c r="O194" s="451"/>
      <c r="P194" s="493"/>
      <c r="Q194" s="492"/>
      <c r="S194" s="590"/>
      <c r="T194" s="451"/>
      <c r="U194" s="451"/>
      <c r="V194" s="493"/>
      <c r="W194" s="492"/>
      <c r="Y194" s="590"/>
      <c r="Z194" s="451"/>
      <c r="AA194" s="451"/>
      <c r="AB194" s="493"/>
      <c r="AC194" s="492"/>
      <c r="AE194" s="590"/>
      <c r="AF194" s="451"/>
      <c r="AG194" s="451"/>
      <c r="AH194" s="493"/>
      <c r="AI194" s="492"/>
      <c r="AK194" s="590"/>
      <c r="AL194" s="451"/>
      <c r="AM194" s="451"/>
      <c r="AN194" s="493"/>
      <c r="AO194" s="492"/>
      <c r="AQ194" s="590"/>
      <c r="AR194" s="451"/>
      <c r="AS194" s="451"/>
      <c r="AT194" s="493"/>
      <c r="AU194" s="492"/>
      <c r="AW194" s="590"/>
      <c r="AX194" s="451"/>
      <c r="AY194" s="451"/>
      <c r="AZ194" s="493"/>
      <c r="BA194" s="492"/>
      <c r="BC194" s="590"/>
      <c r="BD194" s="451"/>
      <c r="BE194" s="451"/>
      <c r="BF194" s="493"/>
      <c r="BG194" s="492"/>
    </row>
    <row r="195" spans="1:70" ht="15" customHeight="1">
      <c r="A195" s="436">
        <f t="shared" ref="A195:A210" si="107">A159</f>
        <v>2023</v>
      </c>
      <c r="B195" s="437">
        <f t="shared" si="106"/>
        <v>117673</v>
      </c>
      <c r="C195" s="580"/>
      <c r="D195" s="508">
        <f t="shared" si="105"/>
        <v>18</v>
      </c>
      <c r="E195" s="451"/>
      <c r="F195" s="451"/>
      <c r="G195" s="451"/>
      <c r="H195" s="558"/>
      <c r="I195" s="443">
        <f t="shared" si="78"/>
        <v>117673</v>
      </c>
      <c r="J195" s="467"/>
      <c r="K195" s="443"/>
      <c r="M195" s="590"/>
      <c r="N195" s="451"/>
      <c r="O195" s="451"/>
      <c r="P195" s="493"/>
      <c r="Q195" s="492"/>
      <c r="S195" s="590"/>
      <c r="T195" s="451"/>
      <c r="U195" s="451"/>
      <c r="V195" s="493"/>
      <c r="W195" s="492"/>
      <c r="Y195" s="590"/>
      <c r="Z195" s="451"/>
      <c r="AA195" s="451"/>
      <c r="AB195" s="493"/>
      <c r="AC195" s="492"/>
      <c r="AE195" s="590"/>
      <c r="AF195" s="451"/>
      <c r="AG195" s="451"/>
      <c r="AH195" s="493"/>
      <c r="AI195" s="492"/>
      <c r="AK195" s="590"/>
      <c r="AL195" s="451"/>
      <c r="AM195" s="451"/>
      <c r="AN195" s="493"/>
      <c r="AO195" s="492"/>
      <c r="AQ195" s="590"/>
      <c r="AR195" s="451"/>
      <c r="AS195" s="451"/>
      <c r="AT195" s="493"/>
      <c r="AU195" s="492"/>
      <c r="AW195" s="590"/>
      <c r="AX195" s="451"/>
      <c r="AY195" s="451"/>
      <c r="AZ195" s="493"/>
      <c r="BA195" s="492"/>
      <c r="BC195" s="590"/>
      <c r="BD195" s="451"/>
      <c r="BE195" s="451"/>
      <c r="BF195" s="493"/>
      <c r="BG195" s="492"/>
    </row>
    <row r="196" spans="1:70" s="451" customFormat="1" ht="15" customHeight="1">
      <c r="A196" s="436">
        <f t="shared" si="107"/>
        <v>2024</v>
      </c>
      <c r="B196" s="437">
        <f t="shared" si="106"/>
        <v>119504</v>
      </c>
      <c r="C196" s="580"/>
      <c r="D196" s="508">
        <f t="shared" si="105"/>
        <v>19</v>
      </c>
      <c r="H196" s="558"/>
      <c r="I196" s="443">
        <f t="shared" si="78"/>
        <v>119504</v>
      </c>
      <c r="J196" s="467"/>
      <c r="K196" s="443"/>
      <c r="M196" s="590"/>
      <c r="P196" s="493"/>
      <c r="Q196" s="492"/>
      <c r="S196" s="590"/>
      <c r="V196" s="493"/>
      <c r="W196" s="492"/>
      <c r="Y196" s="590"/>
      <c r="AB196" s="493"/>
      <c r="AC196" s="492"/>
      <c r="AE196" s="590"/>
      <c r="AH196" s="493"/>
      <c r="AI196" s="492"/>
      <c r="AK196" s="590"/>
      <c r="AN196" s="493"/>
      <c r="AO196" s="492"/>
      <c r="AQ196" s="590"/>
      <c r="AT196" s="493"/>
      <c r="AU196" s="492"/>
      <c r="AW196" s="590"/>
      <c r="AZ196" s="493"/>
      <c r="BA196" s="492"/>
      <c r="BC196" s="590"/>
      <c r="BF196" s="493"/>
      <c r="BG196" s="492"/>
    </row>
    <row r="197" spans="1:70" ht="15" customHeight="1">
      <c r="A197" s="436">
        <f t="shared" si="107"/>
        <v>2025</v>
      </c>
      <c r="B197" s="437">
        <f t="shared" si="106"/>
        <v>121363</v>
      </c>
      <c r="C197" s="580"/>
      <c r="D197" s="508">
        <f t="shared" si="105"/>
        <v>20</v>
      </c>
      <c r="E197" s="519"/>
      <c r="F197" s="451"/>
      <c r="G197" s="451"/>
      <c r="H197" s="558"/>
      <c r="I197" s="443">
        <f t="shared" si="78"/>
        <v>121363</v>
      </c>
      <c r="J197" s="467"/>
      <c r="K197" s="443"/>
      <c r="M197" s="590"/>
      <c r="N197" s="451"/>
      <c r="O197" s="451"/>
      <c r="P197" s="493"/>
      <c r="Q197" s="492"/>
      <c r="S197" s="590"/>
      <c r="T197" s="451"/>
      <c r="U197" s="451"/>
      <c r="V197" s="493"/>
      <c r="W197" s="492"/>
      <c r="Y197" s="590"/>
      <c r="Z197" s="451"/>
      <c r="AA197" s="451"/>
      <c r="AB197" s="493"/>
      <c r="AC197" s="492"/>
      <c r="AE197" s="590"/>
      <c r="AF197" s="451"/>
      <c r="AG197" s="451"/>
      <c r="AH197" s="493"/>
      <c r="AI197" s="492"/>
      <c r="AK197" s="590"/>
      <c r="AL197" s="451"/>
      <c r="AM197" s="451"/>
      <c r="AN197" s="493"/>
      <c r="AO197" s="492"/>
      <c r="AQ197" s="590"/>
      <c r="AR197" s="451"/>
      <c r="AS197" s="451"/>
      <c r="AT197" s="493"/>
      <c r="AU197" s="492"/>
      <c r="AW197" s="590"/>
      <c r="AX197" s="451"/>
      <c r="AY197" s="451"/>
      <c r="AZ197" s="493"/>
      <c r="BA197" s="492"/>
      <c r="BC197" s="590"/>
      <c r="BD197" s="451"/>
      <c r="BE197" s="451"/>
      <c r="BF197" s="493"/>
      <c r="BG197" s="492"/>
      <c r="BI197" s="590"/>
      <c r="BJ197" s="451"/>
      <c r="BK197" s="451"/>
      <c r="BL197" s="493"/>
      <c r="BM197" s="492"/>
    </row>
    <row r="198" spans="1:70" s="451" customFormat="1" ht="15" customHeight="1">
      <c r="A198" s="436">
        <f t="shared" si="107"/>
        <v>2026</v>
      </c>
      <c r="B198" s="437">
        <f t="shared" si="106"/>
        <v>123251</v>
      </c>
      <c r="C198" s="580"/>
      <c r="D198" s="508">
        <f t="shared" si="105"/>
        <v>21</v>
      </c>
      <c r="E198" s="519"/>
      <c r="H198" s="591"/>
      <c r="I198" s="443">
        <f t="shared" si="78"/>
        <v>123251</v>
      </c>
      <c r="J198" s="467"/>
      <c r="K198" s="443"/>
      <c r="M198" s="590"/>
      <c r="P198" s="493"/>
      <c r="Q198" s="492"/>
      <c r="S198" s="590"/>
      <c r="V198" s="493"/>
      <c r="W198" s="492"/>
      <c r="Y198" s="590"/>
      <c r="AB198" s="493"/>
      <c r="AC198" s="492"/>
      <c r="AE198" s="590"/>
      <c r="AH198" s="493"/>
      <c r="AI198" s="492"/>
      <c r="AK198" s="590"/>
      <c r="AN198" s="493"/>
      <c r="AO198" s="492"/>
      <c r="AQ198" s="590"/>
      <c r="AT198" s="493"/>
      <c r="AU198" s="492"/>
      <c r="AW198" s="590"/>
      <c r="AZ198" s="493"/>
      <c r="BA198" s="492"/>
      <c r="BC198" s="590"/>
      <c r="BF198" s="493"/>
      <c r="BG198" s="492"/>
      <c r="BI198" s="590"/>
      <c r="BL198" s="493"/>
      <c r="BM198" s="492"/>
    </row>
    <row r="199" spans="1:70" s="451" customFormat="1" ht="15" customHeight="1" thickBot="1">
      <c r="A199" s="436">
        <f t="shared" si="107"/>
        <v>2027</v>
      </c>
      <c r="B199" s="437">
        <f t="shared" si="106"/>
        <v>125167</v>
      </c>
      <c r="C199" s="580"/>
      <c r="D199" s="508">
        <f t="shared" si="105"/>
        <v>22</v>
      </c>
      <c r="E199" s="560" t="s">
        <v>344</v>
      </c>
      <c r="F199" s="561" t="s">
        <v>332</v>
      </c>
      <c r="G199" s="561" t="s">
        <v>294</v>
      </c>
      <c r="H199" s="591"/>
      <c r="I199" s="443">
        <f t="shared" si="78"/>
        <v>125167</v>
      </c>
      <c r="J199" s="467"/>
      <c r="K199" s="443"/>
      <c r="M199" s="590"/>
      <c r="P199" s="493"/>
      <c r="Q199" s="492"/>
      <c r="S199" s="590"/>
      <c r="V199" s="493"/>
      <c r="W199" s="492"/>
      <c r="Y199" s="590"/>
      <c r="AB199" s="493"/>
      <c r="AC199" s="492"/>
      <c r="AE199" s="590"/>
      <c r="AH199" s="493"/>
      <c r="AI199" s="492"/>
      <c r="AK199" s="590"/>
      <c r="AN199" s="493"/>
      <c r="AO199" s="492"/>
      <c r="AQ199" s="590"/>
      <c r="AT199" s="493"/>
      <c r="AU199" s="492"/>
      <c r="AW199" s="590"/>
      <c r="AZ199" s="493"/>
      <c r="BA199" s="492"/>
      <c r="BC199" s="590"/>
      <c r="BF199" s="493"/>
      <c r="BG199" s="492"/>
      <c r="BI199" s="590"/>
      <c r="BL199" s="493"/>
      <c r="BM199" s="492"/>
    </row>
    <row r="200" spans="1:70" ht="15" customHeight="1" thickTop="1">
      <c r="A200" s="436">
        <f t="shared" si="107"/>
        <v>2028</v>
      </c>
      <c r="B200" s="437">
        <f t="shared" si="106"/>
        <v>127112</v>
      </c>
      <c r="C200" s="520"/>
      <c r="D200" s="508">
        <f t="shared" si="105"/>
        <v>23</v>
      </c>
      <c r="E200" s="592">
        <v>1000000</v>
      </c>
      <c r="F200" s="563">
        <f>IFERROR(O187,0)</f>
        <v>0.98249519442318234</v>
      </c>
      <c r="G200" s="564">
        <f>O188</f>
        <v>4551.1679999999997</v>
      </c>
      <c r="H200" s="591"/>
      <c r="I200" s="443">
        <f t="shared" si="78"/>
        <v>127112</v>
      </c>
      <c r="J200" s="469"/>
      <c r="K200" s="469"/>
      <c r="L200" s="326">
        <f>RANK(F200,$F$200:$F$207)</f>
        <v>8</v>
      </c>
    </row>
    <row r="201" spans="1:70" ht="15" customHeight="1">
      <c r="A201" s="436">
        <f t="shared" si="107"/>
        <v>2029</v>
      </c>
      <c r="B201" s="437">
        <f t="shared" si="106"/>
        <v>129087</v>
      </c>
      <c r="C201" s="520"/>
      <c r="D201" s="508">
        <f t="shared" si="105"/>
        <v>24</v>
      </c>
      <c r="E201" s="593">
        <v>2000000</v>
      </c>
      <c r="F201" s="565">
        <f>IFERROR(V177,0)</f>
        <v>0.98269076395222044</v>
      </c>
      <c r="G201" s="564">
        <f>U188</f>
        <v>4500.9790000000003</v>
      </c>
      <c r="H201" s="591"/>
      <c r="I201" s="443">
        <f t="shared" si="78"/>
        <v>129087</v>
      </c>
      <c r="J201" s="469"/>
      <c r="K201" s="469"/>
      <c r="L201" s="326">
        <f t="shared" ref="L201:L207" si="108">RANK(F201,$F$200:$F$207)</f>
        <v>7</v>
      </c>
    </row>
    <row r="202" spans="1:70" ht="15" customHeight="1">
      <c r="A202" s="436">
        <f t="shared" si="107"/>
        <v>2030</v>
      </c>
      <c r="B202" s="437">
        <f t="shared" si="106"/>
        <v>131092</v>
      </c>
      <c r="C202" s="520"/>
      <c r="D202" s="508">
        <f t="shared" si="105"/>
        <v>25</v>
      </c>
      <c r="E202" s="593">
        <v>3000000</v>
      </c>
      <c r="F202" s="565">
        <f>IFERROR(AB177,0)</f>
        <v>0.9827581745313746</v>
      </c>
      <c r="G202" s="564">
        <f>AA188</f>
        <v>4483.6230000000005</v>
      </c>
      <c r="H202" s="591"/>
      <c r="I202" s="443">
        <f t="shared" si="78"/>
        <v>131092</v>
      </c>
      <c r="J202" s="469"/>
      <c r="K202" s="469"/>
      <c r="L202" s="326">
        <f t="shared" si="108"/>
        <v>6</v>
      </c>
      <c r="BK202" s="505"/>
      <c r="BL202" s="505"/>
      <c r="BM202" s="505"/>
      <c r="BN202" s="505"/>
      <c r="BO202" s="505"/>
      <c r="BP202" s="505"/>
      <c r="BQ202" s="505"/>
      <c r="BR202" s="505"/>
    </row>
    <row r="203" spans="1:70" ht="15" customHeight="1">
      <c r="A203" s="436">
        <f t="shared" si="107"/>
        <v>2031</v>
      </c>
      <c r="B203" s="437">
        <f t="shared" si="106"/>
        <v>133127</v>
      </c>
      <c r="C203" s="520"/>
      <c r="D203" s="508">
        <f t="shared" si="105"/>
        <v>26</v>
      </c>
      <c r="E203" s="593">
        <v>4000000</v>
      </c>
      <c r="F203" s="565">
        <f>IFERROR(AH177,0)</f>
        <v>0.98277704530566001</v>
      </c>
      <c r="G203" s="564">
        <f>AG188</f>
        <v>4478.7190000000001</v>
      </c>
      <c r="H203" s="591"/>
      <c r="I203" s="443">
        <f t="shared" si="78"/>
        <v>133127</v>
      </c>
      <c r="J203" s="469"/>
      <c r="K203" s="469"/>
      <c r="L203" s="326">
        <f t="shared" si="108"/>
        <v>5</v>
      </c>
    </row>
    <row r="204" spans="1:70" ht="15" customHeight="1">
      <c r="A204" s="436">
        <f t="shared" si="107"/>
        <v>2032</v>
      </c>
      <c r="B204" s="437">
        <f t="shared" si="106"/>
        <v>135193</v>
      </c>
      <c r="C204" s="520"/>
      <c r="D204" s="508">
        <f t="shared" si="105"/>
        <v>27</v>
      </c>
      <c r="E204" s="593">
        <v>5000000</v>
      </c>
      <c r="F204" s="565">
        <f>IFERROR(AN177,0)</f>
        <v>0.98279268509166529</v>
      </c>
      <c r="G204" s="564">
        <f>AM188</f>
        <v>4474.7240000000002</v>
      </c>
      <c r="H204" s="591"/>
      <c r="I204" s="443">
        <f t="shared" si="78"/>
        <v>135193</v>
      </c>
      <c r="J204" s="469"/>
      <c r="K204" s="469"/>
      <c r="L204" s="326">
        <f t="shared" si="108"/>
        <v>4</v>
      </c>
    </row>
    <row r="205" spans="1:70" ht="15" customHeight="1">
      <c r="A205" s="436">
        <f t="shared" si="107"/>
        <v>2033</v>
      </c>
      <c r="B205" s="437">
        <f t="shared" si="106"/>
        <v>137291</v>
      </c>
      <c r="C205" s="520"/>
      <c r="D205" s="508">
        <f t="shared" si="105"/>
        <v>28</v>
      </c>
      <c r="E205" s="593">
        <v>6000000</v>
      </c>
      <c r="F205" s="565">
        <f>IFERROR(AT177,0)</f>
        <v>0.98281017860978792</v>
      </c>
      <c r="G205" s="564">
        <f>AS188</f>
        <v>4470.2119999999995</v>
      </c>
      <c r="H205" s="591"/>
      <c r="I205" s="443">
        <f t="shared" si="78"/>
        <v>137291</v>
      </c>
      <c r="J205" s="469"/>
      <c r="K205" s="469"/>
      <c r="L205" s="326">
        <f t="shared" si="108"/>
        <v>1</v>
      </c>
    </row>
    <row r="206" spans="1:70" ht="15" customHeight="1">
      <c r="A206" s="436">
        <f t="shared" si="107"/>
        <v>2034</v>
      </c>
      <c r="B206" s="437">
        <f t="shared" si="106"/>
        <v>139420</v>
      </c>
      <c r="C206" s="520"/>
      <c r="D206" s="508">
        <f t="shared" si="105"/>
        <v>29</v>
      </c>
      <c r="E206" s="593">
        <v>7000000</v>
      </c>
      <c r="F206" s="565">
        <f>IFERROR(AZ177,0)</f>
        <v>0.98281017860978792</v>
      </c>
      <c r="G206" s="594">
        <f>AY188</f>
        <v>4470.2119999999995</v>
      </c>
      <c r="H206" s="591"/>
      <c r="I206" s="443">
        <f t="shared" si="78"/>
        <v>139420</v>
      </c>
      <c r="J206" s="469"/>
      <c r="K206" s="469"/>
      <c r="L206" s="326">
        <f t="shared" si="108"/>
        <v>1</v>
      </c>
    </row>
    <row r="207" spans="1:70" ht="15" customHeight="1">
      <c r="A207" s="522">
        <f t="shared" si="107"/>
        <v>2035</v>
      </c>
      <c r="B207" s="523">
        <f t="shared" si="106"/>
        <v>141582</v>
      </c>
      <c r="C207" s="524"/>
      <c r="D207" s="525">
        <f t="shared" si="105"/>
        <v>30</v>
      </c>
      <c r="E207" s="593">
        <v>8000000</v>
      </c>
      <c r="F207" s="571">
        <f>IFERROR(BF177,0)</f>
        <v>0.98280823764801284</v>
      </c>
      <c r="G207" s="595">
        <f>BE188</f>
        <v>4470.780999999999</v>
      </c>
      <c r="H207" s="596"/>
      <c r="I207" s="528">
        <f t="shared" si="78"/>
        <v>141582</v>
      </c>
      <c r="J207" s="529"/>
      <c r="K207" s="529"/>
      <c r="L207" s="326">
        <f t="shared" si="108"/>
        <v>3</v>
      </c>
    </row>
    <row r="208" spans="1:70" ht="15" customHeight="1">
      <c r="A208" s="522">
        <f t="shared" si="107"/>
        <v>2036</v>
      </c>
      <c r="B208" s="523">
        <f t="shared" si="106"/>
        <v>143776</v>
      </c>
      <c r="C208" s="524"/>
      <c r="D208" s="525">
        <f t="shared" si="105"/>
        <v>31</v>
      </c>
      <c r="E208" s="570"/>
      <c r="F208" s="571"/>
      <c r="G208" s="595"/>
      <c r="H208" s="596"/>
      <c r="I208" s="528">
        <f t="shared" si="78"/>
        <v>143776</v>
      </c>
      <c r="J208" s="529"/>
      <c r="K208" s="529"/>
    </row>
    <row r="209" spans="1:41" ht="20.100000000000001" customHeight="1">
      <c r="A209" s="522">
        <f t="shared" si="107"/>
        <v>2037</v>
      </c>
      <c r="B209" s="523">
        <f t="shared" si="106"/>
        <v>146003</v>
      </c>
      <c r="C209" s="524"/>
      <c r="D209" s="525">
        <f t="shared" si="105"/>
        <v>32</v>
      </c>
      <c r="E209" s="570"/>
      <c r="F209" s="571"/>
      <c r="G209" s="595"/>
      <c r="H209" s="596"/>
      <c r="I209" s="528">
        <f t="shared" si="78"/>
        <v>146003</v>
      </c>
      <c r="J209" s="529"/>
      <c r="K209" s="529"/>
      <c r="L209" s="578"/>
      <c r="M209" s="578"/>
      <c r="N209" s="578"/>
      <c r="O209" s="578"/>
      <c r="P209" s="578"/>
      <c r="Q209" s="578"/>
      <c r="R209" s="578"/>
      <c r="S209" s="578"/>
      <c r="T209" s="578"/>
      <c r="U209" s="578"/>
      <c r="V209" s="578"/>
      <c r="W209" s="578"/>
      <c r="X209" s="578"/>
      <c r="Y209" s="578"/>
      <c r="Z209" s="578"/>
      <c r="AA209" s="578"/>
      <c r="AB209" s="578"/>
      <c r="AC209" s="578"/>
      <c r="AD209" s="578"/>
      <c r="AE209" s="578"/>
      <c r="AF209" s="578"/>
      <c r="AG209" s="578"/>
      <c r="AH209" s="578"/>
      <c r="AI209" s="578"/>
      <c r="AJ209" s="578"/>
      <c r="AK209" s="578"/>
      <c r="AL209" s="578"/>
      <c r="AM209" s="578"/>
      <c r="AN209" s="578"/>
      <c r="AO209" s="578"/>
    </row>
    <row r="210" spans="1:41" ht="20.100000000000001" customHeight="1">
      <c r="A210" s="522">
        <f t="shared" si="107"/>
        <v>2038</v>
      </c>
      <c r="B210" s="523">
        <f t="shared" si="106"/>
        <v>148264</v>
      </c>
      <c r="C210" s="524"/>
      <c r="D210" s="525">
        <f t="shared" si="105"/>
        <v>33</v>
      </c>
      <c r="E210" s="570"/>
      <c r="F210" s="571"/>
      <c r="G210" s="595"/>
      <c r="H210" s="596"/>
      <c r="I210" s="528">
        <f t="shared" si="78"/>
        <v>148264</v>
      </c>
      <c r="J210" s="529"/>
      <c r="K210" s="529"/>
      <c r="L210" s="578"/>
      <c r="M210" s="578"/>
      <c r="N210" s="578"/>
      <c r="O210" s="578"/>
      <c r="P210" s="578"/>
      <c r="Q210" s="578"/>
      <c r="R210" s="578"/>
      <c r="S210" s="578"/>
      <c r="T210" s="578"/>
      <c r="U210" s="578"/>
      <c r="V210" s="578"/>
      <c r="W210" s="578"/>
      <c r="X210" s="578"/>
      <c r="Y210" s="578"/>
      <c r="Z210" s="578"/>
      <c r="AA210" s="578"/>
      <c r="AB210" s="578"/>
      <c r="AC210" s="578"/>
      <c r="AD210" s="578"/>
      <c r="AE210" s="578"/>
      <c r="AF210" s="578"/>
      <c r="AG210" s="578"/>
      <c r="AH210" s="578"/>
      <c r="AI210" s="578"/>
      <c r="AJ210" s="578"/>
      <c r="AK210" s="578"/>
      <c r="AL210" s="578"/>
      <c r="AM210" s="578"/>
      <c r="AN210" s="578"/>
      <c r="AO210" s="578"/>
    </row>
    <row r="211" spans="1:41" ht="20.100000000000001" customHeight="1">
      <c r="K211" s="578"/>
      <c r="L211" s="578"/>
      <c r="M211" s="578"/>
      <c r="N211" s="578"/>
      <c r="O211" s="578"/>
      <c r="P211" s="578"/>
      <c r="Q211" s="578"/>
      <c r="R211" s="578"/>
      <c r="S211" s="578"/>
      <c r="T211" s="578"/>
      <c r="U211" s="578"/>
      <c r="V211" s="578"/>
      <c r="W211" s="578"/>
      <c r="X211" s="578"/>
      <c r="Y211" s="578"/>
      <c r="Z211" s="578"/>
      <c r="AA211" s="578"/>
      <c r="AB211" s="578"/>
      <c r="AC211" s="578"/>
      <c r="AD211" s="578"/>
      <c r="AE211" s="578"/>
      <c r="AF211" s="578"/>
      <c r="AG211" s="578"/>
      <c r="AH211" s="578"/>
      <c r="AI211" s="578"/>
      <c r="AJ211" s="578"/>
      <c r="AK211" s="578"/>
      <c r="AL211" s="578"/>
      <c r="AM211" s="578"/>
      <c r="AN211" s="578"/>
      <c r="AO211" s="578"/>
    </row>
    <row r="212" spans="1:41" ht="20.100000000000001" customHeight="1">
      <c r="K212" s="578"/>
      <c r="L212" s="578"/>
      <c r="M212" s="578"/>
      <c r="N212" s="578"/>
      <c r="O212" s="578"/>
      <c r="P212" s="578"/>
      <c r="Q212" s="578"/>
      <c r="R212" s="578"/>
      <c r="S212" s="578"/>
      <c r="T212" s="578"/>
      <c r="U212" s="578"/>
      <c r="V212" s="578"/>
      <c r="W212" s="578"/>
      <c r="X212" s="578"/>
      <c r="Y212" s="578"/>
      <c r="Z212" s="578"/>
      <c r="AA212" s="578"/>
      <c r="AB212" s="578"/>
      <c r="AC212" s="578"/>
      <c r="AD212" s="578"/>
      <c r="AE212" s="578"/>
      <c r="AF212" s="578"/>
      <c r="AG212" s="578"/>
      <c r="AH212" s="578"/>
      <c r="AI212" s="578"/>
      <c r="AJ212" s="578"/>
      <c r="AK212" s="578"/>
      <c r="AL212" s="578"/>
      <c r="AM212" s="578"/>
      <c r="AN212" s="578"/>
      <c r="AO212" s="578"/>
    </row>
    <row r="213" spans="1:41" ht="20.100000000000001" customHeight="1">
      <c r="K213" s="578"/>
      <c r="L213" s="578"/>
      <c r="M213" s="578"/>
      <c r="N213" s="578"/>
      <c r="O213" s="578"/>
      <c r="P213" s="578"/>
      <c r="Q213" s="578"/>
      <c r="R213" s="578"/>
      <c r="S213" s="578"/>
      <c r="T213" s="578"/>
      <c r="U213" s="578"/>
      <c r="V213" s="578"/>
      <c r="W213" s="578"/>
      <c r="X213" s="578"/>
      <c r="Y213" s="578"/>
      <c r="Z213" s="578"/>
      <c r="AA213" s="578"/>
      <c r="AB213" s="578"/>
      <c r="AC213" s="578"/>
      <c r="AD213" s="578"/>
      <c r="AE213" s="578"/>
      <c r="AF213" s="578"/>
      <c r="AG213" s="578"/>
      <c r="AH213" s="578"/>
      <c r="AI213" s="578"/>
      <c r="AJ213" s="578"/>
      <c r="AK213" s="578"/>
      <c r="AL213" s="578"/>
      <c r="AM213" s="578"/>
      <c r="AN213" s="578"/>
      <c r="AO213" s="578"/>
    </row>
    <row r="214" spans="1:41" ht="20.100000000000001" customHeight="1"/>
    <row r="215" spans="1:41" ht="20.100000000000001" customHeight="1"/>
    <row r="216" spans="1:41" ht="20.100000000000001" customHeight="1"/>
    <row r="217" spans="1:41" ht="20.100000000000001" customHeight="1"/>
    <row r="218" spans="1:41" ht="20.100000000000001" customHeight="1"/>
    <row r="219" spans="1:41" ht="20.100000000000001" customHeight="1"/>
    <row r="220" spans="1:41" ht="20.100000000000001" customHeight="1"/>
    <row r="221" spans="1:41" ht="20.100000000000001" customHeight="1"/>
    <row r="222" spans="1:41" ht="20.100000000000001" customHeight="1"/>
    <row r="223" spans="1:41" ht="20.100000000000001" customHeight="1"/>
    <row r="224" spans="1:41" ht="20.100000000000001" customHeight="1"/>
    <row r="225" ht="20.100000000000001" customHeight="1"/>
    <row r="226" s="325" customFormat="1" ht="20.100000000000001" customHeight="1"/>
    <row r="227" s="325" customFormat="1" ht="20.100000000000001" customHeight="1"/>
    <row r="228" s="325" customFormat="1" ht="20.100000000000001" customHeight="1"/>
    <row r="229" s="325" customFormat="1" ht="20.100000000000001" customHeight="1"/>
    <row r="230" s="325" customFormat="1" ht="20.100000000000001" customHeight="1"/>
  </sheetData>
  <mergeCells count="17">
    <mergeCell ref="F154:G154"/>
    <mergeCell ref="F155:G155"/>
    <mergeCell ref="E190:F190"/>
    <mergeCell ref="E191:F191"/>
    <mergeCell ref="E192:F192"/>
    <mergeCell ref="F153:G153"/>
    <mergeCell ref="I5:J5"/>
    <mergeCell ref="A39:B39"/>
    <mergeCell ref="A40:B40"/>
    <mergeCell ref="A41:B41"/>
    <mergeCell ref="D70:E70"/>
    <mergeCell ref="D71:E71"/>
    <mergeCell ref="D72:E72"/>
    <mergeCell ref="D73:E73"/>
    <mergeCell ref="E115:F115"/>
    <mergeCell ref="E116:F116"/>
    <mergeCell ref="E117:F117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2"/>
  <sheetViews>
    <sheetView topLeftCell="A13" workbookViewId="0">
      <selection activeCell="R8" sqref="R8:R32"/>
    </sheetView>
  </sheetViews>
  <sheetFormatPr defaultRowHeight="16.5"/>
  <cols>
    <col min="1" max="1" width="21" style="599" bestFit="1" customWidth="1"/>
    <col min="2" max="2" width="9" style="599" bestFit="1" customWidth="1"/>
    <col min="3" max="3" width="7.125" style="599" hidden="1" customWidth="1"/>
    <col min="4" max="6" width="5.875" style="599" hidden="1" customWidth="1"/>
    <col min="7" max="7" width="5.5" style="599" hidden="1" customWidth="1"/>
    <col min="8" max="8" width="7.125" style="599" bestFit="1" customWidth="1"/>
    <col min="9" max="11" width="5.875" style="599" bestFit="1" customWidth="1"/>
    <col min="12" max="12" width="7.125" style="599" bestFit="1" customWidth="1"/>
    <col min="13" max="15" width="5.875" style="599" bestFit="1" customWidth="1"/>
    <col min="16" max="16384" width="9" style="599"/>
  </cols>
  <sheetData>
    <row r="1" spans="1:19" ht="26.25" customHeight="1">
      <c r="A1" s="1682" t="s">
        <v>1867</v>
      </c>
      <c r="B1" s="1682"/>
      <c r="C1" s="2885" t="s">
        <v>1859</v>
      </c>
      <c r="D1" s="2886"/>
      <c r="E1" s="2886"/>
      <c r="F1" s="2886"/>
      <c r="G1" s="2887"/>
      <c r="H1" s="2885" t="s">
        <v>1860</v>
      </c>
      <c r="I1" s="2886"/>
      <c r="J1" s="2886"/>
      <c r="K1" s="2887"/>
      <c r="L1" s="2885" t="s">
        <v>1861</v>
      </c>
      <c r="M1" s="2886"/>
      <c r="N1" s="2886"/>
      <c r="O1" s="2886"/>
    </row>
    <row r="2" spans="1:19">
      <c r="A2" s="1650" t="s">
        <v>1798</v>
      </c>
      <c r="B2" s="1706"/>
      <c r="C2" s="1651" t="s">
        <v>1621</v>
      </c>
      <c r="D2" s="1651" t="s">
        <v>1622</v>
      </c>
      <c r="E2" s="1651" t="s">
        <v>1623</v>
      </c>
      <c r="F2" s="1652" t="s">
        <v>1740</v>
      </c>
      <c r="G2" s="1652" t="s">
        <v>1741</v>
      </c>
      <c r="H2" s="1651" t="s">
        <v>1621</v>
      </c>
      <c r="I2" s="1651" t="s">
        <v>1622</v>
      </c>
      <c r="J2" s="1651" t="s">
        <v>1623</v>
      </c>
      <c r="K2" s="1652" t="s">
        <v>1740</v>
      </c>
      <c r="L2" s="1651" t="s">
        <v>1621</v>
      </c>
      <c r="M2" s="1651" t="s">
        <v>1622</v>
      </c>
      <c r="N2" s="1651" t="s">
        <v>1623</v>
      </c>
      <c r="O2" s="1653" t="s">
        <v>1740</v>
      </c>
    </row>
    <row r="3" spans="1:19">
      <c r="A3" s="1654" t="s">
        <v>1626</v>
      </c>
      <c r="B3" s="1707"/>
      <c r="C3" s="1655">
        <v>2373</v>
      </c>
      <c r="D3" s="1655">
        <v>2585</v>
      </c>
      <c r="E3" s="1655">
        <v>2236</v>
      </c>
      <c r="F3" s="1655">
        <f>SUM(D3:E3)</f>
        <v>4821</v>
      </c>
      <c r="G3" s="1656">
        <f>ROUND(F3/C3,2)</f>
        <v>2.0299999999999998</v>
      </c>
      <c r="H3" s="1655">
        <v>2421</v>
      </c>
      <c r="I3" s="1655">
        <v>2602</v>
      </c>
      <c r="J3" s="1655">
        <v>2243</v>
      </c>
      <c r="K3" s="1655">
        <f>SUM(I3:J3)</f>
        <v>4845</v>
      </c>
      <c r="L3" s="1655">
        <v>2417</v>
      </c>
      <c r="M3" s="1655">
        <v>2590</v>
      </c>
      <c r="N3" s="1655">
        <v>2221</v>
      </c>
      <c r="O3" s="1657">
        <f>SUM(M3:N3)</f>
        <v>4811</v>
      </c>
      <c r="Q3" s="1658">
        <v>558</v>
      </c>
      <c r="R3" s="1614">
        <f>K3+Q3</f>
        <v>5403</v>
      </c>
      <c r="S3" s="599">
        <v>547</v>
      </c>
    </row>
    <row r="4" spans="1:19">
      <c r="A4" s="1683" t="s">
        <v>1989</v>
      </c>
      <c r="B4" s="1708" t="s">
        <v>2017</v>
      </c>
      <c r="C4" s="1662">
        <v>260</v>
      </c>
      <c r="D4" s="1662">
        <v>301</v>
      </c>
      <c r="E4" s="1662">
        <v>249</v>
      </c>
      <c r="F4" s="1662">
        <f t="shared" ref="F4:F32" si="0">SUM(D4:E4)</f>
        <v>550</v>
      </c>
      <c r="G4" s="1662">
        <f t="shared" ref="G4:G32" si="1">ROUND(F4/C4,2)</f>
        <v>2.12</v>
      </c>
      <c r="H4" s="1662">
        <v>266</v>
      </c>
      <c r="I4" s="1662">
        <v>303</v>
      </c>
      <c r="J4" s="1662">
        <v>251</v>
      </c>
      <c r="K4" s="1662">
        <f t="shared" ref="K4:K32" si="2">SUM(I4:J4)</f>
        <v>554</v>
      </c>
      <c r="L4" s="1662">
        <v>270</v>
      </c>
      <c r="M4" s="1662">
        <v>305</v>
      </c>
      <c r="N4" s="1662">
        <v>256</v>
      </c>
      <c r="O4" s="1663">
        <f t="shared" ref="O4:O32" si="3">SUM(M4:N4)</f>
        <v>561</v>
      </c>
      <c r="Q4" s="599">
        <f>ROUND(K4/$K$3*$Q$3,0)+2</f>
        <v>66</v>
      </c>
      <c r="R4" s="1614">
        <f t="shared" ref="R4:R32" si="4">K4+Q4</f>
        <v>620</v>
      </c>
      <c r="S4" s="599">
        <f>ROUND(O4/$O$3*$S$3,0)</f>
        <v>64</v>
      </c>
    </row>
    <row r="5" spans="1:19">
      <c r="A5" s="1683" t="s">
        <v>1990</v>
      </c>
      <c r="B5" s="1708" t="s">
        <v>2018</v>
      </c>
      <c r="C5" s="1662">
        <v>113</v>
      </c>
      <c r="D5" s="1662">
        <v>131</v>
      </c>
      <c r="E5" s="1662">
        <v>90</v>
      </c>
      <c r="F5" s="1662">
        <f t="shared" si="0"/>
        <v>221</v>
      </c>
      <c r="G5" s="1662">
        <f t="shared" si="1"/>
        <v>1.96</v>
      </c>
      <c r="H5" s="1662">
        <v>114</v>
      </c>
      <c r="I5" s="1662">
        <v>133</v>
      </c>
      <c r="J5" s="1662">
        <v>95</v>
      </c>
      <c r="K5" s="1662">
        <f t="shared" si="2"/>
        <v>228</v>
      </c>
      <c r="L5" s="1662">
        <v>113</v>
      </c>
      <c r="M5" s="1662">
        <v>132</v>
      </c>
      <c r="N5" s="1662">
        <v>95</v>
      </c>
      <c r="O5" s="1663">
        <f t="shared" si="3"/>
        <v>227</v>
      </c>
      <c r="Q5" s="599">
        <f t="shared" ref="Q5:Q32" si="5">ROUND(K5/$K$3*$Q$3,0)</f>
        <v>26</v>
      </c>
      <c r="R5" s="1614">
        <f t="shared" si="4"/>
        <v>254</v>
      </c>
      <c r="S5" s="599">
        <f t="shared" ref="S5:S32" si="6">ROUND(O5/$O$3*$S$3,0)</f>
        <v>26</v>
      </c>
    </row>
    <row r="6" spans="1:19">
      <c r="A6" s="1683" t="s">
        <v>1991</v>
      </c>
      <c r="B6" s="1708" t="s">
        <v>2019</v>
      </c>
      <c r="C6" s="1662">
        <v>196</v>
      </c>
      <c r="D6" s="1662">
        <v>224</v>
      </c>
      <c r="E6" s="1662">
        <v>220</v>
      </c>
      <c r="F6" s="1662">
        <f t="shared" si="0"/>
        <v>444</v>
      </c>
      <c r="G6" s="1662">
        <f t="shared" si="1"/>
        <v>2.27</v>
      </c>
      <c r="H6" s="1662">
        <v>191</v>
      </c>
      <c r="I6" s="1662">
        <v>221</v>
      </c>
      <c r="J6" s="1662">
        <v>202</v>
      </c>
      <c r="K6" s="1662">
        <f t="shared" si="2"/>
        <v>423</v>
      </c>
      <c r="L6" s="1662">
        <v>184</v>
      </c>
      <c r="M6" s="1662">
        <v>209</v>
      </c>
      <c r="N6" s="1662">
        <v>187</v>
      </c>
      <c r="O6" s="1663">
        <f t="shared" si="3"/>
        <v>396</v>
      </c>
      <c r="Q6" s="599">
        <f t="shared" si="5"/>
        <v>49</v>
      </c>
      <c r="R6" s="1614">
        <f t="shared" si="4"/>
        <v>472</v>
      </c>
      <c r="S6" s="599">
        <f t="shared" si="6"/>
        <v>45</v>
      </c>
    </row>
    <row r="7" spans="1:19">
      <c r="A7" s="1683" t="s">
        <v>1992</v>
      </c>
      <c r="B7" s="1708" t="s">
        <v>2020</v>
      </c>
      <c r="C7" s="1662">
        <v>70</v>
      </c>
      <c r="D7" s="1662">
        <v>80</v>
      </c>
      <c r="E7" s="1662">
        <v>71</v>
      </c>
      <c r="F7" s="1662">
        <f t="shared" si="0"/>
        <v>151</v>
      </c>
      <c r="G7" s="1662">
        <f t="shared" si="1"/>
        <v>2.16</v>
      </c>
      <c r="H7" s="1662">
        <v>65</v>
      </c>
      <c r="I7" s="1662">
        <v>75</v>
      </c>
      <c r="J7" s="1662">
        <v>65</v>
      </c>
      <c r="K7" s="1662">
        <f t="shared" si="2"/>
        <v>140</v>
      </c>
      <c r="L7" s="1662">
        <v>66</v>
      </c>
      <c r="M7" s="1662">
        <v>74</v>
      </c>
      <c r="N7" s="1662">
        <v>67</v>
      </c>
      <c r="O7" s="1663">
        <f t="shared" si="3"/>
        <v>141</v>
      </c>
      <c r="Q7" s="599">
        <f t="shared" si="5"/>
        <v>16</v>
      </c>
      <c r="R7" s="1614">
        <f t="shared" si="4"/>
        <v>156</v>
      </c>
      <c r="S7" s="599">
        <f t="shared" si="6"/>
        <v>16</v>
      </c>
    </row>
    <row r="8" spans="1:19">
      <c r="A8" s="1683" t="s">
        <v>1993</v>
      </c>
      <c r="B8" s="1708" t="s">
        <v>2021</v>
      </c>
      <c r="C8" s="1662">
        <v>142</v>
      </c>
      <c r="D8" s="1662">
        <v>158</v>
      </c>
      <c r="E8" s="1662">
        <v>155</v>
      </c>
      <c r="F8" s="1662">
        <f t="shared" si="0"/>
        <v>313</v>
      </c>
      <c r="G8" s="1662">
        <f t="shared" si="1"/>
        <v>2.2000000000000002</v>
      </c>
      <c r="H8" s="1662">
        <v>139</v>
      </c>
      <c r="I8" s="1662">
        <v>151</v>
      </c>
      <c r="J8" s="1662">
        <v>147</v>
      </c>
      <c r="K8" s="1662">
        <f t="shared" si="2"/>
        <v>298</v>
      </c>
      <c r="L8" s="1662">
        <v>139</v>
      </c>
      <c r="M8" s="1662">
        <v>154</v>
      </c>
      <c r="N8" s="1662">
        <v>147</v>
      </c>
      <c r="O8" s="1663">
        <f t="shared" si="3"/>
        <v>301</v>
      </c>
      <c r="Q8" s="599">
        <f t="shared" si="5"/>
        <v>34</v>
      </c>
      <c r="R8" s="1614">
        <f t="shared" si="4"/>
        <v>332</v>
      </c>
      <c r="S8" s="599">
        <f t="shared" si="6"/>
        <v>34</v>
      </c>
    </row>
    <row r="9" spans="1:19">
      <c r="A9" s="1683" t="s">
        <v>1994</v>
      </c>
      <c r="B9" s="1708" t="s">
        <v>2022</v>
      </c>
      <c r="C9" s="1662">
        <v>31</v>
      </c>
      <c r="D9" s="1662">
        <v>31</v>
      </c>
      <c r="E9" s="1662">
        <v>39</v>
      </c>
      <c r="F9" s="1662">
        <f t="shared" si="0"/>
        <v>70</v>
      </c>
      <c r="G9" s="1662">
        <f t="shared" si="1"/>
        <v>2.2599999999999998</v>
      </c>
      <c r="H9" s="1662">
        <v>34</v>
      </c>
      <c r="I9" s="1662">
        <v>36</v>
      </c>
      <c r="J9" s="1662">
        <v>36</v>
      </c>
      <c r="K9" s="1662">
        <f t="shared" si="2"/>
        <v>72</v>
      </c>
      <c r="L9" s="1662">
        <v>35</v>
      </c>
      <c r="M9" s="1662">
        <v>37</v>
      </c>
      <c r="N9" s="1662">
        <v>36</v>
      </c>
      <c r="O9" s="1663">
        <f t="shared" si="3"/>
        <v>73</v>
      </c>
      <c r="Q9" s="599">
        <f t="shared" si="5"/>
        <v>8</v>
      </c>
      <c r="R9" s="1614">
        <f t="shared" si="4"/>
        <v>80</v>
      </c>
      <c r="S9" s="599">
        <f t="shared" si="6"/>
        <v>8</v>
      </c>
    </row>
    <row r="10" spans="1:19">
      <c r="A10" s="1683" t="s">
        <v>1995</v>
      </c>
      <c r="B10" s="1708" t="s">
        <v>2023</v>
      </c>
      <c r="C10" s="1662">
        <v>29</v>
      </c>
      <c r="D10" s="1662">
        <v>32</v>
      </c>
      <c r="E10" s="1662">
        <v>29</v>
      </c>
      <c r="F10" s="1662">
        <f t="shared" si="0"/>
        <v>61</v>
      </c>
      <c r="G10" s="1662">
        <f t="shared" si="1"/>
        <v>2.1</v>
      </c>
      <c r="H10" s="1662">
        <v>30</v>
      </c>
      <c r="I10" s="1662">
        <v>29</v>
      </c>
      <c r="J10" s="1662">
        <v>33</v>
      </c>
      <c r="K10" s="1662">
        <f t="shared" si="2"/>
        <v>62</v>
      </c>
      <c r="L10" s="1662">
        <v>33</v>
      </c>
      <c r="M10" s="1662">
        <v>31</v>
      </c>
      <c r="N10" s="1662">
        <v>33</v>
      </c>
      <c r="O10" s="1663">
        <f t="shared" si="3"/>
        <v>64</v>
      </c>
      <c r="Q10" s="599">
        <f t="shared" si="5"/>
        <v>7</v>
      </c>
      <c r="R10" s="1614">
        <f t="shared" si="4"/>
        <v>69</v>
      </c>
      <c r="S10" s="599">
        <f t="shared" si="6"/>
        <v>7</v>
      </c>
    </row>
    <row r="11" spans="1:19">
      <c r="A11" s="1683" t="s">
        <v>1996</v>
      </c>
      <c r="B11" s="1708" t="s">
        <v>2024</v>
      </c>
      <c r="C11" s="1662">
        <v>59</v>
      </c>
      <c r="D11" s="1662">
        <v>68</v>
      </c>
      <c r="E11" s="1662">
        <v>51</v>
      </c>
      <c r="F11" s="1662">
        <f t="shared" si="0"/>
        <v>119</v>
      </c>
      <c r="G11" s="1662">
        <f t="shared" si="1"/>
        <v>2.02</v>
      </c>
      <c r="H11" s="1662">
        <v>58</v>
      </c>
      <c r="I11" s="1662">
        <v>67</v>
      </c>
      <c r="J11" s="1662">
        <v>49</v>
      </c>
      <c r="K11" s="1662">
        <f t="shared" si="2"/>
        <v>116</v>
      </c>
      <c r="L11" s="1662">
        <v>60</v>
      </c>
      <c r="M11" s="1662">
        <v>66</v>
      </c>
      <c r="N11" s="1662">
        <v>49</v>
      </c>
      <c r="O11" s="1663">
        <f t="shared" si="3"/>
        <v>115</v>
      </c>
      <c r="Q11" s="599">
        <f t="shared" si="5"/>
        <v>13</v>
      </c>
      <c r="R11" s="1614">
        <f t="shared" si="4"/>
        <v>129</v>
      </c>
      <c r="S11" s="599">
        <f t="shared" si="6"/>
        <v>13</v>
      </c>
    </row>
    <row r="12" spans="1:19">
      <c r="A12" s="1683" t="s">
        <v>1997</v>
      </c>
      <c r="B12" s="1708" t="s">
        <v>2025</v>
      </c>
      <c r="C12" s="1662">
        <v>84</v>
      </c>
      <c r="D12" s="1662">
        <v>89</v>
      </c>
      <c r="E12" s="1662">
        <v>79</v>
      </c>
      <c r="F12" s="1662">
        <f t="shared" si="0"/>
        <v>168</v>
      </c>
      <c r="G12" s="1662">
        <f t="shared" si="1"/>
        <v>2</v>
      </c>
      <c r="H12" s="1662">
        <v>87</v>
      </c>
      <c r="I12" s="1662">
        <v>76</v>
      </c>
      <c r="J12" s="1662">
        <v>83</v>
      </c>
      <c r="K12" s="1662">
        <f t="shared" si="2"/>
        <v>159</v>
      </c>
      <c r="L12" s="1662">
        <v>84</v>
      </c>
      <c r="M12" s="1662">
        <v>82</v>
      </c>
      <c r="N12" s="1662">
        <v>81</v>
      </c>
      <c r="O12" s="1663">
        <f t="shared" si="3"/>
        <v>163</v>
      </c>
      <c r="Q12" s="599">
        <f t="shared" si="5"/>
        <v>18</v>
      </c>
      <c r="R12" s="1614">
        <f t="shared" si="4"/>
        <v>177</v>
      </c>
      <c r="S12" s="599">
        <f t="shared" si="6"/>
        <v>19</v>
      </c>
    </row>
    <row r="13" spans="1:19">
      <c r="A13" s="1683" t="s">
        <v>1998</v>
      </c>
      <c r="B13" s="1708" t="s">
        <v>2026</v>
      </c>
      <c r="C13" s="1662">
        <v>207</v>
      </c>
      <c r="D13" s="1662">
        <v>191</v>
      </c>
      <c r="E13" s="1662">
        <v>95</v>
      </c>
      <c r="F13" s="1662">
        <f t="shared" si="0"/>
        <v>286</v>
      </c>
      <c r="G13" s="1662">
        <f t="shared" si="1"/>
        <v>1.38</v>
      </c>
      <c r="H13" s="1662">
        <v>220</v>
      </c>
      <c r="I13" s="1662">
        <v>198</v>
      </c>
      <c r="J13" s="1662">
        <v>96</v>
      </c>
      <c r="K13" s="1662">
        <f t="shared" si="2"/>
        <v>294</v>
      </c>
      <c r="L13" s="1662">
        <v>224</v>
      </c>
      <c r="M13" s="1662">
        <v>197</v>
      </c>
      <c r="N13" s="1662">
        <v>99</v>
      </c>
      <c r="O13" s="1663">
        <f t="shared" si="3"/>
        <v>296</v>
      </c>
      <c r="Q13" s="599">
        <f t="shared" si="5"/>
        <v>34</v>
      </c>
      <c r="R13" s="1614">
        <f t="shared" si="4"/>
        <v>328</v>
      </c>
      <c r="S13" s="599">
        <f t="shared" si="6"/>
        <v>34</v>
      </c>
    </row>
    <row r="14" spans="1:19">
      <c r="A14" s="1683" t="s">
        <v>1999</v>
      </c>
      <c r="B14" s="1708" t="s">
        <v>2027</v>
      </c>
      <c r="C14" s="1662">
        <v>66</v>
      </c>
      <c r="D14" s="1662">
        <v>71</v>
      </c>
      <c r="E14" s="1662">
        <v>55</v>
      </c>
      <c r="F14" s="1662">
        <f t="shared" si="0"/>
        <v>126</v>
      </c>
      <c r="G14" s="1662">
        <f t="shared" si="1"/>
        <v>1.91</v>
      </c>
      <c r="H14" s="1662">
        <v>68</v>
      </c>
      <c r="I14" s="1662">
        <v>87</v>
      </c>
      <c r="J14" s="1662">
        <v>71</v>
      </c>
      <c r="K14" s="1662">
        <f t="shared" si="2"/>
        <v>158</v>
      </c>
      <c r="L14" s="1662">
        <v>66</v>
      </c>
      <c r="M14" s="1662">
        <v>89</v>
      </c>
      <c r="N14" s="1662">
        <v>68</v>
      </c>
      <c r="O14" s="1663">
        <f t="shared" si="3"/>
        <v>157</v>
      </c>
      <c r="Q14" s="599">
        <f t="shared" si="5"/>
        <v>18</v>
      </c>
      <c r="R14" s="1614">
        <f t="shared" si="4"/>
        <v>176</v>
      </c>
      <c r="S14" s="599">
        <f t="shared" si="6"/>
        <v>18</v>
      </c>
    </row>
    <row r="15" spans="1:19">
      <c r="A15" s="1683" t="s">
        <v>2000</v>
      </c>
      <c r="B15" s="1708" t="s">
        <v>2028</v>
      </c>
      <c r="C15" s="1662">
        <v>32</v>
      </c>
      <c r="D15" s="1662">
        <v>30</v>
      </c>
      <c r="E15" s="1662">
        <v>29</v>
      </c>
      <c r="F15" s="1662">
        <f t="shared" si="0"/>
        <v>59</v>
      </c>
      <c r="G15" s="1662">
        <f t="shared" si="1"/>
        <v>1.84</v>
      </c>
      <c r="H15" s="1662">
        <v>31</v>
      </c>
      <c r="I15" s="1662">
        <v>32</v>
      </c>
      <c r="J15" s="1662">
        <v>28</v>
      </c>
      <c r="K15" s="1662">
        <f t="shared" si="2"/>
        <v>60</v>
      </c>
      <c r="L15" s="1662">
        <v>31</v>
      </c>
      <c r="M15" s="1662">
        <v>31</v>
      </c>
      <c r="N15" s="1662">
        <v>28</v>
      </c>
      <c r="O15" s="1663">
        <f t="shared" si="3"/>
        <v>59</v>
      </c>
      <c r="Q15" s="599">
        <f t="shared" si="5"/>
        <v>7</v>
      </c>
      <c r="R15" s="1614">
        <f t="shared" si="4"/>
        <v>67</v>
      </c>
      <c r="S15" s="599">
        <f t="shared" si="6"/>
        <v>7</v>
      </c>
    </row>
    <row r="16" spans="1:19">
      <c r="A16" s="1683" t="s">
        <v>2001</v>
      </c>
      <c r="B16" s="1708" t="s">
        <v>2029</v>
      </c>
      <c r="C16" s="1662">
        <v>25</v>
      </c>
      <c r="D16" s="1662">
        <v>31</v>
      </c>
      <c r="E16" s="1662">
        <v>21</v>
      </c>
      <c r="F16" s="1662">
        <f t="shared" si="0"/>
        <v>52</v>
      </c>
      <c r="G16" s="1662">
        <f t="shared" si="1"/>
        <v>2.08</v>
      </c>
      <c r="H16" s="1662">
        <v>26</v>
      </c>
      <c r="I16" s="1662">
        <v>30</v>
      </c>
      <c r="J16" s="1662">
        <v>21</v>
      </c>
      <c r="K16" s="1662">
        <f t="shared" si="2"/>
        <v>51</v>
      </c>
      <c r="L16" s="1662">
        <v>26</v>
      </c>
      <c r="M16" s="1662">
        <v>30</v>
      </c>
      <c r="N16" s="1662">
        <v>21</v>
      </c>
      <c r="O16" s="1663">
        <f t="shared" si="3"/>
        <v>51</v>
      </c>
      <c r="Q16" s="599">
        <f t="shared" si="5"/>
        <v>6</v>
      </c>
      <c r="R16" s="1614">
        <f t="shared" si="4"/>
        <v>57</v>
      </c>
      <c r="S16" s="599">
        <f t="shared" si="6"/>
        <v>6</v>
      </c>
    </row>
    <row r="17" spans="1:19">
      <c r="A17" s="1683" t="s">
        <v>2002</v>
      </c>
      <c r="B17" s="1708" t="s">
        <v>2030</v>
      </c>
      <c r="C17" s="1662">
        <v>91</v>
      </c>
      <c r="D17" s="1662">
        <v>105</v>
      </c>
      <c r="E17" s="1662">
        <v>107</v>
      </c>
      <c r="F17" s="1662">
        <f t="shared" si="0"/>
        <v>212</v>
      </c>
      <c r="G17" s="1662">
        <f t="shared" si="1"/>
        <v>2.33</v>
      </c>
      <c r="H17" s="1662">
        <v>93</v>
      </c>
      <c r="I17" s="1662">
        <v>106</v>
      </c>
      <c r="J17" s="1662">
        <v>114</v>
      </c>
      <c r="K17" s="1662">
        <f t="shared" si="2"/>
        <v>220</v>
      </c>
      <c r="L17" s="1662">
        <v>96</v>
      </c>
      <c r="M17" s="1662">
        <v>107</v>
      </c>
      <c r="N17" s="1662">
        <v>117</v>
      </c>
      <c r="O17" s="1663">
        <f t="shared" si="3"/>
        <v>224</v>
      </c>
      <c r="Q17" s="599">
        <f t="shared" si="5"/>
        <v>25</v>
      </c>
      <c r="R17" s="1614">
        <f t="shared" si="4"/>
        <v>245</v>
      </c>
      <c r="S17" s="599">
        <f t="shared" si="6"/>
        <v>25</v>
      </c>
    </row>
    <row r="18" spans="1:19">
      <c r="A18" s="1683" t="s">
        <v>2003</v>
      </c>
      <c r="B18" s="1708" t="s">
        <v>2031</v>
      </c>
      <c r="C18" s="1662">
        <v>42</v>
      </c>
      <c r="D18" s="1662">
        <v>55</v>
      </c>
      <c r="E18" s="1662">
        <v>48</v>
      </c>
      <c r="F18" s="1662">
        <f t="shared" si="0"/>
        <v>103</v>
      </c>
      <c r="G18" s="1662">
        <f t="shared" si="1"/>
        <v>2.4500000000000002</v>
      </c>
      <c r="H18" s="1662">
        <v>42</v>
      </c>
      <c r="I18" s="1662">
        <v>50</v>
      </c>
      <c r="J18" s="1662">
        <v>44</v>
      </c>
      <c r="K18" s="1662">
        <f t="shared" si="2"/>
        <v>94</v>
      </c>
      <c r="L18" s="1662">
        <v>42</v>
      </c>
      <c r="M18" s="1662">
        <v>49</v>
      </c>
      <c r="N18" s="1662">
        <v>39</v>
      </c>
      <c r="O18" s="1663">
        <f t="shared" si="3"/>
        <v>88</v>
      </c>
      <c r="Q18" s="599">
        <f t="shared" si="5"/>
        <v>11</v>
      </c>
      <c r="R18" s="1614">
        <f t="shared" si="4"/>
        <v>105</v>
      </c>
      <c r="S18" s="599">
        <f t="shared" si="6"/>
        <v>10</v>
      </c>
    </row>
    <row r="19" spans="1:19">
      <c r="A19" s="1683" t="s">
        <v>2004</v>
      </c>
      <c r="B19" s="1708" t="s">
        <v>2032</v>
      </c>
      <c r="C19" s="1662">
        <v>81</v>
      </c>
      <c r="D19" s="1662">
        <v>99</v>
      </c>
      <c r="E19" s="1662">
        <v>72</v>
      </c>
      <c r="F19" s="1662">
        <f t="shared" si="0"/>
        <v>171</v>
      </c>
      <c r="G19" s="1662">
        <f t="shared" si="1"/>
        <v>2.11</v>
      </c>
      <c r="H19" s="1662">
        <v>83</v>
      </c>
      <c r="I19" s="1662">
        <v>93</v>
      </c>
      <c r="J19" s="1662">
        <v>73</v>
      </c>
      <c r="K19" s="1662">
        <f t="shared" si="2"/>
        <v>166</v>
      </c>
      <c r="L19" s="1662">
        <v>82</v>
      </c>
      <c r="M19" s="1662">
        <v>93</v>
      </c>
      <c r="N19" s="1662">
        <v>71</v>
      </c>
      <c r="O19" s="1663">
        <f t="shared" si="3"/>
        <v>164</v>
      </c>
      <c r="Q19" s="599">
        <f t="shared" si="5"/>
        <v>19</v>
      </c>
      <c r="R19" s="1614">
        <f t="shared" si="4"/>
        <v>185</v>
      </c>
      <c r="S19" s="599">
        <f t="shared" si="6"/>
        <v>19</v>
      </c>
    </row>
    <row r="20" spans="1:19" ht="15" customHeight="1">
      <c r="A20" s="1683" t="s">
        <v>2005</v>
      </c>
      <c r="B20" s="1708" t="s">
        <v>2033</v>
      </c>
      <c r="C20" s="1662">
        <v>58</v>
      </c>
      <c r="D20" s="1662">
        <v>64</v>
      </c>
      <c r="E20" s="1662">
        <v>59</v>
      </c>
      <c r="F20" s="1662">
        <f t="shared" si="0"/>
        <v>123</v>
      </c>
      <c r="G20" s="1662">
        <f t="shared" si="1"/>
        <v>2.12</v>
      </c>
      <c r="H20" s="1662">
        <v>61</v>
      </c>
      <c r="I20" s="1662">
        <v>72</v>
      </c>
      <c r="J20" s="1662">
        <v>65</v>
      </c>
      <c r="K20" s="1662">
        <f t="shared" si="2"/>
        <v>137</v>
      </c>
      <c r="L20" s="1662">
        <v>60</v>
      </c>
      <c r="M20" s="1662">
        <v>72</v>
      </c>
      <c r="N20" s="1662">
        <v>66</v>
      </c>
      <c r="O20" s="1663">
        <f t="shared" si="3"/>
        <v>138</v>
      </c>
      <c r="Q20" s="599">
        <f t="shared" si="5"/>
        <v>16</v>
      </c>
      <c r="R20" s="1614">
        <f t="shared" si="4"/>
        <v>153</v>
      </c>
      <c r="S20" s="599">
        <f t="shared" si="6"/>
        <v>16</v>
      </c>
    </row>
    <row r="21" spans="1:19">
      <c r="A21" s="1683" t="s">
        <v>2006</v>
      </c>
      <c r="B21" s="1708" t="s">
        <v>2034</v>
      </c>
      <c r="C21" s="1662">
        <v>40</v>
      </c>
      <c r="D21" s="1662">
        <v>49</v>
      </c>
      <c r="E21" s="1662">
        <v>40</v>
      </c>
      <c r="F21" s="1662">
        <f t="shared" si="0"/>
        <v>89</v>
      </c>
      <c r="G21" s="1662">
        <f t="shared" si="1"/>
        <v>2.23</v>
      </c>
      <c r="H21" s="1662">
        <v>44</v>
      </c>
      <c r="I21" s="1662">
        <v>49</v>
      </c>
      <c r="J21" s="1662">
        <v>40</v>
      </c>
      <c r="K21" s="1662">
        <f t="shared" si="2"/>
        <v>89</v>
      </c>
      <c r="L21" s="1662">
        <v>45</v>
      </c>
      <c r="M21" s="1662">
        <v>50</v>
      </c>
      <c r="N21" s="1662">
        <v>43</v>
      </c>
      <c r="O21" s="1663">
        <f t="shared" si="3"/>
        <v>93</v>
      </c>
      <c r="Q21" s="599">
        <f t="shared" si="5"/>
        <v>10</v>
      </c>
      <c r="R21" s="1614">
        <f t="shared" si="4"/>
        <v>99</v>
      </c>
      <c r="S21" s="599">
        <f t="shared" si="6"/>
        <v>11</v>
      </c>
    </row>
    <row r="22" spans="1:19">
      <c r="A22" s="1683" t="s">
        <v>2007</v>
      </c>
      <c r="B22" s="1708" t="s">
        <v>2035</v>
      </c>
      <c r="C22" s="1662">
        <v>75</v>
      </c>
      <c r="D22" s="1662">
        <v>88</v>
      </c>
      <c r="E22" s="1662">
        <v>81</v>
      </c>
      <c r="F22" s="1662">
        <f t="shared" si="0"/>
        <v>169</v>
      </c>
      <c r="G22" s="1662">
        <f t="shared" si="1"/>
        <v>2.25</v>
      </c>
      <c r="H22" s="1662">
        <v>81</v>
      </c>
      <c r="I22" s="1662">
        <v>93</v>
      </c>
      <c r="J22" s="1662">
        <v>85</v>
      </c>
      <c r="K22" s="1662">
        <f t="shared" si="2"/>
        <v>178</v>
      </c>
      <c r="L22" s="1662">
        <v>79</v>
      </c>
      <c r="M22" s="1662">
        <v>92</v>
      </c>
      <c r="N22" s="1662">
        <v>82</v>
      </c>
      <c r="O22" s="1663">
        <f t="shared" si="3"/>
        <v>174</v>
      </c>
      <c r="Q22" s="599">
        <f t="shared" si="5"/>
        <v>21</v>
      </c>
      <c r="R22" s="1614">
        <f t="shared" si="4"/>
        <v>199</v>
      </c>
      <c r="S22" s="599">
        <f t="shared" si="6"/>
        <v>20</v>
      </c>
    </row>
    <row r="23" spans="1:19">
      <c r="A23" s="1683" t="s">
        <v>2008</v>
      </c>
      <c r="B23" s="1708" t="s">
        <v>2036</v>
      </c>
      <c r="C23" s="1662">
        <v>97</v>
      </c>
      <c r="D23" s="1662">
        <v>109</v>
      </c>
      <c r="E23" s="1662">
        <v>96</v>
      </c>
      <c r="F23" s="1662">
        <f t="shared" si="0"/>
        <v>205</v>
      </c>
      <c r="G23" s="1662">
        <f t="shared" si="1"/>
        <v>2.11</v>
      </c>
      <c r="H23" s="1662">
        <v>103</v>
      </c>
      <c r="I23" s="1662">
        <v>114</v>
      </c>
      <c r="J23" s="1662">
        <v>101</v>
      </c>
      <c r="K23" s="1662">
        <f t="shared" si="2"/>
        <v>215</v>
      </c>
      <c r="L23" s="1662">
        <v>100</v>
      </c>
      <c r="M23" s="1662">
        <v>113</v>
      </c>
      <c r="N23" s="1662">
        <v>101</v>
      </c>
      <c r="O23" s="1663">
        <f t="shared" si="3"/>
        <v>214</v>
      </c>
      <c r="Q23" s="599">
        <f t="shared" si="5"/>
        <v>25</v>
      </c>
      <c r="R23" s="1614">
        <f t="shared" si="4"/>
        <v>240</v>
      </c>
      <c r="S23" s="599">
        <f t="shared" si="6"/>
        <v>24</v>
      </c>
    </row>
    <row r="24" spans="1:19">
      <c r="A24" s="1683" t="s">
        <v>2009</v>
      </c>
      <c r="B24" s="1708" t="s">
        <v>2037</v>
      </c>
      <c r="C24" s="1662">
        <v>87</v>
      </c>
      <c r="D24" s="1662">
        <v>81</v>
      </c>
      <c r="E24" s="1662">
        <v>86</v>
      </c>
      <c r="F24" s="1662">
        <f t="shared" si="0"/>
        <v>167</v>
      </c>
      <c r="G24" s="1662">
        <f t="shared" si="1"/>
        <v>1.92</v>
      </c>
      <c r="H24" s="1662">
        <v>85</v>
      </c>
      <c r="I24" s="1662">
        <v>79</v>
      </c>
      <c r="J24" s="1662">
        <v>84</v>
      </c>
      <c r="K24" s="1662">
        <f t="shared" si="2"/>
        <v>163</v>
      </c>
      <c r="L24" s="1662">
        <v>84</v>
      </c>
      <c r="M24" s="1662">
        <v>77</v>
      </c>
      <c r="N24" s="1662">
        <v>82</v>
      </c>
      <c r="O24" s="1663">
        <f t="shared" si="3"/>
        <v>159</v>
      </c>
      <c r="Q24" s="599">
        <f t="shared" si="5"/>
        <v>19</v>
      </c>
      <c r="R24" s="1614">
        <f t="shared" si="4"/>
        <v>182</v>
      </c>
      <c r="S24" s="599">
        <f t="shared" si="6"/>
        <v>18</v>
      </c>
    </row>
    <row r="25" spans="1:19">
      <c r="A25" s="1683" t="s">
        <v>2010</v>
      </c>
      <c r="B25" s="1708" t="s">
        <v>2038</v>
      </c>
      <c r="C25" s="1662">
        <v>128</v>
      </c>
      <c r="D25" s="1662">
        <v>156</v>
      </c>
      <c r="E25" s="1662">
        <v>151</v>
      </c>
      <c r="F25" s="1662">
        <f t="shared" si="0"/>
        <v>307</v>
      </c>
      <c r="G25" s="1662">
        <f t="shared" si="1"/>
        <v>2.4</v>
      </c>
      <c r="H25" s="1662">
        <v>127</v>
      </c>
      <c r="I25" s="1662">
        <v>157</v>
      </c>
      <c r="J25" s="1662">
        <v>149</v>
      </c>
      <c r="K25" s="1662">
        <f t="shared" si="2"/>
        <v>306</v>
      </c>
      <c r="L25" s="1662">
        <v>127</v>
      </c>
      <c r="M25" s="1662">
        <v>153</v>
      </c>
      <c r="N25" s="1662">
        <v>148</v>
      </c>
      <c r="O25" s="1663">
        <f t="shared" si="3"/>
        <v>301</v>
      </c>
      <c r="Q25" s="599">
        <f t="shared" si="5"/>
        <v>35</v>
      </c>
      <c r="R25" s="1614">
        <f t="shared" si="4"/>
        <v>341</v>
      </c>
      <c r="S25" s="599">
        <f t="shared" si="6"/>
        <v>34</v>
      </c>
    </row>
    <row r="26" spans="1:19">
      <c r="A26" s="1683" t="s">
        <v>2011</v>
      </c>
      <c r="B26" s="1708" t="s">
        <v>2039</v>
      </c>
      <c r="C26" s="1662">
        <v>52</v>
      </c>
      <c r="D26" s="1662">
        <v>37</v>
      </c>
      <c r="E26" s="1662">
        <v>51</v>
      </c>
      <c r="F26" s="1662">
        <f t="shared" si="0"/>
        <v>88</v>
      </c>
      <c r="G26" s="1662">
        <f t="shared" si="1"/>
        <v>1.69</v>
      </c>
      <c r="H26" s="1662">
        <v>54</v>
      </c>
      <c r="I26" s="1662">
        <v>42</v>
      </c>
      <c r="J26" s="1662">
        <v>49</v>
      </c>
      <c r="K26" s="1662">
        <f t="shared" si="2"/>
        <v>91</v>
      </c>
      <c r="L26" s="1662">
        <v>53</v>
      </c>
      <c r="M26" s="1662">
        <v>43</v>
      </c>
      <c r="N26" s="1662">
        <v>48</v>
      </c>
      <c r="O26" s="1663">
        <f t="shared" si="3"/>
        <v>91</v>
      </c>
      <c r="Q26" s="599">
        <f t="shared" si="5"/>
        <v>10</v>
      </c>
      <c r="R26" s="1614">
        <f t="shared" si="4"/>
        <v>101</v>
      </c>
      <c r="S26" s="599">
        <f t="shared" si="6"/>
        <v>10</v>
      </c>
    </row>
    <row r="27" spans="1:19">
      <c r="A27" s="1683" t="s">
        <v>2012</v>
      </c>
      <c r="B27" s="1708" t="s">
        <v>2040</v>
      </c>
      <c r="C27" s="1662">
        <v>76</v>
      </c>
      <c r="D27" s="1662">
        <v>79</v>
      </c>
      <c r="E27" s="1662">
        <v>58</v>
      </c>
      <c r="F27" s="1662">
        <f t="shared" si="0"/>
        <v>137</v>
      </c>
      <c r="G27" s="1662">
        <f t="shared" si="1"/>
        <v>1.8</v>
      </c>
      <c r="H27" s="1662">
        <v>74</v>
      </c>
      <c r="I27" s="1662">
        <v>79</v>
      </c>
      <c r="J27" s="1662">
        <v>59</v>
      </c>
      <c r="K27" s="1662">
        <f t="shared" si="2"/>
        <v>138</v>
      </c>
      <c r="L27" s="1662">
        <v>73</v>
      </c>
      <c r="M27" s="1662">
        <v>77</v>
      </c>
      <c r="N27" s="1662">
        <v>59</v>
      </c>
      <c r="O27" s="1663">
        <f t="shared" si="3"/>
        <v>136</v>
      </c>
      <c r="Q27" s="599">
        <f t="shared" si="5"/>
        <v>16</v>
      </c>
      <c r="R27" s="1614">
        <f t="shared" si="4"/>
        <v>154</v>
      </c>
      <c r="S27" s="599">
        <f t="shared" si="6"/>
        <v>15</v>
      </c>
    </row>
    <row r="28" spans="1:19">
      <c r="A28" s="1683" t="s">
        <v>2013</v>
      </c>
      <c r="B28" s="1708" t="s">
        <v>2041</v>
      </c>
      <c r="C28" s="1662">
        <v>62</v>
      </c>
      <c r="D28" s="1662">
        <v>69</v>
      </c>
      <c r="E28" s="1662">
        <v>47</v>
      </c>
      <c r="F28" s="1662">
        <f t="shared" si="0"/>
        <v>116</v>
      </c>
      <c r="G28" s="1662">
        <f t="shared" si="1"/>
        <v>1.87</v>
      </c>
      <c r="H28" s="1662">
        <v>73</v>
      </c>
      <c r="I28" s="1662">
        <v>74</v>
      </c>
      <c r="J28" s="1662">
        <v>47</v>
      </c>
      <c r="K28" s="1662">
        <f t="shared" si="2"/>
        <v>121</v>
      </c>
      <c r="L28" s="1662">
        <v>76</v>
      </c>
      <c r="M28" s="1662">
        <v>76</v>
      </c>
      <c r="N28" s="1662">
        <v>46</v>
      </c>
      <c r="O28" s="1663">
        <f t="shared" si="3"/>
        <v>122</v>
      </c>
      <c r="Q28" s="599">
        <f t="shared" si="5"/>
        <v>14</v>
      </c>
      <c r="R28" s="1614">
        <f t="shared" si="4"/>
        <v>135</v>
      </c>
      <c r="S28" s="599">
        <f t="shared" si="6"/>
        <v>14</v>
      </c>
    </row>
    <row r="29" spans="1:19">
      <c r="A29" s="1683" t="s">
        <v>2014</v>
      </c>
      <c r="B29" s="1708" t="s">
        <v>2042</v>
      </c>
      <c r="C29" s="1662">
        <v>42</v>
      </c>
      <c r="D29" s="1662">
        <v>42</v>
      </c>
      <c r="E29" s="1662">
        <v>39</v>
      </c>
      <c r="F29" s="1662">
        <f t="shared" si="0"/>
        <v>81</v>
      </c>
      <c r="G29" s="1662">
        <f t="shared" si="1"/>
        <v>1.93</v>
      </c>
      <c r="H29" s="1662">
        <v>41</v>
      </c>
      <c r="I29" s="1662">
        <v>40</v>
      </c>
      <c r="J29" s="1662">
        <v>36</v>
      </c>
      <c r="K29" s="1662">
        <f t="shared" si="2"/>
        <v>76</v>
      </c>
      <c r="L29" s="1662">
        <v>40</v>
      </c>
      <c r="M29" s="1662">
        <v>40</v>
      </c>
      <c r="N29" s="1662">
        <v>33</v>
      </c>
      <c r="O29" s="1663">
        <f t="shared" si="3"/>
        <v>73</v>
      </c>
      <c r="Q29" s="599">
        <f t="shared" si="5"/>
        <v>9</v>
      </c>
      <c r="R29" s="1614">
        <f t="shared" si="4"/>
        <v>85</v>
      </c>
      <c r="S29" s="599">
        <f t="shared" si="6"/>
        <v>8</v>
      </c>
    </row>
    <row r="30" spans="1:19">
      <c r="A30" s="1683" t="s">
        <v>2015</v>
      </c>
      <c r="B30" s="1708" t="s">
        <v>2043</v>
      </c>
      <c r="C30" s="1662">
        <v>92</v>
      </c>
      <c r="D30" s="1662">
        <v>79</v>
      </c>
      <c r="E30" s="1662">
        <v>96</v>
      </c>
      <c r="F30" s="1662">
        <f t="shared" si="0"/>
        <v>175</v>
      </c>
      <c r="G30" s="1662">
        <f t="shared" si="1"/>
        <v>1.9</v>
      </c>
      <c r="H30" s="1662">
        <v>96</v>
      </c>
      <c r="I30" s="1662">
        <v>80</v>
      </c>
      <c r="J30" s="1662">
        <v>97</v>
      </c>
      <c r="K30" s="1662">
        <f t="shared" si="2"/>
        <v>177</v>
      </c>
      <c r="L30" s="1662">
        <v>95</v>
      </c>
      <c r="M30" s="1662">
        <v>76</v>
      </c>
      <c r="N30" s="1662">
        <v>97</v>
      </c>
      <c r="O30" s="1663">
        <f t="shared" si="3"/>
        <v>173</v>
      </c>
      <c r="Q30" s="599">
        <f t="shared" si="5"/>
        <v>20</v>
      </c>
      <c r="R30" s="1614">
        <f t="shared" si="4"/>
        <v>197</v>
      </c>
      <c r="S30" s="599">
        <f t="shared" si="6"/>
        <v>20</v>
      </c>
    </row>
    <row r="31" spans="1:19">
      <c r="A31" s="1683" t="s">
        <v>2016</v>
      </c>
      <c r="B31" s="1708" t="s">
        <v>2044</v>
      </c>
      <c r="C31" s="1662">
        <v>33</v>
      </c>
      <c r="D31" s="1662">
        <v>34</v>
      </c>
      <c r="E31" s="1662">
        <v>21</v>
      </c>
      <c r="F31" s="1662">
        <f t="shared" si="0"/>
        <v>55</v>
      </c>
      <c r="G31" s="1662">
        <f t="shared" si="1"/>
        <v>1.67</v>
      </c>
      <c r="H31" s="1662">
        <v>33</v>
      </c>
      <c r="I31" s="1662">
        <v>33</v>
      </c>
      <c r="J31" s="1662">
        <v>22</v>
      </c>
      <c r="K31" s="1662">
        <f t="shared" si="2"/>
        <v>55</v>
      </c>
      <c r="L31" s="1662">
        <v>34</v>
      </c>
      <c r="M31" s="1662">
        <v>35</v>
      </c>
      <c r="N31" s="1662">
        <v>22</v>
      </c>
      <c r="O31" s="1663">
        <f t="shared" si="3"/>
        <v>57</v>
      </c>
      <c r="Q31" s="599">
        <f t="shared" si="5"/>
        <v>6</v>
      </c>
      <c r="R31" s="1614">
        <f t="shared" si="4"/>
        <v>61</v>
      </c>
      <c r="S31" s="599">
        <f t="shared" si="6"/>
        <v>6</v>
      </c>
    </row>
    <row r="32" spans="1:19">
      <c r="A32" s="1684" t="s">
        <v>1952</v>
      </c>
      <c r="B32" s="1709" t="s">
        <v>2045</v>
      </c>
      <c r="C32" s="1665">
        <v>3</v>
      </c>
      <c r="D32" s="1665">
        <v>2</v>
      </c>
      <c r="E32" s="1665">
        <v>1</v>
      </c>
      <c r="F32" s="1665">
        <f t="shared" si="0"/>
        <v>3</v>
      </c>
      <c r="G32" s="1665">
        <f t="shared" si="1"/>
        <v>1</v>
      </c>
      <c r="H32" s="1665">
        <v>2</v>
      </c>
      <c r="I32" s="1665">
        <v>3</v>
      </c>
      <c r="J32" s="1665">
        <v>1</v>
      </c>
      <c r="K32" s="1665">
        <f t="shared" si="2"/>
        <v>4</v>
      </c>
      <c r="L32" s="1665"/>
      <c r="M32" s="1665"/>
      <c r="N32" s="1665"/>
      <c r="O32" s="1666">
        <f t="shared" si="3"/>
        <v>0</v>
      </c>
      <c r="Q32" s="599">
        <f t="shared" si="5"/>
        <v>0</v>
      </c>
      <c r="R32" s="1614">
        <f t="shared" si="4"/>
        <v>4</v>
      </c>
      <c r="S32" s="599">
        <f t="shared" si="6"/>
        <v>0</v>
      </c>
    </row>
  </sheetData>
  <mergeCells count="3">
    <mergeCell ref="C1:G1"/>
    <mergeCell ref="H1:K1"/>
    <mergeCell ref="L1:O1"/>
  </mergeCells>
  <phoneticPr fontId="3" type="noConversion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2"/>
  <sheetViews>
    <sheetView topLeftCell="A16" workbookViewId="0">
      <selection activeCell="R4" sqref="R4:R42"/>
    </sheetView>
  </sheetViews>
  <sheetFormatPr defaultRowHeight="16.5"/>
  <cols>
    <col min="1" max="1" width="21" style="599" bestFit="1" customWidth="1"/>
    <col min="2" max="2" width="9.125" style="599" bestFit="1" customWidth="1"/>
    <col min="3" max="3" width="7.125" style="599" hidden="1" customWidth="1"/>
    <col min="4" max="5" width="5.875" style="599" hidden="1" customWidth="1"/>
    <col min="6" max="6" width="6.875" style="599" hidden="1" customWidth="1"/>
    <col min="7" max="7" width="5.5" style="599" hidden="1" customWidth="1"/>
    <col min="8" max="8" width="7.125" style="599" bestFit="1" customWidth="1"/>
    <col min="9" max="10" width="5.875" style="599" bestFit="1" customWidth="1"/>
    <col min="11" max="11" width="6.875" style="599" bestFit="1" customWidth="1"/>
    <col min="12" max="12" width="7.125" style="599" bestFit="1" customWidth="1"/>
    <col min="13" max="14" width="5.875" style="599" bestFit="1" customWidth="1"/>
    <col min="15" max="15" width="6.875" style="599" bestFit="1" customWidth="1"/>
    <col min="16" max="16384" width="9" style="599"/>
  </cols>
  <sheetData>
    <row r="1" spans="1:19" ht="52.5" customHeight="1">
      <c r="A1" s="1649" t="s">
        <v>1858</v>
      </c>
      <c r="B1" s="1649"/>
      <c r="C1" s="2868" t="s">
        <v>1859</v>
      </c>
      <c r="D1" s="2869"/>
      <c r="E1" s="2869"/>
      <c r="F1" s="2869"/>
      <c r="G1" s="2870"/>
      <c r="H1" s="2868" t="s">
        <v>1860</v>
      </c>
      <c r="I1" s="2869"/>
      <c r="J1" s="2869"/>
      <c r="K1" s="2870"/>
      <c r="L1" s="2885" t="s">
        <v>1861</v>
      </c>
      <c r="M1" s="2886"/>
      <c r="N1" s="2886"/>
      <c r="O1" s="2886"/>
    </row>
    <row r="2" spans="1:19">
      <c r="A2" s="1650" t="s">
        <v>1798</v>
      </c>
      <c r="B2" s="1706"/>
      <c r="C2" s="1651" t="s">
        <v>1621</v>
      </c>
      <c r="D2" s="1651" t="s">
        <v>1622</v>
      </c>
      <c r="E2" s="1651" t="s">
        <v>1623</v>
      </c>
      <c r="F2" s="1652" t="s">
        <v>1740</v>
      </c>
      <c r="G2" s="1652" t="s">
        <v>1741</v>
      </c>
      <c r="H2" s="1651" t="s">
        <v>1621</v>
      </c>
      <c r="I2" s="1651" t="s">
        <v>1622</v>
      </c>
      <c r="J2" s="1651" t="s">
        <v>1623</v>
      </c>
      <c r="K2" s="1652" t="s">
        <v>1740</v>
      </c>
      <c r="L2" s="1651" t="s">
        <v>1621</v>
      </c>
      <c r="M2" s="1651" t="s">
        <v>1622</v>
      </c>
      <c r="N2" s="1651" t="s">
        <v>1623</v>
      </c>
      <c r="O2" s="1653" t="s">
        <v>1740</v>
      </c>
    </row>
    <row r="3" spans="1:19">
      <c r="A3" s="1654" t="s">
        <v>1626</v>
      </c>
      <c r="B3" s="1707"/>
      <c r="C3" s="1655">
        <v>5142</v>
      </c>
      <c r="D3" s="1655">
        <v>5592</v>
      </c>
      <c r="E3" s="1655">
        <v>5403</v>
      </c>
      <c r="F3" s="1655">
        <f>SUM(D3:E3)</f>
        <v>10995</v>
      </c>
      <c r="G3" s="1656">
        <f>ROUND(F3/C3,2)</f>
        <v>2.14</v>
      </c>
      <c r="H3" s="1655">
        <v>5146</v>
      </c>
      <c r="I3" s="1655">
        <v>5557</v>
      </c>
      <c r="J3" s="1655">
        <v>5379</v>
      </c>
      <c r="K3" s="1655">
        <f>SUM(I3:J3)</f>
        <v>10936</v>
      </c>
      <c r="L3" s="1655">
        <v>5140</v>
      </c>
      <c r="M3" s="1655">
        <v>5551</v>
      </c>
      <c r="N3" s="1655">
        <v>5345</v>
      </c>
      <c r="O3" s="1657">
        <f>SUM(M3:N3)</f>
        <v>10896</v>
      </c>
      <c r="Q3" s="1658">
        <v>457</v>
      </c>
      <c r="R3" s="1614">
        <f>K3+Q3</f>
        <v>11393</v>
      </c>
      <c r="S3" s="599">
        <v>469</v>
      </c>
    </row>
    <row r="4" spans="1:19" s="1632" customFormat="1">
      <c r="A4" s="1659" t="s">
        <v>1989</v>
      </c>
      <c r="B4" s="1710" t="s">
        <v>2056</v>
      </c>
      <c r="C4" s="1660">
        <v>392</v>
      </c>
      <c r="D4" s="1660">
        <v>411</v>
      </c>
      <c r="E4" s="1660">
        <v>387</v>
      </c>
      <c r="F4" s="1660">
        <f t="shared" ref="F4:F42" si="0">SUM(D4:E4)</f>
        <v>798</v>
      </c>
      <c r="G4" s="1660">
        <f t="shared" ref="G4:G42" si="1">ROUND(F4/C4,2)</f>
        <v>2.04</v>
      </c>
      <c r="H4" s="1660">
        <v>413</v>
      </c>
      <c r="I4" s="1660">
        <v>449</v>
      </c>
      <c r="J4" s="1660">
        <v>413</v>
      </c>
      <c r="K4" s="1660">
        <f t="shared" ref="K4:K42" si="2">SUM(I4:J4)</f>
        <v>862</v>
      </c>
      <c r="L4" s="1660">
        <v>413</v>
      </c>
      <c r="M4" s="1660">
        <v>451</v>
      </c>
      <c r="N4" s="1660">
        <v>411</v>
      </c>
      <c r="O4" s="1661">
        <f t="shared" ref="O4:O41" si="3">SUM(M4:N4)</f>
        <v>862</v>
      </c>
      <c r="Q4" s="1632">
        <f>ROUND(K4/$K$3*$Q$3,0)-1</f>
        <v>35</v>
      </c>
      <c r="R4" s="1614">
        <f t="shared" ref="R4:R42" si="4">K4+Q4</f>
        <v>897</v>
      </c>
      <c r="S4" s="1632">
        <f>ROUND(O4/$O$3*$S$3,0)</f>
        <v>37</v>
      </c>
    </row>
    <row r="5" spans="1:19" s="1632" customFormat="1">
      <c r="A5" s="1659" t="s">
        <v>1990</v>
      </c>
      <c r="B5" s="1710" t="s">
        <v>2057</v>
      </c>
      <c r="C5" s="1660">
        <v>251</v>
      </c>
      <c r="D5" s="1660">
        <v>268</v>
      </c>
      <c r="E5" s="1660">
        <v>258</v>
      </c>
      <c r="F5" s="1660">
        <f t="shared" si="0"/>
        <v>526</v>
      </c>
      <c r="G5" s="1660">
        <f t="shared" si="1"/>
        <v>2.1</v>
      </c>
      <c r="H5" s="1660">
        <v>256</v>
      </c>
      <c r="I5" s="1660">
        <v>277</v>
      </c>
      <c r="J5" s="1660">
        <v>272</v>
      </c>
      <c r="K5" s="1660">
        <f t="shared" si="2"/>
        <v>549</v>
      </c>
      <c r="L5" s="1660">
        <v>248</v>
      </c>
      <c r="M5" s="1660">
        <v>272</v>
      </c>
      <c r="N5" s="1660">
        <v>266</v>
      </c>
      <c r="O5" s="1661">
        <f t="shared" si="3"/>
        <v>538</v>
      </c>
      <c r="Q5" s="1632">
        <f t="shared" ref="Q5:Q42" si="5">ROUND(K5/$K$3*$Q$3,0)</f>
        <v>23</v>
      </c>
      <c r="R5" s="1614">
        <f t="shared" si="4"/>
        <v>572</v>
      </c>
      <c r="S5" s="1632">
        <f t="shared" ref="S5:S42" si="6">ROUND(O5/$O$3*$S$3,0)</f>
        <v>23</v>
      </c>
    </row>
    <row r="6" spans="1:19" s="1632" customFormat="1">
      <c r="A6" s="1659" t="s">
        <v>1991</v>
      </c>
      <c r="B6" s="1710" t="s">
        <v>2058</v>
      </c>
      <c r="C6" s="1660">
        <v>90</v>
      </c>
      <c r="D6" s="1660">
        <v>103</v>
      </c>
      <c r="E6" s="1660">
        <v>102</v>
      </c>
      <c r="F6" s="1660">
        <f t="shared" si="0"/>
        <v>205</v>
      </c>
      <c r="G6" s="1660">
        <f t="shared" si="1"/>
        <v>2.2799999999999998</v>
      </c>
      <c r="H6" s="1660">
        <v>90</v>
      </c>
      <c r="I6" s="1660">
        <v>103</v>
      </c>
      <c r="J6" s="1660">
        <v>108</v>
      </c>
      <c r="K6" s="1660">
        <f t="shared" si="2"/>
        <v>211</v>
      </c>
      <c r="L6" s="1660">
        <v>93</v>
      </c>
      <c r="M6" s="1660">
        <v>106</v>
      </c>
      <c r="N6" s="1660">
        <v>109</v>
      </c>
      <c r="O6" s="1661">
        <f t="shared" si="3"/>
        <v>215</v>
      </c>
      <c r="Q6" s="1632">
        <f t="shared" si="5"/>
        <v>9</v>
      </c>
      <c r="R6" s="1614">
        <f t="shared" si="4"/>
        <v>220</v>
      </c>
      <c r="S6" s="1632">
        <f t="shared" si="6"/>
        <v>9</v>
      </c>
    </row>
    <row r="7" spans="1:19">
      <c r="A7" s="1654" t="s">
        <v>1992</v>
      </c>
      <c r="B7" s="1707" t="s">
        <v>2059</v>
      </c>
      <c r="C7" s="1662">
        <v>60</v>
      </c>
      <c r="D7" s="1662">
        <v>66</v>
      </c>
      <c r="E7" s="1662">
        <v>65</v>
      </c>
      <c r="F7" s="1662">
        <f t="shared" si="0"/>
        <v>131</v>
      </c>
      <c r="G7" s="1662">
        <f t="shared" si="1"/>
        <v>2.1800000000000002</v>
      </c>
      <c r="H7" s="1662">
        <v>58</v>
      </c>
      <c r="I7" s="1662">
        <v>68</v>
      </c>
      <c r="J7" s="1662">
        <v>65</v>
      </c>
      <c r="K7" s="1662">
        <f t="shared" si="2"/>
        <v>133</v>
      </c>
      <c r="L7" s="1662">
        <v>56</v>
      </c>
      <c r="M7" s="1662">
        <v>64</v>
      </c>
      <c r="N7" s="1662">
        <v>64</v>
      </c>
      <c r="O7" s="1663">
        <f t="shared" si="3"/>
        <v>128</v>
      </c>
      <c r="Q7" s="1632">
        <f t="shared" si="5"/>
        <v>6</v>
      </c>
      <c r="R7" s="1614">
        <f t="shared" si="4"/>
        <v>139</v>
      </c>
      <c r="S7" s="1632">
        <f t="shared" si="6"/>
        <v>6</v>
      </c>
    </row>
    <row r="8" spans="1:19" s="1632" customFormat="1">
      <c r="A8" s="1659" t="s">
        <v>1993</v>
      </c>
      <c r="B8" s="1710" t="s">
        <v>2060</v>
      </c>
      <c r="C8" s="1660">
        <v>276</v>
      </c>
      <c r="D8" s="1660">
        <v>265</v>
      </c>
      <c r="E8" s="1660">
        <v>268</v>
      </c>
      <c r="F8" s="1660">
        <f t="shared" si="0"/>
        <v>533</v>
      </c>
      <c r="G8" s="1660">
        <f t="shared" si="1"/>
        <v>1.93</v>
      </c>
      <c r="H8" s="1660">
        <v>288</v>
      </c>
      <c r="I8" s="1660">
        <v>282</v>
      </c>
      <c r="J8" s="1660">
        <v>273</v>
      </c>
      <c r="K8" s="1660">
        <f t="shared" si="2"/>
        <v>555</v>
      </c>
      <c r="L8" s="1660">
        <v>292</v>
      </c>
      <c r="M8" s="1660">
        <v>286</v>
      </c>
      <c r="N8" s="1660">
        <v>280</v>
      </c>
      <c r="O8" s="1661">
        <f t="shared" si="3"/>
        <v>566</v>
      </c>
      <c r="Q8" s="1632">
        <f t="shared" si="5"/>
        <v>23</v>
      </c>
      <c r="R8" s="1614">
        <f t="shared" si="4"/>
        <v>578</v>
      </c>
      <c r="S8" s="1632">
        <f t="shared" si="6"/>
        <v>24</v>
      </c>
    </row>
    <row r="9" spans="1:19">
      <c r="A9" s="1654" t="s">
        <v>1994</v>
      </c>
      <c r="B9" s="1707" t="s">
        <v>2061</v>
      </c>
      <c r="C9" s="1662">
        <v>44</v>
      </c>
      <c r="D9" s="1662">
        <v>47</v>
      </c>
      <c r="E9" s="1662">
        <v>39</v>
      </c>
      <c r="F9" s="1662">
        <f t="shared" si="0"/>
        <v>86</v>
      </c>
      <c r="G9" s="1662">
        <f t="shared" si="1"/>
        <v>1.95</v>
      </c>
      <c r="H9" s="1662">
        <v>47</v>
      </c>
      <c r="I9" s="1662">
        <v>50</v>
      </c>
      <c r="J9" s="1662">
        <v>45</v>
      </c>
      <c r="K9" s="1662">
        <f t="shared" si="2"/>
        <v>95</v>
      </c>
      <c r="L9" s="1662">
        <v>48</v>
      </c>
      <c r="M9" s="1662">
        <v>52</v>
      </c>
      <c r="N9" s="1662">
        <v>44</v>
      </c>
      <c r="O9" s="1663">
        <f t="shared" si="3"/>
        <v>96</v>
      </c>
      <c r="Q9" s="1632">
        <f t="shared" si="5"/>
        <v>4</v>
      </c>
      <c r="R9" s="1614">
        <f t="shared" si="4"/>
        <v>99</v>
      </c>
      <c r="S9" s="1632">
        <f t="shared" si="6"/>
        <v>4</v>
      </c>
    </row>
    <row r="10" spans="1:19">
      <c r="A10" s="1654" t="s">
        <v>1995</v>
      </c>
      <c r="B10" s="1707" t="s">
        <v>2062</v>
      </c>
      <c r="C10" s="1662">
        <v>118</v>
      </c>
      <c r="D10" s="1662">
        <v>128</v>
      </c>
      <c r="E10" s="1662">
        <v>120</v>
      </c>
      <c r="F10" s="1662">
        <f t="shared" si="0"/>
        <v>248</v>
      </c>
      <c r="G10" s="1662">
        <f t="shared" si="1"/>
        <v>2.1</v>
      </c>
      <c r="H10" s="1662">
        <v>119</v>
      </c>
      <c r="I10" s="1662">
        <v>120</v>
      </c>
      <c r="J10" s="1662">
        <v>110</v>
      </c>
      <c r="K10" s="1662">
        <f t="shared" si="2"/>
        <v>230</v>
      </c>
      <c r="L10" s="1662">
        <v>123</v>
      </c>
      <c r="M10" s="1662">
        <v>128</v>
      </c>
      <c r="N10" s="1662">
        <v>116</v>
      </c>
      <c r="O10" s="1663">
        <f t="shared" si="3"/>
        <v>244</v>
      </c>
      <c r="Q10" s="1632">
        <f t="shared" si="5"/>
        <v>10</v>
      </c>
      <c r="R10" s="1614">
        <f t="shared" si="4"/>
        <v>240</v>
      </c>
      <c r="S10" s="1632">
        <f t="shared" si="6"/>
        <v>11</v>
      </c>
    </row>
    <row r="11" spans="1:19">
      <c r="A11" s="1654" t="s">
        <v>1996</v>
      </c>
      <c r="B11" s="1707" t="s">
        <v>2063</v>
      </c>
      <c r="C11" s="1662">
        <v>50</v>
      </c>
      <c r="D11" s="1662">
        <v>69</v>
      </c>
      <c r="E11" s="1662">
        <v>65</v>
      </c>
      <c r="F11" s="1662">
        <f t="shared" si="0"/>
        <v>134</v>
      </c>
      <c r="G11" s="1662">
        <f t="shared" si="1"/>
        <v>2.68</v>
      </c>
      <c r="H11" s="1662">
        <v>51</v>
      </c>
      <c r="I11" s="1662">
        <v>72</v>
      </c>
      <c r="J11" s="1662">
        <v>59</v>
      </c>
      <c r="K11" s="1662">
        <f t="shared" si="2"/>
        <v>131</v>
      </c>
      <c r="L11" s="1662">
        <v>50</v>
      </c>
      <c r="M11" s="1662">
        <v>74</v>
      </c>
      <c r="N11" s="1662">
        <v>64</v>
      </c>
      <c r="O11" s="1663">
        <f t="shared" si="3"/>
        <v>138</v>
      </c>
      <c r="Q11" s="1632">
        <f t="shared" si="5"/>
        <v>5</v>
      </c>
      <c r="R11" s="1614">
        <f t="shared" si="4"/>
        <v>136</v>
      </c>
      <c r="S11" s="1632">
        <f t="shared" si="6"/>
        <v>6</v>
      </c>
    </row>
    <row r="12" spans="1:19">
      <c r="A12" s="1654" t="s">
        <v>1997</v>
      </c>
      <c r="B12" s="1707" t="s">
        <v>2064</v>
      </c>
      <c r="C12" s="1662">
        <v>104</v>
      </c>
      <c r="D12" s="1662">
        <v>112</v>
      </c>
      <c r="E12" s="1662">
        <v>118</v>
      </c>
      <c r="F12" s="1662">
        <f t="shared" si="0"/>
        <v>230</v>
      </c>
      <c r="G12" s="1662">
        <f t="shared" si="1"/>
        <v>2.21</v>
      </c>
      <c r="H12" s="1662">
        <v>98</v>
      </c>
      <c r="I12" s="1662">
        <v>104</v>
      </c>
      <c r="J12" s="1662">
        <v>115</v>
      </c>
      <c r="K12" s="1662">
        <f t="shared" si="2"/>
        <v>219</v>
      </c>
      <c r="L12" s="1662">
        <v>97</v>
      </c>
      <c r="M12" s="1662">
        <v>107</v>
      </c>
      <c r="N12" s="1662">
        <v>116</v>
      </c>
      <c r="O12" s="1663">
        <f t="shared" si="3"/>
        <v>223</v>
      </c>
      <c r="Q12" s="1632">
        <f t="shared" si="5"/>
        <v>9</v>
      </c>
      <c r="R12" s="1614">
        <f t="shared" si="4"/>
        <v>228</v>
      </c>
      <c r="S12" s="1632">
        <f t="shared" si="6"/>
        <v>10</v>
      </c>
    </row>
    <row r="13" spans="1:19">
      <c r="A13" s="1654" t="s">
        <v>1998</v>
      </c>
      <c r="B13" s="1707" t="s">
        <v>2065</v>
      </c>
      <c r="C13" s="1662">
        <v>48</v>
      </c>
      <c r="D13" s="1662">
        <v>44</v>
      </c>
      <c r="E13" s="1662">
        <v>42</v>
      </c>
      <c r="F13" s="1662">
        <f t="shared" si="0"/>
        <v>86</v>
      </c>
      <c r="G13" s="1662">
        <f t="shared" si="1"/>
        <v>1.79</v>
      </c>
      <c r="H13" s="1662">
        <v>50</v>
      </c>
      <c r="I13" s="1662">
        <v>44</v>
      </c>
      <c r="J13" s="1662">
        <v>45</v>
      </c>
      <c r="K13" s="1662">
        <f t="shared" si="2"/>
        <v>89</v>
      </c>
      <c r="L13" s="1662">
        <v>48</v>
      </c>
      <c r="M13" s="1662">
        <v>46</v>
      </c>
      <c r="N13" s="1662">
        <v>45</v>
      </c>
      <c r="O13" s="1663">
        <f t="shared" si="3"/>
        <v>91</v>
      </c>
      <c r="Q13" s="1632">
        <f t="shared" si="5"/>
        <v>4</v>
      </c>
      <c r="R13" s="1614">
        <f t="shared" si="4"/>
        <v>93</v>
      </c>
      <c r="S13" s="1632">
        <f t="shared" si="6"/>
        <v>4</v>
      </c>
    </row>
    <row r="14" spans="1:19">
      <c r="A14" s="1654" t="s">
        <v>1999</v>
      </c>
      <c r="B14" s="1707" t="s">
        <v>2066</v>
      </c>
      <c r="C14" s="1662">
        <v>59</v>
      </c>
      <c r="D14" s="1662">
        <v>57</v>
      </c>
      <c r="E14" s="1662">
        <v>55</v>
      </c>
      <c r="F14" s="1662">
        <f t="shared" si="0"/>
        <v>112</v>
      </c>
      <c r="G14" s="1662">
        <f t="shared" si="1"/>
        <v>1.9</v>
      </c>
      <c r="H14" s="1662">
        <v>57</v>
      </c>
      <c r="I14" s="1662">
        <v>61</v>
      </c>
      <c r="J14" s="1662">
        <v>57</v>
      </c>
      <c r="K14" s="1662">
        <f t="shared" si="2"/>
        <v>118</v>
      </c>
      <c r="L14" s="1662">
        <v>54</v>
      </c>
      <c r="M14" s="1662">
        <v>53</v>
      </c>
      <c r="N14" s="1662">
        <v>55</v>
      </c>
      <c r="O14" s="1663">
        <f t="shared" si="3"/>
        <v>108</v>
      </c>
      <c r="Q14" s="1632">
        <f t="shared" si="5"/>
        <v>5</v>
      </c>
      <c r="R14" s="1614">
        <f t="shared" si="4"/>
        <v>123</v>
      </c>
      <c r="S14" s="1632">
        <f t="shared" si="6"/>
        <v>5</v>
      </c>
    </row>
    <row r="15" spans="1:19">
      <c r="A15" s="1654" t="s">
        <v>2000</v>
      </c>
      <c r="B15" s="1707" t="s">
        <v>2067</v>
      </c>
      <c r="C15" s="1662">
        <v>144</v>
      </c>
      <c r="D15" s="1662">
        <v>133</v>
      </c>
      <c r="E15" s="1662">
        <v>141</v>
      </c>
      <c r="F15" s="1662">
        <f t="shared" si="0"/>
        <v>274</v>
      </c>
      <c r="G15" s="1662">
        <f t="shared" si="1"/>
        <v>1.9</v>
      </c>
      <c r="H15" s="1662">
        <v>145</v>
      </c>
      <c r="I15" s="1662">
        <v>128</v>
      </c>
      <c r="J15" s="1662">
        <v>146</v>
      </c>
      <c r="K15" s="1662">
        <f t="shared" si="2"/>
        <v>274</v>
      </c>
      <c r="L15" s="1662">
        <v>145</v>
      </c>
      <c r="M15" s="1662">
        <v>127</v>
      </c>
      <c r="N15" s="1662">
        <v>143</v>
      </c>
      <c r="O15" s="1663">
        <f t="shared" si="3"/>
        <v>270</v>
      </c>
      <c r="Q15" s="1632">
        <f t="shared" si="5"/>
        <v>11</v>
      </c>
      <c r="R15" s="1614">
        <f t="shared" si="4"/>
        <v>285</v>
      </c>
      <c r="S15" s="1632">
        <f t="shared" si="6"/>
        <v>12</v>
      </c>
    </row>
    <row r="16" spans="1:19">
      <c r="A16" s="1654" t="s">
        <v>2001</v>
      </c>
      <c r="B16" s="1707" t="s">
        <v>2068</v>
      </c>
      <c r="C16" s="1662">
        <v>69</v>
      </c>
      <c r="D16" s="1662">
        <v>87</v>
      </c>
      <c r="E16" s="1662">
        <v>81</v>
      </c>
      <c r="F16" s="1662">
        <f t="shared" si="0"/>
        <v>168</v>
      </c>
      <c r="G16" s="1662">
        <f t="shared" si="1"/>
        <v>2.4300000000000002</v>
      </c>
      <c r="H16" s="1662">
        <v>74</v>
      </c>
      <c r="I16" s="1662">
        <v>86</v>
      </c>
      <c r="J16" s="1662">
        <v>92</v>
      </c>
      <c r="K16" s="1662">
        <f t="shared" si="2"/>
        <v>178</v>
      </c>
      <c r="L16" s="1662">
        <v>74</v>
      </c>
      <c r="M16" s="1662">
        <v>86</v>
      </c>
      <c r="N16" s="1662">
        <v>90</v>
      </c>
      <c r="O16" s="1663">
        <f t="shared" si="3"/>
        <v>176</v>
      </c>
      <c r="Q16" s="1632">
        <f t="shared" si="5"/>
        <v>7</v>
      </c>
      <c r="R16" s="1614">
        <f t="shared" si="4"/>
        <v>185</v>
      </c>
      <c r="S16" s="1632">
        <f t="shared" si="6"/>
        <v>8</v>
      </c>
    </row>
    <row r="17" spans="1:19">
      <c r="A17" s="1654" t="s">
        <v>2002</v>
      </c>
      <c r="B17" s="1707" t="s">
        <v>2069</v>
      </c>
      <c r="C17" s="1662">
        <v>55</v>
      </c>
      <c r="D17" s="1662">
        <v>61</v>
      </c>
      <c r="E17" s="1662">
        <v>62</v>
      </c>
      <c r="F17" s="1662">
        <f t="shared" si="0"/>
        <v>123</v>
      </c>
      <c r="G17" s="1662">
        <f t="shared" si="1"/>
        <v>2.2400000000000002</v>
      </c>
      <c r="H17" s="1662">
        <v>56</v>
      </c>
      <c r="I17" s="1662">
        <v>61</v>
      </c>
      <c r="J17" s="1662">
        <v>63</v>
      </c>
      <c r="K17" s="1662">
        <f t="shared" si="2"/>
        <v>124</v>
      </c>
      <c r="L17" s="1662">
        <v>57</v>
      </c>
      <c r="M17" s="1662">
        <v>64</v>
      </c>
      <c r="N17" s="1662">
        <v>65</v>
      </c>
      <c r="O17" s="1663">
        <f t="shared" si="3"/>
        <v>129</v>
      </c>
      <c r="Q17" s="1632">
        <f t="shared" si="5"/>
        <v>5</v>
      </c>
      <c r="R17" s="1614">
        <f t="shared" si="4"/>
        <v>129</v>
      </c>
      <c r="S17" s="1632">
        <f t="shared" si="6"/>
        <v>6</v>
      </c>
    </row>
    <row r="18" spans="1:19">
      <c r="A18" s="1654" t="s">
        <v>2003</v>
      </c>
      <c r="B18" s="1707" t="s">
        <v>2070</v>
      </c>
      <c r="C18" s="1662">
        <v>69</v>
      </c>
      <c r="D18" s="1662">
        <v>72</v>
      </c>
      <c r="E18" s="1662">
        <v>68</v>
      </c>
      <c r="F18" s="1662">
        <f t="shared" si="0"/>
        <v>140</v>
      </c>
      <c r="G18" s="1662">
        <f t="shared" si="1"/>
        <v>2.0299999999999998</v>
      </c>
      <c r="H18" s="1662">
        <v>72</v>
      </c>
      <c r="I18" s="1662">
        <v>76</v>
      </c>
      <c r="J18" s="1662">
        <v>68</v>
      </c>
      <c r="K18" s="1662">
        <f t="shared" si="2"/>
        <v>144</v>
      </c>
      <c r="L18" s="1662">
        <v>74</v>
      </c>
      <c r="M18" s="1662">
        <v>80</v>
      </c>
      <c r="N18" s="1662">
        <v>67</v>
      </c>
      <c r="O18" s="1663">
        <f t="shared" si="3"/>
        <v>147</v>
      </c>
      <c r="Q18" s="1632">
        <f t="shared" si="5"/>
        <v>6</v>
      </c>
      <c r="R18" s="1614">
        <f t="shared" si="4"/>
        <v>150</v>
      </c>
      <c r="S18" s="1632">
        <f t="shared" si="6"/>
        <v>6</v>
      </c>
    </row>
    <row r="19" spans="1:19">
      <c r="A19" s="1654" t="s">
        <v>2004</v>
      </c>
      <c r="B19" s="1707" t="s">
        <v>2071</v>
      </c>
      <c r="C19" s="1662">
        <v>53</v>
      </c>
      <c r="D19" s="1662">
        <v>56</v>
      </c>
      <c r="E19" s="1662">
        <v>58</v>
      </c>
      <c r="F19" s="1662">
        <f t="shared" si="0"/>
        <v>114</v>
      </c>
      <c r="G19" s="1662">
        <f t="shared" si="1"/>
        <v>2.15</v>
      </c>
      <c r="H19" s="1662">
        <v>51</v>
      </c>
      <c r="I19" s="1662">
        <v>56</v>
      </c>
      <c r="J19" s="1662">
        <v>58</v>
      </c>
      <c r="K19" s="1662">
        <f t="shared" si="2"/>
        <v>114</v>
      </c>
      <c r="L19" s="1662">
        <v>51</v>
      </c>
      <c r="M19" s="1662">
        <v>55</v>
      </c>
      <c r="N19" s="1662">
        <v>55</v>
      </c>
      <c r="O19" s="1663">
        <f t="shared" si="3"/>
        <v>110</v>
      </c>
      <c r="Q19" s="1632">
        <f t="shared" si="5"/>
        <v>5</v>
      </c>
      <c r="R19" s="1614">
        <f t="shared" si="4"/>
        <v>119</v>
      </c>
      <c r="S19" s="1632">
        <f t="shared" si="6"/>
        <v>5</v>
      </c>
    </row>
    <row r="20" spans="1:19" ht="15" customHeight="1">
      <c r="A20" s="1654" t="s">
        <v>2005</v>
      </c>
      <c r="B20" s="1707" t="s">
        <v>2072</v>
      </c>
      <c r="C20" s="1662">
        <v>75</v>
      </c>
      <c r="D20" s="1662">
        <v>98</v>
      </c>
      <c r="E20" s="1662">
        <v>82</v>
      </c>
      <c r="F20" s="1662">
        <f t="shared" si="0"/>
        <v>180</v>
      </c>
      <c r="G20" s="1662">
        <f t="shared" si="1"/>
        <v>2.4</v>
      </c>
      <c r="H20" s="1662">
        <v>76</v>
      </c>
      <c r="I20" s="1662">
        <v>99</v>
      </c>
      <c r="J20" s="1662">
        <v>80</v>
      </c>
      <c r="K20" s="1662">
        <f t="shared" si="2"/>
        <v>179</v>
      </c>
      <c r="L20" s="1662">
        <v>77</v>
      </c>
      <c r="M20" s="1662">
        <v>100</v>
      </c>
      <c r="N20" s="1662">
        <v>81</v>
      </c>
      <c r="O20" s="1663">
        <f t="shared" si="3"/>
        <v>181</v>
      </c>
      <c r="Q20" s="1632">
        <f t="shared" si="5"/>
        <v>7</v>
      </c>
      <c r="R20" s="1614">
        <f t="shared" si="4"/>
        <v>186</v>
      </c>
      <c r="S20" s="1632">
        <f t="shared" si="6"/>
        <v>8</v>
      </c>
    </row>
    <row r="21" spans="1:19">
      <c r="A21" s="1654" t="s">
        <v>2006</v>
      </c>
      <c r="B21" s="1707" t="s">
        <v>2073</v>
      </c>
      <c r="C21" s="1662">
        <v>98</v>
      </c>
      <c r="D21" s="1662">
        <v>114</v>
      </c>
      <c r="E21" s="1662">
        <v>115</v>
      </c>
      <c r="F21" s="1662">
        <f t="shared" si="0"/>
        <v>229</v>
      </c>
      <c r="G21" s="1662">
        <f t="shared" si="1"/>
        <v>2.34</v>
      </c>
      <c r="H21" s="1662">
        <v>95</v>
      </c>
      <c r="I21" s="1662">
        <v>114</v>
      </c>
      <c r="J21" s="1662">
        <v>111</v>
      </c>
      <c r="K21" s="1662">
        <f t="shared" si="2"/>
        <v>225</v>
      </c>
      <c r="L21" s="1662">
        <v>94</v>
      </c>
      <c r="M21" s="1662">
        <v>116</v>
      </c>
      <c r="N21" s="1662">
        <v>106</v>
      </c>
      <c r="O21" s="1663">
        <f t="shared" si="3"/>
        <v>222</v>
      </c>
      <c r="Q21" s="1632">
        <f t="shared" si="5"/>
        <v>9</v>
      </c>
      <c r="R21" s="1614">
        <f t="shared" si="4"/>
        <v>234</v>
      </c>
      <c r="S21" s="1632">
        <f t="shared" si="6"/>
        <v>10</v>
      </c>
    </row>
    <row r="22" spans="1:19">
      <c r="A22" s="1654" t="s">
        <v>2007</v>
      </c>
      <c r="B22" s="1707" t="s">
        <v>2074</v>
      </c>
      <c r="C22" s="1662">
        <v>48</v>
      </c>
      <c r="D22" s="1662">
        <v>52</v>
      </c>
      <c r="E22" s="1662">
        <v>52</v>
      </c>
      <c r="F22" s="1662">
        <f t="shared" si="0"/>
        <v>104</v>
      </c>
      <c r="G22" s="1662">
        <f t="shared" si="1"/>
        <v>2.17</v>
      </c>
      <c r="H22" s="1662">
        <v>51</v>
      </c>
      <c r="I22" s="1662">
        <v>56</v>
      </c>
      <c r="J22" s="1662">
        <v>53</v>
      </c>
      <c r="K22" s="1662">
        <f t="shared" si="2"/>
        <v>109</v>
      </c>
      <c r="L22" s="1662">
        <v>52</v>
      </c>
      <c r="M22" s="1662">
        <v>55</v>
      </c>
      <c r="N22" s="1662">
        <v>54</v>
      </c>
      <c r="O22" s="1663">
        <f t="shared" si="3"/>
        <v>109</v>
      </c>
      <c r="Q22" s="1632">
        <f t="shared" si="5"/>
        <v>5</v>
      </c>
      <c r="R22" s="1614">
        <f t="shared" si="4"/>
        <v>114</v>
      </c>
      <c r="S22" s="1632">
        <f t="shared" si="6"/>
        <v>5</v>
      </c>
    </row>
    <row r="23" spans="1:19">
      <c r="A23" s="1654" t="s">
        <v>2008</v>
      </c>
      <c r="B23" s="1707" t="s">
        <v>2075</v>
      </c>
      <c r="C23" s="1662">
        <v>43</v>
      </c>
      <c r="D23" s="1662">
        <v>53</v>
      </c>
      <c r="E23" s="1662">
        <v>39</v>
      </c>
      <c r="F23" s="1662">
        <f t="shared" si="0"/>
        <v>92</v>
      </c>
      <c r="G23" s="1662">
        <f t="shared" si="1"/>
        <v>2.14</v>
      </c>
      <c r="H23" s="1662">
        <v>42</v>
      </c>
      <c r="I23" s="1662">
        <v>55</v>
      </c>
      <c r="J23" s="1662">
        <v>38</v>
      </c>
      <c r="K23" s="1662">
        <f t="shared" si="2"/>
        <v>93</v>
      </c>
      <c r="L23" s="1662">
        <v>40</v>
      </c>
      <c r="M23" s="1662">
        <v>51</v>
      </c>
      <c r="N23" s="1662">
        <v>37</v>
      </c>
      <c r="O23" s="1663">
        <f t="shared" si="3"/>
        <v>88</v>
      </c>
      <c r="Q23" s="1632">
        <f t="shared" si="5"/>
        <v>4</v>
      </c>
      <c r="R23" s="1614">
        <f t="shared" si="4"/>
        <v>97</v>
      </c>
      <c r="S23" s="1632">
        <f t="shared" si="6"/>
        <v>4</v>
      </c>
    </row>
    <row r="24" spans="1:19">
      <c r="A24" s="1654" t="s">
        <v>2009</v>
      </c>
      <c r="B24" s="1707" t="s">
        <v>2076</v>
      </c>
      <c r="C24" s="1662">
        <v>191</v>
      </c>
      <c r="D24" s="1662">
        <v>216</v>
      </c>
      <c r="E24" s="1662">
        <v>193</v>
      </c>
      <c r="F24" s="1662">
        <f t="shared" si="0"/>
        <v>409</v>
      </c>
      <c r="G24" s="1662">
        <f t="shared" si="1"/>
        <v>2.14</v>
      </c>
      <c r="H24" s="1662">
        <v>186</v>
      </c>
      <c r="I24" s="1662">
        <v>208</v>
      </c>
      <c r="J24" s="1662">
        <v>186</v>
      </c>
      <c r="K24" s="1662">
        <f t="shared" si="2"/>
        <v>394</v>
      </c>
      <c r="L24" s="1662">
        <v>186</v>
      </c>
      <c r="M24" s="1662">
        <v>205</v>
      </c>
      <c r="N24" s="1662">
        <v>185</v>
      </c>
      <c r="O24" s="1663">
        <f t="shared" si="3"/>
        <v>390</v>
      </c>
      <c r="Q24" s="1632">
        <f t="shared" si="5"/>
        <v>16</v>
      </c>
      <c r="R24" s="1614">
        <f t="shared" si="4"/>
        <v>410</v>
      </c>
      <c r="S24" s="1632">
        <f t="shared" si="6"/>
        <v>17</v>
      </c>
    </row>
    <row r="25" spans="1:19">
      <c r="A25" s="1654" t="s">
        <v>2010</v>
      </c>
      <c r="B25" s="1707" t="s">
        <v>2077</v>
      </c>
      <c r="C25" s="1662">
        <v>68</v>
      </c>
      <c r="D25" s="1662">
        <v>82</v>
      </c>
      <c r="E25" s="1662">
        <v>54</v>
      </c>
      <c r="F25" s="1662">
        <f t="shared" si="0"/>
        <v>136</v>
      </c>
      <c r="G25" s="1662">
        <f t="shared" si="1"/>
        <v>2</v>
      </c>
      <c r="H25" s="1662">
        <v>67</v>
      </c>
      <c r="I25" s="1662">
        <v>73</v>
      </c>
      <c r="J25" s="1662">
        <v>54</v>
      </c>
      <c r="K25" s="1662">
        <f t="shared" si="2"/>
        <v>127</v>
      </c>
      <c r="L25" s="1662">
        <v>69</v>
      </c>
      <c r="M25" s="1662">
        <v>75</v>
      </c>
      <c r="N25" s="1662">
        <v>53</v>
      </c>
      <c r="O25" s="1663">
        <f t="shared" si="3"/>
        <v>128</v>
      </c>
      <c r="Q25" s="1632">
        <f t="shared" si="5"/>
        <v>5</v>
      </c>
      <c r="R25" s="1614">
        <f t="shared" si="4"/>
        <v>132</v>
      </c>
      <c r="S25" s="1632">
        <f t="shared" si="6"/>
        <v>6</v>
      </c>
    </row>
    <row r="26" spans="1:19" s="1632" customFormat="1">
      <c r="A26" s="1659" t="s">
        <v>2011</v>
      </c>
      <c r="B26" s="1710" t="s">
        <v>2078</v>
      </c>
      <c r="C26" s="1660">
        <v>75</v>
      </c>
      <c r="D26" s="1660">
        <v>82</v>
      </c>
      <c r="E26" s="1660">
        <v>55</v>
      </c>
      <c r="F26" s="1660">
        <f t="shared" si="0"/>
        <v>137</v>
      </c>
      <c r="G26" s="1660">
        <f t="shared" si="1"/>
        <v>1.83</v>
      </c>
      <c r="H26" s="1660">
        <v>84</v>
      </c>
      <c r="I26" s="1660">
        <v>76</v>
      </c>
      <c r="J26" s="1660">
        <v>58</v>
      </c>
      <c r="K26" s="1660">
        <f t="shared" si="2"/>
        <v>134</v>
      </c>
      <c r="L26" s="1660">
        <v>82</v>
      </c>
      <c r="M26" s="1660">
        <v>72</v>
      </c>
      <c r="N26" s="1660">
        <v>57</v>
      </c>
      <c r="O26" s="1661">
        <f t="shared" si="3"/>
        <v>129</v>
      </c>
      <c r="Q26" s="1632">
        <f t="shared" si="5"/>
        <v>6</v>
      </c>
      <c r="R26" s="1614">
        <f t="shared" si="4"/>
        <v>140</v>
      </c>
      <c r="S26" s="1632">
        <f t="shared" si="6"/>
        <v>6</v>
      </c>
    </row>
    <row r="27" spans="1:19" s="1632" customFormat="1">
      <c r="A27" s="1659" t="s">
        <v>2012</v>
      </c>
      <c r="B27" s="1710" t="s">
        <v>2079</v>
      </c>
      <c r="C27" s="1660">
        <v>168</v>
      </c>
      <c r="D27" s="1660">
        <v>179</v>
      </c>
      <c r="E27" s="1660">
        <v>163</v>
      </c>
      <c r="F27" s="1660">
        <f t="shared" si="0"/>
        <v>342</v>
      </c>
      <c r="G27" s="1660">
        <f t="shared" si="1"/>
        <v>2.04</v>
      </c>
      <c r="H27" s="1660">
        <v>155</v>
      </c>
      <c r="I27" s="1660">
        <v>157</v>
      </c>
      <c r="J27" s="1660">
        <v>144</v>
      </c>
      <c r="K27" s="1660">
        <f t="shared" si="2"/>
        <v>301</v>
      </c>
      <c r="L27" s="1660">
        <v>158</v>
      </c>
      <c r="M27" s="1660">
        <v>162</v>
      </c>
      <c r="N27" s="1660">
        <v>144</v>
      </c>
      <c r="O27" s="1661">
        <f t="shared" si="3"/>
        <v>306</v>
      </c>
      <c r="Q27" s="1632">
        <f t="shared" si="5"/>
        <v>13</v>
      </c>
      <c r="R27" s="1614">
        <f t="shared" si="4"/>
        <v>314</v>
      </c>
      <c r="S27" s="1632">
        <f t="shared" si="6"/>
        <v>13</v>
      </c>
    </row>
    <row r="28" spans="1:19" s="1632" customFormat="1">
      <c r="A28" s="1659" t="s">
        <v>2013</v>
      </c>
      <c r="B28" s="1710" t="s">
        <v>2080</v>
      </c>
      <c r="C28" s="1660">
        <v>208</v>
      </c>
      <c r="D28" s="1660">
        <v>192</v>
      </c>
      <c r="E28" s="1660">
        <v>185</v>
      </c>
      <c r="F28" s="1660">
        <f t="shared" si="0"/>
        <v>377</v>
      </c>
      <c r="G28" s="1660">
        <f t="shared" si="1"/>
        <v>1.81</v>
      </c>
      <c r="H28" s="1660">
        <v>202</v>
      </c>
      <c r="I28" s="1660">
        <v>182</v>
      </c>
      <c r="J28" s="1660">
        <v>192</v>
      </c>
      <c r="K28" s="1660">
        <f t="shared" si="2"/>
        <v>374</v>
      </c>
      <c r="L28" s="1660">
        <v>197</v>
      </c>
      <c r="M28" s="1660">
        <v>177</v>
      </c>
      <c r="N28" s="1660">
        <v>187</v>
      </c>
      <c r="O28" s="1661">
        <f t="shared" si="3"/>
        <v>364</v>
      </c>
      <c r="Q28" s="1632">
        <f t="shared" si="5"/>
        <v>16</v>
      </c>
      <c r="R28" s="1614">
        <f t="shared" si="4"/>
        <v>390</v>
      </c>
      <c r="S28" s="1632">
        <f t="shared" si="6"/>
        <v>16</v>
      </c>
    </row>
    <row r="29" spans="1:19" s="1632" customFormat="1">
      <c r="A29" s="1659" t="s">
        <v>2014</v>
      </c>
      <c r="B29" s="1710" t="s">
        <v>2081</v>
      </c>
      <c r="C29" s="1660">
        <v>190</v>
      </c>
      <c r="D29" s="1660">
        <v>207</v>
      </c>
      <c r="E29" s="1660">
        <v>208</v>
      </c>
      <c r="F29" s="1660">
        <f t="shared" si="0"/>
        <v>415</v>
      </c>
      <c r="G29" s="1660">
        <f t="shared" si="1"/>
        <v>2.1800000000000002</v>
      </c>
      <c r="H29" s="1660">
        <v>183</v>
      </c>
      <c r="I29" s="1660">
        <v>202</v>
      </c>
      <c r="J29" s="1660">
        <v>180</v>
      </c>
      <c r="K29" s="1660">
        <f t="shared" si="2"/>
        <v>382</v>
      </c>
      <c r="L29" s="1660">
        <v>190</v>
      </c>
      <c r="M29" s="1660">
        <v>207</v>
      </c>
      <c r="N29" s="1660">
        <v>180</v>
      </c>
      <c r="O29" s="1661">
        <f t="shared" si="3"/>
        <v>387</v>
      </c>
      <c r="Q29" s="1632">
        <f t="shared" si="5"/>
        <v>16</v>
      </c>
      <c r="R29" s="1614">
        <f t="shared" si="4"/>
        <v>398</v>
      </c>
      <c r="S29" s="1632">
        <f t="shared" si="6"/>
        <v>17</v>
      </c>
    </row>
    <row r="30" spans="1:19" s="1632" customFormat="1">
      <c r="A30" s="1659" t="s">
        <v>2015</v>
      </c>
      <c r="B30" s="1710" t="s">
        <v>2082</v>
      </c>
      <c r="C30" s="1660">
        <v>175</v>
      </c>
      <c r="D30" s="1660">
        <v>189</v>
      </c>
      <c r="E30" s="1660">
        <v>175</v>
      </c>
      <c r="F30" s="1660">
        <f t="shared" si="0"/>
        <v>364</v>
      </c>
      <c r="G30" s="1660">
        <f t="shared" si="1"/>
        <v>2.08</v>
      </c>
      <c r="H30" s="1660">
        <v>177</v>
      </c>
      <c r="I30" s="1660">
        <v>191</v>
      </c>
      <c r="J30" s="1660">
        <v>180</v>
      </c>
      <c r="K30" s="1660">
        <f t="shared" si="2"/>
        <v>371</v>
      </c>
      <c r="L30" s="1660">
        <v>175</v>
      </c>
      <c r="M30" s="1660">
        <v>188</v>
      </c>
      <c r="N30" s="1660">
        <v>182</v>
      </c>
      <c r="O30" s="1661">
        <f t="shared" si="3"/>
        <v>370</v>
      </c>
      <c r="Q30" s="1632">
        <f t="shared" si="5"/>
        <v>16</v>
      </c>
      <c r="R30" s="1614">
        <f t="shared" si="4"/>
        <v>387</v>
      </c>
      <c r="S30" s="1632">
        <f t="shared" si="6"/>
        <v>16</v>
      </c>
    </row>
    <row r="31" spans="1:19" s="1632" customFormat="1">
      <c r="A31" s="1659" t="s">
        <v>2016</v>
      </c>
      <c r="B31" s="1710" t="s">
        <v>2083</v>
      </c>
      <c r="C31" s="1660">
        <v>93</v>
      </c>
      <c r="D31" s="1660">
        <v>110</v>
      </c>
      <c r="E31" s="1660">
        <v>101</v>
      </c>
      <c r="F31" s="1660">
        <f t="shared" si="0"/>
        <v>211</v>
      </c>
      <c r="G31" s="1660">
        <f t="shared" si="1"/>
        <v>2.27</v>
      </c>
      <c r="H31" s="1660">
        <v>92</v>
      </c>
      <c r="I31" s="1660">
        <v>106</v>
      </c>
      <c r="J31" s="1660">
        <v>102</v>
      </c>
      <c r="K31" s="1660">
        <f t="shared" si="2"/>
        <v>208</v>
      </c>
      <c r="L31" s="1660">
        <v>86</v>
      </c>
      <c r="M31" s="1660">
        <v>104</v>
      </c>
      <c r="N31" s="1660">
        <v>93</v>
      </c>
      <c r="O31" s="1661">
        <f t="shared" si="3"/>
        <v>197</v>
      </c>
      <c r="Q31" s="1632">
        <f t="shared" si="5"/>
        <v>9</v>
      </c>
      <c r="R31" s="1614">
        <f t="shared" si="4"/>
        <v>217</v>
      </c>
      <c r="S31" s="1632">
        <f t="shared" si="6"/>
        <v>8</v>
      </c>
    </row>
    <row r="32" spans="1:19">
      <c r="A32" s="1654" t="s">
        <v>2046</v>
      </c>
      <c r="B32" s="1707" t="s">
        <v>2084</v>
      </c>
      <c r="C32" s="1662">
        <v>93</v>
      </c>
      <c r="D32" s="1662">
        <v>98</v>
      </c>
      <c r="E32" s="1662">
        <v>99</v>
      </c>
      <c r="F32" s="1662">
        <f t="shared" si="0"/>
        <v>197</v>
      </c>
      <c r="G32" s="1662">
        <f t="shared" si="1"/>
        <v>2.12</v>
      </c>
      <c r="H32" s="1662">
        <v>95</v>
      </c>
      <c r="I32" s="1662">
        <v>98</v>
      </c>
      <c r="J32" s="1662">
        <v>107</v>
      </c>
      <c r="K32" s="1662">
        <f t="shared" si="2"/>
        <v>205</v>
      </c>
      <c r="L32" s="1662">
        <v>94</v>
      </c>
      <c r="M32" s="1662">
        <v>93</v>
      </c>
      <c r="N32" s="1662">
        <v>106</v>
      </c>
      <c r="O32" s="1663">
        <f t="shared" si="3"/>
        <v>199</v>
      </c>
      <c r="Q32" s="1632">
        <f t="shared" si="5"/>
        <v>9</v>
      </c>
      <c r="R32" s="1614">
        <f t="shared" si="4"/>
        <v>214</v>
      </c>
      <c r="S32" s="1632">
        <f t="shared" si="6"/>
        <v>9</v>
      </c>
    </row>
    <row r="33" spans="1:19" s="1632" customFormat="1">
      <c r="A33" s="1659" t="s">
        <v>2047</v>
      </c>
      <c r="B33" s="1710" t="s">
        <v>2085</v>
      </c>
      <c r="C33" s="1660">
        <v>158</v>
      </c>
      <c r="D33" s="1660">
        <v>161</v>
      </c>
      <c r="E33" s="1660">
        <v>139</v>
      </c>
      <c r="F33" s="1660">
        <f t="shared" si="0"/>
        <v>300</v>
      </c>
      <c r="G33" s="1660">
        <f t="shared" si="1"/>
        <v>1.9</v>
      </c>
      <c r="H33" s="1660">
        <v>157</v>
      </c>
      <c r="I33" s="1660">
        <v>164</v>
      </c>
      <c r="J33" s="1660">
        <v>134</v>
      </c>
      <c r="K33" s="1660">
        <f t="shared" si="2"/>
        <v>298</v>
      </c>
      <c r="L33" s="1660">
        <v>161</v>
      </c>
      <c r="M33" s="1660">
        <v>168</v>
      </c>
      <c r="N33" s="1660">
        <v>135</v>
      </c>
      <c r="O33" s="1661">
        <f t="shared" si="3"/>
        <v>303</v>
      </c>
      <c r="Q33" s="1632">
        <f t="shared" si="5"/>
        <v>12</v>
      </c>
      <c r="R33" s="1614">
        <f t="shared" si="4"/>
        <v>310</v>
      </c>
      <c r="S33" s="1632">
        <f t="shared" si="6"/>
        <v>13</v>
      </c>
    </row>
    <row r="34" spans="1:19">
      <c r="A34" s="1654" t="s">
        <v>2048</v>
      </c>
      <c r="B34" s="1707" t="s">
        <v>2086</v>
      </c>
      <c r="C34" s="1662">
        <v>190</v>
      </c>
      <c r="D34" s="1662">
        <v>277</v>
      </c>
      <c r="E34" s="1662">
        <v>245</v>
      </c>
      <c r="F34" s="1662">
        <f t="shared" si="0"/>
        <v>522</v>
      </c>
      <c r="G34" s="1662">
        <f t="shared" si="1"/>
        <v>2.75</v>
      </c>
      <c r="H34" s="1662">
        <v>190</v>
      </c>
      <c r="I34" s="1662">
        <v>259</v>
      </c>
      <c r="J34" s="1662">
        <v>239</v>
      </c>
      <c r="K34" s="1662">
        <f t="shared" si="2"/>
        <v>498</v>
      </c>
      <c r="L34" s="1662">
        <v>189</v>
      </c>
      <c r="M34" s="1662">
        <v>264</v>
      </c>
      <c r="N34" s="1662">
        <v>242</v>
      </c>
      <c r="O34" s="1663">
        <f t="shared" si="3"/>
        <v>506</v>
      </c>
      <c r="Q34" s="1632">
        <f t="shared" si="5"/>
        <v>21</v>
      </c>
      <c r="R34" s="1614">
        <f t="shared" si="4"/>
        <v>519</v>
      </c>
      <c r="S34" s="1632">
        <f t="shared" si="6"/>
        <v>22</v>
      </c>
    </row>
    <row r="35" spans="1:19">
      <c r="A35" s="1654" t="s">
        <v>2049</v>
      </c>
      <c r="B35" s="1707" t="s">
        <v>2087</v>
      </c>
      <c r="C35" s="1662">
        <v>60</v>
      </c>
      <c r="D35" s="1662">
        <v>64</v>
      </c>
      <c r="E35" s="1662">
        <v>70</v>
      </c>
      <c r="F35" s="1662">
        <f t="shared" si="0"/>
        <v>134</v>
      </c>
      <c r="G35" s="1662">
        <f t="shared" si="1"/>
        <v>2.23</v>
      </c>
      <c r="H35" s="1662">
        <v>64</v>
      </c>
      <c r="I35" s="1662">
        <v>69</v>
      </c>
      <c r="J35" s="1662">
        <v>69</v>
      </c>
      <c r="K35" s="1662">
        <f t="shared" si="2"/>
        <v>138</v>
      </c>
      <c r="L35" s="1662">
        <v>67</v>
      </c>
      <c r="M35" s="1662">
        <v>73</v>
      </c>
      <c r="N35" s="1662">
        <v>71</v>
      </c>
      <c r="O35" s="1663">
        <f t="shared" si="3"/>
        <v>144</v>
      </c>
      <c r="Q35" s="1632">
        <f t="shared" si="5"/>
        <v>6</v>
      </c>
      <c r="R35" s="1614">
        <f t="shared" si="4"/>
        <v>144</v>
      </c>
      <c r="S35" s="1632">
        <f t="shared" si="6"/>
        <v>6</v>
      </c>
    </row>
    <row r="36" spans="1:19">
      <c r="A36" s="1654" t="s">
        <v>2050</v>
      </c>
      <c r="B36" s="1707" t="s">
        <v>2088</v>
      </c>
      <c r="C36" s="1662">
        <v>39</v>
      </c>
      <c r="D36" s="1662">
        <v>44</v>
      </c>
      <c r="E36" s="1662">
        <v>44</v>
      </c>
      <c r="F36" s="1662">
        <f t="shared" si="0"/>
        <v>88</v>
      </c>
      <c r="G36" s="1662">
        <f t="shared" si="1"/>
        <v>2.2599999999999998</v>
      </c>
      <c r="H36" s="1662">
        <v>39</v>
      </c>
      <c r="I36" s="1662">
        <v>43</v>
      </c>
      <c r="J36" s="1662">
        <v>43</v>
      </c>
      <c r="K36" s="1662">
        <f t="shared" si="2"/>
        <v>86</v>
      </c>
      <c r="L36" s="1662">
        <v>38</v>
      </c>
      <c r="M36" s="1662">
        <v>44</v>
      </c>
      <c r="N36" s="1662">
        <v>42</v>
      </c>
      <c r="O36" s="1663">
        <f t="shared" si="3"/>
        <v>86</v>
      </c>
      <c r="Q36" s="1632">
        <f t="shared" si="5"/>
        <v>4</v>
      </c>
      <c r="R36" s="1614">
        <f t="shared" si="4"/>
        <v>90</v>
      </c>
      <c r="S36" s="1632">
        <f t="shared" si="6"/>
        <v>4</v>
      </c>
    </row>
    <row r="37" spans="1:19">
      <c r="A37" s="1654" t="s">
        <v>2051</v>
      </c>
      <c r="B37" s="1707" t="s">
        <v>2089</v>
      </c>
      <c r="C37" s="1662">
        <v>101</v>
      </c>
      <c r="D37" s="1662">
        <v>144</v>
      </c>
      <c r="E37" s="1662">
        <v>133</v>
      </c>
      <c r="F37" s="1662">
        <f t="shared" si="0"/>
        <v>277</v>
      </c>
      <c r="G37" s="1662">
        <f t="shared" si="1"/>
        <v>2.74</v>
      </c>
      <c r="H37" s="1662">
        <v>99</v>
      </c>
      <c r="I37" s="1662">
        <v>145</v>
      </c>
      <c r="J37" s="1662">
        <v>127</v>
      </c>
      <c r="K37" s="1662">
        <f t="shared" si="2"/>
        <v>272</v>
      </c>
      <c r="L37" s="1662">
        <v>99</v>
      </c>
      <c r="M37" s="1662">
        <v>145</v>
      </c>
      <c r="N37" s="1662">
        <v>127</v>
      </c>
      <c r="O37" s="1663">
        <f t="shared" si="3"/>
        <v>272</v>
      </c>
      <c r="Q37" s="1632">
        <f t="shared" si="5"/>
        <v>11</v>
      </c>
      <c r="R37" s="1614">
        <f t="shared" si="4"/>
        <v>283</v>
      </c>
      <c r="S37" s="1632">
        <f t="shared" si="6"/>
        <v>12</v>
      </c>
    </row>
    <row r="38" spans="1:19">
      <c r="A38" s="1654" t="s">
        <v>2052</v>
      </c>
      <c r="B38" s="1707" t="s">
        <v>2090</v>
      </c>
      <c r="C38" s="1662">
        <v>40</v>
      </c>
      <c r="D38" s="1662">
        <v>43</v>
      </c>
      <c r="E38" s="1662">
        <v>46</v>
      </c>
      <c r="F38" s="1662">
        <f t="shared" si="0"/>
        <v>89</v>
      </c>
      <c r="G38" s="1662">
        <f t="shared" si="1"/>
        <v>2.23</v>
      </c>
      <c r="H38" s="1662">
        <v>38</v>
      </c>
      <c r="I38" s="1662">
        <v>42</v>
      </c>
      <c r="J38" s="1662">
        <v>44</v>
      </c>
      <c r="K38" s="1662">
        <f t="shared" si="2"/>
        <v>86</v>
      </c>
      <c r="L38" s="1662">
        <v>36</v>
      </c>
      <c r="M38" s="1662">
        <v>38</v>
      </c>
      <c r="N38" s="1662">
        <v>42</v>
      </c>
      <c r="O38" s="1663">
        <f t="shared" si="3"/>
        <v>80</v>
      </c>
      <c r="Q38" s="1632">
        <f t="shared" si="5"/>
        <v>4</v>
      </c>
      <c r="R38" s="1614">
        <f t="shared" si="4"/>
        <v>90</v>
      </c>
      <c r="S38" s="1632">
        <f t="shared" si="6"/>
        <v>3</v>
      </c>
    </row>
    <row r="39" spans="1:19">
      <c r="A39" s="1654" t="s">
        <v>2053</v>
      </c>
      <c r="B39" s="1707" t="s">
        <v>2091</v>
      </c>
      <c r="C39" s="1662">
        <v>496</v>
      </c>
      <c r="D39" s="1662">
        <v>584</v>
      </c>
      <c r="E39" s="1662">
        <v>604</v>
      </c>
      <c r="F39" s="1662">
        <f t="shared" si="0"/>
        <v>1188</v>
      </c>
      <c r="G39" s="1662">
        <f t="shared" si="1"/>
        <v>2.4</v>
      </c>
      <c r="H39" s="1662">
        <v>485</v>
      </c>
      <c r="I39" s="1662">
        <v>595</v>
      </c>
      <c r="J39" s="1662">
        <v>591</v>
      </c>
      <c r="K39" s="1662">
        <f t="shared" si="2"/>
        <v>1186</v>
      </c>
      <c r="L39" s="1662">
        <v>490</v>
      </c>
      <c r="M39" s="1662">
        <v>591</v>
      </c>
      <c r="N39" s="1662">
        <v>583</v>
      </c>
      <c r="O39" s="1663">
        <f t="shared" si="3"/>
        <v>1174</v>
      </c>
      <c r="Q39" s="1632">
        <f>ROUND(K39/$K$3*$Q$3,0)-1</f>
        <v>49</v>
      </c>
      <c r="R39" s="1614">
        <f t="shared" si="4"/>
        <v>1235</v>
      </c>
      <c r="S39" s="1632">
        <f t="shared" si="6"/>
        <v>51</v>
      </c>
    </row>
    <row r="40" spans="1:19">
      <c r="A40" s="1654" t="s">
        <v>2054</v>
      </c>
      <c r="B40" s="1707" t="s">
        <v>2092</v>
      </c>
      <c r="C40" s="1662">
        <v>40</v>
      </c>
      <c r="D40" s="1662">
        <v>44</v>
      </c>
      <c r="E40" s="1662">
        <v>43</v>
      </c>
      <c r="F40" s="1662">
        <f t="shared" si="0"/>
        <v>87</v>
      </c>
      <c r="G40" s="1662">
        <f t="shared" si="1"/>
        <v>2.1800000000000002</v>
      </c>
      <c r="H40" s="1662">
        <v>38</v>
      </c>
      <c r="I40" s="1662">
        <v>41</v>
      </c>
      <c r="J40" s="1662">
        <v>37</v>
      </c>
      <c r="K40" s="1662">
        <f t="shared" si="2"/>
        <v>78</v>
      </c>
      <c r="L40" s="1662">
        <v>38</v>
      </c>
      <c r="M40" s="1662">
        <v>42</v>
      </c>
      <c r="N40" s="1662">
        <v>36</v>
      </c>
      <c r="O40" s="1663">
        <f t="shared" si="3"/>
        <v>78</v>
      </c>
      <c r="Q40" s="1632">
        <f t="shared" si="5"/>
        <v>3</v>
      </c>
      <c r="R40" s="1614">
        <f t="shared" si="4"/>
        <v>81</v>
      </c>
      <c r="S40" s="1632">
        <f t="shared" si="6"/>
        <v>3</v>
      </c>
    </row>
    <row r="41" spans="1:19">
      <c r="A41" s="1654" t="s">
        <v>2055</v>
      </c>
      <c r="B41" s="1707" t="s">
        <v>2093</v>
      </c>
      <c r="C41" s="1662">
        <v>610</v>
      </c>
      <c r="D41" s="1662">
        <v>579</v>
      </c>
      <c r="E41" s="1662">
        <v>629</v>
      </c>
      <c r="F41" s="1662">
        <f t="shared" si="0"/>
        <v>1208</v>
      </c>
      <c r="G41" s="1662">
        <f t="shared" si="1"/>
        <v>1.98</v>
      </c>
      <c r="H41" s="1662">
        <v>604</v>
      </c>
      <c r="I41" s="1662">
        <v>543</v>
      </c>
      <c r="J41" s="1662">
        <v>620</v>
      </c>
      <c r="K41" s="1662">
        <f t="shared" si="2"/>
        <v>1163</v>
      </c>
      <c r="L41" s="1662">
        <v>599</v>
      </c>
      <c r="M41" s="1662">
        <v>530</v>
      </c>
      <c r="N41" s="1662">
        <v>612</v>
      </c>
      <c r="O41" s="1663">
        <f t="shared" si="3"/>
        <v>1142</v>
      </c>
      <c r="Q41" s="1632">
        <f t="shared" si="5"/>
        <v>49</v>
      </c>
      <c r="R41" s="1614">
        <f t="shared" si="4"/>
        <v>1212</v>
      </c>
      <c r="S41" s="1632">
        <f t="shared" si="6"/>
        <v>49</v>
      </c>
    </row>
    <row r="42" spans="1:19">
      <c r="A42" s="1664" t="s">
        <v>1952</v>
      </c>
      <c r="B42" s="1711"/>
      <c r="C42" s="1665">
        <v>1</v>
      </c>
      <c r="D42" s="1665">
        <v>1</v>
      </c>
      <c r="E42" s="1665">
        <v>0</v>
      </c>
      <c r="F42" s="1665">
        <f t="shared" si="0"/>
        <v>1</v>
      </c>
      <c r="G42" s="1665">
        <f t="shared" si="1"/>
        <v>1</v>
      </c>
      <c r="H42" s="1665">
        <v>2</v>
      </c>
      <c r="I42" s="1665">
        <v>2</v>
      </c>
      <c r="J42" s="1665">
        <v>1</v>
      </c>
      <c r="K42" s="1665">
        <f t="shared" si="2"/>
        <v>3</v>
      </c>
      <c r="L42" s="1665"/>
      <c r="M42" s="1665"/>
      <c r="N42" s="1665"/>
      <c r="O42" s="1666"/>
      <c r="Q42" s="1632">
        <f t="shared" si="5"/>
        <v>0</v>
      </c>
      <c r="R42" s="1614">
        <f t="shared" si="4"/>
        <v>3</v>
      </c>
      <c r="S42" s="1632">
        <f t="shared" si="6"/>
        <v>0</v>
      </c>
    </row>
  </sheetData>
  <mergeCells count="3">
    <mergeCell ref="C1:G1"/>
    <mergeCell ref="H1:K1"/>
    <mergeCell ref="L1:O1"/>
  </mergeCells>
  <phoneticPr fontId="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CX230"/>
  <sheetViews>
    <sheetView view="pageBreakPreview" zoomScaleNormal="100" zoomScaleSheetLayoutView="100" workbookViewId="0">
      <selection activeCell="A3" sqref="A3:F3"/>
    </sheetView>
  </sheetViews>
  <sheetFormatPr defaultRowHeight="14.85" customHeight="1"/>
  <cols>
    <col min="1" max="2" width="12.125" style="325" customWidth="1"/>
    <col min="3" max="5" width="13" style="326" customWidth="1"/>
    <col min="6" max="6" width="12.875" style="326" customWidth="1"/>
    <col min="7" max="7" width="13" style="326" customWidth="1"/>
    <col min="8" max="8" width="13.125" style="326" customWidth="1"/>
    <col min="9" max="10" width="12.125" style="326" customWidth="1"/>
    <col min="11" max="11" width="14.375" style="326" bestFit="1" customWidth="1"/>
    <col min="12" max="12" width="11" style="326" customWidth="1"/>
    <col min="13" max="13" width="10" style="326" customWidth="1"/>
    <col min="14" max="14" width="10.875" style="326" customWidth="1"/>
    <col min="15" max="15" width="13.75" style="326" customWidth="1"/>
    <col min="16" max="16" width="10" style="326" customWidth="1"/>
    <col min="17" max="17" width="13.25" style="326" customWidth="1"/>
    <col min="18" max="18" width="14.375" style="326" customWidth="1"/>
    <col min="19" max="19" width="10" style="326" customWidth="1"/>
    <col min="20" max="20" width="10.875" style="326" customWidth="1"/>
    <col min="21" max="21" width="11.375" style="326" customWidth="1"/>
    <col min="22" max="22" width="15.375" style="326" customWidth="1"/>
    <col min="23" max="24" width="10.75" style="326" customWidth="1"/>
    <col min="25" max="25" width="14.375" style="326" customWidth="1"/>
    <col min="26" max="26" width="10.75" style="326" customWidth="1"/>
    <col min="27" max="27" width="11.75" style="326" customWidth="1"/>
    <col min="28" max="28" width="10" style="326" customWidth="1"/>
    <col min="29" max="29" width="15.375" style="326" customWidth="1"/>
    <col min="30" max="30" width="10" style="326" customWidth="1"/>
    <col min="31" max="31" width="10.75" style="326" customWidth="1"/>
    <col min="32" max="32" width="14.875" style="326" customWidth="1"/>
    <col min="33" max="33" width="11.5" style="326" customWidth="1"/>
    <col min="34" max="34" width="10" style="326" customWidth="1"/>
    <col min="35" max="35" width="10.75" style="326" customWidth="1"/>
    <col min="36" max="36" width="13.5" style="326" customWidth="1"/>
    <col min="37" max="37" width="9" style="326"/>
    <col min="38" max="38" width="10.75" style="326" bestFit="1" customWidth="1"/>
    <col min="39" max="39" width="13.75" style="326" customWidth="1"/>
    <col min="40" max="40" width="9" style="326"/>
    <col min="41" max="41" width="10.625" style="326" customWidth="1"/>
    <col min="42" max="42" width="9" style="326"/>
    <col min="43" max="43" width="14.25" style="326" customWidth="1"/>
    <col min="44" max="44" width="10.75" style="326" bestFit="1" customWidth="1"/>
    <col min="45" max="45" width="11.625" style="326" customWidth="1"/>
    <col min="46" max="46" width="13.75" style="326" customWidth="1"/>
    <col min="47" max="47" width="10.625" style="326" customWidth="1"/>
    <col min="48" max="49" width="9" style="326"/>
    <col min="50" max="50" width="14.125" style="326" customWidth="1"/>
    <col min="51" max="51" width="11" style="326" customWidth="1"/>
    <col min="52" max="52" width="10.75" style="326" bestFit="1" customWidth="1"/>
    <col min="53" max="53" width="13.5" style="326" customWidth="1"/>
    <col min="54" max="55" width="9" style="326"/>
    <col min="56" max="56" width="10.75" style="326" bestFit="1" customWidth="1"/>
    <col min="57" max="57" width="14" style="326" customWidth="1"/>
    <col min="58" max="58" width="9" style="326"/>
    <col min="59" max="59" width="10.75" style="326" customWidth="1"/>
    <col min="60" max="60" width="12.75" style="326" customWidth="1"/>
    <col min="61" max="61" width="9" style="326"/>
    <col min="62" max="62" width="10.75" style="326" bestFit="1" customWidth="1"/>
    <col min="63" max="63" width="11.5" style="326" customWidth="1"/>
    <col min="64" max="64" width="13.625" style="326" customWidth="1"/>
    <col min="65" max="65" width="10.625" style="326" customWidth="1"/>
    <col min="66" max="66" width="10.75" style="326" bestFit="1" customWidth="1"/>
    <col min="67" max="67" width="12.375" style="326" customWidth="1"/>
    <col min="68" max="70" width="9" style="326"/>
    <col min="71" max="71" width="15.75" style="326" customWidth="1"/>
    <col min="72" max="72" width="9" style="326"/>
    <col min="73" max="73" width="10.75" style="326" bestFit="1" customWidth="1"/>
    <col min="74" max="74" width="12.625" style="326" customWidth="1"/>
    <col min="75" max="77" width="9" style="326"/>
    <col min="78" max="78" width="13.625" style="326" customWidth="1"/>
    <col min="79" max="79" width="9" style="326"/>
    <col min="80" max="80" width="10.75" style="326" bestFit="1" customWidth="1"/>
    <col min="81" max="81" width="12.5" style="326" customWidth="1"/>
    <col min="82" max="84" width="9" style="326"/>
    <col min="85" max="85" width="12.875" style="326" customWidth="1"/>
    <col min="86" max="86" width="9" style="326"/>
    <col min="87" max="87" width="10.75" style="326" bestFit="1" customWidth="1"/>
    <col min="88" max="88" width="13.875" style="326" customWidth="1"/>
    <col min="89" max="91" width="9" style="326"/>
    <col min="92" max="92" width="14.125" style="326" customWidth="1"/>
    <col min="93" max="93" width="9" style="326"/>
    <col min="94" max="94" width="10.75" style="326" bestFit="1" customWidth="1"/>
    <col min="95" max="95" width="13.25" style="326" customWidth="1"/>
    <col min="96" max="98" width="9" style="326"/>
    <col min="99" max="99" width="13.25" style="326" customWidth="1"/>
    <col min="100" max="100" width="9" style="326"/>
    <col min="101" max="101" width="10.75" style="326" bestFit="1" customWidth="1"/>
    <col min="102" max="102" width="13.875" style="326" customWidth="1"/>
    <col min="103" max="250" width="9" style="326"/>
    <col min="251" max="252" width="12.125" style="326" customWidth="1"/>
    <col min="253" max="255" width="13" style="326" customWidth="1"/>
    <col min="256" max="256" width="12.875" style="326" customWidth="1"/>
    <col min="257" max="257" width="13" style="326" customWidth="1"/>
    <col min="258" max="258" width="13.125" style="326" customWidth="1"/>
    <col min="259" max="260" width="12.125" style="326" customWidth="1"/>
    <col min="261" max="261" width="14.375" style="326" bestFit="1" customWidth="1"/>
    <col min="262" max="262" width="11" style="326" customWidth="1"/>
    <col min="263" max="263" width="10" style="326" customWidth="1"/>
    <col min="264" max="264" width="10.875" style="326" customWidth="1"/>
    <col min="265" max="265" width="13.75" style="326" customWidth="1"/>
    <col min="266" max="266" width="10" style="326" customWidth="1"/>
    <col min="267" max="267" width="13.25" style="326" customWidth="1"/>
    <col min="268" max="268" width="14.375" style="326" customWidth="1"/>
    <col min="269" max="269" width="10" style="326" customWidth="1"/>
    <col min="270" max="270" width="10.875" style="326" customWidth="1"/>
    <col min="271" max="271" width="11.375" style="326" customWidth="1"/>
    <col min="272" max="272" width="15.375" style="326" customWidth="1"/>
    <col min="273" max="274" width="10.75" style="326" customWidth="1"/>
    <col min="275" max="275" width="14.375" style="326" customWidth="1"/>
    <col min="276" max="276" width="10.75" style="326" customWidth="1"/>
    <col min="277" max="277" width="11.75" style="326" customWidth="1"/>
    <col min="278" max="278" width="10" style="326" customWidth="1"/>
    <col min="279" max="279" width="15.375" style="326" customWidth="1"/>
    <col min="280" max="280" width="10" style="326" customWidth="1"/>
    <col min="281" max="281" width="10.75" style="326" customWidth="1"/>
    <col min="282" max="282" width="14.875" style="326" customWidth="1"/>
    <col min="283" max="283" width="11.5" style="326" customWidth="1"/>
    <col min="284" max="284" width="10" style="326" customWidth="1"/>
    <col min="285" max="285" width="10.75" style="326" customWidth="1"/>
    <col min="286" max="286" width="13.5" style="326" customWidth="1"/>
    <col min="287" max="287" width="9" style="326"/>
    <col min="288" max="288" width="10.75" style="326" bestFit="1" customWidth="1"/>
    <col min="289" max="289" width="13.75" style="326" customWidth="1"/>
    <col min="290" max="290" width="9" style="326"/>
    <col min="291" max="291" width="10.625" style="326" customWidth="1"/>
    <col min="292" max="292" width="9" style="326"/>
    <col min="293" max="293" width="14.25" style="326" customWidth="1"/>
    <col min="294" max="294" width="10.75" style="326" bestFit="1" customWidth="1"/>
    <col min="295" max="295" width="11.625" style="326" customWidth="1"/>
    <col min="296" max="296" width="13.75" style="326" customWidth="1"/>
    <col min="297" max="297" width="10.625" style="326" customWidth="1"/>
    <col min="298" max="299" width="9" style="326"/>
    <col min="300" max="300" width="14.125" style="326" customWidth="1"/>
    <col min="301" max="301" width="11" style="326" customWidth="1"/>
    <col min="302" max="302" width="10.75" style="326" bestFit="1" customWidth="1"/>
    <col min="303" max="303" width="13.5" style="326" customWidth="1"/>
    <col min="304" max="305" width="9" style="326"/>
    <col min="306" max="306" width="10.75" style="326" bestFit="1" customWidth="1"/>
    <col min="307" max="307" width="14" style="326" customWidth="1"/>
    <col min="308" max="308" width="9" style="326"/>
    <col min="309" max="309" width="10.75" style="326" customWidth="1"/>
    <col min="310" max="310" width="12.75" style="326" customWidth="1"/>
    <col min="311" max="311" width="9" style="326"/>
    <col min="312" max="312" width="10.75" style="326" bestFit="1" customWidth="1"/>
    <col min="313" max="313" width="11.5" style="326" customWidth="1"/>
    <col min="314" max="314" width="13.625" style="326" customWidth="1"/>
    <col min="315" max="315" width="10.625" style="326" customWidth="1"/>
    <col min="316" max="316" width="10.75" style="326" bestFit="1" customWidth="1"/>
    <col min="317" max="317" width="12.375" style="326" customWidth="1"/>
    <col min="318" max="320" width="9" style="326"/>
    <col min="321" max="321" width="15.75" style="326" customWidth="1"/>
    <col min="322" max="322" width="9" style="326"/>
    <col min="323" max="323" width="10.75" style="326" bestFit="1" customWidth="1"/>
    <col min="324" max="324" width="12.625" style="326" customWidth="1"/>
    <col min="325" max="327" width="9" style="326"/>
    <col min="328" max="328" width="13.625" style="326" customWidth="1"/>
    <col min="329" max="329" width="9" style="326"/>
    <col min="330" max="330" width="10.75" style="326" bestFit="1" customWidth="1"/>
    <col min="331" max="331" width="12.5" style="326" customWidth="1"/>
    <col min="332" max="334" width="9" style="326"/>
    <col min="335" max="335" width="12.875" style="326" customWidth="1"/>
    <col min="336" max="336" width="9" style="326"/>
    <col min="337" max="337" width="10.75" style="326" bestFit="1" customWidth="1"/>
    <col min="338" max="338" width="13.875" style="326" customWidth="1"/>
    <col min="339" max="341" width="9" style="326"/>
    <col min="342" max="342" width="14.125" style="326" customWidth="1"/>
    <col min="343" max="343" width="9" style="326"/>
    <col min="344" max="344" width="10.75" style="326" bestFit="1" customWidth="1"/>
    <col min="345" max="345" width="13.25" style="326" customWidth="1"/>
    <col min="346" max="348" width="9" style="326"/>
    <col min="349" max="349" width="13.25" style="326" customWidth="1"/>
    <col min="350" max="350" width="9" style="326"/>
    <col min="351" max="351" width="10.75" style="326" bestFit="1" customWidth="1"/>
    <col min="352" max="352" width="13.875" style="326" customWidth="1"/>
    <col min="353" max="355" width="9" style="326"/>
    <col min="356" max="356" width="13.625" style="326" customWidth="1"/>
    <col min="357" max="357" width="9" style="326"/>
    <col min="358" max="358" width="10.75" style="326" bestFit="1" customWidth="1"/>
    <col min="359" max="359" width="13" style="326" customWidth="1"/>
    <col min="360" max="506" width="9" style="326"/>
    <col min="507" max="508" width="12.125" style="326" customWidth="1"/>
    <col min="509" max="511" width="13" style="326" customWidth="1"/>
    <col min="512" max="512" width="12.875" style="326" customWidth="1"/>
    <col min="513" max="513" width="13" style="326" customWidth="1"/>
    <col min="514" max="514" width="13.125" style="326" customWidth="1"/>
    <col min="515" max="516" width="12.125" style="326" customWidth="1"/>
    <col min="517" max="517" width="14.375" style="326" bestFit="1" customWidth="1"/>
    <col min="518" max="518" width="11" style="326" customWidth="1"/>
    <col min="519" max="519" width="10" style="326" customWidth="1"/>
    <col min="520" max="520" width="10.875" style="326" customWidth="1"/>
    <col min="521" max="521" width="13.75" style="326" customWidth="1"/>
    <col min="522" max="522" width="10" style="326" customWidth="1"/>
    <col min="523" max="523" width="13.25" style="326" customWidth="1"/>
    <col min="524" max="524" width="14.375" style="326" customWidth="1"/>
    <col min="525" max="525" width="10" style="326" customWidth="1"/>
    <col min="526" max="526" width="10.875" style="326" customWidth="1"/>
    <col min="527" max="527" width="11.375" style="326" customWidth="1"/>
    <col min="528" max="528" width="15.375" style="326" customWidth="1"/>
    <col min="529" max="530" width="10.75" style="326" customWidth="1"/>
    <col min="531" max="531" width="14.375" style="326" customWidth="1"/>
    <col min="532" max="532" width="10.75" style="326" customWidth="1"/>
    <col min="533" max="533" width="11.75" style="326" customWidth="1"/>
    <col min="534" max="534" width="10" style="326" customWidth="1"/>
    <col min="535" max="535" width="15.375" style="326" customWidth="1"/>
    <col min="536" max="536" width="10" style="326" customWidth="1"/>
    <col min="537" max="537" width="10.75" style="326" customWidth="1"/>
    <col min="538" max="538" width="14.875" style="326" customWidth="1"/>
    <col min="539" max="539" width="11.5" style="326" customWidth="1"/>
    <col min="540" max="540" width="10" style="326" customWidth="1"/>
    <col min="541" max="541" width="10.75" style="326" customWidth="1"/>
    <col min="542" max="542" width="13.5" style="326" customWidth="1"/>
    <col min="543" max="543" width="9" style="326"/>
    <col min="544" max="544" width="10.75" style="326" bestFit="1" customWidth="1"/>
    <col min="545" max="545" width="13.75" style="326" customWidth="1"/>
    <col min="546" max="546" width="9" style="326"/>
    <col min="547" max="547" width="10.625" style="326" customWidth="1"/>
    <col min="548" max="548" width="9" style="326"/>
    <col min="549" max="549" width="14.25" style="326" customWidth="1"/>
    <col min="550" max="550" width="10.75" style="326" bestFit="1" customWidth="1"/>
    <col min="551" max="551" width="11.625" style="326" customWidth="1"/>
    <col min="552" max="552" width="13.75" style="326" customWidth="1"/>
    <col min="553" max="553" width="10.625" style="326" customWidth="1"/>
    <col min="554" max="555" width="9" style="326"/>
    <col min="556" max="556" width="14.125" style="326" customWidth="1"/>
    <col min="557" max="557" width="11" style="326" customWidth="1"/>
    <col min="558" max="558" width="10.75" style="326" bestFit="1" customWidth="1"/>
    <col min="559" max="559" width="13.5" style="326" customWidth="1"/>
    <col min="560" max="561" width="9" style="326"/>
    <col min="562" max="562" width="10.75" style="326" bestFit="1" customWidth="1"/>
    <col min="563" max="563" width="14" style="326" customWidth="1"/>
    <col min="564" max="564" width="9" style="326"/>
    <col min="565" max="565" width="10.75" style="326" customWidth="1"/>
    <col min="566" max="566" width="12.75" style="326" customWidth="1"/>
    <col min="567" max="567" width="9" style="326"/>
    <col min="568" max="568" width="10.75" style="326" bestFit="1" customWidth="1"/>
    <col min="569" max="569" width="11.5" style="326" customWidth="1"/>
    <col min="570" max="570" width="13.625" style="326" customWidth="1"/>
    <col min="571" max="571" width="10.625" style="326" customWidth="1"/>
    <col min="572" max="572" width="10.75" style="326" bestFit="1" customWidth="1"/>
    <col min="573" max="573" width="12.375" style="326" customWidth="1"/>
    <col min="574" max="576" width="9" style="326"/>
    <col min="577" max="577" width="15.75" style="326" customWidth="1"/>
    <col min="578" max="578" width="9" style="326"/>
    <col min="579" max="579" width="10.75" style="326" bestFit="1" customWidth="1"/>
    <col min="580" max="580" width="12.625" style="326" customWidth="1"/>
    <col min="581" max="583" width="9" style="326"/>
    <col min="584" max="584" width="13.625" style="326" customWidth="1"/>
    <col min="585" max="585" width="9" style="326"/>
    <col min="586" max="586" width="10.75" style="326" bestFit="1" customWidth="1"/>
    <col min="587" max="587" width="12.5" style="326" customWidth="1"/>
    <col min="588" max="590" width="9" style="326"/>
    <col min="591" max="591" width="12.875" style="326" customWidth="1"/>
    <col min="592" max="592" width="9" style="326"/>
    <col min="593" max="593" width="10.75" style="326" bestFit="1" customWidth="1"/>
    <col min="594" max="594" width="13.875" style="326" customWidth="1"/>
    <col min="595" max="597" width="9" style="326"/>
    <col min="598" max="598" width="14.125" style="326" customWidth="1"/>
    <col min="599" max="599" width="9" style="326"/>
    <col min="600" max="600" width="10.75" style="326" bestFit="1" customWidth="1"/>
    <col min="601" max="601" width="13.25" style="326" customWidth="1"/>
    <col min="602" max="604" width="9" style="326"/>
    <col min="605" max="605" width="13.25" style="326" customWidth="1"/>
    <col min="606" max="606" width="9" style="326"/>
    <col min="607" max="607" width="10.75" style="326" bestFit="1" customWidth="1"/>
    <col min="608" max="608" width="13.875" style="326" customWidth="1"/>
    <col min="609" max="611" width="9" style="326"/>
    <col min="612" max="612" width="13.625" style="326" customWidth="1"/>
    <col min="613" max="613" width="9" style="326"/>
    <col min="614" max="614" width="10.75" style="326" bestFit="1" customWidth="1"/>
    <col min="615" max="615" width="13" style="326" customWidth="1"/>
    <col min="616" max="762" width="9" style="326"/>
    <col min="763" max="764" width="12.125" style="326" customWidth="1"/>
    <col min="765" max="767" width="13" style="326" customWidth="1"/>
    <col min="768" max="768" width="12.875" style="326" customWidth="1"/>
    <col min="769" max="769" width="13" style="326" customWidth="1"/>
    <col min="770" max="770" width="13.125" style="326" customWidth="1"/>
    <col min="771" max="772" width="12.125" style="326" customWidth="1"/>
    <col min="773" max="773" width="14.375" style="326" bestFit="1" customWidth="1"/>
    <col min="774" max="774" width="11" style="326" customWidth="1"/>
    <col min="775" max="775" width="10" style="326" customWidth="1"/>
    <col min="776" max="776" width="10.875" style="326" customWidth="1"/>
    <col min="777" max="777" width="13.75" style="326" customWidth="1"/>
    <col min="778" max="778" width="10" style="326" customWidth="1"/>
    <col min="779" max="779" width="13.25" style="326" customWidth="1"/>
    <col min="780" max="780" width="14.375" style="326" customWidth="1"/>
    <col min="781" max="781" width="10" style="326" customWidth="1"/>
    <col min="782" max="782" width="10.875" style="326" customWidth="1"/>
    <col min="783" max="783" width="11.375" style="326" customWidth="1"/>
    <col min="784" max="784" width="15.375" style="326" customWidth="1"/>
    <col min="785" max="786" width="10.75" style="326" customWidth="1"/>
    <col min="787" max="787" width="14.375" style="326" customWidth="1"/>
    <col min="788" max="788" width="10.75" style="326" customWidth="1"/>
    <col min="789" max="789" width="11.75" style="326" customWidth="1"/>
    <col min="790" max="790" width="10" style="326" customWidth="1"/>
    <col min="791" max="791" width="15.375" style="326" customWidth="1"/>
    <col min="792" max="792" width="10" style="326" customWidth="1"/>
    <col min="793" max="793" width="10.75" style="326" customWidth="1"/>
    <col min="794" max="794" width="14.875" style="326" customWidth="1"/>
    <col min="795" max="795" width="11.5" style="326" customWidth="1"/>
    <col min="796" max="796" width="10" style="326" customWidth="1"/>
    <col min="797" max="797" width="10.75" style="326" customWidth="1"/>
    <col min="798" max="798" width="13.5" style="326" customWidth="1"/>
    <col min="799" max="799" width="9" style="326"/>
    <col min="800" max="800" width="10.75" style="326" bestFit="1" customWidth="1"/>
    <col min="801" max="801" width="13.75" style="326" customWidth="1"/>
    <col min="802" max="802" width="9" style="326"/>
    <col min="803" max="803" width="10.625" style="326" customWidth="1"/>
    <col min="804" max="804" width="9" style="326"/>
    <col min="805" max="805" width="14.25" style="326" customWidth="1"/>
    <col min="806" max="806" width="10.75" style="326" bestFit="1" customWidth="1"/>
    <col min="807" max="807" width="11.625" style="326" customWidth="1"/>
    <col min="808" max="808" width="13.75" style="326" customWidth="1"/>
    <col min="809" max="809" width="10.625" style="326" customWidth="1"/>
    <col min="810" max="811" width="9" style="326"/>
    <col min="812" max="812" width="14.125" style="326" customWidth="1"/>
    <col min="813" max="813" width="11" style="326" customWidth="1"/>
    <col min="814" max="814" width="10.75" style="326" bestFit="1" customWidth="1"/>
    <col min="815" max="815" width="13.5" style="326" customWidth="1"/>
    <col min="816" max="817" width="9" style="326"/>
    <col min="818" max="818" width="10.75" style="326" bestFit="1" customWidth="1"/>
    <col min="819" max="819" width="14" style="326" customWidth="1"/>
    <col min="820" max="820" width="9" style="326"/>
    <col min="821" max="821" width="10.75" style="326" customWidth="1"/>
    <col min="822" max="822" width="12.75" style="326" customWidth="1"/>
    <col min="823" max="823" width="9" style="326"/>
    <col min="824" max="824" width="10.75" style="326" bestFit="1" customWidth="1"/>
    <col min="825" max="825" width="11.5" style="326" customWidth="1"/>
    <col min="826" max="826" width="13.625" style="326" customWidth="1"/>
    <col min="827" max="827" width="10.625" style="326" customWidth="1"/>
    <col min="828" max="828" width="10.75" style="326" bestFit="1" customWidth="1"/>
    <col min="829" max="829" width="12.375" style="326" customWidth="1"/>
    <col min="830" max="832" width="9" style="326"/>
    <col min="833" max="833" width="15.75" style="326" customWidth="1"/>
    <col min="834" max="834" width="9" style="326"/>
    <col min="835" max="835" width="10.75" style="326" bestFit="1" customWidth="1"/>
    <col min="836" max="836" width="12.625" style="326" customWidth="1"/>
    <col min="837" max="839" width="9" style="326"/>
    <col min="840" max="840" width="13.625" style="326" customWidth="1"/>
    <col min="841" max="841" width="9" style="326"/>
    <col min="842" max="842" width="10.75" style="326" bestFit="1" customWidth="1"/>
    <col min="843" max="843" width="12.5" style="326" customWidth="1"/>
    <col min="844" max="846" width="9" style="326"/>
    <col min="847" max="847" width="12.875" style="326" customWidth="1"/>
    <col min="848" max="848" width="9" style="326"/>
    <col min="849" max="849" width="10.75" style="326" bestFit="1" customWidth="1"/>
    <col min="850" max="850" width="13.875" style="326" customWidth="1"/>
    <col min="851" max="853" width="9" style="326"/>
    <col min="854" max="854" width="14.125" style="326" customWidth="1"/>
    <col min="855" max="855" width="9" style="326"/>
    <col min="856" max="856" width="10.75" style="326" bestFit="1" customWidth="1"/>
    <col min="857" max="857" width="13.25" style="326" customWidth="1"/>
    <col min="858" max="860" width="9" style="326"/>
    <col min="861" max="861" width="13.25" style="326" customWidth="1"/>
    <col min="862" max="862" width="9" style="326"/>
    <col min="863" max="863" width="10.75" style="326" bestFit="1" customWidth="1"/>
    <col min="864" max="864" width="13.875" style="326" customWidth="1"/>
    <col min="865" max="867" width="9" style="326"/>
    <col min="868" max="868" width="13.625" style="326" customWidth="1"/>
    <col min="869" max="869" width="9" style="326"/>
    <col min="870" max="870" width="10.75" style="326" bestFit="1" customWidth="1"/>
    <col min="871" max="871" width="13" style="326" customWidth="1"/>
    <col min="872" max="1018" width="9" style="326"/>
    <col min="1019" max="1020" width="12.125" style="326" customWidth="1"/>
    <col min="1021" max="1023" width="13" style="326" customWidth="1"/>
    <col min="1024" max="1024" width="12.875" style="326" customWidth="1"/>
    <col min="1025" max="1025" width="13" style="326" customWidth="1"/>
    <col min="1026" max="1026" width="13.125" style="326" customWidth="1"/>
    <col min="1027" max="1028" width="12.125" style="326" customWidth="1"/>
    <col min="1029" max="1029" width="14.375" style="326" bestFit="1" customWidth="1"/>
    <col min="1030" max="1030" width="11" style="326" customWidth="1"/>
    <col min="1031" max="1031" width="10" style="326" customWidth="1"/>
    <col min="1032" max="1032" width="10.875" style="326" customWidth="1"/>
    <col min="1033" max="1033" width="13.75" style="326" customWidth="1"/>
    <col min="1034" max="1034" width="10" style="326" customWidth="1"/>
    <col min="1035" max="1035" width="13.25" style="326" customWidth="1"/>
    <col min="1036" max="1036" width="14.375" style="326" customWidth="1"/>
    <col min="1037" max="1037" width="10" style="326" customWidth="1"/>
    <col min="1038" max="1038" width="10.875" style="326" customWidth="1"/>
    <col min="1039" max="1039" width="11.375" style="326" customWidth="1"/>
    <col min="1040" max="1040" width="15.375" style="326" customWidth="1"/>
    <col min="1041" max="1042" width="10.75" style="326" customWidth="1"/>
    <col min="1043" max="1043" width="14.375" style="326" customWidth="1"/>
    <col min="1044" max="1044" width="10.75" style="326" customWidth="1"/>
    <col min="1045" max="1045" width="11.75" style="326" customWidth="1"/>
    <col min="1046" max="1046" width="10" style="326" customWidth="1"/>
    <col min="1047" max="1047" width="15.375" style="326" customWidth="1"/>
    <col min="1048" max="1048" width="10" style="326" customWidth="1"/>
    <col min="1049" max="1049" width="10.75" style="326" customWidth="1"/>
    <col min="1050" max="1050" width="14.875" style="326" customWidth="1"/>
    <col min="1051" max="1051" width="11.5" style="326" customWidth="1"/>
    <col min="1052" max="1052" width="10" style="326" customWidth="1"/>
    <col min="1053" max="1053" width="10.75" style="326" customWidth="1"/>
    <col min="1054" max="1054" width="13.5" style="326" customWidth="1"/>
    <col min="1055" max="1055" width="9" style="326"/>
    <col min="1056" max="1056" width="10.75" style="326" bestFit="1" customWidth="1"/>
    <col min="1057" max="1057" width="13.75" style="326" customWidth="1"/>
    <col min="1058" max="1058" width="9" style="326"/>
    <col min="1059" max="1059" width="10.625" style="326" customWidth="1"/>
    <col min="1060" max="1060" width="9" style="326"/>
    <col min="1061" max="1061" width="14.25" style="326" customWidth="1"/>
    <col min="1062" max="1062" width="10.75" style="326" bestFit="1" customWidth="1"/>
    <col min="1063" max="1063" width="11.625" style="326" customWidth="1"/>
    <col min="1064" max="1064" width="13.75" style="326" customWidth="1"/>
    <col min="1065" max="1065" width="10.625" style="326" customWidth="1"/>
    <col min="1066" max="1067" width="9" style="326"/>
    <col min="1068" max="1068" width="14.125" style="326" customWidth="1"/>
    <col min="1069" max="1069" width="11" style="326" customWidth="1"/>
    <col min="1070" max="1070" width="10.75" style="326" bestFit="1" customWidth="1"/>
    <col min="1071" max="1071" width="13.5" style="326" customWidth="1"/>
    <col min="1072" max="1073" width="9" style="326"/>
    <col min="1074" max="1074" width="10.75" style="326" bestFit="1" customWidth="1"/>
    <col min="1075" max="1075" width="14" style="326" customWidth="1"/>
    <col min="1076" max="1076" width="9" style="326"/>
    <col min="1077" max="1077" width="10.75" style="326" customWidth="1"/>
    <col min="1078" max="1078" width="12.75" style="326" customWidth="1"/>
    <col min="1079" max="1079" width="9" style="326"/>
    <col min="1080" max="1080" width="10.75" style="326" bestFit="1" customWidth="1"/>
    <col min="1081" max="1081" width="11.5" style="326" customWidth="1"/>
    <col min="1082" max="1082" width="13.625" style="326" customWidth="1"/>
    <col min="1083" max="1083" width="10.625" style="326" customWidth="1"/>
    <col min="1084" max="1084" width="10.75" style="326" bestFit="1" customWidth="1"/>
    <col min="1085" max="1085" width="12.375" style="326" customWidth="1"/>
    <col min="1086" max="1088" width="9" style="326"/>
    <col min="1089" max="1089" width="15.75" style="326" customWidth="1"/>
    <col min="1090" max="1090" width="9" style="326"/>
    <col min="1091" max="1091" width="10.75" style="326" bestFit="1" customWidth="1"/>
    <col min="1092" max="1092" width="12.625" style="326" customWidth="1"/>
    <col min="1093" max="1095" width="9" style="326"/>
    <col min="1096" max="1096" width="13.625" style="326" customWidth="1"/>
    <col min="1097" max="1097" width="9" style="326"/>
    <col min="1098" max="1098" width="10.75" style="326" bestFit="1" customWidth="1"/>
    <col min="1099" max="1099" width="12.5" style="326" customWidth="1"/>
    <col min="1100" max="1102" width="9" style="326"/>
    <col min="1103" max="1103" width="12.875" style="326" customWidth="1"/>
    <col min="1104" max="1104" width="9" style="326"/>
    <col min="1105" max="1105" width="10.75" style="326" bestFit="1" customWidth="1"/>
    <col min="1106" max="1106" width="13.875" style="326" customWidth="1"/>
    <col min="1107" max="1109" width="9" style="326"/>
    <col min="1110" max="1110" width="14.125" style="326" customWidth="1"/>
    <col min="1111" max="1111" width="9" style="326"/>
    <col min="1112" max="1112" width="10.75" style="326" bestFit="1" customWidth="1"/>
    <col min="1113" max="1113" width="13.25" style="326" customWidth="1"/>
    <col min="1114" max="1116" width="9" style="326"/>
    <col min="1117" max="1117" width="13.25" style="326" customWidth="1"/>
    <col min="1118" max="1118" width="9" style="326"/>
    <col min="1119" max="1119" width="10.75" style="326" bestFit="1" customWidth="1"/>
    <col min="1120" max="1120" width="13.875" style="326" customWidth="1"/>
    <col min="1121" max="1123" width="9" style="326"/>
    <col min="1124" max="1124" width="13.625" style="326" customWidth="1"/>
    <col min="1125" max="1125" width="9" style="326"/>
    <col min="1126" max="1126" width="10.75" style="326" bestFit="1" customWidth="1"/>
    <col min="1127" max="1127" width="13" style="326" customWidth="1"/>
    <col min="1128" max="1274" width="9" style="326"/>
    <col min="1275" max="1276" width="12.125" style="326" customWidth="1"/>
    <col min="1277" max="1279" width="13" style="326" customWidth="1"/>
    <col min="1280" max="1280" width="12.875" style="326" customWidth="1"/>
    <col min="1281" max="1281" width="13" style="326" customWidth="1"/>
    <col min="1282" max="1282" width="13.125" style="326" customWidth="1"/>
    <col min="1283" max="1284" width="12.125" style="326" customWidth="1"/>
    <col min="1285" max="1285" width="14.375" style="326" bestFit="1" customWidth="1"/>
    <col min="1286" max="1286" width="11" style="326" customWidth="1"/>
    <col min="1287" max="1287" width="10" style="326" customWidth="1"/>
    <col min="1288" max="1288" width="10.875" style="326" customWidth="1"/>
    <col min="1289" max="1289" width="13.75" style="326" customWidth="1"/>
    <col min="1290" max="1290" width="10" style="326" customWidth="1"/>
    <col min="1291" max="1291" width="13.25" style="326" customWidth="1"/>
    <col min="1292" max="1292" width="14.375" style="326" customWidth="1"/>
    <col min="1293" max="1293" width="10" style="326" customWidth="1"/>
    <col min="1294" max="1294" width="10.875" style="326" customWidth="1"/>
    <col min="1295" max="1295" width="11.375" style="326" customWidth="1"/>
    <col min="1296" max="1296" width="15.375" style="326" customWidth="1"/>
    <col min="1297" max="1298" width="10.75" style="326" customWidth="1"/>
    <col min="1299" max="1299" width="14.375" style="326" customWidth="1"/>
    <col min="1300" max="1300" width="10.75" style="326" customWidth="1"/>
    <col min="1301" max="1301" width="11.75" style="326" customWidth="1"/>
    <col min="1302" max="1302" width="10" style="326" customWidth="1"/>
    <col min="1303" max="1303" width="15.375" style="326" customWidth="1"/>
    <col min="1304" max="1304" width="10" style="326" customWidth="1"/>
    <col min="1305" max="1305" width="10.75" style="326" customWidth="1"/>
    <col min="1306" max="1306" width="14.875" style="326" customWidth="1"/>
    <col min="1307" max="1307" width="11.5" style="326" customWidth="1"/>
    <col min="1308" max="1308" width="10" style="326" customWidth="1"/>
    <col min="1309" max="1309" width="10.75" style="326" customWidth="1"/>
    <col min="1310" max="1310" width="13.5" style="326" customWidth="1"/>
    <col min="1311" max="1311" width="9" style="326"/>
    <col min="1312" max="1312" width="10.75" style="326" bestFit="1" customWidth="1"/>
    <col min="1313" max="1313" width="13.75" style="326" customWidth="1"/>
    <col min="1314" max="1314" width="9" style="326"/>
    <col min="1315" max="1315" width="10.625" style="326" customWidth="1"/>
    <col min="1316" max="1316" width="9" style="326"/>
    <col min="1317" max="1317" width="14.25" style="326" customWidth="1"/>
    <col min="1318" max="1318" width="10.75" style="326" bestFit="1" customWidth="1"/>
    <col min="1319" max="1319" width="11.625" style="326" customWidth="1"/>
    <col min="1320" max="1320" width="13.75" style="326" customWidth="1"/>
    <col min="1321" max="1321" width="10.625" style="326" customWidth="1"/>
    <col min="1322" max="1323" width="9" style="326"/>
    <col min="1324" max="1324" width="14.125" style="326" customWidth="1"/>
    <col min="1325" max="1325" width="11" style="326" customWidth="1"/>
    <col min="1326" max="1326" width="10.75" style="326" bestFit="1" customWidth="1"/>
    <col min="1327" max="1327" width="13.5" style="326" customWidth="1"/>
    <col min="1328" max="1329" width="9" style="326"/>
    <col min="1330" max="1330" width="10.75" style="326" bestFit="1" customWidth="1"/>
    <col min="1331" max="1331" width="14" style="326" customWidth="1"/>
    <col min="1332" max="1332" width="9" style="326"/>
    <col min="1333" max="1333" width="10.75" style="326" customWidth="1"/>
    <col min="1334" max="1334" width="12.75" style="326" customWidth="1"/>
    <col min="1335" max="1335" width="9" style="326"/>
    <col min="1336" max="1336" width="10.75" style="326" bestFit="1" customWidth="1"/>
    <col min="1337" max="1337" width="11.5" style="326" customWidth="1"/>
    <col min="1338" max="1338" width="13.625" style="326" customWidth="1"/>
    <col min="1339" max="1339" width="10.625" style="326" customWidth="1"/>
    <col min="1340" max="1340" width="10.75" style="326" bestFit="1" customWidth="1"/>
    <col min="1341" max="1341" width="12.375" style="326" customWidth="1"/>
    <col min="1342" max="1344" width="9" style="326"/>
    <col min="1345" max="1345" width="15.75" style="326" customWidth="1"/>
    <col min="1346" max="1346" width="9" style="326"/>
    <col min="1347" max="1347" width="10.75" style="326" bestFit="1" customWidth="1"/>
    <col min="1348" max="1348" width="12.625" style="326" customWidth="1"/>
    <col min="1349" max="1351" width="9" style="326"/>
    <col min="1352" max="1352" width="13.625" style="326" customWidth="1"/>
    <col min="1353" max="1353" width="9" style="326"/>
    <col min="1354" max="1354" width="10.75" style="326" bestFit="1" customWidth="1"/>
    <col min="1355" max="1355" width="12.5" style="326" customWidth="1"/>
    <col min="1356" max="1358" width="9" style="326"/>
    <col min="1359" max="1359" width="12.875" style="326" customWidth="1"/>
    <col min="1360" max="1360" width="9" style="326"/>
    <col min="1361" max="1361" width="10.75" style="326" bestFit="1" customWidth="1"/>
    <col min="1362" max="1362" width="13.875" style="326" customWidth="1"/>
    <col min="1363" max="1365" width="9" style="326"/>
    <col min="1366" max="1366" width="14.125" style="326" customWidth="1"/>
    <col min="1367" max="1367" width="9" style="326"/>
    <col min="1368" max="1368" width="10.75" style="326" bestFit="1" customWidth="1"/>
    <col min="1369" max="1369" width="13.25" style="326" customWidth="1"/>
    <col min="1370" max="1372" width="9" style="326"/>
    <col min="1373" max="1373" width="13.25" style="326" customWidth="1"/>
    <col min="1374" max="1374" width="9" style="326"/>
    <col min="1375" max="1375" width="10.75" style="326" bestFit="1" customWidth="1"/>
    <col min="1376" max="1376" width="13.875" style="326" customWidth="1"/>
    <col min="1377" max="1379" width="9" style="326"/>
    <col min="1380" max="1380" width="13.625" style="326" customWidth="1"/>
    <col min="1381" max="1381" width="9" style="326"/>
    <col min="1382" max="1382" width="10.75" style="326" bestFit="1" customWidth="1"/>
    <col min="1383" max="1383" width="13" style="326" customWidth="1"/>
    <col min="1384" max="1530" width="9" style="326"/>
    <col min="1531" max="1532" width="12.125" style="326" customWidth="1"/>
    <col min="1533" max="1535" width="13" style="326" customWidth="1"/>
    <col min="1536" max="1536" width="12.875" style="326" customWidth="1"/>
    <col min="1537" max="1537" width="13" style="326" customWidth="1"/>
    <col min="1538" max="1538" width="13.125" style="326" customWidth="1"/>
    <col min="1539" max="1540" width="12.125" style="326" customWidth="1"/>
    <col min="1541" max="1541" width="14.375" style="326" bestFit="1" customWidth="1"/>
    <col min="1542" max="1542" width="11" style="326" customWidth="1"/>
    <col min="1543" max="1543" width="10" style="326" customWidth="1"/>
    <col min="1544" max="1544" width="10.875" style="326" customWidth="1"/>
    <col min="1545" max="1545" width="13.75" style="326" customWidth="1"/>
    <col min="1546" max="1546" width="10" style="326" customWidth="1"/>
    <col min="1547" max="1547" width="13.25" style="326" customWidth="1"/>
    <col min="1548" max="1548" width="14.375" style="326" customWidth="1"/>
    <col min="1549" max="1549" width="10" style="326" customWidth="1"/>
    <col min="1550" max="1550" width="10.875" style="326" customWidth="1"/>
    <col min="1551" max="1551" width="11.375" style="326" customWidth="1"/>
    <col min="1552" max="1552" width="15.375" style="326" customWidth="1"/>
    <col min="1553" max="1554" width="10.75" style="326" customWidth="1"/>
    <col min="1555" max="1555" width="14.375" style="326" customWidth="1"/>
    <col min="1556" max="1556" width="10.75" style="326" customWidth="1"/>
    <col min="1557" max="1557" width="11.75" style="326" customWidth="1"/>
    <col min="1558" max="1558" width="10" style="326" customWidth="1"/>
    <col min="1559" max="1559" width="15.375" style="326" customWidth="1"/>
    <col min="1560" max="1560" width="10" style="326" customWidth="1"/>
    <col min="1561" max="1561" width="10.75" style="326" customWidth="1"/>
    <col min="1562" max="1562" width="14.875" style="326" customWidth="1"/>
    <col min="1563" max="1563" width="11.5" style="326" customWidth="1"/>
    <col min="1564" max="1564" width="10" style="326" customWidth="1"/>
    <col min="1565" max="1565" width="10.75" style="326" customWidth="1"/>
    <col min="1566" max="1566" width="13.5" style="326" customWidth="1"/>
    <col min="1567" max="1567" width="9" style="326"/>
    <col min="1568" max="1568" width="10.75" style="326" bestFit="1" customWidth="1"/>
    <col min="1569" max="1569" width="13.75" style="326" customWidth="1"/>
    <col min="1570" max="1570" width="9" style="326"/>
    <col min="1571" max="1571" width="10.625" style="326" customWidth="1"/>
    <col min="1572" max="1572" width="9" style="326"/>
    <col min="1573" max="1573" width="14.25" style="326" customWidth="1"/>
    <col min="1574" max="1574" width="10.75" style="326" bestFit="1" customWidth="1"/>
    <col min="1575" max="1575" width="11.625" style="326" customWidth="1"/>
    <col min="1576" max="1576" width="13.75" style="326" customWidth="1"/>
    <col min="1577" max="1577" width="10.625" style="326" customWidth="1"/>
    <col min="1578" max="1579" width="9" style="326"/>
    <col min="1580" max="1580" width="14.125" style="326" customWidth="1"/>
    <col min="1581" max="1581" width="11" style="326" customWidth="1"/>
    <col min="1582" max="1582" width="10.75" style="326" bestFit="1" customWidth="1"/>
    <col min="1583" max="1583" width="13.5" style="326" customWidth="1"/>
    <col min="1584" max="1585" width="9" style="326"/>
    <col min="1586" max="1586" width="10.75" style="326" bestFit="1" customWidth="1"/>
    <col min="1587" max="1587" width="14" style="326" customWidth="1"/>
    <col min="1588" max="1588" width="9" style="326"/>
    <col min="1589" max="1589" width="10.75" style="326" customWidth="1"/>
    <col min="1590" max="1590" width="12.75" style="326" customWidth="1"/>
    <col min="1591" max="1591" width="9" style="326"/>
    <col min="1592" max="1592" width="10.75" style="326" bestFit="1" customWidth="1"/>
    <col min="1593" max="1593" width="11.5" style="326" customWidth="1"/>
    <col min="1594" max="1594" width="13.625" style="326" customWidth="1"/>
    <col min="1595" max="1595" width="10.625" style="326" customWidth="1"/>
    <col min="1596" max="1596" width="10.75" style="326" bestFit="1" customWidth="1"/>
    <col min="1597" max="1597" width="12.375" style="326" customWidth="1"/>
    <col min="1598" max="1600" width="9" style="326"/>
    <col min="1601" max="1601" width="15.75" style="326" customWidth="1"/>
    <col min="1602" max="1602" width="9" style="326"/>
    <col min="1603" max="1603" width="10.75" style="326" bestFit="1" customWidth="1"/>
    <col min="1604" max="1604" width="12.625" style="326" customWidth="1"/>
    <col min="1605" max="1607" width="9" style="326"/>
    <col min="1608" max="1608" width="13.625" style="326" customWidth="1"/>
    <col min="1609" max="1609" width="9" style="326"/>
    <col min="1610" max="1610" width="10.75" style="326" bestFit="1" customWidth="1"/>
    <col min="1611" max="1611" width="12.5" style="326" customWidth="1"/>
    <col min="1612" max="1614" width="9" style="326"/>
    <col min="1615" max="1615" width="12.875" style="326" customWidth="1"/>
    <col min="1616" max="1616" width="9" style="326"/>
    <col min="1617" max="1617" width="10.75" style="326" bestFit="1" customWidth="1"/>
    <col min="1618" max="1618" width="13.875" style="326" customWidth="1"/>
    <col min="1619" max="1621" width="9" style="326"/>
    <col min="1622" max="1622" width="14.125" style="326" customWidth="1"/>
    <col min="1623" max="1623" width="9" style="326"/>
    <col min="1624" max="1624" width="10.75" style="326" bestFit="1" customWidth="1"/>
    <col min="1625" max="1625" width="13.25" style="326" customWidth="1"/>
    <col min="1626" max="1628" width="9" style="326"/>
    <col min="1629" max="1629" width="13.25" style="326" customWidth="1"/>
    <col min="1630" max="1630" width="9" style="326"/>
    <col min="1631" max="1631" width="10.75" style="326" bestFit="1" customWidth="1"/>
    <col min="1632" max="1632" width="13.875" style="326" customWidth="1"/>
    <col min="1633" max="1635" width="9" style="326"/>
    <col min="1636" max="1636" width="13.625" style="326" customWidth="1"/>
    <col min="1637" max="1637" width="9" style="326"/>
    <col min="1638" max="1638" width="10.75" style="326" bestFit="1" customWidth="1"/>
    <col min="1639" max="1639" width="13" style="326" customWidth="1"/>
    <col min="1640" max="1786" width="9" style="326"/>
    <col min="1787" max="1788" width="12.125" style="326" customWidth="1"/>
    <col min="1789" max="1791" width="13" style="326" customWidth="1"/>
    <col min="1792" max="1792" width="12.875" style="326" customWidth="1"/>
    <col min="1793" max="1793" width="13" style="326" customWidth="1"/>
    <col min="1794" max="1794" width="13.125" style="326" customWidth="1"/>
    <col min="1795" max="1796" width="12.125" style="326" customWidth="1"/>
    <col min="1797" max="1797" width="14.375" style="326" bestFit="1" customWidth="1"/>
    <col min="1798" max="1798" width="11" style="326" customWidth="1"/>
    <col min="1799" max="1799" width="10" style="326" customWidth="1"/>
    <col min="1800" max="1800" width="10.875" style="326" customWidth="1"/>
    <col min="1801" max="1801" width="13.75" style="326" customWidth="1"/>
    <col min="1802" max="1802" width="10" style="326" customWidth="1"/>
    <col min="1803" max="1803" width="13.25" style="326" customWidth="1"/>
    <col min="1804" max="1804" width="14.375" style="326" customWidth="1"/>
    <col min="1805" max="1805" width="10" style="326" customWidth="1"/>
    <col min="1806" max="1806" width="10.875" style="326" customWidth="1"/>
    <col min="1807" max="1807" width="11.375" style="326" customWidth="1"/>
    <col min="1808" max="1808" width="15.375" style="326" customWidth="1"/>
    <col min="1809" max="1810" width="10.75" style="326" customWidth="1"/>
    <col min="1811" max="1811" width="14.375" style="326" customWidth="1"/>
    <col min="1812" max="1812" width="10.75" style="326" customWidth="1"/>
    <col min="1813" max="1813" width="11.75" style="326" customWidth="1"/>
    <col min="1814" max="1814" width="10" style="326" customWidth="1"/>
    <col min="1815" max="1815" width="15.375" style="326" customWidth="1"/>
    <col min="1816" max="1816" width="10" style="326" customWidth="1"/>
    <col min="1817" max="1817" width="10.75" style="326" customWidth="1"/>
    <col min="1818" max="1818" width="14.875" style="326" customWidth="1"/>
    <col min="1819" max="1819" width="11.5" style="326" customWidth="1"/>
    <col min="1820" max="1820" width="10" style="326" customWidth="1"/>
    <col min="1821" max="1821" width="10.75" style="326" customWidth="1"/>
    <col min="1822" max="1822" width="13.5" style="326" customWidth="1"/>
    <col min="1823" max="1823" width="9" style="326"/>
    <col min="1824" max="1824" width="10.75" style="326" bestFit="1" customWidth="1"/>
    <col min="1825" max="1825" width="13.75" style="326" customWidth="1"/>
    <col min="1826" max="1826" width="9" style="326"/>
    <col min="1827" max="1827" width="10.625" style="326" customWidth="1"/>
    <col min="1828" max="1828" width="9" style="326"/>
    <col min="1829" max="1829" width="14.25" style="326" customWidth="1"/>
    <col min="1830" max="1830" width="10.75" style="326" bestFit="1" customWidth="1"/>
    <col min="1831" max="1831" width="11.625" style="326" customWidth="1"/>
    <col min="1832" max="1832" width="13.75" style="326" customWidth="1"/>
    <col min="1833" max="1833" width="10.625" style="326" customWidth="1"/>
    <col min="1834" max="1835" width="9" style="326"/>
    <col min="1836" max="1836" width="14.125" style="326" customWidth="1"/>
    <col min="1837" max="1837" width="11" style="326" customWidth="1"/>
    <col min="1838" max="1838" width="10.75" style="326" bestFit="1" customWidth="1"/>
    <col min="1839" max="1839" width="13.5" style="326" customWidth="1"/>
    <col min="1840" max="1841" width="9" style="326"/>
    <col min="1842" max="1842" width="10.75" style="326" bestFit="1" customWidth="1"/>
    <col min="1843" max="1843" width="14" style="326" customWidth="1"/>
    <col min="1844" max="1844" width="9" style="326"/>
    <col min="1845" max="1845" width="10.75" style="326" customWidth="1"/>
    <col min="1846" max="1846" width="12.75" style="326" customWidth="1"/>
    <col min="1847" max="1847" width="9" style="326"/>
    <col min="1848" max="1848" width="10.75" style="326" bestFit="1" customWidth="1"/>
    <col min="1849" max="1849" width="11.5" style="326" customWidth="1"/>
    <col min="1850" max="1850" width="13.625" style="326" customWidth="1"/>
    <col min="1851" max="1851" width="10.625" style="326" customWidth="1"/>
    <col min="1852" max="1852" width="10.75" style="326" bestFit="1" customWidth="1"/>
    <col min="1853" max="1853" width="12.375" style="326" customWidth="1"/>
    <col min="1854" max="1856" width="9" style="326"/>
    <col min="1857" max="1857" width="15.75" style="326" customWidth="1"/>
    <col min="1858" max="1858" width="9" style="326"/>
    <col min="1859" max="1859" width="10.75" style="326" bestFit="1" customWidth="1"/>
    <col min="1860" max="1860" width="12.625" style="326" customWidth="1"/>
    <col min="1861" max="1863" width="9" style="326"/>
    <col min="1864" max="1864" width="13.625" style="326" customWidth="1"/>
    <col min="1865" max="1865" width="9" style="326"/>
    <col min="1866" max="1866" width="10.75" style="326" bestFit="1" customWidth="1"/>
    <col min="1867" max="1867" width="12.5" style="326" customWidth="1"/>
    <col min="1868" max="1870" width="9" style="326"/>
    <col min="1871" max="1871" width="12.875" style="326" customWidth="1"/>
    <col min="1872" max="1872" width="9" style="326"/>
    <col min="1873" max="1873" width="10.75" style="326" bestFit="1" customWidth="1"/>
    <col min="1874" max="1874" width="13.875" style="326" customWidth="1"/>
    <col min="1875" max="1877" width="9" style="326"/>
    <col min="1878" max="1878" width="14.125" style="326" customWidth="1"/>
    <col min="1879" max="1879" width="9" style="326"/>
    <col min="1880" max="1880" width="10.75" style="326" bestFit="1" customWidth="1"/>
    <col min="1881" max="1881" width="13.25" style="326" customWidth="1"/>
    <col min="1882" max="1884" width="9" style="326"/>
    <col min="1885" max="1885" width="13.25" style="326" customWidth="1"/>
    <col min="1886" max="1886" width="9" style="326"/>
    <col min="1887" max="1887" width="10.75" style="326" bestFit="1" customWidth="1"/>
    <col min="1888" max="1888" width="13.875" style="326" customWidth="1"/>
    <col min="1889" max="1891" width="9" style="326"/>
    <col min="1892" max="1892" width="13.625" style="326" customWidth="1"/>
    <col min="1893" max="1893" width="9" style="326"/>
    <col min="1894" max="1894" width="10.75" style="326" bestFit="1" customWidth="1"/>
    <col min="1895" max="1895" width="13" style="326" customWidth="1"/>
    <col min="1896" max="2042" width="9" style="326"/>
    <col min="2043" max="2044" width="12.125" style="326" customWidth="1"/>
    <col min="2045" max="2047" width="13" style="326" customWidth="1"/>
    <col min="2048" max="2048" width="12.875" style="326" customWidth="1"/>
    <col min="2049" max="2049" width="13" style="326" customWidth="1"/>
    <col min="2050" max="2050" width="13.125" style="326" customWidth="1"/>
    <col min="2051" max="2052" width="12.125" style="326" customWidth="1"/>
    <col min="2053" max="2053" width="14.375" style="326" bestFit="1" customWidth="1"/>
    <col min="2054" max="2054" width="11" style="326" customWidth="1"/>
    <col min="2055" max="2055" width="10" style="326" customWidth="1"/>
    <col min="2056" max="2056" width="10.875" style="326" customWidth="1"/>
    <col min="2057" max="2057" width="13.75" style="326" customWidth="1"/>
    <col min="2058" max="2058" width="10" style="326" customWidth="1"/>
    <col min="2059" max="2059" width="13.25" style="326" customWidth="1"/>
    <col min="2060" max="2060" width="14.375" style="326" customWidth="1"/>
    <col min="2061" max="2061" width="10" style="326" customWidth="1"/>
    <col min="2062" max="2062" width="10.875" style="326" customWidth="1"/>
    <col min="2063" max="2063" width="11.375" style="326" customWidth="1"/>
    <col min="2064" max="2064" width="15.375" style="326" customWidth="1"/>
    <col min="2065" max="2066" width="10.75" style="326" customWidth="1"/>
    <col min="2067" max="2067" width="14.375" style="326" customWidth="1"/>
    <col min="2068" max="2068" width="10.75" style="326" customWidth="1"/>
    <col min="2069" max="2069" width="11.75" style="326" customWidth="1"/>
    <col min="2070" max="2070" width="10" style="326" customWidth="1"/>
    <col min="2071" max="2071" width="15.375" style="326" customWidth="1"/>
    <col min="2072" max="2072" width="10" style="326" customWidth="1"/>
    <col min="2073" max="2073" width="10.75" style="326" customWidth="1"/>
    <col min="2074" max="2074" width="14.875" style="326" customWidth="1"/>
    <col min="2075" max="2075" width="11.5" style="326" customWidth="1"/>
    <col min="2076" max="2076" width="10" style="326" customWidth="1"/>
    <col min="2077" max="2077" width="10.75" style="326" customWidth="1"/>
    <col min="2078" max="2078" width="13.5" style="326" customWidth="1"/>
    <col min="2079" max="2079" width="9" style="326"/>
    <col min="2080" max="2080" width="10.75" style="326" bestFit="1" customWidth="1"/>
    <col min="2081" max="2081" width="13.75" style="326" customWidth="1"/>
    <col min="2082" max="2082" width="9" style="326"/>
    <col min="2083" max="2083" width="10.625" style="326" customWidth="1"/>
    <col min="2084" max="2084" width="9" style="326"/>
    <col min="2085" max="2085" width="14.25" style="326" customWidth="1"/>
    <col min="2086" max="2086" width="10.75" style="326" bestFit="1" customWidth="1"/>
    <col min="2087" max="2087" width="11.625" style="326" customWidth="1"/>
    <col min="2088" max="2088" width="13.75" style="326" customWidth="1"/>
    <col min="2089" max="2089" width="10.625" style="326" customWidth="1"/>
    <col min="2090" max="2091" width="9" style="326"/>
    <col min="2092" max="2092" width="14.125" style="326" customWidth="1"/>
    <col min="2093" max="2093" width="11" style="326" customWidth="1"/>
    <col min="2094" max="2094" width="10.75" style="326" bestFit="1" customWidth="1"/>
    <col min="2095" max="2095" width="13.5" style="326" customWidth="1"/>
    <col min="2096" max="2097" width="9" style="326"/>
    <col min="2098" max="2098" width="10.75" style="326" bestFit="1" customWidth="1"/>
    <col min="2099" max="2099" width="14" style="326" customWidth="1"/>
    <col min="2100" max="2100" width="9" style="326"/>
    <col min="2101" max="2101" width="10.75" style="326" customWidth="1"/>
    <col min="2102" max="2102" width="12.75" style="326" customWidth="1"/>
    <col min="2103" max="2103" width="9" style="326"/>
    <col min="2104" max="2104" width="10.75" style="326" bestFit="1" customWidth="1"/>
    <col min="2105" max="2105" width="11.5" style="326" customWidth="1"/>
    <col min="2106" max="2106" width="13.625" style="326" customWidth="1"/>
    <col min="2107" max="2107" width="10.625" style="326" customWidth="1"/>
    <col min="2108" max="2108" width="10.75" style="326" bestFit="1" customWidth="1"/>
    <col min="2109" max="2109" width="12.375" style="326" customWidth="1"/>
    <col min="2110" max="2112" width="9" style="326"/>
    <col min="2113" max="2113" width="15.75" style="326" customWidth="1"/>
    <col min="2114" max="2114" width="9" style="326"/>
    <col min="2115" max="2115" width="10.75" style="326" bestFit="1" customWidth="1"/>
    <col min="2116" max="2116" width="12.625" style="326" customWidth="1"/>
    <col min="2117" max="2119" width="9" style="326"/>
    <col min="2120" max="2120" width="13.625" style="326" customWidth="1"/>
    <col min="2121" max="2121" width="9" style="326"/>
    <col min="2122" max="2122" width="10.75" style="326" bestFit="1" customWidth="1"/>
    <col min="2123" max="2123" width="12.5" style="326" customWidth="1"/>
    <col min="2124" max="2126" width="9" style="326"/>
    <col min="2127" max="2127" width="12.875" style="326" customWidth="1"/>
    <col min="2128" max="2128" width="9" style="326"/>
    <col min="2129" max="2129" width="10.75" style="326" bestFit="1" customWidth="1"/>
    <col min="2130" max="2130" width="13.875" style="326" customWidth="1"/>
    <col min="2131" max="2133" width="9" style="326"/>
    <col min="2134" max="2134" width="14.125" style="326" customWidth="1"/>
    <col min="2135" max="2135" width="9" style="326"/>
    <col min="2136" max="2136" width="10.75" style="326" bestFit="1" customWidth="1"/>
    <col min="2137" max="2137" width="13.25" style="326" customWidth="1"/>
    <col min="2138" max="2140" width="9" style="326"/>
    <col min="2141" max="2141" width="13.25" style="326" customWidth="1"/>
    <col min="2142" max="2142" width="9" style="326"/>
    <col min="2143" max="2143" width="10.75" style="326" bestFit="1" customWidth="1"/>
    <col min="2144" max="2144" width="13.875" style="326" customWidth="1"/>
    <col min="2145" max="2147" width="9" style="326"/>
    <col min="2148" max="2148" width="13.625" style="326" customWidth="1"/>
    <col min="2149" max="2149" width="9" style="326"/>
    <col min="2150" max="2150" width="10.75" style="326" bestFit="1" customWidth="1"/>
    <col min="2151" max="2151" width="13" style="326" customWidth="1"/>
    <col min="2152" max="2298" width="9" style="326"/>
    <col min="2299" max="2300" width="12.125" style="326" customWidth="1"/>
    <col min="2301" max="2303" width="13" style="326" customWidth="1"/>
    <col min="2304" max="2304" width="12.875" style="326" customWidth="1"/>
    <col min="2305" max="2305" width="13" style="326" customWidth="1"/>
    <col min="2306" max="2306" width="13.125" style="326" customWidth="1"/>
    <col min="2307" max="2308" width="12.125" style="326" customWidth="1"/>
    <col min="2309" max="2309" width="14.375" style="326" bestFit="1" customWidth="1"/>
    <col min="2310" max="2310" width="11" style="326" customWidth="1"/>
    <col min="2311" max="2311" width="10" style="326" customWidth="1"/>
    <col min="2312" max="2312" width="10.875" style="326" customWidth="1"/>
    <col min="2313" max="2313" width="13.75" style="326" customWidth="1"/>
    <col min="2314" max="2314" width="10" style="326" customWidth="1"/>
    <col min="2315" max="2315" width="13.25" style="326" customWidth="1"/>
    <col min="2316" max="2316" width="14.375" style="326" customWidth="1"/>
    <col min="2317" max="2317" width="10" style="326" customWidth="1"/>
    <col min="2318" max="2318" width="10.875" style="326" customWidth="1"/>
    <col min="2319" max="2319" width="11.375" style="326" customWidth="1"/>
    <col min="2320" max="2320" width="15.375" style="326" customWidth="1"/>
    <col min="2321" max="2322" width="10.75" style="326" customWidth="1"/>
    <col min="2323" max="2323" width="14.375" style="326" customWidth="1"/>
    <col min="2324" max="2324" width="10.75" style="326" customWidth="1"/>
    <col min="2325" max="2325" width="11.75" style="326" customWidth="1"/>
    <col min="2326" max="2326" width="10" style="326" customWidth="1"/>
    <col min="2327" max="2327" width="15.375" style="326" customWidth="1"/>
    <col min="2328" max="2328" width="10" style="326" customWidth="1"/>
    <col min="2329" max="2329" width="10.75" style="326" customWidth="1"/>
    <col min="2330" max="2330" width="14.875" style="326" customWidth="1"/>
    <col min="2331" max="2331" width="11.5" style="326" customWidth="1"/>
    <col min="2332" max="2332" width="10" style="326" customWidth="1"/>
    <col min="2333" max="2333" width="10.75" style="326" customWidth="1"/>
    <col min="2334" max="2334" width="13.5" style="326" customWidth="1"/>
    <col min="2335" max="2335" width="9" style="326"/>
    <col min="2336" max="2336" width="10.75" style="326" bestFit="1" customWidth="1"/>
    <col min="2337" max="2337" width="13.75" style="326" customWidth="1"/>
    <col min="2338" max="2338" width="9" style="326"/>
    <col min="2339" max="2339" width="10.625" style="326" customWidth="1"/>
    <col min="2340" max="2340" width="9" style="326"/>
    <col min="2341" max="2341" width="14.25" style="326" customWidth="1"/>
    <col min="2342" max="2342" width="10.75" style="326" bestFit="1" customWidth="1"/>
    <col min="2343" max="2343" width="11.625" style="326" customWidth="1"/>
    <col min="2344" max="2344" width="13.75" style="326" customWidth="1"/>
    <col min="2345" max="2345" width="10.625" style="326" customWidth="1"/>
    <col min="2346" max="2347" width="9" style="326"/>
    <col min="2348" max="2348" width="14.125" style="326" customWidth="1"/>
    <col min="2349" max="2349" width="11" style="326" customWidth="1"/>
    <col min="2350" max="2350" width="10.75" style="326" bestFit="1" customWidth="1"/>
    <col min="2351" max="2351" width="13.5" style="326" customWidth="1"/>
    <col min="2352" max="2353" width="9" style="326"/>
    <col min="2354" max="2354" width="10.75" style="326" bestFit="1" customWidth="1"/>
    <col min="2355" max="2355" width="14" style="326" customWidth="1"/>
    <col min="2356" max="2356" width="9" style="326"/>
    <col min="2357" max="2357" width="10.75" style="326" customWidth="1"/>
    <col min="2358" max="2358" width="12.75" style="326" customWidth="1"/>
    <col min="2359" max="2359" width="9" style="326"/>
    <col min="2360" max="2360" width="10.75" style="326" bestFit="1" customWidth="1"/>
    <col min="2361" max="2361" width="11.5" style="326" customWidth="1"/>
    <col min="2362" max="2362" width="13.625" style="326" customWidth="1"/>
    <col min="2363" max="2363" width="10.625" style="326" customWidth="1"/>
    <col min="2364" max="2364" width="10.75" style="326" bestFit="1" customWidth="1"/>
    <col min="2365" max="2365" width="12.375" style="326" customWidth="1"/>
    <col min="2366" max="2368" width="9" style="326"/>
    <col min="2369" max="2369" width="15.75" style="326" customWidth="1"/>
    <col min="2370" max="2370" width="9" style="326"/>
    <col min="2371" max="2371" width="10.75" style="326" bestFit="1" customWidth="1"/>
    <col min="2372" max="2372" width="12.625" style="326" customWidth="1"/>
    <col min="2373" max="2375" width="9" style="326"/>
    <col min="2376" max="2376" width="13.625" style="326" customWidth="1"/>
    <col min="2377" max="2377" width="9" style="326"/>
    <col min="2378" max="2378" width="10.75" style="326" bestFit="1" customWidth="1"/>
    <col min="2379" max="2379" width="12.5" style="326" customWidth="1"/>
    <col min="2380" max="2382" width="9" style="326"/>
    <col min="2383" max="2383" width="12.875" style="326" customWidth="1"/>
    <col min="2384" max="2384" width="9" style="326"/>
    <col min="2385" max="2385" width="10.75" style="326" bestFit="1" customWidth="1"/>
    <col min="2386" max="2386" width="13.875" style="326" customWidth="1"/>
    <col min="2387" max="2389" width="9" style="326"/>
    <col min="2390" max="2390" width="14.125" style="326" customWidth="1"/>
    <col min="2391" max="2391" width="9" style="326"/>
    <col min="2392" max="2392" width="10.75" style="326" bestFit="1" customWidth="1"/>
    <col min="2393" max="2393" width="13.25" style="326" customWidth="1"/>
    <col min="2394" max="2396" width="9" style="326"/>
    <col min="2397" max="2397" width="13.25" style="326" customWidth="1"/>
    <col min="2398" max="2398" width="9" style="326"/>
    <col min="2399" max="2399" width="10.75" style="326" bestFit="1" customWidth="1"/>
    <col min="2400" max="2400" width="13.875" style="326" customWidth="1"/>
    <col min="2401" max="2403" width="9" style="326"/>
    <col min="2404" max="2404" width="13.625" style="326" customWidth="1"/>
    <col min="2405" max="2405" width="9" style="326"/>
    <col min="2406" max="2406" width="10.75" style="326" bestFit="1" customWidth="1"/>
    <col min="2407" max="2407" width="13" style="326" customWidth="1"/>
    <col min="2408" max="2554" width="9" style="326"/>
    <col min="2555" max="2556" width="12.125" style="326" customWidth="1"/>
    <col min="2557" max="2559" width="13" style="326" customWidth="1"/>
    <col min="2560" max="2560" width="12.875" style="326" customWidth="1"/>
    <col min="2561" max="2561" width="13" style="326" customWidth="1"/>
    <col min="2562" max="2562" width="13.125" style="326" customWidth="1"/>
    <col min="2563" max="2564" width="12.125" style="326" customWidth="1"/>
    <col min="2565" max="2565" width="14.375" style="326" bestFit="1" customWidth="1"/>
    <col min="2566" max="2566" width="11" style="326" customWidth="1"/>
    <col min="2567" max="2567" width="10" style="326" customWidth="1"/>
    <col min="2568" max="2568" width="10.875" style="326" customWidth="1"/>
    <col min="2569" max="2569" width="13.75" style="326" customWidth="1"/>
    <col min="2570" max="2570" width="10" style="326" customWidth="1"/>
    <col min="2571" max="2571" width="13.25" style="326" customWidth="1"/>
    <col min="2572" max="2572" width="14.375" style="326" customWidth="1"/>
    <col min="2573" max="2573" width="10" style="326" customWidth="1"/>
    <col min="2574" max="2574" width="10.875" style="326" customWidth="1"/>
    <col min="2575" max="2575" width="11.375" style="326" customWidth="1"/>
    <col min="2576" max="2576" width="15.375" style="326" customWidth="1"/>
    <col min="2577" max="2578" width="10.75" style="326" customWidth="1"/>
    <col min="2579" max="2579" width="14.375" style="326" customWidth="1"/>
    <col min="2580" max="2580" width="10.75" style="326" customWidth="1"/>
    <col min="2581" max="2581" width="11.75" style="326" customWidth="1"/>
    <col min="2582" max="2582" width="10" style="326" customWidth="1"/>
    <col min="2583" max="2583" width="15.375" style="326" customWidth="1"/>
    <col min="2584" max="2584" width="10" style="326" customWidth="1"/>
    <col min="2585" max="2585" width="10.75" style="326" customWidth="1"/>
    <col min="2586" max="2586" width="14.875" style="326" customWidth="1"/>
    <col min="2587" max="2587" width="11.5" style="326" customWidth="1"/>
    <col min="2588" max="2588" width="10" style="326" customWidth="1"/>
    <col min="2589" max="2589" width="10.75" style="326" customWidth="1"/>
    <col min="2590" max="2590" width="13.5" style="326" customWidth="1"/>
    <col min="2591" max="2591" width="9" style="326"/>
    <col min="2592" max="2592" width="10.75" style="326" bestFit="1" customWidth="1"/>
    <col min="2593" max="2593" width="13.75" style="326" customWidth="1"/>
    <col min="2594" max="2594" width="9" style="326"/>
    <col min="2595" max="2595" width="10.625" style="326" customWidth="1"/>
    <col min="2596" max="2596" width="9" style="326"/>
    <col min="2597" max="2597" width="14.25" style="326" customWidth="1"/>
    <col min="2598" max="2598" width="10.75" style="326" bestFit="1" customWidth="1"/>
    <col min="2599" max="2599" width="11.625" style="326" customWidth="1"/>
    <col min="2600" max="2600" width="13.75" style="326" customWidth="1"/>
    <col min="2601" max="2601" width="10.625" style="326" customWidth="1"/>
    <col min="2602" max="2603" width="9" style="326"/>
    <col min="2604" max="2604" width="14.125" style="326" customWidth="1"/>
    <col min="2605" max="2605" width="11" style="326" customWidth="1"/>
    <col min="2606" max="2606" width="10.75" style="326" bestFit="1" customWidth="1"/>
    <col min="2607" max="2607" width="13.5" style="326" customWidth="1"/>
    <col min="2608" max="2609" width="9" style="326"/>
    <col min="2610" max="2610" width="10.75" style="326" bestFit="1" customWidth="1"/>
    <col min="2611" max="2611" width="14" style="326" customWidth="1"/>
    <col min="2612" max="2612" width="9" style="326"/>
    <col min="2613" max="2613" width="10.75" style="326" customWidth="1"/>
    <col min="2614" max="2614" width="12.75" style="326" customWidth="1"/>
    <col min="2615" max="2615" width="9" style="326"/>
    <col min="2616" max="2616" width="10.75" style="326" bestFit="1" customWidth="1"/>
    <col min="2617" max="2617" width="11.5" style="326" customWidth="1"/>
    <col min="2618" max="2618" width="13.625" style="326" customWidth="1"/>
    <col min="2619" max="2619" width="10.625" style="326" customWidth="1"/>
    <col min="2620" max="2620" width="10.75" style="326" bestFit="1" customWidth="1"/>
    <col min="2621" max="2621" width="12.375" style="326" customWidth="1"/>
    <col min="2622" max="2624" width="9" style="326"/>
    <col min="2625" max="2625" width="15.75" style="326" customWidth="1"/>
    <col min="2626" max="2626" width="9" style="326"/>
    <col min="2627" max="2627" width="10.75" style="326" bestFit="1" customWidth="1"/>
    <col min="2628" max="2628" width="12.625" style="326" customWidth="1"/>
    <col min="2629" max="2631" width="9" style="326"/>
    <col min="2632" max="2632" width="13.625" style="326" customWidth="1"/>
    <col min="2633" max="2633" width="9" style="326"/>
    <col min="2634" max="2634" width="10.75" style="326" bestFit="1" customWidth="1"/>
    <col min="2635" max="2635" width="12.5" style="326" customWidth="1"/>
    <col min="2636" max="2638" width="9" style="326"/>
    <col min="2639" max="2639" width="12.875" style="326" customWidth="1"/>
    <col min="2640" max="2640" width="9" style="326"/>
    <col min="2641" max="2641" width="10.75" style="326" bestFit="1" customWidth="1"/>
    <col min="2642" max="2642" width="13.875" style="326" customWidth="1"/>
    <col min="2643" max="2645" width="9" style="326"/>
    <col min="2646" max="2646" width="14.125" style="326" customWidth="1"/>
    <col min="2647" max="2647" width="9" style="326"/>
    <col min="2648" max="2648" width="10.75" style="326" bestFit="1" customWidth="1"/>
    <col min="2649" max="2649" width="13.25" style="326" customWidth="1"/>
    <col min="2650" max="2652" width="9" style="326"/>
    <col min="2653" max="2653" width="13.25" style="326" customWidth="1"/>
    <col min="2654" max="2654" width="9" style="326"/>
    <col min="2655" max="2655" width="10.75" style="326" bestFit="1" customWidth="1"/>
    <col min="2656" max="2656" width="13.875" style="326" customWidth="1"/>
    <col min="2657" max="2659" width="9" style="326"/>
    <col min="2660" max="2660" width="13.625" style="326" customWidth="1"/>
    <col min="2661" max="2661" width="9" style="326"/>
    <col min="2662" max="2662" width="10.75" style="326" bestFit="1" customWidth="1"/>
    <col min="2663" max="2663" width="13" style="326" customWidth="1"/>
    <col min="2664" max="2810" width="9" style="326"/>
    <col min="2811" max="2812" width="12.125" style="326" customWidth="1"/>
    <col min="2813" max="2815" width="13" style="326" customWidth="1"/>
    <col min="2816" max="2816" width="12.875" style="326" customWidth="1"/>
    <col min="2817" max="2817" width="13" style="326" customWidth="1"/>
    <col min="2818" max="2818" width="13.125" style="326" customWidth="1"/>
    <col min="2819" max="2820" width="12.125" style="326" customWidth="1"/>
    <col min="2821" max="2821" width="14.375" style="326" bestFit="1" customWidth="1"/>
    <col min="2822" max="2822" width="11" style="326" customWidth="1"/>
    <col min="2823" max="2823" width="10" style="326" customWidth="1"/>
    <col min="2824" max="2824" width="10.875" style="326" customWidth="1"/>
    <col min="2825" max="2825" width="13.75" style="326" customWidth="1"/>
    <col min="2826" max="2826" width="10" style="326" customWidth="1"/>
    <col min="2827" max="2827" width="13.25" style="326" customWidth="1"/>
    <col min="2828" max="2828" width="14.375" style="326" customWidth="1"/>
    <col min="2829" max="2829" width="10" style="326" customWidth="1"/>
    <col min="2830" max="2830" width="10.875" style="326" customWidth="1"/>
    <col min="2831" max="2831" width="11.375" style="326" customWidth="1"/>
    <col min="2832" max="2832" width="15.375" style="326" customWidth="1"/>
    <col min="2833" max="2834" width="10.75" style="326" customWidth="1"/>
    <col min="2835" max="2835" width="14.375" style="326" customWidth="1"/>
    <col min="2836" max="2836" width="10.75" style="326" customWidth="1"/>
    <col min="2837" max="2837" width="11.75" style="326" customWidth="1"/>
    <col min="2838" max="2838" width="10" style="326" customWidth="1"/>
    <col min="2839" max="2839" width="15.375" style="326" customWidth="1"/>
    <col min="2840" max="2840" width="10" style="326" customWidth="1"/>
    <col min="2841" max="2841" width="10.75" style="326" customWidth="1"/>
    <col min="2842" max="2842" width="14.875" style="326" customWidth="1"/>
    <col min="2843" max="2843" width="11.5" style="326" customWidth="1"/>
    <col min="2844" max="2844" width="10" style="326" customWidth="1"/>
    <col min="2845" max="2845" width="10.75" style="326" customWidth="1"/>
    <col min="2846" max="2846" width="13.5" style="326" customWidth="1"/>
    <col min="2847" max="2847" width="9" style="326"/>
    <col min="2848" max="2848" width="10.75" style="326" bestFit="1" customWidth="1"/>
    <col min="2849" max="2849" width="13.75" style="326" customWidth="1"/>
    <col min="2850" max="2850" width="9" style="326"/>
    <col min="2851" max="2851" width="10.625" style="326" customWidth="1"/>
    <col min="2852" max="2852" width="9" style="326"/>
    <col min="2853" max="2853" width="14.25" style="326" customWidth="1"/>
    <col min="2854" max="2854" width="10.75" style="326" bestFit="1" customWidth="1"/>
    <col min="2855" max="2855" width="11.625" style="326" customWidth="1"/>
    <col min="2856" max="2856" width="13.75" style="326" customWidth="1"/>
    <col min="2857" max="2857" width="10.625" style="326" customWidth="1"/>
    <col min="2858" max="2859" width="9" style="326"/>
    <col min="2860" max="2860" width="14.125" style="326" customWidth="1"/>
    <col min="2861" max="2861" width="11" style="326" customWidth="1"/>
    <col min="2862" max="2862" width="10.75" style="326" bestFit="1" customWidth="1"/>
    <col min="2863" max="2863" width="13.5" style="326" customWidth="1"/>
    <col min="2864" max="2865" width="9" style="326"/>
    <col min="2866" max="2866" width="10.75" style="326" bestFit="1" customWidth="1"/>
    <col min="2867" max="2867" width="14" style="326" customWidth="1"/>
    <col min="2868" max="2868" width="9" style="326"/>
    <col min="2869" max="2869" width="10.75" style="326" customWidth="1"/>
    <col min="2870" max="2870" width="12.75" style="326" customWidth="1"/>
    <col min="2871" max="2871" width="9" style="326"/>
    <col min="2872" max="2872" width="10.75" style="326" bestFit="1" customWidth="1"/>
    <col min="2873" max="2873" width="11.5" style="326" customWidth="1"/>
    <col min="2874" max="2874" width="13.625" style="326" customWidth="1"/>
    <col min="2875" max="2875" width="10.625" style="326" customWidth="1"/>
    <col min="2876" max="2876" width="10.75" style="326" bestFit="1" customWidth="1"/>
    <col min="2877" max="2877" width="12.375" style="326" customWidth="1"/>
    <col min="2878" max="2880" width="9" style="326"/>
    <col min="2881" max="2881" width="15.75" style="326" customWidth="1"/>
    <col min="2882" max="2882" width="9" style="326"/>
    <col min="2883" max="2883" width="10.75" style="326" bestFit="1" customWidth="1"/>
    <col min="2884" max="2884" width="12.625" style="326" customWidth="1"/>
    <col min="2885" max="2887" width="9" style="326"/>
    <col min="2888" max="2888" width="13.625" style="326" customWidth="1"/>
    <col min="2889" max="2889" width="9" style="326"/>
    <col min="2890" max="2890" width="10.75" style="326" bestFit="1" customWidth="1"/>
    <col min="2891" max="2891" width="12.5" style="326" customWidth="1"/>
    <col min="2892" max="2894" width="9" style="326"/>
    <col min="2895" max="2895" width="12.875" style="326" customWidth="1"/>
    <col min="2896" max="2896" width="9" style="326"/>
    <col min="2897" max="2897" width="10.75" style="326" bestFit="1" customWidth="1"/>
    <col min="2898" max="2898" width="13.875" style="326" customWidth="1"/>
    <col min="2899" max="2901" width="9" style="326"/>
    <col min="2902" max="2902" width="14.125" style="326" customWidth="1"/>
    <col min="2903" max="2903" width="9" style="326"/>
    <col min="2904" max="2904" width="10.75" style="326" bestFit="1" customWidth="1"/>
    <col min="2905" max="2905" width="13.25" style="326" customWidth="1"/>
    <col min="2906" max="2908" width="9" style="326"/>
    <col min="2909" max="2909" width="13.25" style="326" customWidth="1"/>
    <col min="2910" max="2910" width="9" style="326"/>
    <col min="2911" max="2911" width="10.75" style="326" bestFit="1" customWidth="1"/>
    <col min="2912" max="2912" width="13.875" style="326" customWidth="1"/>
    <col min="2913" max="2915" width="9" style="326"/>
    <col min="2916" max="2916" width="13.625" style="326" customWidth="1"/>
    <col min="2917" max="2917" width="9" style="326"/>
    <col min="2918" max="2918" width="10.75" style="326" bestFit="1" customWidth="1"/>
    <col min="2919" max="2919" width="13" style="326" customWidth="1"/>
    <col min="2920" max="3066" width="9" style="326"/>
    <col min="3067" max="3068" width="12.125" style="326" customWidth="1"/>
    <col min="3069" max="3071" width="13" style="326" customWidth="1"/>
    <col min="3072" max="3072" width="12.875" style="326" customWidth="1"/>
    <col min="3073" max="3073" width="13" style="326" customWidth="1"/>
    <col min="3074" max="3074" width="13.125" style="326" customWidth="1"/>
    <col min="3075" max="3076" width="12.125" style="326" customWidth="1"/>
    <col min="3077" max="3077" width="14.375" style="326" bestFit="1" customWidth="1"/>
    <col min="3078" max="3078" width="11" style="326" customWidth="1"/>
    <col min="3079" max="3079" width="10" style="326" customWidth="1"/>
    <col min="3080" max="3080" width="10.875" style="326" customWidth="1"/>
    <col min="3081" max="3081" width="13.75" style="326" customWidth="1"/>
    <col min="3082" max="3082" width="10" style="326" customWidth="1"/>
    <col min="3083" max="3083" width="13.25" style="326" customWidth="1"/>
    <col min="3084" max="3084" width="14.375" style="326" customWidth="1"/>
    <col min="3085" max="3085" width="10" style="326" customWidth="1"/>
    <col min="3086" max="3086" width="10.875" style="326" customWidth="1"/>
    <col min="3087" max="3087" width="11.375" style="326" customWidth="1"/>
    <col min="3088" max="3088" width="15.375" style="326" customWidth="1"/>
    <col min="3089" max="3090" width="10.75" style="326" customWidth="1"/>
    <col min="3091" max="3091" width="14.375" style="326" customWidth="1"/>
    <col min="3092" max="3092" width="10.75" style="326" customWidth="1"/>
    <col min="3093" max="3093" width="11.75" style="326" customWidth="1"/>
    <col min="3094" max="3094" width="10" style="326" customWidth="1"/>
    <col min="3095" max="3095" width="15.375" style="326" customWidth="1"/>
    <col min="3096" max="3096" width="10" style="326" customWidth="1"/>
    <col min="3097" max="3097" width="10.75" style="326" customWidth="1"/>
    <col min="3098" max="3098" width="14.875" style="326" customWidth="1"/>
    <col min="3099" max="3099" width="11.5" style="326" customWidth="1"/>
    <col min="3100" max="3100" width="10" style="326" customWidth="1"/>
    <col min="3101" max="3101" width="10.75" style="326" customWidth="1"/>
    <col min="3102" max="3102" width="13.5" style="326" customWidth="1"/>
    <col min="3103" max="3103" width="9" style="326"/>
    <col min="3104" max="3104" width="10.75" style="326" bestFit="1" customWidth="1"/>
    <col min="3105" max="3105" width="13.75" style="326" customWidth="1"/>
    <col min="3106" max="3106" width="9" style="326"/>
    <col min="3107" max="3107" width="10.625" style="326" customWidth="1"/>
    <col min="3108" max="3108" width="9" style="326"/>
    <col min="3109" max="3109" width="14.25" style="326" customWidth="1"/>
    <col min="3110" max="3110" width="10.75" style="326" bestFit="1" customWidth="1"/>
    <col min="3111" max="3111" width="11.625" style="326" customWidth="1"/>
    <col min="3112" max="3112" width="13.75" style="326" customWidth="1"/>
    <col min="3113" max="3113" width="10.625" style="326" customWidth="1"/>
    <col min="3114" max="3115" width="9" style="326"/>
    <col min="3116" max="3116" width="14.125" style="326" customWidth="1"/>
    <col min="3117" max="3117" width="11" style="326" customWidth="1"/>
    <col min="3118" max="3118" width="10.75" style="326" bestFit="1" customWidth="1"/>
    <col min="3119" max="3119" width="13.5" style="326" customWidth="1"/>
    <col min="3120" max="3121" width="9" style="326"/>
    <col min="3122" max="3122" width="10.75" style="326" bestFit="1" customWidth="1"/>
    <col min="3123" max="3123" width="14" style="326" customWidth="1"/>
    <col min="3124" max="3124" width="9" style="326"/>
    <col min="3125" max="3125" width="10.75" style="326" customWidth="1"/>
    <col min="3126" max="3126" width="12.75" style="326" customWidth="1"/>
    <col min="3127" max="3127" width="9" style="326"/>
    <col min="3128" max="3128" width="10.75" style="326" bestFit="1" customWidth="1"/>
    <col min="3129" max="3129" width="11.5" style="326" customWidth="1"/>
    <col min="3130" max="3130" width="13.625" style="326" customWidth="1"/>
    <col min="3131" max="3131" width="10.625" style="326" customWidth="1"/>
    <col min="3132" max="3132" width="10.75" style="326" bestFit="1" customWidth="1"/>
    <col min="3133" max="3133" width="12.375" style="326" customWidth="1"/>
    <col min="3134" max="3136" width="9" style="326"/>
    <col min="3137" max="3137" width="15.75" style="326" customWidth="1"/>
    <col min="3138" max="3138" width="9" style="326"/>
    <col min="3139" max="3139" width="10.75" style="326" bestFit="1" customWidth="1"/>
    <col min="3140" max="3140" width="12.625" style="326" customWidth="1"/>
    <col min="3141" max="3143" width="9" style="326"/>
    <col min="3144" max="3144" width="13.625" style="326" customWidth="1"/>
    <col min="3145" max="3145" width="9" style="326"/>
    <col min="3146" max="3146" width="10.75" style="326" bestFit="1" customWidth="1"/>
    <col min="3147" max="3147" width="12.5" style="326" customWidth="1"/>
    <col min="3148" max="3150" width="9" style="326"/>
    <col min="3151" max="3151" width="12.875" style="326" customWidth="1"/>
    <col min="3152" max="3152" width="9" style="326"/>
    <col min="3153" max="3153" width="10.75" style="326" bestFit="1" customWidth="1"/>
    <col min="3154" max="3154" width="13.875" style="326" customWidth="1"/>
    <col min="3155" max="3157" width="9" style="326"/>
    <col min="3158" max="3158" width="14.125" style="326" customWidth="1"/>
    <col min="3159" max="3159" width="9" style="326"/>
    <col min="3160" max="3160" width="10.75" style="326" bestFit="1" customWidth="1"/>
    <col min="3161" max="3161" width="13.25" style="326" customWidth="1"/>
    <col min="3162" max="3164" width="9" style="326"/>
    <col min="3165" max="3165" width="13.25" style="326" customWidth="1"/>
    <col min="3166" max="3166" width="9" style="326"/>
    <col min="3167" max="3167" width="10.75" style="326" bestFit="1" customWidth="1"/>
    <col min="3168" max="3168" width="13.875" style="326" customWidth="1"/>
    <col min="3169" max="3171" width="9" style="326"/>
    <col min="3172" max="3172" width="13.625" style="326" customWidth="1"/>
    <col min="3173" max="3173" width="9" style="326"/>
    <col min="3174" max="3174" width="10.75" style="326" bestFit="1" customWidth="1"/>
    <col min="3175" max="3175" width="13" style="326" customWidth="1"/>
    <col min="3176" max="3322" width="9" style="326"/>
    <col min="3323" max="3324" width="12.125" style="326" customWidth="1"/>
    <col min="3325" max="3327" width="13" style="326" customWidth="1"/>
    <col min="3328" max="3328" width="12.875" style="326" customWidth="1"/>
    <col min="3329" max="3329" width="13" style="326" customWidth="1"/>
    <col min="3330" max="3330" width="13.125" style="326" customWidth="1"/>
    <col min="3331" max="3332" width="12.125" style="326" customWidth="1"/>
    <col min="3333" max="3333" width="14.375" style="326" bestFit="1" customWidth="1"/>
    <col min="3334" max="3334" width="11" style="326" customWidth="1"/>
    <col min="3335" max="3335" width="10" style="326" customWidth="1"/>
    <col min="3336" max="3336" width="10.875" style="326" customWidth="1"/>
    <col min="3337" max="3337" width="13.75" style="326" customWidth="1"/>
    <col min="3338" max="3338" width="10" style="326" customWidth="1"/>
    <col min="3339" max="3339" width="13.25" style="326" customWidth="1"/>
    <col min="3340" max="3340" width="14.375" style="326" customWidth="1"/>
    <col min="3341" max="3341" width="10" style="326" customWidth="1"/>
    <col min="3342" max="3342" width="10.875" style="326" customWidth="1"/>
    <col min="3343" max="3343" width="11.375" style="326" customWidth="1"/>
    <col min="3344" max="3344" width="15.375" style="326" customWidth="1"/>
    <col min="3345" max="3346" width="10.75" style="326" customWidth="1"/>
    <col min="3347" max="3347" width="14.375" style="326" customWidth="1"/>
    <col min="3348" max="3348" width="10.75" style="326" customWidth="1"/>
    <col min="3349" max="3349" width="11.75" style="326" customWidth="1"/>
    <col min="3350" max="3350" width="10" style="326" customWidth="1"/>
    <col min="3351" max="3351" width="15.375" style="326" customWidth="1"/>
    <col min="3352" max="3352" width="10" style="326" customWidth="1"/>
    <col min="3353" max="3353" width="10.75" style="326" customWidth="1"/>
    <col min="3354" max="3354" width="14.875" style="326" customWidth="1"/>
    <col min="3355" max="3355" width="11.5" style="326" customWidth="1"/>
    <col min="3356" max="3356" width="10" style="326" customWidth="1"/>
    <col min="3357" max="3357" width="10.75" style="326" customWidth="1"/>
    <col min="3358" max="3358" width="13.5" style="326" customWidth="1"/>
    <col min="3359" max="3359" width="9" style="326"/>
    <col min="3360" max="3360" width="10.75" style="326" bestFit="1" customWidth="1"/>
    <col min="3361" max="3361" width="13.75" style="326" customWidth="1"/>
    <col min="3362" max="3362" width="9" style="326"/>
    <col min="3363" max="3363" width="10.625" style="326" customWidth="1"/>
    <col min="3364" max="3364" width="9" style="326"/>
    <col min="3365" max="3365" width="14.25" style="326" customWidth="1"/>
    <col min="3366" max="3366" width="10.75" style="326" bestFit="1" customWidth="1"/>
    <col min="3367" max="3367" width="11.625" style="326" customWidth="1"/>
    <col min="3368" max="3368" width="13.75" style="326" customWidth="1"/>
    <col min="3369" max="3369" width="10.625" style="326" customWidth="1"/>
    <col min="3370" max="3371" width="9" style="326"/>
    <col min="3372" max="3372" width="14.125" style="326" customWidth="1"/>
    <col min="3373" max="3373" width="11" style="326" customWidth="1"/>
    <col min="3374" max="3374" width="10.75" style="326" bestFit="1" customWidth="1"/>
    <col min="3375" max="3375" width="13.5" style="326" customWidth="1"/>
    <col min="3376" max="3377" width="9" style="326"/>
    <col min="3378" max="3378" width="10.75" style="326" bestFit="1" customWidth="1"/>
    <col min="3379" max="3379" width="14" style="326" customWidth="1"/>
    <col min="3380" max="3380" width="9" style="326"/>
    <col min="3381" max="3381" width="10.75" style="326" customWidth="1"/>
    <col min="3382" max="3382" width="12.75" style="326" customWidth="1"/>
    <col min="3383" max="3383" width="9" style="326"/>
    <col min="3384" max="3384" width="10.75" style="326" bestFit="1" customWidth="1"/>
    <col min="3385" max="3385" width="11.5" style="326" customWidth="1"/>
    <col min="3386" max="3386" width="13.625" style="326" customWidth="1"/>
    <col min="3387" max="3387" width="10.625" style="326" customWidth="1"/>
    <col min="3388" max="3388" width="10.75" style="326" bestFit="1" customWidth="1"/>
    <col min="3389" max="3389" width="12.375" style="326" customWidth="1"/>
    <col min="3390" max="3392" width="9" style="326"/>
    <col min="3393" max="3393" width="15.75" style="326" customWidth="1"/>
    <col min="3394" max="3394" width="9" style="326"/>
    <col min="3395" max="3395" width="10.75" style="326" bestFit="1" customWidth="1"/>
    <col min="3396" max="3396" width="12.625" style="326" customWidth="1"/>
    <col min="3397" max="3399" width="9" style="326"/>
    <col min="3400" max="3400" width="13.625" style="326" customWidth="1"/>
    <col min="3401" max="3401" width="9" style="326"/>
    <col min="3402" max="3402" width="10.75" style="326" bestFit="1" customWidth="1"/>
    <col min="3403" max="3403" width="12.5" style="326" customWidth="1"/>
    <col min="3404" max="3406" width="9" style="326"/>
    <col min="3407" max="3407" width="12.875" style="326" customWidth="1"/>
    <col min="3408" max="3408" width="9" style="326"/>
    <col min="3409" max="3409" width="10.75" style="326" bestFit="1" customWidth="1"/>
    <col min="3410" max="3410" width="13.875" style="326" customWidth="1"/>
    <col min="3411" max="3413" width="9" style="326"/>
    <col min="3414" max="3414" width="14.125" style="326" customWidth="1"/>
    <col min="3415" max="3415" width="9" style="326"/>
    <col min="3416" max="3416" width="10.75" style="326" bestFit="1" customWidth="1"/>
    <col min="3417" max="3417" width="13.25" style="326" customWidth="1"/>
    <col min="3418" max="3420" width="9" style="326"/>
    <col min="3421" max="3421" width="13.25" style="326" customWidth="1"/>
    <col min="3422" max="3422" width="9" style="326"/>
    <col min="3423" max="3423" width="10.75" style="326" bestFit="1" customWidth="1"/>
    <col min="3424" max="3424" width="13.875" style="326" customWidth="1"/>
    <col min="3425" max="3427" width="9" style="326"/>
    <col min="3428" max="3428" width="13.625" style="326" customWidth="1"/>
    <col min="3429" max="3429" width="9" style="326"/>
    <col min="3430" max="3430" width="10.75" style="326" bestFit="1" customWidth="1"/>
    <col min="3431" max="3431" width="13" style="326" customWidth="1"/>
    <col min="3432" max="3578" width="9" style="326"/>
    <col min="3579" max="3580" width="12.125" style="326" customWidth="1"/>
    <col min="3581" max="3583" width="13" style="326" customWidth="1"/>
    <col min="3584" max="3584" width="12.875" style="326" customWidth="1"/>
    <col min="3585" max="3585" width="13" style="326" customWidth="1"/>
    <col min="3586" max="3586" width="13.125" style="326" customWidth="1"/>
    <col min="3587" max="3588" width="12.125" style="326" customWidth="1"/>
    <col min="3589" max="3589" width="14.375" style="326" bestFit="1" customWidth="1"/>
    <col min="3590" max="3590" width="11" style="326" customWidth="1"/>
    <col min="3591" max="3591" width="10" style="326" customWidth="1"/>
    <col min="3592" max="3592" width="10.875" style="326" customWidth="1"/>
    <col min="3593" max="3593" width="13.75" style="326" customWidth="1"/>
    <col min="3594" max="3594" width="10" style="326" customWidth="1"/>
    <col min="3595" max="3595" width="13.25" style="326" customWidth="1"/>
    <col min="3596" max="3596" width="14.375" style="326" customWidth="1"/>
    <col min="3597" max="3597" width="10" style="326" customWidth="1"/>
    <col min="3598" max="3598" width="10.875" style="326" customWidth="1"/>
    <col min="3599" max="3599" width="11.375" style="326" customWidth="1"/>
    <col min="3600" max="3600" width="15.375" style="326" customWidth="1"/>
    <col min="3601" max="3602" width="10.75" style="326" customWidth="1"/>
    <col min="3603" max="3603" width="14.375" style="326" customWidth="1"/>
    <col min="3604" max="3604" width="10.75" style="326" customWidth="1"/>
    <col min="3605" max="3605" width="11.75" style="326" customWidth="1"/>
    <col min="3606" max="3606" width="10" style="326" customWidth="1"/>
    <col min="3607" max="3607" width="15.375" style="326" customWidth="1"/>
    <col min="3608" max="3608" width="10" style="326" customWidth="1"/>
    <col min="3609" max="3609" width="10.75" style="326" customWidth="1"/>
    <col min="3610" max="3610" width="14.875" style="326" customWidth="1"/>
    <col min="3611" max="3611" width="11.5" style="326" customWidth="1"/>
    <col min="3612" max="3612" width="10" style="326" customWidth="1"/>
    <col min="3613" max="3613" width="10.75" style="326" customWidth="1"/>
    <col min="3614" max="3614" width="13.5" style="326" customWidth="1"/>
    <col min="3615" max="3615" width="9" style="326"/>
    <col min="3616" max="3616" width="10.75" style="326" bestFit="1" customWidth="1"/>
    <col min="3617" max="3617" width="13.75" style="326" customWidth="1"/>
    <col min="3618" max="3618" width="9" style="326"/>
    <col min="3619" max="3619" width="10.625" style="326" customWidth="1"/>
    <col min="3620" max="3620" width="9" style="326"/>
    <col min="3621" max="3621" width="14.25" style="326" customWidth="1"/>
    <col min="3622" max="3622" width="10.75" style="326" bestFit="1" customWidth="1"/>
    <col min="3623" max="3623" width="11.625" style="326" customWidth="1"/>
    <col min="3624" max="3624" width="13.75" style="326" customWidth="1"/>
    <col min="3625" max="3625" width="10.625" style="326" customWidth="1"/>
    <col min="3626" max="3627" width="9" style="326"/>
    <col min="3628" max="3628" width="14.125" style="326" customWidth="1"/>
    <col min="3629" max="3629" width="11" style="326" customWidth="1"/>
    <col min="3630" max="3630" width="10.75" style="326" bestFit="1" customWidth="1"/>
    <col min="3631" max="3631" width="13.5" style="326" customWidth="1"/>
    <col min="3632" max="3633" width="9" style="326"/>
    <col min="3634" max="3634" width="10.75" style="326" bestFit="1" customWidth="1"/>
    <col min="3635" max="3635" width="14" style="326" customWidth="1"/>
    <col min="3636" max="3636" width="9" style="326"/>
    <col min="3637" max="3637" width="10.75" style="326" customWidth="1"/>
    <col min="3638" max="3638" width="12.75" style="326" customWidth="1"/>
    <col min="3639" max="3639" width="9" style="326"/>
    <col min="3640" max="3640" width="10.75" style="326" bestFit="1" customWidth="1"/>
    <col min="3641" max="3641" width="11.5" style="326" customWidth="1"/>
    <col min="3642" max="3642" width="13.625" style="326" customWidth="1"/>
    <col min="3643" max="3643" width="10.625" style="326" customWidth="1"/>
    <col min="3644" max="3644" width="10.75" style="326" bestFit="1" customWidth="1"/>
    <col min="3645" max="3645" width="12.375" style="326" customWidth="1"/>
    <col min="3646" max="3648" width="9" style="326"/>
    <col min="3649" max="3649" width="15.75" style="326" customWidth="1"/>
    <col min="3650" max="3650" width="9" style="326"/>
    <col min="3651" max="3651" width="10.75" style="326" bestFit="1" customWidth="1"/>
    <col min="3652" max="3652" width="12.625" style="326" customWidth="1"/>
    <col min="3653" max="3655" width="9" style="326"/>
    <col min="3656" max="3656" width="13.625" style="326" customWidth="1"/>
    <col min="3657" max="3657" width="9" style="326"/>
    <col min="3658" max="3658" width="10.75" style="326" bestFit="1" customWidth="1"/>
    <col min="3659" max="3659" width="12.5" style="326" customWidth="1"/>
    <col min="3660" max="3662" width="9" style="326"/>
    <col min="3663" max="3663" width="12.875" style="326" customWidth="1"/>
    <col min="3664" max="3664" width="9" style="326"/>
    <col min="3665" max="3665" width="10.75" style="326" bestFit="1" customWidth="1"/>
    <col min="3666" max="3666" width="13.875" style="326" customWidth="1"/>
    <col min="3667" max="3669" width="9" style="326"/>
    <col min="3670" max="3670" width="14.125" style="326" customWidth="1"/>
    <col min="3671" max="3671" width="9" style="326"/>
    <col min="3672" max="3672" width="10.75" style="326" bestFit="1" customWidth="1"/>
    <col min="3673" max="3673" width="13.25" style="326" customWidth="1"/>
    <col min="3674" max="3676" width="9" style="326"/>
    <col min="3677" max="3677" width="13.25" style="326" customWidth="1"/>
    <col min="3678" max="3678" width="9" style="326"/>
    <col min="3679" max="3679" width="10.75" style="326" bestFit="1" customWidth="1"/>
    <col min="3680" max="3680" width="13.875" style="326" customWidth="1"/>
    <col min="3681" max="3683" width="9" style="326"/>
    <col min="3684" max="3684" width="13.625" style="326" customWidth="1"/>
    <col min="3685" max="3685" width="9" style="326"/>
    <col min="3686" max="3686" width="10.75" style="326" bestFit="1" customWidth="1"/>
    <col min="3687" max="3687" width="13" style="326" customWidth="1"/>
    <col min="3688" max="3834" width="9" style="326"/>
    <col min="3835" max="3836" width="12.125" style="326" customWidth="1"/>
    <col min="3837" max="3839" width="13" style="326" customWidth="1"/>
    <col min="3840" max="3840" width="12.875" style="326" customWidth="1"/>
    <col min="3841" max="3841" width="13" style="326" customWidth="1"/>
    <col min="3842" max="3842" width="13.125" style="326" customWidth="1"/>
    <col min="3843" max="3844" width="12.125" style="326" customWidth="1"/>
    <col min="3845" max="3845" width="14.375" style="326" bestFit="1" customWidth="1"/>
    <col min="3846" max="3846" width="11" style="326" customWidth="1"/>
    <col min="3847" max="3847" width="10" style="326" customWidth="1"/>
    <col min="3848" max="3848" width="10.875" style="326" customWidth="1"/>
    <col min="3849" max="3849" width="13.75" style="326" customWidth="1"/>
    <col min="3850" max="3850" width="10" style="326" customWidth="1"/>
    <col min="3851" max="3851" width="13.25" style="326" customWidth="1"/>
    <col min="3852" max="3852" width="14.375" style="326" customWidth="1"/>
    <col min="3853" max="3853" width="10" style="326" customWidth="1"/>
    <col min="3854" max="3854" width="10.875" style="326" customWidth="1"/>
    <col min="3855" max="3855" width="11.375" style="326" customWidth="1"/>
    <col min="3856" max="3856" width="15.375" style="326" customWidth="1"/>
    <col min="3857" max="3858" width="10.75" style="326" customWidth="1"/>
    <col min="3859" max="3859" width="14.375" style="326" customWidth="1"/>
    <col min="3860" max="3860" width="10.75" style="326" customWidth="1"/>
    <col min="3861" max="3861" width="11.75" style="326" customWidth="1"/>
    <col min="3862" max="3862" width="10" style="326" customWidth="1"/>
    <col min="3863" max="3863" width="15.375" style="326" customWidth="1"/>
    <col min="3864" max="3864" width="10" style="326" customWidth="1"/>
    <col min="3865" max="3865" width="10.75" style="326" customWidth="1"/>
    <col min="3866" max="3866" width="14.875" style="326" customWidth="1"/>
    <col min="3867" max="3867" width="11.5" style="326" customWidth="1"/>
    <col min="3868" max="3868" width="10" style="326" customWidth="1"/>
    <col min="3869" max="3869" width="10.75" style="326" customWidth="1"/>
    <col min="3870" max="3870" width="13.5" style="326" customWidth="1"/>
    <col min="3871" max="3871" width="9" style="326"/>
    <col min="3872" max="3872" width="10.75" style="326" bestFit="1" customWidth="1"/>
    <col min="3873" max="3873" width="13.75" style="326" customWidth="1"/>
    <col min="3874" max="3874" width="9" style="326"/>
    <col min="3875" max="3875" width="10.625" style="326" customWidth="1"/>
    <col min="3876" max="3876" width="9" style="326"/>
    <col min="3877" max="3877" width="14.25" style="326" customWidth="1"/>
    <col min="3878" max="3878" width="10.75" style="326" bestFit="1" customWidth="1"/>
    <col min="3879" max="3879" width="11.625" style="326" customWidth="1"/>
    <col min="3880" max="3880" width="13.75" style="326" customWidth="1"/>
    <col min="3881" max="3881" width="10.625" style="326" customWidth="1"/>
    <col min="3882" max="3883" width="9" style="326"/>
    <col min="3884" max="3884" width="14.125" style="326" customWidth="1"/>
    <col min="3885" max="3885" width="11" style="326" customWidth="1"/>
    <col min="3886" max="3886" width="10.75" style="326" bestFit="1" customWidth="1"/>
    <col min="3887" max="3887" width="13.5" style="326" customWidth="1"/>
    <col min="3888" max="3889" width="9" style="326"/>
    <col min="3890" max="3890" width="10.75" style="326" bestFit="1" customWidth="1"/>
    <col min="3891" max="3891" width="14" style="326" customWidth="1"/>
    <col min="3892" max="3892" width="9" style="326"/>
    <col min="3893" max="3893" width="10.75" style="326" customWidth="1"/>
    <col min="3894" max="3894" width="12.75" style="326" customWidth="1"/>
    <col min="3895" max="3895" width="9" style="326"/>
    <col min="3896" max="3896" width="10.75" style="326" bestFit="1" customWidth="1"/>
    <col min="3897" max="3897" width="11.5" style="326" customWidth="1"/>
    <col min="3898" max="3898" width="13.625" style="326" customWidth="1"/>
    <col min="3899" max="3899" width="10.625" style="326" customWidth="1"/>
    <col min="3900" max="3900" width="10.75" style="326" bestFit="1" customWidth="1"/>
    <col min="3901" max="3901" width="12.375" style="326" customWidth="1"/>
    <col min="3902" max="3904" width="9" style="326"/>
    <col min="3905" max="3905" width="15.75" style="326" customWidth="1"/>
    <col min="3906" max="3906" width="9" style="326"/>
    <col min="3907" max="3907" width="10.75" style="326" bestFit="1" customWidth="1"/>
    <col min="3908" max="3908" width="12.625" style="326" customWidth="1"/>
    <col min="3909" max="3911" width="9" style="326"/>
    <col min="3912" max="3912" width="13.625" style="326" customWidth="1"/>
    <col min="3913" max="3913" width="9" style="326"/>
    <col min="3914" max="3914" width="10.75" style="326" bestFit="1" customWidth="1"/>
    <col min="3915" max="3915" width="12.5" style="326" customWidth="1"/>
    <col min="3916" max="3918" width="9" style="326"/>
    <col min="3919" max="3919" width="12.875" style="326" customWidth="1"/>
    <col min="3920" max="3920" width="9" style="326"/>
    <col min="3921" max="3921" width="10.75" style="326" bestFit="1" customWidth="1"/>
    <col min="3922" max="3922" width="13.875" style="326" customWidth="1"/>
    <col min="3923" max="3925" width="9" style="326"/>
    <col min="3926" max="3926" width="14.125" style="326" customWidth="1"/>
    <col min="3927" max="3927" width="9" style="326"/>
    <col min="3928" max="3928" width="10.75" style="326" bestFit="1" customWidth="1"/>
    <col min="3929" max="3929" width="13.25" style="326" customWidth="1"/>
    <col min="3930" max="3932" width="9" style="326"/>
    <col min="3933" max="3933" width="13.25" style="326" customWidth="1"/>
    <col min="3934" max="3934" width="9" style="326"/>
    <col min="3935" max="3935" width="10.75" style="326" bestFit="1" customWidth="1"/>
    <col min="3936" max="3936" width="13.875" style="326" customWidth="1"/>
    <col min="3937" max="3939" width="9" style="326"/>
    <col min="3940" max="3940" width="13.625" style="326" customWidth="1"/>
    <col min="3941" max="3941" width="9" style="326"/>
    <col min="3942" max="3942" width="10.75" style="326" bestFit="1" customWidth="1"/>
    <col min="3943" max="3943" width="13" style="326" customWidth="1"/>
    <col min="3944" max="4090" width="9" style="326"/>
    <col min="4091" max="4092" width="12.125" style="326" customWidth="1"/>
    <col min="4093" max="4095" width="13" style="326" customWidth="1"/>
    <col min="4096" max="4096" width="12.875" style="326" customWidth="1"/>
    <col min="4097" max="4097" width="13" style="326" customWidth="1"/>
    <col min="4098" max="4098" width="13.125" style="326" customWidth="1"/>
    <col min="4099" max="4100" width="12.125" style="326" customWidth="1"/>
    <col min="4101" max="4101" width="14.375" style="326" bestFit="1" customWidth="1"/>
    <col min="4102" max="4102" width="11" style="326" customWidth="1"/>
    <col min="4103" max="4103" width="10" style="326" customWidth="1"/>
    <col min="4104" max="4104" width="10.875" style="326" customWidth="1"/>
    <col min="4105" max="4105" width="13.75" style="326" customWidth="1"/>
    <col min="4106" max="4106" width="10" style="326" customWidth="1"/>
    <col min="4107" max="4107" width="13.25" style="326" customWidth="1"/>
    <col min="4108" max="4108" width="14.375" style="326" customWidth="1"/>
    <col min="4109" max="4109" width="10" style="326" customWidth="1"/>
    <col min="4110" max="4110" width="10.875" style="326" customWidth="1"/>
    <col min="4111" max="4111" width="11.375" style="326" customWidth="1"/>
    <col min="4112" max="4112" width="15.375" style="326" customWidth="1"/>
    <col min="4113" max="4114" width="10.75" style="326" customWidth="1"/>
    <col min="4115" max="4115" width="14.375" style="326" customWidth="1"/>
    <col min="4116" max="4116" width="10.75" style="326" customWidth="1"/>
    <col min="4117" max="4117" width="11.75" style="326" customWidth="1"/>
    <col min="4118" max="4118" width="10" style="326" customWidth="1"/>
    <col min="4119" max="4119" width="15.375" style="326" customWidth="1"/>
    <col min="4120" max="4120" width="10" style="326" customWidth="1"/>
    <col min="4121" max="4121" width="10.75" style="326" customWidth="1"/>
    <col min="4122" max="4122" width="14.875" style="326" customWidth="1"/>
    <col min="4123" max="4123" width="11.5" style="326" customWidth="1"/>
    <col min="4124" max="4124" width="10" style="326" customWidth="1"/>
    <col min="4125" max="4125" width="10.75" style="326" customWidth="1"/>
    <col min="4126" max="4126" width="13.5" style="326" customWidth="1"/>
    <col min="4127" max="4127" width="9" style="326"/>
    <col min="4128" max="4128" width="10.75" style="326" bestFit="1" customWidth="1"/>
    <col min="4129" max="4129" width="13.75" style="326" customWidth="1"/>
    <col min="4130" max="4130" width="9" style="326"/>
    <col min="4131" max="4131" width="10.625" style="326" customWidth="1"/>
    <col min="4132" max="4132" width="9" style="326"/>
    <col min="4133" max="4133" width="14.25" style="326" customWidth="1"/>
    <col min="4134" max="4134" width="10.75" style="326" bestFit="1" customWidth="1"/>
    <col min="4135" max="4135" width="11.625" style="326" customWidth="1"/>
    <col min="4136" max="4136" width="13.75" style="326" customWidth="1"/>
    <col min="4137" max="4137" width="10.625" style="326" customWidth="1"/>
    <col min="4138" max="4139" width="9" style="326"/>
    <col min="4140" max="4140" width="14.125" style="326" customWidth="1"/>
    <col min="4141" max="4141" width="11" style="326" customWidth="1"/>
    <col min="4142" max="4142" width="10.75" style="326" bestFit="1" customWidth="1"/>
    <col min="4143" max="4143" width="13.5" style="326" customWidth="1"/>
    <col min="4144" max="4145" width="9" style="326"/>
    <col min="4146" max="4146" width="10.75" style="326" bestFit="1" customWidth="1"/>
    <col min="4147" max="4147" width="14" style="326" customWidth="1"/>
    <col min="4148" max="4148" width="9" style="326"/>
    <col min="4149" max="4149" width="10.75" style="326" customWidth="1"/>
    <col min="4150" max="4150" width="12.75" style="326" customWidth="1"/>
    <col min="4151" max="4151" width="9" style="326"/>
    <col min="4152" max="4152" width="10.75" style="326" bestFit="1" customWidth="1"/>
    <col min="4153" max="4153" width="11.5" style="326" customWidth="1"/>
    <col min="4154" max="4154" width="13.625" style="326" customWidth="1"/>
    <col min="4155" max="4155" width="10.625" style="326" customWidth="1"/>
    <col min="4156" max="4156" width="10.75" style="326" bestFit="1" customWidth="1"/>
    <col min="4157" max="4157" width="12.375" style="326" customWidth="1"/>
    <col min="4158" max="4160" width="9" style="326"/>
    <col min="4161" max="4161" width="15.75" style="326" customWidth="1"/>
    <col min="4162" max="4162" width="9" style="326"/>
    <col min="4163" max="4163" width="10.75" style="326" bestFit="1" customWidth="1"/>
    <col min="4164" max="4164" width="12.625" style="326" customWidth="1"/>
    <col min="4165" max="4167" width="9" style="326"/>
    <col min="4168" max="4168" width="13.625" style="326" customWidth="1"/>
    <col min="4169" max="4169" width="9" style="326"/>
    <col min="4170" max="4170" width="10.75" style="326" bestFit="1" customWidth="1"/>
    <col min="4171" max="4171" width="12.5" style="326" customWidth="1"/>
    <col min="4172" max="4174" width="9" style="326"/>
    <col min="4175" max="4175" width="12.875" style="326" customWidth="1"/>
    <col min="4176" max="4176" width="9" style="326"/>
    <col min="4177" max="4177" width="10.75" style="326" bestFit="1" customWidth="1"/>
    <col min="4178" max="4178" width="13.875" style="326" customWidth="1"/>
    <col min="4179" max="4181" width="9" style="326"/>
    <col min="4182" max="4182" width="14.125" style="326" customWidth="1"/>
    <col min="4183" max="4183" width="9" style="326"/>
    <col min="4184" max="4184" width="10.75" style="326" bestFit="1" customWidth="1"/>
    <col min="4185" max="4185" width="13.25" style="326" customWidth="1"/>
    <col min="4186" max="4188" width="9" style="326"/>
    <col min="4189" max="4189" width="13.25" style="326" customWidth="1"/>
    <col min="4190" max="4190" width="9" style="326"/>
    <col min="4191" max="4191" width="10.75" style="326" bestFit="1" customWidth="1"/>
    <col min="4192" max="4192" width="13.875" style="326" customWidth="1"/>
    <col min="4193" max="4195" width="9" style="326"/>
    <col min="4196" max="4196" width="13.625" style="326" customWidth="1"/>
    <col min="4197" max="4197" width="9" style="326"/>
    <col min="4198" max="4198" width="10.75" style="326" bestFit="1" customWidth="1"/>
    <col min="4199" max="4199" width="13" style="326" customWidth="1"/>
    <col min="4200" max="4346" width="9" style="326"/>
    <col min="4347" max="4348" width="12.125" style="326" customWidth="1"/>
    <col min="4349" max="4351" width="13" style="326" customWidth="1"/>
    <col min="4352" max="4352" width="12.875" style="326" customWidth="1"/>
    <col min="4353" max="4353" width="13" style="326" customWidth="1"/>
    <col min="4354" max="4354" width="13.125" style="326" customWidth="1"/>
    <col min="4355" max="4356" width="12.125" style="326" customWidth="1"/>
    <col min="4357" max="4357" width="14.375" style="326" bestFit="1" customWidth="1"/>
    <col min="4358" max="4358" width="11" style="326" customWidth="1"/>
    <col min="4359" max="4359" width="10" style="326" customWidth="1"/>
    <col min="4360" max="4360" width="10.875" style="326" customWidth="1"/>
    <col min="4361" max="4361" width="13.75" style="326" customWidth="1"/>
    <col min="4362" max="4362" width="10" style="326" customWidth="1"/>
    <col min="4363" max="4363" width="13.25" style="326" customWidth="1"/>
    <col min="4364" max="4364" width="14.375" style="326" customWidth="1"/>
    <col min="4365" max="4365" width="10" style="326" customWidth="1"/>
    <col min="4366" max="4366" width="10.875" style="326" customWidth="1"/>
    <col min="4367" max="4367" width="11.375" style="326" customWidth="1"/>
    <col min="4368" max="4368" width="15.375" style="326" customWidth="1"/>
    <col min="4369" max="4370" width="10.75" style="326" customWidth="1"/>
    <col min="4371" max="4371" width="14.375" style="326" customWidth="1"/>
    <col min="4372" max="4372" width="10.75" style="326" customWidth="1"/>
    <col min="4373" max="4373" width="11.75" style="326" customWidth="1"/>
    <col min="4374" max="4374" width="10" style="326" customWidth="1"/>
    <col min="4375" max="4375" width="15.375" style="326" customWidth="1"/>
    <col min="4376" max="4376" width="10" style="326" customWidth="1"/>
    <col min="4377" max="4377" width="10.75" style="326" customWidth="1"/>
    <col min="4378" max="4378" width="14.875" style="326" customWidth="1"/>
    <col min="4379" max="4379" width="11.5" style="326" customWidth="1"/>
    <col min="4380" max="4380" width="10" style="326" customWidth="1"/>
    <col min="4381" max="4381" width="10.75" style="326" customWidth="1"/>
    <col min="4382" max="4382" width="13.5" style="326" customWidth="1"/>
    <col min="4383" max="4383" width="9" style="326"/>
    <col min="4384" max="4384" width="10.75" style="326" bestFit="1" customWidth="1"/>
    <col min="4385" max="4385" width="13.75" style="326" customWidth="1"/>
    <col min="4386" max="4386" width="9" style="326"/>
    <col min="4387" max="4387" width="10.625" style="326" customWidth="1"/>
    <col min="4388" max="4388" width="9" style="326"/>
    <col min="4389" max="4389" width="14.25" style="326" customWidth="1"/>
    <col min="4390" max="4390" width="10.75" style="326" bestFit="1" customWidth="1"/>
    <col min="4391" max="4391" width="11.625" style="326" customWidth="1"/>
    <col min="4392" max="4392" width="13.75" style="326" customWidth="1"/>
    <col min="4393" max="4393" width="10.625" style="326" customWidth="1"/>
    <col min="4394" max="4395" width="9" style="326"/>
    <col min="4396" max="4396" width="14.125" style="326" customWidth="1"/>
    <col min="4397" max="4397" width="11" style="326" customWidth="1"/>
    <col min="4398" max="4398" width="10.75" style="326" bestFit="1" customWidth="1"/>
    <col min="4399" max="4399" width="13.5" style="326" customWidth="1"/>
    <col min="4400" max="4401" width="9" style="326"/>
    <col min="4402" max="4402" width="10.75" style="326" bestFit="1" customWidth="1"/>
    <col min="4403" max="4403" width="14" style="326" customWidth="1"/>
    <col min="4404" max="4404" width="9" style="326"/>
    <col min="4405" max="4405" width="10.75" style="326" customWidth="1"/>
    <col min="4406" max="4406" width="12.75" style="326" customWidth="1"/>
    <col min="4407" max="4407" width="9" style="326"/>
    <col min="4408" max="4408" width="10.75" style="326" bestFit="1" customWidth="1"/>
    <col min="4409" max="4409" width="11.5" style="326" customWidth="1"/>
    <col min="4410" max="4410" width="13.625" style="326" customWidth="1"/>
    <col min="4411" max="4411" width="10.625" style="326" customWidth="1"/>
    <col min="4412" max="4412" width="10.75" style="326" bestFit="1" customWidth="1"/>
    <col min="4413" max="4413" width="12.375" style="326" customWidth="1"/>
    <col min="4414" max="4416" width="9" style="326"/>
    <col min="4417" max="4417" width="15.75" style="326" customWidth="1"/>
    <col min="4418" max="4418" width="9" style="326"/>
    <col min="4419" max="4419" width="10.75" style="326" bestFit="1" customWidth="1"/>
    <col min="4420" max="4420" width="12.625" style="326" customWidth="1"/>
    <col min="4421" max="4423" width="9" style="326"/>
    <col min="4424" max="4424" width="13.625" style="326" customWidth="1"/>
    <col min="4425" max="4425" width="9" style="326"/>
    <col min="4426" max="4426" width="10.75" style="326" bestFit="1" customWidth="1"/>
    <col min="4427" max="4427" width="12.5" style="326" customWidth="1"/>
    <col min="4428" max="4430" width="9" style="326"/>
    <col min="4431" max="4431" width="12.875" style="326" customWidth="1"/>
    <col min="4432" max="4432" width="9" style="326"/>
    <col min="4433" max="4433" width="10.75" style="326" bestFit="1" customWidth="1"/>
    <col min="4434" max="4434" width="13.875" style="326" customWidth="1"/>
    <col min="4435" max="4437" width="9" style="326"/>
    <col min="4438" max="4438" width="14.125" style="326" customWidth="1"/>
    <col min="4439" max="4439" width="9" style="326"/>
    <col min="4440" max="4440" width="10.75" style="326" bestFit="1" customWidth="1"/>
    <col min="4441" max="4441" width="13.25" style="326" customWidth="1"/>
    <col min="4442" max="4444" width="9" style="326"/>
    <col min="4445" max="4445" width="13.25" style="326" customWidth="1"/>
    <col min="4446" max="4446" width="9" style="326"/>
    <col min="4447" max="4447" width="10.75" style="326" bestFit="1" customWidth="1"/>
    <col min="4448" max="4448" width="13.875" style="326" customWidth="1"/>
    <col min="4449" max="4451" width="9" style="326"/>
    <col min="4452" max="4452" width="13.625" style="326" customWidth="1"/>
    <col min="4453" max="4453" width="9" style="326"/>
    <col min="4454" max="4454" width="10.75" style="326" bestFit="1" customWidth="1"/>
    <col min="4455" max="4455" width="13" style="326" customWidth="1"/>
    <col min="4456" max="4602" width="9" style="326"/>
    <col min="4603" max="4604" width="12.125" style="326" customWidth="1"/>
    <col min="4605" max="4607" width="13" style="326" customWidth="1"/>
    <col min="4608" max="4608" width="12.875" style="326" customWidth="1"/>
    <col min="4609" max="4609" width="13" style="326" customWidth="1"/>
    <col min="4610" max="4610" width="13.125" style="326" customWidth="1"/>
    <col min="4611" max="4612" width="12.125" style="326" customWidth="1"/>
    <col min="4613" max="4613" width="14.375" style="326" bestFit="1" customWidth="1"/>
    <col min="4614" max="4614" width="11" style="326" customWidth="1"/>
    <col min="4615" max="4615" width="10" style="326" customWidth="1"/>
    <col min="4616" max="4616" width="10.875" style="326" customWidth="1"/>
    <col min="4617" max="4617" width="13.75" style="326" customWidth="1"/>
    <col min="4618" max="4618" width="10" style="326" customWidth="1"/>
    <col min="4619" max="4619" width="13.25" style="326" customWidth="1"/>
    <col min="4620" max="4620" width="14.375" style="326" customWidth="1"/>
    <col min="4621" max="4621" width="10" style="326" customWidth="1"/>
    <col min="4622" max="4622" width="10.875" style="326" customWidth="1"/>
    <col min="4623" max="4623" width="11.375" style="326" customWidth="1"/>
    <col min="4624" max="4624" width="15.375" style="326" customWidth="1"/>
    <col min="4625" max="4626" width="10.75" style="326" customWidth="1"/>
    <col min="4627" max="4627" width="14.375" style="326" customWidth="1"/>
    <col min="4628" max="4628" width="10.75" style="326" customWidth="1"/>
    <col min="4629" max="4629" width="11.75" style="326" customWidth="1"/>
    <col min="4630" max="4630" width="10" style="326" customWidth="1"/>
    <col min="4631" max="4631" width="15.375" style="326" customWidth="1"/>
    <col min="4632" max="4632" width="10" style="326" customWidth="1"/>
    <col min="4633" max="4633" width="10.75" style="326" customWidth="1"/>
    <col min="4634" max="4634" width="14.875" style="326" customWidth="1"/>
    <col min="4635" max="4635" width="11.5" style="326" customWidth="1"/>
    <col min="4636" max="4636" width="10" style="326" customWidth="1"/>
    <col min="4637" max="4637" width="10.75" style="326" customWidth="1"/>
    <col min="4638" max="4638" width="13.5" style="326" customWidth="1"/>
    <col min="4639" max="4639" width="9" style="326"/>
    <col min="4640" max="4640" width="10.75" style="326" bestFit="1" customWidth="1"/>
    <col min="4641" max="4641" width="13.75" style="326" customWidth="1"/>
    <col min="4642" max="4642" width="9" style="326"/>
    <col min="4643" max="4643" width="10.625" style="326" customWidth="1"/>
    <col min="4644" max="4644" width="9" style="326"/>
    <col min="4645" max="4645" width="14.25" style="326" customWidth="1"/>
    <col min="4646" max="4646" width="10.75" style="326" bestFit="1" customWidth="1"/>
    <col min="4647" max="4647" width="11.625" style="326" customWidth="1"/>
    <col min="4648" max="4648" width="13.75" style="326" customWidth="1"/>
    <col min="4649" max="4649" width="10.625" style="326" customWidth="1"/>
    <col min="4650" max="4651" width="9" style="326"/>
    <col min="4652" max="4652" width="14.125" style="326" customWidth="1"/>
    <col min="4653" max="4653" width="11" style="326" customWidth="1"/>
    <col min="4654" max="4654" width="10.75" style="326" bestFit="1" customWidth="1"/>
    <col min="4655" max="4655" width="13.5" style="326" customWidth="1"/>
    <col min="4656" max="4657" width="9" style="326"/>
    <col min="4658" max="4658" width="10.75" style="326" bestFit="1" customWidth="1"/>
    <col min="4659" max="4659" width="14" style="326" customWidth="1"/>
    <col min="4660" max="4660" width="9" style="326"/>
    <col min="4661" max="4661" width="10.75" style="326" customWidth="1"/>
    <col min="4662" max="4662" width="12.75" style="326" customWidth="1"/>
    <col min="4663" max="4663" width="9" style="326"/>
    <col min="4664" max="4664" width="10.75" style="326" bestFit="1" customWidth="1"/>
    <col min="4665" max="4665" width="11.5" style="326" customWidth="1"/>
    <col min="4666" max="4666" width="13.625" style="326" customWidth="1"/>
    <col min="4667" max="4667" width="10.625" style="326" customWidth="1"/>
    <col min="4668" max="4668" width="10.75" style="326" bestFit="1" customWidth="1"/>
    <col min="4669" max="4669" width="12.375" style="326" customWidth="1"/>
    <col min="4670" max="4672" width="9" style="326"/>
    <col min="4673" max="4673" width="15.75" style="326" customWidth="1"/>
    <col min="4674" max="4674" width="9" style="326"/>
    <col min="4675" max="4675" width="10.75" style="326" bestFit="1" customWidth="1"/>
    <col min="4676" max="4676" width="12.625" style="326" customWidth="1"/>
    <col min="4677" max="4679" width="9" style="326"/>
    <col min="4680" max="4680" width="13.625" style="326" customWidth="1"/>
    <col min="4681" max="4681" width="9" style="326"/>
    <col min="4682" max="4682" width="10.75" style="326" bestFit="1" customWidth="1"/>
    <col min="4683" max="4683" width="12.5" style="326" customWidth="1"/>
    <col min="4684" max="4686" width="9" style="326"/>
    <col min="4687" max="4687" width="12.875" style="326" customWidth="1"/>
    <col min="4688" max="4688" width="9" style="326"/>
    <col min="4689" max="4689" width="10.75" style="326" bestFit="1" customWidth="1"/>
    <col min="4690" max="4690" width="13.875" style="326" customWidth="1"/>
    <col min="4691" max="4693" width="9" style="326"/>
    <col min="4694" max="4694" width="14.125" style="326" customWidth="1"/>
    <col min="4695" max="4695" width="9" style="326"/>
    <col min="4696" max="4696" width="10.75" style="326" bestFit="1" customWidth="1"/>
    <col min="4697" max="4697" width="13.25" style="326" customWidth="1"/>
    <col min="4698" max="4700" width="9" style="326"/>
    <col min="4701" max="4701" width="13.25" style="326" customWidth="1"/>
    <col min="4702" max="4702" width="9" style="326"/>
    <col min="4703" max="4703" width="10.75" style="326" bestFit="1" customWidth="1"/>
    <col min="4704" max="4704" width="13.875" style="326" customWidth="1"/>
    <col min="4705" max="4707" width="9" style="326"/>
    <col min="4708" max="4708" width="13.625" style="326" customWidth="1"/>
    <col min="4709" max="4709" width="9" style="326"/>
    <col min="4710" max="4710" width="10.75" style="326" bestFit="1" customWidth="1"/>
    <col min="4711" max="4711" width="13" style="326" customWidth="1"/>
    <col min="4712" max="4858" width="9" style="326"/>
    <col min="4859" max="4860" width="12.125" style="326" customWidth="1"/>
    <col min="4861" max="4863" width="13" style="326" customWidth="1"/>
    <col min="4864" max="4864" width="12.875" style="326" customWidth="1"/>
    <col min="4865" max="4865" width="13" style="326" customWidth="1"/>
    <col min="4866" max="4866" width="13.125" style="326" customWidth="1"/>
    <col min="4867" max="4868" width="12.125" style="326" customWidth="1"/>
    <col min="4869" max="4869" width="14.375" style="326" bestFit="1" customWidth="1"/>
    <col min="4870" max="4870" width="11" style="326" customWidth="1"/>
    <col min="4871" max="4871" width="10" style="326" customWidth="1"/>
    <col min="4872" max="4872" width="10.875" style="326" customWidth="1"/>
    <col min="4873" max="4873" width="13.75" style="326" customWidth="1"/>
    <col min="4874" max="4874" width="10" style="326" customWidth="1"/>
    <col min="4875" max="4875" width="13.25" style="326" customWidth="1"/>
    <col min="4876" max="4876" width="14.375" style="326" customWidth="1"/>
    <col min="4877" max="4877" width="10" style="326" customWidth="1"/>
    <col min="4878" max="4878" width="10.875" style="326" customWidth="1"/>
    <col min="4879" max="4879" width="11.375" style="326" customWidth="1"/>
    <col min="4880" max="4880" width="15.375" style="326" customWidth="1"/>
    <col min="4881" max="4882" width="10.75" style="326" customWidth="1"/>
    <col min="4883" max="4883" width="14.375" style="326" customWidth="1"/>
    <col min="4884" max="4884" width="10.75" style="326" customWidth="1"/>
    <col min="4885" max="4885" width="11.75" style="326" customWidth="1"/>
    <col min="4886" max="4886" width="10" style="326" customWidth="1"/>
    <col min="4887" max="4887" width="15.375" style="326" customWidth="1"/>
    <col min="4888" max="4888" width="10" style="326" customWidth="1"/>
    <col min="4889" max="4889" width="10.75" style="326" customWidth="1"/>
    <col min="4890" max="4890" width="14.875" style="326" customWidth="1"/>
    <col min="4891" max="4891" width="11.5" style="326" customWidth="1"/>
    <col min="4892" max="4892" width="10" style="326" customWidth="1"/>
    <col min="4893" max="4893" width="10.75" style="326" customWidth="1"/>
    <col min="4894" max="4894" width="13.5" style="326" customWidth="1"/>
    <col min="4895" max="4895" width="9" style="326"/>
    <col min="4896" max="4896" width="10.75" style="326" bestFit="1" customWidth="1"/>
    <col min="4897" max="4897" width="13.75" style="326" customWidth="1"/>
    <col min="4898" max="4898" width="9" style="326"/>
    <col min="4899" max="4899" width="10.625" style="326" customWidth="1"/>
    <col min="4900" max="4900" width="9" style="326"/>
    <col min="4901" max="4901" width="14.25" style="326" customWidth="1"/>
    <col min="4902" max="4902" width="10.75" style="326" bestFit="1" customWidth="1"/>
    <col min="4903" max="4903" width="11.625" style="326" customWidth="1"/>
    <col min="4904" max="4904" width="13.75" style="326" customWidth="1"/>
    <col min="4905" max="4905" width="10.625" style="326" customWidth="1"/>
    <col min="4906" max="4907" width="9" style="326"/>
    <col min="4908" max="4908" width="14.125" style="326" customWidth="1"/>
    <col min="4909" max="4909" width="11" style="326" customWidth="1"/>
    <col min="4910" max="4910" width="10.75" style="326" bestFit="1" customWidth="1"/>
    <col min="4911" max="4911" width="13.5" style="326" customWidth="1"/>
    <col min="4912" max="4913" width="9" style="326"/>
    <col min="4914" max="4914" width="10.75" style="326" bestFit="1" customWidth="1"/>
    <col min="4915" max="4915" width="14" style="326" customWidth="1"/>
    <col min="4916" max="4916" width="9" style="326"/>
    <col min="4917" max="4917" width="10.75" style="326" customWidth="1"/>
    <col min="4918" max="4918" width="12.75" style="326" customWidth="1"/>
    <col min="4919" max="4919" width="9" style="326"/>
    <col min="4920" max="4920" width="10.75" style="326" bestFit="1" customWidth="1"/>
    <col min="4921" max="4921" width="11.5" style="326" customWidth="1"/>
    <col min="4922" max="4922" width="13.625" style="326" customWidth="1"/>
    <col min="4923" max="4923" width="10.625" style="326" customWidth="1"/>
    <col min="4924" max="4924" width="10.75" style="326" bestFit="1" customWidth="1"/>
    <col min="4925" max="4925" width="12.375" style="326" customWidth="1"/>
    <col min="4926" max="4928" width="9" style="326"/>
    <col min="4929" max="4929" width="15.75" style="326" customWidth="1"/>
    <col min="4930" max="4930" width="9" style="326"/>
    <col min="4931" max="4931" width="10.75" style="326" bestFit="1" customWidth="1"/>
    <col min="4932" max="4932" width="12.625" style="326" customWidth="1"/>
    <col min="4933" max="4935" width="9" style="326"/>
    <col min="4936" max="4936" width="13.625" style="326" customWidth="1"/>
    <col min="4937" max="4937" width="9" style="326"/>
    <col min="4938" max="4938" width="10.75" style="326" bestFit="1" customWidth="1"/>
    <col min="4939" max="4939" width="12.5" style="326" customWidth="1"/>
    <col min="4940" max="4942" width="9" style="326"/>
    <col min="4943" max="4943" width="12.875" style="326" customWidth="1"/>
    <col min="4944" max="4944" width="9" style="326"/>
    <col min="4945" max="4945" width="10.75" style="326" bestFit="1" customWidth="1"/>
    <col min="4946" max="4946" width="13.875" style="326" customWidth="1"/>
    <col min="4947" max="4949" width="9" style="326"/>
    <col min="4950" max="4950" width="14.125" style="326" customWidth="1"/>
    <col min="4951" max="4951" width="9" style="326"/>
    <col min="4952" max="4952" width="10.75" style="326" bestFit="1" customWidth="1"/>
    <col min="4953" max="4953" width="13.25" style="326" customWidth="1"/>
    <col min="4954" max="4956" width="9" style="326"/>
    <col min="4957" max="4957" width="13.25" style="326" customWidth="1"/>
    <col min="4958" max="4958" width="9" style="326"/>
    <col min="4959" max="4959" width="10.75" style="326" bestFit="1" customWidth="1"/>
    <col min="4960" max="4960" width="13.875" style="326" customWidth="1"/>
    <col min="4961" max="4963" width="9" style="326"/>
    <col min="4964" max="4964" width="13.625" style="326" customWidth="1"/>
    <col min="4965" max="4965" width="9" style="326"/>
    <col min="4966" max="4966" width="10.75" style="326" bestFit="1" customWidth="1"/>
    <col min="4967" max="4967" width="13" style="326" customWidth="1"/>
    <col min="4968" max="5114" width="9" style="326"/>
    <col min="5115" max="5116" width="12.125" style="326" customWidth="1"/>
    <col min="5117" max="5119" width="13" style="326" customWidth="1"/>
    <col min="5120" max="5120" width="12.875" style="326" customWidth="1"/>
    <col min="5121" max="5121" width="13" style="326" customWidth="1"/>
    <col min="5122" max="5122" width="13.125" style="326" customWidth="1"/>
    <col min="5123" max="5124" width="12.125" style="326" customWidth="1"/>
    <col min="5125" max="5125" width="14.375" style="326" bestFit="1" customWidth="1"/>
    <col min="5126" max="5126" width="11" style="326" customWidth="1"/>
    <col min="5127" max="5127" width="10" style="326" customWidth="1"/>
    <col min="5128" max="5128" width="10.875" style="326" customWidth="1"/>
    <col min="5129" max="5129" width="13.75" style="326" customWidth="1"/>
    <col min="5130" max="5130" width="10" style="326" customWidth="1"/>
    <col min="5131" max="5131" width="13.25" style="326" customWidth="1"/>
    <col min="5132" max="5132" width="14.375" style="326" customWidth="1"/>
    <col min="5133" max="5133" width="10" style="326" customWidth="1"/>
    <col min="5134" max="5134" width="10.875" style="326" customWidth="1"/>
    <col min="5135" max="5135" width="11.375" style="326" customWidth="1"/>
    <col min="5136" max="5136" width="15.375" style="326" customWidth="1"/>
    <col min="5137" max="5138" width="10.75" style="326" customWidth="1"/>
    <col min="5139" max="5139" width="14.375" style="326" customWidth="1"/>
    <col min="5140" max="5140" width="10.75" style="326" customWidth="1"/>
    <col min="5141" max="5141" width="11.75" style="326" customWidth="1"/>
    <col min="5142" max="5142" width="10" style="326" customWidth="1"/>
    <col min="5143" max="5143" width="15.375" style="326" customWidth="1"/>
    <col min="5144" max="5144" width="10" style="326" customWidth="1"/>
    <col min="5145" max="5145" width="10.75" style="326" customWidth="1"/>
    <col min="5146" max="5146" width="14.875" style="326" customWidth="1"/>
    <col min="5147" max="5147" width="11.5" style="326" customWidth="1"/>
    <col min="5148" max="5148" width="10" style="326" customWidth="1"/>
    <col min="5149" max="5149" width="10.75" style="326" customWidth="1"/>
    <col min="5150" max="5150" width="13.5" style="326" customWidth="1"/>
    <col min="5151" max="5151" width="9" style="326"/>
    <col min="5152" max="5152" width="10.75" style="326" bestFit="1" customWidth="1"/>
    <col min="5153" max="5153" width="13.75" style="326" customWidth="1"/>
    <col min="5154" max="5154" width="9" style="326"/>
    <col min="5155" max="5155" width="10.625" style="326" customWidth="1"/>
    <col min="5156" max="5156" width="9" style="326"/>
    <col min="5157" max="5157" width="14.25" style="326" customWidth="1"/>
    <col min="5158" max="5158" width="10.75" style="326" bestFit="1" customWidth="1"/>
    <col min="5159" max="5159" width="11.625" style="326" customWidth="1"/>
    <col min="5160" max="5160" width="13.75" style="326" customWidth="1"/>
    <col min="5161" max="5161" width="10.625" style="326" customWidth="1"/>
    <col min="5162" max="5163" width="9" style="326"/>
    <col min="5164" max="5164" width="14.125" style="326" customWidth="1"/>
    <col min="5165" max="5165" width="11" style="326" customWidth="1"/>
    <col min="5166" max="5166" width="10.75" style="326" bestFit="1" customWidth="1"/>
    <col min="5167" max="5167" width="13.5" style="326" customWidth="1"/>
    <col min="5168" max="5169" width="9" style="326"/>
    <col min="5170" max="5170" width="10.75" style="326" bestFit="1" customWidth="1"/>
    <col min="5171" max="5171" width="14" style="326" customWidth="1"/>
    <col min="5172" max="5172" width="9" style="326"/>
    <col min="5173" max="5173" width="10.75" style="326" customWidth="1"/>
    <col min="5174" max="5174" width="12.75" style="326" customWidth="1"/>
    <col min="5175" max="5175" width="9" style="326"/>
    <col min="5176" max="5176" width="10.75" style="326" bestFit="1" customWidth="1"/>
    <col min="5177" max="5177" width="11.5" style="326" customWidth="1"/>
    <col min="5178" max="5178" width="13.625" style="326" customWidth="1"/>
    <col min="5179" max="5179" width="10.625" style="326" customWidth="1"/>
    <col min="5180" max="5180" width="10.75" style="326" bestFit="1" customWidth="1"/>
    <col min="5181" max="5181" width="12.375" style="326" customWidth="1"/>
    <col min="5182" max="5184" width="9" style="326"/>
    <col min="5185" max="5185" width="15.75" style="326" customWidth="1"/>
    <col min="5186" max="5186" width="9" style="326"/>
    <col min="5187" max="5187" width="10.75" style="326" bestFit="1" customWidth="1"/>
    <col min="5188" max="5188" width="12.625" style="326" customWidth="1"/>
    <col min="5189" max="5191" width="9" style="326"/>
    <col min="5192" max="5192" width="13.625" style="326" customWidth="1"/>
    <col min="5193" max="5193" width="9" style="326"/>
    <col min="5194" max="5194" width="10.75" style="326" bestFit="1" customWidth="1"/>
    <col min="5195" max="5195" width="12.5" style="326" customWidth="1"/>
    <col min="5196" max="5198" width="9" style="326"/>
    <col min="5199" max="5199" width="12.875" style="326" customWidth="1"/>
    <col min="5200" max="5200" width="9" style="326"/>
    <col min="5201" max="5201" width="10.75" style="326" bestFit="1" customWidth="1"/>
    <col min="5202" max="5202" width="13.875" style="326" customWidth="1"/>
    <col min="5203" max="5205" width="9" style="326"/>
    <col min="5206" max="5206" width="14.125" style="326" customWidth="1"/>
    <col min="5207" max="5207" width="9" style="326"/>
    <col min="5208" max="5208" width="10.75" style="326" bestFit="1" customWidth="1"/>
    <col min="5209" max="5209" width="13.25" style="326" customWidth="1"/>
    <col min="5210" max="5212" width="9" style="326"/>
    <col min="5213" max="5213" width="13.25" style="326" customWidth="1"/>
    <col min="5214" max="5214" width="9" style="326"/>
    <col min="5215" max="5215" width="10.75" style="326" bestFit="1" customWidth="1"/>
    <col min="5216" max="5216" width="13.875" style="326" customWidth="1"/>
    <col min="5217" max="5219" width="9" style="326"/>
    <col min="5220" max="5220" width="13.625" style="326" customWidth="1"/>
    <col min="5221" max="5221" width="9" style="326"/>
    <col min="5222" max="5222" width="10.75" style="326" bestFit="1" customWidth="1"/>
    <col min="5223" max="5223" width="13" style="326" customWidth="1"/>
    <col min="5224" max="5370" width="9" style="326"/>
    <col min="5371" max="5372" width="12.125" style="326" customWidth="1"/>
    <col min="5373" max="5375" width="13" style="326" customWidth="1"/>
    <col min="5376" max="5376" width="12.875" style="326" customWidth="1"/>
    <col min="5377" max="5377" width="13" style="326" customWidth="1"/>
    <col min="5378" max="5378" width="13.125" style="326" customWidth="1"/>
    <col min="5379" max="5380" width="12.125" style="326" customWidth="1"/>
    <col min="5381" max="5381" width="14.375" style="326" bestFit="1" customWidth="1"/>
    <col min="5382" max="5382" width="11" style="326" customWidth="1"/>
    <col min="5383" max="5383" width="10" style="326" customWidth="1"/>
    <col min="5384" max="5384" width="10.875" style="326" customWidth="1"/>
    <col min="5385" max="5385" width="13.75" style="326" customWidth="1"/>
    <col min="5386" max="5386" width="10" style="326" customWidth="1"/>
    <col min="5387" max="5387" width="13.25" style="326" customWidth="1"/>
    <col min="5388" max="5388" width="14.375" style="326" customWidth="1"/>
    <col min="5389" max="5389" width="10" style="326" customWidth="1"/>
    <col min="5390" max="5390" width="10.875" style="326" customWidth="1"/>
    <col min="5391" max="5391" width="11.375" style="326" customWidth="1"/>
    <col min="5392" max="5392" width="15.375" style="326" customWidth="1"/>
    <col min="5393" max="5394" width="10.75" style="326" customWidth="1"/>
    <col min="5395" max="5395" width="14.375" style="326" customWidth="1"/>
    <col min="5396" max="5396" width="10.75" style="326" customWidth="1"/>
    <col min="5397" max="5397" width="11.75" style="326" customWidth="1"/>
    <col min="5398" max="5398" width="10" style="326" customWidth="1"/>
    <col min="5399" max="5399" width="15.375" style="326" customWidth="1"/>
    <col min="5400" max="5400" width="10" style="326" customWidth="1"/>
    <col min="5401" max="5401" width="10.75" style="326" customWidth="1"/>
    <col min="5402" max="5402" width="14.875" style="326" customWidth="1"/>
    <col min="5403" max="5403" width="11.5" style="326" customWidth="1"/>
    <col min="5404" max="5404" width="10" style="326" customWidth="1"/>
    <col min="5405" max="5405" width="10.75" style="326" customWidth="1"/>
    <col min="5406" max="5406" width="13.5" style="326" customWidth="1"/>
    <col min="5407" max="5407" width="9" style="326"/>
    <col min="5408" max="5408" width="10.75" style="326" bestFit="1" customWidth="1"/>
    <col min="5409" max="5409" width="13.75" style="326" customWidth="1"/>
    <col min="5410" max="5410" width="9" style="326"/>
    <col min="5411" max="5411" width="10.625" style="326" customWidth="1"/>
    <col min="5412" max="5412" width="9" style="326"/>
    <col min="5413" max="5413" width="14.25" style="326" customWidth="1"/>
    <col min="5414" max="5414" width="10.75" style="326" bestFit="1" customWidth="1"/>
    <col min="5415" max="5415" width="11.625" style="326" customWidth="1"/>
    <col min="5416" max="5416" width="13.75" style="326" customWidth="1"/>
    <col min="5417" max="5417" width="10.625" style="326" customWidth="1"/>
    <col min="5418" max="5419" width="9" style="326"/>
    <col min="5420" max="5420" width="14.125" style="326" customWidth="1"/>
    <col min="5421" max="5421" width="11" style="326" customWidth="1"/>
    <col min="5422" max="5422" width="10.75" style="326" bestFit="1" customWidth="1"/>
    <col min="5423" max="5423" width="13.5" style="326" customWidth="1"/>
    <col min="5424" max="5425" width="9" style="326"/>
    <col min="5426" max="5426" width="10.75" style="326" bestFit="1" customWidth="1"/>
    <col min="5427" max="5427" width="14" style="326" customWidth="1"/>
    <col min="5428" max="5428" width="9" style="326"/>
    <col min="5429" max="5429" width="10.75" style="326" customWidth="1"/>
    <col min="5430" max="5430" width="12.75" style="326" customWidth="1"/>
    <col min="5431" max="5431" width="9" style="326"/>
    <col min="5432" max="5432" width="10.75" style="326" bestFit="1" customWidth="1"/>
    <col min="5433" max="5433" width="11.5" style="326" customWidth="1"/>
    <col min="5434" max="5434" width="13.625" style="326" customWidth="1"/>
    <col min="5435" max="5435" width="10.625" style="326" customWidth="1"/>
    <col min="5436" max="5436" width="10.75" style="326" bestFit="1" customWidth="1"/>
    <col min="5437" max="5437" width="12.375" style="326" customWidth="1"/>
    <col min="5438" max="5440" width="9" style="326"/>
    <col min="5441" max="5441" width="15.75" style="326" customWidth="1"/>
    <col min="5442" max="5442" width="9" style="326"/>
    <col min="5443" max="5443" width="10.75" style="326" bestFit="1" customWidth="1"/>
    <col min="5444" max="5444" width="12.625" style="326" customWidth="1"/>
    <col min="5445" max="5447" width="9" style="326"/>
    <col min="5448" max="5448" width="13.625" style="326" customWidth="1"/>
    <col min="5449" max="5449" width="9" style="326"/>
    <col min="5450" max="5450" width="10.75" style="326" bestFit="1" customWidth="1"/>
    <col min="5451" max="5451" width="12.5" style="326" customWidth="1"/>
    <col min="5452" max="5454" width="9" style="326"/>
    <col min="5455" max="5455" width="12.875" style="326" customWidth="1"/>
    <col min="5456" max="5456" width="9" style="326"/>
    <col min="5457" max="5457" width="10.75" style="326" bestFit="1" customWidth="1"/>
    <col min="5458" max="5458" width="13.875" style="326" customWidth="1"/>
    <col min="5459" max="5461" width="9" style="326"/>
    <col min="5462" max="5462" width="14.125" style="326" customWidth="1"/>
    <col min="5463" max="5463" width="9" style="326"/>
    <col min="5464" max="5464" width="10.75" style="326" bestFit="1" customWidth="1"/>
    <col min="5465" max="5465" width="13.25" style="326" customWidth="1"/>
    <col min="5466" max="5468" width="9" style="326"/>
    <col min="5469" max="5469" width="13.25" style="326" customWidth="1"/>
    <col min="5470" max="5470" width="9" style="326"/>
    <col min="5471" max="5471" width="10.75" style="326" bestFit="1" customWidth="1"/>
    <col min="5472" max="5472" width="13.875" style="326" customWidth="1"/>
    <col min="5473" max="5475" width="9" style="326"/>
    <col min="5476" max="5476" width="13.625" style="326" customWidth="1"/>
    <col min="5477" max="5477" width="9" style="326"/>
    <col min="5478" max="5478" width="10.75" style="326" bestFit="1" customWidth="1"/>
    <col min="5479" max="5479" width="13" style="326" customWidth="1"/>
    <col min="5480" max="5626" width="9" style="326"/>
    <col min="5627" max="5628" width="12.125" style="326" customWidth="1"/>
    <col min="5629" max="5631" width="13" style="326" customWidth="1"/>
    <col min="5632" max="5632" width="12.875" style="326" customWidth="1"/>
    <col min="5633" max="5633" width="13" style="326" customWidth="1"/>
    <col min="5634" max="5634" width="13.125" style="326" customWidth="1"/>
    <col min="5635" max="5636" width="12.125" style="326" customWidth="1"/>
    <col min="5637" max="5637" width="14.375" style="326" bestFit="1" customWidth="1"/>
    <col min="5638" max="5638" width="11" style="326" customWidth="1"/>
    <col min="5639" max="5639" width="10" style="326" customWidth="1"/>
    <col min="5640" max="5640" width="10.875" style="326" customWidth="1"/>
    <col min="5641" max="5641" width="13.75" style="326" customWidth="1"/>
    <col min="5642" max="5642" width="10" style="326" customWidth="1"/>
    <col min="5643" max="5643" width="13.25" style="326" customWidth="1"/>
    <col min="5644" max="5644" width="14.375" style="326" customWidth="1"/>
    <col min="5645" max="5645" width="10" style="326" customWidth="1"/>
    <col min="5646" max="5646" width="10.875" style="326" customWidth="1"/>
    <col min="5647" max="5647" width="11.375" style="326" customWidth="1"/>
    <col min="5648" max="5648" width="15.375" style="326" customWidth="1"/>
    <col min="5649" max="5650" width="10.75" style="326" customWidth="1"/>
    <col min="5651" max="5651" width="14.375" style="326" customWidth="1"/>
    <col min="5652" max="5652" width="10.75" style="326" customWidth="1"/>
    <col min="5653" max="5653" width="11.75" style="326" customWidth="1"/>
    <col min="5654" max="5654" width="10" style="326" customWidth="1"/>
    <col min="5655" max="5655" width="15.375" style="326" customWidth="1"/>
    <col min="5656" max="5656" width="10" style="326" customWidth="1"/>
    <col min="5657" max="5657" width="10.75" style="326" customWidth="1"/>
    <col min="5658" max="5658" width="14.875" style="326" customWidth="1"/>
    <col min="5659" max="5659" width="11.5" style="326" customWidth="1"/>
    <col min="5660" max="5660" width="10" style="326" customWidth="1"/>
    <col min="5661" max="5661" width="10.75" style="326" customWidth="1"/>
    <col min="5662" max="5662" width="13.5" style="326" customWidth="1"/>
    <col min="5663" max="5663" width="9" style="326"/>
    <col min="5664" max="5664" width="10.75" style="326" bestFit="1" customWidth="1"/>
    <col min="5665" max="5665" width="13.75" style="326" customWidth="1"/>
    <col min="5666" max="5666" width="9" style="326"/>
    <col min="5667" max="5667" width="10.625" style="326" customWidth="1"/>
    <col min="5668" max="5668" width="9" style="326"/>
    <col min="5669" max="5669" width="14.25" style="326" customWidth="1"/>
    <col min="5670" max="5670" width="10.75" style="326" bestFit="1" customWidth="1"/>
    <col min="5671" max="5671" width="11.625" style="326" customWidth="1"/>
    <col min="5672" max="5672" width="13.75" style="326" customWidth="1"/>
    <col min="5673" max="5673" width="10.625" style="326" customWidth="1"/>
    <col min="5674" max="5675" width="9" style="326"/>
    <col min="5676" max="5676" width="14.125" style="326" customWidth="1"/>
    <col min="5677" max="5677" width="11" style="326" customWidth="1"/>
    <col min="5678" max="5678" width="10.75" style="326" bestFit="1" customWidth="1"/>
    <col min="5679" max="5679" width="13.5" style="326" customWidth="1"/>
    <col min="5680" max="5681" width="9" style="326"/>
    <col min="5682" max="5682" width="10.75" style="326" bestFit="1" customWidth="1"/>
    <col min="5683" max="5683" width="14" style="326" customWidth="1"/>
    <col min="5684" max="5684" width="9" style="326"/>
    <col min="5685" max="5685" width="10.75" style="326" customWidth="1"/>
    <col min="5686" max="5686" width="12.75" style="326" customWidth="1"/>
    <col min="5687" max="5687" width="9" style="326"/>
    <col min="5688" max="5688" width="10.75" style="326" bestFit="1" customWidth="1"/>
    <col min="5689" max="5689" width="11.5" style="326" customWidth="1"/>
    <col min="5690" max="5690" width="13.625" style="326" customWidth="1"/>
    <col min="5691" max="5691" width="10.625" style="326" customWidth="1"/>
    <col min="5692" max="5692" width="10.75" style="326" bestFit="1" customWidth="1"/>
    <col min="5693" max="5693" width="12.375" style="326" customWidth="1"/>
    <col min="5694" max="5696" width="9" style="326"/>
    <col min="5697" max="5697" width="15.75" style="326" customWidth="1"/>
    <col min="5698" max="5698" width="9" style="326"/>
    <col min="5699" max="5699" width="10.75" style="326" bestFit="1" customWidth="1"/>
    <col min="5700" max="5700" width="12.625" style="326" customWidth="1"/>
    <col min="5701" max="5703" width="9" style="326"/>
    <col min="5704" max="5704" width="13.625" style="326" customWidth="1"/>
    <col min="5705" max="5705" width="9" style="326"/>
    <col min="5706" max="5706" width="10.75" style="326" bestFit="1" customWidth="1"/>
    <col min="5707" max="5707" width="12.5" style="326" customWidth="1"/>
    <col min="5708" max="5710" width="9" style="326"/>
    <col min="5711" max="5711" width="12.875" style="326" customWidth="1"/>
    <col min="5712" max="5712" width="9" style="326"/>
    <col min="5713" max="5713" width="10.75" style="326" bestFit="1" customWidth="1"/>
    <col min="5714" max="5714" width="13.875" style="326" customWidth="1"/>
    <col min="5715" max="5717" width="9" style="326"/>
    <col min="5718" max="5718" width="14.125" style="326" customWidth="1"/>
    <col min="5719" max="5719" width="9" style="326"/>
    <col min="5720" max="5720" width="10.75" style="326" bestFit="1" customWidth="1"/>
    <col min="5721" max="5721" width="13.25" style="326" customWidth="1"/>
    <col min="5722" max="5724" width="9" style="326"/>
    <col min="5725" max="5725" width="13.25" style="326" customWidth="1"/>
    <col min="5726" max="5726" width="9" style="326"/>
    <col min="5727" max="5727" width="10.75" style="326" bestFit="1" customWidth="1"/>
    <col min="5728" max="5728" width="13.875" style="326" customWidth="1"/>
    <col min="5729" max="5731" width="9" style="326"/>
    <col min="5732" max="5732" width="13.625" style="326" customWidth="1"/>
    <col min="5733" max="5733" width="9" style="326"/>
    <col min="5734" max="5734" width="10.75" style="326" bestFit="1" customWidth="1"/>
    <col min="5735" max="5735" width="13" style="326" customWidth="1"/>
    <col min="5736" max="5882" width="9" style="326"/>
    <col min="5883" max="5884" width="12.125" style="326" customWidth="1"/>
    <col min="5885" max="5887" width="13" style="326" customWidth="1"/>
    <col min="5888" max="5888" width="12.875" style="326" customWidth="1"/>
    <col min="5889" max="5889" width="13" style="326" customWidth="1"/>
    <col min="5890" max="5890" width="13.125" style="326" customWidth="1"/>
    <col min="5891" max="5892" width="12.125" style="326" customWidth="1"/>
    <col min="5893" max="5893" width="14.375" style="326" bestFit="1" customWidth="1"/>
    <col min="5894" max="5894" width="11" style="326" customWidth="1"/>
    <col min="5895" max="5895" width="10" style="326" customWidth="1"/>
    <col min="5896" max="5896" width="10.875" style="326" customWidth="1"/>
    <col min="5897" max="5897" width="13.75" style="326" customWidth="1"/>
    <col min="5898" max="5898" width="10" style="326" customWidth="1"/>
    <col min="5899" max="5899" width="13.25" style="326" customWidth="1"/>
    <col min="5900" max="5900" width="14.375" style="326" customWidth="1"/>
    <col min="5901" max="5901" width="10" style="326" customWidth="1"/>
    <col min="5902" max="5902" width="10.875" style="326" customWidth="1"/>
    <col min="5903" max="5903" width="11.375" style="326" customWidth="1"/>
    <col min="5904" max="5904" width="15.375" style="326" customWidth="1"/>
    <col min="5905" max="5906" width="10.75" style="326" customWidth="1"/>
    <col min="5907" max="5907" width="14.375" style="326" customWidth="1"/>
    <col min="5908" max="5908" width="10.75" style="326" customWidth="1"/>
    <col min="5909" max="5909" width="11.75" style="326" customWidth="1"/>
    <col min="5910" max="5910" width="10" style="326" customWidth="1"/>
    <col min="5911" max="5911" width="15.375" style="326" customWidth="1"/>
    <col min="5912" max="5912" width="10" style="326" customWidth="1"/>
    <col min="5913" max="5913" width="10.75" style="326" customWidth="1"/>
    <col min="5914" max="5914" width="14.875" style="326" customWidth="1"/>
    <col min="5915" max="5915" width="11.5" style="326" customWidth="1"/>
    <col min="5916" max="5916" width="10" style="326" customWidth="1"/>
    <col min="5917" max="5917" width="10.75" style="326" customWidth="1"/>
    <col min="5918" max="5918" width="13.5" style="326" customWidth="1"/>
    <col min="5919" max="5919" width="9" style="326"/>
    <col min="5920" max="5920" width="10.75" style="326" bestFit="1" customWidth="1"/>
    <col min="5921" max="5921" width="13.75" style="326" customWidth="1"/>
    <col min="5922" max="5922" width="9" style="326"/>
    <col min="5923" max="5923" width="10.625" style="326" customWidth="1"/>
    <col min="5924" max="5924" width="9" style="326"/>
    <col min="5925" max="5925" width="14.25" style="326" customWidth="1"/>
    <col min="5926" max="5926" width="10.75" style="326" bestFit="1" customWidth="1"/>
    <col min="5927" max="5927" width="11.625" style="326" customWidth="1"/>
    <col min="5928" max="5928" width="13.75" style="326" customWidth="1"/>
    <col min="5929" max="5929" width="10.625" style="326" customWidth="1"/>
    <col min="5930" max="5931" width="9" style="326"/>
    <col min="5932" max="5932" width="14.125" style="326" customWidth="1"/>
    <col min="5933" max="5933" width="11" style="326" customWidth="1"/>
    <col min="5934" max="5934" width="10.75" style="326" bestFit="1" customWidth="1"/>
    <col min="5935" max="5935" width="13.5" style="326" customWidth="1"/>
    <col min="5936" max="5937" width="9" style="326"/>
    <col min="5938" max="5938" width="10.75" style="326" bestFit="1" customWidth="1"/>
    <col min="5939" max="5939" width="14" style="326" customWidth="1"/>
    <col min="5940" max="5940" width="9" style="326"/>
    <col min="5941" max="5941" width="10.75" style="326" customWidth="1"/>
    <col min="5942" max="5942" width="12.75" style="326" customWidth="1"/>
    <col min="5943" max="5943" width="9" style="326"/>
    <col min="5944" max="5944" width="10.75" style="326" bestFit="1" customWidth="1"/>
    <col min="5945" max="5945" width="11.5" style="326" customWidth="1"/>
    <col min="5946" max="5946" width="13.625" style="326" customWidth="1"/>
    <col min="5947" max="5947" width="10.625" style="326" customWidth="1"/>
    <col min="5948" max="5948" width="10.75" style="326" bestFit="1" customWidth="1"/>
    <col min="5949" max="5949" width="12.375" style="326" customWidth="1"/>
    <col min="5950" max="5952" width="9" style="326"/>
    <col min="5953" max="5953" width="15.75" style="326" customWidth="1"/>
    <col min="5954" max="5954" width="9" style="326"/>
    <col min="5955" max="5955" width="10.75" style="326" bestFit="1" customWidth="1"/>
    <col min="5956" max="5956" width="12.625" style="326" customWidth="1"/>
    <col min="5957" max="5959" width="9" style="326"/>
    <col min="5960" max="5960" width="13.625" style="326" customWidth="1"/>
    <col min="5961" max="5961" width="9" style="326"/>
    <col min="5962" max="5962" width="10.75" style="326" bestFit="1" customWidth="1"/>
    <col min="5963" max="5963" width="12.5" style="326" customWidth="1"/>
    <col min="5964" max="5966" width="9" style="326"/>
    <col min="5967" max="5967" width="12.875" style="326" customWidth="1"/>
    <col min="5968" max="5968" width="9" style="326"/>
    <col min="5969" max="5969" width="10.75" style="326" bestFit="1" customWidth="1"/>
    <col min="5970" max="5970" width="13.875" style="326" customWidth="1"/>
    <col min="5971" max="5973" width="9" style="326"/>
    <col min="5974" max="5974" width="14.125" style="326" customWidth="1"/>
    <col min="5975" max="5975" width="9" style="326"/>
    <col min="5976" max="5976" width="10.75" style="326" bestFit="1" customWidth="1"/>
    <col min="5977" max="5977" width="13.25" style="326" customWidth="1"/>
    <col min="5978" max="5980" width="9" style="326"/>
    <col min="5981" max="5981" width="13.25" style="326" customWidth="1"/>
    <col min="5982" max="5982" width="9" style="326"/>
    <col min="5983" max="5983" width="10.75" style="326" bestFit="1" customWidth="1"/>
    <col min="5984" max="5984" width="13.875" style="326" customWidth="1"/>
    <col min="5985" max="5987" width="9" style="326"/>
    <col min="5988" max="5988" width="13.625" style="326" customWidth="1"/>
    <col min="5989" max="5989" width="9" style="326"/>
    <col min="5990" max="5990" width="10.75" style="326" bestFit="1" customWidth="1"/>
    <col min="5991" max="5991" width="13" style="326" customWidth="1"/>
    <col min="5992" max="6138" width="9" style="326"/>
    <col min="6139" max="6140" width="12.125" style="326" customWidth="1"/>
    <col min="6141" max="6143" width="13" style="326" customWidth="1"/>
    <col min="6144" max="6144" width="12.875" style="326" customWidth="1"/>
    <col min="6145" max="6145" width="13" style="326" customWidth="1"/>
    <col min="6146" max="6146" width="13.125" style="326" customWidth="1"/>
    <col min="6147" max="6148" width="12.125" style="326" customWidth="1"/>
    <col min="6149" max="6149" width="14.375" style="326" bestFit="1" customWidth="1"/>
    <col min="6150" max="6150" width="11" style="326" customWidth="1"/>
    <col min="6151" max="6151" width="10" style="326" customWidth="1"/>
    <col min="6152" max="6152" width="10.875" style="326" customWidth="1"/>
    <col min="6153" max="6153" width="13.75" style="326" customWidth="1"/>
    <col min="6154" max="6154" width="10" style="326" customWidth="1"/>
    <col min="6155" max="6155" width="13.25" style="326" customWidth="1"/>
    <col min="6156" max="6156" width="14.375" style="326" customWidth="1"/>
    <col min="6157" max="6157" width="10" style="326" customWidth="1"/>
    <col min="6158" max="6158" width="10.875" style="326" customWidth="1"/>
    <col min="6159" max="6159" width="11.375" style="326" customWidth="1"/>
    <col min="6160" max="6160" width="15.375" style="326" customWidth="1"/>
    <col min="6161" max="6162" width="10.75" style="326" customWidth="1"/>
    <col min="6163" max="6163" width="14.375" style="326" customWidth="1"/>
    <col min="6164" max="6164" width="10.75" style="326" customWidth="1"/>
    <col min="6165" max="6165" width="11.75" style="326" customWidth="1"/>
    <col min="6166" max="6166" width="10" style="326" customWidth="1"/>
    <col min="6167" max="6167" width="15.375" style="326" customWidth="1"/>
    <col min="6168" max="6168" width="10" style="326" customWidth="1"/>
    <col min="6169" max="6169" width="10.75" style="326" customWidth="1"/>
    <col min="6170" max="6170" width="14.875" style="326" customWidth="1"/>
    <col min="6171" max="6171" width="11.5" style="326" customWidth="1"/>
    <col min="6172" max="6172" width="10" style="326" customWidth="1"/>
    <col min="6173" max="6173" width="10.75" style="326" customWidth="1"/>
    <col min="6174" max="6174" width="13.5" style="326" customWidth="1"/>
    <col min="6175" max="6175" width="9" style="326"/>
    <col min="6176" max="6176" width="10.75" style="326" bestFit="1" customWidth="1"/>
    <col min="6177" max="6177" width="13.75" style="326" customWidth="1"/>
    <col min="6178" max="6178" width="9" style="326"/>
    <col min="6179" max="6179" width="10.625" style="326" customWidth="1"/>
    <col min="6180" max="6180" width="9" style="326"/>
    <col min="6181" max="6181" width="14.25" style="326" customWidth="1"/>
    <col min="6182" max="6182" width="10.75" style="326" bestFit="1" customWidth="1"/>
    <col min="6183" max="6183" width="11.625" style="326" customWidth="1"/>
    <col min="6184" max="6184" width="13.75" style="326" customWidth="1"/>
    <col min="6185" max="6185" width="10.625" style="326" customWidth="1"/>
    <col min="6186" max="6187" width="9" style="326"/>
    <col min="6188" max="6188" width="14.125" style="326" customWidth="1"/>
    <col min="6189" max="6189" width="11" style="326" customWidth="1"/>
    <col min="6190" max="6190" width="10.75" style="326" bestFit="1" customWidth="1"/>
    <col min="6191" max="6191" width="13.5" style="326" customWidth="1"/>
    <col min="6192" max="6193" width="9" style="326"/>
    <col min="6194" max="6194" width="10.75" style="326" bestFit="1" customWidth="1"/>
    <col min="6195" max="6195" width="14" style="326" customWidth="1"/>
    <col min="6196" max="6196" width="9" style="326"/>
    <col min="6197" max="6197" width="10.75" style="326" customWidth="1"/>
    <col min="6198" max="6198" width="12.75" style="326" customWidth="1"/>
    <col min="6199" max="6199" width="9" style="326"/>
    <col min="6200" max="6200" width="10.75" style="326" bestFit="1" customWidth="1"/>
    <col min="6201" max="6201" width="11.5" style="326" customWidth="1"/>
    <col min="6202" max="6202" width="13.625" style="326" customWidth="1"/>
    <col min="6203" max="6203" width="10.625" style="326" customWidth="1"/>
    <col min="6204" max="6204" width="10.75" style="326" bestFit="1" customWidth="1"/>
    <col min="6205" max="6205" width="12.375" style="326" customWidth="1"/>
    <col min="6206" max="6208" width="9" style="326"/>
    <col min="6209" max="6209" width="15.75" style="326" customWidth="1"/>
    <col min="6210" max="6210" width="9" style="326"/>
    <col min="6211" max="6211" width="10.75" style="326" bestFit="1" customWidth="1"/>
    <col min="6212" max="6212" width="12.625" style="326" customWidth="1"/>
    <col min="6213" max="6215" width="9" style="326"/>
    <col min="6216" max="6216" width="13.625" style="326" customWidth="1"/>
    <col min="6217" max="6217" width="9" style="326"/>
    <col min="6218" max="6218" width="10.75" style="326" bestFit="1" customWidth="1"/>
    <col min="6219" max="6219" width="12.5" style="326" customWidth="1"/>
    <col min="6220" max="6222" width="9" style="326"/>
    <col min="6223" max="6223" width="12.875" style="326" customWidth="1"/>
    <col min="6224" max="6224" width="9" style="326"/>
    <col min="6225" max="6225" width="10.75" style="326" bestFit="1" customWidth="1"/>
    <col min="6226" max="6226" width="13.875" style="326" customWidth="1"/>
    <col min="6227" max="6229" width="9" style="326"/>
    <col min="6230" max="6230" width="14.125" style="326" customWidth="1"/>
    <col min="6231" max="6231" width="9" style="326"/>
    <col min="6232" max="6232" width="10.75" style="326" bestFit="1" customWidth="1"/>
    <col min="6233" max="6233" width="13.25" style="326" customWidth="1"/>
    <col min="6234" max="6236" width="9" style="326"/>
    <col min="6237" max="6237" width="13.25" style="326" customWidth="1"/>
    <col min="6238" max="6238" width="9" style="326"/>
    <col min="6239" max="6239" width="10.75" style="326" bestFit="1" customWidth="1"/>
    <col min="6240" max="6240" width="13.875" style="326" customWidth="1"/>
    <col min="6241" max="6243" width="9" style="326"/>
    <col min="6244" max="6244" width="13.625" style="326" customWidth="1"/>
    <col min="6245" max="6245" width="9" style="326"/>
    <col min="6246" max="6246" width="10.75" style="326" bestFit="1" customWidth="1"/>
    <col min="6247" max="6247" width="13" style="326" customWidth="1"/>
    <col min="6248" max="6394" width="9" style="326"/>
    <col min="6395" max="6396" width="12.125" style="326" customWidth="1"/>
    <col min="6397" max="6399" width="13" style="326" customWidth="1"/>
    <col min="6400" max="6400" width="12.875" style="326" customWidth="1"/>
    <col min="6401" max="6401" width="13" style="326" customWidth="1"/>
    <col min="6402" max="6402" width="13.125" style="326" customWidth="1"/>
    <col min="6403" max="6404" width="12.125" style="326" customWidth="1"/>
    <col min="6405" max="6405" width="14.375" style="326" bestFit="1" customWidth="1"/>
    <col min="6406" max="6406" width="11" style="326" customWidth="1"/>
    <col min="6407" max="6407" width="10" style="326" customWidth="1"/>
    <col min="6408" max="6408" width="10.875" style="326" customWidth="1"/>
    <col min="6409" max="6409" width="13.75" style="326" customWidth="1"/>
    <col min="6410" max="6410" width="10" style="326" customWidth="1"/>
    <col min="6411" max="6411" width="13.25" style="326" customWidth="1"/>
    <col min="6412" max="6412" width="14.375" style="326" customWidth="1"/>
    <col min="6413" max="6413" width="10" style="326" customWidth="1"/>
    <col min="6414" max="6414" width="10.875" style="326" customWidth="1"/>
    <col min="6415" max="6415" width="11.375" style="326" customWidth="1"/>
    <col min="6416" max="6416" width="15.375" style="326" customWidth="1"/>
    <col min="6417" max="6418" width="10.75" style="326" customWidth="1"/>
    <col min="6419" max="6419" width="14.375" style="326" customWidth="1"/>
    <col min="6420" max="6420" width="10.75" style="326" customWidth="1"/>
    <col min="6421" max="6421" width="11.75" style="326" customWidth="1"/>
    <col min="6422" max="6422" width="10" style="326" customWidth="1"/>
    <col min="6423" max="6423" width="15.375" style="326" customWidth="1"/>
    <col min="6424" max="6424" width="10" style="326" customWidth="1"/>
    <col min="6425" max="6425" width="10.75" style="326" customWidth="1"/>
    <col min="6426" max="6426" width="14.875" style="326" customWidth="1"/>
    <col min="6427" max="6427" width="11.5" style="326" customWidth="1"/>
    <col min="6428" max="6428" width="10" style="326" customWidth="1"/>
    <col min="6429" max="6429" width="10.75" style="326" customWidth="1"/>
    <col min="6430" max="6430" width="13.5" style="326" customWidth="1"/>
    <col min="6431" max="6431" width="9" style="326"/>
    <col min="6432" max="6432" width="10.75" style="326" bestFit="1" customWidth="1"/>
    <col min="6433" max="6433" width="13.75" style="326" customWidth="1"/>
    <col min="6434" max="6434" width="9" style="326"/>
    <col min="6435" max="6435" width="10.625" style="326" customWidth="1"/>
    <col min="6436" max="6436" width="9" style="326"/>
    <col min="6437" max="6437" width="14.25" style="326" customWidth="1"/>
    <col min="6438" max="6438" width="10.75" style="326" bestFit="1" customWidth="1"/>
    <col min="6439" max="6439" width="11.625" style="326" customWidth="1"/>
    <col min="6440" max="6440" width="13.75" style="326" customWidth="1"/>
    <col min="6441" max="6441" width="10.625" style="326" customWidth="1"/>
    <col min="6442" max="6443" width="9" style="326"/>
    <col min="6444" max="6444" width="14.125" style="326" customWidth="1"/>
    <col min="6445" max="6445" width="11" style="326" customWidth="1"/>
    <col min="6446" max="6446" width="10.75" style="326" bestFit="1" customWidth="1"/>
    <col min="6447" max="6447" width="13.5" style="326" customWidth="1"/>
    <col min="6448" max="6449" width="9" style="326"/>
    <col min="6450" max="6450" width="10.75" style="326" bestFit="1" customWidth="1"/>
    <col min="6451" max="6451" width="14" style="326" customWidth="1"/>
    <col min="6452" max="6452" width="9" style="326"/>
    <col min="6453" max="6453" width="10.75" style="326" customWidth="1"/>
    <col min="6454" max="6454" width="12.75" style="326" customWidth="1"/>
    <col min="6455" max="6455" width="9" style="326"/>
    <col min="6456" max="6456" width="10.75" style="326" bestFit="1" customWidth="1"/>
    <col min="6457" max="6457" width="11.5" style="326" customWidth="1"/>
    <col min="6458" max="6458" width="13.625" style="326" customWidth="1"/>
    <col min="6459" max="6459" width="10.625" style="326" customWidth="1"/>
    <col min="6460" max="6460" width="10.75" style="326" bestFit="1" customWidth="1"/>
    <col min="6461" max="6461" width="12.375" style="326" customWidth="1"/>
    <col min="6462" max="6464" width="9" style="326"/>
    <col min="6465" max="6465" width="15.75" style="326" customWidth="1"/>
    <col min="6466" max="6466" width="9" style="326"/>
    <col min="6467" max="6467" width="10.75" style="326" bestFit="1" customWidth="1"/>
    <col min="6468" max="6468" width="12.625" style="326" customWidth="1"/>
    <col min="6469" max="6471" width="9" style="326"/>
    <col min="6472" max="6472" width="13.625" style="326" customWidth="1"/>
    <col min="6473" max="6473" width="9" style="326"/>
    <col min="6474" max="6474" width="10.75" style="326" bestFit="1" customWidth="1"/>
    <col min="6475" max="6475" width="12.5" style="326" customWidth="1"/>
    <col min="6476" max="6478" width="9" style="326"/>
    <col min="6479" max="6479" width="12.875" style="326" customWidth="1"/>
    <col min="6480" max="6480" width="9" style="326"/>
    <col min="6481" max="6481" width="10.75" style="326" bestFit="1" customWidth="1"/>
    <col min="6482" max="6482" width="13.875" style="326" customWidth="1"/>
    <col min="6483" max="6485" width="9" style="326"/>
    <col min="6486" max="6486" width="14.125" style="326" customWidth="1"/>
    <col min="6487" max="6487" width="9" style="326"/>
    <col min="6488" max="6488" width="10.75" style="326" bestFit="1" customWidth="1"/>
    <col min="6489" max="6489" width="13.25" style="326" customWidth="1"/>
    <col min="6490" max="6492" width="9" style="326"/>
    <col min="6493" max="6493" width="13.25" style="326" customWidth="1"/>
    <col min="6494" max="6494" width="9" style="326"/>
    <col min="6495" max="6495" width="10.75" style="326" bestFit="1" customWidth="1"/>
    <col min="6496" max="6496" width="13.875" style="326" customWidth="1"/>
    <col min="6497" max="6499" width="9" style="326"/>
    <col min="6500" max="6500" width="13.625" style="326" customWidth="1"/>
    <col min="6501" max="6501" width="9" style="326"/>
    <col min="6502" max="6502" width="10.75" style="326" bestFit="1" customWidth="1"/>
    <col min="6503" max="6503" width="13" style="326" customWidth="1"/>
    <col min="6504" max="6650" width="9" style="326"/>
    <col min="6651" max="6652" width="12.125" style="326" customWidth="1"/>
    <col min="6653" max="6655" width="13" style="326" customWidth="1"/>
    <col min="6656" max="6656" width="12.875" style="326" customWidth="1"/>
    <col min="6657" max="6657" width="13" style="326" customWidth="1"/>
    <col min="6658" max="6658" width="13.125" style="326" customWidth="1"/>
    <col min="6659" max="6660" width="12.125" style="326" customWidth="1"/>
    <col min="6661" max="6661" width="14.375" style="326" bestFit="1" customWidth="1"/>
    <col min="6662" max="6662" width="11" style="326" customWidth="1"/>
    <col min="6663" max="6663" width="10" style="326" customWidth="1"/>
    <col min="6664" max="6664" width="10.875" style="326" customWidth="1"/>
    <col min="6665" max="6665" width="13.75" style="326" customWidth="1"/>
    <col min="6666" max="6666" width="10" style="326" customWidth="1"/>
    <col min="6667" max="6667" width="13.25" style="326" customWidth="1"/>
    <col min="6668" max="6668" width="14.375" style="326" customWidth="1"/>
    <col min="6669" max="6669" width="10" style="326" customWidth="1"/>
    <col min="6670" max="6670" width="10.875" style="326" customWidth="1"/>
    <col min="6671" max="6671" width="11.375" style="326" customWidth="1"/>
    <col min="6672" max="6672" width="15.375" style="326" customWidth="1"/>
    <col min="6673" max="6674" width="10.75" style="326" customWidth="1"/>
    <col min="6675" max="6675" width="14.375" style="326" customWidth="1"/>
    <col min="6676" max="6676" width="10.75" style="326" customWidth="1"/>
    <col min="6677" max="6677" width="11.75" style="326" customWidth="1"/>
    <col min="6678" max="6678" width="10" style="326" customWidth="1"/>
    <col min="6679" max="6679" width="15.375" style="326" customWidth="1"/>
    <col min="6680" max="6680" width="10" style="326" customWidth="1"/>
    <col min="6681" max="6681" width="10.75" style="326" customWidth="1"/>
    <col min="6682" max="6682" width="14.875" style="326" customWidth="1"/>
    <col min="6683" max="6683" width="11.5" style="326" customWidth="1"/>
    <col min="6684" max="6684" width="10" style="326" customWidth="1"/>
    <col min="6685" max="6685" width="10.75" style="326" customWidth="1"/>
    <col min="6686" max="6686" width="13.5" style="326" customWidth="1"/>
    <col min="6687" max="6687" width="9" style="326"/>
    <col min="6688" max="6688" width="10.75" style="326" bestFit="1" customWidth="1"/>
    <col min="6689" max="6689" width="13.75" style="326" customWidth="1"/>
    <col min="6690" max="6690" width="9" style="326"/>
    <col min="6691" max="6691" width="10.625" style="326" customWidth="1"/>
    <col min="6692" max="6692" width="9" style="326"/>
    <col min="6693" max="6693" width="14.25" style="326" customWidth="1"/>
    <col min="6694" max="6694" width="10.75" style="326" bestFit="1" customWidth="1"/>
    <col min="6695" max="6695" width="11.625" style="326" customWidth="1"/>
    <col min="6696" max="6696" width="13.75" style="326" customWidth="1"/>
    <col min="6697" max="6697" width="10.625" style="326" customWidth="1"/>
    <col min="6698" max="6699" width="9" style="326"/>
    <col min="6700" max="6700" width="14.125" style="326" customWidth="1"/>
    <col min="6701" max="6701" width="11" style="326" customWidth="1"/>
    <col min="6702" max="6702" width="10.75" style="326" bestFit="1" customWidth="1"/>
    <col min="6703" max="6703" width="13.5" style="326" customWidth="1"/>
    <col min="6704" max="6705" width="9" style="326"/>
    <col min="6706" max="6706" width="10.75" style="326" bestFit="1" customWidth="1"/>
    <col min="6707" max="6707" width="14" style="326" customWidth="1"/>
    <col min="6708" max="6708" width="9" style="326"/>
    <col min="6709" max="6709" width="10.75" style="326" customWidth="1"/>
    <col min="6710" max="6710" width="12.75" style="326" customWidth="1"/>
    <col min="6711" max="6711" width="9" style="326"/>
    <col min="6712" max="6712" width="10.75" style="326" bestFit="1" customWidth="1"/>
    <col min="6713" max="6713" width="11.5" style="326" customWidth="1"/>
    <col min="6714" max="6714" width="13.625" style="326" customWidth="1"/>
    <col min="6715" max="6715" width="10.625" style="326" customWidth="1"/>
    <col min="6716" max="6716" width="10.75" style="326" bestFit="1" customWidth="1"/>
    <col min="6717" max="6717" width="12.375" style="326" customWidth="1"/>
    <col min="6718" max="6720" width="9" style="326"/>
    <col min="6721" max="6721" width="15.75" style="326" customWidth="1"/>
    <col min="6722" max="6722" width="9" style="326"/>
    <col min="6723" max="6723" width="10.75" style="326" bestFit="1" customWidth="1"/>
    <col min="6724" max="6724" width="12.625" style="326" customWidth="1"/>
    <col min="6725" max="6727" width="9" style="326"/>
    <col min="6728" max="6728" width="13.625" style="326" customWidth="1"/>
    <col min="6729" max="6729" width="9" style="326"/>
    <col min="6730" max="6730" width="10.75" style="326" bestFit="1" customWidth="1"/>
    <col min="6731" max="6731" width="12.5" style="326" customWidth="1"/>
    <col min="6732" max="6734" width="9" style="326"/>
    <col min="6735" max="6735" width="12.875" style="326" customWidth="1"/>
    <col min="6736" max="6736" width="9" style="326"/>
    <col min="6737" max="6737" width="10.75" style="326" bestFit="1" customWidth="1"/>
    <col min="6738" max="6738" width="13.875" style="326" customWidth="1"/>
    <col min="6739" max="6741" width="9" style="326"/>
    <col min="6742" max="6742" width="14.125" style="326" customWidth="1"/>
    <col min="6743" max="6743" width="9" style="326"/>
    <col min="6744" max="6744" width="10.75" style="326" bestFit="1" customWidth="1"/>
    <col min="6745" max="6745" width="13.25" style="326" customWidth="1"/>
    <col min="6746" max="6748" width="9" style="326"/>
    <col min="6749" max="6749" width="13.25" style="326" customWidth="1"/>
    <col min="6750" max="6750" width="9" style="326"/>
    <col min="6751" max="6751" width="10.75" style="326" bestFit="1" customWidth="1"/>
    <col min="6752" max="6752" width="13.875" style="326" customWidth="1"/>
    <col min="6753" max="6755" width="9" style="326"/>
    <col min="6756" max="6756" width="13.625" style="326" customWidth="1"/>
    <col min="6757" max="6757" width="9" style="326"/>
    <col min="6758" max="6758" width="10.75" style="326" bestFit="1" customWidth="1"/>
    <col min="6759" max="6759" width="13" style="326" customWidth="1"/>
    <col min="6760" max="6906" width="9" style="326"/>
    <col min="6907" max="6908" width="12.125" style="326" customWidth="1"/>
    <col min="6909" max="6911" width="13" style="326" customWidth="1"/>
    <col min="6912" max="6912" width="12.875" style="326" customWidth="1"/>
    <col min="6913" max="6913" width="13" style="326" customWidth="1"/>
    <col min="6914" max="6914" width="13.125" style="326" customWidth="1"/>
    <col min="6915" max="6916" width="12.125" style="326" customWidth="1"/>
    <col min="6917" max="6917" width="14.375" style="326" bestFit="1" customWidth="1"/>
    <col min="6918" max="6918" width="11" style="326" customWidth="1"/>
    <col min="6919" max="6919" width="10" style="326" customWidth="1"/>
    <col min="6920" max="6920" width="10.875" style="326" customWidth="1"/>
    <col min="6921" max="6921" width="13.75" style="326" customWidth="1"/>
    <col min="6922" max="6922" width="10" style="326" customWidth="1"/>
    <col min="6923" max="6923" width="13.25" style="326" customWidth="1"/>
    <col min="6924" max="6924" width="14.375" style="326" customWidth="1"/>
    <col min="6925" max="6925" width="10" style="326" customWidth="1"/>
    <col min="6926" max="6926" width="10.875" style="326" customWidth="1"/>
    <col min="6927" max="6927" width="11.375" style="326" customWidth="1"/>
    <col min="6928" max="6928" width="15.375" style="326" customWidth="1"/>
    <col min="6929" max="6930" width="10.75" style="326" customWidth="1"/>
    <col min="6931" max="6931" width="14.375" style="326" customWidth="1"/>
    <col min="6932" max="6932" width="10.75" style="326" customWidth="1"/>
    <col min="6933" max="6933" width="11.75" style="326" customWidth="1"/>
    <col min="6934" max="6934" width="10" style="326" customWidth="1"/>
    <col min="6935" max="6935" width="15.375" style="326" customWidth="1"/>
    <col min="6936" max="6936" width="10" style="326" customWidth="1"/>
    <col min="6937" max="6937" width="10.75" style="326" customWidth="1"/>
    <col min="6938" max="6938" width="14.875" style="326" customWidth="1"/>
    <col min="6939" max="6939" width="11.5" style="326" customWidth="1"/>
    <col min="6940" max="6940" width="10" style="326" customWidth="1"/>
    <col min="6941" max="6941" width="10.75" style="326" customWidth="1"/>
    <col min="6942" max="6942" width="13.5" style="326" customWidth="1"/>
    <col min="6943" max="6943" width="9" style="326"/>
    <col min="6944" max="6944" width="10.75" style="326" bestFit="1" customWidth="1"/>
    <col min="6945" max="6945" width="13.75" style="326" customWidth="1"/>
    <col min="6946" max="6946" width="9" style="326"/>
    <col min="6947" max="6947" width="10.625" style="326" customWidth="1"/>
    <col min="6948" max="6948" width="9" style="326"/>
    <col min="6949" max="6949" width="14.25" style="326" customWidth="1"/>
    <col min="6950" max="6950" width="10.75" style="326" bestFit="1" customWidth="1"/>
    <col min="6951" max="6951" width="11.625" style="326" customWidth="1"/>
    <col min="6952" max="6952" width="13.75" style="326" customWidth="1"/>
    <col min="6953" max="6953" width="10.625" style="326" customWidth="1"/>
    <col min="6954" max="6955" width="9" style="326"/>
    <col min="6956" max="6956" width="14.125" style="326" customWidth="1"/>
    <col min="6957" max="6957" width="11" style="326" customWidth="1"/>
    <col min="6958" max="6958" width="10.75" style="326" bestFit="1" customWidth="1"/>
    <col min="6959" max="6959" width="13.5" style="326" customWidth="1"/>
    <col min="6960" max="6961" width="9" style="326"/>
    <col min="6962" max="6962" width="10.75" style="326" bestFit="1" customWidth="1"/>
    <col min="6963" max="6963" width="14" style="326" customWidth="1"/>
    <col min="6964" max="6964" width="9" style="326"/>
    <col min="6965" max="6965" width="10.75" style="326" customWidth="1"/>
    <col min="6966" max="6966" width="12.75" style="326" customWidth="1"/>
    <col min="6967" max="6967" width="9" style="326"/>
    <col min="6968" max="6968" width="10.75" style="326" bestFit="1" customWidth="1"/>
    <col min="6969" max="6969" width="11.5" style="326" customWidth="1"/>
    <col min="6970" max="6970" width="13.625" style="326" customWidth="1"/>
    <col min="6971" max="6971" width="10.625" style="326" customWidth="1"/>
    <col min="6972" max="6972" width="10.75" style="326" bestFit="1" customWidth="1"/>
    <col min="6973" max="6973" width="12.375" style="326" customWidth="1"/>
    <col min="6974" max="6976" width="9" style="326"/>
    <col min="6977" max="6977" width="15.75" style="326" customWidth="1"/>
    <col min="6978" max="6978" width="9" style="326"/>
    <col min="6979" max="6979" width="10.75" style="326" bestFit="1" customWidth="1"/>
    <col min="6980" max="6980" width="12.625" style="326" customWidth="1"/>
    <col min="6981" max="6983" width="9" style="326"/>
    <col min="6984" max="6984" width="13.625" style="326" customWidth="1"/>
    <col min="6985" max="6985" width="9" style="326"/>
    <col min="6986" max="6986" width="10.75" style="326" bestFit="1" customWidth="1"/>
    <col min="6987" max="6987" width="12.5" style="326" customWidth="1"/>
    <col min="6988" max="6990" width="9" style="326"/>
    <col min="6991" max="6991" width="12.875" style="326" customWidth="1"/>
    <col min="6992" max="6992" width="9" style="326"/>
    <col min="6993" max="6993" width="10.75" style="326" bestFit="1" customWidth="1"/>
    <col min="6994" max="6994" width="13.875" style="326" customWidth="1"/>
    <col min="6995" max="6997" width="9" style="326"/>
    <col min="6998" max="6998" width="14.125" style="326" customWidth="1"/>
    <col min="6999" max="6999" width="9" style="326"/>
    <col min="7000" max="7000" width="10.75" style="326" bestFit="1" customWidth="1"/>
    <col min="7001" max="7001" width="13.25" style="326" customWidth="1"/>
    <col min="7002" max="7004" width="9" style="326"/>
    <col min="7005" max="7005" width="13.25" style="326" customWidth="1"/>
    <col min="7006" max="7006" width="9" style="326"/>
    <col min="7007" max="7007" width="10.75" style="326" bestFit="1" customWidth="1"/>
    <col min="7008" max="7008" width="13.875" style="326" customWidth="1"/>
    <col min="7009" max="7011" width="9" style="326"/>
    <col min="7012" max="7012" width="13.625" style="326" customWidth="1"/>
    <col min="7013" max="7013" width="9" style="326"/>
    <col min="7014" max="7014" width="10.75" style="326" bestFit="1" customWidth="1"/>
    <col min="7015" max="7015" width="13" style="326" customWidth="1"/>
    <col min="7016" max="7162" width="9" style="326"/>
    <col min="7163" max="7164" width="12.125" style="326" customWidth="1"/>
    <col min="7165" max="7167" width="13" style="326" customWidth="1"/>
    <col min="7168" max="7168" width="12.875" style="326" customWidth="1"/>
    <col min="7169" max="7169" width="13" style="326" customWidth="1"/>
    <col min="7170" max="7170" width="13.125" style="326" customWidth="1"/>
    <col min="7171" max="7172" width="12.125" style="326" customWidth="1"/>
    <col min="7173" max="7173" width="14.375" style="326" bestFit="1" customWidth="1"/>
    <col min="7174" max="7174" width="11" style="326" customWidth="1"/>
    <col min="7175" max="7175" width="10" style="326" customWidth="1"/>
    <col min="7176" max="7176" width="10.875" style="326" customWidth="1"/>
    <col min="7177" max="7177" width="13.75" style="326" customWidth="1"/>
    <col min="7178" max="7178" width="10" style="326" customWidth="1"/>
    <col min="7179" max="7179" width="13.25" style="326" customWidth="1"/>
    <col min="7180" max="7180" width="14.375" style="326" customWidth="1"/>
    <col min="7181" max="7181" width="10" style="326" customWidth="1"/>
    <col min="7182" max="7182" width="10.875" style="326" customWidth="1"/>
    <col min="7183" max="7183" width="11.375" style="326" customWidth="1"/>
    <col min="7184" max="7184" width="15.375" style="326" customWidth="1"/>
    <col min="7185" max="7186" width="10.75" style="326" customWidth="1"/>
    <col min="7187" max="7187" width="14.375" style="326" customWidth="1"/>
    <col min="7188" max="7188" width="10.75" style="326" customWidth="1"/>
    <col min="7189" max="7189" width="11.75" style="326" customWidth="1"/>
    <col min="7190" max="7190" width="10" style="326" customWidth="1"/>
    <col min="7191" max="7191" width="15.375" style="326" customWidth="1"/>
    <col min="7192" max="7192" width="10" style="326" customWidth="1"/>
    <col min="7193" max="7193" width="10.75" style="326" customWidth="1"/>
    <col min="7194" max="7194" width="14.875" style="326" customWidth="1"/>
    <col min="7195" max="7195" width="11.5" style="326" customWidth="1"/>
    <col min="7196" max="7196" width="10" style="326" customWidth="1"/>
    <col min="7197" max="7197" width="10.75" style="326" customWidth="1"/>
    <col min="7198" max="7198" width="13.5" style="326" customWidth="1"/>
    <col min="7199" max="7199" width="9" style="326"/>
    <col min="7200" max="7200" width="10.75" style="326" bestFit="1" customWidth="1"/>
    <col min="7201" max="7201" width="13.75" style="326" customWidth="1"/>
    <col min="7202" max="7202" width="9" style="326"/>
    <col min="7203" max="7203" width="10.625" style="326" customWidth="1"/>
    <col min="7204" max="7204" width="9" style="326"/>
    <col min="7205" max="7205" width="14.25" style="326" customWidth="1"/>
    <col min="7206" max="7206" width="10.75" style="326" bestFit="1" customWidth="1"/>
    <col min="7207" max="7207" width="11.625" style="326" customWidth="1"/>
    <col min="7208" max="7208" width="13.75" style="326" customWidth="1"/>
    <col min="7209" max="7209" width="10.625" style="326" customWidth="1"/>
    <col min="7210" max="7211" width="9" style="326"/>
    <col min="7212" max="7212" width="14.125" style="326" customWidth="1"/>
    <col min="7213" max="7213" width="11" style="326" customWidth="1"/>
    <col min="7214" max="7214" width="10.75" style="326" bestFit="1" customWidth="1"/>
    <col min="7215" max="7215" width="13.5" style="326" customWidth="1"/>
    <col min="7216" max="7217" width="9" style="326"/>
    <col min="7218" max="7218" width="10.75" style="326" bestFit="1" customWidth="1"/>
    <col min="7219" max="7219" width="14" style="326" customWidth="1"/>
    <col min="7220" max="7220" width="9" style="326"/>
    <col min="7221" max="7221" width="10.75" style="326" customWidth="1"/>
    <col min="7222" max="7222" width="12.75" style="326" customWidth="1"/>
    <col min="7223" max="7223" width="9" style="326"/>
    <col min="7224" max="7224" width="10.75" style="326" bestFit="1" customWidth="1"/>
    <col min="7225" max="7225" width="11.5" style="326" customWidth="1"/>
    <col min="7226" max="7226" width="13.625" style="326" customWidth="1"/>
    <col min="7227" max="7227" width="10.625" style="326" customWidth="1"/>
    <col min="7228" max="7228" width="10.75" style="326" bestFit="1" customWidth="1"/>
    <col min="7229" max="7229" width="12.375" style="326" customWidth="1"/>
    <col min="7230" max="7232" width="9" style="326"/>
    <col min="7233" max="7233" width="15.75" style="326" customWidth="1"/>
    <col min="7234" max="7234" width="9" style="326"/>
    <col min="7235" max="7235" width="10.75" style="326" bestFit="1" customWidth="1"/>
    <col min="7236" max="7236" width="12.625" style="326" customWidth="1"/>
    <col min="7237" max="7239" width="9" style="326"/>
    <col min="7240" max="7240" width="13.625" style="326" customWidth="1"/>
    <col min="7241" max="7241" width="9" style="326"/>
    <col min="7242" max="7242" width="10.75" style="326" bestFit="1" customWidth="1"/>
    <col min="7243" max="7243" width="12.5" style="326" customWidth="1"/>
    <col min="7244" max="7246" width="9" style="326"/>
    <col min="7247" max="7247" width="12.875" style="326" customWidth="1"/>
    <col min="7248" max="7248" width="9" style="326"/>
    <col min="7249" max="7249" width="10.75" style="326" bestFit="1" customWidth="1"/>
    <col min="7250" max="7250" width="13.875" style="326" customWidth="1"/>
    <col min="7251" max="7253" width="9" style="326"/>
    <col min="7254" max="7254" width="14.125" style="326" customWidth="1"/>
    <col min="7255" max="7255" width="9" style="326"/>
    <col min="7256" max="7256" width="10.75" style="326" bestFit="1" customWidth="1"/>
    <col min="7257" max="7257" width="13.25" style="326" customWidth="1"/>
    <col min="7258" max="7260" width="9" style="326"/>
    <col min="7261" max="7261" width="13.25" style="326" customWidth="1"/>
    <col min="7262" max="7262" width="9" style="326"/>
    <col min="7263" max="7263" width="10.75" style="326" bestFit="1" customWidth="1"/>
    <col min="7264" max="7264" width="13.875" style="326" customWidth="1"/>
    <col min="7265" max="7267" width="9" style="326"/>
    <col min="7268" max="7268" width="13.625" style="326" customWidth="1"/>
    <col min="7269" max="7269" width="9" style="326"/>
    <col min="7270" max="7270" width="10.75" style="326" bestFit="1" customWidth="1"/>
    <col min="7271" max="7271" width="13" style="326" customWidth="1"/>
    <col min="7272" max="7418" width="9" style="326"/>
    <col min="7419" max="7420" width="12.125" style="326" customWidth="1"/>
    <col min="7421" max="7423" width="13" style="326" customWidth="1"/>
    <col min="7424" max="7424" width="12.875" style="326" customWidth="1"/>
    <col min="7425" max="7425" width="13" style="326" customWidth="1"/>
    <col min="7426" max="7426" width="13.125" style="326" customWidth="1"/>
    <col min="7427" max="7428" width="12.125" style="326" customWidth="1"/>
    <col min="7429" max="7429" width="14.375" style="326" bestFit="1" customWidth="1"/>
    <col min="7430" max="7430" width="11" style="326" customWidth="1"/>
    <col min="7431" max="7431" width="10" style="326" customWidth="1"/>
    <col min="7432" max="7432" width="10.875" style="326" customWidth="1"/>
    <col min="7433" max="7433" width="13.75" style="326" customWidth="1"/>
    <col min="7434" max="7434" width="10" style="326" customWidth="1"/>
    <col min="7435" max="7435" width="13.25" style="326" customWidth="1"/>
    <col min="7436" max="7436" width="14.375" style="326" customWidth="1"/>
    <col min="7437" max="7437" width="10" style="326" customWidth="1"/>
    <col min="7438" max="7438" width="10.875" style="326" customWidth="1"/>
    <col min="7439" max="7439" width="11.375" style="326" customWidth="1"/>
    <col min="7440" max="7440" width="15.375" style="326" customWidth="1"/>
    <col min="7441" max="7442" width="10.75" style="326" customWidth="1"/>
    <col min="7443" max="7443" width="14.375" style="326" customWidth="1"/>
    <col min="7444" max="7444" width="10.75" style="326" customWidth="1"/>
    <col min="7445" max="7445" width="11.75" style="326" customWidth="1"/>
    <col min="7446" max="7446" width="10" style="326" customWidth="1"/>
    <col min="7447" max="7447" width="15.375" style="326" customWidth="1"/>
    <col min="7448" max="7448" width="10" style="326" customWidth="1"/>
    <col min="7449" max="7449" width="10.75" style="326" customWidth="1"/>
    <col min="7450" max="7450" width="14.875" style="326" customWidth="1"/>
    <col min="7451" max="7451" width="11.5" style="326" customWidth="1"/>
    <col min="7452" max="7452" width="10" style="326" customWidth="1"/>
    <col min="7453" max="7453" width="10.75" style="326" customWidth="1"/>
    <col min="7454" max="7454" width="13.5" style="326" customWidth="1"/>
    <col min="7455" max="7455" width="9" style="326"/>
    <col min="7456" max="7456" width="10.75" style="326" bestFit="1" customWidth="1"/>
    <col min="7457" max="7457" width="13.75" style="326" customWidth="1"/>
    <col min="7458" max="7458" width="9" style="326"/>
    <col min="7459" max="7459" width="10.625" style="326" customWidth="1"/>
    <col min="7460" max="7460" width="9" style="326"/>
    <col min="7461" max="7461" width="14.25" style="326" customWidth="1"/>
    <col min="7462" max="7462" width="10.75" style="326" bestFit="1" customWidth="1"/>
    <col min="7463" max="7463" width="11.625" style="326" customWidth="1"/>
    <col min="7464" max="7464" width="13.75" style="326" customWidth="1"/>
    <col min="7465" max="7465" width="10.625" style="326" customWidth="1"/>
    <col min="7466" max="7467" width="9" style="326"/>
    <col min="7468" max="7468" width="14.125" style="326" customWidth="1"/>
    <col min="7469" max="7469" width="11" style="326" customWidth="1"/>
    <col min="7470" max="7470" width="10.75" style="326" bestFit="1" customWidth="1"/>
    <col min="7471" max="7471" width="13.5" style="326" customWidth="1"/>
    <col min="7472" max="7473" width="9" style="326"/>
    <col min="7474" max="7474" width="10.75" style="326" bestFit="1" customWidth="1"/>
    <col min="7475" max="7475" width="14" style="326" customWidth="1"/>
    <col min="7476" max="7476" width="9" style="326"/>
    <col min="7477" max="7477" width="10.75" style="326" customWidth="1"/>
    <col min="7478" max="7478" width="12.75" style="326" customWidth="1"/>
    <col min="7479" max="7479" width="9" style="326"/>
    <col min="7480" max="7480" width="10.75" style="326" bestFit="1" customWidth="1"/>
    <col min="7481" max="7481" width="11.5" style="326" customWidth="1"/>
    <col min="7482" max="7482" width="13.625" style="326" customWidth="1"/>
    <col min="7483" max="7483" width="10.625" style="326" customWidth="1"/>
    <col min="7484" max="7484" width="10.75" style="326" bestFit="1" customWidth="1"/>
    <col min="7485" max="7485" width="12.375" style="326" customWidth="1"/>
    <col min="7486" max="7488" width="9" style="326"/>
    <col min="7489" max="7489" width="15.75" style="326" customWidth="1"/>
    <col min="7490" max="7490" width="9" style="326"/>
    <col min="7491" max="7491" width="10.75" style="326" bestFit="1" customWidth="1"/>
    <col min="7492" max="7492" width="12.625" style="326" customWidth="1"/>
    <col min="7493" max="7495" width="9" style="326"/>
    <col min="7496" max="7496" width="13.625" style="326" customWidth="1"/>
    <col min="7497" max="7497" width="9" style="326"/>
    <col min="7498" max="7498" width="10.75" style="326" bestFit="1" customWidth="1"/>
    <col min="7499" max="7499" width="12.5" style="326" customWidth="1"/>
    <col min="7500" max="7502" width="9" style="326"/>
    <col min="7503" max="7503" width="12.875" style="326" customWidth="1"/>
    <col min="7504" max="7504" width="9" style="326"/>
    <col min="7505" max="7505" width="10.75" style="326" bestFit="1" customWidth="1"/>
    <col min="7506" max="7506" width="13.875" style="326" customWidth="1"/>
    <col min="7507" max="7509" width="9" style="326"/>
    <col min="7510" max="7510" width="14.125" style="326" customWidth="1"/>
    <col min="7511" max="7511" width="9" style="326"/>
    <col min="7512" max="7512" width="10.75" style="326" bestFit="1" customWidth="1"/>
    <col min="7513" max="7513" width="13.25" style="326" customWidth="1"/>
    <col min="7514" max="7516" width="9" style="326"/>
    <col min="7517" max="7517" width="13.25" style="326" customWidth="1"/>
    <col min="7518" max="7518" width="9" style="326"/>
    <col min="7519" max="7519" width="10.75" style="326" bestFit="1" customWidth="1"/>
    <col min="7520" max="7520" width="13.875" style="326" customWidth="1"/>
    <col min="7521" max="7523" width="9" style="326"/>
    <col min="7524" max="7524" width="13.625" style="326" customWidth="1"/>
    <col min="7525" max="7525" width="9" style="326"/>
    <col min="7526" max="7526" width="10.75" style="326" bestFit="1" customWidth="1"/>
    <col min="7527" max="7527" width="13" style="326" customWidth="1"/>
    <col min="7528" max="7674" width="9" style="326"/>
    <col min="7675" max="7676" width="12.125" style="326" customWidth="1"/>
    <col min="7677" max="7679" width="13" style="326" customWidth="1"/>
    <col min="7680" max="7680" width="12.875" style="326" customWidth="1"/>
    <col min="7681" max="7681" width="13" style="326" customWidth="1"/>
    <col min="7682" max="7682" width="13.125" style="326" customWidth="1"/>
    <col min="7683" max="7684" width="12.125" style="326" customWidth="1"/>
    <col min="7685" max="7685" width="14.375" style="326" bestFit="1" customWidth="1"/>
    <col min="7686" max="7686" width="11" style="326" customWidth="1"/>
    <col min="7687" max="7687" width="10" style="326" customWidth="1"/>
    <col min="7688" max="7688" width="10.875" style="326" customWidth="1"/>
    <col min="7689" max="7689" width="13.75" style="326" customWidth="1"/>
    <col min="7690" max="7690" width="10" style="326" customWidth="1"/>
    <col min="7691" max="7691" width="13.25" style="326" customWidth="1"/>
    <col min="7692" max="7692" width="14.375" style="326" customWidth="1"/>
    <col min="7693" max="7693" width="10" style="326" customWidth="1"/>
    <col min="7694" max="7694" width="10.875" style="326" customWidth="1"/>
    <col min="7695" max="7695" width="11.375" style="326" customWidth="1"/>
    <col min="7696" max="7696" width="15.375" style="326" customWidth="1"/>
    <col min="7697" max="7698" width="10.75" style="326" customWidth="1"/>
    <col min="7699" max="7699" width="14.375" style="326" customWidth="1"/>
    <col min="7700" max="7700" width="10.75" style="326" customWidth="1"/>
    <col min="7701" max="7701" width="11.75" style="326" customWidth="1"/>
    <col min="7702" max="7702" width="10" style="326" customWidth="1"/>
    <col min="7703" max="7703" width="15.375" style="326" customWidth="1"/>
    <col min="7704" max="7704" width="10" style="326" customWidth="1"/>
    <col min="7705" max="7705" width="10.75" style="326" customWidth="1"/>
    <col min="7706" max="7706" width="14.875" style="326" customWidth="1"/>
    <col min="7707" max="7707" width="11.5" style="326" customWidth="1"/>
    <col min="7708" max="7708" width="10" style="326" customWidth="1"/>
    <col min="7709" max="7709" width="10.75" style="326" customWidth="1"/>
    <col min="7710" max="7710" width="13.5" style="326" customWidth="1"/>
    <col min="7711" max="7711" width="9" style="326"/>
    <col min="7712" max="7712" width="10.75" style="326" bestFit="1" customWidth="1"/>
    <col min="7713" max="7713" width="13.75" style="326" customWidth="1"/>
    <col min="7714" max="7714" width="9" style="326"/>
    <col min="7715" max="7715" width="10.625" style="326" customWidth="1"/>
    <col min="7716" max="7716" width="9" style="326"/>
    <col min="7717" max="7717" width="14.25" style="326" customWidth="1"/>
    <col min="7718" max="7718" width="10.75" style="326" bestFit="1" customWidth="1"/>
    <col min="7719" max="7719" width="11.625" style="326" customWidth="1"/>
    <col min="7720" max="7720" width="13.75" style="326" customWidth="1"/>
    <col min="7721" max="7721" width="10.625" style="326" customWidth="1"/>
    <col min="7722" max="7723" width="9" style="326"/>
    <col min="7724" max="7724" width="14.125" style="326" customWidth="1"/>
    <col min="7725" max="7725" width="11" style="326" customWidth="1"/>
    <col min="7726" max="7726" width="10.75" style="326" bestFit="1" customWidth="1"/>
    <col min="7727" max="7727" width="13.5" style="326" customWidth="1"/>
    <col min="7728" max="7729" width="9" style="326"/>
    <col min="7730" max="7730" width="10.75" style="326" bestFit="1" customWidth="1"/>
    <col min="7731" max="7731" width="14" style="326" customWidth="1"/>
    <col min="7732" max="7732" width="9" style="326"/>
    <col min="7733" max="7733" width="10.75" style="326" customWidth="1"/>
    <col min="7734" max="7734" width="12.75" style="326" customWidth="1"/>
    <col min="7735" max="7735" width="9" style="326"/>
    <col min="7736" max="7736" width="10.75" style="326" bestFit="1" customWidth="1"/>
    <col min="7737" max="7737" width="11.5" style="326" customWidth="1"/>
    <col min="7738" max="7738" width="13.625" style="326" customWidth="1"/>
    <col min="7739" max="7739" width="10.625" style="326" customWidth="1"/>
    <col min="7740" max="7740" width="10.75" style="326" bestFit="1" customWidth="1"/>
    <col min="7741" max="7741" width="12.375" style="326" customWidth="1"/>
    <col min="7742" max="7744" width="9" style="326"/>
    <col min="7745" max="7745" width="15.75" style="326" customWidth="1"/>
    <col min="7746" max="7746" width="9" style="326"/>
    <col min="7747" max="7747" width="10.75" style="326" bestFit="1" customWidth="1"/>
    <col min="7748" max="7748" width="12.625" style="326" customWidth="1"/>
    <col min="7749" max="7751" width="9" style="326"/>
    <col min="7752" max="7752" width="13.625" style="326" customWidth="1"/>
    <col min="7753" max="7753" width="9" style="326"/>
    <col min="7754" max="7754" width="10.75" style="326" bestFit="1" customWidth="1"/>
    <col min="7755" max="7755" width="12.5" style="326" customWidth="1"/>
    <col min="7756" max="7758" width="9" style="326"/>
    <col min="7759" max="7759" width="12.875" style="326" customWidth="1"/>
    <col min="7760" max="7760" width="9" style="326"/>
    <col min="7761" max="7761" width="10.75" style="326" bestFit="1" customWidth="1"/>
    <col min="7762" max="7762" width="13.875" style="326" customWidth="1"/>
    <col min="7763" max="7765" width="9" style="326"/>
    <col min="7766" max="7766" width="14.125" style="326" customWidth="1"/>
    <col min="7767" max="7767" width="9" style="326"/>
    <col min="7768" max="7768" width="10.75" style="326" bestFit="1" customWidth="1"/>
    <col min="7769" max="7769" width="13.25" style="326" customWidth="1"/>
    <col min="7770" max="7772" width="9" style="326"/>
    <col min="7773" max="7773" width="13.25" style="326" customWidth="1"/>
    <col min="7774" max="7774" width="9" style="326"/>
    <col min="7775" max="7775" width="10.75" style="326" bestFit="1" customWidth="1"/>
    <col min="7776" max="7776" width="13.875" style="326" customWidth="1"/>
    <col min="7777" max="7779" width="9" style="326"/>
    <col min="7780" max="7780" width="13.625" style="326" customWidth="1"/>
    <col min="7781" max="7781" width="9" style="326"/>
    <col min="7782" max="7782" width="10.75" style="326" bestFit="1" customWidth="1"/>
    <col min="7783" max="7783" width="13" style="326" customWidth="1"/>
    <col min="7784" max="7930" width="9" style="326"/>
    <col min="7931" max="7932" width="12.125" style="326" customWidth="1"/>
    <col min="7933" max="7935" width="13" style="326" customWidth="1"/>
    <col min="7936" max="7936" width="12.875" style="326" customWidth="1"/>
    <col min="7937" max="7937" width="13" style="326" customWidth="1"/>
    <col min="7938" max="7938" width="13.125" style="326" customWidth="1"/>
    <col min="7939" max="7940" width="12.125" style="326" customWidth="1"/>
    <col min="7941" max="7941" width="14.375" style="326" bestFit="1" customWidth="1"/>
    <col min="7942" max="7942" width="11" style="326" customWidth="1"/>
    <col min="7943" max="7943" width="10" style="326" customWidth="1"/>
    <col min="7944" max="7944" width="10.875" style="326" customWidth="1"/>
    <col min="7945" max="7945" width="13.75" style="326" customWidth="1"/>
    <col min="7946" max="7946" width="10" style="326" customWidth="1"/>
    <col min="7947" max="7947" width="13.25" style="326" customWidth="1"/>
    <col min="7948" max="7948" width="14.375" style="326" customWidth="1"/>
    <col min="7949" max="7949" width="10" style="326" customWidth="1"/>
    <col min="7950" max="7950" width="10.875" style="326" customWidth="1"/>
    <col min="7951" max="7951" width="11.375" style="326" customWidth="1"/>
    <col min="7952" max="7952" width="15.375" style="326" customWidth="1"/>
    <col min="7953" max="7954" width="10.75" style="326" customWidth="1"/>
    <col min="7955" max="7955" width="14.375" style="326" customWidth="1"/>
    <col min="7956" max="7956" width="10.75" style="326" customWidth="1"/>
    <col min="7957" max="7957" width="11.75" style="326" customWidth="1"/>
    <col min="7958" max="7958" width="10" style="326" customWidth="1"/>
    <col min="7959" max="7959" width="15.375" style="326" customWidth="1"/>
    <col min="7960" max="7960" width="10" style="326" customWidth="1"/>
    <col min="7961" max="7961" width="10.75" style="326" customWidth="1"/>
    <col min="7962" max="7962" width="14.875" style="326" customWidth="1"/>
    <col min="7963" max="7963" width="11.5" style="326" customWidth="1"/>
    <col min="7964" max="7964" width="10" style="326" customWidth="1"/>
    <col min="7965" max="7965" width="10.75" style="326" customWidth="1"/>
    <col min="7966" max="7966" width="13.5" style="326" customWidth="1"/>
    <col min="7967" max="7967" width="9" style="326"/>
    <col min="7968" max="7968" width="10.75" style="326" bestFit="1" customWidth="1"/>
    <col min="7969" max="7969" width="13.75" style="326" customWidth="1"/>
    <col min="7970" max="7970" width="9" style="326"/>
    <col min="7971" max="7971" width="10.625" style="326" customWidth="1"/>
    <col min="7972" max="7972" width="9" style="326"/>
    <col min="7973" max="7973" width="14.25" style="326" customWidth="1"/>
    <col min="7974" max="7974" width="10.75" style="326" bestFit="1" customWidth="1"/>
    <col min="7975" max="7975" width="11.625" style="326" customWidth="1"/>
    <col min="7976" max="7976" width="13.75" style="326" customWidth="1"/>
    <col min="7977" max="7977" width="10.625" style="326" customWidth="1"/>
    <col min="7978" max="7979" width="9" style="326"/>
    <col min="7980" max="7980" width="14.125" style="326" customWidth="1"/>
    <col min="7981" max="7981" width="11" style="326" customWidth="1"/>
    <col min="7982" max="7982" width="10.75" style="326" bestFit="1" customWidth="1"/>
    <col min="7983" max="7983" width="13.5" style="326" customWidth="1"/>
    <col min="7984" max="7985" width="9" style="326"/>
    <col min="7986" max="7986" width="10.75" style="326" bestFit="1" customWidth="1"/>
    <col min="7987" max="7987" width="14" style="326" customWidth="1"/>
    <col min="7988" max="7988" width="9" style="326"/>
    <col min="7989" max="7989" width="10.75" style="326" customWidth="1"/>
    <col min="7990" max="7990" width="12.75" style="326" customWidth="1"/>
    <col min="7991" max="7991" width="9" style="326"/>
    <col min="7992" max="7992" width="10.75" style="326" bestFit="1" customWidth="1"/>
    <col min="7993" max="7993" width="11.5" style="326" customWidth="1"/>
    <col min="7994" max="7994" width="13.625" style="326" customWidth="1"/>
    <col min="7995" max="7995" width="10.625" style="326" customWidth="1"/>
    <col min="7996" max="7996" width="10.75" style="326" bestFit="1" customWidth="1"/>
    <col min="7997" max="7997" width="12.375" style="326" customWidth="1"/>
    <col min="7998" max="8000" width="9" style="326"/>
    <col min="8001" max="8001" width="15.75" style="326" customWidth="1"/>
    <col min="8002" max="8002" width="9" style="326"/>
    <col min="8003" max="8003" width="10.75" style="326" bestFit="1" customWidth="1"/>
    <col min="8004" max="8004" width="12.625" style="326" customWidth="1"/>
    <col min="8005" max="8007" width="9" style="326"/>
    <col min="8008" max="8008" width="13.625" style="326" customWidth="1"/>
    <col min="8009" max="8009" width="9" style="326"/>
    <col min="8010" max="8010" width="10.75" style="326" bestFit="1" customWidth="1"/>
    <col min="8011" max="8011" width="12.5" style="326" customWidth="1"/>
    <col min="8012" max="8014" width="9" style="326"/>
    <col min="8015" max="8015" width="12.875" style="326" customWidth="1"/>
    <col min="8016" max="8016" width="9" style="326"/>
    <col min="8017" max="8017" width="10.75" style="326" bestFit="1" customWidth="1"/>
    <col min="8018" max="8018" width="13.875" style="326" customWidth="1"/>
    <col min="8019" max="8021" width="9" style="326"/>
    <col min="8022" max="8022" width="14.125" style="326" customWidth="1"/>
    <col min="8023" max="8023" width="9" style="326"/>
    <col min="8024" max="8024" width="10.75" style="326" bestFit="1" customWidth="1"/>
    <col min="8025" max="8025" width="13.25" style="326" customWidth="1"/>
    <col min="8026" max="8028" width="9" style="326"/>
    <col min="8029" max="8029" width="13.25" style="326" customWidth="1"/>
    <col min="8030" max="8030" width="9" style="326"/>
    <col min="8031" max="8031" width="10.75" style="326" bestFit="1" customWidth="1"/>
    <col min="8032" max="8032" width="13.875" style="326" customWidth="1"/>
    <col min="8033" max="8035" width="9" style="326"/>
    <col min="8036" max="8036" width="13.625" style="326" customWidth="1"/>
    <col min="8037" max="8037" width="9" style="326"/>
    <col min="8038" max="8038" width="10.75" style="326" bestFit="1" customWidth="1"/>
    <col min="8039" max="8039" width="13" style="326" customWidth="1"/>
    <col min="8040" max="8186" width="9" style="326"/>
    <col min="8187" max="8188" width="12.125" style="326" customWidth="1"/>
    <col min="8189" max="8191" width="13" style="326" customWidth="1"/>
    <col min="8192" max="8192" width="12.875" style="326" customWidth="1"/>
    <col min="8193" max="8193" width="13" style="326" customWidth="1"/>
    <col min="8194" max="8194" width="13.125" style="326" customWidth="1"/>
    <col min="8195" max="8196" width="12.125" style="326" customWidth="1"/>
    <col min="8197" max="8197" width="14.375" style="326" bestFit="1" customWidth="1"/>
    <col min="8198" max="8198" width="11" style="326" customWidth="1"/>
    <col min="8199" max="8199" width="10" style="326" customWidth="1"/>
    <col min="8200" max="8200" width="10.875" style="326" customWidth="1"/>
    <col min="8201" max="8201" width="13.75" style="326" customWidth="1"/>
    <col min="8202" max="8202" width="10" style="326" customWidth="1"/>
    <col min="8203" max="8203" width="13.25" style="326" customWidth="1"/>
    <col min="8204" max="8204" width="14.375" style="326" customWidth="1"/>
    <col min="8205" max="8205" width="10" style="326" customWidth="1"/>
    <col min="8206" max="8206" width="10.875" style="326" customWidth="1"/>
    <col min="8207" max="8207" width="11.375" style="326" customWidth="1"/>
    <col min="8208" max="8208" width="15.375" style="326" customWidth="1"/>
    <col min="8209" max="8210" width="10.75" style="326" customWidth="1"/>
    <col min="8211" max="8211" width="14.375" style="326" customWidth="1"/>
    <col min="8212" max="8212" width="10.75" style="326" customWidth="1"/>
    <col min="8213" max="8213" width="11.75" style="326" customWidth="1"/>
    <col min="8214" max="8214" width="10" style="326" customWidth="1"/>
    <col min="8215" max="8215" width="15.375" style="326" customWidth="1"/>
    <col min="8216" max="8216" width="10" style="326" customWidth="1"/>
    <col min="8217" max="8217" width="10.75" style="326" customWidth="1"/>
    <col min="8218" max="8218" width="14.875" style="326" customWidth="1"/>
    <col min="8219" max="8219" width="11.5" style="326" customWidth="1"/>
    <col min="8220" max="8220" width="10" style="326" customWidth="1"/>
    <col min="8221" max="8221" width="10.75" style="326" customWidth="1"/>
    <col min="8222" max="8222" width="13.5" style="326" customWidth="1"/>
    <col min="8223" max="8223" width="9" style="326"/>
    <col min="8224" max="8224" width="10.75" style="326" bestFit="1" customWidth="1"/>
    <col min="8225" max="8225" width="13.75" style="326" customWidth="1"/>
    <col min="8226" max="8226" width="9" style="326"/>
    <col min="8227" max="8227" width="10.625" style="326" customWidth="1"/>
    <col min="8228" max="8228" width="9" style="326"/>
    <col min="8229" max="8229" width="14.25" style="326" customWidth="1"/>
    <col min="8230" max="8230" width="10.75" style="326" bestFit="1" customWidth="1"/>
    <col min="8231" max="8231" width="11.625" style="326" customWidth="1"/>
    <col min="8232" max="8232" width="13.75" style="326" customWidth="1"/>
    <col min="8233" max="8233" width="10.625" style="326" customWidth="1"/>
    <col min="8234" max="8235" width="9" style="326"/>
    <col min="8236" max="8236" width="14.125" style="326" customWidth="1"/>
    <col min="8237" max="8237" width="11" style="326" customWidth="1"/>
    <col min="8238" max="8238" width="10.75" style="326" bestFit="1" customWidth="1"/>
    <col min="8239" max="8239" width="13.5" style="326" customWidth="1"/>
    <col min="8240" max="8241" width="9" style="326"/>
    <col min="8242" max="8242" width="10.75" style="326" bestFit="1" customWidth="1"/>
    <col min="8243" max="8243" width="14" style="326" customWidth="1"/>
    <col min="8244" max="8244" width="9" style="326"/>
    <col min="8245" max="8245" width="10.75" style="326" customWidth="1"/>
    <col min="8246" max="8246" width="12.75" style="326" customWidth="1"/>
    <col min="8247" max="8247" width="9" style="326"/>
    <col min="8248" max="8248" width="10.75" style="326" bestFit="1" customWidth="1"/>
    <col min="8249" max="8249" width="11.5" style="326" customWidth="1"/>
    <col min="8250" max="8250" width="13.625" style="326" customWidth="1"/>
    <col min="8251" max="8251" width="10.625" style="326" customWidth="1"/>
    <col min="8252" max="8252" width="10.75" style="326" bestFit="1" customWidth="1"/>
    <col min="8253" max="8253" width="12.375" style="326" customWidth="1"/>
    <col min="8254" max="8256" width="9" style="326"/>
    <col min="8257" max="8257" width="15.75" style="326" customWidth="1"/>
    <col min="8258" max="8258" width="9" style="326"/>
    <col min="8259" max="8259" width="10.75" style="326" bestFit="1" customWidth="1"/>
    <col min="8260" max="8260" width="12.625" style="326" customWidth="1"/>
    <col min="8261" max="8263" width="9" style="326"/>
    <col min="8264" max="8264" width="13.625" style="326" customWidth="1"/>
    <col min="8265" max="8265" width="9" style="326"/>
    <col min="8266" max="8266" width="10.75" style="326" bestFit="1" customWidth="1"/>
    <col min="8267" max="8267" width="12.5" style="326" customWidth="1"/>
    <col min="8268" max="8270" width="9" style="326"/>
    <col min="8271" max="8271" width="12.875" style="326" customWidth="1"/>
    <col min="8272" max="8272" width="9" style="326"/>
    <col min="8273" max="8273" width="10.75" style="326" bestFit="1" customWidth="1"/>
    <col min="8274" max="8274" width="13.875" style="326" customWidth="1"/>
    <col min="8275" max="8277" width="9" style="326"/>
    <col min="8278" max="8278" width="14.125" style="326" customWidth="1"/>
    <col min="8279" max="8279" width="9" style="326"/>
    <col min="8280" max="8280" width="10.75" style="326" bestFit="1" customWidth="1"/>
    <col min="8281" max="8281" width="13.25" style="326" customWidth="1"/>
    <col min="8282" max="8284" width="9" style="326"/>
    <col min="8285" max="8285" width="13.25" style="326" customWidth="1"/>
    <col min="8286" max="8286" width="9" style="326"/>
    <col min="8287" max="8287" width="10.75" style="326" bestFit="1" customWidth="1"/>
    <col min="8288" max="8288" width="13.875" style="326" customWidth="1"/>
    <col min="8289" max="8291" width="9" style="326"/>
    <col min="8292" max="8292" width="13.625" style="326" customWidth="1"/>
    <col min="8293" max="8293" width="9" style="326"/>
    <col min="8294" max="8294" width="10.75" style="326" bestFit="1" customWidth="1"/>
    <col min="8295" max="8295" width="13" style="326" customWidth="1"/>
    <col min="8296" max="8442" width="9" style="326"/>
    <col min="8443" max="8444" width="12.125" style="326" customWidth="1"/>
    <col min="8445" max="8447" width="13" style="326" customWidth="1"/>
    <col min="8448" max="8448" width="12.875" style="326" customWidth="1"/>
    <col min="8449" max="8449" width="13" style="326" customWidth="1"/>
    <col min="8450" max="8450" width="13.125" style="326" customWidth="1"/>
    <col min="8451" max="8452" width="12.125" style="326" customWidth="1"/>
    <col min="8453" max="8453" width="14.375" style="326" bestFit="1" customWidth="1"/>
    <col min="8454" max="8454" width="11" style="326" customWidth="1"/>
    <col min="8455" max="8455" width="10" style="326" customWidth="1"/>
    <col min="8456" max="8456" width="10.875" style="326" customWidth="1"/>
    <col min="8457" max="8457" width="13.75" style="326" customWidth="1"/>
    <col min="8458" max="8458" width="10" style="326" customWidth="1"/>
    <col min="8459" max="8459" width="13.25" style="326" customWidth="1"/>
    <col min="8460" max="8460" width="14.375" style="326" customWidth="1"/>
    <col min="8461" max="8461" width="10" style="326" customWidth="1"/>
    <col min="8462" max="8462" width="10.875" style="326" customWidth="1"/>
    <col min="8463" max="8463" width="11.375" style="326" customWidth="1"/>
    <col min="8464" max="8464" width="15.375" style="326" customWidth="1"/>
    <col min="8465" max="8466" width="10.75" style="326" customWidth="1"/>
    <col min="8467" max="8467" width="14.375" style="326" customWidth="1"/>
    <col min="8468" max="8468" width="10.75" style="326" customWidth="1"/>
    <col min="8469" max="8469" width="11.75" style="326" customWidth="1"/>
    <col min="8470" max="8470" width="10" style="326" customWidth="1"/>
    <col min="8471" max="8471" width="15.375" style="326" customWidth="1"/>
    <col min="8472" max="8472" width="10" style="326" customWidth="1"/>
    <col min="8473" max="8473" width="10.75" style="326" customWidth="1"/>
    <col min="8474" max="8474" width="14.875" style="326" customWidth="1"/>
    <col min="8475" max="8475" width="11.5" style="326" customWidth="1"/>
    <col min="8476" max="8476" width="10" style="326" customWidth="1"/>
    <col min="8477" max="8477" width="10.75" style="326" customWidth="1"/>
    <col min="8478" max="8478" width="13.5" style="326" customWidth="1"/>
    <col min="8479" max="8479" width="9" style="326"/>
    <col min="8480" max="8480" width="10.75" style="326" bestFit="1" customWidth="1"/>
    <col min="8481" max="8481" width="13.75" style="326" customWidth="1"/>
    <col min="8482" max="8482" width="9" style="326"/>
    <col min="8483" max="8483" width="10.625" style="326" customWidth="1"/>
    <col min="8484" max="8484" width="9" style="326"/>
    <col min="8485" max="8485" width="14.25" style="326" customWidth="1"/>
    <col min="8486" max="8486" width="10.75" style="326" bestFit="1" customWidth="1"/>
    <col min="8487" max="8487" width="11.625" style="326" customWidth="1"/>
    <col min="8488" max="8488" width="13.75" style="326" customWidth="1"/>
    <col min="8489" max="8489" width="10.625" style="326" customWidth="1"/>
    <col min="8490" max="8491" width="9" style="326"/>
    <col min="8492" max="8492" width="14.125" style="326" customWidth="1"/>
    <col min="8493" max="8493" width="11" style="326" customWidth="1"/>
    <col min="8494" max="8494" width="10.75" style="326" bestFit="1" customWidth="1"/>
    <col min="8495" max="8495" width="13.5" style="326" customWidth="1"/>
    <col min="8496" max="8497" width="9" style="326"/>
    <col min="8498" max="8498" width="10.75" style="326" bestFit="1" customWidth="1"/>
    <col min="8499" max="8499" width="14" style="326" customWidth="1"/>
    <col min="8500" max="8500" width="9" style="326"/>
    <col min="8501" max="8501" width="10.75" style="326" customWidth="1"/>
    <col min="8502" max="8502" width="12.75" style="326" customWidth="1"/>
    <col min="8503" max="8503" width="9" style="326"/>
    <col min="8504" max="8504" width="10.75" style="326" bestFit="1" customWidth="1"/>
    <col min="8505" max="8505" width="11.5" style="326" customWidth="1"/>
    <col min="8506" max="8506" width="13.625" style="326" customWidth="1"/>
    <col min="8507" max="8507" width="10.625" style="326" customWidth="1"/>
    <col min="8508" max="8508" width="10.75" style="326" bestFit="1" customWidth="1"/>
    <col min="8509" max="8509" width="12.375" style="326" customWidth="1"/>
    <col min="8510" max="8512" width="9" style="326"/>
    <col min="8513" max="8513" width="15.75" style="326" customWidth="1"/>
    <col min="8514" max="8514" width="9" style="326"/>
    <col min="8515" max="8515" width="10.75" style="326" bestFit="1" customWidth="1"/>
    <col min="8516" max="8516" width="12.625" style="326" customWidth="1"/>
    <col min="8517" max="8519" width="9" style="326"/>
    <col min="8520" max="8520" width="13.625" style="326" customWidth="1"/>
    <col min="8521" max="8521" width="9" style="326"/>
    <col min="8522" max="8522" width="10.75" style="326" bestFit="1" customWidth="1"/>
    <col min="8523" max="8523" width="12.5" style="326" customWidth="1"/>
    <col min="8524" max="8526" width="9" style="326"/>
    <col min="8527" max="8527" width="12.875" style="326" customWidth="1"/>
    <col min="8528" max="8528" width="9" style="326"/>
    <col min="8529" max="8529" width="10.75" style="326" bestFit="1" customWidth="1"/>
    <col min="8530" max="8530" width="13.875" style="326" customWidth="1"/>
    <col min="8531" max="8533" width="9" style="326"/>
    <col min="8534" max="8534" width="14.125" style="326" customWidth="1"/>
    <col min="8535" max="8535" width="9" style="326"/>
    <col min="8536" max="8536" width="10.75" style="326" bestFit="1" customWidth="1"/>
    <col min="8537" max="8537" width="13.25" style="326" customWidth="1"/>
    <col min="8538" max="8540" width="9" style="326"/>
    <col min="8541" max="8541" width="13.25" style="326" customWidth="1"/>
    <col min="8542" max="8542" width="9" style="326"/>
    <col min="8543" max="8543" width="10.75" style="326" bestFit="1" customWidth="1"/>
    <col min="8544" max="8544" width="13.875" style="326" customWidth="1"/>
    <col min="8545" max="8547" width="9" style="326"/>
    <col min="8548" max="8548" width="13.625" style="326" customWidth="1"/>
    <col min="8549" max="8549" width="9" style="326"/>
    <col min="8550" max="8550" width="10.75" style="326" bestFit="1" customWidth="1"/>
    <col min="8551" max="8551" width="13" style="326" customWidth="1"/>
    <col min="8552" max="8698" width="9" style="326"/>
    <col min="8699" max="8700" width="12.125" style="326" customWidth="1"/>
    <col min="8701" max="8703" width="13" style="326" customWidth="1"/>
    <col min="8704" max="8704" width="12.875" style="326" customWidth="1"/>
    <col min="8705" max="8705" width="13" style="326" customWidth="1"/>
    <col min="8706" max="8706" width="13.125" style="326" customWidth="1"/>
    <col min="8707" max="8708" width="12.125" style="326" customWidth="1"/>
    <col min="8709" max="8709" width="14.375" style="326" bestFit="1" customWidth="1"/>
    <col min="8710" max="8710" width="11" style="326" customWidth="1"/>
    <col min="8711" max="8711" width="10" style="326" customWidth="1"/>
    <col min="8712" max="8712" width="10.875" style="326" customWidth="1"/>
    <col min="8713" max="8713" width="13.75" style="326" customWidth="1"/>
    <col min="8714" max="8714" width="10" style="326" customWidth="1"/>
    <col min="8715" max="8715" width="13.25" style="326" customWidth="1"/>
    <col min="8716" max="8716" width="14.375" style="326" customWidth="1"/>
    <col min="8717" max="8717" width="10" style="326" customWidth="1"/>
    <col min="8718" max="8718" width="10.875" style="326" customWidth="1"/>
    <col min="8719" max="8719" width="11.375" style="326" customWidth="1"/>
    <col min="8720" max="8720" width="15.375" style="326" customWidth="1"/>
    <col min="8721" max="8722" width="10.75" style="326" customWidth="1"/>
    <col min="8723" max="8723" width="14.375" style="326" customWidth="1"/>
    <col min="8724" max="8724" width="10.75" style="326" customWidth="1"/>
    <col min="8725" max="8725" width="11.75" style="326" customWidth="1"/>
    <col min="8726" max="8726" width="10" style="326" customWidth="1"/>
    <col min="8727" max="8727" width="15.375" style="326" customWidth="1"/>
    <col min="8728" max="8728" width="10" style="326" customWidth="1"/>
    <col min="8729" max="8729" width="10.75" style="326" customWidth="1"/>
    <col min="8730" max="8730" width="14.875" style="326" customWidth="1"/>
    <col min="8731" max="8731" width="11.5" style="326" customWidth="1"/>
    <col min="8732" max="8732" width="10" style="326" customWidth="1"/>
    <col min="8733" max="8733" width="10.75" style="326" customWidth="1"/>
    <col min="8734" max="8734" width="13.5" style="326" customWidth="1"/>
    <col min="8735" max="8735" width="9" style="326"/>
    <col min="8736" max="8736" width="10.75" style="326" bestFit="1" customWidth="1"/>
    <col min="8737" max="8737" width="13.75" style="326" customWidth="1"/>
    <col min="8738" max="8738" width="9" style="326"/>
    <col min="8739" max="8739" width="10.625" style="326" customWidth="1"/>
    <col min="8740" max="8740" width="9" style="326"/>
    <col min="8741" max="8741" width="14.25" style="326" customWidth="1"/>
    <col min="8742" max="8742" width="10.75" style="326" bestFit="1" customWidth="1"/>
    <col min="8743" max="8743" width="11.625" style="326" customWidth="1"/>
    <col min="8744" max="8744" width="13.75" style="326" customWidth="1"/>
    <col min="8745" max="8745" width="10.625" style="326" customWidth="1"/>
    <col min="8746" max="8747" width="9" style="326"/>
    <col min="8748" max="8748" width="14.125" style="326" customWidth="1"/>
    <col min="8749" max="8749" width="11" style="326" customWidth="1"/>
    <col min="8750" max="8750" width="10.75" style="326" bestFit="1" customWidth="1"/>
    <col min="8751" max="8751" width="13.5" style="326" customWidth="1"/>
    <col min="8752" max="8753" width="9" style="326"/>
    <col min="8754" max="8754" width="10.75" style="326" bestFit="1" customWidth="1"/>
    <col min="8755" max="8755" width="14" style="326" customWidth="1"/>
    <col min="8756" max="8756" width="9" style="326"/>
    <col min="8757" max="8757" width="10.75" style="326" customWidth="1"/>
    <col min="8758" max="8758" width="12.75" style="326" customWidth="1"/>
    <col min="8759" max="8759" width="9" style="326"/>
    <col min="8760" max="8760" width="10.75" style="326" bestFit="1" customWidth="1"/>
    <col min="8761" max="8761" width="11.5" style="326" customWidth="1"/>
    <col min="8762" max="8762" width="13.625" style="326" customWidth="1"/>
    <col min="8763" max="8763" width="10.625" style="326" customWidth="1"/>
    <col min="8764" max="8764" width="10.75" style="326" bestFit="1" customWidth="1"/>
    <col min="8765" max="8765" width="12.375" style="326" customWidth="1"/>
    <col min="8766" max="8768" width="9" style="326"/>
    <col min="8769" max="8769" width="15.75" style="326" customWidth="1"/>
    <col min="8770" max="8770" width="9" style="326"/>
    <col min="8771" max="8771" width="10.75" style="326" bestFit="1" customWidth="1"/>
    <col min="8772" max="8772" width="12.625" style="326" customWidth="1"/>
    <col min="8773" max="8775" width="9" style="326"/>
    <col min="8776" max="8776" width="13.625" style="326" customWidth="1"/>
    <col min="8777" max="8777" width="9" style="326"/>
    <col min="8778" max="8778" width="10.75" style="326" bestFit="1" customWidth="1"/>
    <col min="8779" max="8779" width="12.5" style="326" customWidth="1"/>
    <col min="8780" max="8782" width="9" style="326"/>
    <col min="8783" max="8783" width="12.875" style="326" customWidth="1"/>
    <col min="8784" max="8784" width="9" style="326"/>
    <col min="8785" max="8785" width="10.75" style="326" bestFit="1" customWidth="1"/>
    <col min="8786" max="8786" width="13.875" style="326" customWidth="1"/>
    <col min="8787" max="8789" width="9" style="326"/>
    <col min="8790" max="8790" width="14.125" style="326" customWidth="1"/>
    <col min="8791" max="8791" width="9" style="326"/>
    <col min="8792" max="8792" width="10.75" style="326" bestFit="1" customWidth="1"/>
    <col min="8793" max="8793" width="13.25" style="326" customWidth="1"/>
    <col min="8794" max="8796" width="9" style="326"/>
    <col min="8797" max="8797" width="13.25" style="326" customWidth="1"/>
    <col min="8798" max="8798" width="9" style="326"/>
    <col min="8799" max="8799" width="10.75" style="326" bestFit="1" customWidth="1"/>
    <col min="8800" max="8800" width="13.875" style="326" customWidth="1"/>
    <col min="8801" max="8803" width="9" style="326"/>
    <col min="8804" max="8804" width="13.625" style="326" customWidth="1"/>
    <col min="8805" max="8805" width="9" style="326"/>
    <col min="8806" max="8806" width="10.75" style="326" bestFit="1" customWidth="1"/>
    <col min="8807" max="8807" width="13" style="326" customWidth="1"/>
    <col min="8808" max="8954" width="9" style="326"/>
    <col min="8955" max="8956" width="12.125" style="326" customWidth="1"/>
    <col min="8957" max="8959" width="13" style="326" customWidth="1"/>
    <col min="8960" max="8960" width="12.875" style="326" customWidth="1"/>
    <col min="8961" max="8961" width="13" style="326" customWidth="1"/>
    <col min="8962" max="8962" width="13.125" style="326" customWidth="1"/>
    <col min="8963" max="8964" width="12.125" style="326" customWidth="1"/>
    <col min="8965" max="8965" width="14.375" style="326" bestFit="1" customWidth="1"/>
    <col min="8966" max="8966" width="11" style="326" customWidth="1"/>
    <col min="8967" max="8967" width="10" style="326" customWidth="1"/>
    <col min="8968" max="8968" width="10.875" style="326" customWidth="1"/>
    <col min="8969" max="8969" width="13.75" style="326" customWidth="1"/>
    <col min="8970" max="8970" width="10" style="326" customWidth="1"/>
    <col min="8971" max="8971" width="13.25" style="326" customWidth="1"/>
    <col min="8972" max="8972" width="14.375" style="326" customWidth="1"/>
    <col min="8973" max="8973" width="10" style="326" customWidth="1"/>
    <col min="8974" max="8974" width="10.875" style="326" customWidth="1"/>
    <col min="8975" max="8975" width="11.375" style="326" customWidth="1"/>
    <col min="8976" max="8976" width="15.375" style="326" customWidth="1"/>
    <col min="8977" max="8978" width="10.75" style="326" customWidth="1"/>
    <col min="8979" max="8979" width="14.375" style="326" customWidth="1"/>
    <col min="8980" max="8980" width="10.75" style="326" customWidth="1"/>
    <col min="8981" max="8981" width="11.75" style="326" customWidth="1"/>
    <col min="8982" max="8982" width="10" style="326" customWidth="1"/>
    <col min="8983" max="8983" width="15.375" style="326" customWidth="1"/>
    <col min="8984" max="8984" width="10" style="326" customWidth="1"/>
    <col min="8985" max="8985" width="10.75" style="326" customWidth="1"/>
    <col min="8986" max="8986" width="14.875" style="326" customWidth="1"/>
    <col min="8987" max="8987" width="11.5" style="326" customWidth="1"/>
    <col min="8988" max="8988" width="10" style="326" customWidth="1"/>
    <col min="8989" max="8989" width="10.75" style="326" customWidth="1"/>
    <col min="8990" max="8990" width="13.5" style="326" customWidth="1"/>
    <col min="8991" max="8991" width="9" style="326"/>
    <col min="8992" max="8992" width="10.75" style="326" bestFit="1" customWidth="1"/>
    <col min="8993" max="8993" width="13.75" style="326" customWidth="1"/>
    <col min="8994" max="8994" width="9" style="326"/>
    <col min="8995" max="8995" width="10.625" style="326" customWidth="1"/>
    <col min="8996" max="8996" width="9" style="326"/>
    <col min="8997" max="8997" width="14.25" style="326" customWidth="1"/>
    <col min="8998" max="8998" width="10.75" style="326" bestFit="1" customWidth="1"/>
    <col min="8999" max="8999" width="11.625" style="326" customWidth="1"/>
    <col min="9000" max="9000" width="13.75" style="326" customWidth="1"/>
    <col min="9001" max="9001" width="10.625" style="326" customWidth="1"/>
    <col min="9002" max="9003" width="9" style="326"/>
    <col min="9004" max="9004" width="14.125" style="326" customWidth="1"/>
    <col min="9005" max="9005" width="11" style="326" customWidth="1"/>
    <col min="9006" max="9006" width="10.75" style="326" bestFit="1" customWidth="1"/>
    <col min="9007" max="9007" width="13.5" style="326" customWidth="1"/>
    <col min="9008" max="9009" width="9" style="326"/>
    <col min="9010" max="9010" width="10.75" style="326" bestFit="1" customWidth="1"/>
    <col min="9011" max="9011" width="14" style="326" customWidth="1"/>
    <col min="9012" max="9012" width="9" style="326"/>
    <col min="9013" max="9013" width="10.75" style="326" customWidth="1"/>
    <col min="9014" max="9014" width="12.75" style="326" customWidth="1"/>
    <col min="9015" max="9015" width="9" style="326"/>
    <col min="9016" max="9016" width="10.75" style="326" bestFit="1" customWidth="1"/>
    <col min="9017" max="9017" width="11.5" style="326" customWidth="1"/>
    <col min="9018" max="9018" width="13.625" style="326" customWidth="1"/>
    <col min="9019" max="9019" width="10.625" style="326" customWidth="1"/>
    <col min="9020" max="9020" width="10.75" style="326" bestFit="1" customWidth="1"/>
    <col min="9021" max="9021" width="12.375" style="326" customWidth="1"/>
    <col min="9022" max="9024" width="9" style="326"/>
    <col min="9025" max="9025" width="15.75" style="326" customWidth="1"/>
    <col min="9026" max="9026" width="9" style="326"/>
    <col min="9027" max="9027" width="10.75" style="326" bestFit="1" customWidth="1"/>
    <col min="9028" max="9028" width="12.625" style="326" customWidth="1"/>
    <col min="9029" max="9031" width="9" style="326"/>
    <col min="9032" max="9032" width="13.625" style="326" customWidth="1"/>
    <col min="9033" max="9033" width="9" style="326"/>
    <col min="9034" max="9034" width="10.75" style="326" bestFit="1" customWidth="1"/>
    <col min="9035" max="9035" width="12.5" style="326" customWidth="1"/>
    <col min="9036" max="9038" width="9" style="326"/>
    <col min="9039" max="9039" width="12.875" style="326" customWidth="1"/>
    <col min="9040" max="9040" width="9" style="326"/>
    <col min="9041" max="9041" width="10.75" style="326" bestFit="1" customWidth="1"/>
    <col min="9042" max="9042" width="13.875" style="326" customWidth="1"/>
    <col min="9043" max="9045" width="9" style="326"/>
    <col min="9046" max="9046" width="14.125" style="326" customWidth="1"/>
    <col min="9047" max="9047" width="9" style="326"/>
    <col min="9048" max="9048" width="10.75" style="326" bestFit="1" customWidth="1"/>
    <col min="9049" max="9049" width="13.25" style="326" customWidth="1"/>
    <col min="9050" max="9052" width="9" style="326"/>
    <col min="9053" max="9053" width="13.25" style="326" customWidth="1"/>
    <col min="9054" max="9054" width="9" style="326"/>
    <col min="9055" max="9055" width="10.75" style="326" bestFit="1" customWidth="1"/>
    <col min="9056" max="9056" width="13.875" style="326" customWidth="1"/>
    <col min="9057" max="9059" width="9" style="326"/>
    <col min="9060" max="9060" width="13.625" style="326" customWidth="1"/>
    <col min="9061" max="9061" width="9" style="326"/>
    <col min="9062" max="9062" width="10.75" style="326" bestFit="1" customWidth="1"/>
    <col min="9063" max="9063" width="13" style="326" customWidth="1"/>
    <col min="9064" max="9210" width="9" style="326"/>
    <col min="9211" max="9212" width="12.125" style="326" customWidth="1"/>
    <col min="9213" max="9215" width="13" style="326" customWidth="1"/>
    <col min="9216" max="9216" width="12.875" style="326" customWidth="1"/>
    <col min="9217" max="9217" width="13" style="326" customWidth="1"/>
    <col min="9218" max="9218" width="13.125" style="326" customWidth="1"/>
    <col min="9219" max="9220" width="12.125" style="326" customWidth="1"/>
    <col min="9221" max="9221" width="14.375" style="326" bestFit="1" customWidth="1"/>
    <col min="9222" max="9222" width="11" style="326" customWidth="1"/>
    <col min="9223" max="9223" width="10" style="326" customWidth="1"/>
    <col min="9224" max="9224" width="10.875" style="326" customWidth="1"/>
    <col min="9225" max="9225" width="13.75" style="326" customWidth="1"/>
    <col min="9226" max="9226" width="10" style="326" customWidth="1"/>
    <col min="9227" max="9227" width="13.25" style="326" customWidth="1"/>
    <col min="9228" max="9228" width="14.375" style="326" customWidth="1"/>
    <col min="9229" max="9229" width="10" style="326" customWidth="1"/>
    <col min="9230" max="9230" width="10.875" style="326" customWidth="1"/>
    <col min="9231" max="9231" width="11.375" style="326" customWidth="1"/>
    <col min="9232" max="9232" width="15.375" style="326" customWidth="1"/>
    <col min="9233" max="9234" width="10.75" style="326" customWidth="1"/>
    <col min="9235" max="9235" width="14.375" style="326" customWidth="1"/>
    <col min="9236" max="9236" width="10.75" style="326" customWidth="1"/>
    <col min="9237" max="9237" width="11.75" style="326" customWidth="1"/>
    <col min="9238" max="9238" width="10" style="326" customWidth="1"/>
    <col min="9239" max="9239" width="15.375" style="326" customWidth="1"/>
    <col min="9240" max="9240" width="10" style="326" customWidth="1"/>
    <col min="9241" max="9241" width="10.75" style="326" customWidth="1"/>
    <col min="9242" max="9242" width="14.875" style="326" customWidth="1"/>
    <col min="9243" max="9243" width="11.5" style="326" customWidth="1"/>
    <col min="9244" max="9244" width="10" style="326" customWidth="1"/>
    <col min="9245" max="9245" width="10.75" style="326" customWidth="1"/>
    <col min="9246" max="9246" width="13.5" style="326" customWidth="1"/>
    <col min="9247" max="9247" width="9" style="326"/>
    <col min="9248" max="9248" width="10.75" style="326" bestFit="1" customWidth="1"/>
    <col min="9249" max="9249" width="13.75" style="326" customWidth="1"/>
    <col min="9250" max="9250" width="9" style="326"/>
    <col min="9251" max="9251" width="10.625" style="326" customWidth="1"/>
    <col min="9252" max="9252" width="9" style="326"/>
    <col min="9253" max="9253" width="14.25" style="326" customWidth="1"/>
    <col min="9254" max="9254" width="10.75" style="326" bestFit="1" customWidth="1"/>
    <col min="9255" max="9255" width="11.625" style="326" customWidth="1"/>
    <col min="9256" max="9256" width="13.75" style="326" customWidth="1"/>
    <col min="9257" max="9257" width="10.625" style="326" customWidth="1"/>
    <col min="9258" max="9259" width="9" style="326"/>
    <col min="9260" max="9260" width="14.125" style="326" customWidth="1"/>
    <col min="9261" max="9261" width="11" style="326" customWidth="1"/>
    <col min="9262" max="9262" width="10.75" style="326" bestFit="1" customWidth="1"/>
    <col min="9263" max="9263" width="13.5" style="326" customWidth="1"/>
    <col min="9264" max="9265" width="9" style="326"/>
    <col min="9266" max="9266" width="10.75" style="326" bestFit="1" customWidth="1"/>
    <col min="9267" max="9267" width="14" style="326" customWidth="1"/>
    <col min="9268" max="9268" width="9" style="326"/>
    <col min="9269" max="9269" width="10.75" style="326" customWidth="1"/>
    <col min="9270" max="9270" width="12.75" style="326" customWidth="1"/>
    <col min="9271" max="9271" width="9" style="326"/>
    <col min="9272" max="9272" width="10.75" style="326" bestFit="1" customWidth="1"/>
    <col min="9273" max="9273" width="11.5" style="326" customWidth="1"/>
    <col min="9274" max="9274" width="13.625" style="326" customWidth="1"/>
    <col min="9275" max="9275" width="10.625" style="326" customWidth="1"/>
    <col min="9276" max="9276" width="10.75" style="326" bestFit="1" customWidth="1"/>
    <col min="9277" max="9277" width="12.375" style="326" customWidth="1"/>
    <col min="9278" max="9280" width="9" style="326"/>
    <col min="9281" max="9281" width="15.75" style="326" customWidth="1"/>
    <col min="9282" max="9282" width="9" style="326"/>
    <col min="9283" max="9283" width="10.75" style="326" bestFit="1" customWidth="1"/>
    <col min="9284" max="9284" width="12.625" style="326" customWidth="1"/>
    <col min="9285" max="9287" width="9" style="326"/>
    <col min="9288" max="9288" width="13.625" style="326" customWidth="1"/>
    <col min="9289" max="9289" width="9" style="326"/>
    <col min="9290" max="9290" width="10.75" style="326" bestFit="1" customWidth="1"/>
    <col min="9291" max="9291" width="12.5" style="326" customWidth="1"/>
    <col min="9292" max="9294" width="9" style="326"/>
    <col min="9295" max="9295" width="12.875" style="326" customWidth="1"/>
    <col min="9296" max="9296" width="9" style="326"/>
    <col min="9297" max="9297" width="10.75" style="326" bestFit="1" customWidth="1"/>
    <col min="9298" max="9298" width="13.875" style="326" customWidth="1"/>
    <col min="9299" max="9301" width="9" style="326"/>
    <col min="9302" max="9302" width="14.125" style="326" customWidth="1"/>
    <col min="9303" max="9303" width="9" style="326"/>
    <col min="9304" max="9304" width="10.75" style="326" bestFit="1" customWidth="1"/>
    <col min="9305" max="9305" width="13.25" style="326" customWidth="1"/>
    <col min="9306" max="9308" width="9" style="326"/>
    <col min="9309" max="9309" width="13.25" style="326" customWidth="1"/>
    <col min="9310" max="9310" width="9" style="326"/>
    <col min="9311" max="9311" width="10.75" style="326" bestFit="1" customWidth="1"/>
    <col min="9312" max="9312" width="13.875" style="326" customWidth="1"/>
    <col min="9313" max="9315" width="9" style="326"/>
    <col min="9316" max="9316" width="13.625" style="326" customWidth="1"/>
    <col min="9317" max="9317" width="9" style="326"/>
    <col min="9318" max="9318" width="10.75" style="326" bestFit="1" customWidth="1"/>
    <col min="9319" max="9319" width="13" style="326" customWidth="1"/>
    <col min="9320" max="9466" width="9" style="326"/>
    <col min="9467" max="9468" width="12.125" style="326" customWidth="1"/>
    <col min="9469" max="9471" width="13" style="326" customWidth="1"/>
    <col min="9472" max="9472" width="12.875" style="326" customWidth="1"/>
    <col min="9473" max="9473" width="13" style="326" customWidth="1"/>
    <col min="9474" max="9474" width="13.125" style="326" customWidth="1"/>
    <col min="9475" max="9476" width="12.125" style="326" customWidth="1"/>
    <col min="9477" max="9477" width="14.375" style="326" bestFit="1" customWidth="1"/>
    <col min="9478" max="9478" width="11" style="326" customWidth="1"/>
    <col min="9479" max="9479" width="10" style="326" customWidth="1"/>
    <col min="9480" max="9480" width="10.875" style="326" customWidth="1"/>
    <col min="9481" max="9481" width="13.75" style="326" customWidth="1"/>
    <col min="9482" max="9482" width="10" style="326" customWidth="1"/>
    <col min="9483" max="9483" width="13.25" style="326" customWidth="1"/>
    <col min="9484" max="9484" width="14.375" style="326" customWidth="1"/>
    <col min="9485" max="9485" width="10" style="326" customWidth="1"/>
    <col min="9486" max="9486" width="10.875" style="326" customWidth="1"/>
    <col min="9487" max="9487" width="11.375" style="326" customWidth="1"/>
    <col min="9488" max="9488" width="15.375" style="326" customWidth="1"/>
    <col min="9489" max="9490" width="10.75" style="326" customWidth="1"/>
    <col min="9491" max="9491" width="14.375" style="326" customWidth="1"/>
    <col min="9492" max="9492" width="10.75" style="326" customWidth="1"/>
    <col min="9493" max="9493" width="11.75" style="326" customWidth="1"/>
    <col min="9494" max="9494" width="10" style="326" customWidth="1"/>
    <col min="9495" max="9495" width="15.375" style="326" customWidth="1"/>
    <col min="9496" max="9496" width="10" style="326" customWidth="1"/>
    <col min="9497" max="9497" width="10.75" style="326" customWidth="1"/>
    <col min="9498" max="9498" width="14.875" style="326" customWidth="1"/>
    <col min="9499" max="9499" width="11.5" style="326" customWidth="1"/>
    <col min="9500" max="9500" width="10" style="326" customWidth="1"/>
    <col min="9501" max="9501" width="10.75" style="326" customWidth="1"/>
    <col min="9502" max="9502" width="13.5" style="326" customWidth="1"/>
    <col min="9503" max="9503" width="9" style="326"/>
    <col min="9504" max="9504" width="10.75" style="326" bestFit="1" customWidth="1"/>
    <col min="9505" max="9505" width="13.75" style="326" customWidth="1"/>
    <col min="9506" max="9506" width="9" style="326"/>
    <col min="9507" max="9507" width="10.625" style="326" customWidth="1"/>
    <col min="9508" max="9508" width="9" style="326"/>
    <col min="9509" max="9509" width="14.25" style="326" customWidth="1"/>
    <col min="9510" max="9510" width="10.75" style="326" bestFit="1" customWidth="1"/>
    <col min="9511" max="9511" width="11.625" style="326" customWidth="1"/>
    <col min="9512" max="9512" width="13.75" style="326" customWidth="1"/>
    <col min="9513" max="9513" width="10.625" style="326" customWidth="1"/>
    <col min="9514" max="9515" width="9" style="326"/>
    <col min="9516" max="9516" width="14.125" style="326" customWidth="1"/>
    <col min="9517" max="9517" width="11" style="326" customWidth="1"/>
    <col min="9518" max="9518" width="10.75" style="326" bestFit="1" customWidth="1"/>
    <col min="9519" max="9519" width="13.5" style="326" customWidth="1"/>
    <col min="9520" max="9521" width="9" style="326"/>
    <col min="9522" max="9522" width="10.75" style="326" bestFit="1" customWidth="1"/>
    <col min="9523" max="9523" width="14" style="326" customWidth="1"/>
    <col min="9524" max="9524" width="9" style="326"/>
    <col min="9525" max="9525" width="10.75" style="326" customWidth="1"/>
    <col min="9526" max="9526" width="12.75" style="326" customWidth="1"/>
    <col min="9527" max="9527" width="9" style="326"/>
    <col min="9528" max="9528" width="10.75" style="326" bestFit="1" customWidth="1"/>
    <col min="9529" max="9529" width="11.5" style="326" customWidth="1"/>
    <col min="9530" max="9530" width="13.625" style="326" customWidth="1"/>
    <col min="9531" max="9531" width="10.625" style="326" customWidth="1"/>
    <col min="9532" max="9532" width="10.75" style="326" bestFit="1" customWidth="1"/>
    <col min="9533" max="9533" width="12.375" style="326" customWidth="1"/>
    <col min="9534" max="9536" width="9" style="326"/>
    <col min="9537" max="9537" width="15.75" style="326" customWidth="1"/>
    <col min="9538" max="9538" width="9" style="326"/>
    <col min="9539" max="9539" width="10.75" style="326" bestFit="1" customWidth="1"/>
    <col min="9540" max="9540" width="12.625" style="326" customWidth="1"/>
    <col min="9541" max="9543" width="9" style="326"/>
    <col min="9544" max="9544" width="13.625" style="326" customWidth="1"/>
    <col min="9545" max="9545" width="9" style="326"/>
    <col min="9546" max="9546" width="10.75" style="326" bestFit="1" customWidth="1"/>
    <col min="9547" max="9547" width="12.5" style="326" customWidth="1"/>
    <col min="9548" max="9550" width="9" style="326"/>
    <col min="9551" max="9551" width="12.875" style="326" customWidth="1"/>
    <col min="9552" max="9552" width="9" style="326"/>
    <col min="9553" max="9553" width="10.75" style="326" bestFit="1" customWidth="1"/>
    <col min="9554" max="9554" width="13.875" style="326" customWidth="1"/>
    <col min="9555" max="9557" width="9" style="326"/>
    <col min="9558" max="9558" width="14.125" style="326" customWidth="1"/>
    <col min="9559" max="9559" width="9" style="326"/>
    <col min="9560" max="9560" width="10.75" style="326" bestFit="1" customWidth="1"/>
    <col min="9561" max="9561" width="13.25" style="326" customWidth="1"/>
    <col min="9562" max="9564" width="9" style="326"/>
    <col min="9565" max="9565" width="13.25" style="326" customWidth="1"/>
    <col min="9566" max="9566" width="9" style="326"/>
    <col min="9567" max="9567" width="10.75" style="326" bestFit="1" customWidth="1"/>
    <col min="9568" max="9568" width="13.875" style="326" customWidth="1"/>
    <col min="9569" max="9571" width="9" style="326"/>
    <col min="9572" max="9572" width="13.625" style="326" customWidth="1"/>
    <col min="9573" max="9573" width="9" style="326"/>
    <col min="9574" max="9574" width="10.75" style="326" bestFit="1" customWidth="1"/>
    <col min="9575" max="9575" width="13" style="326" customWidth="1"/>
    <col min="9576" max="9722" width="9" style="326"/>
    <col min="9723" max="9724" width="12.125" style="326" customWidth="1"/>
    <col min="9725" max="9727" width="13" style="326" customWidth="1"/>
    <col min="9728" max="9728" width="12.875" style="326" customWidth="1"/>
    <col min="9729" max="9729" width="13" style="326" customWidth="1"/>
    <col min="9730" max="9730" width="13.125" style="326" customWidth="1"/>
    <col min="9731" max="9732" width="12.125" style="326" customWidth="1"/>
    <col min="9733" max="9733" width="14.375" style="326" bestFit="1" customWidth="1"/>
    <col min="9734" max="9734" width="11" style="326" customWidth="1"/>
    <col min="9735" max="9735" width="10" style="326" customWidth="1"/>
    <col min="9736" max="9736" width="10.875" style="326" customWidth="1"/>
    <col min="9737" max="9737" width="13.75" style="326" customWidth="1"/>
    <col min="9738" max="9738" width="10" style="326" customWidth="1"/>
    <col min="9739" max="9739" width="13.25" style="326" customWidth="1"/>
    <col min="9740" max="9740" width="14.375" style="326" customWidth="1"/>
    <col min="9741" max="9741" width="10" style="326" customWidth="1"/>
    <col min="9742" max="9742" width="10.875" style="326" customWidth="1"/>
    <col min="9743" max="9743" width="11.375" style="326" customWidth="1"/>
    <col min="9744" max="9744" width="15.375" style="326" customWidth="1"/>
    <col min="9745" max="9746" width="10.75" style="326" customWidth="1"/>
    <col min="9747" max="9747" width="14.375" style="326" customWidth="1"/>
    <col min="9748" max="9748" width="10.75" style="326" customWidth="1"/>
    <col min="9749" max="9749" width="11.75" style="326" customWidth="1"/>
    <col min="9750" max="9750" width="10" style="326" customWidth="1"/>
    <col min="9751" max="9751" width="15.375" style="326" customWidth="1"/>
    <col min="9752" max="9752" width="10" style="326" customWidth="1"/>
    <col min="9753" max="9753" width="10.75" style="326" customWidth="1"/>
    <col min="9754" max="9754" width="14.875" style="326" customWidth="1"/>
    <col min="9755" max="9755" width="11.5" style="326" customWidth="1"/>
    <col min="9756" max="9756" width="10" style="326" customWidth="1"/>
    <col min="9757" max="9757" width="10.75" style="326" customWidth="1"/>
    <col min="9758" max="9758" width="13.5" style="326" customWidth="1"/>
    <col min="9759" max="9759" width="9" style="326"/>
    <col min="9760" max="9760" width="10.75" style="326" bestFit="1" customWidth="1"/>
    <col min="9761" max="9761" width="13.75" style="326" customWidth="1"/>
    <col min="9762" max="9762" width="9" style="326"/>
    <col min="9763" max="9763" width="10.625" style="326" customWidth="1"/>
    <col min="9764" max="9764" width="9" style="326"/>
    <col min="9765" max="9765" width="14.25" style="326" customWidth="1"/>
    <col min="9766" max="9766" width="10.75" style="326" bestFit="1" customWidth="1"/>
    <col min="9767" max="9767" width="11.625" style="326" customWidth="1"/>
    <col min="9768" max="9768" width="13.75" style="326" customWidth="1"/>
    <col min="9769" max="9769" width="10.625" style="326" customWidth="1"/>
    <col min="9770" max="9771" width="9" style="326"/>
    <col min="9772" max="9772" width="14.125" style="326" customWidth="1"/>
    <col min="9773" max="9773" width="11" style="326" customWidth="1"/>
    <col min="9774" max="9774" width="10.75" style="326" bestFit="1" customWidth="1"/>
    <col min="9775" max="9775" width="13.5" style="326" customWidth="1"/>
    <col min="9776" max="9777" width="9" style="326"/>
    <col min="9778" max="9778" width="10.75" style="326" bestFit="1" customWidth="1"/>
    <col min="9779" max="9779" width="14" style="326" customWidth="1"/>
    <col min="9780" max="9780" width="9" style="326"/>
    <col min="9781" max="9781" width="10.75" style="326" customWidth="1"/>
    <col min="9782" max="9782" width="12.75" style="326" customWidth="1"/>
    <col min="9783" max="9783" width="9" style="326"/>
    <col min="9784" max="9784" width="10.75" style="326" bestFit="1" customWidth="1"/>
    <col min="9785" max="9785" width="11.5" style="326" customWidth="1"/>
    <col min="9786" max="9786" width="13.625" style="326" customWidth="1"/>
    <col min="9787" max="9787" width="10.625" style="326" customWidth="1"/>
    <col min="9788" max="9788" width="10.75" style="326" bestFit="1" customWidth="1"/>
    <col min="9789" max="9789" width="12.375" style="326" customWidth="1"/>
    <col min="9790" max="9792" width="9" style="326"/>
    <col min="9793" max="9793" width="15.75" style="326" customWidth="1"/>
    <col min="9794" max="9794" width="9" style="326"/>
    <col min="9795" max="9795" width="10.75" style="326" bestFit="1" customWidth="1"/>
    <col min="9796" max="9796" width="12.625" style="326" customWidth="1"/>
    <col min="9797" max="9799" width="9" style="326"/>
    <col min="9800" max="9800" width="13.625" style="326" customWidth="1"/>
    <col min="9801" max="9801" width="9" style="326"/>
    <col min="9802" max="9802" width="10.75" style="326" bestFit="1" customWidth="1"/>
    <col min="9803" max="9803" width="12.5" style="326" customWidth="1"/>
    <col min="9804" max="9806" width="9" style="326"/>
    <col min="9807" max="9807" width="12.875" style="326" customWidth="1"/>
    <col min="9808" max="9808" width="9" style="326"/>
    <col min="9809" max="9809" width="10.75" style="326" bestFit="1" customWidth="1"/>
    <col min="9810" max="9810" width="13.875" style="326" customWidth="1"/>
    <col min="9811" max="9813" width="9" style="326"/>
    <col min="9814" max="9814" width="14.125" style="326" customWidth="1"/>
    <col min="9815" max="9815" width="9" style="326"/>
    <col min="9816" max="9816" width="10.75" style="326" bestFit="1" customWidth="1"/>
    <col min="9817" max="9817" width="13.25" style="326" customWidth="1"/>
    <col min="9818" max="9820" width="9" style="326"/>
    <col min="9821" max="9821" width="13.25" style="326" customWidth="1"/>
    <col min="9822" max="9822" width="9" style="326"/>
    <col min="9823" max="9823" width="10.75" style="326" bestFit="1" customWidth="1"/>
    <col min="9824" max="9824" width="13.875" style="326" customWidth="1"/>
    <col min="9825" max="9827" width="9" style="326"/>
    <col min="9828" max="9828" width="13.625" style="326" customWidth="1"/>
    <col min="9829" max="9829" width="9" style="326"/>
    <col min="9830" max="9830" width="10.75" style="326" bestFit="1" customWidth="1"/>
    <col min="9831" max="9831" width="13" style="326" customWidth="1"/>
    <col min="9832" max="9978" width="9" style="326"/>
    <col min="9979" max="9980" width="12.125" style="326" customWidth="1"/>
    <col min="9981" max="9983" width="13" style="326" customWidth="1"/>
    <col min="9984" max="9984" width="12.875" style="326" customWidth="1"/>
    <col min="9985" max="9985" width="13" style="326" customWidth="1"/>
    <col min="9986" max="9986" width="13.125" style="326" customWidth="1"/>
    <col min="9987" max="9988" width="12.125" style="326" customWidth="1"/>
    <col min="9989" max="9989" width="14.375" style="326" bestFit="1" customWidth="1"/>
    <col min="9990" max="9990" width="11" style="326" customWidth="1"/>
    <col min="9991" max="9991" width="10" style="326" customWidth="1"/>
    <col min="9992" max="9992" width="10.875" style="326" customWidth="1"/>
    <col min="9993" max="9993" width="13.75" style="326" customWidth="1"/>
    <col min="9994" max="9994" width="10" style="326" customWidth="1"/>
    <col min="9995" max="9995" width="13.25" style="326" customWidth="1"/>
    <col min="9996" max="9996" width="14.375" style="326" customWidth="1"/>
    <col min="9997" max="9997" width="10" style="326" customWidth="1"/>
    <col min="9998" max="9998" width="10.875" style="326" customWidth="1"/>
    <col min="9999" max="9999" width="11.375" style="326" customWidth="1"/>
    <col min="10000" max="10000" width="15.375" style="326" customWidth="1"/>
    <col min="10001" max="10002" width="10.75" style="326" customWidth="1"/>
    <col min="10003" max="10003" width="14.375" style="326" customWidth="1"/>
    <col min="10004" max="10004" width="10.75" style="326" customWidth="1"/>
    <col min="10005" max="10005" width="11.75" style="326" customWidth="1"/>
    <col min="10006" max="10006" width="10" style="326" customWidth="1"/>
    <col min="10007" max="10007" width="15.375" style="326" customWidth="1"/>
    <col min="10008" max="10008" width="10" style="326" customWidth="1"/>
    <col min="10009" max="10009" width="10.75" style="326" customWidth="1"/>
    <col min="10010" max="10010" width="14.875" style="326" customWidth="1"/>
    <col min="10011" max="10011" width="11.5" style="326" customWidth="1"/>
    <col min="10012" max="10012" width="10" style="326" customWidth="1"/>
    <col min="10013" max="10013" width="10.75" style="326" customWidth="1"/>
    <col min="10014" max="10014" width="13.5" style="326" customWidth="1"/>
    <col min="10015" max="10015" width="9" style="326"/>
    <col min="10016" max="10016" width="10.75" style="326" bestFit="1" customWidth="1"/>
    <col min="10017" max="10017" width="13.75" style="326" customWidth="1"/>
    <col min="10018" max="10018" width="9" style="326"/>
    <col min="10019" max="10019" width="10.625" style="326" customWidth="1"/>
    <col min="10020" max="10020" width="9" style="326"/>
    <col min="10021" max="10021" width="14.25" style="326" customWidth="1"/>
    <col min="10022" max="10022" width="10.75" style="326" bestFit="1" customWidth="1"/>
    <col min="10023" max="10023" width="11.625" style="326" customWidth="1"/>
    <col min="10024" max="10024" width="13.75" style="326" customWidth="1"/>
    <col min="10025" max="10025" width="10.625" style="326" customWidth="1"/>
    <col min="10026" max="10027" width="9" style="326"/>
    <col min="10028" max="10028" width="14.125" style="326" customWidth="1"/>
    <col min="10029" max="10029" width="11" style="326" customWidth="1"/>
    <col min="10030" max="10030" width="10.75" style="326" bestFit="1" customWidth="1"/>
    <col min="10031" max="10031" width="13.5" style="326" customWidth="1"/>
    <col min="10032" max="10033" width="9" style="326"/>
    <col min="10034" max="10034" width="10.75" style="326" bestFit="1" customWidth="1"/>
    <col min="10035" max="10035" width="14" style="326" customWidth="1"/>
    <col min="10036" max="10036" width="9" style="326"/>
    <col min="10037" max="10037" width="10.75" style="326" customWidth="1"/>
    <col min="10038" max="10038" width="12.75" style="326" customWidth="1"/>
    <col min="10039" max="10039" width="9" style="326"/>
    <col min="10040" max="10040" width="10.75" style="326" bestFit="1" customWidth="1"/>
    <col min="10041" max="10041" width="11.5" style="326" customWidth="1"/>
    <col min="10042" max="10042" width="13.625" style="326" customWidth="1"/>
    <col min="10043" max="10043" width="10.625" style="326" customWidth="1"/>
    <col min="10044" max="10044" width="10.75" style="326" bestFit="1" customWidth="1"/>
    <col min="10045" max="10045" width="12.375" style="326" customWidth="1"/>
    <col min="10046" max="10048" width="9" style="326"/>
    <col min="10049" max="10049" width="15.75" style="326" customWidth="1"/>
    <col min="10050" max="10050" width="9" style="326"/>
    <col min="10051" max="10051" width="10.75" style="326" bestFit="1" customWidth="1"/>
    <col min="10052" max="10052" width="12.625" style="326" customWidth="1"/>
    <col min="10053" max="10055" width="9" style="326"/>
    <col min="10056" max="10056" width="13.625" style="326" customWidth="1"/>
    <col min="10057" max="10057" width="9" style="326"/>
    <col min="10058" max="10058" width="10.75" style="326" bestFit="1" customWidth="1"/>
    <col min="10059" max="10059" width="12.5" style="326" customWidth="1"/>
    <col min="10060" max="10062" width="9" style="326"/>
    <col min="10063" max="10063" width="12.875" style="326" customWidth="1"/>
    <col min="10064" max="10064" width="9" style="326"/>
    <col min="10065" max="10065" width="10.75" style="326" bestFit="1" customWidth="1"/>
    <col min="10066" max="10066" width="13.875" style="326" customWidth="1"/>
    <col min="10067" max="10069" width="9" style="326"/>
    <col min="10070" max="10070" width="14.125" style="326" customWidth="1"/>
    <col min="10071" max="10071" width="9" style="326"/>
    <col min="10072" max="10072" width="10.75" style="326" bestFit="1" customWidth="1"/>
    <col min="10073" max="10073" width="13.25" style="326" customWidth="1"/>
    <col min="10074" max="10076" width="9" style="326"/>
    <col min="10077" max="10077" width="13.25" style="326" customWidth="1"/>
    <col min="10078" max="10078" width="9" style="326"/>
    <col min="10079" max="10079" width="10.75" style="326" bestFit="1" customWidth="1"/>
    <col min="10080" max="10080" width="13.875" style="326" customWidth="1"/>
    <col min="10081" max="10083" width="9" style="326"/>
    <col min="10084" max="10084" width="13.625" style="326" customWidth="1"/>
    <col min="10085" max="10085" width="9" style="326"/>
    <col min="10086" max="10086" width="10.75" style="326" bestFit="1" customWidth="1"/>
    <col min="10087" max="10087" width="13" style="326" customWidth="1"/>
    <col min="10088" max="10234" width="9" style="326"/>
    <col min="10235" max="10236" width="12.125" style="326" customWidth="1"/>
    <col min="10237" max="10239" width="13" style="326" customWidth="1"/>
    <col min="10240" max="10240" width="12.875" style="326" customWidth="1"/>
    <col min="10241" max="10241" width="13" style="326" customWidth="1"/>
    <col min="10242" max="10242" width="13.125" style="326" customWidth="1"/>
    <col min="10243" max="10244" width="12.125" style="326" customWidth="1"/>
    <col min="10245" max="10245" width="14.375" style="326" bestFit="1" customWidth="1"/>
    <col min="10246" max="10246" width="11" style="326" customWidth="1"/>
    <col min="10247" max="10247" width="10" style="326" customWidth="1"/>
    <col min="10248" max="10248" width="10.875" style="326" customWidth="1"/>
    <col min="10249" max="10249" width="13.75" style="326" customWidth="1"/>
    <col min="10250" max="10250" width="10" style="326" customWidth="1"/>
    <col min="10251" max="10251" width="13.25" style="326" customWidth="1"/>
    <col min="10252" max="10252" width="14.375" style="326" customWidth="1"/>
    <col min="10253" max="10253" width="10" style="326" customWidth="1"/>
    <col min="10254" max="10254" width="10.875" style="326" customWidth="1"/>
    <col min="10255" max="10255" width="11.375" style="326" customWidth="1"/>
    <col min="10256" max="10256" width="15.375" style="326" customWidth="1"/>
    <col min="10257" max="10258" width="10.75" style="326" customWidth="1"/>
    <col min="10259" max="10259" width="14.375" style="326" customWidth="1"/>
    <col min="10260" max="10260" width="10.75" style="326" customWidth="1"/>
    <col min="10261" max="10261" width="11.75" style="326" customWidth="1"/>
    <col min="10262" max="10262" width="10" style="326" customWidth="1"/>
    <col min="10263" max="10263" width="15.375" style="326" customWidth="1"/>
    <col min="10264" max="10264" width="10" style="326" customWidth="1"/>
    <col min="10265" max="10265" width="10.75" style="326" customWidth="1"/>
    <col min="10266" max="10266" width="14.875" style="326" customWidth="1"/>
    <col min="10267" max="10267" width="11.5" style="326" customWidth="1"/>
    <col min="10268" max="10268" width="10" style="326" customWidth="1"/>
    <col min="10269" max="10269" width="10.75" style="326" customWidth="1"/>
    <col min="10270" max="10270" width="13.5" style="326" customWidth="1"/>
    <col min="10271" max="10271" width="9" style="326"/>
    <col min="10272" max="10272" width="10.75" style="326" bestFit="1" customWidth="1"/>
    <col min="10273" max="10273" width="13.75" style="326" customWidth="1"/>
    <col min="10274" max="10274" width="9" style="326"/>
    <col min="10275" max="10275" width="10.625" style="326" customWidth="1"/>
    <col min="10276" max="10276" width="9" style="326"/>
    <col min="10277" max="10277" width="14.25" style="326" customWidth="1"/>
    <col min="10278" max="10278" width="10.75" style="326" bestFit="1" customWidth="1"/>
    <col min="10279" max="10279" width="11.625" style="326" customWidth="1"/>
    <col min="10280" max="10280" width="13.75" style="326" customWidth="1"/>
    <col min="10281" max="10281" width="10.625" style="326" customWidth="1"/>
    <col min="10282" max="10283" width="9" style="326"/>
    <col min="10284" max="10284" width="14.125" style="326" customWidth="1"/>
    <col min="10285" max="10285" width="11" style="326" customWidth="1"/>
    <col min="10286" max="10286" width="10.75" style="326" bestFit="1" customWidth="1"/>
    <col min="10287" max="10287" width="13.5" style="326" customWidth="1"/>
    <col min="10288" max="10289" width="9" style="326"/>
    <col min="10290" max="10290" width="10.75" style="326" bestFit="1" customWidth="1"/>
    <col min="10291" max="10291" width="14" style="326" customWidth="1"/>
    <col min="10292" max="10292" width="9" style="326"/>
    <col min="10293" max="10293" width="10.75" style="326" customWidth="1"/>
    <col min="10294" max="10294" width="12.75" style="326" customWidth="1"/>
    <col min="10295" max="10295" width="9" style="326"/>
    <col min="10296" max="10296" width="10.75" style="326" bestFit="1" customWidth="1"/>
    <col min="10297" max="10297" width="11.5" style="326" customWidth="1"/>
    <col min="10298" max="10298" width="13.625" style="326" customWidth="1"/>
    <col min="10299" max="10299" width="10.625" style="326" customWidth="1"/>
    <col min="10300" max="10300" width="10.75" style="326" bestFit="1" customWidth="1"/>
    <col min="10301" max="10301" width="12.375" style="326" customWidth="1"/>
    <col min="10302" max="10304" width="9" style="326"/>
    <col min="10305" max="10305" width="15.75" style="326" customWidth="1"/>
    <col min="10306" max="10306" width="9" style="326"/>
    <col min="10307" max="10307" width="10.75" style="326" bestFit="1" customWidth="1"/>
    <col min="10308" max="10308" width="12.625" style="326" customWidth="1"/>
    <col min="10309" max="10311" width="9" style="326"/>
    <col min="10312" max="10312" width="13.625" style="326" customWidth="1"/>
    <col min="10313" max="10313" width="9" style="326"/>
    <col min="10314" max="10314" width="10.75" style="326" bestFit="1" customWidth="1"/>
    <col min="10315" max="10315" width="12.5" style="326" customWidth="1"/>
    <col min="10316" max="10318" width="9" style="326"/>
    <col min="10319" max="10319" width="12.875" style="326" customWidth="1"/>
    <col min="10320" max="10320" width="9" style="326"/>
    <col min="10321" max="10321" width="10.75" style="326" bestFit="1" customWidth="1"/>
    <col min="10322" max="10322" width="13.875" style="326" customWidth="1"/>
    <col min="10323" max="10325" width="9" style="326"/>
    <col min="10326" max="10326" width="14.125" style="326" customWidth="1"/>
    <col min="10327" max="10327" width="9" style="326"/>
    <col min="10328" max="10328" width="10.75" style="326" bestFit="1" customWidth="1"/>
    <col min="10329" max="10329" width="13.25" style="326" customWidth="1"/>
    <col min="10330" max="10332" width="9" style="326"/>
    <col min="10333" max="10333" width="13.25" style="326" customWidth="1"/>
    <col min="10334" max="10334" width="9" style="326"/>
    <col min="10335" max="10335" width="10.75" style="326" bestFit="1" customWidth="1"/>
    <col min="10336" max="10336" width="13.875" style="326" customWidth="1"/>
    <col min="10337" max="10339" width="9" style="326"/>
    <col min="10340" max="10340" width="13.625" style="326" customWidth="1"/>
    <col min="10341" max="10341" width="9" style="326"/>
    <col min="10342" max="10342" width="10.75" style="326" bestFit="1" customWidth="1"/>
    <col min="10343" max="10343" width="13" style="326" customWidth="1"/>
    <col min="10344" max="10490" width="9" style="326"/>
    <col min="10491" max="10492" width="12.125" style="326" customWidth="1"/>
    <col min="10493" max="10495" width="13" style="326" customWidth="1"/>
    <col min="10496" max="10496" width="12.875" style="326" customWidth="1"/>
    <col min="10497" max="10497" width="13" style="326" customWidth="1"/>
    <col min="10498" max="10498" width="13.125" style="326" customWidth="1"/>
    <col min="10499" max="10500" width="12.125" style="326" customWidth="1"/>
    <col min="10501" max="10501" width="14.375" style="326" bestFit="1" customWidth="1"/>
    <col min="10502" max="10502" width="11" style="326" customWidth="1"/>
    <col min="10503" max="10503" width="10" style="326" customWidth="1"/>
    <col min="10504" max="10504" width="10.875" style="326" customWidth="1"/>
    <col min="10505" max="10505" width="13.75" style="326" customWidth="1"/>
    <col min="10506" max="10506" width="10" style="326" customWidth="1"/>
    <col min="10507" max="10507" width="13.25" style="326" customWidth="1"/>
    <col min="10508" max="10508" width="14.375" style="326" customWidth="1"/>
    <col min="10509" max="10509" width="10" style="326" customWidth="1"/>
    <col min="10510" max="10510" width="10.875" style="326" customWidth="1"/>
    <col min="10511" max="10511" width="11.375" style="326" customWidth="1"/>
    <col min="10512" max="10512" width="15.375" style="326" customWidth="1"/>
    <col min="10513" max="10514" width="10.75" style="326" customWidth="1"/>
    <col min="10515" max="10515" width="14.375" style="326" customWidth="1"/>
    <col min="10516" max="10516" width="10.75" style="326" customWidth="1"/>
    <col min="10517" max="10517" width="11.75" style="326" customWidth="1"/>
    <col min="10518" max="10518" width="10" style="326" customWidth="1"/>
    <col min="10519" max="10519" width="15.375" style="326" customWidth="1"/>
    <col min="10520" max="10520" width="10" style="326" customWidth="1"/>
    <col min="10521" max="10521" width="10.75" style="326" customWidth="1"/>
    <col min="10522" max="10522" width="14.875" style="326" customWidth="1"/>
    <col min="10523" max="10523" width="11.5" style="326" customWidth="1"/>
    <col min="10524" max="10524" width="10" style="326" customWidth="1"/>
    <col min="10525" max="10525" width="10.75" style="326" customWidth="1"/>
    <col min="10526" max="10526" width="13.5" style="326" customWidth="1"/>
    <col min="10527" max="10527" width="9" style="326"/>
    <col min="10528" max="10528" width="10.75" style="326" bestFit="1" customWidth="1"/>
    <col min="10529" max="10529" width="13.75" style="326" customWidth="1"/>
    <col min="10530" max="10530" width="9" style="326"/>
    <col min="10531" max="10531" width="10.625" style="326" customWidth="1"/>
    <col min="10532" max="10532" width="9" style="326"/>
    <col min="10533" max="10533" width="14.25" style="326" customWidth="1"/>
    <col min="10534" max="10534" width="10.75" style="326" bestFit="1" customWidth="1"/>
    <col min="10535" max="10535" width="11.625" style="326" customWidth="1"/>
    <col min="10536" max="10536" width="13.75" style="326" customWidth="1"/>
    <col min="10537" max="10537" width="10.625" style="326" customWidth="1"/>
    <col min="10538" max="10539" width="9" style="326"/>
    <col min="10540" max="10540" width="14.125" style="326" customWidth="1"/>
    <col min="10541" max="10541" width="11" style="326" customWidth="1"/>
    <col min="10542" max="10542" width="10.75" style="326" bestFit="1" customWidth="1"/>
    <col min="10543" max="10543" width="13.5" style="326" customWidth="1"/>
    <col min="10544" max="10545" width="9" style="326"/>
    <col min="10546" max="10546" width="10.75" style="326" bestFit="1" customWidth="1"/>
    <col min="10547" max="10547" width="14" style="326" customWidth="1"/>
    <col min="10548" max="10548" width="9" style="326"/>
    <col min="10549" max="10549" width="10.75" style="326" customWidth="1"/>
    <col min="10550" max="10550" width="12.75" style="326" customWidth="1"/>
    <col min="10551" max="10551" width="9" style="326"/>
    <col min="10552" max="10552" width="10.75" style="326" bestFit="1" customWidth="1"/>
    <col min="10553" max="10553" width="11.5" style="326" customWidth="1"/>
    <col min="10554" max="10554" width="13.625" style="326" customWidth="1"/>
    <col min="10555" max="10555" width="10.625" style="326" customWidth="1"/>
    <col min="10556" max="10556" width="10.75" style="326" bestFit="1" customWidth="1"/>
    <col min="10557" max="10557" width="12.375" style="326" customWidth="1"/>
    <col min="10558" max="10560" width="9" style="326"/>
    <col min="10561" max="10561" width="15.75" style="326" customWidth="1"/>
    <col min="10562" max="10562" width="9" style="326"/>
    <col min="10563" max="10563" width="10.75" style="326" bestFit="1" customWidth="1"/>
    <col min="10564" max="10564" width="12.625" style="326" customWidth="1"/>
    <col min="10565" max="10567" width="9" style="326"/>
    <col min="10568" max="10568" width="13.625" style="326" customWidth="1"/>
    <col min="10569" max="10569" width="9" style="326"/>
    <col min="10570" max="10570" width="10.75" style="326" bestFit="1" customWidth="1"/>
    <col min="10571" max="10571" width="12.5" style="326" customWidth="1"/>
    <col min="10572" max="10574" width="9" style="326"/>
    <col min="10575" max="10575" width="12.875" style="326" customWidth="1"/>
    <col min="10576" max="10576" width="9" style="326"/>
    <col min="10577" max="10577" width="10.75" style="326" bestFit="1" customWidth="1"/>
    <col min="10578" max="10578" width="13.875" style="326" customWidth="1"/>
    <col min="10579" max="10581" width="9" style="326"/>
    <col min="10582" max="10582" width="14.125" style="326" customWidth="1"/>
    <col min="10583" max="10583" width="9" style="326"/>
    <col min="10584" max="10584" width="10.75" style="326" bestFit="1" customWidth="1"/>
    <col min="10585" max="10585" width="13.25" style="326" customWidth="1"/>
    <col min="10586" max="10588" width="9" style="326"/>
    <col min="10589" max="10589" width="13.25" style="326" customWidth="1"/>
    <col min="10590" max="10590" width="9" style="326"/>
    <col min="10591" max="10591" width="10.75" style="326" bestFit="1" customWidth="1"/>
    <col min="10592" max="10592" width="13.875" style="326" customWidth="1"/>
    <col min="10593" max="10595" width="9" style="326"/>
    <col min="10596" max="10596" width="13.625" style="326" customWidth="1"/>
    <col min="10597" max="10597" width="9" style="326"/>
    <col min="10598" max="10598" width="10.75" style="326" bestFit="1" customWidth="1"/>
    <col min="10599" max="10599" width="13" style="326" customWidth="1"/>
    <col min="10600" max="10746" width="9" style="326"/>
    <col min="10747" max="10748" width="12.125" style="326" customWidth="1"/>
    <col min="10749" max="10751" width="13" style="326" customWidth="1"/>
    <col min="10752" max="10752" width="12.875" style="326" customWidth="1"/>
    <col min="10753" max="10753" width="13" style="326" customWidth="1"/>
    <col min="10754" max="10754" width="13.125" style="326" customWidth="1"/>
    <col min="10755" max="10756" width="12.125" style="326" customWidth="1"/>
    <col min="10757" max="10757" width="14.375" style="326" bestFit="1" customWidth="1"/>
    <col min="10758" max="10758" width="11" style="326" customWidth="1"/>
    <col min="10759" max="10759" width="10" style="326" customWidth="1"/>
    <col min="10760" max="10760" width="10.875" style="326" customWidth="1"/>
    <col min="10761" max="10761" width="13.75" style="326" customWidth="1"/>
    <col min="10762" max="10762" width="10" style="326" customWidth="1"/>
    <col min="10763" max="10763" width="13.25" style="326" customWidth="1"/>
    <col min="10764" max="10764" width="14.375" style="326" customWidth="1"/>
    <col min="10765" max="10765" width="10" style="326" customWidth="1"/>
    <col min="10766" max="10766" width="10.875" style="326" customWidth="1"/>
    <col min="10767" max="10767" width="11.375" style="326" customWidth="1"/>
    <col min="10768" max="10768" width="15.375" style="326" customWidth="1"/>
    <col min="10769" max="10770" width="10.75" style="326" customWidth="1"/>
    <col min="10771" max="10771" width="14.375" style="326" customWidth="1"/>
    <col min="10772" max="10772" width="10.75" style="326" customWidth="1"/>
    <col min="10773" max="10773" width="11.75" style="326" customWidth="1"/>
    <col min="10774" max="10774" width="10" style="326" customWidth="1"/>
    <col min="10775" max="10775" width="15.375" style="326" customWidth="1"/>
    <col min="10776" max="10776" width="10" style="326" customWidth="1"/>
    <col min="10777" max="10777" width="10.75" style="326" customWidth="1"/>
    <col min="10778" max="10778" width="14.875" style="326" customWidth="1"/>
    <col min="10779" max="10779" width="11.5" style="326" customWidth="1"/>
    <col min="10780" max="10780" width="10" style="326" customWidth="1"/>
    <col min="10781" max="10781" width="10.75" style="326" customWidth="1"/>
    <col min="10782" max="10782" width="13.5" style="326" customWidth="1"/>
    <col min="10783" max="10783" width="9" style="326"/>
    <col min="10784" max="10784" width="10.75" style="326" bestFit="1" customWidth="1"/>
    <col min="10785" max="10785" width="13.75" style="326" customWidth="1"/>
    <col min="10786" max="10786" width="9" style="326"/>
    <col min="10787" max="10787" width="10.625" style="326" customWidth="1"/>
    <col min="10788" max="10788" width="9" style="326"/>
    <col min="10789" max="10789" width="14.25" style="326" customWidth="1"/>
    <col min="10790" max="10790" width="10.75" style="326" bestFit="1" customWidth="1"/>
    <col min="10791" max="10791" width="11.625" style="326" customWidth="1"/>
    <col min="10792" max="10792" width="13.75" style="326" customWidth="1"/>
    <col min="10793" max="10793" width="10.625" style="326" customWidth="1"/>
    <col min="10794" max="10795" width="9" style="326"/>
    <col min="10796" max="10796" width="14.125" style="326" customWidth="1"/>
    <col min="10797" max="10797" width="11" style="326" customWidth="1"/>
    <col min="10798" max="10798" width="10.75" style="326" bestFit="1" customWidth="1"/>
    <col min="10799" max="10799" width="13.5" style="326" customWidth="1"/>
    <col min="10800" max="10801" width="9" style="326"/>
    <col min="10802" max="10802" width="10.75" style="326" bestFit="1" customWidth="1"/>
    <col min="10803" max="10803" width="14" style="326" customWidth="1"/>
    <col min="10804" max="10804" width="9" style="326"/>
    <col min="10805" max="10805" width="10.75" style="326" customWidth="1"/>
    <col min="10806" max="10806" width="12.75" style="326" customWidth="1"/>
    <col min="10807" max="10807" width="9" style="326"/>
    <col min="10808" max="10808" width="10.75" style="326" bestFit="1" customWidth="1"/>
    <col min="10809" max="10809" width="11.5" style="326" customWidth="1"/>
    <col min="10810" max="10810" width="13.625" style="326" customWidth="1"/>
    <col min="10811" max="10811" width="10.625" style="326" customWidth="1"/>
    <col min="10812" max="10812" width="10.75" style="326" bestFit="1" customWidth="1"/>
    <col min="10813" max="10813" width="12.375" style="326" customWidth="1"/>
    <col min="10814" max="10816" width="9" style="326"/>
    <col min="10817" max="10817" width="15.75" style="326" customWidth="1"/>
    <col min="10818" max="10818" width="9" style="326"/>
    <col min="10819" max="10819" width="10.75" style="326" bestFit="1" customWidth="1"/>
    <col min="10820" max="10820" width="12.625" style="326" customWidth="1"/>
    <col min="10821" max="10823" width="9" style="326"/>
    <col min="10824" max="10824" width="13.625" style="326" customWidth="1"/>
    <col min="10825" max="10825" width="9" style="326"/>
    <col min="10826" max="10826" width="10.75" style="326" bestFit="1" customWidth="1"/>
    <col min="10827" max="10827" width="12.5" style="326" customWidth="1"/>
    <col min="10828" max="10830" width="9" style="326"/>
    <col min="10831" max="10831" width="12.875" style="326" customWidth="1"/>
    <col min="10832" max="10832" width="9" style="326"/>
    <col min="10833" max="10833" width="10.75" style="326" bestFit="1" customWidth="1"/>
    <col min="10834" max="10834" width="13.875" style="326" customWidth="1"/>
    <col min="10835" max="10837" width="9" style="326"/>
    <col min="10838" max="10838" width="14.125" style="326" customWidth="1"/>
    <col min="10839" max="10839" width="9" style="326"/>
    <col min="10840" max="10840" width="10.75" style="326" bestFit="1" customWidth="1"/>
    <col min="10841" max="10841" width="13.25" style="326" customWidth="1"/>
    <col min="10842" max="10844" width="9" style="326"/>
    <col min="10845" max="10845" width="13.25" style="326" customWidth="1"/>
    <col min="10846" max="10846" width="9" style="326"/>
    <col min="10847" max="10847" width="10.75" style="326" bestFit="1" customWidth="1"/>
    <col min="10848" max="10848" width="13.875" style="326" customWidth="1"/>
    <col min="10849" max="10851" width="9" style="326"/>
    <col min="10852" max="10852" width="13.625" style="326" customWidth="1"/>
    <col min="10853" max="10853" width="9" style="326"/>
    <col min="10854" max="10854" width="10.75" style="326" bestFit="1" customWidth="1"/>
    <col min="10855" max="10855" width="13" style="326" customWidth="1"/>
    <col min="10856" max="11002" width="9" style="326"/>
    <col min="11003" max="11004" width="12.125" style="326" customWidth="1"/>
    <col min="11005" max="11007" width="13" style="326" customWidth="1"/>
    <col min="11008" max="11008" width="12.875" style="326" customWidth="1"/>
    <col min="11009" max="11009" width="13" style="326" customWidth="1"/>
    <col min="11010" max="11010" width="13.125" style="326" customWidth="1"/>
    <col min="11011" max="11012" width="12.125" style="326" customWidth="1"/>
    <col min="11013" max="11013" width="14.375" style="326" bestFit="1" customWidth="1"/>
    <col min="11014" max="11014" width="11" style="326" customWidth="1"/>
    <col min="11015" max="11015" width="10" style="326" customWidth="1"/>
    <col min="11016" max="11016" width="10.875" style="326" customWidth="1"/>
    <col min="11017" max="11017" width="13.75" style="326" customWidth="1"/>
    <col min="11018" max="11018" width="10" style="326" customWidth="1"/>
    <col min="11019" max="11019" width="13.25" style="326" customWidth="1"/>
    <col min="11020" max="11020" width="14.375" style="326" customWidth="1"/>
    <col min="11021" max="11021" width="10" style="326" customWidth="1"/>
    <col min="11022" max="11022" width="10.875" style="326" customWidth="1"/>
    <col min="11023" max="11023" width="11.375" style="326" customWidth="1"/>
    <col min="11024" max="11024" width="15.375" style="326" customWidth="1"/>
    <col min="11025" max="11026" width="10.75" style="326" customWidth="1"/>
    <col min="11027" max="11027" width="14.375" style="326" customWidth="1"/>
    <col min="11028" max="11028" width="10.75" style="326" customWidth="1"/>
    <col min="11029" max="11029" width="11.75" style="326" customWidth="1"/>
    <col min="11030" max="11030" width="10" style="326" customWidth="1"/>
    <col min="11031" max="11031" width="15.375" style="326" customWidth="1"/>
    <col min="11032" max="11032" width="10" style="326" customWidth="1"/>
    <col min="11033" max="11033" width="10.75" style="326" customWidth="1"/>
    <col min="11034" max="11034" width="14.875" style="326" customWidth="1"/>
    <col min="11035" max="11035" width="11.5" style="326" customWidth="1"/>
    <col min="11036" max="11036" width="10" style="326" customWidth="1"/>
    <col min="11037" max="11037" width="10.75" style="326" customWidth="1"/>
    <col min="11038" max="11038" width="13.5" style="326" customWidth="1"/>
    <col min="11039" max="11039" width="9" style="326"/>
    <col min="11040" max="11040" width="10.75" style="326" bestFit="1" customWidth="1"/>
    <col min="11041" max="11041" width="13.75" style="326" customWidth="1"/>
    <col min="11042" max="11042" width="9" style="326"/>
    <col min="11043" max="11043" width="10.625" style="326" customWidth="1"/>
    <col min="11044" max="11044" width="9" style="326"/>
    <col min="11045" max="11045" width="14.25" style="326" customWidth="1"/>
    <col min="11046" max="11046" width="10.75" style="326" bestFit="1" customWidth="1"/>
    <col min="11047" max="11047" width="11.625" style="326" customWidth="1"/>
    <col min="11048" max="11048" width="13.75" style="326" customWidth="1"/>
    <col min="11049" max="11049" width="10.625" style="326" customWidth="1"/>
    <col min="11050" max="11051" width="9" style="326"/>
    <col min="11052" max="11052" width="14.125" style="326" customWidth="1"/>
    <col min="11053" max="11053" width="11" style="326" customWidth="1"/>
    <col min="11054" max="11054" width="10.75" style="326" bestFit="1" customWidth="1"/>
    <col min="11055" max="11055" width="13.5" style="326" customWidth="1"/>
    <col min="11056" max="11057" width="9" style="326"/>
    <col min="11058" max="11058" width="10.75" style="326" bestFit="1" customWidth="1"/>
    <col min="11059" max="11059" width="14" style="326" customWidth="1"/>
    <col min="11060" max="11060" width="9" style="326"/>
    <col min="11061" max="11061" width="10.75" style="326" customWidth="1"/>
    <col min="11062" max="11062" width="12.75" style="326" customWidth="1"/>
    <col min="11063" max="11063" width="9" style="326"/>
    <col min="11064" max="11064" width="10.75" style="326" bestFit="1" customWidth="1"/>
    <col min="11065" max="11065" width="11.5" style="326" customWidth="1"/>
    <col min="11066" max="11066" width="13.625" style="326" customWidth="1"/>
    <col min="11067" max="11067" width="10.625" style="326" customWidth="1"/>
    <col min="11068" max="11068" width="10.75" style="326" bestFit="1" customWidth="1"/>
    <col min="11069" max="11069" width="12.375" style="326" customWidth="1"/>
    <col min="11070" max="11072" width="9" style="326"/>
    <col min="11073" max="11073" width="15.75" style="326" customWidth="1"/>
    <col min="11074" max="11074" width="9" style="326"/>
    <col min="11075" max="11075" width="10.75" style="326" bestFit="1" customWidth="1"/>
    <col min="11076" max="11076" width="12.625" style="326" customWidth="1"/>
    <col min="11077" max="11079" width="9" style="326"/>
    <col min="11080" max="11080" width="13.625" style="326" customWidth="1"/>
    <col min="11081" max="11081" width="9" style="326"/>
    <col min="11082" max="11082" width="10.75" style="326" bestFit="1" customWidth="1"/>
    <col min="11083" max="11083" width="12.5" style="326" customWidth="1"/>
    <col min="11084" max="11086" width="9" style="326"/>
    <col min="11087" max="11087" width="12.875" style="326" customWidth="1"/>
    <col min="11088" max="11088" width="9" style="326"/>
    <col min="11089" max="11089" width="10.75" style="326" bestFit="1" customWidth="1"/>
    <col min="11090" max="11090" width="13.875" style="326" customWidth="1"/>
    <col min="11091" max="11093" width="9" style="326"/>
    <col min="11094" max="11094" width="14.125" style="326" customWidth="1"/>
    <col min="11095" max="11095" width="9" style="326"/>
    <col min="11096" max="11096" width="10.75" style="326" bestFit="1" customWidth="1"/>
    <col min="11097" max="11097" width="13.25" style="326" customWidth="1"/>
    <col min="11098" max="11100" width="9" style="326"/>
    <col min="11101" max="11101" width="13.25" style="326" customWidth="1"/>
    <col min="11102" max="11102" width="9" style="326"/>
    <col min="11103" max="11103" width="10.75" style="326" bestFit="1" customWidth="1"/>
    <col min="11104" max="11104" width="13.875" style="326" customWidth="1"/>
    <col min="11105" max="11107" width="9" style="326"/>
    <col min="11108" max="11108" width="13.625" style="326" customWidth="1"/>
    <col min="11109" max="11109" width="9" style="326"/>
    <col min="11110" max="11110" width="10.75" style="326" bestFit="1" customWidth="1"/>
    <col min="11111" max="11111" width="13" style="326" customWidth="1"/>
    <col min="11112" max="11258" width="9" style="326"/>
    <col min="11259" max="11260" width="12.125" style="326" customWidth="1"/>
    <col min="11261" max="11263" width="13" style="326" customWidth="1"/>
    <col min="11264" max="11264" width="12.875" style="326" customWidth="1"/>
    <col min="11265" max="11265" width="13" style="326" customWidth="1"/>
    <col min="11266" max="11266" width="13.125" style="326" customWidth="1"/>
    <col min="11267" max="11268" width="12.125" style="326" customWidth="1"/>
    <col min="11269" max="11269" width="14.375" style="326" bestFit="1" customWidth="1"/>
    <col min="11270" max="11270" width="11" style="326" customWidth="1"/>
    <col min="11271" max="11271" width="10" style="326" customWidth="1"/>
    <col min="11272" max="11272" width="10.875" style="326" customWidth="1"/>
    <col min="11273" max="11273" width="13.75" style="326" customWidth="1"/>
    <col min="11274" max="11274" width="10" style="326" customWidth="1"/>
    <col min="11275" max="11275" width="13.25" style="326" customWidth="1"/>
    <col min="11276" max="11276" width="14.375" style="326" customWidth="1"/>
    <col min="11277" max="11277" width="10" style="326" customWidth="1"/>
    <col min="11278" max="11278" width="10.875" style="326" customWidth="1"/>
    <col min="11279" max="11279" width="11.375" style="326" customWidth="1"/>
    <col min="11280" max="11280" width="15.375" style="326" customWidth="1"/>
    <col min="11281" max="11282" width="10.75" style="326" customWidth="1"/>
    <col min="11283" max="11283" width="14.375" style="326" customWidth="1"/>
    <col min="11284" max="11284" width="10.75" style="326" customWidth="1"/>
    <col min="11285" max="11285" width="11.75" style="326" customWidth="1"/>
    <col min="11286" max="11286" width="10" style="326" customWidth="1"/>
    <col min="11287" max="11287" width="15.375" style="326" customWidth="1"/>
    <col min="11288" max="11288" width="10" style="326" customWidth="1"/>
    <col min="11289" max="11289" width="10.75" style="326" customWidth="1"/>
    <col min="11290" max="11290" width="14.875" style="326" customWidth="1"/>
    <col min="11291" max="11291" width="11.5" style="326" customWidth="1"/>
    <col min="11292" max="11292" width="10" style="326" customWidth="1"/>
    <col min="11293" max="11293" width="10.75" style="326" customWidth="1"/>
    <col min="11294" max="11294" width="13.5" style="326" customWidth="1"/>
    <col min="11295" max="11295" width="9" style="326"/>
    <col min="11296" max="11296" width="10.75" style="326" bestFit="1" customWidth="1"/>
    <col min="11297" max="11297" width="13.75" style="326" customWidth="1"/>
    <col min="11298" max="11298" width="9" style="326"/>
    <col min="11299" max="11299" width="10.625" style="326" customWidth="1"/>
    <col min="11300" max="11300" width="9" style="326"/>
    <col min="11301" max="11301" width="14.25" style="326" customWidth="1"/>
    <col min="11302" max="11302" width="10.75" style="326" bestFit="1" customWidth="1"/>
    <col min="11303" max="11303" width="11.625" style="326" customWidth="1"/>
    <col min="11304" max="11304" width="13.75" style="326" customWidth="1"/>
    <col min="11305" max="11305" width="10.625" style="326" customWidth="1"/>
    <col min="11306" max="11307" width="9" style="326"/>
    <col min="11308" max="11308" width="14.125" style="326" customWidth="1"/>
    <col min="11309" max="11309" width="11" style="326" customWidth="1"/>
    <col min="11310" max="11310" width="10.75" style="326" bestFit="1" customWidth="1"/>
    <col min="11311" max="11311" width="13.5" style="326" customWidth="1"/>
    <col min="11312" max="11313" width="9" style="326"/>
    <col min="11314" max="11314" width="10.75" style="326" bestFit="1" customWidth="1"/>
    <col min="11315" max="11315" width="14" style="326" customWidth="1"/>
    <col min="11316" max="11316" width="9" style="326"/>
    <col min="11317" max="11317" width="10.75" style="326" customWidth="1"/>
    <col min="11318" max="11318" width="12.75" style="326" customWidth="1"/>
    <col min="11319" max="11319" width="9" style="326"/>
    <col min="11320" max="11320" width="10.75" style="326" bestFit="1" customWidth="1"/>
    <col min="11321" max="11321" width="11.5" style="326" customWidth="1"/>
    <col min="11322" max="11322" width="13.625" style="326" customWidth="1"/>
    <col min="11323" max="11323" width="10.625" style="326" customWidth="1"/>
    <col min="11324" max="11324" width="10.75" style="326" bestFit="1" customWidth="1"/>
    <col min="11325" max="11325" width="12.375" style="326" customWidth="1"/>
    <col min="11326" max="11328" width="9" style="326"/>
    <col min="11329" max="11329" width="15.75" style="326" customWidth="1"/>
    <col min="11330" max="11330" width="9" style="326"/>
    <col min="11331" max="11331" width="10.75" style="326" bestFit="1" customWidth="1"/>
    <col min="11332" max="11332" width="12.625" style="326" customWidth="1"/>
    <col min="11333" max="11335" width="9" style="326"/>
    <col min="11336" max="11336" width="13.625" style="326" customWidth="1"/>
    <col min="11337" max="11337" width="9" style="326"/>
    <col min="11338" max="11338" width="10.75" style="326" bestFit="1" customWidth="1"/>
    <col min="11339" max="11339" width="12.5" style="326" customWidth="1"/>
    <col min="11340" max="11342" width="9" style="326"/>
    <col min="11343" max="11343" width="12.875" style="326" customWidth="1"/>
    <col min="11344" max="11344" width="9" style="326"/>
    <col min="11345" max="11345" width="10.75" style="326" bestFit="1" customWidth="1"/>
    <col min="11346" max="11346" width="13.875" style="326" customWidth="1"/>
    <col min="11347" max="11349" width="9" style="326"/>
    <col min="11350" max="11350" width="14.125" style="326" customWidth="1"/>
    <col min="11351" max="11351" width="9" style="326"/>
    <col min="11352" max="11352" width="10.75" style="326" bestFit="1" customWidth="1"/>
    <col min="11353" max="11353" width="13.25" style="326" customWidth="1"/>
    <col min="11354" max="11356" width="9" style="326"/>
    <col min="11357" max="11357" width="13.25" style="326" customWidth="1"/>
    <col min="11358" max="11358" width="9" style="326"/>
    <col min="11359" max="11359" width="10.75" style="326" bestFit="1" customWidth="1"/>
    <col min="11360" max="11360" width="13.875" style="326" customWidth="1"/>
    <col min="11361" max="11363" width="9" style="326"/>
    <col min="11364" max="11364" width="13.625" style="326" customWidth="1"/>
    <col min="11365" max="11365" width="9" style="326"/>
    <col min="11366" max="11366" width="10.75" style="326" bestFit="1" customWidth="1"/>
    <col min="11367" max="11367" width="13" style="326" customWidth="1"/>
    <col min="11368" max="11514" width="9" style="326"/>
    <col min="11515" max="11516" width="12.125" style="326" customWidth="1"/>
    <col min="11517" max="11519" width="13" style="326" customWidth="1"/>
    <col min="11520" max="11520" width="12.875" style="326" customWidth="1"/>
    <col min="11521" max="11521" width="13" style="326" customWidth="1"/>
    <col min="11522" max="11522" width="13.125" style="326" customWidth="1"/>
    <col min="11523" max="11524" width="12.125" style="326" customWidth="1"/>
    <col min="11525" max="11525" width="14.375" style="326" bestFit="1" customWidth="1"/>
    <col min="11526" max="11526" width="11" style="326" customWidth="1"/>
    <col min="11527" max="11527" width="10" style="326" customWidth="1"/>
    <col min="11528" max="11528" width="10.875" style="326" customWidth="1"/>
    <col min="11529" max="11529" width="13.75" style="326" customWidth="1"/>
    <col min="11530" max="11530" width="10" style="326" customWidth="1"/>
    <col min="11531" max="11531" width="13.25" style="326" customWidth="1"/>
    <col min="11532" max="11532" width="14.375" style="326" customWidth="1"/>
    <col min="11533" max="11533" width="10" style="326" customWidth="1"/>
    <col min="11534" max="11534" width="10.875" style="326" customWidth="1"/>
    <col min="11535" max="11535" width="11.375" style="326" customWidth="1"/>
    <col min="11536" max="11536" width="15.375" style="326" customWidth="1"/>
    <col min="11537" max="11538" width="10.75" style="326" customWidth="1"/>
    <col min="11539" max="11539" width="14.375" style="326" customWidth="1"/>
    <col min="11540" max="11540" width="10.75" style="326" customWidth="1"/>
    <col min="11541" max="11541" width="11.75" style="326" customWidth="1"/>
    <col min="11542" max="11542" width="10" style="326" customWidth="1"/>
    <col min="11543" max="11543" width="15.375" style="326" customWidth="1"/>
    <col min="11544" max="11544" width="10" style="326" customWidth="1"/>
    <col min="11545" max="11545" width="10.75" style="326" customWidth="1"/>
    <col min="11546" max="11546" width="14.875" style="326" customWidth="1"/>
    <col min="11547" max="11547" width="11.5" style="326" customWidth="1"/>
    <col min="11548" max="11548" width="10" style="326" customWidth="1"/>
    <col min="11549" max="11549" width="10.75" style="326" customWidth="1"/>
    <col min="11550" max="11550" width="13.5" style="326" customWidth="1"/>
    <col min="11551" max="11551" width="9" style="326"/>
    <col min="11552" max="11552" width="10.75" style="326" bestFit="1" customWidth="1"/>
    <col min="11553" max="11553" width="13.75" style="326" customWidth="1"/>
    <col min="11554" max="11554" width="9" style="326"/>
    <col min="11555" max="11555" width="10.625" style="326" customWidth="1"/>
    <col min="11556" max="11556" width="9" style="326"/>
    <col min="11557" max="11557" width="14.25" style="326" customWidth="1"/>
    <col min="11558" max="11558" width="10.75" style="326" bestFit="1" customWidth="1"/>
    <col min="11559" max="11559" width="11.625" style="326" customWidth="1"/>
    <col min="11560" max="11560" width="13.75" style="326" customWidth="1"/>
    <col min="11561" max="11561" width="10.625" style="326" customWidth="1"/>
    <col min="11562" max="11563" width="9" style="326"/>
    <col min="11564" max="11564" width="14.125" style="326" customWidth="1"/>
    <col min="11565" max="11565" width="11" style="326" customWidth="1"/>
    <col min="11566" max="11566" width="10.75" style="326" bestFit="1" customWidth="1"/>
    <col min="11567" max="11567" width="13.5" style="326" customWidth="1"/>
    <col min="11568" max="11569" width="9" style="326"/>
    <col min="11570" max="11570" width="10.75" style="326" bestFit="1" customWidth="1"/>
    <col min="11571" max="11571" width="14" style="326" customWidth="1"/>
    <col min="11572" max="11572" width="9" style="326"/>
    <col min="11573" max="11573" width="10.75" style="326" customWidth="1"/>
    <col min="11574" max="11574" width="12.75" style="326" customWidth="1"/>
    <col min="11575" max="11575" width="9" style="326"/>
    <col min="11576" max="11576" width="10.75" style="326" bestFit="1" customWidth="1"/>
    <col min="11577" max="11577" width="11.5" style="326" customWidth="1"/>
    <col min="11578" max="11578" width="13.625" style="326" customWidth="1"/>
    <col min="11579" max="11579" width="10.625" style="326" customWidth="1"/>
    <col min="11580" max="11580" width="10.75" style="326" bestFit="1" customWidth="1"/>
    <col min="11581" max="11581" width="12.375" style="326" customWidth="1"/>
    <col min="11582" max="11584" width="9" style="326"/>
    <col min="11585" max="11585" width="15.75" style="326" customWidth="1"/>
    <col min="11586" max="11586" width="9" style="326"/>
    <col min="11587" max="11587" width="10.75" style="326" bestFit="1" customWidth="1"/>
    <col min="11588" max="11588" width="12.625" style="326" customWidth="1"/>
    <col min="11589" max="11591" width="9" style="326"/>
    <col min="11592" max="11592" width="13.625" style="326" customWidth="1"/>
    <col min="11593" max="11593" width="9" style="326"/>
    <col min="11594" max="11594" width="10.75" style="326" bestFit="1" customWidth="1"/>
    <col min="11595" max="11595" width="12.5" style="326" customWidth="1"/>
    <col min="11596" max="11598" width="9" style="326"/>
    <col min="11599" max="11599" width="12.875" style="326" customWidth="1"/>
    <col min="11600" max="11600" width="9" style="326"/>
    <col min="11601" max="11601" width="10.75" style="326" bestFit="1" customWidth="1"/>
    <col min="11602" max="11602" width="13.875" style="326" customWidth="1"/>
    <col min="11603" max="11605" width="9" style="326"/>
    <col min="11606" max="11606" width="14.125" style="326" customWidth="1"/>
    <col min="11607" max="11607" width="9" style="326"/>
    <col min="11608" max="11608" width="10.75" style="326" bestFit="1" customWidth="1"/>
    <col min="11609" max="11609" width="13.25" style="326" customWidth="1"/>
    <col min="11610" max="11612" width="9" style="326"/>
    <col min="11613" max="11613" width="13.25" style="326" customWidth="1"/>
    <col min="11614" max="11614" width="9" style="326"/>
    <col min="11615" max="11615" width="10.75" style="326" bestFit="1" customWidth="1"/>
    <col min="11616" max="11616" width="13.875" style="326" customWidth="1"/>
    <col min="11617" max="11619" width="9" style="326"/>
    <col min="11620" max="11620" width="13.625" style="326" customWidth="1"/>
    <col min="11621" max="11621" width="9" style="326"/>
    <col min="11622" max="11622" width="10.75" style="326" bestFit="1" customWidth="1"/>
    <col min="11623" max="11623" width="13" style="326" customWidth="1"/>
    <col min="11624" max="11770" width="9" style="326"/>
    <col min="11771" max="11772" width="12.125" style="326" customWidth="1"/>
    <col min="11773" max="11775" width="13" style="326" customWidth="1"/>
    <col min="11776" max="11776" width="12.875" style="326" customWidth="1"/>
    <col min="11777" max="11777" width="13" style="326" customWidth="1"/>
    <col min="11778" max="11778" width="13.125" style="326" customWidth="1"/>
    <col min="11779" max="11780" width="12.125" style="326" customWidth="1"/>
    <col min="11781" max="11781" width="14.375" style="326" bestFit="1" customWidth="1"/>
    <col min="11782" max="11782" width="11" style="326" customWidth="1"/>
    <col min="11783" max="11783" width="10" style="326" customWidth="1"/>
    <col min="11784" max="11784" width="10.875" style="326" customWidth="1"/>
    <col min="11785" max="11785" width="13.75" style="326" customWidth="1"/>
    <col min="11786" max="11786" width="10" style="326" customWidth="1"/>
    <col min="11787" max="11787" width="13.25" style="326" customWidth="1"/>
    <col min="11788" max="11788" width="14.375" style="326" customWidth="1"/>
    <col min="11789" max="11789" width="10" style="326" customWidth="1"/>
    <col min="11790" max="11790" width="10.875" style="326" customWidth="1"/>
    <col min="11791" max="11791" width="11.375" style="326" customWidth="1"/>
    <col min="11792" max="11792" width="15.375" style="326" customWidth="1"/>
    <col min="11793" max="11794" width="10.75" style="326" customWidth="1"/>
    <col min="11795" max="11795" width="14.375" style="326" customWidth="1"/>
    <col min="11796" max="11796" width="10.75" style="326" customWidth="1"/>
    <col min="11797" max="11797" width="11.75" style="326" customWidth="1"/>
    <col min="11798" max="11798" width="10" style="326" customWidth="1"/>
    <col min="11799" max="11799" width="15.375" style="326" customWidth="1"/>
    <col min="11800" max="11800" width="10" style="326" customWidth="1"/>
    <col min="11801" max="11801" width="10.75" style="326" customWidth="1"/>
    <col min="11802" max="11802" width="14.875" style="326" customWidth="1"/>
    <col min="11803" max="11803" width="11.5" style="326" customWidth="1"/>
    <col min="11804" max="11804" width="10" style="326" customWidth="1"/>
    <col min="11805" max="11805" width="10.75" style="326" customWidth="1"/>
    <col min="11806" max="11806" width="13.5" style="326" customWidth="1"/>
    <col min="11807" max="11807" width="9" style="326"/>
    <col min="11808" max="11808" width="10.75" style="326" bestFit="1" customWidth="1"/>
    <col min="11809" max="11809" width="13.75" style="326" customWidth="1"/>
    <col min="11810" max="11810" width="9" style="326"/>
    <col min="11811" max="11811" width="10.625" style="326" customWidth="1"/>
    <col min="11812" max="11812" width="9" style="326"/>
    <col min="11813" max="11813" width="14.25" style="326" customWidth="1"/>
    <col min="11814" max="11814" width="10.75" style="326" bestFit="1" customWidth="1"/>
    <col min="11815" max="11815" width="11.625" style="326" customWidth="1"/>
    <col min="11816" max="11816" width="13.75" style="326" customWidth="1"/>
    <col min="11817" max="11817" width="10.625" style="326" customWidth="1"/>
    <col min="11818" max="11819" width="9" style="326"/>
    <col min="11820" max="11820" width="14.125" style="326" customWidth="1"/>
    <col min="11821" max="11821" width="11" style="326" customWidth="1"/>
    <col min="11822" max="11822" width="10.75" style="326" bestFit="1" customWidth="1"/>
    <col min="11823" max="11823" width="13.5" style="326" customWidth="1"/>
    <col min="11824" max="11825" width="9" style="326"/>
    <col min="11826" max="11826" width="10.75" style="326" bestFit="1" customWidth="1"/>
    <col min="11827" max="11827" width="14" style="326" customWidth="1"/>
    <col min="11828" max="11828" width="9" style="326"/>
    <col min="11829" max="11829" width="10.75" style="326" customWidth="1"/>
    <col min="11830" max="11830" width="12.75" style="326" customWidth="1"/>
    <col min="11831" max="11831" width="9" style="326"/>
    <col min="11832" max="11832" width="10.75" style="326" bestFit="1" customWidth="1"/>
    <col min="11833" max="11833" width="11.5" style="326" customWidth="1"/>
    <col min="11834" max="11834" width="13.625" style="326" customWidth="1"/>
    <col min="11835" max="11835" width="10.625" style="326" customWidth="1"/>
    <col min="11836" max="11836" width="10.75" style="326" bestFit="1" customWidth="1"/>
    <col min="11837" max="11837" width="12.375" style="326" customWidth="1"/>
    <col min="11838" max="11840" width="9" style="326"/>
    <col min="11841" max="11841" width="15.75" style="326" customWidth="1"/>
    <col min="11842" max="11842" width="9" style="326"/>
    <col min="11843" max="11843" width="10.75" style="326" bestFit="1" customWidth="1"/>
    <col min="11844" max="11844" width="12.625" style="326" customWidth="1"/>
    <col min="11845" max="11847" width="9" style="326"/>
    <col min="11848" max="11848" width="13.625" style="326" customWidth="1"/>
    <col min="11849" max="11849" width="9" style="326"/>
    <col min="11850" max="11850" width="10.75" style="326" bestFit="1" customWidth="1"/>
    <col min="11851" max="11851" width="12.5" style="326" customWidth="1"/>
    <col min="11852" max="11854" width="9" style="326"/>
    <col min="11855" max="11855" width="12.875" style="326" customWidth="1"/>
    <col min="11856" max="11856" width="9" style="326"/>
    <col min="11857" max="11857" width="10.75" style="326" bestFit="1" customWidth="1"/>
    <col min="11858" max="11858" width="13.875" style="326" customWidth="1"/>
    <col min="11859" max="11861" width="9" style="326"/>
    <col min="11862" max="11862" width="14.125" style="326" customWidth="1"/>
    <col min="11863" max="11863" width="9" style="326"/>
    <col min="11864" max="11864" width="10.75" style="326" bestFit="1" customWidth="1"/>
    <col min="11865" max="11865" width="13.25" style="326" customWidth="1"/>
    <col min="11866" max="11868" width="9" style="326"/>
    <col min="11869" max="11869" width="13.25" style="326" customWidth="1"/>
    <col min="11870" max="11870" width="9" style="326"/>
    <col min="11871" max="11871" width="10.75" style="326" bestFit="1" customWidth="1"/>
    <col min="11872" max="11872" width="13.875" style="326" customWidth="1"/>
    <col min="11873" max="11875" width="9" style="326"/>
    <col min="11876" max="11876" width="13.625" style="326" customWidth="1"/>
    <col min="11877" max="11877" width="9" style="326"/>
    <col min="11878" max="11878" width="10.75" style="326" bestFit="1" customWidth="1"/>
    <col min="11879" max="11879" width="13" style="326" customWidth="1"/>
    <col min="11880" max="12026" width="9" style="326"/>
    <col min="12027" max="12028" width="12.125" style="326" customWidth="1"/>
    <col min="12029" max="12031" width="13" style="326" customWidth="1"/>
    <col min="12032" max="12032" width="12.875" style="326" customWidth="1"/>
    <col min="12033" max="12033" width="13" style="326" customWidth="1"/>
    <col min="12034" max="12034" width="13.125" style="326" customWidth="1"/>
    <col min="12035" max="12036" width="12.125" style="326" customWidth="1"/>
    <col min="12037" max="12037" width="14.375" style="326" bestFit="1" customWidth="1"/>
    <col min="12038" max="12038" width="11" style="326" customWidth="1"/>
    <col min="12039" max="12039" width="10" style="326" customWidth="1"/>
    <col min="12040" max="12040" width="10.875" style="326" customWidth="1"/>
    <col min="12041" max="12041" width="13.75" style="326" customWidth="1"/>
    <col min="12042" max="12042" width="10" style="326" customWidth="1"/>
    <col min="12043" max="12043" width="13.25" style="326" customWidth="1"/>
    <col min="12044" max="12044" width="14.375" style="326" customWidth="1"/>
    <col min="12045" max="12045" width="10" style="326" customWidth="1"/>
    <col min="12046" max="12046" width="10.875" style="326" customWidth="1"/>
    <col min="12047" max="12047" width="11.375" style="326" customWidth="1"/>
    <col min="12048" max="12048" width="15.375" style="326" customWidth="1"/>
    <col min="12049" max="12050" width="10.75" style="326" customWidth="1"/>
    <col min="12051" max="12051" width="14.375" style="326" customWidth="1"/>
    <col min="12052" max="12052" width="10.75" style="326" customWidth="1"/>
    <col min="12053" max="12053" width="11.75" style="326" customWidth="1"/>
    <col min="12054" max="12054" width="10" style="326" customWidth="1"/>
    <col min="12055" max="12055" width="15.375" style="326" customWidth="1"/>
    <col min="12056" max="12056" width="10" style="326" customWidth="1"/>
    <col min="12057" max="12057" width="10.75" style="326" customWidth="1"/>
    <col min="12058" max="12058" width="14.875" style="326" customWidth="1"/>
    <col min="12059" max="12059" width="11.5" style="326" customWidth="1"/>
    <col min="12060" max="12060" width="10" style="326" customWidth="1"/>
    <col min="12061" max="12061" width="10.75" style="326" customWidth="1"/>
    <col min="12062" max="12062" width="13.5" style="326" customWidth="1"/>
    <col min="12063" max="12063" width="9" style="326"/>
    <col min="12064" max="12064" width="10.75" style="326" bestFit="1" customWidth="1"/>
    <col min="12065" max="12065" width="13.75" style="326" customWidth="1"/>
    <col min="12066" max="12066" width="9" style="326"/>
    <col min="12067" max="12067" width="10.625" style="326" customWidth="1"/>
    <col min="12068" max="12068" width="9" style="326"/>
    <col min="12069" max="12069" width="14.25" style="326" customWidth="1"/>
    <col min="12070" max="12070" width="10.75" style="326" bestFit="1" customWidth="1"/>
    <col min="12071" max="12071" width="11.625" style="326" customWidth="1"/>
    <col min="12072" max="12072" width="13.75" style="326" customWidth="1"/>
    <col min="12073" max="12073" width="10.625" style="326" customWidth="1"/>
    <col min="12074" max="12075" width="9" style="326"/>
    <col min="12076" max="12076" width="14.125" style="326" customWidth="1"/>
    <col min="12077" max="12077" width="11" style="326" customWidth="1"/>
    <col min="12078" max="12078" width="10.75" style="326" bestFit="1" customWidth="1"/>
    <col min="12079" max="12079" width="13.5" style="326" customWidth="1"/>
    <col min="12080" max="12081" width="9" style="326"/>
    <col min="12082" max="12082" width="10.75" style="326" bestFit="1" customWidth="1"/>
    <col min="12083" max="12083" width="14" style="326" customWidth="1"/>
    <col min="12084" max="12084" width="9" style="326"/>
    <col min="12085" max="12085" width="10.75" style="326" customWidth="1"/>
    <col min="12086" max="12086" width="12.75" style="326" customWidth="1"/>
    <col min="12087" max="12087" width="9" style="326"/>
    <col min="12088" max="12088" width="10.75" style="326" bestFit="1" customWidth="1"/>
    <col min="12089" max="12089" width="11.5" style="326" customWidth="1"/>
    <col min="12090" max="12090" width="13.625" style="326" customWidth="1"/>
    <col min="12091" max="12091" width="10.625" style="326" customWidth="1"/>
    <col min="12092" max="12092" width="10.75" style="326" bestFit="1" customWidth="1"/>
    <col min="12093" max="12093" width="12.375" style="326" customWidth="1"/>
    <col min="12094" max="12096" width="9" style="326"/>
    <col min="12097" max="12097" width="15.75" style="326" customWidth="1"/>
    <col min="12098" max="12098" width="9" style="326"/>
    <col min="12099" max="12099" width="10.75" style="326" bestFit="1" customWidth="1"/>
    <col min="12100" max="12100" width="12.625" style="326" customWidth="1"/>
    <col min="12101" max="12103" width="9" style="326"/>
    <col min="12104" max="12104" width="13.625" style="326" customWidth="1"/>
    <col min="12105" max="12105" width="9" style="326"/>
    <col min="12106" max="12106" width="10.75" style="326" bestFit="1" customWidth="1"/>
    <col min="12107" max="12107" width="12.5" style="326" customWidth="1"/>
    <col min="12108" max="12110" width="9" style="326"/>
    <col min="12111" max="12111" width="12.875" style="326" customWidth="1"/>
    <col min="12112" max="12112" width="9" style="326"/>
    <col min="12113" max="12113" width="10.75" style="326" bestFit="1" customWidth="1"/>
    <col min="12114" max="12114" width="13.875" style="326" customWidth="1"/>
    <col min="12115" max="12117" width="9" style="326"/>
    <col min="12118" max="12118" width="14.125" style="326" customWidth="1"/>
    <col min="12119" max="12119" width="9" style="326"/>
    <col min="12120" max="12120" width="10.75" style="326" bestFit="1" customWidth="1"/>
    <col min="12121" max="12121" width="13.25" style="326" customWidth="1"/>
    <col min="12122" max="12124" width="9" style="326"/>
    <col min="12125" max="12125" width="13.25" style="326" customWidth="1"/>
    <col min="12126" max="12126" width="9" style="326"/>
    <col min="12127" max="12127" width="10.75" style="326" bestFit="1" customWidth="1"/>
    <col min="12128" max="12128" width="13.875" style="326" customWidth="1"/>
    <col min="12129" max="12131" width="9" style="326"/>
    <col min="12132" max="12132" width="13.625" style="326" customWidth="1"/>
    <col min="12133" max="12133" width="9" style="326"/>
    <col min="12134" max="12134" width="10.75" style="326" bestFit="1" customWidth="1"/>
    <col min="12135" max="12135" width="13" style="326" customWidth="1"/>
    <col min="12136" max="12282" width="9" style="326"/>
    <col min="12283" max="12284" width="12.125" style="326" customWidth="1"/>
    <col min="12285" max="12287" width="13" style="326" customWidth="1"/>
    <col min="12288" max="12288" width="12.875" style="326" customWidth="1"/>
    <col min="12289" max="12289" width="13" style="326" customWidth="1"/>
    <col min="12290" max="12290" width="13.125" style="326" customWidth="1"/>
    <col min="12291" max="12292" width="12.125" style="326" customWidth="1"/>
    <col min="12293" max="12293" width="14.375" style="326" bestFit="1" customWidth="1"/>
    <col min="12294" max="12294" width="11" style="326" customWidth="1"/>
    <col min="12295" max="12295" width="10" style="326" customWidth="1"/>
    <col min="12296" max="12296" width="10.875" style="326" customWidth="1"/>
    <col min="12297" max="12297" width="13.75" style="326" customWidth="1"/>
    <col min="12298" max="12298" width="10" style="326" customWidth="1"/>
    <col min="12299" max="12299" width="13.25" style="326" customWidth="1"/>
    <col min="12300" max="12300" width="14.375" style="326" customWidth="1"/>
    <col min="12301" max="12301" width="10" style="326" customWidth="1"/>
    <col min="12302" max="12302" width="10.875" style="326" customWidth="1"/>
    <col min="12303" max="12303" width="11.375" style="326" customWidth="1"/>
    <col min="12304" max="12304" width="15.375" style="326" customWidth="1"/>
    <col min="12305" max="12306" width="10.75" style="326" customWidth="1"/>
    <col min="12307" max="12307" width="14.375" style="326" customWidth="1"/>
    <col min="12308" max="12308" width="10.75" style="326" customWidth="1"/>
    <col min="12309" max="12309" width="11.75" style="326" customWidth="1"/>
    <col min="12310" max="12310" width="10" style="326" customWidth="1"/>
    <col min="12311" max="12311" width="15.375" style="326" customWidth="1"/>
    <col min="12312" max="12312" width="10" style="326" customWidth="1"/>
    <col min="12313" max="12313" width="10.75" style="326" customWidth="1"/>
    <col min="12314" max="12314" width="14.875" style="326" customWidth="1"/>
    <col min="12315" max="12315" width="11.5" style="326" customWidth="1"/>
    <col min="12316" max="12316" width="10" style="326" customWidth="1"/>
    <col min="12317" max="12317" width="10.75" style="326" customWidth="1"/>
    <col min="12318" max="12318" width="13.5" style="326" customWidth="1"/>
    <col min="12319" max="12319" width="9" style="326"/>
    <col min="12320" max="12320" width="10.75" style="326" bestFit="1" customWidth="1"/>
    <col min="12321" max="12321" width="13.75" style="326" customWidth="1"/>
    <col min="12322" max="12322" width="9" style="326"/>
    <col min="12323" max="12323" width="10.625" style="326" customWidth="1"/>
    <col min="12324" max="12324" width="9" style="326"/>
    <col min="12325" max="12325" width="14.25" style="326" customWidth="1"/>
    <col min="12326" max="12326" width="10.75" style="326" bestFit="1" customWidth="1"/>
    <col min="12327" max="12327" width="11.625" style="326" customWidth="1"/>
    <col min="12328" max="12328" width="13.75" style="326" customWidth="1"/>
    <col min="12329" max="12329" width="10.625" style="326" customWidth="1"/>
    <col min="12330" max="12331" width="9" style="326"/>
    <col min="12332" max="12332" width="14.125" style="326" customWidth="1"/>
    <col min="12333" max="12333" width="11" style="326" customWidth="1"/>
    <col min="12334" max="12334" width="10.75" style="326" bestFit="1" customWidth="1"/>
    <col min="12335" max="12335" width="13.5" style="326" customWidth="1"/>
    <col min="12336" max="12337" width="9" style="326"/>
    <col min="12338" max="12338" width="10.75" style="326" bestFit="1" customWidth="1"/>
    <col min="12339" max="12339" width="14" style="326" customWidth="1"/>
    <col min="12340" max="12340" width="9" style="326"/>
    <col min="12341" max="12341" width="10.75" style="326" customWidth="1"/>
    <col min="12342" max="12342" width="12.75" style="326" customWidth="1"/>
    <col min="12343" max="12343" width="9" style="326"/>
    <col min="12344" max="12344" width="10.75" style="326" bestFit="1" customWidth="1"/>
    <col min="12345" max="12345" width="11.5" style="326" customWidth="1"/>
    <col min="12346" max="12346" width="13.625" style="326" customWidth="1"/>
    <col min="12347" max="12347" width="10.625" style="326" customWidth="1"/>
    <col min="12348" max="12348" width="10.75" style="326" bestFit="1" customWidth="1"/>
    <col min="12349" max="12349" width="12.375" style="326" customWidth="1"/>
    <col min="12350" max="12352" width="9" style="326"/>
    <col min="12353" max="12353" width="15.75" style="326" customWidth="1"/>
    <col min="12354" max="12354" width="9" style="326"/>
    <col min="12355" max="12355" width="10.75" style="326" bestFit="1" customWidth="1"/>
    <col min="12356" max="12356" width="12.625" style="326" customWidth="1"/>
    <col min="12357" max="12359" width="9" style="326"/>
    <col min="12360" max="12360" width="13.625" style="326" customWidth="1"/>
    <col min="12361" max="12361" width="9" style="326"/>
    <col min="12362" max="12362" width="10.75" style="326" bestFit="1" customWidth="1"/>
    <col min="12363" max="12363" width="12.5" style="326" customWidth="1"/>
    <col min="12364" max="12366" width="9" style="326"/>
    <col min="12367" max="12367" width="12.875" style="326" customWidth="1"/>
    <col min="12368" max="12368" width="9" style="326"/>
    <col min="12369" max="12369" width="10.75" style="326" bestFit="1" customWidth="1"/>
    <col min="12370" max="12370" width="13.875" style="326" customWidth="1"/>
    <col min="12371" max="12373" width="9" style="326"/>
    <col min="12374" max="12374" width="14.125" style="326" customWidth="1"/>
    <col min="12375" max="12375" width="9" style="326"/>
    <col min="12376" max="12376" width="10.75" style="326" bestFit="1" customWidth="1"/>
    <col min="12377" max="12377" width="13.25" style="326" customWidth="1"/>
    <col min="12378" max="12380" width="9" style="326"/>
    <col min="12381" max="12381" width="13.25" style="326" customWidth="1"/>
    <col min="12382" max="12382" width="9" style="326"/>
    <col min="12383" max="12383" width="10.75" style="326" bestFit="1" customWidth="1"/>
    <col min="12384" max="12384" width="13.875" style="326" customWidth="1"/>
    <col min="12385" max="12387" width="9" style="326"/>
    <col min="12388" max="12388" width="13.625" style="326" customWidth="1"/>
    <col min="12389" max="12389" width="9" style="326"/>
    <col min="12390" max="12390" width="10.75" style="326" bestFit="1" customWidth="1"/>
    <col min="12391" max="12391" width="13" style="326" customWidth="1"/>
    <col min="12392" max="12538" width="9" style="326"/>
    <col min="12539" max="12540" width="12.125" style="326" customWidth="1"/>
    <col min="12541" max="12543" width="13" style="326" customWidth="1"/>
    <col min="12544" max="12544" width="12.875" style="326" customWidth="1"/>
    <col min="12545" max="12545" width="13" style="326" customWidth="1"/>
    <col min="12546" max="12546" width="13.125" style="326" customWidth="1"/>
    <col min="12547" max="12548" width="12.125" style="326" customWidth="1"/>
    <col min="12549" max="12549" width="14.375" style="326" bestFit="1" customWidth="1"/>
    <col min="12550" max="12550" width="11" style="326" customWidth="1"/>
    <col min="12551" max="12551" width="10" style="326" customWidth="1"/>
    <col min="12552" max="12552" width="10.875" style="326" customWidth="1"/>
    <col min="12553" max="12553" width="13.75" style="326" customWidth="1"/>
    <col min="12554" max="12554" width="10" style="326" customWidth="1"/>
    <col min="12555" max="12555" width="13.25" style="326" customWidth="1"/>
    <col min="12556" max="12556" width="14.375" style="326" customWidth="1"/>
    <col min="12557" max="12557" width="10" style="326" customWidth="1"/>
    <col min="12558" max="12558" width="10.875" style="326" customWidth="1"/>
    <col min="12559" max="12559" width="11.375" style="326" customWidth="1"/>
    <col min="12560" max="12560" width="15.375" style="326" customWidth="1"/>
    <col min="12561" max="12562" width="10.75" style="326" customWidth="1"/>
    <col min="12563" max="12563" width="14.375" style="326" customWidth="1"/>
    <col min="12564" max="12564" width="10.75" style="326" customWidth="1"/>
    <col min="12565" max="12565" width="11.75" style="326" customWidth="1"/>
    <col min="12566" max="12566" width="10" style="326" customWidth="1"/>
    <col min="12567" max="12567" width="15.375" style="326" customWidth="1"/>
    <col min="12568" max="12568" width="10" style="326" customWidth="1"/>
    <col min="12569" max="12569" width="10.75" style="326" customWidth="1"/>
    <col min="12570" max="12570" width="14.875" style="326" customWidth="1"/>
    <col min="12571" max="12571" width="11.5" style="326" customWidth="1"/>
    <col min="12572" max="12572" width="10" style="326" customWidth="1"/>
    <col min="12573" max="12573" width="10.75" style="326" customWidth="1"/>
    <col min="12574" max="12574" width="13.5" style="326" customWidth="1"/>
    <col min="12575" max="12575" width="9" style="326"/>
    <col min="12576" max="12576" width="10.75" style="326" bestFit="1" customWidth="1"/>
    <col min="12577" max="12577" width="13.75" style="326" customWidth="1"/>
    <col min="12578" max="12578" width="9" style="326"/>
    <col min="12579" max="12579" width="10.625" style="326" customWidth="1"/>
    <col min="12580" max="12580" width="9" style="326"/>
    <col min="12581" max="12581" width="14.25" style="326" customWidth="1"/>
    <col min="12582" max="12582" width="10.75" style="326" bestFit="1" customWidth="1"/>
    <col min="12583" max="12583" width="11.625" style="326" customWidth="1"/>
    <col min="12584" max="12584" width="13.75" style="326" customWidth="1"/>
    <col min="12585" max="12585" width="10.625" style="326" customWidth="1"/>
    <col min="12586" max="12587" width="9" style="326"/>
    <col min="12588" max="12588" width="14.125" style="326" customWidth="1"/>
    <col min="12589" max="12589" width="11" style="326" customWidth="1"/>
    <col min="12590" max="12590" width="10.75" style="326" bestFit="1" customWidth="1"/>
    <col min="12591" max="12591" width="13.5" style="326" customWidth="1"/>
    <col min="12592" max="12593" width="9" style="326"/>
    <col min="12594" max="12594" width="10.75" style="326" bestFit="1" customWidth="1"/>
    <col min="12595" max="12595" width="14" style="326" customWidth="1"/>
    <col min="12596" max="12596" width="9" style="326"/>
    <col min="12597" max="12597" width="10.75" style="326" customWidth="1"/>
    <col min="12598" max="12598" width="12.75" style="326" customWidth="1"/>
    <col min="12599" max="12599" width="9" style="326"/>
    <col min="12600" max="12600" width="10.75" style="326" bestFit="1" customWidth="1"/>
    <col min="12601" max="12601" width="11.5" style="326" customWidth="1"/>
    <col min="12602" max="12602" width="13.625" style="326" customWidth="1"/>
    <col min="12603" max="12603" width="10.625" style="326" customWidth="1"/>
    <col min="12604" max="12604" width="10.75" style="326" bestFit="1" customWidth="1"/>
    <col min="12605" max="12605" width="12.375" style="326" customWidth="1"/>
    <col min="12606" max="12608" width="9" style="326"/>
    <col min="12609" max="12609" width="15.75" style="326" customWidth="1"/>
    <col min="12610" max="12610" width="9" style="326"/>
    <col min="12611" max="12611" width="10.75" style="326" bestFit="1" customWidth="1"/>
    <col min="12612" max="12612" width="12.625" style="326" customWidth="1"/>
    <col min="12613" max="12615" width="9" style="326"/>
    <col min="12616" max="12616" width="13.625" style="326" customWidth="1"/>
    <col min="12617" max="12617" width="9" style="326"/>
    <col min="12618" max="12618" width="10.75" style="326" bestFit="1" customWidth="1"/>
    <col min="12619" max="12619" width="12.5" style="326" customWidth="1"/>
    <col min="12620" max="12622" width="9" style="326"/>
    <col min="12623" max="12623" width="12.875" style="326" customWidth="1"/>
    <col min="12624" max="12624" width="9" style="326"/>
    <col min="12625" max="12625" width="10.75" style="326" bestFit="1" customWidth="1"/>
    <col min="12626" max="12626" width="13.875" style="326" customWidth="1"/>
    <col min="12627" max="12629" width="9" style="326"/>
    <col min="12630" max="12630" width="14.125" style="326" customWidth="1"/>
    <col min="12631" max="12631" width="9" style="326"/>
    <col min="12632" max="12632" width="10.75" style="326" bestFit="1" customWidth="1"/>
    <col min="12633" max="12633" width="13.25" style="326" customWidth="1"/>
    <col min="12634" max="12636" width="9" style="326"/>
    <col min="12637" max="12637" width="13.25" style="326" customWidth="1"/>
    <col min="12638" max="12638" width="9" style="326"/>
    <col min="12639" max="12639" width="10.75" style="326" bestFit="1" customWidth="1"/>
    <col min="12640" max="12640" width="13.875" style="326" customWidth="1"/>
    <col min="12641" max="12643" width="9" style="326"/>
    <col min="12644" max="12644" width="13.625" style="326" customWidth="1"/>
    <col min="12645" max="12645" width="9" style="326"/>
    <col min="12646" max="12646" width="10.75" style="326" bestFit="1" customWidth="1"/>
    <col min="12647" max="12647" width="13" style="326" customWidth="1"/>
    <col min="12648" max="12794" width="9" style="326"/>
    <col min="12795" max="12796" width="12.125" style="326" customWidth="1"/>
    <col min="12797" max="12799" width="13" style="326" customWidth="1"/>
    <col min="12800" max="12800" width="12.875" style="326" customWidth="1"/>
    <col min="12801" max="12801" width="13" style="326" customWidth="1"/>
    <col min="12802" max="12802" width="13.125" style="326" customWidth="1"/>
    <col min="12803" max="12804" width="12.125" style="326" customWidth="1"/>
    <col min="12805" max="12805" width="14.375" style="326" bestFit="1" customWidth="1"/>
    <col min="12806" max="12806" width="11" style="326" customWidth="1"/>
    <col min="12807" max="12807" width="10" style="326" customWidth="1"/>
    <col min="12808" max="12808" width="10.875" style="326" customWidth="1"/>
    <col min="12809" max="12809" width="13.75" style="326" customWidth="1"/>
    <col min="12810" max="12810" width="10" style="326" customWidth="1"/>
    <col min="12811" max="12811" width="13.25" style="326" customWidth="1"/>
    <col min="12812" max="12812" width="14.375" style="326" customWidth="1"/>
    <col min="12813" max="12813" width="10" style="326" customWidth="1"/>
    <col min="12814" max="12814" width="10.875" style="326" customWidth="1"/>
    <col min="12815" max="12815" width="11.375" style="326" customWidth="1"/>
    <col min="12816" max="12816" width="15.375" style="326" customWidth="1"/>
    <col min="12817" max="12818" width="10.75" style="326" customWidth="1"/>
    <col min="12819" max="12819" width="14.375" style="326" customWidth="1"/>
    <col min="12820" max="12820" width="10.75" style="326" customWidth="1"/>
    <col min="12821" max="12821" width="11.75" style="326" customWidth="1"/>
    <col min="12822" max="12822" width="10" style="326" customWidth="1"/>
    <col min="12823" max="12823" width="15.375" style="326" customWidth="1"/>
    <col min="12824" max="12824" width="10" style="326" customWidth="1"/>
    <col min="12825" max="12825" width="10.75" style="326" customWidth="1"/>
    <col min="12826" max="12826" width="14.875" style="326" customWidth="1"/>
    <col min="12827" max="12827" width="11.5" style="326" customWidth="1"/>
    <col min="12828" max="12828" width="10" style="326" customWidth="1"/>
    <col min="12829" max="12829" width="10.75" style="326" customWidth="1"/>
    <col min="12830" max="12830" width="13.5" style="326" customWidth="1"/>
    <col min="12831" max="12831" width="9" style="326"/>
    <col min="12832" max="12832" width="10.75" style="326" bestFit="1" customWidth="1"/>
    <col min="12833" max="12833" width="13.75" style="326" customWidth="1"/>
    <col min="12834" max="12834" width="9" style="326"/>
    <col min="12835" max="12835" width="10.625" style="326" customWidth="1"/>
    <col min="12836" max="12836" width="9" style="326"/>
    <col min="12837" max="12837" width="14.25" style="326" customWidth="1"/>
    <col min="12838" max="12838" width="10.75" style="326" bestFit="1" customWidth="1"/>
    <col min="12839" max="12839" width="11.625" style="326" customWidth="1"/>
    <col min="12840" max="12840" width="13.75" style="326" customWidth="1"/>
    <col min="12841" max="12841" width="10.625" style="326" customWidth="1"/>
    <col min="12842" max="12843" width="9" style="326"/>
    <col min="12844" max="12844" width="14.125" style="326" customWidth="1"/>
    <col min="12845" max="12845" width="11" style="326" customWidth="1"/>
    <col min="12846" max="12846" width="10.75" style="326" bestFit="1" customWidth="1"/>
    <col min="12847" max="12847" width="13.5" style="326" customWidth="1"/>
    <col min="12848" max="12849" width="9" style="326"/>
    <col min="12850" max="12850" width="10.75" style="326" bestFit="1" customWidth="1"/>
    <col min="12851" max="12851" width="14" style="326" customWidth="1"/>
    <col min="12852" max="12852" width="9" style="326"/>
    <col min="12853" max="12853" width="10.75" style="326" customWidth="1"/>
    <col min="12854" max="12854" width="12.75" style="326" customWidth="1"/>
    <col min="12855" max="12855" width="9" style="326"/>
    <col min="12856" max="12856" width="10.75" style="326" bestFit="1" customWidth="1"/>
    <col min="12857" max="12857" width="11.5" style="326" customWidth="1"/>
    <col min="12858" max="12858" width="13.625" style="326" customWidth="1"/>
    <col min="12859" max="12859" width="10.625" style="326" customWidth="1"/>
    <col min="12860" max="12860" width="10.75" style="326" bestFit="1" customWidth="1"/>
    <col min="12861" max="12861" width="12.375" style="326" customWidth="1"/>
    <col min="12862" max="12864" width="9" style="326"/>
    <col min="12865" max="12865" width="15.75" style="326" customWidth="1"/>
    <col min="12866" max="12866" width="9" style="326"/>
    <col min="12867" max="12867" width="10.75" style="326" bestFit="1" customWidth="1"/>
    <col min="12868" max="12868" width="12.625" style="326" customWidth="1"/>
    <col min="12869" max="12871" width="9" style="326"/>
    <col min="12872" max="12872" width="13.625" style="326" customWidth="1"/>
    <col min="12873" max="12873" width="9" style="326"/>
    <col min="12874" max="12874" width="10.75" style="326" bestFit="1" customWidth="1"/>
    <col min="12875" max="12875" width="12.5" style="326" customWidth="1"/>
    <col min="12876" max="12878" width="9" style="326"/>
    <col min="12879" max="12879" width="12.875" style="326" customWidth="1"/>
    <col min="12880" max="12880" width="9" style="326"/>
    <col min="12881" max="12881" width="10.75" style="326" bestFit="1" customWidth="1"/>
    <col min="12882" max="12882" width="13.875" style="326" customWidth="1"/>
    <col min="12883" max="12885" width="9" style="326"/>
    <col min="12886" max="12886" width="14.125" style="326" customWidth="1"/>
    <col min="12887" max="12887" width="9" style="326"/>
    <col min="12888" max="12888" width="10.75" style="326" bestFit="1" customWidth="1"/>
    <col min="12889" max="12889" width="13.25" style="326" customWidth="1"/>
    <col min="12890" max="12892" width="9" style="326"/>
    <col min="12893" max="12893" width="13.25" style="326" customWidth="1"/>
    <col min="12894" max="12894" width="9" style="326"/>
    <col min="12895" max="12895" width="10.75" style="326" bestFit="1" customWidth="1"/>
    <col min="12896" max="12896" width="13.875" style="326" customWidth="1"/>
    <col min="12897" max="12899" width="9" style="326"/>
    <col min="12900" max="12900" width="13.625" style="326" customWidth="1"/>
    <col min="12901" max="12901" width="9" style="326"/>
    <col min="12902" max="12902" width="10.75" style="326" bestFit="1" customWidth="1"/>
    <col min="12903" max="12903" width="13" style="326" customWidth="1"/>
    <col min="12904" max="13050" width="9" style="326"/>
    <col min="13051" max="13052" width="12.125" style="326" customWidth="1"/>
    <col min="13053" max="13055" width="13" style="326" customWidth="1"/>
    <col min="13056" max="13056" width="12.875" style="326" customWidth="1"/>
    <col min="13057" max="13057" width="13" style="326" customWidth="1"/>
    <col min="13058" max="13058" width="13.125" style="326" customWidth="1"/>
    <col min="13059" max="13060" width="12.125" style="326" customWidth="1"/>
    <col min="13061" max="13061" width="14.375" style="326" bestFit="1" customWidth="1"/>
    <col min="13062" max="13062" width="11" style="326" customWidth="1"/>
    <col min="13063" max="13063" width="10" style="326" customWidth="1"/>
    <col min="13064" max="13064" width="10.875" style="326" customWidth="1"/>
    <col min="13065" max="13065" width="13.75" style="326" customWidth="1"/>
    <col min="13066" max="13066" width="10" style="326" customWidth="1"/>
    <col min="13067" max="13067" width="13.25" style="326" customWidth="1"/>
    <col min="13068" max="13068" width="14.375" style="326" customWidth="1"/>
    <col min="13069" max="13069" width="10" style="326" customWidth="1"/>
    <col min="13070" max="13070" width="10.875" style="326" customWidth="1"/>
    <col min="13071" max="13071" width="11.375" style="326" customWidth="1"/>
    <col min="13072" max="13072" width="15.375" style="326" customWidth="1"/>
    <col min="13073" max="13074" width="10.75" style="326" customWidth="1"/>
    <col min="13075" max="13075" width="14.375" style="326" customWidth="1"/>
    <col min="13076" max="13076" width="10.75" style="326" customWidth="1"/>
    <col min="13077" max="13077" width="11.75" style="326" customWidth="1"/>
    <col min="13078" max="13078" width="10" style="326" customWidth="1"/>
    <col min="13079" max="13079" width="15.375" style="326" customWidth="1"/>
    <col min="13080" max="13080" width="10" style="326" customWidth="1"/>
    <col min="13081" max="13081" width="10.75" style="326" customWidth="1"/>
    <col min="13082" max="13082" width="14.875" style="326" customWidth="1"/>
    <col min="13083" max="13083" width="11.5" style="326" customWidth="1"/>
    <col min="13084" max="13084" width="10" style="326" customWidth="1"/>
    <col min="13085" max="13085" width="10.75" style="326" customWidth="1"/>
    <col min="13086" max="13086" width="13.5" style="326" customWidth="1"/>
    <col min="13087" max="13087" width="9" style="326"/>
    <col min="13088" max="13088" width="10.75" style="326" bestFit="1" customWidth="1"/>
    <col min="13089" max="13089" width="13.75" style="326" customWidth="1"/>
    <col min="13090" max="13090" width="9" style="326"/>
    <col min="13091" max="13091" width="10.625" style="326" customWidth="1"/>
    <col min="13092" max="13092" width="9" style="326"/>
    <col min="13093" max="13093" width="14.25" style="326" customWidth="1"/>
    <col min="13094" max="13094" width="10.75" style="326" bestFit="1" customWidth="1"/>
    <col min="13095" max="13095" width="11.625" style="326" customWidth="1"/>
    <col min="13096" max="13096" width="13.75" style="326" customWidth="1"/>
    <col min="13097" max="13097" width="10.625" style="326" customWidth="1"/>
    <col min="13098" max="13099" width="9" style="326"/>
    <col min="13100" max="13100" width="14.125" style="326" customWidth="1"/>
    <col min="13101" max="13101" width="11" style="326" customWidth="1"/>
    <col min="13102" max="13102" width="10.75" style="326" bestFit="1" customWidth="1"/>
    <col min="13103" max="13103" width="13.5" style="326" customWidth="1"/>
    <col min="13104" max="13105" width="9" style="326"/>
    <col min="13106" max="13106" width="10.75" style="326" bestFit="1" customWidth="1"/>
    <col min="13107" max="13107" width="14" style="326" customWidth="1"/>
    <col min="13108" max="13108" width="9" style="326"/>
    <col min="13109" max="13109" width="10.75" style="326" customWidth="1"/>
    <col min="13110" max="13110" width="12.75" style="326" customWidth="1"/>
    <col min="13111" max="13111" width="9" style="326"/>
    <col min="13112" max="13112" width="10.75" style="326" bestFit="1" customWidth="1"/>
    <col min="13113" max="13113" width="11.5" style="326" customWidth="1"/>
    <col min="13114" max="13114" width="13.625" style="326" customWidth="1"/>
    <col min="13115" max="13115" width="10.625" style="326" customWidth="1"/>
    <col min="13116" max="13116" width="10.75" style="326" bestFit="1" customWidth="1"/>
    <col min="13117" max="13117" width="12.375" style="326" customWidth="1"/>
    <col min="13118" max="13120" width="9" style="326"/>
    <col min="13121" max="13121" width="15.75" style="326" customWidth="1"/>
    <col min="13122" max="13122" width="9" style="326"/>
    <col min="13123" max="13123" width="10.75" style="326" bestFit="1" customWidth="1"/>
    <col min="13124" max="13124" width="12.625" style="326" customWidth="1"/>
    <col min="13125" max="13127" width="9" style="326"/>
    <col min="13128" max="13128" width="13.625" style="326" customWidth="1"/>
    <col min="13129" max="13129" width="9" style="326"/>
    <col min="13130" max="13130" width="10.75" style="326" bestFit="1" customWidth="1"/>
    <col min="13131" max="13131" width="12.5" style="326" customWidth="1"/>
    <col min="13132" max="13134" width="9" style="326"/>
    <col min="13135" max="13135" width="12.875" style="326" customWidth="1"/>
    <col min="13136" max="13136" width="9" style="326"/>
    <col min="13137" max="13137" width="10.75" style="326" bestFit="1" customWidth="1"/>
    <col min="13138" max="13138" width="13.875" style="326" customWidth="1"/>
    <col min="13139" max="13141" width="9" style="326"/>
    <col min="13142" max="13142" width="14.125" style="326" customWidth="1"/>
    <col min="13143" max="13143" width="9" style="326"/>
    <col min="13144" max="13144" width="10.75" style="326" bestFit="1" customWidth="1"/>
    <col min="13145" max="13145" width="13.25" style="326" customWidth="1"/>
    <col min="13146" max="13148" width="9" style="326"/>
    <col min="13149" max="13149" width="13.25" style="326" customWidth="1"/>
    <col min="13150" max="13150" width="9" style="326"/>
    <col min="13151" max="13151" width="10.75" style="326" bestFit="1" customWidth="1"/>
    <col min="13152" max="13152" width="13.875" style="326" customWidth="1"/>
    <col min="13153" max="13155" width="9" style="326"/>
    <col min="13156" max="13156" width="13.625" style="326" customWidth="1"/>
    <col min="13157" max="13157" width="9" style="326"/>
    <col min="13158" max="13158" width="10.75" style="326" bestFit="1" customWidth="1"/>
    <col min="13159" max="13159" width="13" style="326" customWidth="1"/>
    <col min="13160" max="13306" width="9" style="326"/>
    <col min="13307" max="13308" width="12.125" style="326" customWidth="1"/>
    <col min="13309" max="13311" width="13" style="326" customWidth="1"/>
    <col min="13312" max="13312" width="12.875" style="326" customWidth="1"/>
    <col min="13313" max="13313" width="13" style="326" customWidth="1"/>
    <col min="13314" max="13314" width="13.125" style="326" customWidth="1"/>
    <col min="13315" max="13316" width="12.125" style="326" customWidth="1"/>
    <col min="13317" max="13317" width="14.375" style="326" bestFit="1" customWidth="1"/>
    <col min="13318" max="13318" width="11" style="326" customWidth="1"/>
    <col min="13319" max="13319" width="10" style="326" customWidth="1"/>
    <col min="13320" max="13320" width="10.875" style="326" customWidth="1"/>
    <col min="13321" max="13321" width="13.75" style="326" customWidth="1"/>
    <col min="13322" max="13322" width="10" style="326" customWidth="1"/>
    <col min="13323" max="13323" width="13.25" style="326" customWidth="1"/>
    <col min="13324" max="13324" width="14.375" style="326" customWidth="1"/>
    <col min="13325" max="13325" width="10" style="326" customWidth="1"/>
    <col min="13326" max="13326" width="10.875" style="326" customWidth="1"/>
    <col min="13327" max="13327" width="11.375" style="326" customWidth="1"/>
    <col min="13328" max="13328" width="15.375" style="326" customWidth="1"/>
    <col min="13329" max="13330" width="10.75" style="326" customWidth="1"/>
    <col min="13331" max="13331" width="14.375" style="326" customWidth="1"/>
    <col min="13332" max="13332" width="10.75" style="326" customWidth="1"/>
    <col min="13333" max="13333" width="11.75" style="326" customWidth="1"/>
    <col min="13334" max="13334" width="10" style="326" customWidth="1"/>
    <col min="13335" max="13335" width="15.375" style="326" customWidth="1"/>
    <col min="13336" max="13336" width="10" style="326" customWidth="1"/>
    <col min="13337" max="13337" width="10.75" style="326" customWidth="1"/>
    <col min="13338" max="13338" width="14.875" style="326" customWidth="1"/>
    <col min="13339" max="13339" width="11.5" style="326" customWidth="1"/>
    <col min="13340" max="13340" width="10" style="326" customWidth="1"/>
    <col min="13341" max="13341" width="10.75" style="326" customWidth="1"/>
    <col min="13342" max="13342" width="13.5" style="326" customWidth="1"/>
    <col min="13343" max="13343" width="9" style="326"/>
    <col min="13344" max="13344" width="10.75" style="326" bestFit="1" customWidth="1"/>
    <col min="13345" max="13345" width="13.75" style="326" customWidth="1"/>
    <col min="13346" max="13346" width="9" style="326"/>
    <col min="13347" max="13347" width="10.625" style="326" customWidth="1"/>
    <col min="13348" max="13348" width="9" style="326"/>
    <col min="13349" max="13349" width="14.25" style="326" customWidth="1"/>
    <col min="13350" max="13350" width="10.75" style="326" bestFit="1" customWidth="1"/>
    <col min="13351" max="13351" width="11.625" style="326" customWidth="1"/>
    <col min="13352" max="13352" width="13.75" style="326" customWidth="1"/>
    <col min="13353" max="13353" width="10.625" style="326" customWidth="1"/>
    <col min="13354" max="13355" width="9" style="326"/>
    <col min="13356" max="13356" width="14.125" style="326" customWidth="1"/>
    <col min="13357" max="13357" width="11" style="326" customWidth="1"/>
    <col min="13358" max="13358" width="10.75" style="326" bestFit="1" customWidth="1"/>
    <col min="13359" max="13359" width="13.5" style="326" customWidth="1"/>
    <col min="13360" max="13361" width="9" style="326"/>
    <col min="13362" max="13362" width="10.75" style="326" bestFit="1" customWidth="1"/>
    <col min="13363" max="13363" width="14" style="326" customWidth="1"/>
    <col min="13364" max="13364" width="9" style="326"/>
    <col min="13365" max="13365" width="10.75" style="326" customWidth="1"/>
    <col min="13366" max="13366" width="12.75" style="326" customWidth="1"/>
    <col min="13367" max="13367" width="9" style="326"/>
    <col min="13368" max="13368" width="10.75" style="326" bestFit="1" customWidth="1"/>
    <col min="13369" max="13369" width="11.5" style="326" customWidth="1"/>
    <col min="13370" max="13370" width="13.625" style="326" customWidth="1"/>
    <col min="13371" max="13371" width="10.625" style="326" customWidth="1"/>
    <col min="13372" max="13372" width="10.75" style="326" bestFit="1" customWidth="1"/>
    <col min="13373" max="13373" width="12.375" style="326" customWidth="1"/>
    <col min="13374" max="13376" width="9" style="326"/>
    <col min="13377" max="13377" width="15.75" style="326" customWidth="1"/>
    <col min="13378" max="13378" width="9" style="326"/>
    <col min="13379" max="13379" width="10.75" style="326" bestFit="1" customWidth="1"/>
    <col min="13380" max="13380" width="12.625" style="326" customWidth="1"/>
    <col min="13381" max="13383" width="9" style="326"/>
    <col min="13384" max="13384" width="13.625" style="326" customWidth="1"/>
    <col min="13385" max="13385" width="9" style="326"/>
    <col min="13386" max="13386" width="10.75" style="326" bestFit="1" customWidth="1"/>
    <col min="13387" max="13387" width="12.5" style="326" customWidth="1"/>
    <col min="13388" max="13390" width="9" style="326"/>
    <col min="13391" max="13391" width="12.875" style="326" customWidth="1"/>
    <col min="13392" max="13392" width="9" style="326"/>
    <col min="13393" max="13393" width="10.75" style="326" bestFit="1" customWidth="1"/>
    <col min="13394" max="13394" width="13.875" style="326" customWidth="1"/>
    <col min="13395" max="13397" width="9" style="326"/>
    <col min="13398" max="13398" width="14.125" style="326" customWidth="1"/>
    <col min="13399" max="13399" width="9" style="326"/>
    <col min="13400" max="13400" width="10.75" style="326" bestFit="1" customWidth="1"/>
    <col min="13401" max="13401" width="13.25" style="326" customWidth="1"/>
    <col min="13402" max="13404" width="9" style="326"/>
    <col min="13405" max="13405" width="13.25" style="326" customWidth="1"/>
    <col min="13406" max="13406" width="9" style="326"/>
    <col min="13407" max="13407" width="10.75" style="326" bestFit="1" customWidth="1"/>
    <col min="13408" max="13408" width="13.875" style="326" customWidth="1"/>
    <col min="13409" max="13411" width="9" style="326"/>
    <col min="13412" max="13412" width="13.625" style="326" customWidth="1"/>
    <col min="13413" max="13413" width="9" style="326"/>
    <col min="13414" max="13414" width="10.75" style="326" bestFit="1" customWidth="1"/>
    <col min="13415" max="13415" width="13" style="326" customWidth="1"/>
    <col min="13416" max="13562" width="9" style="326"/>
    <col min="13563" max="13564" width="12.125" style="326" customWidth="1"/>
    <col min="13565" max="13567" width="13" style="326" customWidth="1"/>
    <col min="13568" max="13568" width="12.875" style="326" customWidth="1"/>
    <col min="13569" max="13569" width="13" style="326" customWidth="1"/>
    <col min="13570" max="13570" width="13.125" style="326" customWidth="1"/>
    <col min="13571" max="13572" width="12.125" style="326" customWidth="1"/>
    <col min="13573" max="13573" width="14.375" style="326" bestFit="1" customWidth="1"/>
    <col min="13574" max="13574" width="11" style="326" customWidth="1"/>
    <col min="13575" max="13575" width="10" style="326" customWidth="1"/>
    <col min="13576" max="13576" width="10.875" style="326" customWidth="1"/>
    <col min="13577" max="13577" width="13.75" style="326" customWidth="1"/>
    <col min="13578" max="13578" width="10" style="326" customWidth="1"/>
    <col min="13579" max="13579" width="13.25" style="326" customWidth="1"/>
    <col min="13580" max="13580" width="14.375" style="326" customWidth="1"/>
    <col min="13581" max="13581" width="10" style="326" customWidth="1"/>
    <col min="13582" max="13582" width="10.875" style="326" customWidth="1"/>
    <col min="13583" max="13583" width="11.375" style="326" customWidth="1"/>
    <col min="13584" max="13584" width="15.375" style="326" customWidth="1"/>
    <col min="13585" max="13586" width="10.75" style="326" customWidth="1"/>
    <col min="13587" max="13587" width="14.375" style="326" customWidth="1"/>
    <col min="13588" max="13588" width="10.75" style="326" customWidth="1"/>
    <col min="13589" max="13589" width="11.75" style="326" customWidth="1"/>
    <col min="13590" max="13590" width="10" style="326" customWidth="1"/>
    <col min="13591" max="13591" width="15.375" style="326" customWidth="1"/>
    <col min="13592" max="13592" width="10" style="326" customWidth="1"/>
    <col min="13593" max="13593" width="10.75" style="326" customWidth="1"/>
    <col min="13594" max="13594" width="14.875" style="326" customWidth="1"/>
    <col min="13595" max="13595" width="11.5" style="326" customWidth="1"/>
    <col min="13596" max="13596" width="10" style="326" customWidth="1"/>
    <col min="13597" max="13597" width="10.75" style="326" customWidth="1"/>
    <col min="13598" max="13598" width="13.5" style="326" customWidth="1"/>
    <col min="13599" max="13599" width="9" style="326"/>
    <col min="13600" max="13600" width="10.75" style="326" bestFit="1" customWidth="1"/>
    <col min="13601" max="13601" width="13.75" style="326" customWidth="1"/>
    <col min="13602" max="13602" width="9" style="326"/>
    <col min="13603" max="13603" width="10.625" style="326" customWidth="1"/>
    <col min="13604" max="13604" width="9" style="326"/>
    <col min="13605" max="13605" width="14.25" style="326" customWidth="1"/>
    <col min="13606" max="13606" width="10.75" style="326" bestFit="1" customWidth="1"/>
    <col min="13607" max="13607" width="11.625" style="326" customWidth="1"/>
    <col min="13608" max="13608" width="13.75" style="326" customWidth="1"/>
    <col min="13609" max="13609" width="10.625" style="326" customWidth="1"/>
    <col min="13610" max="13611" width="9" style="326"/>
    <col min="13612" max="13612" width="14.125" style="326" customWidth="1"/>
    <col min="13613" max="13613" width="11" style="326" customWidth="1"/>
    <col min="13614" max="13614" width="10.75" style="326" bestFit="1" customWidth="1"/>
    <col min="13615" max="13615" width="13.5" style="326" customWidth="1"/>
    <col min="13616" max="13617" width="9" style="326"/>
    <col min="13618" max="13618" width="10.75" style="326" bestFit="1" customWidth="1"/>
    <col min="13619" max="13619" width="14" style="326" customWidth="1"/>
    <col min="13620" max="13620" width="9" style="326"/>
    <col min="13621" max="13621" width="10.75" style="326" customWidth="1"/>
    <col min="13622" max="13622" width="12.75" style="326" customWidth="1"/>
    <col min="13623" max="13623" width="9" style="326"/>
    <col min="13624" max="13624" width="10.75" style="326" bestFit="1" customWidth="1"/>
    <col min="13625" max="13625" width="11.5" style="326" customWidth="1"/>
    <col min="13626" max="13626" width="13.625" style="326" customWidth="1"/>
    <col min="13627" max="13627" width="10.625" style="326" customWidth="1"/>
    <col min="13628" max="13628" width="10.75" style="326" bestFit="1" customWidth="1"/>
    <col min="13629" max="13629" width="12.375" style="326" customWidth="1"/>
    <col min="13630" max="13632" width="9" style="326"/>
    <col min="13633" max="13633" width="15.75" style="326" customWidth="1"/>
    <col min="13634" max="13634" width="9" style="326"/>
    <col min="13635" max="13635" width="10.75" style="326" bestFit="1" customWidth="1"/>
    <col min="13636" max="13636" width="12.625" style="326" customWidth="1"/>
    <col min="13637" max="13639" width="9" style="326"/>
    <col min="13640" max="13640" width="13.625" style="326" customWidth="1"/>
    <col min="13641" max="13641" width="9" style="326"/>
    <col min="13642" max="13642" width="10.75" style="326" bestFit="1" customWidth="1"/>
    <col min="13643" max="13643" width="12.5" style="326" customWidth="1"/>
    <col min="13644" max="13646" width="9" style="326"/>
    <col min="13647" max="13647" width="12.875" style="326" customWidth="1"/>
    <col min="13648" max="13648" width="9" style="326"/>
    <col min="13649" max="13649" width="10.75" style="326" bestFit="1" customWidth="1"/>
    <col min="13650" max="13650" width="13.875" style="326" customWidth="1"/>
    <col min="13651" max="13653" width="9" style="326"/>
    <col min="13654" max="13654" width="14.125" style="326" customWidth="1"/>
    <col min="13655" max="13655" width="9" style="326"/>
    <col min="13656" max="13656" width="10.75" style="326" bestFit="1" customWidth="1"/>
    <col min="13657" max="13657" width="13.25" style="326" customWidth="1"/>
    <col min="13658" max="13660" width="9" style="326"/>
    <col min="13661" max="13661" width="13.25" style="326" customWidth="1"/>
    <col min="13662" max="13662" width="9" style="326"/>
    <col min="13663" max="13663" width="10.75" style="326" bestFit="1" customWidth="1"/>
    <col min="13664" max="13664" width="13.875" style="326" customWidth="1"/>
    <col min="13665" max="13667" width="9" style="326"/>
    <col min="13668" max="13668" width="13.625" style="326" customWidth="1"/>
    <col min="13669" max="13669" width="9" style="326"/>
    <col min="13670" max="13670" width="10.75" style="326" bestFit="1" customWidth="1"/>
    <col min="13671" max="13671" width="13" style="326" customWidth="1"/>
    <col min="13672" max="13818" width="9" style="326"/>
    <col min="13819" max="13820" width="12.125" style="326" customWidth="1"/>
    <col min="13821" max="13823" width="13" style="326" customWidth="1"/>
    <col min="13824" max="13824" width="12.875" style="326" customWidth="1"/>
    <col min="13825" max="13825" width="13" style="326" customWidth="1"/>
    <col min="13826" max="13826" width="13.125" style="326" customWidth="1"/>
    <col min="13827" max="13828" width="12.125" style="326" customWidth="1"/>
    <col min="13829" max="13829" width="14.375" style="326" bestFit="1" customWidth="1"/>
    <col min="13830" max="13830" width="11" style="326" customWidth="1"/>
    <col min="13831" max="13831" width="10" style="326" customWidth="1"/>
    <col min="13832" max="13832" width="10.875" style="326" customWidth="1"/>
    <col min="13833" max="13833" width="13.75" style="326" customWidth="1"/>
    <col min="13834" max="13834" width="10" style="326" customWidth="1"/>
    <col min="13835" max="13835" width="13.25" style="326" customWidth="1"/>
    <col min="13836" max="13836" width="14.375" style="326" customWidth="1"/>
    <col min="13837" max="13837" width="10" style="326" customWidth="1"/>
    <col min="13838" max="13838" width="10.875" style="326" customWidth="1"/>
    <col min="13839" max="13839" width="11.375" style="326" customWidth="1"/>
    <col min="13840" max="13840" width="15.375" style="326" customWidth="1"/>
    <col min="13841" max="13842" width="10.75" style="326" customWidth="1"/>
    <col min="13843" max="13843" width="14.375" style="326" customWidth="1"/>
    <col min="13844" max="13844" width="10.75" style="326" customWidth="1"/>
    <col min="13845" max="13845" width="11.75" style="326" customWidth="1"/>
    <col min="13846" max="13846" width="10" style="326" customWidth="1"/>
    <col min="13847" max="13847" width="15.375" style="326" customWidth="1"/>
    <col min="13848" max="13848" width="10" style="326" customWidth="1"/>
    <col min="13849" max="13849" width="10.75" style="326" customWidth="1"/>
    <col min="13850" max="13850" width="14.875" style="326" customWidth="1"/>
    <col min="13851" max="13851" width="11.5" style="326" customWidth="1"/>
    <col min="13852" max="13852" width="10" style="326" customWidth="1"/>
    <col min="13853" max="13853" width="10.75" style="326" customWidth="1"/>
    <col min="13854" max="13854" width="13.5" style="326" customWidth="1"/>
    <col min="13855" max="13855" width="9" style="326"/>
    <col min="13856" max="13856" width="10.75" style="326" bestFit="1" customWidth="1"/>
    <col min="13857" max="13857" width="13.75" style="326" customWidth="1"/>
    <col min="13858" max="13858" width="9" style="326"/>
    <col min="13859" max="13859" width="10.625" style="326" customWidth="1"/>
    <col min="13860" max="13860" width="9" style="326"/>
    <col min="13861" max="13861" width="14.25" style="326" customWidth="1"/>
    <col min="13862" max="13862" width="10.75" style="326" bestFit="1" customWidth="1"/>
    <col min="13863" max="13863" width="11.625" style="326" customWidth="1"/>
    <col min="13864" max="13864" width="13.75" style="326" customWidth="1"/>
    <col min="13865" max="13865" width="10.625" style="326" customWidth="1"/>
    <col min="13866" max="13867" width="9" style="326"/>
    <col min="13868" max="13868" width="14.125" style="326" customWidth="1"/>
    <col min="13869" max="13869" width="11" style="326" customWidth="1"/>
    <col min="13870" max="13870" width="10.75" style="326" bestFit="1" customWidth="1"/>
    <col min="13871" max="13871" width="13.5" style="326" customWidth="1"/>
    <col min="13872" max="13873" width="9" style="326"/>
    <col min="13874" max="13874" width="10.75" style="326" bestFit="1" customWidth="1"/>
    <col min="13875" max="13875" width="14" style="326" customWidth="1"/>
    <col min="13876" max="13876" width="9" style="326"/>
    <col min="13877" max="13877" width="10.75" style="326" customWidth="1"/>
    <col min="13878" max="13878" width="12.75" style="326" customWidth="1"/>
    <col min="13879" max="13879" width="9" style="326"/>
    <col min="13880" max="13880" width="10.75" style="326" bestFit="1" customWidth="1"/>
    <col min="13881" max="13881" width="11.5" style="326" customWidth="1"/>
    <col min="13882" max="13882" width="13.625" style="326" customWidth="1"/>
    <col min="13883" max="13883" width="10.625" style="326" customWidth="1"/>
    <col min="13884" max="13884" width="10.75" style="326" bestFit="1" customWidth="1"/>
    <col min="13885" max="13885" width="12.375" style="326" customWidth="1"/>
    <col min="13886" max="13888" width="9" style="326"/>
    <col min="13889" max="13889" width="15.75" style="326" customWidth="1"/>
    <col min="13890" max="13890" width="9" style="326"/>
    <col min="13891" max="13891" width="10.75" style="326" bestFit="1" customWidth="1"/>
    <col min="13892" max="13892" width="12.625" style="326" customWidth="1"/>
    <col min="13893" max="13895" width="9" style="326"/>
    <col min="13896" max="13896" width="13.625" style="326" customWidth="1"/>
    <col min="13897" max="13897" width="9" style="326"/>
    <col min="13898" max="13898" width="10.75" style="326" bestFit="1" customWidth="1"/>
    <col min="13899" max="13899" width="12.5" style="326" customWidth="1"/>
    <col min="13900" max="13902" width="9" style="326"/>
    <col min="13903" max="13903" width="12.875" style="326" customWidth="1"/>
    <col min="13904" max="13904" width="9" style="326"/>
    <col min="13905" max="13905" width="10.75" style="326" bestFit="1" customWidth="1"/>
    <col min="13906" max="13906" width="13.875" style="326" customWidth="1"/>
    <col min="13907" max="13909" width="9" style="326"/>
    <col min="13910" max="13910" width="14.125" style="326" customWidth="1"/>
    <col min="13911" max="13911" width="9" style="326"/>
    <col min="13912" max="13912" width="10.75" style="326" bestFit="1" customWidth="1"/>
    <col min="13913" max="13913" width="13.25" style="326" customWidth="1"/>
    <col min="13914" max="13916" width="9" style="326"/>
    <col min="13917" max="13917" width="13.25" style="326" customWidth="1"/>
    <col min="13918" max="13918" width="9" style="326"/>
    <col min="13919" max="13919" width="10.75" style="326" bestFit="1" customWidth="1"/>
    <col min="13920" max="13920" width="13.875" style="326" customWidth="1"/>
    <col min="13921" max="13923" width="9" style="326"/>
    <col min="13924" max="13924" width="13.625" style="326" customWidth="1"/>
    <col min="13925" max="13925" width="9" style="326"/>
    <col min="13926" max="13926" width="10.75" style="326" bestFit="1" customWidth="1"/>
    <col min="13927" max="13927" width="13" style="326" customWidth="1"/>
    <col min="13928" max="14074" width="9" style="326"/>
    <col min="14075" max="14076" width="12.125" style="326" customWidth="1"/>
    <col min="14077" max="14079" width="13" style="326" customWidth="1"/>
    <col min="14080" max="14080" width="12.875" style="326" customWidth="1"/>
    <col min="14081" max="14081" width="13" style="326" customWidth="1"/>
    <col min="14082" max="14082" width="13.125" style="326" customWidth="1"/>
    <col min="14083" max="14084" width="12.125" style="326" customWidth="1"/>
    <col min="14085" max="14085" width="14.375" style="326" bestFit="1" customWidth="1"/>
    <col min="14086" max="14086" width="11" style="326" customWidth="1"/>
    <col min="14087" max="14087" width="10" style="326" customWidth="1"/>
    <col min="14088" max="14088" width="10.875" style="326" customWidth="1"/>
    <col min="14089" max="14089" width="13.75" style="326" customWidth="1"/>
    <col min="14090" max="14090" width="10" style="326" customWidth="1"/>
    <col min="14091" max="14091" width="13.25" style="326" customWidth="1"/>
    <col min="14092" max="14092" width="14.375" style="326" customWidth="1"/>
    <col min="14093" max="14093" width="10" style="326" customWidth="1"/>
    <col min="14094" max="14094" width="10.875" style="326" customWidth="1"/>
    <col min="14095" max="14095" width="11.375" style="326" customWidth="1"/>
    <col min="14096" max="14096" width="15.375" style="326" customWidth="1"/>
    <col min="14097" max="14098" width="10.75" style="326" customWidth="1"/>
    <col min="14099" max="14099" width="14.375" style="326" customWidth="1"/>
    <col min="14100" max="14100" width="10.75" style="326" customWidth="1"/>
    <col min="14101" max="14101" width="11.75" style="326" customWidth="1"/>
    <col min="14102" max="14102" width="10" style="326" customWidth="1"/>
    <col min="14103" max="14103" width="15.375" style="326" customWidth="1"/>
    <col min="14104" max="14104" width="10" style="326" customWidth="1"/>
    <col min="14105" max="14105" width="10.75" style="326" customWidth="1"/>
    <col min="14106" max="14106" width="14.875" style="326" customWidth="1"/>
    <col min="14107" max="14107" width="11.5" style="326" customWidth="1"/>
    <col min="14108" max="14108" width="10" style="326" customWidth="1"/>
    <col min="14109" max="14109" width="10.75" style="326" customWidth="1"/>
    <col min="14110" max="14110" width="13.5" style="326" customWidth="1"/>
    <col min="14111" max="14111" width="9" style="326"/>
    <col min="14112" max="14112" width="10.75" style="326" bestFit="1" customWidth="1"/>
    <col min="14113" max="14113" width="13.75" style="326" customWidth="1"/>
    <col min="14114" max="14114" width="9" style="326"/>
    <col min="14115" max="14115" width="10.625" style="326" customWidth="1"/>
    <col min="14116" max="14116" width="9" style="326"/>
    <col min="14117" max="14117" width="14.25" style="326" customWidth="1"/>
    <col min="14118" max="14118" width="10.75" style="326" bestFit="1" customWidth="1"/>
    <col min="14119" max="14119" width="11.625" style="326" customWidth="1"/>
    <col min="14120" max="14120" width="13.75" style="326" customWidth="1"/>
    <col min="14121" max="14121" width="10.625" style="326" customWidth="1"/>
    <col min="14122" max="14123" width="9" style="326"/>
    <col min="14124" max="14124" width="14.125" style="326" customWidth="1"/>
    <col min="14125" max="14125" width="11" style="326" customWidth="1"/>
    <col min="14126" max="14126" width="10.75" style="326" bestFit="1" customWidth="1"/>
    <col min="14127" max="14127" width="13.5" style="326" customWidth="1"/>
    <col min="14128" max="14129" width="9" style="326"/>
    <col min="14130" max="14130" width="10.75" style="326" bestFit="1" customWidth="1"/>
    <col min="14131" max="14131" width="14" style="326" customWidth="1"/>
    <col min="14132" max="14132" width="9" style="326"/>
    <col min="14133" max="14133" width="10.75" style="326" customWidth="1"/>
    <col min="14134" max="14134" width="12.75" style="326" customWidth="1"/>
    <col min="14135" max="14135" width="9" style="326"/>
    <col min="14136" max="14136" width="10.75" style="326" bestFit="1" customWidth="1"/>
    <col min="14137" max="14137" width="11.5" style="326" customWidth="1"/>
    <col min="14138" max="14138" width="13.625" style="326" customWidth="1"/>
    <col min="14139" max="14139" width="10.625" style="326" customWidth="1"/>
    <col min="14140" max="14140" width="10.75" style="326" bestFit="1" customWidth="1"/>
    <col min="14141" max="14141" width="12.375" style="326" customWidth="1"/>
    <col min="14142" max="14144" width="9" style="326"/>
    <col min="14145" max="14145" width="15.75" style="326" customWidth="1"/>
    <col min="14146" max="14146" width="9" style="326"/>
    <col min="14147" max="14147" width="10.75" style="326" bestFit="1" customWidth="1"/>
    <col min="14148" max="14148" width="12.625" style="326" customWidth="1"/>
    <col min="14149" max="14151" width="9" style="326"/>
    <col min="14152" max="14152" width="13.625" style="326" customWidth="1"/>
    <col min="14153" max="14153" width="9" style="326"/>
    <col min="14154" max="14154" width="10.75" style="326" bestFit="1" customWidth="1"/>
    <col min="14155" max="14155" width="12.5" style="326" customWidth="1"/>
    <col min="14156" max="14158" width="9" style="326"/>
    <col min="14159" max="14159" width="12.875" style="326" customWidth="1"/>
    <col min="14160" max="14160" width="9" style="326"/>
    <col min="14161" max="14161" width="10.75" style="326" bestFit="1" customWidth="1"/>
    <col min="14162" max="14162" width="13.875" style="326" customWidth="1"/>
    <col min="14163" max="14165" width="9" style="326"/>
    <col min="14166" max="14166" width="14.125" style="326" customWidth="1"/>
    <col min="14167" max="14167" width="9" style="326"/>
    <col min="14168" max="14168" width="10.75" style="326" bestFit="1" customWidth="1"/>
    <col min="14169" max="14169" width="13.25" style="326" customWidth="1"/>
    <col min="14170" max="14172" width="9" style="326"/>
    <col min="14173" max="14173" width="13.25" style="326" customWidth="1"/>
    <col min="14174" max="14174" width="9" style="326"/>
    <col min="14175" max="14175" width="10.75" style="326" bestFit="1" customWidth="1"/>
    <col min="14176" max="14176" width="13.875" style="326" customWidth="1"/>
    <col min="14177" max="14179" width="9" style="326"/>
    <col min="14180" max="14180" width="13.625" style="326" customWidth="1"/>
    <col min="14181" max="14181" width="9" style="326"/>
    <col min="14182" max="14182" width="10.75" style="326" bestFit="1" customWidth="1"/>
    <col min="14183" max="14183" width="13" style="326" customWidth="1"/>
    <col min="14184" max="14330" width="9" style="326"/>
    <col min="14331" max="14332" width="12.125" style="326" customWidth="1"/>
    <col min="14333" max="14335" width="13" style="326" customWidth="1"/>
    <col min="14336" max="14336" width="12.875" style="326" customWidth="1"/>
    <col min="14337" max="14337" width="13" style="326" customWidth="1"/>
    <col min="14338" max="14338" width="13.125" style="326" customWidth="1"/>
    <col min="14339" max="14340" width="12.125" style="326" customWidth="1"/>
    <col min="14341" max="14341" width="14.375" style="326" bestFit="1" customWidth="1"/>
    <col min="14342" max="14342" width="11" style="326" customWidth="1"/>
    <col min="14343" max="14343" width="10" style="326" customWidth="1"/>
    <col min="14344" max="14344" width="10.875" style="326" customWidth="1"/>
    <col min="14345" max="14345" width="13.75" style="326" customWidth="1"/>
    <col min="14346" max="14346" width="10" style="326" customWidth="1"/>
    <col min="14347" max="14347" width="13.25" style="326" customWidth="1"/>
    <col min="14348" max="14348" width="14.375" style="326" customWidth="1"/>
    <col min="14349" max="14349" width="10" style="326" customWidth="1"/>
    <col min="14350" max="14350" width="10.875" style="326" customWidth="1"/>
    <col min="14351" max="14351" width="11.375" style="326" customWidth="1"/>
    <col min="14352" max="14352" width="15.375" style="326" customWidth="1"/>
    <col min="14353" max="14354" width="10.75" style="326" customWidth="1"/>
    <col min="14355" max="14355" width="14.375" style="326" customWidth="1"/>
    <col min="14356" max="14356" width="10.75" style="326" customWidth="1"/>
    <col min="14357" max="14357" width="11.75" style="326" customWidth="1"/>
    <col min="14358" max="14358" width="10" style="326" customWidth="1"/>
    <col min="14359" max="14359" width="15.375" style="326" customWidth="1"/>
    <col min="14360" max="14360" width="10" style="326" customWidth="1"/>
    <col min="14361" max="14361" width="10.75" style="326" customWidth="1"/>
    <col min="14362" max="14362" width="14.875" style="326" customWidth="1"/>
    <col min="14363" max="14363" width="11.5" style="326" customWidth="1"/>
    <col min="14364" max="14364" width="10" style="326" customWidth="1"/>
    <col min="14365" max="14365" width="10.75" style="326" customWidth="1"/>
    <col min="14366" max="14366" width="13.5" style="326" customWidth="1"/>
    <col min="14367" max="14367" width="9" style="326"/>
    <col min="14368" max="14368" width="10.75" style="326" bestFit="1" customWidth="1"/>
    <col min="14369" max="14369" width="13.75" style="326" customWidth="1"/>
    <col min="14370" max="14370" width="9" style="326"/>
    <col min="14371" max="14371" width="10.625" style="326" customWidth="1"/>
    <col min="14372" max="14372" width="9" style="326"/>
    <col min="14373" max="14373" width="14.25" style="326" customWidth="1"/>
    <col min="14374" max="14374" width="10.75" style="326" bestFit="1" customWidth="1"/>
    <col min="14375" max="14375" width="11.625" style="326" customWidth="1"/>
    <col min="14376" max="14376" width="13.75" style="326" customWidth="1"/>
    <col min="14377" max="14377" width="10.625" style="326" customWidth="1"/>
    <col min="14378" max="14379" width="9" style="326"/>
    <col min="14380" max="14380" width="14.125" style="326" customWidth="1"/>
    <col min="14381" max="14381" width="11" style="326" customWidth="1"/>
    <col min="14382" max="14382" width="10.75" style="326" bestFit="1" customWidth="1"/>
    <col min="14383" max="14383" width="13.5" style="326" customWidth="1"/>
    <col min="14384" max="14385" width="9" style="326"/>
    <col min="14386" max="14386" width="10.75" style="326" bestFit="1" customWidth="1"/>
    <col min="14387" max="14387" width="14" style="326" customWidth="1"/>
    <col min="14388" max="14388" width="9" style="326"/>
    <col min="14389" max="14389" width="10.75" style="326" customWidth="1"/>
    <col min="14390" max="14390" width="12.75" style="326" customWidth="1"/>
    <col min="14391" max="14391" width="9" style="326"/>
    <col min="14392" max="14392" width="10.75" style="326" bestFit="1" customWidth="1"/>
    <col min="14393" max="14393" width="11.5" style="326" customWidth="1"/>
    <col min="14394" max="14394" width="13.625" style="326" customWidth="1"/>
    <col min="14395" max="14395" width="10.625" style="326" customWidth="1"/>
    <col min="14396" max="14396" width="10.75" style="326" bestFit="1" customWidth="1"/>
    <col min="14397" max="14397" width="12.375" style="326" customWidth="1"/>
    <col min="14398" max="14400" width="9" style="326"/>
    <col min="14401" max="14401" width="15.75" style="326" customWidth="1"/>
    <col min="14402" max="14402" width="9" style="326"/>
    <col min="14403" max="14403" width="10.75" style="326" bestFit="1" customWidth="1"/>
    <col min="14404" max="14404" width="12.625" style="326" customWidth="1"/>
    <col min="14405" max="14407" width="9" style="326"/>
    <col min="14408" max="14408" width="13.625" style="326" customWidth="1"/>
    <col min="14409" max="14409" width="9" style="326"/>
    <col min="14410" max="14410" width="10.75" style="326" bestFit="1" customWidth="1"/>
    <col min="14411" max="14411" width="12.5" style="326" customWidth="1"/>
    <col min="14412" max="14414" width="9" style="326"/>
    <col min="14415" max="14415" width="12.875" style="326" customWidth="1"/>
    <col min="14416" max="14416" width="9" style="326"/>
    <col min="14417" max="14417" width="10.75" style="326" bestFit="1" customWidth="1"/>
    <col min="14418" max="14418" width="13.875" style="326" customWidth="1"/>
    <col min="14419" max="14421" width="9" style="326"/>
    <col min="14422" max="14422" width="14.125" style="326" customWidth="1"/>
    <col min="14423" max="14423" width="9" style="326"/>
    <col min="14424" max="14424" width="10.75" style="326" bestFit="1" customWidth="1"/>
    <col min="14425" max="14425" width="13.25" style="326" customWidth="1"/>
    <col min="14426" max="14428" width="9" style="326"/>
    <col min="14429" max="14429" width="13.25" style="326" customWidth="1"/>
    <col min="14430" max="14430" width="9" style="326"/>
    <col min="14431" max="14431" width="10.75" style="326" bestFit="1" customWidth="1"/>
    <col min="14432" max="14432" width="13.875" style="326" customWidth="1"/>
    <col min="14433" max="14435" width="9" style="326"/>
    <col min="14436" max="14436" width="13.625" style="326" customWidth="1"/>
    <col min="14437" max="14437" width="9" style="326"/>
    <col min="14438" max="14438" width="10.75" style="326" bestFit="1" customWidth="1"/>
    <col min="14439" max="14439" width="13" style="326" customWidth="1"/>
    <col min="14440" max="14586" width="9" style="326"/>
    <col min="14587" max="14588" width="12.125" style="326" customWidth="1"/>
    <col min="14589" max="14591" width="13" style="326" customWidth="1"/>
    <col min="14592" max="14592" width="12.875" style="326" customWidth="1"/>
    <col min="14593" max="14593" width="13" style="326" customWidth="1"/>
    <col min="14594" max="14594" width="13.125" style="326" customWidth="1"/>
    <col min="14595" max="14596" width="12.125" style="326" customWidth="1"/>
    <col min="14597" max="14597" width="14.375" style="326" bestFit="1" customWidth="1"/>
    <col min="14598" max="14598" width="11" style="326" customWidth="1"/>
    <col min="14599" max="14599" width="10" style="326" customWidth="1"/>
    <col min="14600" max="14600" width="10.875" style="326" customWidth="1"/>
    <col min="14601" max="14601" width="13.75" style="326" customWidth="1"/>
    <col min="14602" max="14602" width="10" style="326" customWidth="1"/>
    <col min="14603" max="14603" width="13.25" style="326" customWidth="1"/>
    <col min="14604" max="14604" width="14.375" style="326" customWidth="1"/>
    <col min="14605" max="14605" width="10" style="326" customWidth="1"/>
    <col min="14606" max="14606" width="10.875" style="326" customWidth="1"/>
    <col min="14607" max="14607" width="11.375" style="326" customWidth="1"/>
    <col min="14608" max="14608" width="15.375" style="326" customWidth="1"/>
    <col min="14609" max="14610" width="10.75" style="326" customWidth="1"/>
    <col min="14611" max="14611" width="14.375" style="326" customWidth="1"/>
    <col min="14612" max="14612" width="10.75" style="326" customWidth="1"/>
    <col min="14613" max="14613" width="11.75" style="326" customWidth="1"/>
    <col min="14614" max="14614" width="10" style="326" customWidth="1"/>
    <col min="14615" max="14615" width="15.375" style="326" customWidth="1"/>
    <col min="14616" max="14616" width="10" style="326" customWidth="1"/>
    <col min="14617" max="14617" width="10.75" style="326" customWidth="1"/>
    <col min="14618" max="14618" width="14.875" style="326" customWidth="1"/>
    <col min="14619" max="14619" width="11.5" style="326" customWidth="1"/>
    <col min="14620" max="14620" width="10" style="326" customWidth="1"/>
    <col min="14621" max="14621" width="10.75" style="326" customWidth="1"/>
    <col min="14622" max="14622" width="13.5" style="326" customWidth="1"/>
    <col min="14623" max="14623" width="9" style="326"/>
    <col min="14624" max="14624" width="10.75" style="326" bestFit="1" customWidth="1"/>
    <col min="14625" max="14625" width="13.75" style="326" customWidth="1"/>
    <col min="14626" max="14626" width="9" style="326"/>
    <col min="14627" max="14627" width="10.625" style="326" customWidth="1"/>
    <col min="14628" max="14628" width="9" style="326"/>
    <col min="14629" max="14629" width="14.25" style="326" customWidth="1"/>
    <col min="14630" max="14630" width="10.75" style="326" bestFit="1" customWidth="1"/>
    <col min="14631" max="14631" width="11.625" style="326" customWidth="1"/>
    <col min="14632" max="14632" width="13.75" style="326" customWidth="1"/>
    <col min="14633" max="14633" width="10.625" style="326" customWidth="1"/>
    <col min="14634" max="14635" width="9" style="326"/>
    <col min="14636" max="14636" width="14.125" style="326" customWidth="1"/>
    <col min="14637" max="14637" width="11" style="326" customWidth="1"/>
    <col min="14638" max="14638" width="10.75" style="326" bestFit="1" customWidth="1"/>
    <col min="14639" max="14639" width="13.5" style="326" customWidth="1"/>
    <col min="14640" max="14641" width="9" style="326"/>
    <col min="14642" max="14642" width="10.75" style="326" bestFit="1" customWidth="1"/>
    <col min="14643" max="14643" width="14" style="326" customWidth="1"/>
    <col min="14644" max="14644" width="9" style="326"/>
    <col min="14645" max="14645" width="10.75" style="326" customWidth="1"/>
    <col min="14646" max="14646" width="12.75" style="326" customWidth="1"/>
    <col min="14647" max="14647" width="9" style="326"/>
    <col min="14648" max="14648" width="10.75" style="326" bestFit="1" customWidth="1"/>
    <col min="14649" max="14649" width="11.5" style="326" customWidth="1"/>
    <col min="14650" max="14650" width="13.625" style="326" customWidth="1"/>
    <col min="14651" max="14651" width="10.625" style="326" customWidth="1"/>
    <col min="14652" max="14652" width="10.75" style="326" bestFit="1" customWidth="1"/>
    <col min="14653" max="14653" width="12.375" style="326" customWidth="1"/>
    <col min="14654" max="14656" width="9" style="326"/>
    <col min="14657" max="14657" width="15.75" style="326" customWidth="1"/>
    <col min="14658" max="14658" width="9" style="326"/>
    <col min="14659" max="14659" width="10.75" style="326" bestFit="1" customWidth="1"/>
    <col min="14660" max="14660" width="12.625" style="326" customWidth="1"/>
    <col min="14661" max="14663" width="9" style="326"/>
    <col min="14664" max="14664" width="13.625" style="326" customWidth="1"/>
    <col min="14665" max="14665" width="9" style="326"/>
    <col min="14666" max="14666" width="10.75" style="326" bestFit="1" customWidth="1"/>
    <col min="14667" max="14667" width="12.5" style="326" customWidth="1"/>
    <col min="14668" max="14670" width="9" style="326"/>
    <col min="14671" max="14671" width="12.875" style="326" customWidth="1"/>
    <col min="14672" max="14672" width="9" style="326"/>
    <col min="14673" max="14673" width="10.75" style="326" bestFit="1" customWidth="1"/>
    <col min="14674" max="14674" width="13.875" style="326" customWidth="1"/>
    <col min="14675" max="14677" width="9" style="326"/>
    <col min="14678" max="14678" width="14.125" style="326" customWidth="1"/>
    <col min="14679" max="14679" width="9" style="326"/>
    <col min="14680" max="14680" width="10.75" style="326" bestFit="1" customWidth="1"/>
    <col min="14681" max="14681" width="13.25" style="326" customWidth="1"/>
    <col min="14682" max="14684" width="9" style="326"/>
    <col min="14685" max="14685" width="13.25" style="326" customWidth="1"/>
    <col min="14686" max="14686" width="9" style="326"/>
    <col min="14687" max="14687" width="10.75" style="326" bestFit="1" customWidth="1"/>
    <col min="14688" max="14688" width="13.875" style="326" customWidth="1"/>
    <col min="14689" max="14691" width="9" style="326"/>
    <col min="14692" max="14692" width="13.625" style="326" customWidth="1"/>
    <col min="14693" max="14693" width="9" style="326"/>
    <col min="14694" max="14694" width="10.75" style="326" bestFit="1" customWidth="1"/>
    <col min="14695" max="14695" width="13" style="326" customWidth="1"/>
    <col min="14696" max="14842" width="9" style="326"/>
    <col min="14843" max="14844" width="12.125" style="326" customWidth="1"/>
    <col min="14845" max="14847" width="13" style="326" customWidth="1"/>
    <col min="14848" max="14848" width="12.875" style="326" customWidth="1"/>
    <col min="14849" max="14849" width="13" style="326" customWidth="1"/>
    <col min="14850" max="14850" width="13.125" style="326" customWidth="1"/>
    <col min="14851" max="14852" width="12.125" style="326" customWidth="1"/>
    <col min="14853" max="14853" width="14.375" style="326" bestFit="1" customWidth="1"/>
    <col min="14854" max="14854" width="11" style="326" customWidth="1"/>
    <col min="14855" max="14855" width="10" style="326" customWidth="1"/>
    <col min="14856" max="14856" width="10.875" style="326" customWidth="1"/>
    <col min="14857" max="14857" width="13.75" style="326" customWidth="1"/>
    <col min="14858" max="14858" width="10" style="326" customWidth="1"/>
    <col min="14859" max="14859" width="13.25" style="326" customWidth="1"/>
    <col min="14860" max="14860" width="14.375" style="326" customWidth="1"/>
    <col min="14861" max="14861" width="10" style="326" customWidth="1"/>
    <col min="14862" max="14862" width="10.875" style="326" customWidth="1"/>
    <col min="14863" max="14863" width="11.375" style="326" customWidth="1"/>
    <col min="14864" max="14864" width="15.375" style="326" customWidth="1"/>
    <col min="14865" max="14866" width="10.75" style="326" customWidth="1"/>
    <col min="14867" max="14867" width="14.375" style="326" customWidth="1"/>
    <col min="14868" max="14868" width="10.75" style="326" customWidth="1"/>
    <col min="14869" max="14869" width="11.75" style="326" customWidth="1"/>
    <col min="14870" max="14870" width="10" style="326" customWidth="1"/>
    <col min="14871" max="14871" width="15.375" style="326" customWidth="1"/>
    <col min="14872" max="14872" width="10" style="326" customWidth="1"/>
    <col min="14873" max="14873" width="10.75" style="326" customWidth="1"/>
    <col min="14874" max="14874" width="14.875" style="326" customWidth="1"/>
    <col min="14875" max="14875" width="11.5" style="326" customWidth="1"/>
    <col min="14876" max="14876" width="10" style="326" customWidth="1"/>
    <col min="14877" max="14877" width="10.75" style="326" customWidth="1"/>
    <col min="14878" max="14878" width="13.5" style="326" customWidth="1"/>
    <col min="14879" max="14879" width="9" style="326"/>
    <col min="14880" max="14880" width="10.75" style="326" bestFit="1" customWidth="1"/>
    <col min="14881" max="14881" width="13.75" style="326" customWidth="1"/>
    <col min="14882" max="14882" width="9" style="326"/>
    <col min="14883" max="14883" width="10.625" style="326" customWidth="1"/>
    <col min="14884" max="14884" width="9" style="326"/>
    <col min="14885" max="14885" width="14.25" style="326" customWidth="1"/>
    <col min="14886" max="14886" width="10.75" style="326" bestFit="1" customWidth="1"/>
    <col min="14887" max="14887" width="11.625" style="326" customWidth="1"/>
    <col min="14888" max="14888" width="13.75" style="326" customWidth="1"/>
    <col min="14889" max="14889" width="10.625" style="326" customWidth="1"/>
    <col min="14890" max="14891" width="9" style="326"/>
    <col min="14892" max="14892" width="14.125" style="326" customWidth="1"/>
    <col min="14893" max="14893" width="11" style="326" customWidth="1"/>
    <col min="14894" max="14894" width="10.75" style="326" bestFit="1" customWidth="1"/>
    <col min="14895" max="14895" width="13.5" style="326" customWidth="1"/>
    <col min="14896" max="14897" width="9" style="326"/>
    <col min="14898" max="14898" width="10.75" style="326" bestFit="1" customWidth="1"/>
    <col min="14899" max="14899" width="14" style="326" customWidth="1"/>
    <col min="14900" max="14900" width="9" style="326"/>
    <col min="14901" max="14901" width="10.75" style="326" customWidth="1"/>
    <col min="14902" max="14902" width="12.75" style="326" customWidth="1"/>
    <col min="14903" max="14903" width="9" style="326"/>
    <col min="14904" max="14904" width="10.75" style="326" bestFit="1" customWidth="1"/>
    <col min="14905" max="14905" width="11.5" style="326" customWidth="1"/>
    <col min="14906" max="14906" width="13.625" style="326" customWidth="1"/>
    <col min="14907" max="14907" width="10.625" style="326" customWidth="1"/>
    <col min="14908" max="14908" width="10.75" style="326" bestFit="1" customWidth="1"/>
    <col min="14909" max="14909" width="12.375" style="326" customWidth="1"/>
    <col min="14910" max="14912" width="9" style="326"/>
    <col min="14913" max="14913" width="15.75" style="326" customWidth="1"/>
    <col min="14914" max="14914" width="9" style="326"/>
    <col min="14915" max="14915" width="10.75" style="326" bestFit="1" customWidth="1"/>
    <col min="14916" max="14916" width="12.625" style="326" customWidth="1"/>
    <col min="14917" max="14919" width="9" style="326"/>
    <col min="14920" max="14920" width="13.625" style="326" customWidth="1"/>
    <col min="14921" max="14921" width="9" style="326"/>
    <col min="14922" max="14922" width="10.75" style="326" bestFit="1" customWidth="1"/>
    <col min="14923" max="14923" width="12.5" style="326" customWidth="1"/>
    <col min="14924" max="14926" width="9" style="326"/>
    <col min="14927" max="14927" width="12.875" style="326" customWidth="1"/>
    <col min="14928" max="14928" width="9" style="326"/>
    <col min="14929" max="14929" width="10.75" style="326" bestFit="1" customWidth="1"/>
    <col min="14930" max="14930" width="13.875" style="326" customWidth="1"/>
    <col min="14931" max="14933" width="9" style="326"/>
    <col min="14934" max="14934" width="14.125" style="326" customWidth="1"/>
    <col min="14935" max="14935" width="9" style="326"/>
    <col min="14936" max="14936" width="10.75" style="326" bestFit="1" customWidth="1"/>
    <col min="14937" max="14937" width="13.25" style="326" customWidth="1"/>
    <col min="14938" max="14940" width="9" style="326"/>
    <col min="14941" max="14941" width="13.25" style="326" customWidth="1"/>
    <col min="14942" max="14942" width="9" style="326"/>
    <col min="14943" max="14943" width="10.75" style="326" bestFit="1" customWidth="1"/>
    <col min="14944" max="14944" width="13.875" style="326" customWidth="1"/>
    <col min="14945" max="14947" width="9" style="326"/>
    <col min="14948" max="14948" width="13.625" style="326" customWidth="1"/>
    <col min="14949" max="14949" width="9" style="326"/>
    <col min="14950" max="14950" width="10.75" style="326" bestFit="1" customWidth="1"/>
    <col min="14951" max="14951" width="13" style="326" customWidth="1"/>
    <col min="14952" max="15098" width="9" style="326"/>
    <col min="15099" max="15100" width="12.125" style="326" customWidth="1"/>
    <col min="15101" max="15103" width="13" style="326" customWidth="1"/>
    <col min="15104" max="15104" width="12.875" style="326" customWidth="1"/>
    <col min="15105" max="15105" width="13" style="326" customWidth="1"/>
    <col min="15106" max="15106" width="13.125" style="326" customWidth="1"/>
    <col min="15107" max="15108" width="12.125" style="326" customWidth="1"/>
    <col min="15109" max="15109" width="14.375" style="326" bestFit="1" customWidth="1"/>
    <col min="15110" max="15110" width="11" style="326" customWidth="1"/>
    <col min="15111" max="15111" width="10" style="326" customWidth="1"/>
    <col min="15112" max="15112" width="10.875" style="326" customWidth="1"/>
    <col min="15113" max="15113" width="13.75" style="326" customWidth="1"/>
    <col min="15114" max="15114" width="10" style="326" customWidth="1"/>
    <col min="15115" max="15115" width="13.25" style="326" customWidth="1"/>
    <col min="15116" max="15116" width="14.375" style="326" customWidth="1"/>
    <col min="15117" max="15117" width="10" style="326" customWidth="1"/>
    <col min="15118" max="15118" width="10.875" style="326" customWidth="1"/>
    <col min="15119" max="15119" width="11.375" style="326" customWidth="1"/>
    <col min="15120" max="15120" width="15.375" style="326" customWidth="1"/>
    <col min="15121" max="15122" width="10.75" style="326" customWidth="1"/>
    <col min="15123" max="15123" width="14.375" style="326" customWidth="1"/>
    <col min="15124" max="15124" width="10.75" style="326" customWidth="1"/>
    <col min="15125" max="15125" width="11.75" style="326" customWidth="1"/>
    <col min="15126" max="15126" width="10" style="326" customWidth="1"/>
    <col min="15127" max="15127" width="15.375" style="326" customWidth="1"/>
    <col min="15128" max="15128" width="10" style="326" customWidth="1"/>
    <col min="15129" max="15129" width="10.75" style="326" customWidth="1"/>
    <col min="15130" max="15130" width="14.875" style="326" customWidth="1"/>
    <col min="15131" max="15131" width="11.5" style="326" customWidth="1"/>
    <col min="15132" max="15132" width="10" style="326" customWidth="1"/>
    <col min="15133" max="15133" width="10.75" style="326" customWidth="1"/>
    <col min="15134" max="15134" width="13.5" style="326" customWidth="1"/>
    <col min="15135" max="15135" width="9" style="326"/>
    <col min="15136" max="15136" width="10.75" style="326" bestFit="1" customWidth="1"/>
    <col min="15137" max="15137" width="13.75" style="326" customWidth="1"/>
    <col min="15138" max="15138" width="9" style="326"/>
    <col min="15139" max="15139" width="10.625" style="326" customWidth="1"/>
    <col min="15140" max="15140" width="9" style="326"/>
    <col min="15141" max="15141" width="14.25" style="326" customWidth="1"/>
    <col min="15142" max="15142" width="10.75" style="326" bestFit="1" customWidth="1"/>
    <col min="15143" max="15143" width="11.625" style="326" customWidth="1"/>
    <col min="15144" max="15144" width="13.75" style="326" customWidth="1"/>
    <col min="15145" max="15145" width="10.625" style="326" customWidth="1"/>
    <col min="15146" max="15147" width="9" style="326"/>
    <col min="15148" max="15148" width="14.125" style="326" customWidth="1"/>
    <col min="15149" max="15149" width="11" style="326" customWidth="1"/>
    <col min="15150" max="15150" width="10.75" style="326" bestFit="1" customWidth="1"/>
    <col min="15151" max="15151" width="13.5" style="326" customWidth="1"/>
    <col min="15152" max="15153" width="9" style="326"/>
    <col min="15154" max="15154" width="10.75" style="326" bestFit="1" customWidth="1"/>
    <col min="15155" max="15155" width="14" style="326" customWidth="1"/>
    <col min="15156" max="15156" width="9" style="326"/>
    <col min="15157" max="15157" width="10.75" style="326" customWidth="1"/>
    <col min="15158" max="15158" width="12.75" style="326" customWidth="1"/>
    <col min="15159" max="15159" width="9" style="326"/>
    <col min="15160" max="15160" width="10.75" style="326" bestFit="1" customWidth="1"/>
    <col min="15161" max="15161" width="11.5" style="326" customWidth="1"/>
    <col min="15162" max="15162" width="13.625" style="326" customWidth="1"/>
    <col min="15163" max="15163" width="10.625" style="326" customWidth="1"/>
    <col min="15164" max="15164" width="10.75" style="326" bestFit="1" customWidth="1"/>
    <col min="15165" max="15165" width="12.375" style="326" customWidth="1"/>
    <col min="15166" max="15168" width="9" style="326"/>
    <col min="15169" max="15169" width="15.75" style="326" customWidth="1"/>
    <col min="15170" max="15170" width="9" style="326"/>
    <col min="15171" max="15171" width="10.75" style="326" bestFit="1" customWidth="1"/>
    <col min="15172" max="15172" width="12.625" style="326" customWidth="1"/>
    <col min="15173" max="15175" width="9" style="326"/>
    <col min="15176" max="15176" width="13.625" style="326" customWidth="1"/>
    <col min="15177" max="15177" width="9" style="326"/>
    <col min="15178" max="15178" width="10.75" style="326" bestFit="1" customWidth="1"/>
    <col min="15179" max="15179" width="12.5" style="326" customWidth="1"/>
    <col min="15180" max="15182" width="9" style="326"/>
    <col min="15183" max="15183" width="12.875" style="326" customWidth="1"/>
    <col min="15184" max="15184" width="9" style="326"/>
    <col min="15185" max="15185" width="10.75" style="326" bestFit="1" customWidth="1"/>
    <col min="15186" max="15186" width="13.875" style="326" customWidth="1"/>
    <col min="15187" max="15189" width="9" style="326"/>
    <col min="15190" max="15190" width="14.125" style="326" customWidth="1"/>
    <col min="15191" max="15191" width="9" style="326"/>
    <col min="15192" max="15192" width="10.75" style="326" bestFit="1" customWidth="1"/>
    <col min="15193" max="15193" width="13.25" style="326" customWidth="1"/>
    <col min="15194" max="15196" width="9" style="326"/>
    <col min="15197" max="15197" width="13.25" style="326" customWidth="1"/>
    <col min="15198" max="15198" width="9" style="326"/>
    <col min="15199" max="15199" width="10.75" style="326" bestFit="1" customWidth="1"/>
    <col min="15200" max="15200" width="13.875" style="326" customWidth="1"/>
    <col min="15201" max="15203" width="9" style="326"/>
    <col min="15204" max="15204" width="13.625" style="326" customWidth="1"/>
    <col min="15205" max="15205" width="9" style="326"/>
    <col min="15206" max="15206" width="10.75" style="326" bestFit="1" customWidth="1"/>
    <col min="15207" max="15207" width="13" style="326" customWidth="1"/>
    <col min="15208" max="15354" width="9" style="326"/>
    <col min="15355" max="15356" width="12.125" style="326" customWidth="1"/>
    <col min="15357" max="15359" width="13" style="326" customWidth="1"/>
    <col min="15360" max="15360" width="12.875" style="326" customWidth="1"/>
    <col min="15361" max="15361" width="13" style="326" customWidth="1"/>
    <col min="15362" max="15362" width="13.125" style="326" customWidth="1"/>
    <col min="15363" max="15364" width="12.125" style="326" customWidth="1"/>
    <col min="15365" max="15365" width="14.375" style="326" bestFit="1" customWidth="1"/>
    <col min="15366" max="15366" width="11" style="326" customWidth="1"/>
    <col min="15367" max="15367" width="10" style="326" customWidth="1"/>
    <col min="15368" max="15368" width="10.875" style="326" customWidth="1"/>
    <col min="15369" max="15369" width="13.75" style="326" customWidth="1"/>
    <col min="15370" max="15370" width="10" style="326" customWidth="1"/>
    <col min="15371" max="15371" width="13.25" style="326" customWidth="1"/>
    <col min="15372" max="15372" width="14.375" style="326" customWidth="1"/>
    <col min="15373" max="15373" width="10" style="326" customWidth="1"/>
    <col min="15374" max="15374" width="10.875" style="326" customWidth="1"/>
    <col min="15375" max="15375" width="11.375" style="326" customWidth="1"/>
    <col min="15376" max="15376" width="15.375" style="326" customWidth="1"/>
    <col min="15377" max="15378" width="10.75" style="326" customWidth="1"/>
    <col min="15379" max="15379" width="14.375" style="326" customWidth="1"/>
    <col min="15380" max="15380" width="10.75" style="326" customWidth="1"/>
    <col min="15381" max="15381" width="11.75" style="326" customWidth="1"/>
    <col min="15382" max="15382" width="10" style="326" customWidth="1"/>
    <col min="15383" max="15383" width="15.375" style="326" customWidth="1"/>
    <col min="15384" max="15384" width="10" style="326" customWidth="1"/>
    <col min="15385" max="15385" width="10.75" style="326" customWidth="1"/>
    <col min="15386" max="15386" width="14.875" style="326" customWidth="1"/>
    <col min="15387" max="15387" width="11.5" style="326" customWidth="1"/>
    <col min="15388" max="15388" width="10" style="326" customWidth="1"/>
    <col min="15389" max="15389" width="10.75" style="326" customWidth="1"/>
    <col min="15390" max="15390" width="13.5" style="326" customWidth="1"/>
    <col min="15391" max="15391" width="9" style="326"/>
    <col min="15392" max="15392" width="10.75" style="326" bestFit="1" customWidth="1"/>
    <col min="15393" max="15393" width="13.75" style="326" customWidth="1"/>
    <col min="15394" max="15394" width="9" style="326"/>
    <col min="15395" max="15395" width="10.625" style="326" customWidth="1"/>
    <col min="15396" max="15396" width="9" style="326"/>
    <col min="15397" max="15397" width="14.25" style="326" customWidth="1"/>
    <col min="15398" max="15398" width="10.75" style="326" bestFit="1" customWidth="1"/>
    <col min="15399" max="15399" width="11.625" style="326" customWidth="1"/>
    <col min="15400" max="15400" width="13.75" style="326" customWidth="1"/>
    <col min="15401" max="15401" width="10.625" style="326" customWidth="1"/>
    <col min="15402" max="15403" width="9" style="326"/>
    <col min="15404" max="15404" width="14.125" style="326" customWidth="1"/>
    <col min="15405" max="15405" width="11" style="326" customWidth="1"/>
    <col min="15406" max="15406" width="10.75" style="326" bestFit="1" customWidth="1"/>
    <col min="15407" max="15407" width="13.5" style="326" customWidth="1"/>
    <col min="15408" max="15409" width="9" style="326"/>
    <col min="15410" max="15410" width="10.75" style="326" bestFit="1" customWidth="1"/>
    <col min="15411" max="15411" width="14" style="326" customWidth="1"/>
    <col min="15412" max="15412" width="9" style="326"/>
    <col min="15413" max="15413" width="10.75" style="326" customWidth="1"/>
    <col min="15414" max="15414" width="12.75" style="326" customWidth="1"/>
    <col min="15415" max="15415" width="9" style="326"/>
    <col min="15416" max="15416" width="10.75" style="326" bestFit="1" customWidth="1"/>
    <col min="15417" max="15417" width="11.5" style="326" customWidth="1"/>
    <col min="15418" max="15418" width="13.625" style="326" customWidth="1"/>
    <col min="15419" max="15419" width="10.625" style="326" customWidth="1"/>
    <col min="15420" max="15420" width="10.75" style="326" bestFit="1" customWidth="1"/>
    <col min="15421" max="15421" width="12.375" style="326" customWidth="1"/>
    <col min="15422" max="15424" width="9" style="326"/>
    <col min="15425" max="15425" width="15.75" style="326" customWidth="1"/>
    <col min="15426" max="15426" width="9" style="326"/>
    <col min="15427" max="15427" width="10.75" style="326" bestFit="1" customWidth="1"/>
    <col min="15428" max="15428" width="12.625" style="326" customWidth="1"/>
    <col min="15429" max="15431" width="9" style="326"/>
    <col min="15432" max="15432" width="13.625" style="326" customWidth="1"/>
    <col min="15433" max="15433" width="9" style="326"/>
    <col min="15434" max="15434" width="10.75" style="326" bestFit="1" customWidth="1"/>
    <col min="15435" max="15435" width="12.5" style="326" customWidth="1"/>
    <col min="15436" max="15438" width="9" style="326"/>
    <col min="15439" max="15439" width="12.875" style="326" customWidth="1"/>
    <col min="15440" max="15440" width="9" style="326"/>
    <col min="15441" max="15441" width="10.75" style="326" bestFit="1" customWidth="1"/>
    <col min="15442" max="15442" width="13.875" style="326" customWidth="1"/>
    <col min="15443" max="15445" width="9" style="326"/>
    <col min="15446" max="15446" width="14.125" style="326" customWidth="1"/>
    <col min="15447" max="15447" width="9" style="326"/>
    <col min="15448" max="15448" width="10.75" style="326" bestFit="1" customWidth="1"/>
    <col min="15449" max="15449" width="13.25" style="326" customWidth="1"/>
    <col min="15450" max="15452" width="9" style="326"/>
    <col min="15453" max="15453" width="13.25" style="326" customWidth="1"/>
    <col min="15454" max="15454" width="9" style="326"/>
    <col min="15455" max="15455" width="10.75" style="326" bestFit="1" customWidth="1"/>
    <col min="15456" max="15456" width="13.875" style="326" customWidth="1"/>
    <col min="15457" max="15459" width="9" style="326"/>
    <col min="15460" max="15460" width="13.625" style="326" customWidth="1"/>
    <col min="15461" max="15461" width="9" style="326"/>
    <col min="15462" max="15462" width="10.75" style="326" bestFit="1" customWidth="1"/>
    <col min="15463" max="15463" width="13" style="326" customWidth="1"/>
    <col min="15464" max="15610" width="9" style="326"/>
    <col min="15611" max="15612" width="12.125" style="326" customWidth="1"/>
    <col min="15613" max="15615" width="13" style="326" customWidth="1"/>
    <col min="15616" max="15616" width="12.875" style="326" customWidth="1"/>
    <col min="15617" max="15617" width="13" style="326" customWidth="1"/>
    <col min="15618" max="15618" width="13.125" style="326" customWidth="1"/>
    <col min="15619" max="15620" width="12.125" style="326" customWidth="1"/>
    <col min="15621" max="15621" width="14.375" style="326" bestFit="1" customWidth="1"/>
    <col min="15622" max="15622" width="11" style="326" customWidth="1"/>
    <col min="15623" max="15623" width="10" style="326" customWidth="1"/>
    <col min="15624" max="15624" width="10.875" style="326" customWidth="1"/>
    <col min="15625" max="15625" width="13.75" style="326" customWidth="1"/>
    <col min="15626" max="15626" width="10" style="326" customWidth="1"/>
    <col min="15627" max="15627" width="13.25" style="326" customWidth="1"/>
    <col min="15628" max="15628" width="14.375" style="326" customWidth="1"/>
    <col min="15629" max="15629" width="10" style="326" customWidth="1"/>
    <col min="15630" max="15630" width="10.875" style="326" customWidth="1"/>
    <col min="15631" max="15631" width="11.375" style="326" customWidth="1"/>
    <col min="15632" max="15632" width="15.375" style="326" customWidth="1"/>
    <col min="15633" max="15634" width="10.75" style="326" customWidth="1"/>
    <col min="15635" max="15635" width="14.375" style="326" customWidth="1"/>
    <col min="15636" max="15636" width="10.75" style="326" customWidth="1"/>
    <col min="15637" max="15637" width="11.75" style="326" customWidth="1"/>
    <col min="15638" max="15638" width="10" style="326" customWidth="1"/>
    <col min="15639" max="15639" width="15.375" style="326" customWidth="1"/>
    <col min="15640" max="15640" width="10" style="326" customWidth="1"/>
    <col min="15641" max="15641" width="10.75" style="326" customWidth="1"/>
    <col min="15642" max="15642" width="14.875" style="326" customWidth="1"/>
    <col min="15643" max="15643" width="11.5" style="326" customWidth="1"/>
    <col min="15644" max="15644" width="10" style="326" customWidth="1"/>
    <col min="15645" max="15645" width="10.75" style="326" customWidth="1"/>
    <col min="15646" max="15646" width="13.5" style="326" customWidth="1"/>
    <col min="15647" max="15647" width="9" style="326"/>
    <col min="15648" max="15648" width="10.75" style="326" bestFit="1" customWidth="1"/>
    <col min="15649" max="15649" width="13.75" style="326" customWidth="1"/>
    <col min="15650" max="15650" width="9" style="326"/>
    <col min="15651" max="15651" width="10.625" style="326" customWidth="1"/>
    <col min="15652" max="15652" width="9" style="326"/>
    <col min="15653" max="15653" width="14.25" style="326" customWidth="1"/>
    <col min="15654" max="15654" width="10.75" style="326" bestFit="1" customWidth="1"/>
    <col min="15655" max="15655" width="11.625" style="326" customWidth="1"/>
    <col min="15656" max="15656" width="13.75" style="326" customWidth="1"/>
    <col min="15657" max="15657" width="10.625" style="326" customWidth="1"/>
    <col min="15658" max="15659" width="9" style="326"/>
    <col min="15660" max="15660" width="14.125" style="326" customWidth="1"/>
    <col min="15661" max="15661" width="11" style="326" customWidth="1"/>
    <col min="15662" max="15662" width="10.75" style="326" bestFit="1" customWidth="1"/>
    <col min="15663" max="15663" width="13.5" style="326" customWidth="1"/>
    <col min="15664" max="15665" width="9" style="326"/>
    <col min="15666" max="15666" width="10.75" style="326" bestFit="1" customWidth="1"/>
    <col min="15667" max="15667" width="14" style="326" customWidth="1"/>
    <col min="15668" max="15668" width="9" style="326"/>
    <col min="15669" max="15669" width="10.75" style="326" customWidth="1"/>
    <col min="15670" max="15670" width="12.75" style="326" customWidth="1"/>
    <col min="15671" max="15671" width="9" style="326"/>
    <col min="15672" max="15672" width="10.75" style="326" bestFit="1" customWidth="1"/>
    <col min="15673" max="15673" width="11.5" style="326" customWidth="1"/>
    <col min="15674" max="15674" width="13.625" style="326" customWidth="1"/>
    <col min="15675" max="15675" width="10.625" style="326" customWidth="1"/>
    <col min="15676" max="15676" width="10.75" style="326" bestFit="1" customWidth="1"/>
    <col min="15677" max="15677" width="12.375" style="326" customWidth="1"/>
    <col min="15678" max="15680" width="9" style="326"/>
    <col min="15681" max="15681" width="15.75" style="326" customWidth="1"/>
    <col min="15682" max="15682" width="9" style="326"/>
    <col min="15683" max="15683" width="10.75" style="326" bestFit="1" customWidth="1"/>
    <col min="15684" max="15684" width="12.625" style="326" customWidth="1"/>
    <col min="15685" max="15687" width="9" style="326"/>
    <col min="15688" max="15688" width="13.625" style="326" customWidth="1"/>
    <col min="15689" max="15689" width="9" style="326"/>
    <col min="15690" max="15690" width="10.75" style="326" bestFit="1" customWidth="1"/>
    <col min="15691" max="15691" width="12.5" style="326" customWidth="1"/>
    <col min="15692" max="15694" width="9" style="326"/>
    <col min="15695" max="15695" width="12.875" style="326" customWidth="1"/>
    <col min="15696" max="15696" width="9" style="326"/>
    <col min="15697" max="15697" width="10.75" style="326" bestFit="1" customWidth="1"/>
    <col min="15698" max="15698" width="13.875" style="326" customWidth="1"/>
    <col min="15699" max="15701" width="9" style="326"/>
    <col min="15702" max="15702" width="14.125" style="326" customWidth="1"/>
    <col min="15703" max="15703" width="9" style="326"/>
    <col min="15704" max="15704" width="10.75" style="326" bestFit="1" customWidth="1"/>
    <col min="15705" max="15705" width="13.25" style="326" customWidth="1"/>
    <col min="15706" max="15708" width="9" style="326"/>
    <col min="15709" max="15709" width="13.25" style="326" customWidth="1"/>
    <col min="15710" max="15710" width="9" style="326"/>
    <col min="15711" max="15711" width="10.75" style="326" bestFit="1" customWidth="1"/>
    <col min="15712" max="15712" width="13.875" style="326" customWidth="1"/>
    <col min="15713" max="15715" width="9" style="326"/>
    <col min="15716" max="15716" width="13.625" style="326" customWidth="1"/>
    <col min="15717" max="15717" width="9" style="326"/>
    <col min="15718" max="15718" width="10.75" style="326" bestFit="1" customWidth="1"/>
    <col min="15719" max="15719" width="13" style="326" customWidth="1"/>
    <col min="15720" max="15866" width="9" style="326"/>
    <col min="15867" max="15868" width="12.125" style="326" customWidth="1"/>
    <col min="15869" max="15871" width="13" style="326" customWidth="1"/>
    <col min="15872" max="15872" width="12.875" style="326" customWidth="1"/>
    <col min="15873" max="15873" width="13" style="326" customWidth="1"/>
    <col min="15874" max="15874" width="13.125" style="326" customWidth="1"/>
    <col min="15875" max="15876" width="12.125" style="326" customWidth="1"/>
    <col min="15877" max="15877" width="14.375" style="326" bestFit="1" customWidth="1"/>
    <col min="15878" max="15878" width="11" style="326" customWidth="1"/>
    <col min="15879" max="15879" width="10" style="326" customWidth="1"/>
    <col min="15880" max="15880" width="10.875" style="326" customWidth="1"/>
    <col min="15881" max="15881" width="13.75" style="326" customWidth="1"/>
    <col min="15882" max="15882" width="10" style="326" customWidth="1"/>
    <col min="15883" max="15883" width="13.25" style="326" customWidth="1"/>
    <col min="15884" max="15884" width="14.375" style="326" customWidth="1"/>
    <col min="15885" max="15885" width="10" style="326" customWidth="1"/>
    <col min="15886" max="15886" width="10.875" style="326" customWidth="1"/>
    <col min="15887" max="15887" width="11.375" style="326" customWidth="1"/>
    <col min="15888" max="15888" width="15.375" style="326" customWidth="1"/>
    <col min="15889" max="15890" width="10.75" style="326" customWidth="1"/>
    <col min="15891" max="15891" width="14.375" style="326" customWidth="1"/>
    <col min="15892" max="15892" width="10.75" style="326" customWidth="1"/>
    <col min="15893" max="15893" width="11.75" style="326" customWidth="1"/>
    <col min="15894" max="15894" width="10" style="326" customWidth="1"/>
    <col min="15895" max="15895" width="15.375" style="326" customWidth="1"/>
    <col min="15896" max="15896" width="10" style="326" customWidth="1"/>
    <col min="15897" max="15897" width="10.75" style="326" customWidth="1"/>
    <col min="15898" max="15898" width="14.875" style="326" customWidth="1"/>
    <col min="15899" max="15899" width="11.5" style="326" customWidth="1"/>
    <col min="15900" max="15900" width="10" style="326" customWidth="1"/>
    <col min="15901" max="15901" width="10.75" style="326" customWidth="1"/>
    <col min="15902" max="15902" width="13.5" style="326" customWidth="1"/>
    <col min="15903" max="15903" width="9" style="326"/>
    <col min="15904" max="15904" width="10.75" style="326" bestFit="1" customWidth="1"/>
    <col min="15905" max="15905" width="13.75" style="326" customWidth="1"/>
    <col min="15906" max="15906" width="9" style="326"/>
    <col min="15907" max="15907" width="10.625" style="326" customWidth="1"/>
    <col min="15908" max="15908" width="9" style="326"/>
    <col min="15909" max="15909" width="14.25" style="326" customWidth="1"/>
    <col min="15910" max="15910" width="10.75" style="326" bestFit="1" customWidth="1"/>
    <col min="15911" max="15911" width="11.625" style="326" customWidth="1"/>
    <col min="15912" max="15912" width="13.75" style="326" customWidth="1"/>
    <col min="15913" max="15913" width="10.625" style="326" customWidth="1"/>
    <col min="15914" max="15915" width="9" style="326"/>
    <col min="15916" max="15916" width="14.125" style="326" customWidth="1"/>
    <col min="15917" max="15917" width="11" style="326" customWidth="1"/>
    <col min="15918" max="15918" width="10.75" style="326" bestFit="1" customWidth="1"/>
    <col min="15919" max="15919" width="13.5" style="326" customWidth="1"/>
    <col min="15920" max="15921" width="9" style="326"/>
    <col min="15922" max="15922" width="10.75" style="326" bestFit="1" customWidth="1"/>
    <col min="15923" max="15923" width="14" style="326" customWidth="1"/>
    <col min="15924" max="15924" width="9" style="326"/>
    <col min="15925" max="15925" width="10.75" style="326" customWidth="1"/>
    <col min="15926" max="15926" width="12.75" style="326" customWidth="1"/>
    <col min="15927" max="15927" width="9" style="326"/>
    <col min="15928" max="15928" width="10.75" style="326" bestFit="1" customWidth="1"/>
    <col min="15929" max="15929" width="11.5" style="326" customWidth="1"/>
    <col min="15930" max="15930" width="13.625" style="326" customWidth="1"/>
    <col min="15931" max="15931" width="10.625" style="326" customWidth="1"/>
    <col min="15932" max="15932" width="10.75" style="326" bestFit="1" customWidth="1"/>
    <col min="15933" max="15933" width="12.375" style="326" customWidth="1"/>
    <col min="15934" max="15936" width="9" style="326"/>
    <col min="15937" max="15937" width="15.75" style="326" customWidth="1"/>
    <col min="15938" max="15938" width="9" style="326"/>
    <col min="15939" max="15939" width="10.75" style="326" bestFit="1" customWidth="1"/>
    <col min="15940" max="15940" width="12.625" style="326" customWidth="1"/>
    <col min="15941" max="15943" width="9" style="326"/>
    <col min="15944" max="15944" width="13.625" style="326" customWidth="1"/>
    <col min="15945" max="15945" width="9" style="326"/>
    <col min="15946" max="15946" width="10.75" style="326" bestFit="1" customWidth="1"/>
    <col min="15947" max="15947" width="12.5" style="326" customWidth="1"/>
    <col min="15948" max="15950" width="9" style="326"/>
    <col min="15951" max="15951" width="12.875" style="326" customWidth="1"/>
    <col min="15952" max="15952" width="9" style="326"/>
    <col min="15953" max="15953" width="10.75" style="326" bestFit="1" customWidth="1"/>
    <col min="15954" max="15954" width="13.875" style="326" customWidth="1"/>
    <col min="15955" max="15957" width="9" style="326"/>
    <col min="15958" max="15958" width="14.125" style="326" customWidth="1"/>
    <col min="15959" max="15959" width="9" style="326"/>
    <col min="15960" max="15960" width="10.75" style="326" bestFit="1" customWidth="1"/>
    <col min="15961" max="15961" width="13.25" style="326" customWidth="1"/>
    <col min="15962" max="15964" width="9" style="326"/>
    <col min="15965" max="15965" width="13.25" style="326" customWidth="1"/>
    <col min="15966" max="15966" width="9" style="326"/>
    <col min="15967" max="15967" width="10.75" style="326" bestFit="1" customWidth="1"/>
    <col min="15968" max="15968" width="13.875" style="326" customWidth="1"/>
    <col min="15969" max="15971" width="9" style="326"/>
    <col min="15972" max="15972" width="13.625" style="326" customWidth="1"/>
    <col min="15973" max="15973" width="9" style="326"/>
    <col min="15974" max="15974" width="10.75" style="326" bestFit="1" customWidth="1"/>
    <col min="15975" max="15975" width="13" style="326" customWidth="1"/>
    <col min="15976" max="16122" width="9" style="326"/>
    <col min="16123" max="16124" width="12.125" style="326" customWidth="1"/>
    <col min="16125" max="16127" width="13" style="326" customWidth="1"/>
    <col min="16128" max="16128" width="12.875" style="326" customWidth="1"/>
    <col min="16129" max="16129" width="13" style="326" customWidth="1"/>
    <col min="16130" max="16130" width="13.125" style="326" customWidth="1"/>
    <col min="16131" max="16132" width="12.125" style="326" customWidth="1"/>
    <col min="16133" max="16133" width="14.375" style="326" bestFit="1" customWidth="1"/>
    <col min="16134" max="16134" width="11" style="326" customWidth="1"/>
    <col min="16135" max="16135" width="10" style="326" customWidth="1"/>
    <col min="16136" max="16136" width="10.875" style="326" customWidth="1"/>
    <col min="16137" max="16137" width="13.75" style="326" customWidth="1"/>
    <col min="16138" max="16138" width="10" style="326" customWidth="1"/>
    <col min="16139" max="16139" width="13.25" style="326" customWidth="1"/>
    <col min="16140" max="16140" width="14.375" style="326" customWidth="1"/>
    <col min="16141" max="16141" width="10" style="326" customWidth="1"/>
    <col min="16142" max="16142" width="10.875" style="326" customWidth="1"/>
    <col min="16143" max="16143" width="11.375" style="326" customWidth="1"/>
    <col min="16144" max="16144" width="15.375" style="326" customWidth="1"/>
    <col min="16145" max="16146" width="10.75" style="326" customWidth="1"/>
    <col min="16147" max="16147" width="14.375" style="326" customWidth="1"/>
    <col min="16148" max="16148" width="10.75" style="326" customWidth="1"/>
    <col min="16149" max="16149" width="11.75" style="326" customWidth="1"/>
    <col min="16150" max="16150" width="10" style="326" customWidth="1"/>
    <col min="16151" max="16151" width="15.375" style="326" customWidth="1"/>
    <col min="16152" max="16152" width="10" style="326" customWidth="1"/>
    <col min="16153" max="16153" width="10.75" style="326" customWidth="1"/>
    <col min="16154" max="16154" width="14.875" style="326" customWidth="1"/>
    <col min="16155" max="16155" width="11.5" style="326" customWidth="1"/>
    <col min="16156" max="16156" width="10" style="326" customWidth="1"/>
    <col min="16157" max="16157" width="10.75" style="326" customWidth="1"/>
    <col min="16158" max="16158" width="13.5" style="326" customWidth="1"/>
    <col min="16159" max="16159" width="9" style="326"/>
    <col min="16160" max="16160" width="10.75" style="326" bestFit="1" customWidth="1"/>
    <col min="16161" max="16161" width="13.75" style="326" customWidth="1"/>
    <col min="16162" max="16162" width="9" style="326"/>
    <col min="16163" max="16163" width="10.625" style="326" customWidth="1"/>
    <col min="16164" max="16164" width="9" style="326"/>
    <col min="16165" max="16165" width="14.25" style="326" customWidth="1"/>
    <col min="16166" max="16166" width="10.75" style="326" bestFit="1" customWidth="1"/>
    <col min="16167" max="16167" width="11.625" style="326" customWidth="1"/>
    <col min="16168" max="16168" width="13.75" style="326" customWidth="1"/>
    <col min="16169" max="16169" width="10.625" style="326" customWidth="1"/>
    <col min="16170" max="16171" width="9" style="326"/>
    <col min="16172" max="16172" width="14.125" style="326" customWidth="1"/>
    <col min="16173" max="16173" width="11" style="326" customWidth="1"/>
    <col min="16174" max="16174" width="10.75" style="326" bestFit="1" customWidth="1"/>
    <col min="16175" max="16175" width="13.5" style="326" customWidth="1"/>
    <col min="16176" max="16177" width="9" style="326"/>
    <col min="16178" max="16178" width="10.75" style="326" bestFit="1" customWidth="1"/>
    <col min="16179" max="16179" width="14" style="326" customWidth="1"/>
    <col min="16180" max="16180" width="9" style="326"/>
    <col min="16181" max="16181" width="10.75" style="326" customWidth="1"/>
    <col min="16182" max="16182" width="12.75" style="326" customWidth="1"/>
    <col min="16183" max="16183" width="9" style="326"/>
    <col min="16184" max="16184" width="10.75" style="326" bestFit="1" customWidth="1"/>
    <col min="16185" max="16185" width="11.5" style="326" customWidth="1"/>
    <col min="16186" max="16186" width="13.625" style="326" customWidth="1"/>
    <col min="16187" max="16187" width="10.625" style="326" customWidth="1"/>
    <col min="16188" max="16188" width="10.75" style="326" bestFit="1" customWidth="1"/>
    <col min="16189" max="16189" width="12.375" style="326" customWidth="1"/>
    <col min="16190" max="16192" width="9" style="326"/>
    <col min="16193" max="16193" width="15.75" style="326" customWidth="1"/>
    <col min="16194" max="16194" width="9" style="326"/>
    <col min="16195" max="16195" width="10.75" style="326" bestFit="1" customWidth="1"/>
    <col min="16196" max="16196" width="12.625" style="326" customWidth="1"/>
    <col min="16197" max="16199" width="9" style="326"/>
    <col min="16200" max="16200" width="13.625" style="326" customWidth="1"/>
    <col min="16201" max="16201" width="9" style="326"/>
    <col min="16202" max="16202" width="10.75" style="326" bestFit="1" customWidth="1"/>
    <col min="16203" max="16203" width="12.5" style="326" customWidth="1"/>
    <col min="16204" max="16206" width="9" style="326"/>
    <col min="16207" max="16207" width="12.875" style="326" customWidth="1"/>
    <col min="16208" max="16208" width="9" style="326"/>
    <col min="16209" max="16209" width="10.75" style="326" bestFit="1" customWidth="1"/>
    <col min="16210" max="16210" width="13.875" style="326" customWidth="1"/>
    <col min="16211" max="16213" width="9" style="326"/>
    <col min="16214" max="16214" width="14.125" style="326" customWidth="1"/>
    <col min="16215" max="16215" width="9" style="326"/>
    <col min="16216" max="16216" width="10.75" style="326" bestFit="1" customWidth="1"/>
    <col min="16217" max="16217" width="13.25" style="326" customWidth="1"/>
    <col min="16218" max="16220" width="9" style="326"/>
    <col min="16221" max="16221" width="13.25" style="326" customWidth="1"/>
    <col min="16222" max="16222" width="9" style="326"/>
    <col min="16223" max="16223" width="10.75" style="326" bestFit="1" customWidth="1"/>
    <col min="16224" max="16224" width="13.875" style="326" customWidth="1"/>
    <col min="16225" max="16227" width="9" style="326"/>
    <col min="16228" max="16228" width="13.625" style="326" customWidth="1"/>
    <col min="16229" max="16229" width="9" style="326"/>
    <col min="16230" max="16230" width="10.75" style="326" bestFit="1" customWidth="1"/>
    <col min="16231" max="16231" width="13" style="326" customWidth="1"/>
    <col min="16232" max="16384" width="9" style="326"/>
  </cols>
  <sheetData>
    <row r="1" spans="1:41" ht="18.75" customHeight="1">
      <c r="D1" s="325" t="s">
        <v>262</v>
      </c>
      <c r="E1" s="327">
        <v>2004</v>
      </c>
      <c r="F1" s="326" t="s">
        <v>263</v>
      </c>
      <c r="G1" s="328">
        <v>0</v>
      </c>
      <c r="H1" s="329"/>
      <c r="I1" s="328"/>
    </row>
    <row r="2" spans="1:41" ht="24.95" customHeight="1">
      <c r="A2" s="330" t="s">
        <v>2246</v>
      </c>
      <c r="C2" s="330"/>
    </row>
    <row r="3" spans="1:41" ht="9.9499999999999993" customHeight="1">
      <c r="A3" s="2262"/>
      <c r="B3" s="425"/>
      <c r="C3" s="426"/>
      <c r="D3" s="426"/>
      <c r="E3" s="426"/>
      <c r="F3" s="426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2"/>
      <c r="Z3" s="331"/>
      <c r="AA3" s="332"/>
      <c r="AB3" s="333"/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1"/>
      <c r="AN3" s="331"/>
      <c r="AO3" s="332"/>
    </row>
    <row r="4" spans="1:41" s="344" customFormat="1" ht="14.1" customHeight="1">
      <c r="A4" s="334" t="s">
        <v>264</v>
      </c>
      <c r="B4" s="335" t="s">
        <v>265</v>
      </c>
      <c r="C4" s="336" t="s">
        <v>266</v>
      </c>
      <c r="D4" s="337" t="s">
        <v>267</v>
      </c>
      <c r="E4" s="337" t="s">
        <v>268</v>
      </c>
      <c r="F4" s="338" t="s">
        <v>269</v>
      </c>
      <c r="G4" s="339" t="s">
        <v>270</v>
      </c>
      <c r="H4" s="340" t="s">
        <v>271</v>
      </c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41"/>
      <c r="W4" s="341"/>
      <c r="X4" s="341"/>
      <c r="Y4" s="342"/>
      <c r="Z4" s="341"/>
      <c r="AA4" s="342"/>
      <c r="AB4" s="343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341"/>
      <c r="AN4" s="341"/>
      <c r="AO4" s="342"/>
    </row>
    <row r="5" spans="1:41" s="344" customFormat="1" ht="14.1" customHeight="1">
      <c r="A5" s="345"/>
      <c r="B5" s="346"/>
      <c r="C5" s="347"/>
      <c r="D5" s="348"/>
      <c r="E5" s="349"/>
      <c r="F5" s="350"/>
      <c r="G5" s="351">
        <f t="shared" ref="G5:G34" si="0">ROUND(SUMIF(C$38:H$38,"○",C5:H5),$G$1)</f>
        <v>0</v>
      </c>
      <c r="H5" s="352">
        <f>B5</f>
        <v>0</v>
      </c>
      <c r="I5" s="2316" t="s">
        <v>272</v>
      </c>
      <c r="J5" s="2317"/>
      <c r="K5" s="353"/>
      <c r="L5" s="341"/>
      <c r="M5" s="341"/>
      <c r="N5" s="341"/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2"/>
      <c r="Z5" s="341"/>
      <c r="AA5" s="342"/>
      <c r="AB5" s="343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2"/>
    </row>
    <row r="6" spans="1:41" s="344" customFormat="1" ht="14.1" customHeight="1">
      <c r="A6" s="354"/>
      <c r="B6" s="355"/>
      <c r="C6" s="356"/>
      <c r="D6" s="357"/>
      <c r="E6" s="358"/>
      <c r="F6" s="359"/>
      <c r="G6" s="351">
        <f t="shared" si="0"/>
        <v>0</v>
      </c>
      <c r="H6" s="352">
        <f>B6</f>
        <v>0</v>
      </c>
      <c r="I6" s="360" t="s">
        <v>273</v>
      </c>
      <c r="J6" s="361" t="e">
        <f>ROUND(((B15/B10)^(1/(A15-A10))-1)*100,2)</f>
        <v>#DIV/0!</v>
      </c>
      <c r="K6" s="353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2"/>
      <c r="Z6" s="341"/>
      <c r="AA6" s="342"/>
      <c r="AB6" s="343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2"/>
    </row>
    <row r="7" spans="1:41" s="344" customFormat="1" ht="14.1" customHeight="1">
      <c r="A7" s="354"/>
      <c r="B7" s="355"/>
      <c r="C7" s="356"/>
      <c r="D7" s="357"/>
      <c r="E7" s="358"/>
      <c r="F7" s="359"/>
      <c r="G7" s="351">
        <f t="shared" si="0"/>
        <v>0</v>
      </c>
      <c r="H7" s="352">
        <f t="shared" ref="H7:H15" si="1">B7</f>
        <v>0</v>
      </c>
      <c r="I7" s="360" t="s">
        <v>274</v>
      </c>
      <c r="J7" s="360" t="e">
        <f>ROUND(((B15/B5)^(1/(A15-A5))-1)*100,2)</f>
        <v>#DIV/0!</v>
      </c>
      <c r="K7" s="353"/>
      <c r="L7" s="362"/>
      <c r="M7" s="363"/>
      <c r="N7" s="341"/>
      <c r="O7" s="341"/>
      <c r="P7" s="341"/>
      <c r="Q7" s="341"/>
      <c r="R7" s="341"/>
      <c r="S7" s="341"/>
      <c r="T7" s="341"/>
      <c r="U7" s="341"/>
      <c r="V7" s="341"/>
      <c r="W7" s="341"/>
      <c r="X7" s="341"/>
      <c r="Y7" s="342"/>
      <c r="Z7" s="341"/>
      <c r="AA7" s="342"/>
      <c r="AB7" s="343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2"/>
    </row>
    <row r="8" spans="1:41" s="344" customFormat="1" ht="14.1" customHeight="1">
      <c r="A8" s="354"/>
      <c r="B8" s="355"/>
      <c r="C8" s="356"/>
      <c r="D8" s="357"/>
      <c r="E8" s="358"/>
      <c r="F8" s="359"/>
      <c r="G8" s="351">
        <f t="shared" si="0"/>
        <v>0</v>
      </c>
      <c r="H8" s="352">
        <f t="shared" si="1"/>
        <v>0</v>
      </c>
      <c r="I8" s="341"/>
      <c r="J8" s="341"/>
      <c r="K8" s="341"/>
      <c r="L8" s="341"/>
      <c r="M8" s="341"/>
      <c r="N8" s="341"/>
      <c r="O8" s="341"/>
      <c r="P8" s="341"/>
      <c r="Q8" s="341"/>
      <c r="R8" s="341"/>
      <c r="S8" s="341"/>
      <c r="T8" s="341"/>
      <c r="U8" s="341"/>
      <c r="V8" s="341"/>
      <c r="W8" s="341"/>
      <c r="X8" s="341"/>
      <c r="Y8" s="342"/>
      <c r="Z8" s="341"/>
      <c r="AA8" s="342"/>
      <c r="AB8" s="343"/>
      <c r="AC8" s="341"/>
      <c r="AD8" s="341"/>
      <c r="AE8" s="341"/>
      <c r="AF8" s="341"/>
      <c r="AG8" s="341"/>
      <c r="AH8" s="341"/>
      <c r="AI8" s="341"/>
      <c r="AJ8" s="341"/>
      <c r="AK8" s="341"/>
      <c r="AL8" s="341"/>
      <c r="AM8" s="341"/>
      <c r="AN8" s="341"/>
      <c r="AO8" s="342"/>
    </row>
    <row r="9" spans="1:41" s="344" customFormat="1" ht="14.1" customHeight="1">
      <c r="A9" s="354"/>
      <c r="B9" s="355"/>
      <c r="C9" s="356"/>
      <c r="D9" s="357"/>
      <c r="E9" s="358"/>
      <c r="F9" s="359"/>
      <c r="G9" s="351">
        <f t="shared" si="0"/>
        <v>0</v>
      </c>
      <c r="H9" s="352">
        <f t="shared" si="1"/>
        <v>0</v>
      </c>
      <c r="I9" s="341"/>
      <c r="J9" s="341"/>
      <c r="K9" s="353"/>
      <c r="L9" s="341"/>
      <c r="M9" s="341"/>
      <c r="N9" s="341"/>
      <c r="O9" s="341"/>
      <c r="P9" s="341"/>
      <c r="Q9" s="341"/>
      <c r="R9" s="341"/>
      <c r="S9" s="341"/>
      <c r="T9" s="341"/>
      <c r="U9" s="341"/>
      <c r="V9" s="341"/>
      <c r="W9" s="341"/>
      <c r="X9" s="341"/>
      <c r="Y9" s="342"/>
      <c r="Z9" s="341"/>
      <c r="AA9" s="342"/>
      <c r="AB9" s="343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2"/>
    </row>
    <row r="10" spans="1:41" s="344" customFormat="1" ht="14.1" customHeight="1">
      <c r="A10" s="354"/>
      <c r="B10" s="355"/>
      <c r="C10" s="356"/>
      <c r="D10" s="357"/>
      <c r="E10" s="358"/>
      <c r="F10" s="359"/>
      <c r="G10" s="351">
        <f t="shared" si="0"/>
        <v>0</v>
      </c>
      <c r="H10" s="352">
        <f t="shared" si="1"/>
        <v>0</v>
      </c>
      <c r="I10" s="341"/>
      <c r="J10" s="341"/>
      <c r="K10" s="353"/>
      <c r="L10" s="341"/>
      <c r="M10" s="341"/>
      <c r="N10" s="341"/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2"/>
      <c r="Z10" s="341"/>
      <c r="AA10" s="342"/>
      <c r="AB10" s="343"/>
      <c r="AC10" s="341"/>
      <c r="AD10" s="341"/>
      <c r="AE10" s="341"/>
      <c r="AF10" s="341"/>
      <c r="AG10" s="341"/>
      <c r="AH10" s="341"/>
      <c r="AI10" s="341"/>
      <c r="AJ10" s="341"/>
      <c r="AK10" s="341"/>
      <c r="AL10" s="341"/>
      <c r="AM10" s="341"/>
      <c r="AN10" s="341"/>
      <c r="AO10" s="342"/>
    </row>
    <row r="11" spans="1:41" s="344" customFormat="1" ht="14.1" customHeight="1">
      <c r="A11" s="354">
        <v>2012</v>
      </c>
      <c r="B11" s="355">
        <f>+'1.1.2 인구분석'!E12</f>
        <v>98279</v>
      </c>
      <c r="C11" s="356">
        <f t="shared" ref="C11:C37" si="2">I71</f>
        <v>98224</v>
      </c>
      <c r="D11" s="357">
        <f t="shared" ref="D11:D37" si="3">I110</f>
        <v>98262</v>
      </c>
      <c r="E11" s="358">
        <f t="shared" ref="E11:E37" si="4">I148</f>
        <v>98205</v>
      </c>
      <c r="F11" s="359">
        <f t="shared" ref="F11:F37" si="5">I184</f>
        <v>98261</v>
      </c>
      <c r="G11" s="351">
        <f t="shared" si="0"/>
        <v>196429</v>
      </c>
      <c r="H11" s="352">
        <f t="shared" si="1"/>
        <v>98279</v>
      </c>
      <c r="I11" s="341"/>
      <c r="J11" s="341"/>
      <c r="K11" s="353"/>
      <c r="L11" s="341"/>
      <c r="M11" s="341"/>
      <c r="N11" s="341"/>
      <c r="O11" s="341"/>
      <c r="P11" s="341"/>
      <c r="Q11" s="341"/>
      <c r="R11" s="341"/>
      <c r="S11" s="341"/>
      <c r="T11" s="341"/>
      <c r="U11" s="341"/>
      <c r="V11" s="341"/>
      <c r="W11" s="341"/>
      <c r="X11" s="341"/>
      <c r="Y11" s="342"/>
      <c r="Z11" s="341"/>
      <c r="AA11" s="342"/>
      <c r="AB11" s="343"/>
      <c r="AC11" s="341"/>
      <c r="AD11" s="341"/>
      <c r="AE11" s="341"/>
      <c r="AF11" s="341"/>
      <c r="AG11" s="341"/>
      <c r="AH11" s="341"/>
      <c r="AI11" s="341"/>
      <c r="AJ11" s="341"/>
      <c r="AK11" s="341"/>
      <c r="AL11" s="341"/>
      <c r="AM11" s="341"/>
      <c r="AN11" s="341"/>
      <c r="AO11" s="342"/>
    </row>
    <row r="12" spans="1:41" s="344" customFormat="1" ht="14.1" customHeight="1">
      <c r="A12" s="354">
        <v>2013</v>
      </c>
      <c r="B12" s="355">
        <f>+'1.1.2 인구분석'!E13</f>
        <v>99952</v>
      </c>
      <c r="C12" s="356">
        <f t="shared" si="2"/>
        <v>100288</v>
      </c>
      <c r="D12" s="357">
        <f t="shared" si="3"/>
        <v>100266</v>
      </c>
      <c r="E12" s="358">
        <f t="shared" si="4"/>
        <v>100325</v>
      </c>
      <c r="F12" s="359">
        <f t="shared" si="5"/>
        <v>100266</v>
      </c>
      <c r="G12" s="351">
        <f t="shared" si="0"/>
        <v>200613</v>
      </c>
      <c r="H12" s="352">
        <f t="shared" si="1"/>
        <v>99952</v>
      </c>
      <c r="I12" s="341"/>
      <c r="J12" s="341"/>
      <c r="K12" s="353"/>
      <c r="L12" s="341"/>
      <c r="M12" s="341"/>
      <c r="N12" s="341"/>
      <c r="O12" s="341"/>
      <c r="P12" s="341"/>
      <c r="Q12" s="341"/>
      <c r="R12" s="341"/>
      <c r="S12" s="341"/>
      <c r="T12" s="341"/>
      <c r="U12" s="341"/>
      <c r="V12" s="341"/>
      <c r="W12" s="341"/>
      <c r="X12" s="341"/>
      <c r="Y12" s="342"/>
      <c r="Z12" s="341"/>
      <c r="AA12" s="342"/>
      <c r="AB12" s="343"/>
      <c r="AC12" s="341"/>
      <c r="AD12" s="341"/>
      <c r="AE12" s="341"/>
      <c r="AF12" s="341"/>
      <c r="AG12" s="341"/>
      <c r="AH12" s="341"/>
      <c r="AI12" s="341"/>
      <c r="AJ12" s="341"/>
      <c r="AK12" s="341"/>
      <c r="AL12" s="341"/>
      <c r="AM12" s="341"/>
      <c r="AN12" s="341"/>
      <c r="AO12" s="342"/>
    </row>
    <row r="13" spans="1:41" s="344" customFormat="1" ht="14.1" customHeight="1">
      <c r="A13" s="354">
        <v>2014</v>
      </c>
      <c r="B13" s="355">
        <f>+'1.1.2 인구분석'!E14</f>
        <v>102796</v>
      </c>
      <c r="C13" s="356">
        <f t="shared" si="2"/>
        <v>102352</v>
      </c>
      <c r="D13" s="357">
        <f t="shared" si="3"/>
        <v>102310</v>
      </c>
      <c r="E13" s="358">
        <f t="shared" si="4"/>
        <v>102381</v>
      </c>
      <c r="F13" s="359">
        <f t="shared" si="5"/>
        <v>102311</v>
      </c>
      <c r="G13" s="351">
        <f t="shared" si="0"/>
        <v>204733</v>
      </c>
      <c r="H13" s="352">
        <f t="shared" si="1"/>
        <v>102796</v>
      </c>
      <c r="I13" s="341"/>
      <c r="J13" s="341"/>
      <c r="K13" s="353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2"/>
      <c r="Z13" s="341"/>
      <c r="AA13" s="342"/>
      <c r="AB13" s="343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2"/>
    </row>
    <row r="14" spans="1:41" s="344" customFormat="1" ht="14.1" customHeight="1">
      <c r="A14" s="386">
        <v>2015</v>
      </c>
      <c r="B14" s="2071">
        <f>+'1.1.2 인구분석'!E15</f>
        <v>104316</v>
      </c>
      <c r="C14" s="2072">
        <f t="shared" si="2"/>
        <v>104417</v>
      </c>
      <c r="D14" s="2073">
        <f t="shared" si="3"/>
        <v>104397</v>
      </c>
      <c r="E14" s="2074">
        <f t="shared" si="4"/>
        <v>104396</v>
      </c>
      <c r="F14" s="2075">
        <f t="shared" si="5"/>
        <v>104397</v>
      </c>
      <c r="G14" s="2076">
        <f t="shared" si="0"/>
        <v>208813</v>
      </c>
      <c r="H14" s="2077">
        <f t="shared" si="1"/>
        <v>104316</v>
      </c>
      <c r="I14" s="383"/>
      <c r="J14" s="383"/>
      <c r="K14" s="2078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2079"/>
      <c r="Z14" s="341"/>
      <c r="AA14" s="342"/>
      <c r="AB14" s="343"/>
      <c r="AC14" s="341"/>
      <c r="AD14" s="341"/>
      <c r="AE14" s="341"/>
      <c r="AF14" s="341"/>
      <c r="AG14" s="341"/>
      <c r="AH14" s="341"/>
      <c r="AI14" s="341"/>
      <c r="AJ14" s="341"/>
      <c r="AK14" s="341"/>
      <c r="AL14" s="341"/>
      <c r="AM14" s="341"/>
      <c r="AN14" s="341"/>
      <c r="AO14" s="342"/>
    </row>
    <row r="15" spans="1:41" s="344" customFormat="1" ht="14.1" customHeight="1" thickBot="1">
      <c r="A15" s="2010">
        <v>2016</v>
      </c>
      <c r="B15" s="2014">
        <f>+'1.1.2 인구분석'!E16</f>
        <v>106419</v>
      </c>
      <c r="C15" s="2011">
        <f t="shared" si="2"/>
        <v>106481</v>
      </c>
      <c r="D15" s="2012">
        <f t="shared" si="3"/>
        <v>106526</v>
      </c>
      <c r="E15" s="2011">
        <f t="shared" si="4"/>
        <v>106381</v>
      </c>
      <c r="F15" s="2013">
        <f t="shared" si="5"/>
        <v>106525</v>
      </c>
      <c r="G15" s="351">
        <f t="shared" si="0"/>
        <v>212862</v>
      </c>
      <c r="H15" s="352">
        <f t="shared" si="1"/>
        <v>106419</v>
      </c>
      <c r="I15" s="341"/>
      <c r="J15" s="341"/>
      <c r="K15" s="353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2"/>
      <c r="AB15" s="343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  <c r="AN15" s="341"/>
      <c r="AO15" s="342"/>
    </row>
    <row r="16" spans="1:41" s="344" customFormat="1" ht="14.1" customHeight="1" thickTop="1">
      <c r="A16" s="2114">
        <v>2017</v>
      </c>
      <c r="B16" s="2115"/>
      <c r="C16" s="2116">
        <f t="shared" si="2"/>
        <v>108546</v>
      </c>
      <c r="D16" s="2117">
        <f t="shared" si="3"/>
        <v>108698</v>
      </c>
      <c r="E16" s="2116">
        <f t="shared" si="4"/>
        <v>108343</v>
      </c>
      <c r="F16" s="2118">
        <f t="shared" si="5"/>
        <v>108695</v>
      </c>
      <c r="G16" s="364">
        <f t="shared" si="0"/>
        <v>216889</v>
      </c>
      <c r="H16" s="365"/>
      <c r="I16" s="341"/>
      <c r="J16" s="341"/>
      <c r="K16" s="353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2"/>
      <c r="AB16" s="343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  <c r="AM16" s="341"/>
      <c r="AN16" s="341"/>
      <c r="AO16" s="342"/>
    </row>
    <row r="17" spans="1:41" s="381" customFormat="1" ht="14.1" customHeight="1">
      <c r="A17" s="345">
        <v>2018</v>
      </c>
      <c r="B17" s="346"/>
      <c r="C17" s="347">
        <f t="shared" si="2"/>
        <v>110610</v>
      </c>
      <c r="D17" s="2168">
        <f t="shared" si="3"/>
        <v>110915</v>
      </c>
      <c r="E17" s="347">
        <f t="shared" si="4"/>
        <v>110285</v>
      </c>
      <c r="F17" s="2169">
        <f t="shared" si="5"/>
        <v>110908</v>
      </c>
      <c r="G17" s="2170">
        <f t="shared" si="0"/>
        <v>220895</v>
      </c>
      <c r="H17" s="2171"/>
      <c r="I17" s="2172"/>
      <c r="J17" s="2172"/>
      <c r="K17" s="2173"/>
      <c r="L17" s="2172"/>
      <c r="M17" s="2172"/>
      <c r="N17" s="2172"/>
      <c r="O17" s="2172"/>
      <c r="P17" s="2172"/>
      <c r="Q17" s="2172"/>
      <c r="R17" s="2172"/>
      <c r="S17" s="2172"/>
      <c r="T17" s="2172"/>
      <c r="U17" s="2172"/>
      <c r="V17" s="2172"/>
      <c r="W17" s="2172"/>
      <c r="X17" s="2172"/>
      <c r="Y17" s="2174"/>
      <c r="Z17" s="378"/>
      <c r="AA17" s="379"/>
      <c r="AB17" s="380"/>
      <c r="AC17" s="378"/>
      <c r="AD17" s="378"/>
      <c r="AE17" s="378"/>
      <c r="AF17" s="378"/>
      <c r="AG17" s="378"/>
      <c r="AH17" s="378"/>
      <c r="AI17" s="378"/>
      <c r="AJ17" s="378"/>
      <c r="AK17" s="378"/>
      <c r="AL17" s="378"/>
      <c r="AM17" s="378"/>
      <c r="AN17" s="378"/>
      <c r="AO17" s="379"/>
    </row>
    <row r="18" spans="1:41" s="381" customFormat="1" ht="14.1" customHeight="1">
      <c r="A18" s="354">
        <v>2019</v>
      </c>
      <c r="B18" s="355"/>
      <c r="C18" s="356">
        <f t="shared" si="2"/>
        <v>112674</v>
      </c>
      <c r="D18" s="371">
        <f t="shared" si="3"/>
        <v>113177</v>
      </c>
      <c r="E18" s="356">
        <f t="shared" si="4"/>
        <v>112211</v>
      </c>
      <c r="F18" s="372">
        <f t="shared" si="5"/>
        <v>113165</v>
      </c>
      <c r="G18" s="376">
        <f t="shared" si="0"/>
        <v>224885</v>
      </c>
      <c r="H18" s="377"/>
      <c r="I18" s="378"/>
      <c r="J18" s="378"/>
      <c r="K18" s="1912"/>
      <c r="L18" s="378"/>
      <c r="M18" s="378"/>
      <c r="N18" s="378"/>
      <c r="O18" s="378"/>
      <c r="P18" s="378"/>
      <c r="Q18" s="378"/>
      <c r="R18" s="378"/>
      <c r="S18" s="378"/>
      <c r="T18" s="378"/>
      <c r="U18" s="378"/>
      <c r="V18" s="378"/>
      <c r="W18" s="378"/>
      <c r="X18" s="378"/>
      <c r="Y18" s="379"/>
      <c r="Z18" s="378"/>
      <c r="AA18" s="379"/>
      <c r="AB18" s="380"/>
      <c r="AC18" s="378"/>
      <c r="AD18" s="378"/>
      <c r="AE18" s="378"/>
      <c r="AF18" s="378"/>
      <c r="AG18" s="378"/>
      <c r="AH18" s="378"/>
      <c r="AI18" s="378"/>
      <c r="AJ18" s="378"/>
      <c r="AK18" s="378"/>
      <c r="AL18" s="378"/>
      <c r="AM18" s="378"/>
      <c r="AN18" s="378"/>
      <c r="AO18" s="379"/>
    </row>
    <row r="19" spans="1:41" s="1929" customFormat="1" ht="14.1" customHeight="1">
      <c r="A19" s="366">
        <v>2020</v>
      </c>
      <c r="B19" s="367"/>
      <c r="C19" s="368">
        <f t="shared" si="2"/>
        <v>114739</v>
      </c>
      <c r="D19" s="369">
        <f t="shared" si="3"/>
        <v>115485</v>
      </c>
      <c r="E19" s="368">
        <f t="shared" si="4"/>
        <v>114123</v>
      </c>
      <c r="F19" s="370">
        <f t="shared" si="5"/>
        <v>115467</v>
      </c>
      <c r="G19" s="374">
        <f t="shared" si="0"/>
        <v>228862</v>
      </c>
      <c r="H19" s="373"/>
      <c r="I19" s="1925"/>
      <c r="J19" s="1925"/>
      <c r="K19" s="1926"/>
      <c r="L19" s="1925"/>
      <c r="M19" s="1925"/>
      <c r="N19" s="1925"/>
      <c r="O19" s="1925"/>
      <c r="P19" s="1925"/>
      <c r="Q19" s="1925"/>
      <c r="R19" s="1925"/>
      <c r="S19" s="1925"/>
      <c r="T19" s="1925"/>
      <c r="U19" s="1925"/>
      <c r="V19" s="1925"/>
      <c r="W19" s="1925"/>
      <c r="X19" s="1925"/>
      <c r="Y19" s="1927"/>
      <c r="Z19" s="1925"/>
      <c r="AA19" s="1927"/>
      <c r="AB19" s="1928"/>
      <c r="AC19" s="1925"/>
      <c r="AD19" s="1925"/>
      <c r="AE19" s="1925"/>
      <c r="AF19" s="1925"/>
      <c r="AG19" s="1925"/>
      <c r="AH19" s="1925"/>
      <c r="AI19" s="1925"/>
      <c r="AJ19" s="1925"/>
      <c r="AK19" s="1925"/>
      <c r="AL19" s="1925"/>
      <c r="AM19" s="1925"/>
      <c r="AN19" s="1925"/>
      <c r="AO19" s="1927"/>
    </row>
    <row r="20" spans="1:41" s="381" customFormat="1" ht="14.1" customHeight="1">
      <c r="A20" s="354">
        <v>2021</v>
      </c>
      <c r="B20" s="355"/>
      <c r="C20" s="356">
        <f t="shared" si="2"/>
        <v>116803</v>
      </c>
      <c r="D20" s="371">
        <f t="shared" si="3"/>
        <v>117840</v>
      </c>
      <c r="E20" s="356">
        <f t="shared" si="4"/>
        <v>116023</v>
      </c>
      <c r="F20" s="372">
        <f t="shared" si="5"/>
        <v>117815</v>
      </c>
      <c r="G20" s="376">
        <f t="shared" si="0"/>
        <v>232826</v>
      </c>
      <c r="H20" s="1913"/>
      <c r="I20" s="378"/>
      <c r="J20" s="378"/>
      <c r="K20" s="1912"/>
      <c r="L20" s="378"/>
      <c r="M20" s="378"/>
      <c r="N20" s="378"/>
      <c r="O20" s="378"/>
      <c r="P20" s="378"/>
      <c r="Q20" s="378"/>
      <c r="R20" s="378"/>
      <c r="S20" s="378"/>
      <c r="T20" s="378"/>
      <c r="U20" s="378"/>
      <c r="V20" s="378"/>
      <c r="W20" s="378"/>
      <c r="X20" s="378"/>
      <c r="Y20" s="379"/>
      <c r="Z20" s="378"/>
      <c r="AA20" s="379"/>
      <c r="AB20" s="380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9"/>
    </row>
    <row r="21" spans="1:41" s="381" customFormat="1" ht="14.1" customHeight="1">
      <c r="A21" s="354">
        <v>2022</v>
      </c>
      <c r="B21" s="355"/>
      <c r="C21" s="356">
        <f t="shared" si="2"/>
        <v>118868</v>
      </c>
      <c r="D21" s="371">
        <f t="shared" si="3"/>
        <v>120243</v>
      </c>
      <c r="E21" s="356">
        <f t="shared" si="4"/>
        <v>117911</v>
      </c>
      <c r="F21" s="372">
        <f t="shared" si="5"/>
        <v>120210</v>
      </c>
      <c r="G21" s="376">
        <f t="shared" si="0"/>
        <v>236779</v>
      </c>
      <c r="H21" s="377"/>
      <c r="I21" s="378"/>
      <c r="J21" s="378"/>
      <c r="K21" s="1912"/>
      <c r="L21" s="378"/>
      <c r="M21" s="378"/>
      <c r="N21" s="378"/>
      <c r="O21" s="378"/>
      <c r="P21" s="378"/>
      <c r="Q21" s="378"/>
      <c r="R21" s="378"/>
      <c r="S21" s="378"/>
      <c r="T21" s="378"/>
      <c r="U21" s="378"/>
      <c r="V21" s="378"/>
      <c r="W21" s="378"/>
      <c r="X21" s="378"/>
      <c r="Y21" s="379"/>
      <c r="Z21" s="378"/>
      <c r="AA21" s="379"/>
      <c r="AB21" s="380"/>
      <c r="AC21" s="378"/>
      <c r="AD21" s="378"/>
      <c r="AE21" s="378"/>
      <c r="AF21" s="378"/>
      <c r="AG21" s="378"/>
      <c r="AH21" s="378"/>
      <c r="AI21" s="378"/>
      <c r="AJ21" s="378"/>
      <c r="AK21" s="378"/>
      <c r="AL21" s="378"/>
      <c r="AM21" s="378"/>
      <c r="AN21" s="378"/>
      <c r="AO21" s="379"/>
    </row>
    <row r="22" spans="1:41" s="381" customFormat="1" ht="14.1" customHeight="1">
      <c r="A22" s="354">
        <v>2023</v>
      </c>
      <c r="B22" s="355"/>
      <c r="C22" s="356">
        <f t="shared" si="2"/>
        <v>120932</v>
      </c>
      <c r="D22" s="371">
        <f t="shared" si="3"/>
        <v>122695</v>
      </c>
      <c r="E22" s="356">
        <f t="shared" si="4"/>
        <v>119789</v>
      </c>
      <c r="F22" s="372">
        <f t="shared" si="5"/>
        <v>122651</v>
      </c>
      <c r="G22" s="376">
        <f t="shared" si="0"/>
        <v>240721</v>
      </c>
      <c r="H22" s="377"/>
      <c r="I22" s="378"/>
      <c r="J22" s="378"/>
      <c r="K22" s="1912"/>
      <c r="L22" s="378"/>
      <c r="M22" s="378"/>
      <c r="N22" s="378"/>
      <c r="O22" s="378"/>
      <c r="P22" s="378"/>
      <c r="Q22" s="378"/>
      <c r="R22" s="378"/>
      <c r="S22" s="378"/>
      <c r="T22" s="378"/>
      <c r="U22" s="378"/>
      <c r="V22" s="378"/>
      <c r="W22" s="378"/>
      <c r="X22" s="378"/>
      <c r="Y22" s="379"/>
      <c r="Z22" s="378"/>
      <c r="AA22" s="379"/>
      <c r="AB22" s="380"/>
      <c r="AC22" s="378"/>
      <c r="AD22" s="378"/>
      <c r="AE22" s="378"/>
      <c r="AF22" s="378"/>
      <c r="AG22" s="378"/>
      <c r="AH22" s="378"/>
      <c r="AI22" s="378"/>
      <c r="AJ22" s="378"/>
      <c r="AK22" s="378"/>
      <c r="AL22" s="378"/>
      <c r="AM22" s="378"/>
      <c r="AN22" s="378"/>
      <c r="AO22" s="379"/>
    </row>
    <row r="23" spans="1:41" s="381" customFormat="1" ht="14.1" customHeight="1">
      <c r="A23" s="354">
        <v>2024</v>
      </c>
      <c r="B23" s="355"/>
      <c r="C23" s="356">
        <f t="shared" si="2"/>
        <v>122996</v>
      </c>
      <c r="D23" s="371">
        <f t="shared" si="3"/>
        <v>125198</v>
      </c>
      <c r="E23" s="356">
        <f t="shared" si="4"/>
        <v>121658</v>
      </c>
      <c r="F23" s="372">
        <f t="shared" si="5"/>
        <v>125141</v>
      </c>
      <c r="G23" s="376">
        <f t="shared" si="0"/>
        <v>244654</v>
      </c>
      <c r="H23" s="377"/>
      <c r="I23" s="378"/>
      <c r="J23" s="378"/>
      <c r="K23" s="1912"/>
      <c r="L23" s="378"/>
      <c r="M23" s="378"/>
      <c r="N23" s="378"/>
      <c r="O23" s="378"/>
      <c r="P23" s="378"/>
      <c r="Q23" s="378"/>
      <c r="R23" s="378"/>
      <c r="S23" s="378"/>
      <c r="T23" s="378"/>
      <c r="U23" s="378"/>
      <c r="V23" s="378"/>
      <c r="W23" s="378"/>
      <c r="X23" s="378"/>
      <c r="Y23" s="379"/>
      <c r="Z23" s="378"/>
      <c r="AA23" s="379"/>
      <c r="AB23" s="380"/>
      <c r="AC23" s="378"/>
      <c r="AD23" s="378"/>
      <c r="AE23" s="378"/>
      <c r="AF23" s="378"/>
      <c r="AG23" s="378"/>
      <c r="AH23" s="378"/>
      <c r="AI23" s="378"/>
      <c r="AJ23" s="378"/>
      <c r="AK23" s="378"/>
      <c r="AL23" s="378"/>
      <c r="AM23" s="378"/>
      <c r="AN23" s="378"/>
      <c r="AO23" s="379"/>
    </row>
    <row r="24" spans="1:41" s="1929" customFormat="1" ht="14.1" customHeight="1">
      <c r="A24" s="366">
        <v>2025</v>
      </c>
      <c r="B24" s="367"/>
      <c r="C24" s="368">
        <f t="shared" si="2"/>
        <v>125061</v>
      </c>
      <c r="D24" s="369">
        <f t="shared" si="3"/>
        <v>127751</v>
      </c>
      <c r="E24" s="368">
        <f t="shared" si="4"/>
        <v>123519</v>
      </c>
      <c r="F24" s="370">
        <f t="shared" si="5"/>
        <v>127681</v>
      </c>
      <c r="G24" s="374">
        <f t="shared" si="0"/>
        <v>248580</v>
      </c>
      <c r="H24" s="373"/>
      <c r="I24" s="1925"/>
      <c r="J24" s="1925"/>
      <c r="K24" s="1926"/>
      <c r="L24" s="1925"/>
      <c r="M24" s="1925"/>
      <c r="N24" s="1925"/>
      <c r="O24" s="1925"/>
      <c r="P24" s="1925"/>
      <c r="Q24" s="1925"/>
      <c r="R24" s="1925"/>
      <c r="S24" s="1925"/>
      <c r="T24" s="1925"/>
      <c r="U24" s="1925"/>
      <c r="V24" s="1925"/>
      <c r="W24" s="1925"/>
      <c r="X24" s="1925"/>
      <c r="Y24" s="1927"/>
      <c r="Z24" s="1925"/>
      <c r="AA24" s="1927"/>
      <c r="AB24" s="1928"/>
      <c r="AC24" s="1925"/>
      <c r="AD24" s="1925"/>
      <c r="AE24" s="1925"/>
      <c r="AF24" s="1925"/>
      <c r="AG24" s="1925"/>
      <c r="AH24" s="1925"/>
      <c r="AI24" s="1925"/>
      <c r="AJ24" s="1925"/>
      <c r="AK24" s="1925"/>
      <c r="AL24" s="1925"/>
      <c r="AM24" s="1925"/>
      <c r="AN24" s="1925"/>
      <c r="AO24" s="1927"/>
    </row>
    <row r="25" spans="1:41" s="381" customFormat="1" ht="14.1" customHeight="1">
      <c r="A25" s="354">
        <v>2026</v>
      </c>
      <c r="B25" s="355"/>
      <c r="C25" s="356">
        <f t="shared" si="2"/>
        <v>127125</v>
      </c>
      <c r="D25" s="371">
        <f t="shared" si="3"/>
        <v>130356</v>
      </c>
      <c r="E25" s="356">
        <f t="shared" si="4"/>
        <v>125371</v>
      </c>
      <c r="F25" s="372">
        <f t="shared" si="5"/>
        <v>130270</v>
      </c>
      <c r="G25" s="376">
        <f t="shared" si="0"/>
        <v>252496</v>
      </c>
      <c r="H25" s="1913"/>
      <c r="I25" s="378"/>
      <c r="J25" s="378"/>
      <c r="K25" s="1912"/>
      <c r="L25" s="378"/>
      <c r="M25" s="378"/>
      <c r="N25" s="378"/>
      <c r="O25" s="378"/>
      <c r="P25" s="378"/>
      <c r="Q25" s="378"/>
      <c r="R25" s="378"/>
      <c r="S25" s="378"/>
      <c r="T25" s="378"/>
      <c r="U25" s="378"/>
      <c r="V25" s="378"/>
      <c r="W25" s="378"/>
      <c r="X25" s="378"/>
      <c r="Y25" s="379"/>
      <c r="Z25" s="378"/>
      <c r="AA25" s="379"/>
      <c r="AB25" s="380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9"/>
    </row>
    <row r="26" spans="1:41" s="381" customFormat="1" ht="14.1" customHeight="1">
      <c r="A26" s="354">
        <v>2027</v>
      </c>
      <c r="B26" s="355"/>
      <c r="C26" s="356">
        <f t="shared" si="2"/>
        <v>129190</v>
      </c>
      <c r="D26" s="371">
        <f t="shared" si="3"/>
        <v>133014</v>
      </c>
      <c r="E26" s="356">
        <f t="shared" si="4"/>
        <v>127217</v>
      </c>
      <c r="F26" s="372">
        <f t="shared" si="5"/>
        <v>132911</v>
      </c>
      <c r="G26" s="376">
        <f t="shared" si="0"/>
        <v>256407</v>
      </c>
      <c r="H26" s="375"/>
      <c r="I26" s="378"/>
      <c r="J26" s="378"/>
      <c r="K26" s="1914"/>
      <c r="L26" s="378"/>
      <c r="M26" s="378"/>
      <c r="N26" s="378"/>
      <c r="O26" s="378"/>
      <c r="P26" s="378"/>
      <c r="Q26" s="378"/>
      <c r="R26" s="378"/>
      <c r="S26" s="378"/>
      <c r="T26" s="378"/>
      <c r="U26" s="378"/>
      <c r="V26" s="378"/>
      <c r="W26" s="378"/>
      <c r="X26" s="378"/>
      <c r="Y26" s="379"/>
      <c r="Z26" s="378"/>
      <c r="AA26" s="379"/>
      <c r="AB26" s="380"/>
      <c r="AC26" s="378"/>
      <c r="AD26" s="378"/>
      <c r="AE26" s="378"/>
      <c r="AF26" s="378"/>
      <c r="AG26" s="378"/>
      <c r="AH26" s="378"/>
      <c r="AI26" s="378"/>
      <c r="AJ26" s="378"/>
      <c r="AK26" s="378"/>
      <c r="AL26" s="378"/>
      <c r="AM26" s="378"/>
      <c r="AN26" s="378"/>
      <c r="AO26" s="379"/>
    </row>
    <row r="27" spans="1:41" s="381" customFormat="1" ht="14.1" customHeight="1">
      <c r="A27" s="354">
        <v>2028</v>
      </c>
      <c r="B27" s="382"/>
      <c r="C27" s="356">
        <f t="shared" si="2"/>
        <v>131254</v>
      </c>
      <c r="D27" s="371">
        <f t="shared" si="3"/>
        <v>135727</v>
      </c>
      <c r="E27" s="356">
        <f t="shared" si="4"/>
        <v>129055</v>
      </c>
      <c r="F27" s="372">
        <f t="shared" si="5"/>
        <v>135603</v>
      </c>
      <c r="G27" s="376">
        <f t="shared" si="0"/>
        <v>260309</v>
      </c>
      <c r="H27" s="377"/>
      <c r="I27" s="378"/>
      <c r="J27" s="378"/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9"/>
      <c r="Z27" s="378"/>
      <c r="AA27" s="379"/>
      <c r="AB27" s="380"/>
      <c r="AC27" s="378"/>
      <c r="AD27" s="378"/>
      <c r="AE27" s="378"/>
      <c r="AF27" s="378"/>
      <c r="AG27" s="378"/>
      <c r="AH27" s="378"/>
      <c r="AI27" s="378"/>
      <c r="AJ27" s="378"/>
      <c r="AK27" s="378"/>
      <c r="AL27" s="378"/>
      <c r="AM27" s="378"/>
      <c r="AN27" s="378"/>
      <c r="AO27" s="379"/>
    </row>
    <row r="28" spans="1:41" s="381" customFormat="1" ht="14.1" customHeight="1">
      <c r="A28" s="386">
        <v>2029</v>
      </c>
      <c r="B28" s="387"/>
      <c r="C28" s="2072">
        <f t="shared" si="2"/>
        <v>133318</v>
      </c>
      <c r="D28" s="2175">
        <f t="shared" si="3"/>
        <v>138495</v>
      </c>
      <c r="E28" s="2072">
        <f t="shared" si="4"/>
        <v>130888</v>
      </c>
      <c r="F28" s="2176">
        <f t="shared" si="5"/>
        <v>138349</v>
      </c>
      <c r="G28" s="2177">
        <f t="shared" si="0"/>
        <v>264206</v>
      </c>
      <c r="H28" s="2178"/>
      <c r="I28" s="1916"/>
      <c r="J28" s="1916"/>
      <c r="K28" s="1916"/>
      <c r="L28" s="1916"/>
      <c r="M28" s="1916"/>
      <c r="N28" s="1916"/>
      <c r="O28" s="1916"/>
      <c r="P28" s="1916"/>
      <c r="Q28" s="1916"/>
      <c r="R28" s="1916"/>
      <c r="S28" s="1916"/>
      <c r="T28" s="1916"/>
      <c r="U28" s="1916"/>
      <c r="V28" s="1916"/>
      <c r="W28" s="1916"/>
      <c r="X28" s="1916"/>
      <c r="Y28" s="1917"/>
      <c r="Z28" s="378"/>
      <c r="AA28" s="379"/>
      <c r="AB28" s="1915"/>
      <c r="AC28" s="1916"/>
      <c r="AD28" s="1916"/>
      <c r="AE28" s="1916"/>
      <c r="AF28" s="1916"/>
      <c r="AG28" s="1916"/>
      <c r="AH28" s="1916"/>
      <c r="AI28" s="1916"/>
      <c r="AJ28" s="1916"/>
      <c r="AK28" s="1916"/>
      <c r="AL28" s="1916"/>
      <c r="AM28" s="1916"/>
      <c r="AN28" s="1916"/>
      <c r="AO28" s="1917"/>
    </row>
    <row r="29" spans="1:41" s="1929" customFormat="1" ht="14.1" customHeight="1">
      <c r="A29" s="2135">
        <v>2030</v>
      </c>
      <c r="B29" s="1911"/>
      <c r="C29" s="2136">
        <f t="shared" si="2"/>
        <v>135383</v>
      </c>
      <c r="D29" s="2137">
        <f t="shared" si="3"/>
        <v>141319</v>
      </c>
      <c r="E29" s="2136">
        <f t="shared" si="4"/>
        <v>132714</v>
      </c>
      <c r="F29" s="2138">
        <f t="shared" si="5"/>
        <v>141149</v>
      </c>
      <c r="G29" s="374">
        <f t="shared" si="0"/>
        <v>268097</v>
      </c>
      <c r="H29" s="373"/>
      <c r="I29" s="1925"/>
      <c r="J29" s="1925"/>
      <c r="K29" s="1925"/>
      <c r="L29" s="1925"/>
      <c r="M29" s="1925"/>
      <c r="N29" s="1925"/>
      <c r="O29" s="1925"/>
      <c r="P29" s="1925"/>
      <c r="Q29" s="1925"/>
      <c r="R29" s="1925"/>
      <c r="S29" s="1925"/>
      <c r="T29" s="1925"/>
      <c r="U29" s="1925"/>
      <c r="V29" s="1925"/>
      <c r="W29" s="1925"/>
      <c r="X29" s="1925"/>
      <c r="Y29" s="1925"/>
      <c r="Z29" s="1925"/>
      <c r="AA29" s="1927"/>
    </row>
    <row r="30" spans="1:41" s="381" customFormat="1" ht="14.1" customHeight="1">
      <c r="A30" s="354">
        <v>2031</v>
      </c>
      <c r="B30" s="355"/>
      <c r="C30" s="356">
        <f t="shared" si="2"/>
        <v>137447</v>
      </c>
      <c r="D30" s="371">
        <f t="shared" si="3"/>
        <v>144201</v>
      </c>
      <c r="E30" s="356">
        <f t="shared" si="4"/>
        <v>134534</v>
      </c>
      <c r="F30" s="372">
        <f t="shared" si="5"/>
        <v>144003</v>
      </c>
      <c r="G30" s="376">
        <f t="shared" si="0"/>
        <v>271981</v>
      </c>
      <c r="H30" s="1913"/>
      <c r="I30" s="378"/>
      <c r="J30" s="378"/>
      <c r="K30" s="378"/>
      <c r="L30" s="378"/>
      <c r="M30" s="378"/>
      <c r="N30" s="378"/>
      <c r="O30" s="378"/>
      <c r="P30" s="378"/>
      <c r="Q30" s="378"/>
      <c r="R30" s="378"/>
      <c r="S30" s="378"/>
      <c r="T30" s="378"/>
      <c r="U30" s="378"/>
      <c r="V30" s="378"/>
      <c r="W30" s="378"/>
      <c r="X30" s="378"/>
      <c r="Y30" s="378"/>
      <c r="Z30" s="378"/>
      <c r="AA30" s="379"/>
    </row>
    <row r="31" spans="1:41" s="381" customFormat="1" ht="14.1" customHeight="1">
      <c r="A31" s="354">
        <v>2032</v>
      </c>
      <c r="B31" s="382"/>
      <c r="C31" s="356">
        <f t="shared" si="2"/>
        <v>139512</v>
      </c>
      <c r="D31" s="371">
        <f t="shared" si="3"/>
        <v>147142</v>
      </c>
      <c r="E31" s="356">
        <f t="shared" si="4"/>
        <v>136350</v>
      </c>
      <c r="F31" s="372">
        <f t="shared" si="5"/>
        <v>146914</v>
      </c>
      <c r="G31" s="376">
        <f t="shared" si="0"/>
        <v>275862</v>
      </c>
      <c r="H31" s="377"/>
      <c r="I31" s="378"/>
      <c r="J31" s="378"/>
      <c r="K31" s="378"/>
      <c r="L31" s="378"/>
      <c r="M31" s="378"/>
      <c r="N31" s="378"/>
      <c r="O31" s="378"/>
      <c r="P31" s="378"/>
      <c r="Q31" s="378"/>
      <c r="R31" s="378"/>
      <c r="S31" s="378"/>
      <c r="T31" s="378"/>
      <c r="U31" s="378"/>
      <c r="V31" s="378"/>
      <c r="W31" s="378"/>
      <c r="X31" s="378"/>
      <c r="Y31" s="378"/>
      <c r="Z31" s="378"/>
      <c r="AA31" s="379"/>
    </row>
    <row r="32" spans="1:41" s="381" customFormat="1" ht="14.1" customHeight="1">
      <c r="A32" s="354">
        <v>2033</v>
      </c>
      <c r="B32" s="382"/>
      <c r="C32" s="356">
        <f t="shared" si="2"/>
        <v>141576</v>
      </c>
      <c r="D32" s="371">
        <f t="shared" si="3"/>
        <v>150143</v>
      </c>
      <c r="E32" s="356">
        <f t="shared" si="4"/>
        <v>138160</v>
      </c>
      <c r="F32" s="372">
        <f t="shared" si="5"/>
        <v>149881</v>
      </c>
      <c r="G32" s="376">
        <f t="shared" si="0"/>
        <v>279736</v>
      </c>
      <c r="H32" s="377"/>
      <c r="I32" s="378"/>
      <c r="J32" s="378"/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  <c r="Y32" s="378"/>
      <c r="Z32" s="378"/>
      <c r="AA32" s="379"/>
    </row>
    <row r="33" spans="1:40" s="381" customFormat="1" ht="14.1" customHeight="1">
      <c r="A33" s="354">
        <v>2034</v>
      </c>
      <c r="B33" s="382"/>
      <c r="C33" s="356">
        <f t="shared" si="2"/>
        <v>143640</v>
      </c>
      <c r="D33" s="371">
        <f t="shared" si="3"/>
        <v>153205</v>
      </c>
      <c r="E33" s="356">
        <f t="shared" si="4"/>
        <v>139965</v>
      </c>
      <c r="F33" s="372">
        <f t="shared" si="5"/>
        <v>152907</v>
      </c>
      <c r="G33" s="376">
        <f t="shared" si="0"/>
        <v>283605</v>
      </c>
      <c r="H33" s="377"/>
      <c r="I33" s="378"/>
      <c r="J33" s="378"/>
      <c r="K33" s="378"/>
      <c r="L33" s="378"/>
      <c r="M33" s="378"/>
      <c r="N33" s="378"/>
      <c r="O33" s="378"/>
      <c r="P33" s="378"/>
      <c r="Q33" s="378"/>
      <c r="R33" s="378"/>
      <c r="S33" s="378"/>
      <c r="T33" s="378"/>
      <c r="U33" s="378"/>
      <c r="V33" s="378"/>
      <c r="W33" s="378"/>
      <c r="X33" s="378"/>
      <c r="Y33" s="378"/>
      <c r="Z33" s="378"/>
      <c r="AA33" s="379"/>
    </row>
    <row r="34" spans="1:40" s="1929" customFormat="1" ht="14.1" customHeight="1">
      <c r="A34" s="366">
        <v>2035</v>
      </c>
      <c r="B34" s="367"/>
      <c r="C34" s="368">
        <f t="shared" si="2"/>
        <v>145705</v>
      </c>
      <c r="D34" s="369">
        <f t="shared" si="3"/>
        <v>156329</v>
      </c>
      <c r="E34" s="368">
        <f t="shared" si="4"/>
        <v>141766</v>
      </c>
      <c r="F34" s="370">
        <f t="shared" si="5"/>
        <v>155992</v>
      </c>
      <c r="G34" s="374">
        <f t="shared" si="0"/>
        <v>287471</v>
      </c>
      <c r="H34" s="384"/>
      <c r="I34" s="1925"/>
      <c r="J34" s="1925"/>
      <c r="K34" s="1925"/>
      <c r="L34" s="1930"/>
      <c r="M34" s="1925"/>
      <c r="N34" s="1925"/>
      <c r="O34" s="1925"/>
      <c r="P34" s="1925"/>
      <c r="Q34" s="1925"/>
      <c r="R34" s="1925"/>
      <c r="S34" s="1925"/>
      <c r="T34" s="1925"/>
      <c r="U34" s="1925"/>
      <c r="V34" s="1925"/>
      <c r="W34" s="1925"/>
      <c r="X34" s="1925"/>
      <c r="Y34" s="1925"/>
      <c r="Z34" s="1925"/>
      <c r="AA34" s="1927"/>
    </row>
    <row r="35" spans="1:40" s="381" customFormat="1" ht="14.1" customHeight="1">
      <c r="A35" s="354">
        <v>2036</v>
      </c>
      <c r="B35" s="385"/>
      <c r="C35" s="356">
        <f t="shared" si="2"/>
        <v>160156</v>
      </c>
      <c r="D35" s="371">
        <f t="shared" si="3"/>
        <v>159517</v>
      </c>
      <c r="E35" s="356">
        <f t="shared" si="4"/>
        <v>154256</v>
      </c>
      <c r="F35" s="372">
        <f t="shared" si="5"/>
        <v>159137</v>
      </c>
      <c r="G35" s="376"/>
      <c r="H35" s="377"/>
      <c r="I35" s="378"/>
      <c r="J35" s="378"/>
      <c r="K35" s="378"/>
      <c r="L35" s="410"/>
      <c r="M35" s="378"/>
      <c r="N35" s="378"/>
      <c r="O35" s="378"/>
      <c r="P35" s="378"/>
      <c r="Q35" s="378"/>
      <c r="R35" s="378"/>
      <c r="S35" s="378"/>
      <c r="T35" s="378"/>
      <c r="U35" s="378"/>
      <c r="V35" s="378"/>
      <c r="W35" s="378"/>
      <c r="X35" s="378"/>
      <c r="Y35" s="378"/>
      <c r="Z35" s="378"/>
      <c r="AA35" s="379"/>
    </row>
    <row r="36" spans="1:40" s="381" customFormat="1" ht="14.1" customHeight="1">
      <c r="A36" s="354">
        <v>2037</v>
      </c>
      <c r="B36" s="385"/>
      <c r="C36" s="356">
        <f t="shared" si="2"/>
        <v>162220</v>
      </c>
      <c r="D36" s="371">
        <f t="shared" si="3"/>
        <v>162770</v>
      </c>
      <c r="E36" s="356">
        <f t="shared" si="4"/>
        <v>156026</v>
      </c>
      <c r="F36" s="372">
        <f t="shared" si="5"/>
        <v>162343</v>
      </c>
      <c r="G36" s="376"/>
      <c r="H36" s="377"/>
      <c r="I36" s="378"/>
      <c r="J36" s="378"/>
      <c r="K36" s="378"/>
      <c r="L36" s="410"/>
      <c r="M36" s="378"/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9"/>
    </row>
    <row r="37" spans="1:40" s="381" customFormat="1" ht="14.1" customHeight="1">
      <c r="A37" s="354">
        <f t="shared" ref="A37" si="6">A36+1</f>
        <v>2038</v>
      </c>
      <c r="B37" s="385"/>
      <c r="C37" s="356">
        <f t="shared" si="2"/>
        <v>164284</v>
      </c>
      <c r="D37" s="371">
        <f t="shared" si="3"/>
        <v>166090</v>
      </c>
      <c r="E37" s="356">
        <f t="shared" si="4"/>
        <v>157793</v>
      </c>
      <c r="F37" s="372">
        <f t="shared" si="5"/>
        <v>165611</v>
      </c>
      <c r="G37" s="376"/>
      <c r="H37" s="377"/>
      <c r="I37" s="378"/>
      <c r="J37" s="378"/>
      <c r="K37" s="378"/>
      <c r="L37" s="410"/>
      <c r="M37" s="378"/>
      <c r="N37" s="378"/>
      <c r="O37" s="378"/>
      <c r="P37" s="378"/>
      <c r="Q37" s="378"/>
      <c r="R37" s="378"/>
      <c r="S37" s="378"/>
      <c r="T37" s="378"/>
      <c r="U37" s="378"/>
      <c r="V37" s="378"/>
      <c r="W37" s="378"/>
      <c r="X37" s="378"/>
      <c r="Y37" s="378"/>
      <c r="Z37" s="378"/>
      <c r="AA37" s="379"/>
    </row>
    <row r="38" spans="1:40" s="381" customFormat="1" ht="14.1" customHeight="1">
      <c r="A38" s="386" t="s">
        <v>275</v>
      </c>
      <c r="B38" s="387"/>
      <c r="C38" s="387" t="str">
        <f>IF(OR(C42=1,C42=2),"○","")</f>
        <v>○</v>
      </c>
      <c r="D38" s="387" t="str">
        <f>IF(OR(D42=1,D42=2),"○","")</f>
        <v/>
      </c>
      <c r="E38" s="387" t="str">
        <f>IF(OR(E42=1,E42=2),"○","")</f>
        <v>○</v>
      </c>
      <c r="F38" s="1918" t="str">
        <f>IF(OR(F42=1,F42=2),"○","")</f>
        <v/>
      </c>
      <c r="G38" s="1919"/>
      <c r="H38" s="1920"/>
      <c r="I38" s="378"/>
      <c r="J38" s="378"/>
      <c r="K38" s="1921"/>
      <c r="L38" s="1921"/>
      <c r="M38" s="1921"/>
      <c r="N38" s="1921"/>
      <c r="O38" s="1921"/>
      <c r="P38" s="1921"/>
      <c r="Q38" s="1921"/>
      <c r="R38" s="1921"/>
      <c r="S38" s="1921"/>
      <c r="T38" s="1922"/>
      <c r="U38" s="1922"/>
      <c r="V38" s="410"/>
      <c r="W38" s="410"/>
      <c r="X38" s="410"/>
      <c r="Y38" s="410"/>
      <c r="Z38" s="410"/>
      <c r="AA38" s="1923"/>
      <c r="AB38" s="1924"/>
      <c r="AC38" s="1924"/>
      <c r="AD38" s="1924"/>
      <c r="AE38" s="1924"/>
      <c r="AF38" s="1924"/>
      <c r="AG38" s="1924"/>
      <c r="AH38" s="1924"/>
      <c r="AI38" s="1924"/>
      <c r="AJ38" s="1924"/>
      <c r="AK38" s="1924"/>
      <c r="AL38" s="1924"/>
      <c r="AM38" s="1924"/>
      <c r="AN38" s="1924"/>
    </row>
    <row r="39" spans="1:40" s="344" customFormat="1" ht="14.1" customHeight="1">
      <c r="A39" s="2318" t="s">
        <v>276</v>
      </c>
      <c r="B39" s="2319"/>
      <c r="C39" s="392">
        <f>F70</f>
        <v>0.99238310317937617</v>
      </c>
      <c r="D39" s="393">
        <f>G115</f>
        <v>0.99177914128119526</v>
      </c>
      <c r="E39" s="393">
        <f>H153</f>
        <v>0.99257912032818463</v>
      </c>
      <c r="F39" s="394">
        <f>G190</f>
        <v>0.99180587513811858</v>
      </c>
      <c r="G39" s="395"/>
      <c r="H39" s="396"/>
      <c r="I39" s="341"/>
      <c r="J39" s="341"/>
      <c r="K39" s="362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90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</row>
    <row r="40" spans="1:40" s="344" customFormat="1" ht="14.1" customHeight="1">
      <c r="A40" s="2318" t="s">
        <v>277</v>
      </c>
      <c r="B40" s="2319"/>
      <c r="C40" s="397">
        <f>F71</f>
        <v>327.10200000000003</v>
      </c>
      <c r="D40" s="398">
        <f>G116</f>
        <v>353.09100000000001</v>
      </c>
      <c r="E40" s="398">
        <f>H154</f>
        <v>324.67399999999998</v>
      </c>
      <c r="F40" s="399">
        <f>G191</f>
        <v>351.94199999999995</v>
      </c>
      <c r="G40" s="400"/>
      <c r="H40" s="401"/>
      <c r="I40" s="341"/>
      <c r="J40" s="341"/>
      <c r="K40" s="388"/>
      <c r="L40" s="388"/>
      <c r="M40" s="388"/>
      <c r="N40" s="388"/>
      <c r="O40" s="388"/>
      <c r="P40" s="388"/>
      <c r="Q40" s="388"/>
      <c r="R40" s="388"/>
      <c r="S40" s="388"/>
      <c r="T40" s="389"/>
      <c r="U40" s="389"/>
      <c r="V40" s="362"/>
      <c r="W40" s="362"/>
      <c r="X40" s="362"/>
      <c r="Y40" s="362"/>
      <c r="Z40" s="362"/>
      <c r="AA40" s="390"/>
      <c r="AB40" s="391"/>
      <c r="AC40" s="391"/>
      <c r="AD40" s="391"/>
      <c r="AE40" s="391"/>
      <c r="AF40" s="391"/>
      <c r="AG40" s="391"/>
      <c r="AH40" s="391"/>
      <c r="AI40" s="391"/>
      <c r="AJ40" s="391"/>
      <c r="AK40" s="391"/>
      <c r="AL40" s="391"/>
      <c r="AM40" s="391"/>
      <c r="AN40" s="391"/>
    </row>
    <row r="41" spans="1:40" s="344" customFormat="1" ht="14.1" customHeight="1">
      <c r="A41" s="2318" t="s">
        <v>278</v>
      </c>
      <c r="B41" s="2319"/>
      <c r="C41" s="402">
        <f>F72</f>
        <v>0.19582587483752489</v>
      </c>
      <c r="D41" s="403">
        <f>G117</f>
        <v>0.19648483314676343</v>
      </c>
      <c r="E41" s="403">
        <f>H155</f>
        <v>0.1929170281096303</v>
      </c>
      <c r="F41" s="404">
        <f>G192</f>
        <v>6.134557467391865E-2</v>
      </c>
      <c r="G41" s="405"/>
      <c r="H41" s="401"/>
      <c r="I41" s="383"/>
      <c r="J41" s="383"/>
      <c r="K41" s="406"/>
      <c r="L41" s="406"/>
      <c r="M41" s="406"/>
      <c r="N41" s="406"/>
      <c r="O41" s="406"/>
      <c r="P41" s="406"/>
      <c r="Q41" s="406"/>
      <c r="R41" s="406"/>
      <c r="S41" s="406"/>
      <c r="T41" s="407"/>
      <c r="U41" s="407"/>
      <c r="V41" s="408"/>
      <c r="W41" s="408"/>
      <c r="X41" s="408"/>
      <c r="Y41" s="408"/>
      <c r="Z41" s="408"/>
      <c r="AA41" s="409"/>
      <c r="AB41" s="391"/>
      <c r="AC41" s="391"/>
      <c r="AD41" s="391"/>
      <c r="AE41" s="391"/>
      <c r="AF41" s="391"/>
      <c r="AG41" s="391"/>
      <c r="AH41" s="391"/>
      <c r="AI41" s="391"/>
      <c r="AJ41" s="391"/>
      <c r="AK41" s="391"/>
      <c r="AL41" s="391"/>
      <c r="AM41" s="391"/>
      <c r="AN41" s="391"/>
    </row>
    <row r="42" spans="1:40" s="344" customFormat="1" ht="20.100000000000001" customHeight="1">
      <c r="A42" s="410"/>
      <c r="B42" s="411"/>
      <c r="C42" s="1007">
        <f>RANK(C39,$C$39:$F$39)</f>
        <v>2</v>
      </c>
      <c r="D42" s="1007">
        <f>RANK(D39,$C$39:$F$39)</f>
        <v>4</v>
      </c>
      <c r="E42" s="1007">
        <f>RANK(E39,$C$39:$F$39)</f>
        <v>1</v>
      </c>
      <c r="F42" s="1007">
        <f>RANK(F39,$C$39:$F$39)</f>
        <v>3</v>
      </c>
      <c r="G42" s="341"/>
      <c r="H42" s="341"/>
      <c r="I42" s="341"/>
      <c r="J42" s="413"/>
      <c r="K42" s="391"/>
      <c r="L42" s="391"/>
      <c r="M42" s="391"/>
      <c r="N42" s="391"/>
      <c r="O42" s="391"/>
      <c r="P42" s="391"/>
      <c r="Q42" s="391"/>
      <c r="R42" s="391"/>
      <c r="S42" s="391"/>
      <c r="T42" s="391"/>
      <c r="U42" s="391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391"/>
      <c r="AG42" s="391"/>
      <c r="AH42" s="391"/>
      <c r="AI42" s="391"/>
      <c r="AJ42" s="391"/>
      <c r="AK42" s="391"/>
      <c r="AL42" s="391"/>
      <c r="AM42" s="391"/>
    </row>
    <row r="43" spans="1:40" s="344" customFormat="1" ht="18.95" customHeight="1">
      <c r="A43" s="414" t="s">
        <v>85</v>
      </c>
      <c r="B43" s="415" t="s">
        <v>279</v>
      </c>
      <c r="C43" s="415" t="s">
        <v>280</v>
      </c>
      <c r="D43" s="415" t="s">
        <v>281</v>
      </c>
      <c r="E43" s="415" t="s">
        <v>282</v>
      </c>
      <c r="F43" s="360" t="s">
        <v>5</v>
      </c>
      <c r="G43" s="341"/>
      <c r="H43" s="341"/>
      <c r="I43" s="341"/>
      <c r="J43" s="413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  <c r="AM43" s="391"/>
    </row>
    <row r="44" spans="1:40" s="344" customFormat="1" ht="18.95" customHeight="1">
      <c r="A44" s="416" t="s">
        <v>251</v>
      </c>
      <c r="B44" s="417">
        <f>+C19</f>
        <v>114739</v>
      </c>
      <c r="C44" s="417">
        <f>+C24</f>
        <v>125061</v>
      </c>
      <c r="D44" s="417">
        <f>+C29</f>
        <v>135383</v>
      </c>
      <c r="E44" s="418">
        <f>+C34</f>
        <v>145705</v>
      </c>
      <c r="F44" s="419" t="str">
        <f>IF(C38="","제외","")</f>
        <v/>
      </c>
      <c r="G44" s="341"/>
      <c r="H44" s="341"/>
      <c r="I44" s="341"/>
      <c r="J44" s="413"/>
      <c r="K44" s="391"/>
      <c r="L44" s="391"/>
      <c r="M44" s="391"/>
      <c r="N44" s="391"/>
      <c r="O44" s="391"/>
      <c r="P44" s="391"/>
      <c r="Q44" s="391"/>
      <c r="R44" s="391"/>
      <c r="S44" s="391"/>
      <c r="T44" s="391"/>
      <c r="U44" s="391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391"/>
      <c r="AG44" s="391"/>
      <c r="AH44" s="391"/>
      <c r="AI44" s="391"/>
      <c r="AJ44" s="391"/>
      <c r="AK44" s="391"/>
      <c r="AL44" s="391"/>
      <c r="AM44" s="391"/>
    </row>
    <row r="45" spans="1:40" s="344" customFormat="1" ht="18.95" customHeight="1">
      <c r="A45" s="416" t="s">
        <v>253</v>
      </c>
      <c r="B45" s="417">
        <f>+D19</f>
        <v>115485</v>
      </c>
      <c r="C45" s="417">
        <f>+D24</f>
        <v>127751</v>
      </c>
      <c r="D45" s="417">
        <f>+D29</f>
        <v>141319</v>
      </c>
      <c r="E45" s="418">
        <f>+D34</f>
        <v>156329</v>
      </c>
      <c r="F45" s="419" t="str">
        <f>IF(D38="","제외","")</f>
        <v>제외</v>
      </c>
      <c r="G45" s="341"/>
      <c r="H45" s="341"/>
      <c r="I45" s="341"/>
      <c r="J45" s="413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1"/>
    </row>
    <row r="46" spans="1:40" s="344" customFormat="1" ht="18.95" customHeight="1">
      <c r="A46" s="416" t="s">
        <v>254</v>
      </c>
      <c r="B46" s="417">
        <f>+E19</f>
        <v>114123</v>
      </c>
      <c r="C46" s="417">
        <f>+E24</f>
        <v>123519</v>
      </c>
      <c r="D46" s="417">
        <f>+E29</f>
        <v>132714</v>
      </c>
      <c r="E46" s="418">
        <f>+E34</f>
        <v>141766</v>
      </c>
      <c r="F46" s="419" t="str">
        <f>IF(E38="","제외","")</f>
        <v/>
      </c>
      <c r="G46" s="341"/>
      <c r="H46" s="341"/>
      <c r="I46" s="341"/>
      <c r="J46" s="413"/>
      <c r="K46" s="391"/>
      <c r="L46" s="391"/>
      <c r="M46" s="391"/>
      <c r="N46" s="391"/>
      <c r="O46" s="391"/>
      <c r="P46" s="391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  <c r="AM46" s="391"/>
    </row>
    <row r="47" spans="1:40" s="344" customFormat="1" ht="18.95" customHeight="1">
      <c r="A47" s="416" t="s">
        <v>256</v>
      </c>
      <c r="B47" s="417">
        <f>+F19</f>
        <v>115467</v>
      </c>
      <c r="C47" s="417">
        <f>+F24</f>
        <v>127681</v>
      </c>
      <c r="D47" s="417">
        <f>+F29</f>
        <v>141149</v>
      </c>
      <c r="E47" s="418">
        <f>+F34</f>
        <v>155992</v>
      </c>
      <c r="F47" s="419" t="str">
        <f>IF(F38="","제외","")</f>
        <v>제외</v>
      </c>
      <c r="G47" s="341"/>
      <c r="H47" s="341"/>
      <c r="I47" s="341"/>
      <c r="J47" s="413"/>
      <c r="K47" s="391"/>
      <c r="L47" s="391"/>
      <c r="M47" s="391"/>
      <c r="N47" s="391"/>
      <c r="O47" s="391"/>
      <c r="P47" s="391"/>
      <c r="Q47" s="391"/>
      <c r="R47" s="391"/>
      <c r="S47" s="391"/>
      <c r="T47" s="391"/>
      <c r="U47" s="391"/>
      <c r="V47" s="391"/>
      <c r="W47" s="391"/>
      <c r="X47" s="391"/>
      <c r="Y47" s="391"/>
      <c r="Z47" s="391"/>
      <c r="AA47" s="391"/>
      <c r="AB47" s="391"/>
      <c r="AC47" s="391"/>
      <c r="AD47" s="391"/>
      <c r="AE47" s="391"/>
      <c r="AF47" s="391"/>
      <c r="AG47" s="391"/>
      <c r="AH47" s="391"/>
      <c r="AI47" s="391"/>
      <c r="AJ47" s="391"/>
      <c r="AK47" s="391"/>
      <c r="AL47" s="391"/>
      <c r="AM47" s="391"/>
    </row>
    <row r="48" spans="1:40" s="344" customFormat="1" ht="18.95" customHeight="1">
      <c r="A48" s="416" t="s">
        <v>283</v>
      </c>
      <c r="B48" s="420">
        <f>ROUND(AVERAGE(B46,B47),0)</f>
        <v>114795</v>
      </c>
      <c r="C48" s="420">
        <f t="shared" ref="C48:E48" si="7">ROUND(AVERAGE(C46,C47),0)</f>
        <v>125600</v>
      </c>
      <c r="D48" s="420">
        <f t="shared" si="7"/>
        <v>136932</v>
      </c>
      <c r="E48" s="420">
        <f t="shared" si="7"/>
        <v>148879</v>
      </c>
      <c r="F48" s="419"/>
      <c r="G48" s="341"/>
      <c r="H48" s="341"/>
      <c r="I48" s="341"/>
      <c r="J48" s="413"/>
      <c r="K48" s="391"/>
      <c r="L48" s="391"/>
      <c r="M48" s="391"/>
      <c r="N48" s="391"/>
      <c r="O48" s="391"/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  <c r="AM48" s="391"/>
    </row>
    <row r="49" spans="1:40" s="344" customFormat="1" ht="18.95" customHeight="1">
      <c r="A49" s="416" t="s">
        <v>284</v>
      </c>
      <c r="B49" s="420">
        <f>B48</f>
        <v>114795</v>
      </c>
      <c r="C49" s="420">
        <f>C48</f>
        <v>125600</v>
      </c>
      <c r="D49" s="420">
        <f>D48</f>
        <v>136932</v>
      </c>
      <c r="E49" s="420">
        <f>E48</f>
        <v>148879</v>
      </c>
      <c r="F49" s="419"/>
      <c r="G49" s="341"/>
      <c r="H49" s="341"/>
      <c r="I49" s="341"/>
      <c r="J49" s="413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391"/>
      <c r="AG49" s="391"/>
      <c r="AH49" s="391"/>
      <c r="AI49" s="391"/>
      <c r="AJ49" s="391"/>
      <c r="AK49" s="391"/>
      <c r="AL49" s="391"/>
      <c r="AM49" s="391"/>
    </row>
    <row r="50" spans="1:40" s="344" customFormat="1" ht="20.100000000000001" customHeight="1">
      <c r="A50" s="410"/>
      <c r="B50" s="411"/>
      <c r="C50" s="421">
        <f>C48-B48</f>
        <v>10805</v>
      </c>
      <c r="D50" s="421">
        <f>D48-C48</f>
        <v>11332</v>
      </c>
      <c r="E50" s="421">
        <f>E48-D48</f>
        <v>11947</v>
      </c>
      <c r="F50" s="341"/>
      <c r="G50" s="341"/>
      <c r="H50" s="341"/>
      <c r="I50" s="341"/>
      <c r="J50" s="413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391"/>
      <c r="AG50" s="391"/>
      <c r="AH50" s="391"/>
      <c r="AI50" s="391"/>
      <c r="AJ50" s="391"/>
      <c r="AK50" s="391"/>
      <c r="AL50" s="391"/>
      <c r="AM50" s="391"/>
    </row>
    <row r="51" spans="1:40" s="344" customFormat="1" ht="20.100000000000001" customHeight="1">
      <c r="A51" s="410"/>
      <c r="B51" s="422"/>
      <c r="C51" s="423">
        <f>ROUND((C48/B48)^(1/5)-1,4)</f>
        <v>1.8200000000000001E-2</v>
      </c>
      <c r="D51" s="423">
        <f>ROUND((D48/C48)^(1/5)-1,4)</f>
        <v>1.7399999999999999E-2</v>
      </c>
      <c r="E51" s="423">
        <f>ROUND((E48/D48)^(1/5)-1,4)</f>
        <v>1.6899999999999998E-2</v>
      </c>
      <c r="F51" s="341"/>
      <c r="G51" s="341"/>
      <c r="H51" s="341"/>
      <c r="I51" s="341"/>
      <c r="J51" s="413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391"/>
      <c r="AG51" s="391"/>
      <c r="AH51" s="391"/>
      <c r="AI51" s="391"/>
      <c r="AJ51" s="391"/>
      <c r="AK51" s="391"/>
      <c r="AL51" s="391"/>
      <c r="AM51" s="391"/>
    </row>
    <row r="52" spans="1:40" s="344" customFormat="1" ht="20.100000000000001" customHeight="1">
      <c r="A52" s="410"/>
      <c r="B52" s="411"/>
      <c r="C52" s="423"/>
      <c r="D52" s="423"/>
      <c r="E52" s="423"/>
      <c r="F52" s="341"/>
      <c r="G52" s="341"/>
      <c r="H52" s="341"/>
      <c r="I52" s="341"/>
      <c r="J52" s="413"/>
      <c r="K52" s="391"/>
      <c r="L52" s="391"/>
      <c r="M52" s="391"/>
      <c r="N52" s="391"/>
      <c r="O52" s="391"/>
      <c r="P52" s="391"/>
      <c r="Q52" s="391"/>
      <c r="R52" s="391"/>
      <c r="S52" s="391"/>
      <c r="T52" s="391"/>
      <c r="U52" s="391"/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391"/>
      <c r="AG52" s="391"/>
      <c r="AH52" s="391"/>
      <c r="AI52" s="391"/>
      <c r="AJ52" s="391"/>
      <c r="AK52" s="391"/>
      <c r="AL52" s="391"/>
      <c r="AM52" s="391"/>
    </row>
    <row r="53" spans="1:40" s="344" customFormat="1" ht="20.100000000000001" customHeight="1">
      <c r="A53" s="410"/>
      <c r="B53" s="411"/>
      <c r="C53" s="412"/>
      <c r="D53" s="412"/>
      <c r="E53" s="412"/>
      <c r="G53" s="341"/>
      <c r="H53" s="341"/>
      <c r="I53" s="341"/>
      <c r="J53" s="413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  <c r="AF53" s="391"/>
      <c r="AG53" s="391"/>
      <c r="AH53" s="391"/>
      <c r="AI53" s="391"/>
      <c r="AJ53" s="391"/>
      <c r="AK53" s="391"/>
      <c r="AL53" s="391"/>
      <c r="AM53" s="391"/>
    </row>
    <row r="54" spans="1:40" s="344" customFormat="1" ht="20.100000000000001" customHeight="1">
      <c r="A54" s="410"/>
      <c r="B54" s="411"/>
      <c r="C54" s="412"/>
      <c r="D54" s="412"/>
      <c r="E54" s="412"/>
      <c r="F54" s="341"/>
      <c r="G54" s="341"/>
      <c r="H54" s="341"/>
      <c r="I54" s="341"/>
      <c r="J54" s="413"/>
      <c r="K54" s="391"/>
      <c r="L54" s="391"/>
      <c r="M54" s="391"/>
      <c r="N54" s="391"/>
      <c r="O54" s="391"/>
      <c r="P54" s="391"/>
      <c r="Q54" s="391"/>
      <c r="R54" s="391"/>
      <c r="S54" s="391"/>
      <c r="T54" s="391"/>
      <c r="U54" s="391"/>
      <c r="V54" s="391"/>
      <c r="W54" s="391"/>
      <c r="X54" s="391"/>
      <c r="Y54" s="391"/>
      <c r="Z54" s="391"/>
      <c r="AA54" s="391"/>
      <c r="AB54" s="391"/>
      <c r="AC54" s="391"/>
      <c r="AD54" s="391"/>
      <c r="AE54" s="391"/>
      <c r="AF54" s="391"/>
      <c r="AG54" s="391"/>
      <c r="AH54" s="391"/>
      <c r="AI54" s="391"/>
      <c r="AJ54" s="391"/>
      <c r="AK54" s="391"/>
      <c r="AL54" s="391"/>
      <c r="AM54" s="391"/>
    </row>
    <row r="55" spans="1:40" s="344" customFormat="1" ht="20.100000000000001" customHeight="1">
      <c r="A55" s="410"/>
      <c r="B55" s="411"/>
      <c r="C55" s="412"/>
      <c r="D55" s="412"/>
      <c r="E55" s="412"/>
      <c r="F55" s="341"/>
      <c r="G55" s="341"/>
      <c r="H55" s="341"/>
      <c r="I55" s="341"/>
      <c r="J55" s="413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1"/>
    </row>
    <row r="56" spans="1:40" s="344" customFormat="1" ht="20.100000000000001" customHeight="1">
      <c r="A56" s="410"/>
      <c r="B56" s="411"/>
      <c r="C56" s="412"/>
      <c r="D56" s="412"/>
      <c r="E56" s="412"/>
      <c r="F56" s="341"/>
      <c r="G56" s="341"/>
      <c r="H56" s="341"/>
      <c r="I56" s="341"/>
      <c r="J56" s="413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  <c r="AF56" s="391"/>
      <c r="AG56" s="391"/>
      <c r="AH56" s="391"/>
      <c r="AI56" s="391"/>
      <c r="AJ56" s="391"/>
      <c r="AK56" s="391"/>
      <c r="AL56" s="391"/>
      <c r="AM56" s="391"/>
    </row>
    <row r="57" spans="1:40" s="344" customFormat="1" ht="20.100000000000001" customHeight="1">
      <c r="A57" s="410"/>
      <c r="B57" s="411"/>
      <c r="C57" s="412"/>
      <c r="D57" s="412"/>
      <c r="E57" s="412"/>
      <c r="F57" s="341"/>
      <c r="G57" s="341"/>
      <c r="H57" s="341"/>
      <c r="I57" s="341"/>
      <c r="J57" s="413"/>
      <c r="K57" s="391"/>
      <c r="L57" s="391"/>
      <c r="M57" s="391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91"/>
      <c r="Y57" s="391"/>
      <c r="Z57" s="391"/>
      <c r="AA57" s="391"/>
      <c r="AB57" s="391"/>
      <c r="AC57" s="391"/>
      <c r="AD57" s="391"/>
      <c r="AE57" s="391"/>
      <c r="AF57" s="391"/>
      <c r="AG57" s="391"/>
      <c r="AH57" s="391"/>
      <c r="AI57" s="391"/>
      <c r="AJ57" s="391"/>
      <c r="AK57" s="391"/>
      <c r="AL57" s="391"/>
      <c r="AM57" s="391"/>
    </row>
    <row r="58" spans="1:40" s="344" customFormat="1" ht="20.100000000000001" customHeight="1">
      <c r="A58" s="410"/>
      <c r="B58" s="411"/>
      <c r="C58" s="412"/>
      <c r="D58" s="412"/>
      <c r="E58" s="412"/>
      <c r="F58" s="341"/>
      <c r="G58" s="341"/>
      <c r="H58" s="341"/>
      <c r="I58" s="341"/>
      <c r="J58" s="413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1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  <c r="AF58" s="391"/>
      <c r="AG58" s="391"/>
      <c r="AH58" s="391"/>
      <c r="AI58" s="391"/>
      <c r="AJ58" s="391"/>
      <c r="AK58" s="391"/>
      <c r="AL58" s="391"/>
      <c r="AM58" s="391"/>
    </row>
    <row r="59" spans="1:40" s="344" customFormat="1" ht="20.100000000000001" customHeight="1">
      <c r="A59" s="410"/>
      <c r="B59" s="411"/>
      <c r="C59" s="412"/>
      <c r="D59" s="412"/>
      <c r="E59" s="412"/>
      <c r="F59" s="341"/>
      <c r="G59" s="341"/>
      <c r="H59" s="341"/>
      <c r="I59" s="341"/>
      <c r="J59" s="413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  <c r="AF59" s="391"/>
      <c r="AG59" s="391"/>
      <c r="AH59" s="391"/>
      <c r="AI59" s="391"/>
      <c r="AJ59" s="391"/>
      <c r="AK59" s="391"/>
      <c r="AL59" s="391"/>
      <c r="AM59" s="391"/>
    </row>
    <row r="60" spans="1:40" s="344" customFormat="1" ht="20.100000000000001" customHeight="1">
      <c r="A60" s="410"/>
      <c r="B60" s="411"/>
      <c r="C60" s="412"/>
      <c r="D60" s="412"/>
      <c r="E60" s="412"/>
      <c r="F60" s="341"/>
      <c r="G60" s="341"/>
      <c r="H60" s="341"/>
      <c r="I60" s="341"/>
      <c r="J60" s="413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  <c r="Z60" s="391"/>
      <c r="AA60" s="391"/>
      <c r="AB60" s="391"/>
      <c r="AC60" s="391"/>
      <c r="AD60" s="391"/>
      <c r="AE60" s="391"/>
      <c r="AF60" s="391"/>
      <c r="AG60" s="391"/>
      <c r="AH60" s="391"/>
      <c r="AI60" s="391"/>
      <c r="AJ60" s="391"/>
      <c r="AK60" s="391"/>
      <c r="AL60" s="391"/>
      <c r="AM60" s="391"/>
    </row>
    <row r="61" spans="1:40" s="344" customFormat="1" ht="20.100000000000001" customHeight="1">
      <c r="A61" s="410"/>
      <c r="B61" s="411"/>
      <c r="C61" s="412"/>
      <c r="D61" s="412"/>
      <c r="E61" s="412"/>
      <c r="F61" s="341"/>
      <c r="G61" s="341"/>
      <c r="H61" s="341"/>
      <c r="I61" s="341"/>
      <c r="J61" s="413"/>
      <c r="K61" s="391"/>
      <c r="L61" s="391"/>
      <c r="M61" s="391"/>
      <c r="N61" s="391"/>
      <c r="O61" s="391"/>
      <c r="P61" s="391"/>
      <c r="Q61" s="391"/>
      <c r="R61" s="391"/>
      <c r="S61" s="391"/>
      <c r="T61" s="391"/>
      <c r="U61" s="391"/>
      <c r="V61" s="391"/>
      <c r="W61" s="391"/>
      <c r="X61" s="391"/>
      <c r="Y61" s="391"/>
      <c r="Z61" s="391"/>
      <c r="AA61" s="391"/>
      <c r="AB61" s="391"/>
      <c r="AC61" s="391"/>
      <c r="AD61" s="391"/>
      <c r="AE61" s="391"/>
      <c r="AF61" s="391"/>
      <c r="AG61" s="391"/>
      <c r="AH61" s="391"/>
      <c r="AI61" s="391"/>
      <c r="AJ61" s="391"/>
      <c r="AK61" s="391"/>
      <c r="AL61" s="391"/>
      <c r="AM61" s="391"/>
    </row>
    <row r="62" spans="1:40" s="344" customFormat="1" ht="20.100000000000001" customHeight="1">
      <c r="A62" s="410"/>
      <c r="B62" s="411"/>
      <c r="C62" s="412"/>
      <c r="D62" s="412"/>
      <c r="E62" s="412"/>
      <c r="F62" s="341"/>
      <c r="G62" s="341"/>
      <c r="H62" s="341"/>
      <c r="I62" s="341"/>
      <c r="J62" s="413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  <c r="Z62" s="391"/>
      <c r="AA62" s="391"/>
      <c r="AB62" s="391"/>
      <c r="AC62" s="391"/>
      <c r="AD62" s="391"/>
      <c r="AE62" s="391"/>
      <c r="AF62" s="391"/>
      <c r="AG62" s="391"/>
      <c r="AH62" s="391"/>
      <c r="AI62" s="391"/>
      <c r="AJ62" s="391"/>
      <c r="AK62" s="391"/>
      <c r="AL62" s="391"/>
      <c r="AM62" s="391"/>
      <c r="AN62" s="391"/>
    </row>
    <row r="63" spans="1:40" ht="15" customHeight="1">
      <c r="A63" s="424" t="s">
        <v>285</v>
      </c>
      <c r="B63" s="425"/>
      <c r="I63" s="426"/>
    </row>
    <row r="64" spans="1:40" ht="15" customHeight="1">
      <c r="A64" s="427" t="s">
        <v>264</v>
      </c>
      <c r="B64" s="428" t="s">
        <v>286</v>
      </c>
      <c r="C64" s="429" t="s">
        <v>287</v>
      </c>
      <c r="D64" s="430"/>
      <c r="E64" s="430"/>
      <c r="F64" s="431"/>
      <c r="G64" s="432"/>
      <c r="H64" s="432" t="s">
        <v>288</v>
      </c>
      <c r="I64" s="433">
        <f>RSQ(I65:I75,B65:B75)</f>
        <v>0.99238310317937617</v>
      </c>
      <c r="J64" s="434" t="s">
        <v>289</v>
      </c>
      <c r="K64" s="435" t="s">
        <v>290</v>
      </c>
    </row>
    <row r="65" spans="1:14" ht="15" customHeight="1">
      <c r="A65" s="436"/>
      <c r="B65" s="437"/>
      <c r="C65" s="438"/>
      <c r="D65" s="439" t="s">
        <v>291</v>
      </c>
      <c r="E65" s="440"/>
      <c r="F65" s="440"/>
      <c r="G65" s="441"/>
      <c r="H65" s="442"/>
      <c r="I65" s="443"/>
      <c r="J65" s="444"/>
      <c r="K65" s="443"/>
      <c r="L65" s="445"/>
    </row>
    <row r="66" spans="1:14" ht="15" customHeight="1">
      <c r="A66" s="436"/>
      <c r="B66" s="437"/>
      <c r="C66" s="438"/>
      <c r="D66" s="439" t="s">
        <v>292</v>
      </c>
      <c r="E66" s="363">
        <f>INDEX(LINEST(B71:B75,C71:C75),1)</f>
        <v>2064.3999999999992</v>
      </c>
      <c r="F66" s="440"/>
      <c r="G66" s="441"/>
      <c r="H66" s="442"/>
      <c r="I66" s="443"/>
      <c r="J66" s="446"/>
      <c r="K66" s="443"/>
      <c r="L66" s="445">
        <f t="shared" ref="L66:L97" si="8">+I66-I65</f>
        <v>0</v>
      </c>
      <c r="M66" s="445"/>
    </row>
    <row r="67" spans="1:14" ht="15" customHeight="1">
      <c r="A67" s="436"/>
      <c r="B67" s="437"/>
      <c r="C67" s="438"/>
      <c r="D67" s="439" t="s">
        <v>293</v>
      </c>
      <c r="E67" s="363">
        <f>INDEX(LINEST(B71:B75,C71:C75),2)</f>
        <v>96159.2</v>
      </c>
      <c r="G67" s="441"/>
      <c r="H67" s="442"/>
      <c r="I67" s="443"/>
      <c r="J67" s="446"/>
      <c r="K67" s="443"/>
      <c r="L67" s="445">
        <f t="shared" si="8"/>
        <v>0</v>
      </c>
      <c r="M67" s="445"/>
    </row>
    <row r="68" spans="1:14" ht="15" customHeight="1">
      <c r="A68" s="436"/>
      <c r="B68" s="437"/>
      <c r="C68" s="438"/>
      <c r="G68" s="442"/>
      <c r="H68" s="442"/>
      <c r="I68" s="443"/>
      <c r="J68" s="446"/>
      <c r="K68" s="443"/>
      <c r="L68" s="445">
        <f t="shared" si="8"/>
        <v>0</v>
      </c>
      <c r="M68" s="445"/>
    </row>
    <row r="69" spans="1:14" ht="15" customHeight="1">
      <c r="A69" s="436"/>
      <c r="B69" s="437"/>
      <c r="C69" s="438"/>
      <c r="G69" s="442"/>
      <c r="H69" s="442"/>
      <c r="I69" s="443"/>
      <c r="J69" s="446"/>
      <c r="K69" s="443"/>
      <c r="L69" s="445">
        <f t="shared" si="8"/>
        <v>0</v>
      </c>
      <c r="M69" s="445"/>
    </row>
    <row r="70" spans="1:14" ht="15" customHeight="1">
      <c r="A70" s="436"/>
      <c r="B70" s="437"/>
      <c r="C70" s="438"/>
      <c r="D70" s="2318" t="s">
        <v>276</v>
      </c>
      <c r="E70" s="2320"/>
      <c r="F70" s="447">
        <f>I64</f>
        <v>0.99238310317937617</v>
      </c>
      <c r="G70" s="442"/>
      <c r="H70" s="442"/>
      <c r="I70" s="443"/>
      <c r="J70" s="446"/>
      <c r="K70" s="443"/>
      <c r="L70" s="445">
        <f t="shared" si="8"/>
        <v>0</v>
      </c>
      <c r="M70" s="445"/>
    </row>
    <row r="71" spans="1:14" ht="15" customHeight="1">
      <c r="A71" s="436">
        <v>2010</v>
      </c>
      <c r="B71" s="437">
        <f t="shared" ref="B71:B75" si="9">B11</f>
        <v>98279</v>
      </c>
      <c r="C71" s="438">
        <v>1</v>
      </c>
      <c r="D71" s="2318" t="s">
        <v>294</v>
      </c>
      <c r="E71" s="2320"/>
      <c r="F71" s="448">
        <f>SUM(K65:K75)</f>
        <v>327.10200000000003</v>
      </c>
      <c r="G71" s="442"/>
      <c r="H71" s="442"/>
      <c r="I71" s="443">
        <f t="shared" ref="I71:I97" si="10">ROUND($E$66*C71+$E$67,$G$1)</f>
        <v>98224</v>
      </c>
      <c r="J71" s="446">
        <f t="shared" ref="J71:J75" si="11">ABS(B71-I71)/B71*100</f>
        <v>5.5963125387926214E-2</v>
      </c>
      <c r="K71" s="443">
        <f t="shared" ref="K71:K75" si="12">(B71-I71)^2/1000</f>
        <v>3.0249999999999999</v>
      </c>
      <c r="L71" s="445">
        <f t="shared" si="8"/>
        <v>98224</v>
      </c>
      <c r="M71" s="445"/>
    </row>
    <row r="72" spans="1:14" ht="15" customHeight="1">
      <c r="A72" s="436">
        <f t="shared" ref="A72:A97" si="13">A71+1</f>
        <v>2011</v>
      </c>
      <c r="B72" s="437">
        <f t="shared" si="9"/>
        <v>99952</v>
      </c>
      <c r="C72" s="438">
        <f t="shared" ref="C72:C75" si="14">C71+1</f>
        <v>2</v>
      </c>
      <c r="D72" s="2318" t="s">
        <v>295</v>
      </c>
      <c r="E72" s="2321"/>
      <c r="F72" s="449">
        <f>SUM(J65:J75)/C75</f>
        <v>0.19582587483752489</v>
      </c>
      <c r="G72" s="442"/>
      <c r="H72" s="442"/>
      <c r="I72" s="443">
        <f t="shared" si="10"/>
        <v>100288</v>
      </c>
      <c r="J72" s="446">
        <f t="shared" si="11"/>
        <v>0.33616135745157677</v>
      </c>
      <c r="K72" s="443">
        <f t="shared" si="12"/>
        <v>112.896</v>
      </c>
      <c r="L72" s="445">
        <f t="shared" si="8"/>
        <v>2064</v>
      </c>
      <c r="M72" s="445"/>
    </row>
    <row r="73" spans="1:14" ht="15" customHeight="1">
      <c r="A73" s="436">
        <f t="shared" si="13"/>
        <v>2012</v>
      </c>
      <c r="B73" s="437">
        <f t="shared" si="9"/>
        <v>102796</v>
      </c>
      <c r="C73" s="438">
        <f t="shared" si="14"/>
        <v>3</v>
      </c>
      <c r="D73" s="2322"/>
      <c r="E73" s="2322"/>
      <c r="F73" s="450"/>
      <c r="G73" s="442"/>
      <c r="H73" s="442"/>
      <c r="I73" s="443">
        <f t="shared" si="10"/>
        <v>102352</v>
      </c>
      <c r="J73" s="446">
        <f t="shared" si="11"/>
        <v>0.43192342114479165</v>
      </c>
      <c r="K73" s="443">
        <f t="shared" si="12"/>
        <v>197.136</v>
      </c>
      <c r="L73" s="445">
        <f t="shared" si="8"/>
        <v>2064</v>
      </c>
      <c r="M73" s="445"/>
    </row>
    <row r="74" spans="1:14" ht="15" customHeight="1">
      <c r="A74" s="436">
        <f t="shared" si="13"/>
        <v>2013</v>
      </c>
      <c r="B74" s="437">
        <f t="shared" si="9"/>
        <v>104316</v>
      </c>
      <c r="C74" s="438">
        <f t="shared" si="14"/>
        <v>4</v>
      </c>
      <c r="G74" s="439"/>
      <c r="H74" s="451"/>
      <c r="I74" s="443">
        <f t="shared" si="10"/>
        <v>104417</v>
      </c>
      <c r="J74" s="446">
        <f t="shared" si="11"/>
        <v>9.6821197131791867E-2</v>
      </c>
      <c r="K74" s="443">
        <f t="shared" si="12"/>
        <v>10.201000000000001</v>
      </c>
      <c r="L74" s="445">
        <f t="shared" si="8"/>
        <v>2065</v>
      </c>
      <c r="M74" s="445"/>
    </row>
    <row r="75" spans="1:14" ht="15" customHeight="1" thickBot="1">
      <c r="A75" s="452">
        <f t="shared" si="13"/>
        <v>2014</v>
      </c>
      <c r="B75" s="453">
        <f t="shared" si="9"/>
        <v>106419</v>
      </c>
      <c r="C75" s="438">
        <f t="shared" si="14"/>
        <v>5</v>
      </c>
      <c r="D75" s="454"/>
      <c r="E75" s="454"/>
      <c r="F75" s="454"/>
      <c r="G75" s="455"/>
      <c r="H75" s="454"/>
      <c r="I75" s="456">
        <f t="shared" si="10"/>
        <v>106481</v>
      </c>
      <c r="J75" s="457">
        <f t="shared" si="11"/>
        <v>5.8260273071537978E-2</v>
      </c>
      <c r="K75" s="456">
        <f t="shared" si="12"/>
        <v>3.8439999999999999</v>
      </c>
      <c r="L75" s="445">
        <f t="shared" si="8"/>
        <v>2064</v>
      </c>
      <c r="M75" s="445"/>
    </row>
    <row r="76" spans="1:14" ht="15" customHeight="1" thickTop="1">
      <c r="A76" s="458">
        <f t="shared" si="13"/>
        <v>2015</v>
      </c>
      <c r="B76" s="459">
        <f t="shared" ref="B76:B97" si="15">ROUND($E$66*C76+$E$67,$G$1)</f>
        <v>108546</v>
      </c>
      <c r="C76" s="460">
        <f>C75+1</f>
        <v>6</v>
      </c>
      <c r="D76" s="461"/>
      <c r="E76" s="461"/>
      <c r="F76" s="461"/>
      <c r="G76" s="462"/>
      <c r="H76" s="461"/>
      <c r="I76" s="443">
        <f t="shared" si="10"/>
        <v>108546</v>
      </c>
      <c r="J76" s="463"/>
      <c r="K76" s="464"/>
      <c r="L76" s="445">
        <f t="shared" si="8"/>
        <v>2065</v>
      </c>
    </row>
    <row r="77" spans="1:14" ht="15" customHeight="1">
      <c r="A77" s="465">
        <f t="shared" si="13"/>
        <v>2016</v>
      </c>
      <c r="B77" s="437">
        <f t="shared" si="15"/>
        <v>110610</v>
      </c>
      <c r="C77" s="466">
        <f>C76+1</f>
        <v>7</v>
      </c>
      <c r="F77" s="451"/>
      <c r="G77" s="439"/>
      <c r="H77" s="451"/>
      <c r="I77" s="443">
        <f t="shared" si="10"/>
        <v>110610</v>
      </c>
      <c r="J77" s="467"/>
      <c r="K77" s="443"/>
      <c r="L77" s="445">
        <f t="shared" si="8"/>
        <v>2064</v>
      </c>
    </row>
    <row r="78" spans="1:14" ht="15" customHeight="1">
      <c r="A78" s="465">
        <f t="shared" si="13"/>
        <v>2017</v>
      </c>
      <c r="B78" s="437">
        <f t="shared" si="15"/>
        <v>112674</v>
      </c>
      <c r="C78" s="466">
        <f t="shared" ref="C78:C94" si="16">C77+1</f>
        <v>8</v>
      </c>
      <c r="F78" s="451"/>
      <c r="G78" s="439"/>
      <c r="H78" s="451"/>
      <c r="I78" s="443">
        <f t="shared" si="10"/>
        <v>112674</v>
      </c>
      <c r="J78" s="467"/>
      <c r="K78" s="443"/>
      <c r="L78" s="445">
        <f t="shared" si="8"/>
        <v>2064</v>
      </c>
    </row>
    <row r="79" spans="1:14" ht="15" customHeight="1">
      <c r="A79" s="465">
        <f t="shared" si="13"/>
        <v>2018</v>
      </c>
      <c r="B79" s="437">
        <f t="shared" si="15"/>
        <v>114739</v>
      </c>
      <c r="C79" s="466">
        <f t="shared" si="16"/>
        <v>9</v>
      </c>
      <c r="F79" s="451"/>
      <c r="G79" s="439"/>
      <c r="H79" s="451"/>
      <c r="I79" s="443">
        <f t="shared" si="10"/>
        <v>114739</v>
      </c>
      <c r="J79" s="467"/>
      <c r="K79" s="443"/>
      <c r="L79" s="445">
        <f t="shared" si="8"/>
        <v>2065</v>
      </c>
      <c r="N79" s="326">
        <f>1/0.75</f>
        <v>1.3333333333333333</v>
      </c>
    </row>
    <row r="80" spans="1:14" ht="15" customHeight="1">
      <c r="A80" s="465">
        <f t="shared" si="13"/>
        <v>2019</v>
      </c>
      <c r="B80" s="437">
        <f t="shared" si="15"/>
        <v>116803</v>
      </c>
      <c r="C80" s="466">
        <f t="shared" si="16"/>
        <v>10</v>
      </c>
      <c r="F80" s="451"/>
      <c r="G80" s="439"/>
      <c r="H80" s="451"/>
      <c r="I80" s="443">
        <f t="shared" si="10"/>
        <v>116803</v>
      </c>
      <c r="J80" s="467"/>
      <c r="K80" s="443"/>
      <c r="L80" s="445">
        <f t="shared" si="8"/>
        <v>2064</v>
      </c>
    </row>
    <row r="81" spans="1:12" ht="15" customHeight="1">
      <c r="A81" s="465">
        <f t="shared" si="13"/>
        <v>2020</v>
      </c>
      <c r="B81" s="437">
        <f t="shared" si="15"/>
        <v>118868</v>
      </c>
      <c r="C81" s="466">
        <f t="shared" si="16"/>
        <v>11</v>
      </c>
      <c r="D81" s="439"/>
      <c r="E81" s="439"/>
      <c r="F81" s="451"/>
      <c r="G81" s="439"/>
      <c r="H81" s="451"/>
      <c r="I81" s="443">
        <f t="shared" si="10"/>
        <v>118868</v>
      </c>
      <c r="J81" s="467"/>
      <c r="K81" s="443"/>
      <c r="L81" s="445">
        <f t="shared" si="8"/>
        <v>2065</v>
      </c>
    </row>
    <row r="82" spans="1:12" ht="15" customHeight="1">
      <c r="A82" s="465">
        <f t="shared" si="13"/>
        <v>2021</v>
      </c>
      <c r="B82" s="437">
        <f t="shared" si="15"/>
        <v>120932</v>
      </c>
      <c r="C82" s="466">
        <f t="shared" si="16"/>
        <v>12</v>
      </c>
      <c r="D82" s="439"/>
      <c r="E82" s="439"/>
      <c r="F82" s="451"/>
      <c r="G82" s="439"/>
      <c r="H82" s="451"/>
      <c r="I82" s="443">
        <f t="shared" si="10"/>
        <v>120932</v>
      </c>
      <c r="J82" s="467"/>
      <c r="K82" s="443"/>
      <c r="L82" s="445">
        <f t="shared" si="8"/>
        <v>2064</v>
      </c>
    </row>
    <row r="83" spans="1:12" s="451" customFormat="1" ht="15" customHeight="1">
      <c r="A83" s="465">
        <f t="shared" si="13"/>
        <v>2022</v>
      </c>
      <c r="B83" s="437">
        <f t="shared" si="15"/>
        <v>122996</v>
      </c>
      <c r="C83" s="466">
        <f t="shared" si="16"/>
        <v>13</v>
      </c>
      <c r="G83" s="439"/>
      <c r="H83" s="439"/>
      <c r="I83" s="443">
        <f t="shared" si="10"/>
        <v>122996</v>
      </c>
      <c r="J83" s="467"/>
      <c r="K83" s="443"/>
      <c r="L83" s="445">
        <f t="shared" si="8"/>
        <v>2064</v>
      </c>
    </row>
    <row r="84" spans="1:12" ht="15" customHeight="1">
      <c r="A84" s="465">
        <f t="shared" si="13"/>
        <v>2023</v>
      </c>
      <c r="B84" s="437">
        <f t="shared" si="15"/>
        <v>125061</v>
      </c>
      <c r="C84" s="466">
        <f t="shared" si="16"/>
        <v>14</v>
      </c>
      <c r="D84" s="451"/>
      <c r="E84" s="451"/>
      <c r="F84" s="451"/>
      <c r="G84" s="439"/>
      <c r="H84" s="451"/>
      <c r="I84" s="443">
        <f t="shared" si="10"/>
        <v>125061</v>
      </c>
      <c r="J84" s="467"/>
      <c r="K84" s="443"/>
      <c r="L84" s="445">
        <f t="shared" si="8"/>
        <v>2065</v>
      </c>
    </row>
    <row r="85" spans="1:12" s="451" customFormat="1" ht="15" customHeight="1">
      <c r="A85" s="465">
        <f t="shared" si="13"/>
        <v>2024</v>
      </c>
      <c r="B85" s="437">
        <f t="shared" si="15"/>
        <v>127125</v>
      </c>
      <c r="C85" s="466">
        <f t="shared" si="16"/>
        <v>15</v>
      </c>
      <c r="G85" s="439"/>
      <c r="I85" s="443">
        <f t="shared" si="10"/>
        <v>127125</v>
      </c>
      <c r="J85" s="467"/>
      <c r="K85" s="443"/>
      <c r="L85" s="445">
        <f t="shared" si="8"/>
        <v>2064</v>
      </c>
    </row>
    <row r="86" spans="1:12" s="451" customFormat="1" ht="15" customHeight="1">
      <c r="A86" s="465">
        <f t="shared" si="13"/>
        <v>2025</v>
      </c>
      <c r="B86" s="437">
        <f t="shared" si="15"/>
        <v>129190</v>
      </c>
      <c r="C86" s="466">
        <f t="shared" si="16"/>
        <v>16</v>
      </c>
      <c r="G86" s="439"/>
      <c r="I86" s="443">
        <f t="shared" si="10"/>
        <v>129190</v>
      </c>
      <c r="J86" s="467"/>
      <c r="K86" s="443"/>
      <c r="L86" s="445">
        <f t="shared" si="8"/>
        <v>2065</v>
      </c>
    </row>
    <row r="87" spans="1:12" s="451" customFormat="1" ht="15" customHeight="1">
      <c r="A87" s="465">
        <f t="shared" si="13"/>
        <v>2026</v>
      </c>
      <c r="B87" s="437">
        <f t="shared" si="15"/>
        <v>131254</v>
      </c>
      <c r="C87" s="466">
        <f t="shared" si="16"/>
        <v>17</v>
      </c>
      <c r="D87" s="468"/>
      <c r="E87" s="468"/>
      <c r="I87" s="443">
        <f t="shared" si="10"/>
        <v>131254</v>
      </c>
      <c r="J87" s="469"/>
      <c r="K87" s="469"/>
      <c r="L87" s="445">
        <f t="shared" si="8"/>
        <v>2064</v>
      </c>
    </row>
    <row r="88" spans="1:12" ht="15" customHeight="1">
      <c r="A88" s="465">
        <f t="shared" si="13"/>
        <v>2027</v>
      </c>
      <c r="B88" s="437">
        <f t="shared" si="15"/>
        <v>133318</v>
      </c>
      <c r="C88" s="466">
        <f t="shared" si="16"/>
        <v>18</v>
      </c>
      <c r="D88" s="468"/>
      <c r="E88" s="468"/>
      <c r="F88" s="451"/>
      <c r="G88" s="451"/>
      <c r="H88" s="451"/>
      <c r="I88" s="443">
        <f t="shared" si="10"/>
        <v>133318</v>
      </c>
      <c r="J88" s="469"/>
      <c r="K88" s="469"/>
      <c r="L88" s="445">
        <f t="shared" si="8"/>
        <v>2064</v>
      </c>
    </row>
    <row r="89" spans="1:12" ht="15" customHeight="1">
      <c r="A89" s="465">
        <f t="shared" si="13"/>
        <v>2028</v>
      </c>
      <c r="B89" s="437">
        <f t="shared" si="15"/>
        <v>135383</v>
      </c>
      <c r="C89" s="466">
        <f t="shared" si="16"/>
        <v>19</v>
      </c>
      <c r="D89" s="468"/>
      <c r="E89" s="468"/>
      <c r="F89" s="451"/>
      <c r="G89" s="451"/>
      <c r="H89" s="451"/>
      <c r="I89" s="443">
        <f t="shared" si="10"/>
        <v>135383</v>
      </c>
      <c r="J89" s="469"/>
      <c r="K89" s="469"/>
      <c r="L89" s="445">
        <f t="shared" si="8"/>
        <v>2065</v>
      </c>
    </row>
    <row r="90" spans="1:12" ht="15" customHeight="1">
      <c r="A90" s="465">
        <f t="shared" si="13"/>
        <v>2029</v>
      </c>
      <c r="B90" s="437">
        <f t="shared" si="15"/>
        <v>137447</v>
      </c>
      <c r="C90" s="466">
        <f t="shared" si="16"/>
        <v>20</v>
      </c>
      <c r="D90" s="468"/>
      <c r="E90" s="468"/>
      <c r="F90" s="451"/>
      <c r="G90" s="451"/>
      <c r="H90" s="451"/>
      <c r="I90" s="443">
        <f t="shared" si="10"/>
        <v>137447</v>
      </c>
      <c r="J90" s="469"/>
      <c r="K90" s="469"/>
      <c r="L90" s="445">
        <f t="shared" si="8"/>
        <v>2064</v>
      </c>
    </row>
    <row r="91" spans="1:12" ht="15" customHeight="1">
      <c r="A91" s="465">
        <f t="shared" si="13"/>
        <v>2030</v>
      </c>
      <c r="B91" s="437">
        <f t="shared" si="15"/>
        <v>139512</v>
      </c>
      <c r="C91" s="466">
        <f t="shared" si="16"/>
        <v>21</v>
      </c>
      <c r="D91" s="468"/>
      <c r="E91" s="468"/>
      <c r="F91" s="451"/>
      <c r="G91" s="451"/>
      <c r="H91" s="451"/>
      <c r="I91" s="443">
        <f t="shared" si="10"/>
        <v>139512</v>
      </c>
      <c r="J91" s="469"/>
      <c r="K91" s="469"/>
      <c r="L91" s="445">
        <f t="shared" si="8"/>
        <v>2065</v>
      </c>
    </row>
    <row r="92" spans="1:12" ht="15" customHeight="1">
      <c r="A92" s="465">
        <f t="shared" si="13"/>
        <v>2031</v>
      </c>
      <c r="B92" s="437">
        <f t="shared" si="15"/>
        <v>141576</v>
      </c>
      <c r="C92" s="466">
        <f t="shared" si="16"/>
        <v>22</v>
      </c>
      <c r="D92" s="468"/>
      <c r="E92" s="468"/>
      <c r="F92" s="451"/>
      <c r="G92" s="451"/>
      <c r="H92" s="451"/>
      <c r="I92" s="443">
        <f t="shared" si="10"/>
        <v>141576</v>
      </c>
      <c r="J92" s="469"/>
      <c r="K92" s="469"/>
      <c r="L92" s="445">
        <f t="shared" si="8"/>
        <v>2064</v>
      </c>
    </row>
    <row r="93" spans="1:12" ht="15" customHeight="1">
      <c r="A93" s="465">
        <f t="shared" si="13"/>
        <v>2032</v>
      </c>
      <c r="B93" s="437">
        <f t="shared" si="15"/>
        <v>143640</v>
      </c>
      <c r="C93" s="466">
        <f t="shared" si="16"/>
        <v>23</v>
      </c>
      <c r="D93" s="468"/>
      <c r="E93" s="468"/>
      <c r="F93" s="451"/>
      <c r="G93" s="451"/>
      <c r="H93" s="451"/>
      <c r="I93" s="443">
        <f t="shared" si="10"/>
        <v>143640</v>
      </c>
      <c r="J93" s="469"/>
      <c r="K93" s="469"/>
      <c r="L93" s="445">
        <f t="shared" si="8"/>
        <v>2064</v>
      </c>
    </row>
    <row r="94" spans="1:12" ht="15" customHeight="1">
      <c r="A94" s="470">
        <f t="shared" si="13"/>
        <v>2033</v>
      </c>
      <c r="B94" s="471">
        <f t="shared" si="15"/>
        <v>145705</v>
      </c>
      <c r="C94" s="472">
        <f t="shared" si="16"/>
        <v>24</v>
      </c>
      <c r="D94" s="473"/>
      <c r="E94" s="473"/>
      <c r="F94" s="474"/>
      <c r="G94" s="474"/>
      <c r="H94" s="474"/>
      <c r="I94" s="471">
        <f t="shared" si="10"/>
        <v>145705</v>
      </c>
      <c r="J94" s="475"/>
      <c r="K94" s="476"/>
      <c r="L94" s="445">
        <f t="shared" si="8"/>
        <v>2065</v>
      </c>
    </row>
    <row r="95" spans="1:12" ht="15" customHeight="1">
      <c r="A95" s="477">
        <f t="shared" si="13"/>
        <v>2034</v>
      </c>
      <c r="B95" s="478">
        <f t="shared" si="15"/>
        <v>160156</v>
      </c>
      <c r="C95" s="479">
        <v>31</v>
      </c>
      <c r="D95" s="480"/>
      <c r="E95" s="480"/>
      <c r="F95" s="481"/>
      <c r="G95" s="481"/>
      <c r="H95" s="481"/>
      <c r="I95" s="478">
        <f t="shared" si="10"/>
        <v>160156</v>
      </c>
      <c r="J95" s="482"/>
      <c r="K95" s="483"/>
      <c r="L95" s="445">
        <f t="shared" si="8"/>
        <v>14451</v>
      </c>
    </row>
    <row r="96" spans="1:12" ht="15" customHeight="1">
      <c r="A96" s="477">
        <f t="shared" si="13"/>
        <v>2035</v>
      </c>
      <c r="B96" s="478">
        <f t="shared" si="15"/>
        <v>162220</v>
      </c>
      <c r="C96" s="479">
        <v>32</v>
      </c>
      <c r="D96" s="480"/>
      <c r="E96" s="480"/>
      <c r="F96" s="481"/>
      <c r="G96" s="481"/>
      <c r="H96" s="481"/>
      <c r="I96" s="478">
        <f t="shared" si="10"/>
        <v>162220</v>
      </c>
      <c r="J96" s="482"/>
      <c r="K96" s="483"/>
      <c r="L96" s="445">
        <f t="shared" si="8"/>
        <v>2064</v>
      </c>
    </row>
    <row r="97" spans="1:13" ht="15" customHeight="1">
      <c r="A97" s="484">
        <f t="shared" si="13"/>
        <v>2036</v>
      </c>
      <c r="B97" s="485">
        <f t="shared" si="15"/>
        <v>164284</v>
      </c>
      <c r="C97" s="486">
        <v>33</v>
      </c>
      <c r="D97" s="487"/>
      <c r="E97" s="487"/>
      <c r="F97" s="488"/>
      <c r="G97" s="488"/>
      <c r="H97" s="488"/>
      <c r="I97" s="485">
        <f t="shared" si="10"/>
        <v>164284</v>
      </c>
      <c r="J97" s="489"/>
      <c r="K97" s="490"/>
      <c r="L97" s="445">
        <f t="shared" si="8"/>
        <v>2064</v>
      </c>
    </row>
    <row r="98" spans="1:13" ht="15" customHeight="1">
      <c r="A98" s="491"/>
      <c r="B98" s="492"/>
      <c r="C98" s="439"/>
      <c r="D98" s="468"/>
      <c r="E98" s="468"/>
      <c r="F98" s="451"/>
      <c r="G98" s="451"/>
      <c r="H98" s="451"/>
      <c r="I98" s="492"/>
      <c r="J98" s="493"/>
      <c r="K98" s="493"/>
      <c r="L98" s="445"/>
    </row>
    <row r="99" spans="1:13" ht="15" customHeight="1">
      <c r="A99" s="491"/>
      <c r="B99" s="492"/>
      <c r="C99" s="439"/>
      <c r="D99" s="468"/>
      <c r="E99" s="468"/>
      <c r="F99" s="451"/>
      <c r="G99" s="451"/>
      <c r="H99" s="451"/>
      <c r="I99" s="492"/>
      <c r="J99" s="493"/>
      <c r="K99" s="493"/>
      <c r="L99" s="445"/>
    </row>
    <row r="100" spans="1:13" ht="15" customHeight="1">
      <c r="A100" s="491"/>
      <c r="B100" s="492"/>
      <c r="C100" s="439"/>
      <c r="D100" s="468"/>
      <c r="E100" s="468"/>
      <c r="F100" s="451"/>
      <c r="G100" s="451"/>
      <c r="H100" s="451"/>
      <c r="I100" s="492"/>
      <c r="J100" s="493"/>
      <c r="K100" s="493"/>
      <c r="L100" s="445"/>
    </row>
    <row r="101" spans="1:13" ht="15" customHeight="1">
      <c r="A101" s="491"/>
      <c r="B101" s="494"/>
      <c r="C101" s="439"/>
      <c r="D101" s="468"/>
      <c r="E101" s="468"/>
      <c r="F101" s="451"/>
      <c r="G101" s="451"/>
      <c r="H101" s="451"/>
      <c r="I101" s="495"/>
      <c r="J101" s="495"/>
    </row>
    <row r="102" spans="1:13" ht="15" customHeight="1">
      <c r="A102" s="424" t="s">
        <v>296</v>
      </c>
    </row>
    <row r="103" spans="1:13" ht="15" customHeight="1">
      <c r="A103" s="427" t="s">
        <v>264</v>
      </c>
      <c r="B103" s="428" t="s">
        <v>286</v>
      </c>
      <c r="C103" s="429" t="s">
        <v>297</v>
      </c>
      <c r="D103" s="429" t="s">
        <v>287</v>
      </c>
      <c r="E103" s="496"/>
      <c r="F103" s="430"/>
      <c r="G103" s="431"/>
      <c r="H103" s="432" t="s">
        <v>288</v>
      </c>
      <c r="I103" s="433">
        <f>RSQ(I104:I114,B104:B114)</f>
        <v>0.99177914128119526</v>
      </c>
      <c r="J103" s="434" t="s">
        <v>289</v>
      </c>
      <c r="K103" s="435" t="s">
        <v>290</v>
      </c>
    </row>
    <row r="104" spans="1:13" ht="15" customHeight="1">
      <c r="A104" s="436"/>
      <c r="B104" s="437"/>
      <c r="C104" s="497"/>
      <c r="D104" s="438"/>
      <c r="E104" s="498" t="s">
        <v>298</v>
      </c>
      <c r="F104" s="499"/>
      <c r="G104" s="500"/>
      <c r="H104" s="501"/>
      <c r="I104" s="502"/>
      <c r="J104" s="444"/>
      <c r="K104" s="443"/>
      <c r="L104" s="503"/>
    </row>
    <row r="105" spans="1:13" ht="15" customHeight="1">
      <c r="A105" s="436"/>
      <c r="B105" s="437"/>
      <c r="C105" s="497"/>
      <c r="D105" s="438"/>
      <c r="E105" s="498" t="s">
        <v>299</v>
      </c>
      <c r="F105" s="439"/>
      <c r="G105" s="500"/>
      <c r="H105" s="501"/>
      <c r="I105" s="443"/>
      <c r="J105" s="446"/>
      <c r="K105" s="443"/>
      <c r="L105" s="503" t="e">
        <f>ROUND((I105/I104)^(1/1)-1,4)</f>
        <v>#DIV/0!</v>
      </c>
    </row>
    <row r="106" spans="1:13" ht="15" customHeight="1">
      <c r="A106" s="436"/>
      <c r="B106" s="437"/>
      <c r="C106" s="497"/>
      <c r="D106" s="438"/>
      <c r="E106" s="326" t="s">
        <v>300</v>
      </c>
      <c r="G106" s="451"/>
      <c r="H106" s="442"/>
      <c r="I106" s="443"/>
      <c r="J106" s="446"/>
      <c r="K106" s="443"/>
      <c r="L106" s="503" t="e">
        <f t="shared" ref="L106:L136" si="17">ROUND((I106/I105)^(1/1)-1,4)</f>
        <v>#DIV/0!</v>
      </c>
      <c r="M106" s="503"/>
    </row>
    <row r="107" spans="1:13" ht="15" customHeight="1">
      <c r="A107" s="436"/>
      <c r="B107" s="437"/>
      <c r="C107" s="497"/>
      <c r="D107" s="438"/>
      <c r="G107" s="451"/>
      <c r="H107" s="442"/>
      <c r="I107" s="443"/>
      <c r="J107" s="446"/>
      <c r="K107" s="443"/>
      <c r="L107" s="503" t="e">
        <f t="shared" si="17"/>
        <v>#DIV/0!</v>
      </c>
      <c r="M107" s="503"/>
    </row>
    <row r="108" spans="1:13" ht="15" customHeight="1">
      <c r="A108" s="436"/>
      <c r="B108" s="437"/>
      <c r="C108" s="497"/>
      <c r="D108" s="438"/>
      <c r="E108" s="329" t="s">
        <v>301</v>
      </c>
      <c r="F108" s="442" t="s">
        <v>302</v>
      </c>
      <c r="G108" s="504">
        <f>INDEX(LINEST(C110:C114,D110:D114),2)</f>
        <v>11.475201772436066</v>
      </c>
      <c r="H108" s="442"/>
      <c r="I108" s="443"/>
      <c r="J108" s="446"/>
      <c r="K108" s="443"/>
      <c r="L108" s="503" t="e">
        <f t="shared" si="17"/>
        <v>#DIV/0!</v>
      </c>
      <c r="M108" s="503"/>
    </row>
    <row r="109" spans="1:13" ht="15" customHeight="1">
      <c r="A109" s="436"/>
      <c r="B109" s="437"/>
      <c r="C109" s="497"/>
      <c r="D109" s="438"/>
      <c r="E109" s="329" t="s">
        <v>303</v>
      </c>
      <c r="F109" s="442" t="s">
        <v>304</v>
      </c>
      <c r="G109" s="504">
        <f>INDEX(LINEST(C110:C114,D110:D114),1)</f>
        <v>2.0188220273991139E-2</v>
      </c>
      <c r="H109" s="442"/>
      <c r="I109" s="443"/>
      <c r="J109" s="446"/>
      <c r="K109" s="443"/>
      <c r="L109" s="503" t="e">
        <f t="shared" si="17"/>
        <v>#DIV/0!</v>
      </c>
      <c r="M109" s="503"/>
    </row>
    <row r="110" spans="1:13" ht="15" customHeight="1">
      <c r="A110" s="436">
        <f t="shared" ref="A110:B119" si="18">A71</f>
        <v>2010</v>
      </c>
      <c r="B110" s="437">
        <f t="shared" si="18"/>
        <v>98279</v>
      </c>
      <c r="C110" s="497">
        <f t="shared" ref="C110:C114" si="19">LN(B110)</f>
        <v>11.495565651573175</v>
      </c>
      <c r="D110" s="438">
        <f t="shared" ref="D110:D136" si="20">D109+1</f>
        <v>1</v>
      </c>
      <c r="H110" s="442"/>
      <c r="I110" s="443">
        <f t="shared" ref="I110:I136" si="21">ROUND($F$111*(1+$F$112)^D110,$G$1)</f>
        <v>98262</v>
      </c>
      <c r="J110" s="446">
        <f t="shared" ref="J110:J114" si="22">ABS(B110-I110)/B110*100</f>
        <v>1.7297693301722646E-2</v>
      </c>
      <c r="K110" s="443">
        <f t="shared" ref="K110:K114" si="23">(B110-I110)^2/1000</f>
        <v>0.28899999999999998</v>
      </c>
      <c r="L110" s="503" t="e">
        <f t="shared" si="17"/>
        <v>#DIV/0!</v>
      </c>
      <c r="M110" s="503"/>
    </row>
    <row r="111" spans="1:13" ht="15" customHeight="1">
      <c r="A111" s="436">
        <f t="shared" si="18"/>
        <v>2011</v>
      </c>
      <c r="B111" s="437">
        <f t="shared" si="18"/>
        <v>99952</v>
      </c>
      <c r="C111" s="497">
        <f t="shared" si="19"/>
        <v>11.512445349733351</v>
      </c>
      <c r="D111" s="438">
        <f t="shared" si="20"/>
        <v>2</v>
      </c>
      <c r="E111" s="329" t="s">
        <v>305</v>
      </c>
      <c r="F111" s="505">
        <f>EXP(G108)</f>
        <v>96297.898241716306</v>
      </c>
      <c r="G111" s="451"/>
      <c r="H111" s="442"/>
      <c r="I111" s="443">
        <f t="shared" si="21"/>
        <v>100266</v>
      </c>
      <c r="J111" s="446">
        <f t="shared" si="22"/>
        <v>0.31415079238034255</v>
      </c>
      <c r="K111" s="443">
        <f t="shared" si="23"/>
        <v>98.596000000000004</v>
      </c>
      <c r="L111" s="503">
        <f t="shared" si="17"/>
        <v>2.0400000000000001E-2</v>
      </c>
      <c r="M111" s="503"/>
    </row>
    <row r="112" spans="1:13" ht="15" customHeight="1">
      <c r="A112" s="436">
        <f t="shared" si="18"/>
        <v>2012</v>
      </c>
      <c r="B112" s="437">
        <f t="shared" si="18"/>
        <v>102796</v>
      </c>
      <c r="C112" s="506">
        <f t="shared" si="19"/>
        <v>11.540501720740332</v>
      </c>
      <c r="D112" s="438">
        <f t="shared" si="20"/>
        <v>3</v>
      </c>
      <c r="E112" s="329" t="s">
        <v>306</v>
      </c>
      <c r="F112" s="507">
        <f>EXP(G109)-1</f>
        <v>2.0393380674906592E-2</v>
      </c>
      <c r="G112" s="451"/>
      <c r="H112" s="442"/>
      <c r="I112" s="443">
        <f t="shared" si="21"/>
        <v>102310</v>
      </c>
      <c r="J112" s="467">
        <f t="shared" si="22"/>
        <v>0.47278104206389349</v>
      </c>
      <c r="K112" s="443">
        <f t="shared" si="23"/>
        <v>236.196</v>
      </c>
      <c r="L112" s="503">
        <f t="shared" si="17"/>
        <v>2.0400000000000001E-2</v>
      </c>
      <c r="M112" s="503"/>
    </row>
    <row r="113" spans="1:13" ht="15" customHeight="1">
      <c r="A113" s="436">
        <f t="shared" si="18"/>
        <v>2013</v>
      </c>
      <c r="B113" s="437">
        <f t="shared" si="18"/>
        <v>104316</v>
      </c>
      <c r="C113" s="506">
        <f t="shared" si="19"/>
        <v>11.555180032867066</v>
      </c>
      <c r="D113" s="508">
        <f t="shared" si="20"/>
        <v>4</v>
      </c>
      <c r="H113" s="509"/>
      <c r="I113" s="443">
        <f t="shared" si="21"/>
        <v>104397</v>
      </c>
      <c r="J113" s="467">
        <f t="shared" si="22"/>
        <v>7.764868284826873E-2</v>
      </c>
      <c r="K113" s="443">
        <f t="shared" si="23"/>
        <v>6.5609999999999999</v>
      </c>
      <c r="L113" s="503">
        <f t="shared" si="17"/>
        <v>2.0400000000000001E-2</v>
      </c>
      <c r="M113" s="503"/>
    </row>
    <row r="114" spans="1:13" ht="15" customHeight="1" thickBot="1">
      <c r="A114" s="436">
        <f t="shared" si="18"/>
        <v>2014</v>
      </c>
      <c r="B114" s="437">
        <f t="shared" si="18"/>
        <v>106419</v>
      </c>
      <c r="C114" s="506">
        <f t="shared" si="19"/>
        <v>11.575139411376274</v>
      </c>
      <c r="D114" s="508">
        <f t="shared" si="20"/>
        <v>5</v>
      </c>
      <c r="G114" s="510"/>
      <c r="H114" s="509"/>
      <c r="I114" s="443">
        <f t="shared" si="21"/>
        <v>106526</v>
      </c>
      <c r="J114" s="467">
        <f t="shared" si="22"/>
        <v>0.10054595513958972</v>
      </c>
      <c r="K114" s="443">
        <f t="shared" si="23"/>
        <v>11.449</v>
      </c>
      <c r="L114" s="503">
        <f t="shared" si="17"/>
        <v>2.0400000000000001E-2</v>
      </c>
      <c r="M114" s="503"/>
    </row>
    <row r="115" spans="1:13" ht="15" customHeight="1" thickTop="1">
      <c r="A115" s="511">
        <f t="shared" si="18"/>
        <v>2015</v>
      </c>
      <c r="B115" s="459">
        <f t="shared" ref="B115:B136" si="24">ROUND($F$111*(1+$F$112)^D115,$G$1)</f>
        <v>108698</v>
      </c>
      <c r="C115" s="512"/>
      <c r="D115" s="513">
        <f t="shared" si="20"/>
        <v>6</v>
      </c>
      <c r="E115" s="2314" t="s">
        <v>276</v>
      </c>
      <c r="F115" s="2315"/>
      <c r="G115" s="514">
        <f>I103</f>
        <v>0.99177914128119526</v>
      </c>
      <c r="H115" s="515"/>
      <c r="I115" s="464">
        <f t="shared" si="21"/>
        <v>108698</v>
      </c>
      <c r="J115" s="463"/>
      <c r="K115" s="464"/>
      <c r="L115" s="503">
        <f t="shared" si="17"/>
        <v>2.0400000000000001E-2</v>
      </c>
      <c r="M115" s="503"/>
    </row>
    <row r="116" spans="1:13" ht="15" customHeight="1">
      <c r="A116" s="436">
        <f t="shared" si="18"/>
        <v>2016</v>
      </c>
      <c r="B116" s="437">
        <f t="shared" si="24"/>
        <v>110915</v>
      </c>
      <c r="C116" s="506"/>
      <c r="D116" s="508">
        <f t="shared" si="20"/>
        <v>7</v>
      </c>
      <c r="E116" s="2318" t="s">
        <v>294</v>
      </c>
      <c r="F116" s="2320"/>
      <c r="G116" s="448">
        <f>SUM(K104:K114)</f>
        <v>353.09100000000001</v>
      </c>
      <c r="H116" s="509"/>
      <c r="I116" s="443">
        <f t="shared" si="21"/>
        <v>110915</v>
      </c>
      <c r="J116" s="467"/>
      <c r="K116" s="443"/>
      <c r="L116" s="503">
        <f t="shared" si="17"/>
        <v>2.0400000000000001E-2</v>
      </c>
      <c r="M116" s="503"/>
    </row>
    <row r="117" spans="1:13" ht="15" customHeight="1">
      <c r="A117" s="436">
        <f t="shared" si="18"/>
        <v>2017</v>
      </c>
      <c r="B117" s="437">
        <f t="shared" si="24"/>
        <v>113177</v>
      </c>
      <c r="C117" s="506"/>
      <c r="D117" s="508">
        <f t="shared" si="20"/>
        <v>8</v>
      </c>
      <c r="E117" s="2318" t="s">
        <v>278</v>
      </c>
      <c r="F117" s="2320"/>
      <c r="G117" s="449">
        <f>SUM(J104:J114)/D114</f>
        <v>0.19648483314676343</v>
      </c>
      <c r="H117" s="509"/>
      <c r="I117" s="443">
        <f t="shared" si="21"/>
        <v>113177</v>
      </c>
      <c r="J117" s="467"/>
      <c r="K117" s="443"/>
      <c r="L117" s="503">
        <f t="shared" si="17"/>
        <v>2.0400000000000001E-2</v>
      </c>
      <c r="M117" s="503"/>
    </row>
    <row r="118" spans="1:13" ht="15" customHeight="1">
      <c r="A118" s="436">
        <f t="shared" si="18"/>
        <v>2018</v>
      </c>
      <c r="B118" s="437">
        <f t="shared" si="24"/>
        <v>115485</v>
      </c>
      <c r="C118" s="506"/>
      <c r="D118" s="508">
        <f t="shared" si="20"/>
        <v>9</v>
      </c>
      <c r="H118" s="509"/>
      <c r="I118" s="443">
        <f t="shared" si="21"/>
        <v>115485</v>
      </c>
      <c r="J118" s="467"/>
      <c r="K118" s="443"/>
      <c r="L118" s="503">
        <f t="shared" si="17"/>
        <v>2.0400000000000001E-2</v>
      </c>
      <c r="M118" s="503"/>
    </row>
    <row r="119" spans="1:13" ht="15" customHeight="1">
      <c r="A119" s="436">
        <f t="shared" si="18"/>
        <v>2019</v>
      </c>
      <c r="B119" s="437">
        <f t="shared" si="24"/>
        <v>117840</v>
      </c>
      <c r="C119" s="506"/>
      <c r="D119" s="508">
        <f t="shared" si="20"/>
        <v>10</v>
      </c>
      <c r="E119" s="451"/>
      <c r="F119" s="451"/>
      <c r="G119" s="451"/>
      <c r="H119" s="509"/>
      <c r="I119" s="443">
        <f t="shared" si="21"/>
        <v>117840</v>
      </c>
      <c r="J119" s="467"/>
      <c r="K119" s="443"/>
      <c r="L119" s="503">
        <f t="shared" si="17"/>
        <v>2.0400000000000001E-2</v>
      </c>
      <c r="M119" s="503"/>
    </row>
    <row r="120" spans="1:13" ht="15" customHeight="1">
      <c r="A120" s="436">
        <f t="shared" ref="A120:A136" si="25">A81</f>
        <v>2020</v>
      </c>
      <c r="B120" s="437">
        <f t="shared" si="24"/>
        <v>120243</v>
      </c>
      <c r="C120" s="506"/>
      <c r="D120" s="508">
        <f t="shared" si="20"/>
        <v>11</v>
      </c>
      <c r="E120" s="516"/>
      <c r="F120" s="517"/>
      <c r="G120" s="509"/>
      <c r="H120" s="509"/>
      <c r="I120" s="443">
        <f t="shared" si="21"/>
        <v>120243</v>
      </c>
      <c r="J120" s="467"/>
      <c r="K120" s="443"/>
      <c r="L120" s="503">
        <f t="shared" si="17"/>
        <v>2.0400000000000001E-2</v>
      </c>
      <c r="M120" s="503"/>
    </row>
    <row r="121" spans="1:13" ht="15" customHeight="1">
      <c r="A121" s="436">
        <f t="shared" si="25"/>
        <v>2021</v>
      </c>
      <c r="B121" s="437">
        <f t="shared" si="24"/>
        <v>122695</v>
      </c>
      <c r="C121" s="506"/>
      <c r="D121" s="508">
        <f t="shared" si="20"/>
        <v>12</v>
      </c>
      <c r="E121" s="509"/>
      <c r="F121" s="509"/>
      <c r="G121" s="518"/>
      <c r="H121" s="509"/>
      <c r="I121" s="443">
        <f t="shared" si="21"/>
        <v>122695</v>
      </c>
      <c r="J121" s="467"/>
      <c r="K121" s="443"/>
      <c r="L121" s="503">
        <f t="shared" si="17"/>
        <v>2.0400000000000001E-2</v>
      </c>
      <c r="M121" s="503"/>
    </row>
    <row r="122" spans="1:13" s="451" customFormat="1" ht="15" customHeight="1">
      <c r="A122" s="436">
        <f t="shared" si="25"/>
        <v>2022</v>
      </c>
      <c r="B122" s="437">
        <f t="shared" si="24"/>
        <v>125198</v>
      </c>
      <c r="C122" s="506"/>
      <c r="D122" s="508">
        <f t="shared" si="20"/>
        <v>13</v>
      </c>
      <c r="G122" s="518"/>
      <c r="H122" s="509"/>
      <c r="I122" s="443">
        <f t="shared" si="21"/>
        <v>125198</v>
      </c>
      <c r="J122" s="467"/>
      <c r="K122" s="443"/>
      <c r="L122" s="503">
        <f t="shared" si="17"/>
        <v>2.0400000000000001E-2</v>
      </c>
      <c r="M122" s="503"/>
    </row>
    <row r="123" spans="1:13" ht="15" customHeight="1">
      <c r="A123" s="436">
        <f t="shared" si="25"/>
        <v>2023</v>
      </c>
      <c r="B123" s="437">
        <f t="shared" si="24"/>
        <v>127751</v>
      </c>
      <c r="C123" s="506"/>
      <c r="D123" s="508">
        <f t="shared" si="20"/>
        <v>14</v>
      </c>
      <c r="E123" s="519"/>
      <c r="F123" s="451"/>
      <c r="G123" s="451"/>
      <c r="H123" s="451"/>
      <c r="I123" s="443">
        <f t="shared" si="21"/>
        <v>127751</v>
      </c>
      <c r="J123" s="467"/>
      <c r="K123" s="443"/>
      <c r="L123" s="503">
        <f t="shared" si="17"/>
        <v>2.0400000000000001E-2</v>
      </c>
      <c r="M123" s="503"/>
    </row>
    <row r="124" spans="1:13" s="451" customFormat="1" ht="15" customHeight="1">
      <c r="A124" s="436">
        <f t="shared" si="25"/>
        <v>2024</v>
      </c>
      <c r="B124" s="437">
        <f t="shared" si="24"/>
        <v>130356</v>
      </c>
      <c r="C124" s="506"/>
      <c r="D124" s="508">
        <f t="shared" si="20"/>
        <v>15</v>
      </c>
      <c r="E124" s="519"/>
      <c r="I124" s="443">
        <f t="shared" si="21"/>
        <v>130356</v>
      </c>
      <c r="J124" s="467"/>
      <c r="K124" s="443"/>
      <c r="L124" s="503">
        <f t="shared" si="17"/>
        <v>2.0400000000000001E-2</v>
      </c>
      <c r="M124" s="503"/>
    </row>
    <row r="125" spans="1:13" s="451" customFormat="1" ht="15" customHeight="1">
      <c r="A125" s="436">
        <f t="shared" si="25"/>
        <v>2025</v>
      </c>
      <c r="B125" s="437">
        <f t="shared" si="24"/>
        <v>133014</v>
      </c>
      <c r="C125" s="506"/>
      <c r="D125" s="508">
        <f t="shared" si="20"/>
        <v>16</v>
      </c>
      <c r="E125" s="519"/>
      <c r="I125" s="443">
        <f t="shared" si="21"/>
        <v>133014</v>
      </c>
      <c r="J125" s="467"/>
      <c r="K125" s="443"/>
      <c r="L125" s="503">
        <f t="shared" si="17"/>
        <v>2.0400000000000001E-2</v>
      </c>
      <c r="M125" s="503"/>
    </row>
    <row r="126" spans="1:13" ht="15" customHeight="1">
      <c r="A126" s="436">
        <f t="shared" si="25"/>
        <v>2026</v>
      </c>
      <c r="B126" s="437">
        <f t="shared" si="24"/>
        <v>135727</v>
      </c>
      <c r="C126" s="520"/>
      <c r="D126" s="508">
        <f t="shared" si="20"/>
        <v>17</v>
      </c>
      <c r="E126" s="521"/>
      <c r="F126" s="468"/>
      <c r="G126" s="451"/>
      <c r="H126" s="451"/>
      <c r="I126" s="443">
        <f t="shared" si="21"/>
        <v>135727</v>
      </c>
      <c r="J126" s="469"/>
      <c r="K126" s="469"/>
      <c r="L126" s="503">
        <f t="shared" si="17"/>
        <v>2.0400000000000001E-2</v>
      </c>
      <c r="M126" s="503"/>
    </row>
    <row r="127" spans="1:13" ht="15" customHeight="1">
      <c r="A127" s="436">
        <f t="shared" si="25"/>
        <v>2027</v>
      </c>
      <c r="B127" s="437">
        <f t="shared" si="24"/>
        <v>138495</v>
      </c>
      <c r="C127" s="520"/>
      <c r="D127" s="508">
        <f t="shared" si="20"/>
        <v>18</v>
      </c>
      <c r="E127" s="521"/>
      <c r="F127" s="468"/>
      <c r="G127" s="451"/>
      <c r="H127" s="451"/>
      <c r="I127" s="443">
        <f t="shared" si="21"/>
        <v>138495</v>
      </c>
      <c r="J127" s="469"/>
      <c r="K127" s="469"/>
      <c r="L127" s="503">
        <f t="shared" si="17"/>
        <v>2.0400000000000001E-2</v>
      </c>
      <c r="M127" s="503"/>
    </row>
    <row r="128" spans="1:13" ht="15" customHeight="1">
      <c r="A128" s="436">
        <f t="shared" si="25"/>
        <v>2028</v>
      </c>
      <c r="B128" s="437">
        <f t="shared" si="24"/>
        <v>141319</v>
      </c>
      <c r="C128" s="520"/>
      <c r="D128" s="508">
        <f t="shared" si="20"/>
        <v>19</v>
      </c>
      <c r="E128" s="521"/>
      <c r="F128" s="468"/>
      <c r="G128" s="451"/>
      <c r="H128" s="451"/>
      <c r="I128" s="443">
        <f t="shared" si="21"/>
        <v>141319</v>
      </c>
      <c r="J128" s="469"/>
      <c r="K128" s="469"/>
      <c r="L128" s="503">
        <f t="shared" si="17"/>
        <v>2.0400000000000001E-2</v>
      </c>
      <c r="M128" s="503"/>
    </row>
    <row r="129" spans="1:102" ht="15" customHeight="1">
      <c r="A129" s="436">
        <f t="shared" si="25"/>
        <v>2029</v>
      </c>
      <c r="B129" s="437">
        <f t="shared" si="24"/>
        <v>144201</v>
      </c>
      <c r="C129" s="520"/>
      <c r="D129" s="508">
        <f t="shared" si="20"/>
        <v>20</v>
      </c>
      <c r="E129" s="521"/>
      <c r="F129" s="468"/>
      <c r="G129" s="451"/>
      <c r="H129" s="451"/>
      <c r="I129" s="443">
        <f t="shared" si="21"/>
        <v>144201</v>
      </c>
      <c r="J129" s="469"/>
      <c r="K129" s="469"/>
      <c r="L129" s="503">
        <f t="shared" si="17"/>
        <v>2.0400000000000001E-2</v>
      </c>
      <c r="M129" s="503"/>
    </row>
    <row r="130" spans="1:102" ht="15" customHeight="1">
      <c r="A130" s="436">
        <f t="shared" si="25"/>
        <v>2030</v>
      </c>
      <c r="B130" s="437">
        <f t="shared" si="24"/>
        <v>147142</v>
      </c>
      <c r="C130" s="520"/>
      <c r="D130" s="508">
        <f t="shared" si="20"/>
        <v>21</v>
      </c>
      <c r="E130" s="521"/>
      <c r="F130" s="468"/>
      <c r="G130" s="451"/>
      <c r="H130" s="451"/>
      <c r="I130" s="443">
        <f t="shared" si="21"/>
        <v>147142</v>
      </c>
      <c r="J130" s="469"/>
      <c r="K130" s="469"/>
      <c r="L130" s="503">
        <f t="shared" si="17"/>
        <v>2.0400000000000001E-2</v>
      </c>
      <c r="M130" s="503"/>
    </row>
    <row r="131" spans="1:102" ht="15" customHeight="1">
      <c r="A131" s="436">
        <f t="shared" si="25"/>
        <v>2031</v>
      </c>
      <c r="B131" s="437">
        <f t="shared" si="24"/>
        <v>150143</v>
      </c>
      <c r="C131" s="520"/>
      <c r="D131" s="508">
        <f t="shared" si="20"/>
        <v>22</v>
      </c>
      <c r="E131" s="521"/>
      <c r="F131" s="468"/>
      <c r="G131" s="451"/>
      <c r="H131" s="451"/>
      <c r="I131" s="443">
        <f t="shared" si="21"/>
        <v>150143</v>
      </c>
      <c r="J131" s="469"/>
      <c r="K131" s="469"/>
      <c r="L131" s="503">
        <f t="shared" si="17"/>
        <v>2.0400000000000001E-2</v>
      </c>
      <c r="M131" s="503"/>
    </row>
    <row r="132" spans="1:102" ht="15" customHeight="1">
      <c r="A132" s="436">
        <f t="shared" si="25"/>
        <v>2032</v>
      </c>
      <c r="B132" s="437">
        <f t="shared" si="24"/>
        <v>153205</v>
      </c>
      <c r="C132" s="520"/>
      <c r="D132" s="508">
        <f t="shared" si="20"/>
        <v>23</v>
      </c>
      <c r="E132" s="521"/>
      <c r="F132" s="468"/>
      <c r="G132" s="451"/>
      <c r="H132" s="451"/>
      <c r="I132" s="443">
        <f t="shared" si="21"/>
        <v>153205</v>
      </c>
      <c r="J132" s="469"/>
      <c r="K132" s="469"/>
      <c r="L132" s="503">
        <f t="shared" si="17"/>
        <v>2.0400000000000001E-2</v>
      </c>
      <c r="M132" s="503"/>
    </row>
    <row r="133" spans="1:102" ht="15" customHeight="1">
      <c r="A133" s="522">
        <f t="shared" si="25"/>
        <v>2033</v>
      </c>
      <c r="B133" s="523">
        <f t="shared" si="24"/>
        <v>156329</v>
      </c>
      <c r="C133" s="524"/>
      <c r="D133" s="525">
        <f t="shared" si="20"/>
        <v>24</v>
      </c>
      <c r="E133" s="526"/>
      <c r="F133" s="527"/>
      <c r="G133" s="426"/>
      <c r="H133" s="426"/>
      <c r="I133" s="528">
        <f t="shared" si="21"/>
        <v>156329</v>
      </c>
      <c r="J133" s="529"/>
      <c r="K133" s="529"/>
      <c r="L133" s="503">
        <f t="shared" si="17"/>
        <v>2.0400000000000001E-2</v>
      </c>
      <c r="M133" s="503"/>
    </row>
    <row r="134" spans="1:102" ht="15" customHeight="1">
      <c r="A134" s="522">
        <f t="shared" si="25"/>
        <v>2034</v>
      </c>
      <c r="B134" s="523">
        <f t="shared" si="24"/>
        <v>159517</v>
      </c>
      <c r="C134" s="524"/>
      <c r="D134" s="525">
        <f t="shared" si="20"/>
        <v>25</v>
      </c>
      <c r="E134" s="526"/>
      <c r="F134" s="527"/>
      <c r="G134" s="426"/>
      <c r="H134" s="426"/>
      <c r="I134" s="528">
        <f t="shared" si="21"/>
        <v>159517</v>
      </c>
      <c r="J134" s="529"/>
      <c r="K134" s="529"/>
      <c r="L134" s="503">
        <f t="shared" si="17"/>
        <v>2.0400000000000001E-2</v>
      </c>
      <c r="M134" s="503"/>
    </row>
    <row r="135" spans="1:102" ht="15" customHeight="1">
      <c r="A135" s="522">
        <f t="shared" si="25"/>
        <v>2035</v>
      </c>
      <c r="B135" s="523">
        <f t="shared" si="24"/>
        <v>162770</v>
      </c>
      <c r="C135" s="524"/>
      <c r="D135" s="525">
        <f t="shared" si="20"/>
        <v>26</v>
      </c>
      <c r="E135" s="526"/>
      <c r="F135" s="527"/>
      <c r="G135" s="426"/>
      <c r="H135" s="426"/>
      <c r="I135" s="528">
        <f t="shared" si="21"/>
        <v>162770</v>
      </c>
      <c r="J135" s="529"/>
      <c r="K135" s="529"/>
      <c r="L135" s="503">
        <f t="shared" si="17"/>
        <v>2.0400000000000001E-2</v>
      </c>
      <c r="M135" s="503"/>
    </row>
    <row r="136" spans="1:102" ht="15" customHeight="1">
      <c r="A136" s="522">
        <f t="shared" si="25"/>
        <v>2036</v>
      </c>
      <c r="B136" s="523">
        <f t="shared" si="24"/>
        <v>166090</v>
      </c>
      <c r="C136" s="524"/>
      <c r="D136" s="525">
        <f t="shared" si="20"/>
        <v>27</v>
      </c>
      <c r="E136" s="526"/>
      <c r="F136" s="527"/>
      <c r="G136" s="426"/>
      <c r="H136" s="426"/>
      <c r="I136" s="528">
        <f t="shared" si="21"/>
        <v>166090</v>
      </c>
      <c r="J136" s="529"/>
      <c r="K136" s="529"/>
      <c r="L136" s="503">
        <f t="shared" si="17"/>
        <v>2.0400000000000001E-2</v>
      </c>
      <c r="M136" s="503"/>
    </row>
    <row r="137" spans="1:102" ht="15" customHeight="1">
      <c r="A137" s="491"/>
      <c r="B137" s="492"/>
      <c r="C137" s="451"/>
      <c r="D137" s="439"/>
      <c r="E137" s="530"/>
      <c r="F137" s="468"/>
      <c r="G137" s="451"/>
      <c r="H137" s="451"/>
      <c r="I137" s="492"/>
      <c r="J137" s="493"/>
      <c r="K137" s="493"/>
      <c r="L137" s="503"/>
      <c r="M137" s="503"/>
    </row>
    <row r="138" spans="1:102" ht="15" customHeight="1">
      <c r="A138" s="491"/>
      <c r="B138" s="492"/>
      <c r="C138" s="451"/>
      <c r="D138" s="439"/>
      <c r="E138" s="530"/>
      <c r="F138" s="468"/>
      <c r="G138" s="451"/>
      <c r="H138" s="451"/>
      <c r="I138" s="492"/>
      <c r="J138" s="493"/>
      <c r="K138" s="493"/>
      <c r="L138" s="503"/>
      <c r="M138" s="503"/>
    </row>
    <row r="139" spans="1:102" ht="15" customHeight="1">
      <c r="A139" s="491"/>
      <c r="B139" s="493"/>
      <c r="C139" s="451"/>
      <c r="D139" s="439"/>
      <c r="E139" s="530"/>
      <c r="F139" s="468"/>
      <c r="G139" s="451"/>
      <c r="H139" s="451"/>
      <c r="I139" s="531"/>
      <c r="J139" s="531"/>
    </row>
    <row r="140" spans="1:102" ht="15" customHeight="1">
      <c r="A140" s="424" t="s">
        <v>307</v>
      </c>
    </row>
    <row r="141" spans="1:102" ht="15" customHeight="1">
      <c r="A141" s="427" t="s">
        <v>264</v>
      </c>
      <c r="B141" s="428" t="s">
        <v>286</v>
      </c>
      <c r="C141" s="429" t="s">
        <v>308</v>
      </c>
      <c r="D141" s="429" t="s">
        <v>287</v>
      </c>
      <c r="E141" s="429" t="s">
        <v>309</v>
      </c>
      <c r="F141" s="496"/>
      <c r="G141" s="430"/>
      <c r="H141" s="432" t="s">
        <v>288</v>
      </c>
      <c r="I141" s="433">
        <f>RSQ(I142:I152,B142:B152)</f>
        <v>0.99257912032818463</v>
      </c>
      <c r="J141" s="434" t="s">
        <v>289</v>
      </c>
      <c r="K141" s="435" t="s">
        <v>290</v>
      </c>
      <c r="M141" s="532" t="s">
        <v>308</v>
      </c>
      <c r="N141" s="431"/>
      <c r="O141" s="432" t="s">
        <v>288</v>
      </c>
      <c r="P141" s="433">
        <f>RSQ($B142:$B152,Q142:Q152)</f>
        <v>0.9924085549760997</v>
      </c>
      <c r="Q141" s="434" t="s">
        <v>310</v>
      </c>
      <c r="R141" s="435" t="s">
        <v>290</v>
      </c>
      <c r="T141" s="532" t="s">
        <v>308</v>
      </c>
      <c r="U141" s="431"/>
      <c r="V141" s="432" t="s">
        <v>288</v>
      </c>
      <c r="W141" s="433">
        <f>RSQ($B142:$B152,X142:X152)</f>
        <v>0.99250113485712377</v>
      </c>
      <c r="X141" s="434" t="s">
        <v>310</v>
      </c>
      <c r="Y141" s="435"/>
      <c r="AA141" s="532" t="s">
        <v>308</v>
      </c>
      <c r="AB141" s="431"/>
      <c r="AC141" s="432" t="s">
        <v>288</v>
      </c>
      <c r="AD141" s="433">
        <f>RSQ($B142:$B152,AE142:AE152)</f>
        <v>0.99254178129950188</v>
      </c>
      <c r="AE141" s="434" t="s">
        <v>310</v>
      </c>
      <c r="AF141" s="435" t="s">
        <v>290</v>
      </c>
      <c r="AH141" s="532" t="s">
        <v>308</v>
      </c>
      <c r="AI141" s="431"/>
      <c r="AJ141" s="432" t="s">
        <v>288</v>
      </c>
      <c r="AK141" s="433">
        <f>RSQ($B142:$B152,AL142:AL152)</f>
        <v>0.99257912032818463</v>
      </c>
      <c r="AL141" s="434" t="s">
        <v>310</v>
      </c>
      <c r="AM141" s="435" t="s">
        <v>290</v>
      </c>
      <c r="AO141" s="532" t="s">
        <v>308</v>
      </c>
      <c r="AP141" s="431"/>
      <c r="AQ141" s="432" t="s">
        <v>288</v>
      </c>
      <c r="AR141" s="433">
        <f>RSQ($B142:$B152,AS142:AS152)</f>
        <v>0.99253605433830239</v>
      </c>
      <c r="AS141" s="434" t="s">
        <v>310</v>
      </c>
      <c r="AT141" s="435" t="s">
        <v>290</v>
      </c>
      <c r="AV141" s="532" t="s">
        <v>308</v>
      </c>
      <c r="AW141" s="431"/>
      <c r="AX141" s="432" t="s">
        <v>288</v>
      </c>
      <c r="AY141" s="433">
        <f>RSQ($B142:$B152,AZ142:AZ152)</f>
        <v>0.99247727746737202</v>
      </c>
      <c r="AZ141" s="434" t="s">
        <v>310</v>
      </c>
      <c r="BA141" s="435" t="s">
        <v>290</v>
      </c>
      <c r="BC141" s="532" t="s">
        <v>308</v>
      </c>
      <c r="BD141" s="431"/>
      <c r="BE141" s="432" t="s">
        <v>288</v>
      </c>
      <c r="BF141" s="433">
        <f>RSQ($B142:$B152,BG142:BG152)</f>
        <v>0.99233603407556159</v>
      </c>
      <c r="BG141" s="434" t="s">
        <v>310</v>
      </c>
      <c r="BH141" s="435" t="s">
        <v>290</v>
      </c>
      <c r="BJ141" s="532" t="s">
        <v>308</v>
      </c>
      <c r="BK141" s="431"/>
      <c r="BL141" s="432" t="s">
        <v>288</v>
      </c>
      <c r="BM141" s="433">
        <f>RSQ($B142:$B152,BN142:BN152)</f>
        <v>0.99212968263134726</v>
      </c>
      <c r="BN141" s="434" t="s">
        <v>310</v>
      </c>
      <c r="BO141" s="435" t="s">
        <v>290</v>
      </c>
      <c r="BQ141" s="532" t="s">
        <v>308</v>
      </c>
      <c r="BR141" s="431"/>
      <c r="BS141" s="432" t="s">
        <v>288</v>
      </c>
      <c r="BT141" s="433">
        <f>RSQ($B142:$B152,BU142:BU152)</f>
        <v>0.99184231813075641</v>
      </c>
      <c r="BU141" s="434" t="s">
        <v>310</v>
      </c>
      <c r="BV141" s="435"/>
      <c r="BX141" s="532" t="s">
        <v>308</v>
      </c>
      <c r="BY141" s="431"/>
      <c r="BZ141" s="432" t="s">
        <v>288</v>
      </c>
      <c r="CA141" s="433">
        <f>RSQ($B142:$B152,CB142:CB152)</f>
        <v>0.99148532652305055</v>
      </c>
      <c r="CB141" s="434" t="s">
        <v>310</v>
      </c>
      <c r="CC141" s="435" t="s">
        <v>290</v>
      </c>
      <c r="CE141" s="532" t="s">
        <v>308</v>
      </c>
      <c r="CF141" s="431"/>
      <c r="CG141" s="432" t="s">
        <v>288</v>
      </c>
      <c r="CH141" s="433">
        <f>RSQ($B142:$B152,CI142:CI152)</f>
        <v>0.9909876109553124</v>
      </c>
      <c r="CI141" s="434" t="s">
        <v>310</v>
      </c>
      <c r="CJ141" s="435" t="s">
        <v>290</v>
      </c>
      <c r="CL141" s="532" t="s">
        <v>308</v>
      </c>
      <c r="CM141" s="431"/>
      <c r="CN141" s="432" t="s">
        <v>288</v>
      </c>
      <c r="CO141" s="433">
        <f>RSQ($B142:$B152,CP142:CP152)</f>
        <v>0.9903826249604113</v>
      </c>
      <c r="CP141" s="434" t="s">
        <v>310</v>
      </c>
      <c r="CQ141" s="435" t="s">
        <v>290</v>
      </c>
      <c r="CS141" s="532" t="s">
        <v>308</v>
      </c>
      <c r="CT141" s="431"/>
      <c r="CU141" s="432" t="s">
        <v>288</v>
      </c>
      <c r="CV141" s="433">
        <f>RSQ($B142:$B152,CW142:CW152)</f>
        <v>0.98961516821892859</v>
      </c>
      <c r="CW141" s="434" t="s">
        <v>310</v>
      </c>
      <c r="CX141" s="435" t="s">
        <v>290</v>
      </c>
    </row>
    <row r="142" spans="1:102" ht="15" customHeight="1">
      <c r="A142" s="436"/>
      <c r="B142" s="437"/>
      <c r="C142" s="533"/>
      <c r="D142" s="438"/>
      <c r="E142" s="534"/>
      <c r="F142" s="498" t="s">
        <v>311</v>
      </c>
      <c r="I142" s="502"/>
      <c r="J142" s="444"/>
      <c r="K142" s="535"/>
      <c r="M142" s="536"/>
      <c r="N142" s="331"/>
      <c r="O142" s="331"/>
      <c r="P142" s="331"/>
      <c r="Q142" s="443"/>
      <c r="R142" s="502"/>
      <c r="T142" s="536"/>
      <c r="U142" s="331"/>
      <c r="V142" s="331"/>
      <c r="W142" s="331"/>
      <c r="X142" s="443"/>
      <c r="Y142" s="502"/>
      <c r="AA142" s="536"/>
      <c r="AB142" s="331"/>
      <c r="AC142" s="331"/>
      <c r="AD142" s="331"/>
      <c r="AE142" s="443"/>
      <c r="AF142" s="502"/>
      <c r="AH142" s="536"/>
      <c r="AI142" s="331"/>
      <c r="AJ142" s="331"/>
      <c r="AK142" s="331"/>
      <c r="AL142" s="443"/>
      <c r="AM142" s="502"/>
      <c r="AO142" s="536"/>
      <c r="AP142" s="331"/>
      <c r="AQ142" s="331"/>
      <c r="AR142" s="331"/>
      <c r="AS142" s="443"/>
      <c r="AT142" s="502"/>
      <c r="AV142" s="536"/>
      <c r="AW142" s="331"/>
      <c r="AX142" s="331"/>
      <c r="AY142" s="331"/>
      <c r="AZ142" s="443"/>
      <c r="BA142" s="502"/>
      <c r="BC142" s="536"/>
      <c r="BD142" s="331"/>
      <c r="BE142" s="331"/>
      <c r="BF142" s="331"/>
      <c r="BG142" s="443"/>
      <c r="BH142" s="502"/>
      <c r="BJ142" s="536"/>
      <c r="BK142" s="331"/>
      <c r="BL142" s="331"/>
      <c r="BM142" s="331"/>
      <c r="BN142" s="443"/>
      <c r="BO142" s="502"/>
      <c r="BQ142" s="536"/>
      <c r="BR142" s="331"/>
      <c r="BS142" s="331"/>
      <c r="BT142" s="331"/>
      <c r="BU142" s="443"/>
      <c r="BV142" s="502"/>
      <c r="BX142" s="536"/>
      <c r="BY142" s="331"/>
      <c r="BZ142" s="331"/>
      <c r="CA142" s="331"/>
      <c r="CB142" s="443"/>
      <c r="CC142" s="502"/>
      <c r="CE142" s="536"/>
      <c r="CF142" s="331"/>
      <c r="CG142" s="331"/>
      <c r="CH142" s="331"/>
      <c r="CI142" s="443"/>
      <c r="CJ142" s="502"/>
      <c r="CL142" s="536"/>
      <c r="CM142" s="331"/>
      <c r="CN142" s="331"/>
      <c r="CO142" s="331"/>
      <c r="CP142" s="443"/>
      <c r="CQ142" s="502"/>
      <c r="CS142" s="536"/>
      <c r="CT142" s="331"/>
      <c r="CU142" s="331"/>
      <c r="CV142" s="331"/>
      <c r="CW142" s="443"/>
      <c r="CX142" s="502"/>
    </row>
    <row r="143" spans="1:102" ht="15" customHeight="1">
      <c r="A143" s="436"/>
      <c r="B143" s="437"/>
      <c r="C143" s="533"/>
      <c r="D143" s="438"/>
      <c r="E143" s="534"/>
      <c r="F143" s="498"/>
      <c r="I143" s="443"/>
      <c r="J143" s="446"/>
      <c r="K143" s="535"/>
      <c r="M143" s="536"/>
      <c r="N143" s="451"/>
      <c r="O143" s="451"/>
      <c r="P143" s="451"/>
      <c r="Q143" s="443"/>
      <c r="R143" s="443"/>
      <c r="T143" s="536"/>
      <c r="U143" s="451"/>
      <c r="V143" s="451"/>
      <c r="W143" s="451"/>
      <c r="X143" s="443"/>
      <c r="Y143" s="443"/>
      <c r="AA143" s="536"/>
      <c r="AB143" s="451"/>
      <c r="AC143" s="451"/>
      <c r="AD143" s="451"/>
      <c r="AE143" s="443"/>
      <c r="AF143" s="443"/>
      <c r="AH143" s="536"/>
      <c r="AI143" s="451"/>
      <c r="AJ143" s="451"/>
      <c r="AK143" s="451"/>
      <c r="AL143" s="443"/>
      <c r="AM143" s="443"/>
      <c r="AO143" s="536"/>
      <c r="AP143" s="451"/>
      <c r="AQ143" s="451"/>
      <c r="AR143" s="451"/>
      <c r="AS143" s="443"/>
      <c r="AT143" s="443"/>
      <c r="AV143" s="536"/>
      <c r="AW143" s="451"/>
      <c r="AX143" s="451"/>
      <c r="AY143" s="451"/>
      <c r="AZ143" s="443"/>
      <c r="BA143" s="443"/>
      <c r="BC143" s="536"/>
      <c r="BD143" s="451"/>
      <c r="BE143" s="451"/>
      <c r="BF143" s="451"/>
      <c r="BG143" s="443"/>
      <c r="BH143" s="443"/>
      <c r="BJ143" s="536"/>
      <c r="BK143" s="451"/>
      <c r="BL143" s="451"/>
      <c r="BM143" s="451"/>
      <c r="BN143" s="443"/>
      <c r="BO143" s="443"/>
      <c r="BQ143" s="536"/>
      <c r="BR143" s="451"/>
      <c r="BS143" s="451"/>
      <c r="BT143" s="451"/>
      <c r="BU143" s="443"/>
      <c r="BV143" s="443"/>
      <c r="BX143" s="536"/>
      <c r="BY143" s="451"/>
      <c r="BZ143" s="451"/>
      <c r="CA143" s="451"/>
      <c r="CB143" s="443"/>
      <c r="CC143" s="443"/>
      <c r="CE143" s="536"/>
      <c r="CF143" s="451"/>
      <c r="CG143" s="451"/>
      <c r="CH143" s="451"/>
      <c r="CI143" s="443"/>
      <c r="CJ143" s="443"/>
      <c r="CL143" s="536"/>
      <c r="CM143" s="451"/>
      <c r="CN143" s="451"/>
      <c r="CO143" s="451"/>
      <c r="CP143" s="443"/>
      <c r="CQ143" s="443"/>
      <c r="CS143" s="536"/>
      <c r="CT143" s="451"/>
      <c r="CU143" s="451"/>
      <c r="CV143" s="451"/>
      <c r="CW143" s="443"/>
      <c r="CX143" s="443"/>
    </row>
    <row r="144" spans="1:102" ht="15" customHeight="1">
      <c r="A144" s="436"/>
      <c r="B144" s="437"/>
      <c r="C144" s="533"/>
      <c r="D144" s="438"/>
      <c r="E144" s="534"/>
      <c r="F144" s="498" t="s">
        <v>312</v>
      </c>
      <c r="I144" s="443"/>
      <c r="J144" s="446"/>
      <c r="K144" s="535"/>
      <c r="M144" s="536"/>
      <c r="N144" s="442" t="s">
        <v>313</v>
      </c>
      <c r="O144" s="537">
        <f>F159</f>
        <v>95600</v>
      </c>
      <c r="P144" s="451"/>
      <c r="Q144" s="443"/>
      <c r="R144" s="443"/>
      <c r="T144" s="536"/>
      <c r="U144" s="442" t="s">
        <v>313</v>
      </c>
      <c r="V144" s="538">
        <f>F160</f>
        <v>95700</v>
      </c>
      <c r="W144" s="451"/>
      <c r="X144" s="443"/>
      <c r="Y144" s="443"/>
      <c r="AA144" s="536"/>
      <c r="AB144" s="442" t="s">
        <v>313</v>
      </c>
      <c r="AC144" s="538">
        <f>F161</f>
        <v>95800</v>
      </c>
      <c r="AD144" s="451"/>
      <c r="AE144" s="443"/>
      <c r="AF144" s="443"/>
      <c r="AH144" s="536"/>
      <c r="AI144" s="442" t="s">
        <v>313</v>
      </c>
      <c r="AJ144" s="538">
        <f>F162</f>
        <v>95900</v>
      </c>
      <c r="AK144" s="451"/>
      <c r="AL144" s="443"/>
      <c r="AM144" s="443"/>
      <c r="AO144" s="536"/>
      <c r="AP144" s="442" t="s">
        <v>313</v>
      </c>
      <c r="AQ144" s="538">
        <f>F163</f>
        <v>96000</v>
      </c>
      <c r="AR144" s="451"/>
      <c r="AS144" s="443"/>
      <c r="AT144" s="443"/>
      <c r="AV144" s="536"/>
      <c r="AW144" s="442" t="s">
        <v>313</v>
      </c>
      <c r="AX144" s="538">
        <f>F164</f>
        <v>96100</v>
      </c>
      <c r="AY144" s="538"/>
      <c r="AZ144" s="443"/>
      <c r="BA144" s="443"/>
      <c r="BC144" s="536"/>
      <c r="BD144" s="442" t="s">
        <v>314</v>
      </c>
      <c r="BE144" s="538">
        <f>F165</f>
        <v>96200</v>
      </c>
      <c r="BF144" s="451"/>
      <c r="BG144" s="443"/>
      <c r="BH144" s="443"/>
      <c r="BJ144" s="536"/>
      <c r="BK144" s="442" t="s">
        <v>313</v>
      </c>
      <c r="BL144" s="538">
        <f>F166</f>
        <v>96300</v>
      </c>
      <c r="BM144" s="451"/>
      <c r="BN144" s="443"/>
      <c r="BO144" s="443"/>
      <c r="BQ144" s="536"/>
      <c r="BR144" s="442" t="s">
        <v>313</v>
      </c>
      <c r="BS144" s="538">
        <f>F167</f>
        <v>96400</v>
      </c>
      <c r="BT144" s="451"/>
      <c r="BU144" s="443"/>
      <c r="BV144" s="443"/>
      <c r="BX144" s="536"/>
      <c r="BY144" s="442" t="s">
        <v>313</v>
      </c>
      <c r="BZ144" s="538">
        <f>F168</f>
        <v>96500</v>
      </c>
      <c r="CA144" s="451"/>
      <c r="CB144" s="443"/>
      <c r="CC144" s="443"/>
      <c r="CE144" s="536"/>
      <c r="CF144" s="442" t="s">
        <v>313</v>
      </c>
      <c r="CG144" s="538">
        <f>F169</f>
        <v>96600</v>
      </c>
      <c r="CH144" s="451"/>
      <c r="CI144" s="443"/>
      <c r="CJ144" s="443"/>
      <c r="CL144" s="536"/>
      <c r="CM144" s="442" t="s">
        <v>313</v>
      </c>
      <c r="CN144" s="538">
        <f>F170</f>
        <v>96700</v>
      </c>
      <c r="CO144" s="451"/>
      <c r="CP144" s="443"/>
      <c r="CQ144" s="443"/>
      <c r="CS144" s="536"/>
      <c r="CT144" s="442" t="s">
        <v>313</v>
      </c>
      <c r="CU144" s="538">
        <f>F171</f>
        <v>96800</v>
      </c>
      <c r="CV144" s="451"/>
      <c r="CW144" s="443"/>
      <c r="CX144" s="443"/>
    </row>
    <row r="145" spans="1:102" ht="15" customHeight="1">
      <c r="A145" s="436"/>
      <c r="B145" s="437"/>
      <c r="C145" s="533"/>
      <c r="D145" s="438"/>
      <c r="E145" s="534"/>
      <c r="F145" s="451" t="s">
        <v>315</v>
      </c>
      <c r="G145" s="539"/>
      <c r="H145" s="439"/>
      <c r="I145" s="443"/>
      <c r="J145" s="446"/>
      <c r="K145" s="535"/>
      <c r="M145" s="536"/>
      <c r="N145" s="442" t="s">
        <v>316</v>
      </c>
      <c r="O145" s="504">
        <f>INDEX(LINEST(M148:M152,$E148:$E152),1)</f>
        <v>0.88335201597140356</v>
      </c>
      <c r="Q145" s="443"/>
      <c r="R145" s="443"/>
      <c r="T145" s="536"/>
      <c r="U145" s="442" t="s">
        <v>316</v>
      </c>
      <c r="V145" s="504">
        <f>INDEX(LINEST(T148:T152,$E148:$E152),1)</f>
        <v>0.90167055854084899</v>
      </c>
      <c r="X145" s="443"/>
      <c r="Y145" s="443"/>
      <c r="AA145" s="536"/>
      <c r="AB145" s="442" t="s">
        <v>316</v>
      </c>
      <c r="AC145" s="504">
        <f>INDEX(LINEST(AA148:AA152,$E148:$E152),1)</f>
        <v>0.92088318417657589</v>
      </c>
      <c r="AE145" s="443"/>
      <c r="AF145" s="443"/>
      <c r="AH145" s="536"/>
      <c r="AI145" s="442" t="s">
        <v>316</v>
      </c>
      <c r="AJ145" s="504">
        <f>INDEX(LINEST(AH148:AH152,$E148:$E152),1)</f>
        <v>0.94106575635534739</v>
      </c>
      <c r="AL145" s="443"/>
      <c r="AM145" s="443"/>
      <c r="AO145" s="536"/>
      <c r="AP145" s="442" t="s">
        <v>316</v>
      </c>
      <c r="AQ145" s="504">
        <f>INDEX(LINEST(AO148:AO152,$E148:$E152),1)</f>
        <v>0.96230386594114714</v>
      </c>
      <c r="AS145" s="443"/>
      <c r="AT145" s="443"/>
      <c r="AV145" s="536"/>
      <c r="AW145" s="442" t="s">
        <v>316</v>
      </c>
      <c r="AX145" s="504">
        <f>INDEX(LINEST(AV148:AV152,$E148:$E152),1)</f>
        <v>0.9846945619281704</v>
      </c>
      <c r="AZ145" s="443"/>
      <c r="BA145" s="443"/>
      <c r="BC145" s="536"/>
      <c r="BD145" s="442" t="s">
        <v>316</v>
      </c>
      <c r="BE145" s="504">
        <f>INDEX(LINEST(BC148:BC152,$E148:$E152),1)</f>
        <v>1.0083484861411971</v>
      </c>
      <c r="BG145" s="443"/>
      <c r="BH145" s="443"/>
      <c r="BJ145" s="536"/>
      <c r="BK145" s="442" t="s">
        <v>316</v>
      </c>
      <c r="BL145" s="504">
        <f>INDEX(LINEST(BJ148:BJ152,$E148:$E152),1)</f>
        <v>1.0333925309473497</v>
      </c>
      <c r="BN145" s="443"/>
      <c r="BO145" s="443"/>
      <c r="BQ145" s="536"/>
      <c r="BR145" s="442" t="s">
        <v>316</v>
      </c>
      <c r="BS145" s="504">
        <f>INDEX(LINEST(BQ148:BQ152,$E148:$E152),1)</f>
        <v>1.0599731821844263</v>
      </c>
      <c r="BU145" s="443"/>
      <c r="BV145" s="443"/>
      <c r="BX145" s="536"/>
      <c r="BY145" s="442" t="s">
        <v>316</v>
      </c>
      <c r="BZ145" s="504">
        <f>INDEX(LINEST(BX148:BX152,$E148:$E152),1)</f>
        <v>1.0882607715426118</v>
      </c>
      <c r="CB145" s="443"/>
      <c r="CC145" s="443"/>
      <c r="CE145" s="536"/>
      <c r="CF145" s="442" t="s">
        <v>316</v>
      </c>
      <c r="CG145" s="504">
        <f>INDEX(LINEST(CE148:CE152,$E148:$E152),1)</f>
        <v>1.1184549533902994</v>
      </c>
      <c r="CI145" s="443"/>
      <c r="CJ145" s="443"/>
      <c r="CL145" s="536"/>
      <c r="CM145" s="442" t="s">
        <v>316</v>
      </c>
      <c r="CN145" s="504">
        <f>INDEX(LINEST(CL148:CL152,$E148:$E152),1)</f>
        <v>1.1507918564079478</v>
      </c>
      <c r="CP145" s="443"/>
      <c r="CQ145" s="443"/>
      <c r="CS145" s="536"/>
      <c r="CT145" s="442" t="s">
        <v>316</v>
      </c>
      <c r="CU145" s="504">
        <f>INDEX(LINEST(CS148:CS152,$E148:$E152),1)</f>
        <v>1.1855535667083883</v>
      </c>
      <c r="CW145" s="443"/>
      <c r="CX145" s="443"/>
    </row>
    <row r="146" spans="1:102" ht="15" customHeight="1">
      <c r="A146" s="436"/>
      <c r="B146" s="437"/>
      <c r="C146" s="533"/>
      <c r="D146" s="438"/>
      <c r="E146" s="534"/>
      <c r="I146" s="443"/>
      <c r="J146" s="446"/>
      <c r="K146" s="443"/>
      <c r="M146" s="536"/>
      <c r="N146" s="442" t="s">
        <v>317</v>
      </c>
      <c r="O146" s="442" t="s">
        <v>318</v>
      </c>
      <c r="P146" s="504">
        <f>INDEX(LINEST(M148:M152,$E148:$E152),2)</f>
        <v>7.8571609186939861</v>
      </c>
      <c r="Q146" s="443"/>
      <c r="R146" s="443"/>
      <c r="T146" s="536"/>
      <c r="U146" s="442" t="s">
        <v>317</v>
      </c>
      <c r="V146" s="442" t="s">
        <v>318</v>
      </c>
      <c r="W146" s="504">
        <f>INDEX(LINEST(T148:T152,$E148:$E152),2)</f>
        <v>7.8203994562272703</v>
      </c>
      <c r="X146" s="443"/>
      <c r="Y146" s="443"/>
      <c r="AA146" s="536"/>
      <c r="AB146" s="442" t="s">
        <v>317</v>
      </c>
      <c r="AC146" s="442" t="s">
        <v>318</v>
      </c>
      <c r="AD146" s="504">
        <f>INDEX(LINEST(AA148:AA152,$E148:$E152),2)</f>
        <v>7.7822862614248871</v>
      </c>
      <c r="AE146" s="443"/>
      <c r="AF146" s="443"/>
      <c r="AH146" s="536"/>
      <c r="AI146" s="442" t="s">
        <v>317</v>
      </c>
      <c r="AJ146" s="442" t="s">
        <v>318</v>
      </c>
      <c r="AK146" s="504">
        <f>INDEX(LINEST(AH148:AH152,$E148:$E152),2)</f>
        <v>7.7427164019531318</v>
      </c>
      <c r="AL146" s="443"/>
      <c r="AM146" s="443"/>
      <c r="AO146" s="536"/>
      <c r="AP146" s="442" t="s">
        <v>317</v>
      </c>
      <c r="AQ146" s="442" t="s">
        <v>318</v>
      </c>
      <c r="AR146" s="504">
        <f>INDEX(LINEST(AO148:AO152,$E148:$E152),2)</f>
        <v>7.7015719498109751</v>
      </c>
      <c r="AS146" s="443"/>
      <c r="AT146" s="443"/>
      <c r="AV146" s="536"/>
      <c r="AW146" s="442" t="s">
        <v>317</v>
      </c>
      <c r="AX146" s="442" t="s">
        <v>318</v>
      </c>
      <c r="AY146" s="504">
        <f>INDEX(LINEST(AV148:AV152,$E148:$E152),2)</f>
        <v>7.6587197044725102</v>
      </c>
      <c r="AZ146" s="443"/>
      <c r="BA146" s="443"/>
      <c r="BC146" s="536"/>
      <c r="BD146" s="442" t="s">
        <v>317</v>
      </c>
      <c r="BE146" s="442" t="s">
        <v>318</v>
      </c>
      <c r="BF146" s="504">
        <f>INDEX(LINEST(BC148:BC152,$E148:$E152),2)</f>
        <v>7.6140083885947547</v>
      </c>
      <c r="BG146" s="443"/>
      <c r="BH146" s="443"/>
      <c r="BJ146" s="536"/>
      <c r="BK146" s="442" t="s">
        <v>317</v>
      </c>
      <c r="BL146" s="442" t="s">
        <v>318</v>
      </c>
      <c r="BM146" s="504">
        <f>INDEX(LINEST(BJ148:BJ152,$E148:$E152),2)</f>
        <v>7.5672651614500523</v>
      </c>
      <c r="BN146" s="443"/>
      <c r="BO146" s="443"/>
      <c r="BQ146" s="536"/>
      <c r="BR146" s="442" t="s">
        <v>317</v>
      </c>
      <c r="BS146" s="442" t="s">
        <v>318</v>
      </c>
      <c r="BT146" s="504">
        <f>INDEX(LINEST(BQ148:BQ152,$E148:$E152),2)</f>
        <v>7.5182912392365475</v>
      </c>
      <c r="BU146" s="443"/>
      <c r="BV146" s="443"/>
      <c r="BX146" s="536"/>
      <c r="BY146" s="442" t="s">
        <v>317</v>
      </c>
      <c r="BZ146" s="442" t="s">
        <v>318</v>
      </c>
      <c r="CA146" s="504">
        <f>INDEX(LINEST(BX148:BX152,$E148:$E152),2)</f>
        <v>7.4668563309362259</v>
      </c>
      <c r="CB146" s="443"/>
      <c r="CC146" s="443"/>
      <c r="CE146" s="536"/>
      <c r="CF146" s="442" t="s">
        <v>317</v>
      </c>
      <c r="CG146" s="442" t="s">
        <v>318</v>
      </c>
      <c r="CH146" s="504">
        <f>INDEX(LINEST(CE148:CE152,$E148:$E152),2)</f>
        <v>7.4126914806762887</v>
      </c>
      <c r="CI146" s="443"/>
      <c r="CJ146" s="443"/>
      <c r="CL146" s="536"/>
      <c r="CM146" s="442" t="s">
        <v>317</v>
      </c>
      <c r="CN146" s="442" t="s">
        <v>318</v>
      </c>
      <c r="CO146" s="504">
        <f>INDEX(LINEST(CL148:CL152,$E148:$E152),2)</f>
        <v>7.3554797320101253</v>
      </c>
      <c r="CP146" s="443"/>
      <c r="CQ146" s="443"/>
      <c r="CS146" s="536"/>
      <c r="CT146" s="442" t="s">
        <v>317</v>
      </c>
      <c r="CU146" s="442" t="s">
        <v>318</v>
      </c>
      <c r="CV146" s="504">
        <f>INDEX(LINEST(CS148:CS152,$E148:$E152),2)</f>
        <v>7.294843762070963</v>
      </c>
      <c r="CW146" s="443"/>
      <c r="CX146" s="443"/>
    </row>
    <row r="147" spans="1:102" ht="15" customHeight="1">
      <c r="A147" s="436"/>
      <c r="B147" s="437"/>
      <c r="C147" s="533"/>
      <c r="D147" s="438"/>
      <c r="E147" s="534"/>
      <c r="F147" s="540" t="s">
        <v>314</v>
      </c>
      <c r="G147" s="541">
        <f>INDEX(F159:L171,MATCH(1,L159:L171,0),1)</f>
        <v>95900</v>
      </c>
      <c r="H147" s="439"/>
      <c r="I147" s="443"/>
      <c r="J147" s="446"/>
      <c r="K147" s="443"/>
      <c r="M147" s="536"/>
      <c r="N147" s="442" t="s">
        <v>319</v>
      </c>
      <c r="O147" s="542">
        <f>EXP(P146)</f>
        <v>2584.173272806454</v>
      </c>
      <c r="P147" s="451"/>
      <c r="Q147" s="443"/>
      <c r="R147" s="443"/>
      <c r="T147" s="536"/>
      <c r="U147" s="442" t="s">
        <v>305</v>
      </c>
      <c r="V147" s="542">
        <f>EXP(W146)</f>
        <v>2490.9002149426988</v>
      </c>
      <c r="W147" s="504"/>
      <c r="X147" s="443"/>
      <c r="Y147" s="443"/>
      <c r="AA147" s="536"/>
      <c r="AB147" s="442" t="s">
        <v>305</v>
      </c>
      <c r="AC147" s="542">
        <f>EXP(AD146)</f>
        <v>2397.7504431445868</v>
      </c>
      <c r="AD147" s="451"/>
      <c r="AE147" s="443"/>
      <c r="AF147" s="443"/>
      <c r="AH147" s="536"/>
      <c r="AI147" s="442" t="s">
        <v>305</v>
      </c>
      <c r="AJ147" s="542">
        <f>EXP(AK146)</f>
        <v>2304.7244457061579</v>
      </c>
      <c r="AK147" s="451"/>
      <c r="AL147" s="443"/>
      <c r="AM147" s="443"/>
      <c r="AO147" s="536"/>
      <c r="AP147" s="442" t="s">
        <v>305</v>
      </c>
      <c r="AQ147" s="542">
        <f>EXP(AR146)</f>
        <v>2211.8221339687257</v>
      </c>
      <c r="AR147" s="451"/>
      <c r="AS147" s="443"/>
      <c r="AT147" s="443"/>
      <c r="AV147" s="536"/>
      <c r="AW147" s="442" t="s">
        <v>305</v>
      </c>
      <c r="AX147" s="542">
        <f>EXP(AY146)</f>
        <v>2119.0426902367449</v>
      </c>
      <c r="AY147" s="451"/>
      <c r="AZ147" s="443"/>
      <c r="BA147" s="443"/>
      <c r="BC147" s="536"/>
      <c r="BD147" s="442" t="s">
        <v>305</v>
      </c>
      <c r="BE147" s="542">
        <f>EXP(BF146)</f>
        <v>2026.384376328361</v>
      </c>
      <c r="BF147" s="451"/>
      <c r="BG147" s="443"/>
      <c r="BH147" s="443"/>
      <c r="BJ147" s="536"/>
      <c r="BK147" s="442" t="s">
        <v>305</v>
      </c>
      <c r="BL147" s="542">
        <f>EXP(BM146)</f>
        <v>1933.8442911032969</v>
      </c>
      <c r="BM147" s="451"/>
      <c r="BN147" s="443"/>
      <c r="BO147" s="443"/>
      <c r="BQ147" s="536"/>
      <c r="BR147" s="442" t="s">
        <v>305</v>
      </c>
      <c r="BS147" s="542">
        <f>EXP(BT146)</f>
        <v>1841.4180612446673</v>
      </c>
      <c r="BT147" s="451"/>
      <c r="BU147" s="443"/>
      <c r="BV147" s="443"/>
      <c r="BX147" s="536"/>
      <c r="BY147" s="442" t="s">
        <v>305</v>
      </c>
      <c r="BZ147" s="542">
        <f>EXP(CA146)</f>
        <v>1749.0994438268824</v>
      </c>
      <c r="CA147" s="451"/>
      <c r="CB147" s="443"/>
      <c r="CC147" s="443"/>
      <c r="CE147" s="536"/>
      <c r="CF147" s="442" t="s">
        <v>305</v>
      </c>
      <c r="CG147" s="542">
        <f>EXP(CH146)</f>
        <v>1656.8798109639094</v>
      </c>
      <c r="CH147" s="451"/>
      <c r="CI147" s="443"/>
      <c r="CJ147" s="443"/>
      <c r="CL147" s="536"/>
      <c r="CM147" s="442" t="s">
        <v>305</v>
      </c>
      <c r="CN147" s="542">
        <f>EXP(CO146)</f>
        <v>1564.7474748168033</v>
      </c>
      <c r="CO147" s="451"/>
      <c r="CP147" s="443"/>
      <c r="CQ147" s="443"/>
      <c r="CS147" s="536"/>
      <c r="CT147" s="442" t="s">
        <v>305</v>
      </c>
      <c r="CU147" s="542">
        <f>EXP(CV146)</f>
        <v>1472.6867933846354</v>
      </c>
      <c r="CV147" s="451"/>
      <c r="CW147" s="443"/>
      <c r="CX147" s="443"/>
    </row>
    <row r="148" spans="1:102" ht="15" customHeight="1">
      <c r="A148" s="436">
        <f t="shared" ref="A148:B157" si="26">A110</f>
        <v>2010</v>
      </c>
      <c r="B148" s="437">
        <f t="shared" si="26"/>
        <v>98279</v>
      </c>
      <c r="C148" s="533">
        <f t="shared" ref="C148:C152" si="27">LN(B148-$G$147)</f>
        <v>7.7744355103029577</v>
      </c>
      <c r="D148" s="438">
        <f t="shared" ref="D148:D174" si="28">C71</f>
        <v>1</v>
      </c>
      <c r="E148" s="534">
        <f t="shared" ref="E148:E152" si="29">LN(D148)</f>
        <v>0</v>
      </c>
      <c r="F148" s="540" t="s">
        <v>306</v>
      </c>
      <c r="G148" s="504">
        <f>INDEX(LINEST(C148:C152,E148:E152),1)</f>
        <v>0.94106575635534739</v>
      </c>
      <c r="H148" s="439"/>
      <c r="I148" s="443">
        <f t="shared" ref="I148:I174" si="30">ROUND($G$147+$G$150*D148^$G$148,$G$1)</f>
        <v>98205</v>
      </c>
      <c r="J148" s="446">
        <f t="shared" ref="J148:J152" si="31">ABS(B148-I148)/B148*100</f>
        <v>7.5295841431027993E-2</v>
      </c>
      <c r="K148" s="443">
        <f t="shared" ref="K148:K152" si="32">(B148-I148)^2/1000</f>
        <v>5.476</v>
      </c>
      <c r="M148" s="536">
        <f t="shared" ref="M148:M152" si="33">LN($B148-$O$144)</f>
        <v>7.8931988695446087</v>
      </c>
      <c r="Q148" s="443">
        <f t="shared" ref="Q148:Q152" si="34">ROUND($O$147*D148^$O$145+$O$144,$G$1)</f>
        <v>98184</v>
      </c>
      <c r="R148" s="443">
        <f t="shared" ref="R148:R152" si="35">($B148-Q148)^2/1000</f>
        <v>9.0250000000000004</v>
      </c>
      <c r="T148" s="536">
        <f t="shared" ref="T148:T152" si="36">LN($B148-$V$144)</f>
        <v>7.8551570058813445</v>
      </c>
      <c r="W148" s="451"/>
      <c r="X148" s="443">
        <f t="shared" ref="X148:X152" si="37">ROUND($V$147*D148^$V$145+$V$144,$G$1)</f>
        <v>98191</v>
      </c>
      <c r="Y148" s="443">
        <f t="shared" ref="Y148:Y152" si="38">($B148-X148)^2/1000</f>
        <v>7.7439999999999998</v>
      </c>
      <c r="AA148" s="536">
        <f t="shared" ref="AA148:AA152" si="39">LN($B148-$AC$144)</f>
        <v>7.8156105320351905</v>
      </c>
      <c r="AD148" s="451"/>
      <c r="AE148" s="443">
        <f t="shared" ref="AE148:AE152" si="40">ROUND($AC$147*$D148^$AC$145+$AC$144,$G$1)</f>
        <v>98198</v>
      </c>
      <c r="AF148" s="443">
        <f t="shared" ref="AF148:AF152" si="41">($B148-AE148)^2/1000</f>
        <v>6.5609999999999999</v>
      </c>
      <c r="AH148" s="536">
        <f t="shared" ref="AH148:AH152" si="42">LN($B148-$AJ$144)</f>
        <v>7.7744355103029577</v>
      </c>
      <c r="AK148" s="451"/>
      <c r="AL148" s="443">
        <f t="shared" ref="AL148:AL152" si="43">ROUND($AJ$147*$D148^$AJ$145+$AJ$144,$G$1)</f>
        <v>98205</v>
      </c>
      <c r="AM148" s="443">
        <f t="shared" ref="AM148:AM152" si="44">($B148-AL148)^2/1000</f>
        <v>5.476</v>
      </c>
      <c r="AO148" s="536">
        <f t="shared" ref="AO148:AO152" si="45">LN($B148-$AQ$144)</f>
        <v>7.7314920292456843</v>
      </c>
      <c r="AR148" s="451"/>
      <c r="AS148" s="443">
        <f t="shared" ref="AS148:AS152" si="46">ROUND($AQ$147*$D148^$AQ$145+$AQ$144,$G$1)</f>
        <v>98212</v>
      </c>
      <c r="AT148" s="443">
        <f t="shared" ref="AT148:AT152" si="47">($B148-AS148)^2/1000</f>
        <v>4.4889999999999999</v>
      </c>
      <c r="AV148" s="536">
        <f t="shared" ref="AV148:AV152" si="48">LN($B148-$AX$144)</f>
        <v>7.6866213349446202</v>
      </c>
      <c r="AY148" s="451"/>
      <c r="AZ148" s="443">
        <f t="shared" ref="AZ148:AZ152" si="49">ROUND($AX$147*$D148^$AX$145+$AX$144,$G$1)</f>
        <v>98219</v>
      </c>
      <c r="BA148" s="443">
        <f t="shared" ref="BA148:BA152" si="50">($B148-AZ148)^2/1000</f>
        <v>3.6</v>
      </c>
      <c r="BC148" s="536">
        <f t="shared" ref="BC148:BC152" si="51">LN($B148-$BE$144)</f>
        <v>7.6396422878580132</v>
      </c>
      <c r="BF148" s="451"/>
      <c r="BG148" s="443">
        <f t="shared" ref="BG148:BG152" si="52">ROUND($BE$147*$D148^$BE$145+$BE$144,$G$1)</f>
        <v>98226</v>
      </c>
      <c r="BH148" s="443">
        <f t="shared" ref="BH148:BH152" si="53">($B148-BG148)^2/1000</f>
        <v>2.8090000000000002</v>
      </c>
      <c r="BJ148" s="536">
        <f t="shared" ref="BJ148:BJ152" si="54">LN($B148-$BL$144)</f>
        <v>7.5903469456025654</v>
      </c>
      <c r="BM148" s="451"/>
      <c r="BN148" s="443">
        <f t="shared" ref="BN148:BN152" si="55">ROUND($BL$147*$D148^$BL$145+$BL$144,$G$1)</f>
        <v>98234</v>
      </c>
      <c r="BO148" s="443">
        <f t="shared" ref="BO148:BO152" si="56">($B148-BN148)^2/1000</f>
        <v>2.0249999999999999</v>
      </c>
      <c r="BQ148" s="536">
        <f t="shared" ref="BQ148:BQ152" si="57">LN($B148-$BS$144)</f>
        <v>7.5384949994134649</v>
      </c>
      <c r="BT148" s="451"/>
      <c r="BU148" s="443">
        <f t="shared" ref="BU148:BU152" si="58">ROUND($BS$147*$D148^$BS$145+$BS$144,$G$1)</f>
        <v>98241</v>
      </c>
      <c r="BV148" s="443">
        <f t="shared" ref="BV148:BV152" si="59">($B148-BU148)^2/1000</f>
        <v>1.444</v>
      </c>
      <c r="BX148" s="536">
        <f t="shared" ref="BX148:BX152" si="60">LN($B148-$BZ$144)</f>
        <v>7.4838066876658349</v>
      </c>
      <c r="CA148" s="451"/>
      <c r="CB148" s="443">
        <f t="shared" ref="CB148:CB152" si="61">ROUND($BZ$147*$D148^$BZ$145+$BZ$144,$G$1)</f>
        <v>98249</v>
      </c>
      <c r="CC148" s="443">
        <f t="shared" ref="CC148:CC152" si="62">($B148-CB148)^2/1000</f>
        <v>0.9</v>
      </c>
      <c r="CE148" s="536">
        <f t="shared" ref="CE148:CE152" si="63">LN($B148-$CG$144)</f>
        <v>7.4259536570775406</v>
      </c>
      <c r="CH148" s="451"/>
      <c r="CI148" s="443">
        <f t="shared" ref="CI148:CI152" si="64">ROUND($CG$147*$D148^$CG$145+$CG$144,$G$1)</f>
        <v>98257</v>
      </c>
      <c r="CJ148" s="443">
        <f t="shared" ref="CJ148:CJ152" si="65">($B148-CI148)^2/1000</f>
        <v>0.48399999999999999</v>
      </c>
      <c r="CL148" s="536">
        <f t="shared" ref="CL148:CL152" si="66">LN($B148-$CN$144)</f>
        <v>7.364547014255642</v>
      </c>
      <c r="CO148" s="451"/>
      <c r="CP148" s="443">
        <f t="shared" ref="CP148:CP152" si="67">ROUND($CN$147*$D148^$CN$145+$CN$144,$G$1)</f>
        <v>98265</v>
      </c>
      <c r="CQ148" s="443">
        <f t="shared" ref="CQ148:CQ152" si="68">($B148-CP148)^2/1000</f>
        <v>0.19600000000000001</v>
      </c>
      <c r="CS148" s="536">
        <f t="shared" ref="CS148:CS152" si="69">LN($B148-$CU$144)</f>
        <v>7.2991214627107999</v>
      </c>
      <c r="CV148" s="451"/>
      <c r="CW148" s="443">
        <f t="shared" ref="CW148:CW152" si="70">ROUND($CU$147*$D148^$CU$145+$CU$144,$G$1)</f>
        <v>98273</v>
      </c>
      <c r="CX148" s="443">
        <f t="shared" ref="CX148:CX152" si="71">($B148-CW148)^2/1000</f>
        <v>3.5999999999999997E-2</v>
      </c>
    </row>
    <row r="149" spans="1:102" ht="15" customHeight="1">
      <c r="A149" s="436">
        <f t="shared" si="26"/>
        <v>2011</v>
      </c>
      <c r="B149" s="437">
        <f t="shared" si="26"/>
        <v>99952</v>
      </c>
      <c r="C149" s="533">
        <f t="shared" si="27"/>
        <v>8.3069658653685732</v>
      </c>
      <c r="D149" s="438">
        <f t="shared" si="28"/>
        <v>2</v>
      </c>
      <c r="E149" s="543">
        <f t="shared" si="29"/>
        <v>0.69314718055994529</v>
      </c>
      <c r="F149" s="540" t="s">
        <v>301</v>
      </c>
      <c r="G149" s="504">
        <f>INDEX(LINEST(C148:C152,E148:E152),2)</f>
        <v>7.7427164019531318</v>
      </c>
      <c r="H149" s="544" t="s">
        <v>320</v>
      </c>
      <c r="I149" s="443">
        <f t="shared" si="30"/>
        <v>100325</v>
      </c>
      <c r="J149" s="446">
        <f t="shared" si="31"/>
        <v>0.37317912598047065</v>
      </c>
      <c r="K149" s="443">
        <f t="shared" si="32"/>
        <v>139.12899999999999</v>
      </c>
      <c r="M149" s="536">
        <f t="shared" si="33"/>
        <v>8.3783907885357785</v>
      </c>
      <c r="P149" s="451"/>
      <c r="Q149" s="443">
        <f t="shared" si="34"/>
        <v>100367</v>
      </c>
      <c r="R149" s="443">
        <f t="shared" si="35"/>
        <v>172.22499999999999</v>
      </c>
      <c r="T149" s="536">
        <f t="shared" si="36"/>
        <v>8.3551447394618386</v>
      </c>
      <c r="W149" s="451"/>
      <c r="X149" s="443">
        <f t="shared" si="37"/>
        <v>100354</v>
      </c>
      <c r="Y149" s="443">
        <f t="shared" si="38"/>
        <v>161.60400000000001</v>
      </c>
      <c r="AA149" s="536">
        <f t="shared" si="39"/>
        <v>8.3313454248457237</v>
      </c>
      <c r="AD149" s="451"/>
      <c r="AE149" s="443">
        <f t="shared" si="40"/>
        <v>100340</v>
      </c>
      <c r="AF149" s="443">
        <f t="shared" si="41"/>
        <v>150.54400000000001</v>
      </c>
      <c r="AH149" s="536">
        <f t="shared" si="42"/>
        <v>8.3069658653685732</v>
      </c>
      <c r="AK149" s="451"/>
      <c r="AL149" s="443">
        <f t="shared" si="43"/>
        <v>100325</v>
      </c>
      <c r="AM149" s="443">
        <f t="shared" si="44"/>
        <v>139.12899999999999</v>
      </c>
      <c r="AO149" s="536">
        <f t="shared" si="45"/>
        <v>8.2819770588677581</v>
      </c>
      <c r="AR149" s="451"/>
      <c r="AS149" s="443">
        <f t="shared" si="46"/>
        <v>100310</v>
      </c>
      <c r="AT149" s="443">
        <f t="shared" si="47"/>
        <v>128.16399999999999</v>
      </c>
      <c r="AV149" s="536">
        <f t="shared" si="48"/>
        <v>8.2563477729180157</v>
      </c>
      <c r="AY149" s="451"/>
      <c r="AZ149" s="443">
        <f t="shared" si="49"/>
        <v>100293</v>
      </c>
      <c r="BA149" s="443">
        <f t="shared" si="50"/>
        <v>116.28100000000001</v>
      </c>
      <c r="BC149" s="536">
        <f t="shared" si="51"/>
        <v>8.2300443101261145</v>
      </c>
      <c r="BF149" s="451"/>
      <c r="BG149" s="443">
        <f t="shared" si="52"/>
        <v>100276</v>
      </c>
      <c r="BH149" s="443">
        <f t="shared" si="53"/>
        <v>104.976</v>
      </c>
      <c r="BJ149" s="536">
        <f t="shared" si="54"/>
        <v>8.2030302417148597</v>
      </c>
      <c r="BM149" s="451"/>
      <c r="BN149" s="443">
        <f t="shared" si="55"/>
        <v>100258</v>
      </c>
      <c r="BO149" s="443">
        <f t="shared" si="56"/>
        <v>93.635999999999996</v>
      </c>
      <c r="BQ149" s="536">
        <f t="shared" si="57"/>
        <v>8.17526610411206</v>
      </c>
      <c r="BT149" s="451"/>
      <c r="BU149" s="443">
        <f t="shared" si="58"/>
        <v>100239</v>
      </c>
      <c r="BV149" s="443">
        <f t="shared" si="59"/>
        <v>82.369</v>
      </c>
      <c r="BX149" s="536">
        <f t="shared" si="60"/>
        <v>8.1467090522033185</v>
      </c>
      <c r="CA149" s="451"/>
      <c r="CB149" s="443">
        <f t="shared" si="61"/>
        <v>100219</v>
      </c>
      <c r="CC149" s="443">
        <f t="shared" si="62"/>
        <v>71.289000000000001</v>
      </c>
      <c r="CE149" s="536">
        <f t="shared" si="63"/>
        <v>8.1173124616019745</v>
      </c>
      <c r="CH149" s="451"/>
      <c r="CI149" s="443">
        <f t="shared" si="64"/>
        <v>100197</v>
      </c>
      <c r="CJ149" s="443">
        <f t="shared" si="65"/>
        <v>60.024999999999999</v>
      </c>
      <c r="CL149" s="536">
        <f t="shared" si="66"/>
        <v>8.0870254706677009</v>
      </c>
      <c r="CO149" s="451"/>
      <c r="CP149" s="443">
        <f t="shared" si="67"/>
        <v>100174</v>
      </c>
      <c r="CQ149" s="443">
        <f t="shared" si="68"/>
        <v>49.283999999999999</v>
      </c>
      <c r="CS149" s="536">
        <f t="shared" si="69"/>
        <v>8.0557924509777692</v>
      </c>
      <c r="CV149" s="451"/>
      <c r="CW149" s="443">
        <f t="shared" si="70"/>
        <v>100150</v>
      </c>
      <c r="CX149" s="443">
        <f t="shared" si="71"/>
        <v>39.204000000000001</v>
      </c>
    </row>
    <row r="150" spans="1:102" ht="15" customHeight="1">
      <c r="A150" s="436">
        <f t="shared" si="26"/>
        <v>2012</v>
      </c>
      <c r="B150" s="437">
        <f t="shared" si="26"/>
        <v>102796</v>
      </c>
      <c r="C150" s="545">
        <f t="shared" si="27"/>
        <v>8.8386968123435299</v>
      </c>
      <c r="D150" s="438">
        <f t="shared" si="28"/>
        <v>3</v>
      </c>
      <c r="E150" s="546">
        <f t="shared" si="29"/>
        <v>1.0986122886681098</v>
      </c>
      <c r="F150" s="540" t="s">
        <v>305</v>
      </c>
      <c r="G150" s="547">
        <f>EXP(G149)</f>
        <v>2304.7244457061579</v>
      </c>
      <c r="I150" s="443">
        <f t="shared" si="30"/>
        <v>102381</v>
      </c>
      <c r="J150" s="467">
        <f t="shared" si="31"/>
        <v>0.40371220670064983</v>
      </c>
      <c r="K150" s="443">
        <f t="shared" si="32"/>
        <v>172.22499999999999</v>
      </c>
      <c r="M150" s="536">
        <f t="shared" si="33"/>
        <v>8.8812805950704234</v>
      </c>
      <c r="N150" s="451"/>
      <c r="O150" s="451"/>
      <c r="P150" s="510"/>
      <c r="Q150" s="443">
        <f t="shared" si="34"/>
        <v>102420</v>
      </c>
      <c r="R150" s="443">
        <f t="shared" si="35"/>
        <v>141.376</v>
      </c>
      <c r="T150" s="536">
        <f t="shared" si="36"/>
        <v>8.8672865239894154</v>
      </c>
      <c r="U150" s="451"/>
      <c r="V150" s="451"/>
      <c r="W150" s="510"/>
      <c r="X150" s="443">
        <f t="shared" si="37"/>
        <v>102408</v>
      </c>
      <c r="Y150" s="443">
        <f t="shared" si="38"/>
        <v>150.54400000000001</v>
      </c>
      <c r="AA150" s="536">
        <f t="shared" si="39"/>
        <v>8.853093836138493</v>
      </c>
      <c r="AB150" s="451"/>
      <c r="AC150" s="451"/>
      <c r="AD150" s="510"/>
      <c r="AE150" s="443">
        <f t="shared" si="40"/>
        <v>102394</v>
      </c>
      <c r="AF150" s="443">
        <f t="shared" si="41"/>
        <v>161.60400000000001</v>
      </c>
      <c r="AH150" s="536">
        <f t="shared" si="42"/>
        <v>8.8386968123435299</v>
      </c>
      <c r="AI150" s="451"/>
      <c r="AJ150" s="451"/>
      <c r="AK150" s="510"/>
      <c r="AL150" s="443">
        <f t="shared" si="43"/>
        <v>102381</v>
      </c>
      <c r="AM150" s="443">
        <f t="shared" si="44"/>
        <v>172.22499999999999</v>
      </c>
      <c r="AO150" s="536">
        <f t="shared" si="45"/>
        <v>8.8240894827918233</v>
      </c>
      <c r="AP150" s="451"/>
      <c r="AQ150" s="451"/>
      <c r="AR150" s="510"/>
      <c r="AS150" s="443">
        <f t="shared" si="46"/>
        <v>102366</v>
      </c>
      <c r="AT150" s="443">
        <f t="shared" si="47"/>
        <v>184.9</v>
      </c>
      <c r="AV150" s="536">
        <f t="shared" si="48"/>
        <v>8.8092656121693107</v>
      </c>
      <c r="AW150" s="451"/>
      <c r="AX150" s="451"/>
      <c r="AY150" s="510"/>
      <c r="AZ150" s="443">
        <f t="shared" si="49"/>
        <v>102351</v>
      </c>
      <c r="BA150" s="443">
        <f t="shared" si="50"/>
        <v>198.02500000000001</v>
      </c>
      <c r="BC150" s="536">
        <f t="shared" si="51"/>
        <v>8.7942186836794889</v>
      </c>
      <c r="BD150" s="451"/>
      <c r="BE150" s="451"/>
      <c r="BF150" s="510"/>
      <c r="BG150" s="443">
        <f t="shared" si="52"/>
        <v>102335</v>
      </c>
      <c r="BH150" s="443">
        <f t="shared" si="53"/>
        <v>212.52099999999999</v>
      </c>
      <c r="BJ150" s="536">
        <f t="shared" si="54"/>
        <v>8.7789418818415133</v>
      </c>
      <c r="BK150" s="451"/>
      <c r="BL150" s="451"/>
      <c r="BM150" s="510"/>
      <c r="BN150" s="443">
        <f t="shared" si="55"/>
        <v>102318</v>
      </c>
      <c r="BO150" s="443">
        <f t="shared" si="56"/>
        <v>228.48400000000001</v>
      </c>
      <c r="BQ150" s="536">
        <f t="shared" si="57"/>
        <v>8.763428073953845</v>
      </c>
      <c r="BR150" s="451"/>
      <c r="BS150" s="451"/>
      <c r="BT150" s="510"/>
      <c r="BU150" s="443">
        <f t="shared" si="58"/>
        <v>102300</v>
      </c>
      <c r="BV150" s="443">
        <f t="shared" si="59"/>
        <v>246.01599999999999</v>
      </c>
      <c r="BX150" s="536">
        <f t="shared" si="60"/>
        <v>8.7476697900972393</v>
      </c>
      <c r="BY150" s="451"/>
      <c r="BZ150" s="451"/>
      <c r="CA150" s="510"/>
      <c r="CB150" s="443">
        <f t="shared" si="61"/>
        <v>102282</v>
      </c>
      <c r="CC150" s="443">
        <f t="shared" si="62"/>
        <v>264.19600000000003</v>
      </c>
      <c r="CE150" s="536">
        <f t="shared" si="63"/>
        <v>8.7316592015367593</v>
      </c>
      <c r="CF150" s="451"/>
      <c r="CG150" s="451"/>
      <c r="CH150" s="510"/>
      <c r="CI150" s="443">
        <f t="shared" si="64"/>
        <v>102261</v>
      </c>
      <c r="CJ150" s="443">
        <f t="shared" si="65"/>
        <v>286.22500000000002</v>
      </c>
      <c r="CL150" s="536">
        <f t="shared" si="66"/>
        <v>8.7153880973664819</v>
      </c>
      <c r="CM150" s="451"/>
      <c r="CN150" s="451"/>
      <c r="CO150" s="510"/>
      <c r="CP150" s="443">
        <f t="shared" si="67"/>
        <v>102240</v>
      </c>
      <c r="CQ150" s="443">
        <f t="shared" si="68"/>
        <v>309.13600000000002</v>
      </c>
      <c r="CS150" s="536">
        <f t="shared" si="69"/>
        <v>8.6988478592224876</v>
      </c>
      <c r="CT150" s="451"/>
      <c r="CU150" s="451"/>
      <c r="CV150" s="510"/>
      <c r="CW150" s="443">
        <f t="shared" si="70"/>
        <v>102217</v>
      </c>
      <c r="CX150" s="443">
        <f t="shared" si="71"/>
        <v>335.24099999999999</v>
      </c>
    </row>
    <row r="151" spans="1:102" ht="15" customHeight="1">
      <c r="A151" s="436">
        <f t="shared" si="26"/>
        <v>2013</v>
      </c>
      <c r="B151" s="437">
        <f t="shared" si="26"/>
        <v>104316</v>
      </c>
      <c r="C151" s="545">
        <f t="shared" si="27"/>
        <v>9.0378899349774908</v>
      </c>
      <c r="D151" s="438">
        <f t="shared" si="28"/>
        <v>4</v>
      </c>
      <c r="E151" s="546">
        <f t="shared" si="29"/>
        <v>1.3862943611198906</v>
      </c>
      <c r="H151" s="439"/>
      <c r="I151" s="443">
        <f t="shared" si="30"/>
        <v>104396</v>
      </c>
      <c r="J151" s="467">
        <f t="shared" si="31"/>
        <v>7.6690057134092562E-2</v>
      </c>
      <c r="K151" s="443">
        <f t="shared" si="32"/>
        <v>6.4</v>
      </c>
      <c r="M151" s="536">
        <f t="shared" si="33"/>
        <v>9.072915696064511</v>
      </c>
      <c r="N151" s="439" t="s">
        <v>321</v>
      </c>
      <c r="O151" s="504">
        <f>P141</f>
        <v>0.9924085549760997</v>
      </c>
      <c r="P151" s="510"/>
      <c r="Q151" s="443">
        <f t="shared" si="34"/>
        <v>104393</v>
      </c>
      <c r="R151" s="443">
        <f t="shared" si="35"/>
        <v>5.9290000000000003</v>
      </c>
      <c r="T151" s="536">
        <f t="shared" si="36"/>
        <v>9.0613762188362248</v>
      </c>
      <c r="U151" s="439" t="s">
        <v>321</v>
      </c>
      <c r="V151" s="504">
        <f>W141</f>
        <v>0.99250113485712377</v>
      </c>
      <c r="W151" s="510"/>
      <c r="X151" s="443">
        <f t="shared" si="37"/>
        <v>104394</v>
      </c>
      <c r="Y151" s="443">
        <f t="shared" si="38"/>
        <v>6.0839999999999996</v>
      </c>
      <c r="AA151" s="536">
        <f t="shared" si="39"/>
        <v>9.0497020260133709</v>
      </c>
      <c r="AB151" s="439" t="s">
        <v>321</v>
      </c>
      <c r="AC151" s="504">
        <f>AD141</f>
        <v>0.99254178129950188</v>
      </c>
      <c r="AD151" s="510"/>
      <c r="AE151" s="443">
        <f t="shared" si="40"/>
        <v>104395</v>
      </c>
      <c r="AF151" s="443">
        <f t="shared" si="41"/>
        <v>6.2409999999999997</v>
      </c>
      <c r="AH151" s="536">
        <f t="shared" si="42"/>
        <v>9.0378899349774908</v>
      </c>
      <c r="AI151" s="439" t="s">
        <v>321</v>
      </c>
      <c r="AJ151" s="504">
        <f>AK141</f>
        <v>0.99257912032818463</v>
      </c>
      <c r="AK151" s="510"/>
      <c r="AL151" s="443">
        <f t="shared" si="43"/>
        <v>104396</v>
      </c>
      <c r="AM151" s="443">
        <f t="shared" si="44"/>
        <v>6.4</v>
      </c>
      <c r="AO151" s="536">
        <f t="shared" si="45"/>
        <v>9.025936648977904</v>
      </c>
      <c r="AP151" s="439" t="s">
        <v>321</v>
      </c>
      <c r="AQ151" s="504">
        <f>AR141</f>
        <v>0.99253605433830239</v>
      </c>
      <c r="AR151" s="510"/>
      <c r="AS151" s="443">
        <f t="shared" si="46"/>
        <v>104397</v>
      </c>
      <c r="AT151" s="443">
        <f t="shared" si="47"/>
        <v>6.5609999999999999</v>
      </c>
      <c r="AV151" s="536">
        <f t="shared" si="48"/>
        <v>9.0138387516083949</v>
      </c>
      <c r="AW151" s="439" t="s">
        <v>321</v>
      </c>
      <c r="AX151" s="504">
        <f>AY141</f>
        <v>0.99247727746737202</v>
      </c>
      <c r="AY151" s="510"/>
      <c r="AZ151" s="443">
        <f t="shared" si="49"/>
        <v>104398</v>
      </c>
      <c r="BA151" s="443">
        <f t="shared" si="50"/>
        <v>6.7240000000000002</v>
      </c>
      <c r="BC151" s="536">
        <f t="shared" si="51"/>
        <v>9.0015927009457055</v>
      </c>
      <c r="BD151" s="439" t="s">
        <v>321</v>
      </c>
      <c r="BE151" s="504">
        <f>BF141</f>
        <v>0.99233603407556159</v>
      </c>
      <c r="BF151" s="510"/>
      <c r="BG151" s="443">
        <f t="shared" si="52"/>
        <v>104400</v>
      </c>
      <c r="BH151" s="443">
        <f t="shared" si="53"/>
        <v>7.056</v>
      </c>
      <c r="BJ151" s="536">
        <f t="shared" si="54"/>
        <v>8.9891948233246453</v>
      </c>
      <c r="BK151" s="439" t="s">
        <v>321</v>
      </c>
      <c r="BL151" s="504">
        <f>BM141</f>
        <v>0.99212968263134726</v>
      </c>
      <c r="BM151" s="510"/>
      <c r="BN151" s="443">
        <f t="shared" si="55"/>
        <v>104402</v>
      </c>
      <c r="BO151" s="443">
        <f t="shared" si="56"/>
        <v>7.3959999999999999</v>
      </c>
      <c r="BQ151" s="536">
        <f t="shared" si="57"/>
        <v>8.9766413067224562</v>
      </c>
      <c r="BR151" s="439" t="s">
        <v>321</v>
      </c>
      <c r="BS151" s="504">
        <f>BT141</f>
        <v>0.99184231813075641</v>
      </c>
      <c r="BT151" s="510"/>
      <c r="BU151" s="443">
        <f t="shared" si="58"/>
        <v>104404</v>
      </c>
      <c r="BV151" s="443">
        <f t="shared" si="59"/>
        <v>7.7439999999999998</v>
      </c>
      <c r="BX151" s="536">
        <f t="shared" si="60"/>
        <v>8.9639281937226194</v>
      </c>
      <c r="BY151" s="439" t="s">
        <v>321</v>
      </c>
      <c r="BZ151" s="504">
        <f>CA141</f>
        <v>0.99148532652305055</v>
      </c>
      <c r="CA151" s="510"/>
      <c r="CB151" s="443">
        <f t="shared" si="61"/>
        <v>104407</v>
      </c>
      <c r="CC151" s="443">
        <f t="shared" si="62"/>
        <v>8.2810000000000006</v>
      </c>
      <c r="CE151" s="536">
        <f t="shared" si="63"/>
        <v>8.951051374025619</v>
      </c>
      <c r="CF151" s="439" t="s">
        <v>321</v>
      </c>
      <c r="CG151" s="504">
        <f>CH141</f>
        <v>0.9909876109553124</v>
      </c>
      <c r="CH151" s="510"/>
      <c r="CI151" s="443">
        <f t="shared" si="64"/>
        <v>104410</v>
      </c>
      <c r="CJ151" s="443">
        <f t="shared" si="65"/>
        <v>8.8360000000000003</v>
      </c>
      <c r="CL151" s="536">
        <f t="shared" si="66"/>
        <v>8.9380065764712011</v>
      </c>
      <c r="CM151" s="439" t="s">
        <v>321</v>
      </c>
      <c r="CN151" s="504">
        <f>CO141</f>
        <v>0.9903826249604113</v>
      </c>
      <c r="CO151" s="510"/>
      <c r="CP151" s="443">
        <f t="shared" si="67"/>
        <v>104414</v>
      </c>
      <c r="CQ151" s="443">
        <f t="shared" si="68"/>
        <v>9.6039999999999992</v>
      </c>
      <c r="CS151" s="536">
        <f t="shared" si="69"/>
        <v>8.9247893605333566</v>
      </c>
      <c r="CT151" s="439" t="s">
        <v>321</v>
      </c>
      <c r="CU151" s="504">
        <f>CV141</f>
        <v>0.98961516821892859</v>
      </c>
      <c r="CV151" s="510"/>
      <c r="CW151" s="443">
        <f t="shared" si="70"/>
        <v>104419</v>
      </c>
      <c r="CX151" s="443">
        <f t="shared" si="71"/>
        <v>10.609</v>
      </c>
    </row>
    <row r="152" spans="1:102" ht="15" customHeight="1" thickBot="1">
      <c r="A152" s="436">
        <f t="shared" si="26"/>
        <v>2014</v>
      </c>
      <c r="B152" s="437">
        <f t="shared" si="26"/>
        <v>106419</v>
      </c>
      <c r="C152" s="545">
        <f t="shared" si="27"/>
        <v>9.2609384247392743</v>
      </c>
      <c r="D152" s="438">
        <f t="shared" si="28"/>
        <v>5</v>
      </c>
      <c r="E152" s="546">
        <f t="shared" si="29"/>
        <v>1.6094379124341003</v>
      </c>
      <c r="I152" s="443">
        <f t="shared" si="30"/>
        <v>106381</v>
      </c>
      <c r="J152" s="467">
        <f t="shared" si="31"/>
        <v>3.5707909301910368E-2</v>
      </c>
      <c r="K152" s="443">
        <f t="shared" si="32"/>
        <v>1.444</v>
      </c>
      <c r="M152" s="536">
        <f t="shared" si="33"/>
        <v>9.2890591266875742</v>
      </c>
      <c r="N152" s="439" t="s">
        <v>322</v>
      </c>
      <c r="O152" s="548">
        <f>SUM(R142:R152)</f>
        <v>340.65499999999997</v>
      </c>
      <c r="P152" s="509"/>
      <c r="Q152" s="443">
        <f t="shared" si="34"/>
        <v>106309</v>
      </c>
      <c r="R152" s="443">
        <f t="shared" si="35"/>
        <v>12.1</v>
      </c>
      <c r="T152" s="536">
        <f t="shared" si="36"/>
        <v>9.2797731466915199</v>
      </c>
      <c r="U152" s="439" t="s">
        <v>322</v>
      </c>
      <c r="V152" s="548">
        <f>SUM(Y142:Y152)</f>
        <v>333.54500000000007</v>
      </c>
      <c r="W152" s="509"/>
      <c r="X152" s="443">
        <f t="shared" si="37"/>
        <v>106332</v>
      </c>
      <c r="Y152" s="443">
        <f t="shared" si="38"/>
        <v>7.569</v>
      </c>
      <c r="AA152" s="536">
        <f t="shared" si="39"/>
        <v>9.2704001284038462</v>
      </c>
      <c r="AB152" s="439" t="s">
        <v>322</v>
      </c>
      <c r="AC152" s="548">
        <f>SUM(AF142:AF152)</f>
        <v>329.04600000000005</v>
      </c>
      <c r="AD152" s="509"/>
      <c r="AE152" s="443">
        <f t="shared" si="40"/>
        <v>106355</v>
      </c>
      <c r="AF152" s="443">
        <f t="shared" si="41"/>
        <v>4.0960000000000001</v>
      </c>
      <c r="AH152" s="536">
        <f t="shared" si="42"/>
        <v>9.2609384247392743</v>
      </c>
      <c r="AI152" s="439" t="s">
        <v>322</v>
      </c>
      <c r="AJ152" s="548">
        <f>SUM(AM142:AM152)</f>
        <v>324.67399999999998</v>
      </c>
      <c r="AK152" s="509"/>
      <c r="AL152" s="443">
        <f t="shared" si="43"/>
        <v>106381</v>
      </c>
      <c r="AM152" s="443">
        <f t="shared" si="44"/>
        <v>1.444</v>
      </c>
      <c r="AO152" s="536">
        <f t="shared" si="45"/>
        <v>9.251386341412184</v>
      </c>
      <c r="AP152" s="439" t="s">
        <v>322</v>
      </c>
      <c r="AQ152" s="548">
        <f>SUM(AT142:AT152)</f>
        <v>324.23499999999996</v>
      </c>
      <c r="AR152" s="509"/>
      <c r="AS152" s="443">
        <f t="shared" si="46"/>
        <v>106408</v>
      </c>
      <c r="AT152" s="443">
        <f t="shared" si="47"/>
        <v>0.121</v>
      </c>
      <c r="AV152" s="536">
        <f t="shared" si="48"/>
        <v>9.2417421351157145</v>
      </c>
      <c r="AW152" s="439" t="s">
        <v>322</v>
      </c>
      <c r="AX152" s="548">
        <f>SUM(BA142:BA152)</f>
        <v>324.95400000000001</v>
      </c>
      <c r="AY152" s="509"/>
      <c r="AZ152" s="443">
        <f t="shared" si="49"/>
        <v>106437</v>
      </c>
      <c r="BA152" s="443">
        <f t="shared" si="50"/>
        <v>0.32400000000000001</v>
      </c>
      <c r="BC152" s="536">
        <f t="shared" si="51"/>
        <v>9.2320040116122097</v>
      </c>
      <c r="BD152" s="439" t="s">
        <v>322</v>
      </c>
      <c r="BE152" s="548">
        <f>SUM(BH142:BH152)</f>
        <v>329.86199999999997</v>
      </c>
      <c r="BF152" s="509"/>
      <c r="BG152" s="443">
        <f t="shared" si="52"/>
        <v>106469</v>
      </c>
      <c r="BH152" s="443">
        <f t="shared" si="53"/>
        <v>2.5</v>
      </c>
      <c r="BJ152" s="536">
        <f t="shared" si="54"/>
        <v>9.2221701237297591</v>
      </c>
      <c r="BK152" s="439" t="s">
        <v>322</v>
      </c>
      <c r="BL152" s="548">
        <f>SUM(BO142:BO152)</f>
        <v>338.59699999999998</v>
      </c>
      <c r="BM152" s="509"/>
      <c r="BN152" s="443">
        <f t="shared" si="55"/>
        <v>106503</v>
      </c>
      <c r="BO152" s="443">
        <f t="shared" si="56"/>
        <v>7.056</v>
      </c>
      <c r="BQ152" s="536">
        <f t="shared" si="57"/>
        <v>9.212238569259263</v>
      </c>
      <c r="BR152" s="439" t="s">
        <v>322</v>
      </c>
      <c r="BS152" s="548">
        <f>SUM(BV142:BV152)</f>
        <v>352.214</v>
      </c>
      <c r="BT152" s="509"/>
      <c r="BU152" s="443">
        <f t="shared" si="58"/>
        <v>106540</v>
      </c>
      <c r="BV152" s="443">
        <f t="shared" si="59"/>
        <v>14.641</v>
      </c>
      <c r="BX152" s="536">
        <f t="shared" si="60"/>
        <v>9.2022073887459932</v>
      </c>
      <c r="BY152" s="439" t="s">
        <v>322</v>
      </c>
      <c r="BZ152" s="548">
        <f>SUM(CC142:CC152)</f>
        <v>370.58700000000005</v>
      </c>
      <c r="CA152" s="509"/>
      <c r="CB152" s="443">
        <f t="shared" si="61"/>
        <v>106580</v>
      </c>
      <c r="CC152" s="443">
        <f t="shared" si="62"/>
        <v>25.920999999999999</v>
      </c>
      <c r="CE152" s="536">
        <f t="shared" si="63"/>
        <v>9.1920745631692906</v>
      </c>
      <c r="CF152" s="439" t="s">
        <v>322</v>
      </c>
      <c r="CG152" s="548">
        <f>SUM(CJ142:CJ152)</f>
        <v>397.59500000000003</v>
      </c>
      <c r="CH152" s="509"/>
      <c r="CI152" s="443">
        <f t="shared" si="64"/>
        <v>106624</v>
      </c>
      <c r="CJ152" s="443">
        <f t="shared" si="65"/>
        <v>42.024999999999999</v>
      </c>
      <c r="CL152" s="536">
        <f t="shared" si="66"/>
        <v>9.181838011503471</v>
      </c>
      <c r="CM152" s="439" t="s">
        <v>322</v>
      </c>
      <c r="CN152" s="548">
        <f>SUM(CQ142:CQ152)</f>
        <v>432.73600000000005</v>
      </c>
      <c r="CO152" s="509"/>
      <c r="CP152" s="443">
        <f t="shared" si="67"/>
        <v>106673</v>
      </c>
      <c r="CQ152" s="443">
        <f t="shared" si="68"/>
        <v>64.516000000000005</v>
      </c>
      <c r="CS152" s="536">
        <f t="shared" si="69"/>
        <v>9.1714955881526148</v>
      </c>
      <c r="CT152" s="439" t="s">
        <v>322</v>
      </c>
      <c r="CU152" s="548">
        <f>SUM(CX142:CX152)</f>
        <v>479.33899999999994</v>
      </c>
      <c r="CV152" s="509"/>
      <c r="CW152" s="443">
        <f t="shared" si="70"/>
        <v>106726</v>
      </c>
      <c r="CX152" s="443">
        <f t="shared" si="71"/>
        <v>94.248999999999995</v>
      </c>
    </row>
    <row r="153" spans="1:102" ht="15" customHeight="1" thickTop="1">
      <c r="A153" s="458">
        <f t="shared" si="26"/>
        <v>2015</v>
      </c>
      <c r="B153" s="459">
        <f>ROUND($G$147+$G$150*D153^$G$148,$G$1)</f>
        <v>108343</v>
      </c>
      <c r="C153" s="549"/>
      <c r="D153" s="550">
        <f t="shared" si="28"/>
        <v>6</v>
      </c>
      <c r="E153" s="551"/>
      <c r="F153" s="2314" t="s">
        <v>276</v>
      </c>
      <c r="G153" s="2315"/>
      <c r="H153" s="514">
        <f>I141</f>
        <v>0.99257912032818463</v>
      </c>
      <c r="I153" s="464">
        <f t="shared" si="30"/>
        <v>108343</v>
      </c>
      <c r="J153" s="463"/>
      <c r="K153" s="464"/>
      <c r="M153" s="552"/>
      <c r="N153" s="553"/>
      <c r="O153" s="554"/>
      <c r="P153" s="331"/>
      <c r="Q153" s="555"/>
      <c r="R153" s="556"/>
      <c r="T153" s="552"/>
      <c r="U153" s="553"/>
      <c r="V153" s="554"/>
      <c r="W153" s="331"/>
      <c r="X153" s="555"/>
      <c r="Y153" s="556"/>
      <c r="AA153" s="552"/>
      <c r="AB153" s="553"/>
      <c r="AC153" s="554"/>
      <c r="AD153" s="331"/>
      <c r="AE153" s="555"/>
      <c r="AF153" s="556"/>
      <c r="AH153" s="552"/>
      <c r="AI153" s="553"/>
      <c r="AJ153" s="554"/>
      <c r="AK153" s="331"/>
      <c r="AL153" s="555"/>
      <c r="AM153" s="556"/>
      <c r="AO153" s="552"/>
      <c r="AP153" s="553"/>
      <c r="AQ153" s="554"/>
      <c r="AR153" s="331"/>
      <c r="AS153" s="555"/>
      <c r="AT153" s="556"/>
      <c r="AV153" s="552"/>
      <c r="AW153" s="553"/>
      <c r="AX153" s="554"/>
      <c r="AY153" s="331"/>
      <c r="AZ153" s="555"/>
      <c r="BA153" s="556"/>
      <c r="BC153" s="552"/>
      <c r="BD153" s="553"/>
      <c r="BE153" s="554"/>
      <c r="BF153" s="331"/>
      <c r="BG153" s="555"/>
      <c r="BH153" s="556"/>
      <c r="BJ153" s="552"/>
      <c r="BK153" s="553"/>
      <c r="BL153" s="554"/>
      <c r="BM153" s="331"/>
      <c r="BN153" s="555"/>
      <c r="BO153" s="556"/>
      <c r="BQ153" s="552"/>
      <c r="BR153" s="553"/>
      <c r="BS153" s="554"/>
      <c r="BT153" s="331"/>
      <c r="BU153" s="555"/>
      <c r="BV153" s="556"/>
      <c r="BX153" s="552"/>
      <c r="BY153" s="553"/>
      <c r="BZ153" s="554"/>
      <c r="CA153" s="331"/>
      <c r="CB153" s="555"/>
      <c r="CC153" s="556"/>
      <c r="CE153" s="552"/>
      <c r="CF153" s="553"/>
      <c r="CG153" s="554"/>
      <c r="CH153" s="331"/>
      <c r="CI153" s="555"/>
      <c r="CJ153" s="556"/>
      <c r="CL153" s="552"/>
      <c r="CM153" s="553"/>
      <c r="CN153" s="554"/>
      <c r="CO153" s="331"/>
      <c r="CP153" s="555"/>
      <c r="CQ153" s="556"/>
      <c r="CS153" s="552"/>
      <c r="CT153" s="553"/>
      <c r="CU153" s="554"/>
      <c r="CV153" s="331"/>
      <c r="CW153" s="555"/>
      <c r="CX153" s="556"/>
    </row>
    <row r="154" spans="1:102" ht="15" customHeight="1">
      <c r="A154" s="436">
        <f t="shared" si="26"/>
        <v>2016</v>
      </c>
      <c r="B154" s="437">
        <f>ROUND($G$147+$G$150*D154^$G$148,$G$1)</f>
        <v>110285</v>
      </c>
      <c r="C154" s="545"/>
      <c r="D154" s="438">
        <f t="shared" si="28"/>
        <v>7</v>
      </c>
      <c r="E154" s="546"/>
      <c r="F154" s="2318" t="s">
        <v>323</v>
      </c>
      <c r="G154" s="2320"/>
      <c r="H154" s="448">
        <f>SUM(K142:K152)</f>
        <v>324.67399999999998</v>
      </c>
      <c r="I154" s="443">
        <f t="shared" si="30"/>
        <v>110285</v>
      </c>
      <c r="J154" s="467"/>
      <c r="K154" s="443"/>
      <c r="M154" s="557"/>
      <c r="N154" s="439"/>
      <c r="O154" s="548"/>
      <c r="P154" s="451"/>
      <c r="Q154" s="493"/>
      <c r="R154" s="492"/>
      <c r="T154" s="557"/>
      <c r="U154" s="439"/>
      <c r="V154" s="548"/>
      <c r="W154" s="451"/>
      <c r="X154" s="493"/>
      <c r="Y154" s="492"/>
      <c r="AA154" s="557"/>
      <c r="AB154" s="439"/>
      <c r="AC154" s="548"/>
      <c r="AD154" s="451"/>
      <c r="AE154" s="493"/>
      <c r="AF154" s="492"/>
      <c r="AH154" s="557"/>
      <c r="AI154" s="439"/>
      <c r="AJ154" s="548"/>
      <c r="AK154" s="451"/>
      <c r="AL154" s="493"/>
      <c r="AM154" s="492"/>
      <c r="AO154" s="557"/>
      <c r="AP154" s="439"/>
      <c r="AQ154" s="548"/>
      <c r="AR154" s="451"/>
      <c r="AS154" s="493"/>
      <c r="AT154" s="492"/>
      <c r="AV154" s="557"/>
      <c r="AW154" s="439"/>
      <c r="AX154" s="548"/>
      <c r="AY154" s="451"/>
      <c r="AZ154" s="493"/>
      <c r="BA154" s="492"/>
      <c r="BC154" s="557"/>
      <c r="BD154" s="439"/>
      <c r="BE154" s="548"/>
      <c r="BF154" s="451"/>
      <c r="BG154" s="493"/>
      <c r="BH154" s="492"/>
      <c r="BJ154" s="557"/>
      <c r="BK154" s="439"/>
      <c r="BL154" s="548"/>
      <c r="BM154" s="451"/>
      <c r="BN154" s="493"/>
      <c r="BO154" s="492"/>
      <c r="BQ154" s="557"/>
      <c r="BR154" s="439"/>
      <c r="BS154" s="548"/>
      <c r="BT154" s="451"/>
      <c r="BU154" s="493"/>
      <c r="BV154" s="492"/>
      <c r="BX154" s="557"/>
      <c r="BY154" s="439"/>
      <c r="BZ154" s="548"/>
      <c r="CA154" s="451"/>
      <c r="CB154" s="493"/>
      <c r="CC154" s="492"/>
      <c r="CE154" s="557"/>
      <c r="CF154" s="439"/>
      <c r="CG154" s="548"/>
      <c r="CH154" s="451"/>
      <c r="CI154" s="493"/>
      <c r="CJ154" s="492"/>
      <c r="CL154" s="557"/>
      <c r="CM154" s="439"/>
      <c r="CN154" s="548"/>
      <c r="CO154" s="451"/>
      <c r="CP154" s="493"/>
      <c r="CQ154" s="492"/>
      <c r="CS154" s="557"/>
      <c r="CT154" s="439"/>
      <c r="CU154" s="548"/>
      <c r="CV154" s="451"/>
      <c r="CW154" s="493"/>
      <c r="CX154" s="492"/>
    </row>
    <row r="155" spans="1:102" ht="15" customHeight="1">
      <c r="A155" s="436">
        <f t="shared" si="26"/>
        <v>2017</v>
      </c>
      <c r="B155" s="437">
        <f t="shared" ref="B155:B174" si="72">ROUND($G$147+$G$150*D155^$G$148,$G$1)</f>
        <v>112211</v>
      </c>
      <c r="C155" s="545"/>
      <c r="D155" s="438">
        <f t="shared" si="28"/>
        <v>8</v>
      </c>
      <c r="E155" s="546"/>
      <c r="F155" s="2318" t="s">
        <v>324</v>
      </c>
      <c r="G155" s="2320"/>
      <c r="H155" s="449">
        <f>SUM(J142:J152)/D152</f>
        <v>0.1929170281096303</v>
      </c>
      <c r="I155" s="443">
        <f t="shared" si="30"/>
        <v>112211</v>
      </c>
      <c r="J155" s="467"/>
      <c r="K155" s="443"/>
      <c r="M155" s="505" t="s">
        <v>325</v>
      </c>
      <c r="N155" s="505">
        <f>MIN(B142:B152)</f>
        <v>98279</v>
      </c>
      <c r="O155" s="505"/>
      <c r="P155" s="505"/>
      <c r="Q155" s="505"/>
      <c r="R155" s="505"/>
      <c r="S155" s="505"/>
      <c r="T155" s="505" t="s">
        <v>325</v>
      </c>
      <c r="U155" s="505">
        <f>N155</f>
        <v>98279</v>
      </c>
      <c r="V155" s="505"/>
      <c r="W155" s="505"/>
      <c r="X155" s="505"/>
      <c r="Y155" s="505"/>
      <c r="Z155" s="505"/>
      <c r="AA155" s="505" t="s">
        <v>325</v>
      </c>
      <c r="AB155" s="505">
        <f>U155</f>
        <v>98279</v>
      </c>
      <c r="AH155" s="505" t="s">
        <v>325</v>
      </c>
      <c r="AI155" s="505">
        <f>AB155</f>
        <v>98279</v>
      </c>
      <c r="AO155" s="505" t="s">
        <v>325</v>
      </c>
      <c r="AP155" s="505">
        <f>AI155</f>
        <v>98279</v>
      </c>
      <c r="AV155" s="505" t="s">
        <v>325</v>
      </c>
      <c r="AW155" s="505">
        <f>AP155</f>
        <v>98279</v>
      </c>
      <c r="BC155" s="505" t="s">
        <v>325</v>
      </c>
      <c r="BD155" s="505">
        <f>AW155</f>
        <v>98279</v>
      </c>
      <c r="BJ155" s="505" t="s">
        <v>325</v>
      </c>
      <c r="BK155" s="505">
        <f>BD155</f>
        <v>98279</v>
      </c>
      <c r="BQ155" s="505" t="s">
        <v>325</v>
      </c>
      <c r="BR155" s="505">
        <f>BK155</f>
        <v>98279</v>
      </c>
      <c r="BX155" s="505" t="s">
        <v>325</v>
      </c>
      <c r="BY155" s="505">
        <f>BR155</f>
        <v>98279</v>
      </c>
      <c r="CE155" s="505" t="s">
        <v>325</v>
      </c>
      <c r="CF155" s="505">
        <f>BY155</f>
        <v>98279</v>
      </c>
      <c r="CL155" s="505" t="s">
        <v>325</v>
      </c>
      <c r="CM155" s="505">
        <f>CF155</f>
        <v>98279</v>
      </c>
      <c r="CS155" s="505" t="s">
        <v>325</v>
      </c>
      <c r="CT155" s="505">
        <f>CM155</f>
        <v>98279</v>
      </c>
    </row>
    <row r="156" spans="1:102" ht="15" customHeight="1">
      <c r="A156" s="436">
        <f t="shared" si="26"/>
        <v>2018</v>
      </c>
      <c r="B156" s="437">
        <f t="shared" si="72"/>
        <v>114123</v>
      </c>
      <c r="C156" s="545"/>
      <c r="D156" s="438">
        <f t="shared" si="28"/>
        <v>9</v>
      </c>
      <c r="E156" s="546"/>
      <c r="I156" s="443">
        <f t="shared" si="30"/>
        <v>114123</v>
      </c>
      <c r="J156" s="467"/>
      <c r="K156" s="443"/>
      <c r="M156" s="505" t="s">
        <v>326</v>
      </c>
      <c r="N156" s="505">
        <v>3</v>
      </c>
      <c r="O156" s="505"/>
      <c r="P156" s="505"/>
      <c r="Q156" s="505"/>
      <c r="R156" s="505"/>
      <c r="S156" s="505"/>
      <c r="T156" s="505" t="s">
        <v>326</v>
      </c>
      <c r="U156" s="505">
        <f>N156</f>
        <v>3</v>
      </c>
      <c r="V156" s="505"/>
      <c r="W156" s="505"/>
      <c r="X156" s="505"/>
      <c r="Y156" s="505"/>
      <c r="Z156" s="505"/>
      <c r="AA156" s="505" t="s">
        <v>326</v>
      </c>
      <c r="AB156" s="505">
        <f>U156</f>
        <v>3</v>
      </c>
      <c r="AH156" s="505" t="s">
        <v>326</v>
      </c>
      <c r="AI156" s="505">
        <f>AB156</f>
        <v>3</v>
      </c>
      <c r="AO156" s="505" t="s">
        <v>326</v>
      </c>
      <c r="AP156" s="505">
        <f>AI156</f>
        <v>3</v>
      </c>
      <c r="AV156" s="505" t="s">
        <v>326</v>
      </c>
      <c r="AW156" s="505">
        <f>AP156</f>
        <v>3</v>
      </c>
      <c r="BC156" s="505" t="s">
        <v>326</v>
      </c>
      <c r="BD156" s="505">
        <f>AW156</f>
        <v>3</v>
      </c>
      <c r="BJ156" s="505" t="s">
        <v>326</v>
      </c>
      <c r="BK156" s="505">
        <f>BD156</f>
        <v>3</v>
      </c>
      <c r="BQ156" s="505" t="s">
        <v>326</v>
      </c>
      <c r="BR156" s="505">
        <f>BK156</f>
        <v>3</v>
      </c>
      <c r="BX156" s="505" t="s">
        <v>326</v>
      </c>
      <c r="BY156" s="505">
        <f>BR156</f>
        <v>3</v>
      </c>
      <c r="CE156" s="505" t="s">
        <v>326</v>
      </c>
      <c r="CF156" s="505">
        <f>BY156</f>
        <v>3</v>
      </c>
      <c r="CL156" s="505" t="s">
        <v>327</v>
      </c>
      <c r="CM156" s="505">
        <f>CF156</f>
        <v>3</v>
      </c>
      <c r="CS156" s="505" t="s">
        <v>327</v>
      </c>
      <c r="CT156" s="505">
        <f>CM156</f>
        <v>3</v>
      </c>
    </row>
    <row r="157" spans="1:102" ht="15" customHeight="1">
      <c r="A157" s="436">
        <f t="shared" si="26"/>
        <v>2019</v>
      </c>
      <c r="B157" s="437">
        <f t="shared" si="72"/>
        <v>116023</v>
      </c>
      <c r="C157" s="545"/>
      <c r="D157" s="438">
        <f t="shared" si="28"/>
        <v>10</v>
      </c>
      <c r="E157" s="546"/>
      <c r="F157" s="519"/>
      <c r="G157" s="451"/>
      <c r="H157" s="558"/>
      <c r="I157" s="443">
        <f t="shared" si="30"/>
        <v>116023</v>
      </c>
      <c r="J157" s="467"/>
      <c r="K157" s="443"/>
      <c r="M157" s="505" t="s">
        <v>328</v>
      </c>
      <c r="N157" s="559">
        <v>150</v>
      </c>
      <c r="O157" s="505"/>
      <c r="P157" s="505"/>
      <c r="Q157" s="505"/>
      <c r="R157" s="505"/>
      <c r="S157" s="505"/>
      <c r="T157" s="505" t="s">
        <v>328</v>
      </c>
      <c r="U157" s="505">
        <f>N157</f>
        <v>150</v>
      </c>
      <c r="V157" s="505"/>
      <c r="W157" s="505"/>
      <c r="X157" s="505"/>
      <c r="Y157" s="505"/>
      <c r="Z157" s="505"/>
      <c r="AA157" s="505" t="s">
        <v>328</v>
      </c>
      <c r="AB157" s="505">
        <f>U157</f>
        <v>150</v>
      </c>
      <c r="AH157" s="505" t="s">
        <v>328</v>
      </c>
      <c r="AI157" s="505">
        <v>500</v>
      </c>
      <c r="AO157" s="505" t="s">
        <v>328</v>
      </c>
      <c r="AP157" s="505">
        <f>AI157</f>
        <v>500</v>
      </c>
      <c r="AV157" s="505" t="s">
        <v>328</v>
      </c>
      <c r="AW157" s="505">
        <f>AP157</f>
        <v>500</v>
      </c>
      <c r="BC157" s="505" t="s">
        <v>329</v>
      </c>
      <c r="BD157" s="505">
        <f>AW157</f>
        <v>500</v>
      </c>
      <c r="BJ157" s="505" t="s">
        <v>329</v>
      </c>
      <c r="BK157" s="505">
        <f>BD157</f>
        <v>500</v>
      </c>
      <c r="BQ157" s="505" t="s">
        <v>329</v>
      </c>
      <c r="BR157" s="505">
        <f>BK157</f>
        <v>500</v>
      </c>
      <c r="BX157" s="505" t="s">
        <v>329</v>
      </c>
      <c r="BY157" s="505">
        <f>BR157</f>
        <v>500</v>
      </c>
      <c r="CE157" s="505" t="s">
        <v>329</v>
      </c>
      <c r="CF157" s="505">
        <f>BY157</f>
        <v>500</v>
      </c>
      <c r="CL157" s="505" t="s">
        <v>329</v>
      </c>
      <c r="CM157" s="505">
        <f>CF157</f>
        <v>500</v>
      </c>
      <c r="CS157" s="505" t="s">
        <v>330</v>
      </c>
      <c r="CT157" s="505">
        <f>CM157</f>
        <v>500</v>
      </c>
    </row>
    <row r="158" spans="1:102" ht="15" customHeight="1" thickBot="1">
      <c r="A158" s="436">
        <f t="shared" ref="A158:A174" si="73">A120</f>
        <v>2020</v>
      </c>
      <c r="B158" s="437">
        <f t="shared" si="72"/>
        <v>117911</v>
      </c>
      <c r="C158" s="545"/>
      <c r="D158" s="438">
        <f t="shared" si="28"/>
        <v>11</v>
      </c>
      <c r="E158" s="546"/>
      <c r="F158" s="560" t="s">
        <v>331</v>
      </c>
      <c r="G158" s="561" t="s">
        <v>332</v>
      </c>
      <c r="H158" s="562" t="s">
        <v>294</v>
      </c>
      <c r="I158" s="443">
        <f t="shared" si="30"/>
        <v>117911</v>
      </c>
      <c r="J158" s="467"/>
      <c r="K158" s="443"/>
      <c r="M158" s="557"/>
      <c r="N158" s="451"/>
      <c r="O158" s="451"/>
      <c r="P158" s="451"/>
      <c r="Q158" s="493"/>
      <c r="R158" s="492"/>
      <c r="T158" s="557"/>
      <c r="U158" s="451"/>
      <c r="V158" s="451"/>
      <c r="W158" s="451"/>
      <c r="X158" s="493"/>
      <c r="Y158" s="492"/>
      <c r="AA158" s="557"/>
      <c r="AB158" s="451"/>
      <c r="AC158" s="451"/>
      <c r="AD158" s="451"/>
      <c r="AE158" s="493"/>
      <c r="AF158" s="492"/>
      <c r="AH158" s="557"/>
      <c r="AI158" s="451"/>
      <c r="AJ158" s="451"/>
      <c r="AK158" s="451"/>
      <c r="AL158" s="493"/>
      <c r="AM158" s="492"/>
      <c r="AO158" s="557"/>
      <c r="AP158" s="451"/>
      <c r="AQ158" s="451"/>
      <c r="AR158" s="451"/>
      <c r="AS158" s="493"/>
      <c r="AT158" s="492"/>
      <c r="AV158" s="557"/>
      <c r="AW158" s="451"/>
      <c r="AX158" s="451"/>
      <c r="AY158" s="451"/>
      <c r="AZ158" s="493"/>
      <c r="BA158" s="492"/>
      <c r="BC158" s="557"/>
      <c r="BD158" s="451"/>
      <c r="BE158" s="451"/>
      <c r="BF158" s="451"/>
      <c r="BG158" s="493"/>
      <c r="BH158" s="492"/>
      <c r="BJ158" s="557"/>
      <c r="BK158" s="451"/>
      <c r="BL158" s="451"/>
      <c r="BM158" s="451"/>
      <c r="BN158" s="493"/>
      <c r="BO158" s="492"/>
      <c r="BQ158" s="557"/>
      <c r="BR158" s="451"/>
      <c r="BS158" s="451"/>
      <c r="BT158" s="451"/>
      <c r="BU158" s="493"/>
      <c r="BV158" s="492"/>
      <c r="BX158" s="557"/>
      <c r="BY158" s="451"/>
      <c r="BZ158" s="451"/>
      <c r="CA158" s="451"/>
      <c r="CB158" s="493"/>
      <c r="CC158" s="492"/>
      <c r="CE158" s="557"/>
      <c r="CF158" s="451"/>
      <c r="CG158" s="451"/>
      <c r="CH158" s="451"/>
      <c r="CI158" s="493"/>
      <c r="CJ158" s="492"/>
      <c r="CL158" s="557"/>
      <c r="CM158" s="451"/>
      <c r="CN158" s="451"/>
      <c r="CO158" s="451"/>
      <c r="CP158" s="493"/>
      <c r="CQ158" s="492"/>
      <c r="CS158" s="557"/>
      <c r="CT158" s="451"/>
      <c r="CU158" s="451"/>
      <c r="CV158" s="451"/>
      <c r="CW158" s="493"/>
      <c r="CX158" s="492"/>
    </row>
    <row r="159" spans="1:102" ht="15" customHeight="1" thickTop="1">
      <c r="A159" s="436">
        <f t="shared" si="73"/>
        <v>2021</v>
      </c>
      <c r="B159" s="437">
        <f t="shared" si="72"/>
        <v>119789</v>
      </c>
      <c r="C159" s="545"/>
      <c r="D159" s="438">
        <f t="shared" si="28"/>
        <v>12</v>
      </c>
      <c r="E159" s="546"/>
      <c r="F159" s="505">
        <v>95600</v>
      </c>
      <c r="G159" s="563">
        <f>IFERROR(O151,0)</f>
        <v>0.9924085549760997</v>
      </c>
      <c r="H159" s="564">
        <f>O152</f>
        <v>340.65499999999997</v>
      </c>
      <c r="I159" s="443">
        <f t="shared" si="30"/>
        <v>119789</v>
      </c>
      <c r="J159" s="467"/>
      <c r="K159" s="443"/>
      <c r="L159" s="326">
        <f>RANK(G159,$G$159:$G$171)</f>
        <v>6</v>
      </c>
      <c r="M159" s="557"/>
      <c r="N159" s="451"/>
      <c r="O159" s="451"/>
      <c r="P159" s="451"/>
      <c r="Q159" s="493"/>
      <c r="R159" s="492"/>
      <c r="T159" s="557"/>
      <c r="U159" s="451"/>
      <c r="V159" s="451"/>
      <c r="W159" s="451"/>
      <c r="X159" s="493"/>
      <c r="Y159" s="492"/>
      <c r="AA159" s="557"/>
      <c r="AB159" s="451"/>
      <c r="AC159" s="451"/>
      <c r="AD159" s="451"/>
      <c r="AE159" s="493"/>
      <c r="AF159" s="492"/>
      <c r="AH159" s="557"/>
      <c r="AI159" s="451"/>
      <c r="AJ159" s="451"/>
      <c r="AK159" s="451"/>
      <c r="AL159" s="493"/>
      <c r="AM159" s="492"/>
      <c r="AO159" s="557"/>
      <c r="AP159" s="451"/>
      <c r="AQ159" s="451"/>
      <c r="AR159" s="451"/>
      <c r="AS159" s="493"/>
      <c r="AT159" s="492"/>
      <c r="AV159" s="557"/>
      <c r="AW159" s="451"/>
      <c r="AX159" s="451"/>
      <c r="AY159" s="451"/>
      <c r="AZ159" s="493"/>
      <c r="BA159" s="492"/>
      <c r="BC159" s="557"/>
      <c r="BD159" s="451"/>
      <c r="BE159" s="451"/>
      <c r="BF159" s="451"/>
      <c r="BG159" s="493"/>
      <c r="BH159" s="492"/>
      <c r="BJ159" s="557"/>
      <c r="BK159" s="451"/>
      <c r="BL159" s="451"/>
      <c r="BM159" s="451"/>
      <c r="BN159" s="493"/>
      <c r="BO159" s="492"/>
      <c r="BQ159" s="557"/>
      <c r="BR159" s="451"/>
      <c r="BS159" s="451"/>
      <c r="BT159" s="451"/>
      <c r="BU159" s="493"/>
      <c r="BV159" s="492"/>
      <c r="BX159" s="557"/>
      <c r="BY159" s="451"/>
      <c r="BZ159" s="451"/>
      <c r="CA159" s="451"/>
      <c r="CB159" s="493"/>
      <c r="CC159" s="492"/>
      <c r="CE159" s="557"/>
      <c r="CF159" s="451"/>
      <c r="CG159" s="451"/>
      <c r="CH159" s="451"/>
      <c r="CI159" s="493"/>
      <c r="CJ159" s="492"/>
      <c r="CL159" s="557"/>
      <c r="CM159" s="451"/>
      <c r="CN159" s="451"/>
      <c r="CO159" s="451"/>
      <c r="CP159" s="493"/>
      <c r="CQ159" s="492"/>
      <c r="CS159" s="557"/>
      <c r="CT159" s="451"/>
      <c r="CU159" s="451"/>
      <c r="CV159" s="451"/>
      <c r="CW159" s="493"/>
      <c r="CX159" s="492"/>
    </row>
    <row r="160" spans="1:102" s="451" customFormat="1" ht="15" customHeight="1">
      <c r="A160" s="436">
        <f t="shared" si="73"/>
        <v>2022</v>
      </c>
      <c r="B160" s="437">
        <f t="shared" si="72"/>
        <v>121658</v>
      </c>
      <c r="C160" s="545"/>
      <c r="D160" s="438">
        <f t="shared" si="28"/>
        <v>13</v>
      </c>
      <c r="E160" s="546"/>
      <c r="F160" s="505">
        <v>95700</v>
      </c>
      <c r="G160" s="565">
        <f>IFERROR(V151,0)</f>
        <v>0.99250113485712377</v>
      </c>
      <c r="H160" s="564">
        <f>V152</f>
        <v>333.54500000000007</v>
      </c>
      <c r="I160" s="443">
        <f t="shared" si="30"/>
        <v>121658</v>
      </c>
      <c r="J160" s="467"/>
      <c r="K160" s="443"/>
      <c r="L160" s="326">
        <f t="shared" ref="L160:L171" si="74">RANK(G160,$G$159:$G$171)</f>
        <v>4</v>
      </c>
      <c r="M160" s="557"/>
      <c r="P160" s="439"/>
      <c r="Q160" s="493"/>
      <c r="R160" s="492"/>
      <c r="T160" s="557"/>
      <c r="W160" s="439"/>
      <c r="X160" s="493"/>
      <c r="Y160" s="492"/>
      <c r="AA160" s="557"/>
      <c r="AD160" s="439"/>
      <c r="AE160" s="493"/>
      <c r="AF160" s="492"/>
      <c r="AH160" s="557"/>
      <c r="AK160" s="439"/>
      <c r="AL160" s="493"/>
      <c r="AM160" s="492"/>
      <c r="AO160" s="557"/>
      <c r="AR160" s="439"/>
      <c r="AS160" s="493"/>
      <c r="AT160" s="492"/>
      <c r="AV160" s="557"/>
      <c r="AY160" s="439"/>
      <c r="AZ160" s="493"/>
      <c r="BA160" s="492"/>
      <c r="BC160" s="557"/>
      <c r="BF160" s="439"/>
      <c r="BG160" s="493"/>
      <c r="BH160" s="492"/>
      <c r="BJ160" s="557"/>
      <c r="BM160" s="439"/>
      <c r="BN160" s="493"/>
      <c r="BO160" s="492"/>
      <c r="BQ160" s="557"/>
      <c r="BT160" s="439"/>
      <c r="BU160" s="493"/>
      <c r="BV160" s="492"/>
      <c r="BX160" s="557"/>
      <c r="CA160" s="439"/>
      <c r="CB160" s="493"/>
      <c r="CC160" s="492"/>
      <c r="CE160" s="557"/>
      <c r="CH160" s="439"/>
      <c r="CI160" s="493"/>
      <c r="CJ160" s="492"/>
      <c r="CL160" s="557"/>
      <c r="CO160" s="439"/>
      <c r="CP160" s="493"/>
      <c r="CQ160" s="492"/>
      <c r="CS160" s="557"/>
      <c r="CV160" s="439"/>
      <c r="CW160" s="493"/>
      <c r="CX160" s="492"/>
    </row>
    <row r="161" spans="1:102" ht="15" customHeight="1">
      <c r="A161" s="436">
        <f t="shared" si="73"/>
        <v>2023</v>
      </c>
      <c r="B161" s="437">
        <f t="shared" si="72"/>
        <v>123519</v>
      </c>
      <c r="C161" s="545"/>
      <c r="D161" s="438">
        <f t="shared" si="28"/>
        <v>14</v>
      </c>
      <c r="E161" s="546"/>
      <c r="F161" s="505">
        <v>95800</v>
      </c>
      <c r="G161" s="565">
        <f>IFERROR(AC151,0)</f>
        <v>0.99254178129950188</v>
      </c>
      <c r="H161" s="505">
        <f>AC152</f>
        <v>329.04600000000005</v>
      </c>
      <c r="I161" s="443">
        <f t="shared" si="30"/>
        <v>123519</v>
      </c>
      <c r="J161" s="467"/>
      <c r="K161" s="443"/>
      <c r="L161" s="326">
        <f t="shared" si="74"/>
        <v>2</v>
      </c>
      <c r="M161" s="557"/>
      <c r="N161" s="451"/>
      <c r="O161" s="451"/>
      <c r="P161" s="439"/>
      <c r="Q161" s="493"/>
      <c r="R161" s="492"/>
      <c r="T161" s="557"/>
      <c r="U161" s="451"/>
      <c r="V161" s="451"/>
      <c r="W161" s="439"/>
      <c r="X161" s="493"/>
      <c r="Y161" s="492"/>
      <c r="AA161" s="557"/>
      <c r="AB161" s="451"/>
      <c r="AC161" s="451"/>
      <c r="AD161" s="439"/>
      <c r="AE161" s="493"/>
      <c r="AF161" s="492"/>
      <c r="AH161" s="557"/>
      <c r="AI161" s="451"/>
      <c r="AJ161" s="451"/>
      <c r="AK161" s="439"/>
      <c r="AL161" s="493"/>
      <c r="AM161" s="492"/>
      <c r="AO161" s="557"/>
      <c r="AP161" s="451"/>
      <c r="AQ161" s="451"/>
      <c r="AR161" s="439"/>
      <c r="AS161" s="493"/>
      <c r="AT161" s="492"/>
      <c r="AV161" s="557"/>
      <c r="AW161" s="451"/>
      <c r="AX161" s="451"/>
      <c r="AY161" s="439"/>
      <c r="AZ161" s="493"/>
      <c r="BA161" s="492"/>
      <c r="BC161" s="557"/>
      <c r="BD161" s="451"/>
      <c r="BE161" s="451"/>
      <c r="BF161" s="439"/>
      <c r="BG161" s="493"/>
      <c r="BH161" s="492"/>
      <c r="BJ161" s="557"/>
      <c r="BK161" s="451"/>
      <c r="BL161" s="451"/>
      <c r="BM161" s="439"/>
      <c r="BN161" s="493"/>
      <c r="BO161" s="492"/>
      <c r="BQ161" s="557"/>
      <c r="BR161" s="451"/>
      <c r="BS161" s="451"/>
      <c r="BT161" s="439"/>
      <c r="BU161" s="493"/>
      <c r="BV161" s="492"/>
      <c r="BX161" s="557"/>
      <c r="BY161" s="451"/>
      <c r="BZ161" s="451"/>
      <c r="CA161" s="439"/>
      <c r="CB161" s="493"/>
      <c r="CC161" s="492"/>
      <c r="CE161" s="557"/>
      <c r="CF161" s="451"/>
      <c r="CG161" s="451"/>
      <c r="CH161" s="439"/>
      <c r="CI161" s="493"/>
      <c r="CJ161" s="492"/>
      <c r="CL161" s="557"/>
      <c r="CM161" s="451"/>
      <c r="CN161" s="451"/>
      <c r="CO161" s="439"/>
      <c r="CP161" s="493"/>
      <c r="CQ161" s="492"/>
      <c r="CS161" s="557"/>
      <c r="CT161" s="451"/>
      <c r="CU161" s="451"/>
      <c r="CV161" s="439"/>
      <c r="CW161" s="493"/>
      <c r="CX161" s="492"/>
    </row>
    <row r="162" spans="1:102" s="451" customFormat="1" ht="15" customHeight="1">
      <c r="A162" s="436">
        <f t="shared" si="73"/>
        <v>2024</v>
      </c>
      <c r="B162" s="437">
        <f t="shared" si="72"/>
        <v>125371</v>
      </c>
      <c r="C162" s="545"/>
      <c r="D162" s="438">
        <f t="shared" si="28"/>
        <v>15</v>
      </c>
      <c r="E162" s="546"/>
      <c r="F162" s="505">
        <v>95900</v>
      </c>
      <c r="G162" s="565">
        <f>IFERROR(AJ151,0)</f>
        <v>0.99257912032818463</v>
      </c>
      <c r="H162" s="505">
        <f>AJ152</f>
        <v>324.67399999999998</v>
      </c>
      <c r="I162" s="443">
        <f t="shared" si="30"/>
        <v>125371</v>
      </c>
      <c r="J162" s="467"/>
      <c r="K162" s="443"/>
      <c r="L162" s="326">
        <f t="shared" si="74"/>
        <v>1</v>
      </c>
      <c r="M162" s="557"/>
      <c r="Q162" s="493"/>
      <c r="R162" s="492"/>
      <c r="T162" s="557"/>
      <c r="X162" s="493"/>
      <c r="Y162" s="492"/>
      <c r="AA162" s="557"/>
      <c r="AE162" s="493"/>
      <c r="AF162" s="492"/>
      <c r="AH162" s="557"/>
      <c r="AL162" s="493"/>
      <c r="AM162" s="492"/>
      <c r="AO162" s="557"/>
      <c r="AS162" s="493"/>
      <c r="AT162" s="492"/>
      <c r="AV162" s="557"/>
      <c r="AZ162" s="493"/>
      <c r="BA162" s="492"/>
      <c r="BC162" s="557"/>
      <c r="BG162" s="493"/>
      <c r="BH162" s="492"/>
      <c r="BJ162" s="557"/>
      <c r="BN162" s="493"/>
      <c r="BO162" s="492"/>
      <c r="BQ162" s="557"/>
      <c r="BU162" s="493"/>
      <c r="BV162" s="492"/>
      <c r="BX162" s="557"/>
      <c r="CB162" s="493"/>
      <c r="CC162" s="492"/>
      <c r="CE162" s="557"/>
      <c r="CI162" s="493"/>
      <c r="CJ162" s="492"/>
      <c r="CL162" s="557"/>
      <c r="CP162" s="493"/>
      <c r="CQ162" s="492"/>
      <c r="CS162" s="557"/>
      <c r="CW162" s="493"/>
      <c r="CX162" s="492"/>
    </row>
    <row r="163" spans="1:102" s="451" customFormat="1" ht="15" customHeight="1">
      <c r="A163" s="436">
        <f t="shared" si="73"/>
        <v>2025</v>
      </c>
      <c r="B163" s="437">
        <f t="shared" si="72"/>
        <v>127217</v>
      </c>
      <c r="C163" s="545"/>
      <c r="D163" s="438">
        <f t="shared" si="28"/>
        <v>16</v>
      </c>
      <c r="E163" s="546"/>
      <c r="F163" s="505">
        <v>96000</v>
      </c>
      <c r="G163" s="565">
        <f>IFERROR(AQ151,0)</f>
        <v>0.99253605433830239</v>
      </c>
      <c r="H163" s="505">
        <f>AQ152</f>
        <v>324.23499999999996</v>
      </c>
      <c r="I163" s="443">
        <f t="shared" si="30"/>
        <v>127217</v>
      </c>
      <c r="J163" s="467"/>
      <c r="K163" s="443"/>
      <c r="L163" s="326">
        <f t="shared" si="74"/>
        <v>3</v>
      </c>
      <c r="M163" s="557"/>
      <c r="N163" s="538"/>
      <c r="O163" s="538"/>
      <c r="P163" s="566"/>
      <c r="Q163" s="493"/>
      <c r="R163" s="492"/>
      <c r="T163" s="557"/>
      <c r="X163" s="493"/>
      <c r="Y163" s="492"/>
      <c r="AA163" s="557"/>
      <c r="AE163" s="493"/>
      <c r="AF163" s="492"/>
      <c r="AH163" s="557"/>
      <c r="AL163" s="493"/>
      <c r="AM163" s="492"/>
      <c r="AO163" s="557"/>
      <c r="AS163" s="493"/>
      <c r="AT163" s="492"/>
      <c r="AV163" s="557"/>
      <c r="AZ163" s="493"/>
      <c r="BA163" s="492"/>
      <c r="BC163" s="557"/>
      <c r="BG163" s="493"/>
      <c r="BH163" s="492"/>
      <c r="BJ163" s="557"/>
      <c r="BN163" s="493"/>
      <c r="BO163" s="492"/>
      <c r="BQ163" s="557"/>
      <c r="BU163" s="493"/>
      <c r="BV163" s="492"/>
      <c r="BX163" s="557"/>
      <c r="CB163" s="493"/>
      <c r="CC163" s="492"/>
      <c r="CE163" s="557"/>
      <c r="CI163" s="493"/>
      <c r="CJ163" s="492"/>
      <c r="CL163" s="557"/>
      <c r="CP163" s="493"/>
      <c r="CQ163" s="492"/>
      <c r="CS163" s="557"/>
      <c r="CW163" s="493"/>
      <c r="CX163" s="492"/>
    </row>
    <row r="164" spans="1:102" ht="15" customHeight="1">
      <c r="A164" s="436">
        <f t="shared" si="73"/>
        <v>2026</v>
      </c>
      <c r="B164" s="437">
        <f t="shared" si="72"/>
        <v>129055</v>
      </c>
      <c r="C164" s="520"/>
      <c r="D164" s="438">
        <f t="shared" si="28"/>
        <v>17</v>
      </c>
      <c r="E164" s="508"/>
      <c r="F164" s="548">
        <v>96100</v>
      </c>
      <c r="G164" s="565">
        <f>IFERROR(AX151,0)</f>
        <v>0.99247727746737202</v>
      </c>
      <c r="H164" s="548">
        <f>AX152</f>
        <v>324.95400000000001</v>
      </c>
      <c r="I164" s="443">
        <f t="shared" si="30"/>
        <v>129055</v>
      </c>
      <c r="J164" s="469"/>
      <c r="K164" s="469"/>
      <c r="L164" s="326">
        <f t="shared" si="74"/>
        <v>5</v>
      </c>
    </row>
    <row r="165" spans="1:102" ht="15" customHeight="1">
      <c r="A165" s="436">
        <f t="shared" si="73"/>
        <v>2027</v>
      </c>
      <c r="B165" s="437">
        <f t="shared" si="72"/>
        <v>130888</v>
      </c>
      <c r="C165" s="520"/>
      <c r="D165" s="438">
        <f t="shared" si="28"/>
        <v>18</v>
      </c>
      <c r="E165" s="508"/>
      <c r="F165" s="548">
        <v>96200</v>
      </c>
      <c r="G165" s="565">
        <f>IFERROR(BE151,0)</f>
        <v>0.99233603407556159</v>
      </c>
      <c r="H165" s="548">
        <f>BE152</f>
        <v>329.86199999999997</v>
      </c>
      <c r="I165" s="443">
        <f t="shared" si="30"/>
        <v>130888</v>
      </c>
      <c r="J165" s="469"/>
      <c r="K165" s="469"/>
      <c r="L165" s="326">
        <f t="shared" si="74"/>
        <v>7</v>
      </c>
    </row>
    <row r="166" spans="1:102" ht="15" customHeight="1">
      <c r="A166" s="436">
        <f t="shared" si="73"/>
        <v>2028</v>
      </c>
      <c r="B166" s="437">
        <f t="shared" si="72"/>
        <v>132714</v>
      </c>
      <c r="C166" s="520"/>
      <c r="D166" s="438">
        <f t="shared" si="28"/>
        <v>19</v>
      </c>
      <c r="E166" s="508"/>
      <c r="F166" s="567">
        <v>96300</v>
      </c>
      <c r="G166" s="568">
        <f>IFERROR(BL151,0)</f>
        <v>0.99212968263134726</v>
      </c>
      <c r="H166" s="567">
        <f>BL152</f>
        <v>338.59699999999998</v>
      </c>
      <c r="I166" s="443">
        <f t="shared" si="30"/>
        <v>132714</v>
      </c>
      <c r="J166" s="469"/>
      <c r="K166" s="469"/>
      <c r="L166" s="326">
        <f t="shared" si="74"/>
        <v>8</v>
      </c>
    </row>
    <row r="167" spans="1:102" ht="15" customHeight="1">
      <c r="A167" s="436">
        <f t="shared" si="73"/>
        <v>2029</v>
      </c>
      <c r="B167" s="437">
        <f t="shared" si="72"/>
        <v>134534</v>
      </c>
      <c r="C167" s="520"/>
      <c r="D167" s="438">
        <f t="shared" si="28"/>
        <v>20</v>
      </c>
      <c r="E167" s="508"/>
      <c r="F167" s="567">
        <v>96400</v>
      </c>
      <c r="G167" s="568">
        <f>IFERROR(BS151,0)</f>
        <v>0.99184231813075641</v>
      </c>
      <c r="H167" s="567">
        <f>BS152</f>
        <v>352.214</v>
      </c>
      <c r="I167" s="443">
        <f t="shared" si="30"/>
        <v>134534</v>
      </c>
      <c r="J167" s="469"/>
      <c r="K167" s="469"/>
      <c r="L167" s="326">
        <f t="shared" si="74"/>
        <v>9</v>
      </c>
    </row>
    <row r="168" spans="1:102" ht="15" customHeight="1">
      <c r="A168" s="436">
        <f t="shared" si="73"/>
        <v>2030</v>
      </c>
      <c r="B168" s="437">
        <f t="shared" si="72"/>
        <v>136350</v>
      </c>
      <c r="C168" s="520"/>
      <c r="D168" s="438">
        <f t="shared" si="28"/>
        <v>21</v>
      </c>
      <c r="E168" s="508"/>
      <c r="F168" s="567">
        <v>96500</v>
      </c>
      <c r="G168" s="568">
        <f>IFERROR(BZ151,0)</f>
        <v>0.99148532652305055</v>
      </c>
      <c r="H168" s="567">
        <f>BZ152</f>
        <v>370.58700000000005</v>
      </c>
      <c r="I168" s="443">
        <f t="shared" si="30"/>
        <v>136350</v>
      </c>
      <c r="J168" s="469"/>
      <c r="K168" s="469"/>
      <c r="L168" s="326">
        <f t="shared" si="74"/>
        <v>10</v>
      </c>
    </row>
    <row r="169" spans="1:102" ht="15" customHeight="1">
      <c r="A169" s="436">
        <f t="shared" si="73"/>
        <v>2031</v>
      </c>
      <c r="B169" s="437">
        <f t="shared" si="72"/>
        <v>138160</v>
      </c>
      <c r="C169" s="520"/>
      <c r="D169" s="438">
        <f t="shared" si="28"/>
        <v>22</v>
      </c>
      <c r="E169" s="508"/>
      <c r="F169" s="567">
        <v>96600</v>
      </c>
      <c r="G169" s="568">
        <f>IFERROR(CG151,0)</f>
        <v>0.9909876109553124</v>
      </c>
      <c r="H169" s="567">
        <f>CG152</f>
        <v>397.59500000000003</v>
      </c>
      <c r="I169" s="443">
        <f t="shared" si="30"/>
        <v>138160</v>
      </c>
      <c r="J169" s="469"/>
      <c r="K169" s="469"/>
      <c r="L169" s="326">
        <f t="shared" si="74"/>
        <v>11</v>
      </c>
    </row>
    <row r="170" spans="1:102" ht="15" customHeight="1">
      <c r="A170" s="436">
        <f t="shared" si="73"/>
        <v>2032</v>
      </c>
      <c r="B170" s="437">
        <f t="shared" si="72"/>
        <v>139965</v>
      </c>
      <c r="C170" s="520"/>
      <c r="D170" s="438">
        <f t="shared" si="28"/>
        <v>23</v>
      </c>
      <c r="E170" s="508"/>
      <c r="F170" s="567">
        <v>96700</v>
      </c>
      <c r="G170" s="568">
        <f>IFERROR(CN151,0)</f>
        <v>0.9903826249604113</v>
      </c>
      <c r="H170" s="567">
        <f>CN152</f>
        <v>432.73600000000005</v>
      </c>
      <c r="I170" s="443">
        <f t="shared" si="30"/>
        <v>139965</v>
      </c>
      <c r="J170" s="469"/>
      <c r="K170" s="469"/>
      <c r="L170" s="326">
        <f t="shared" si="74"/>
        <v>12</v>
      </c>
    </row>
    <row r="171" spans="1:102" ht="15" customHeight="1">
      <c r="A171" s="522">
        <f t="shared" si="73"/>
        <v>2033</v>
      </c>
      <c r="B171" s="523">
        <f t="shared" si="72"/>
        <v>141766</v>
      </c>
      <c r="C171" s="524"/>
      <c r="D171" s="569">
        <f t="shared" si="28"/>
        <v>24</v>
      </c>
      <c r="E171" s="525"/>
      <c r="F171" s="570">
        <v>96800</v>
      </c>
      <c r="G171" s="571">
        <f>IFERROR(CU151,0)</f>
        <v>0.98961516821892859</v>
      </c>
      <c r="H171" s="570">
        <f>CU152</f>
        <v>479.33899999999994</v>
      </c>
      <c r="I171" s="528">
        <f t="shared" si="30"/>
        <v>141766</v>
      </c>
      <c r="J171" s="529"/>
      <c r="K171" s="529"/>
      <c r="L171" s="326">
        <f t="shared" si="74"/>
        <v>13</v>
      </c>
    </row>
    <row r="172" spans="1:102" ht="15" customHeight="1">
      <c r="A172" s="522">
        <f t="shared" si="73"/>
        <v>2034</v>
      </c>
      <c r="B172" s="523">
        <f t="shared" si="72"/>
        <v>154256</v>
      </c>
      <c r="C172" s="524"/>
      <c r="D172" s="569">
        <f t="shared" si="28"/>
        <v>31</v>
      </c>
      <c r="E172" s="525"/>
      <c r="F172" s="570"/>
      <c r="G172" s="571"/>
      <c r="H172" s="570"/>
      <c r="I172" s="528">
        <f t="shared" si="30"/>
        <v>154256</v>
      </c>
      <c r="J172" s="529"/>
      <c r="K172" s="529"/>
    </row>
    <row r="173" spans="1:102" ht="15" customHeight="1">
      <c r="A173" s="522">
        <f t="shared" si="73"/>
        <v>2035</v>
      </c>
      <c r="B173" s="523">
        <f t="shared" si="72"/>
        <v>156026</v>
      </c>
      <c r="C173" s="524"/>
      <c r="D173" s="569">
        <f t="shared" si="28"/>
        <v>32</v>
      </c>
      <c r="E173" s="525"/>
      <c r="F173" s="570"/>
      <c r="G173" s="571"/>
      <c r="H173" s="570"/>
      <c r="I173" s="528">
        <f t="shared" si="30"/>
        <v>156026</v>
      </c>
      <c r="J173" s="529"/>
      <c r="K173" s="529"/>
    </row>
    <row r="174" spans="1:102" ht="15" customHeight="1">
      <c r="A174" s="522">
        <f t="shared" si="73"/>
        <v>2036</v>
      </c>
      <c r="B174" s="523">
        <f t="shared" si="72"/>
        <v>157793</v>
      </c>
      <c r="C174" s="524"/>
      <c r="D174" s="569">
        <f t="shared" si="28"/>
        <v>33</v>
      </c>
      <c r="E174" s="525"/>
      <c r="F174" s="570"/>
      <c r="G174" s="571"/>
      <c r="H174" s="570"/>
      <c r="I174" s="528">
        <f t="shared" si="30"/>
        <v>157793</v>
      </c>
      <c r="J174" s="529"/>
      <c r="K174" s="529"/>
    </row>
    <row r="175" spans="1:102" ht="15" customHeight="1">
      <c r="A175" s="491"/>
      <c r="B175" s="494"/>
      <c r="C175" s="451"/>
      <c r="D175" s="439"/>
      <c r="E175" s="439"/>
      <c r="F175" s="530"/>
      <c r="G175" s="572"/>
      <c r="H175" s="451"/>
      <c r="I175" s="538"/>
      <c r="J175" s="538"/>
      <c r="O175" s="573"/>
    </row>
    <row r="176" spans="1:102" ht="15" customHeight="1">
      <c r="A176" s="424" t="s">
        <v>333</v>
      </c>
    </row>
    <row r="177" spans="1:60" ht="15" customHeight="1">
      <c r="A177" s="427" t="s">
        <v>264</v>
      </c>
      <c r="B177" s="428" t="s">
        <v>286</v>
      </c>
      <c r="C177" s="429" t="s">
        <v>334</v>
      </c>
      <c r="D177" s="429" t="s">
        <v>287</v>
      </c>
      <c r="E177" s="496"/>
      <c r="F177" s="430"/>
      <c r="G177" s="431"/>
      <c r="H177" s="432" t="s">
        <v>288</v>
      </c>
      <c r="I177" s="433">
        <f>RSQ(I178:I188,B178:B188)</f>
        <v>0.99180587513811858</v>
      </c>
      <c r="J177" s="434" t="s">
        <v>289</v>
      </c>
      <c r="K177" s="435" t="s">
        <v>290</v>
      </c>
      <c r="M177" s="532" t="s">
        <v>334</v>
      </c>
      <c r="N177" s="430"/>
      <c r="O177" s="432" t="s">
        <v>288</v>
      </c>
      <c r="P177" s="433">
        <f>RSQ($B178:$B188,P178:P188)</f>
        <v>0.99180587513811858</v>
      </c>
      <c r="Q177" s="435" t="s">
        <v>290</v>
      </c>
      <c r="S177" s="532" t="s">
        <v>334</v>
      </c>
      <c r="T177" s="430"/>
      <c r="U177" s="432" t="s">
        <v>288</v>
      </c>
      <c r="V177" s="433">
        <f>RSQ($B178:$B188,V178:V188)</f>
        <v>0.99180587513811858</v>
      </c>
      <c r="W177" s="435" t="s">
        <v>290</v>
      </c>
      <c r="Y177" s="532" t="s">
        <v>334</v>
      </c>
      <c r="Z177" s="430"/>
      <c r="AA177" s="432" t="s">
        <v>288</v>
      </c>
      <c r="AB177" s="433">
        <f>RSQ($B178:$B188,AB178:AB188)</f>
        <v>0.99180587513811858</v>
      </c>
      <c r="AC177" s="435" t="s">
        <v>290</v>
      </c>
      <c r="AE177" s="532" t="s">
        <v>334</v>
      </c>
      <c r="AF177" s="430"/>
      <c r="AG177" s="432" t="s">
        <v>288</v>
      </c>
      <c r="AH177" s="433">
        <f>RSQ($B178:$B188,AH178:AH188)</f>
        <v>0.99180587513811858</v>
      </c>
      <c r="AI177" s="435" t="s">
        <v>290</v>
      </c>
      <c r="AK177" s="532" t="s">
        <v>334</v>
      </c>
      <c r="AL177" s="430"/>
      <c r="AM177" s="432" t="s">
        <v>288</v>
      </c>
      <c r="AN177" s="433">
        <f>RSQ($B178:$B188,AN178:AN188)</f>
        <v>0.99180587513811858</v>
      </c>
      <c r="AO177" s="435" t="s">
        <v>290</v>
      </c>
      <c r="AQ177" s="532" t="s">
        <v>334</v>
      </c>
      <c r="AR177" s="430"/>
      <c r="AS177" s="432" t="s">
        <v>288</v>
      </c>
      <c r="AT177" s="433">
        <f>RSQ($B178:$B188,AT178:AT188)</f>
        <v>0.99180587513811858</v>
      </c>
      <c r="AU177" s="435" t="s">
        <v>290</v>
      </c>
      <c r="AW177" s="532" t="s">
        <v>334</v>
      </c>
      <c r="AX177" s="430"/>
      <c r="AY177" s="432" t="s">
        <v>288</v>
      </c>
      <c r="AZ177" s="433">
        <f>RSQ($B178:$B188,AZ178:AZ188)</f>
        <v>0.99180587513811858</v>
      </c>
      <c r="BA177" s="435" t="s">
        <v>290</v>
      </c>
      <c r="BC177" s="532" t="s">
        <v>334</v>
      </c>
      <c r="BD177" s="430"/>
      <c r="BE177" s="432" t="s">
        <v>288</v>
      </c>
      <c r="BF177" s="433">
        <f>RSQ($B178:$B188,BF178:BF188)</f>
        <v>0.99180587513811858</v>
      </c>
      <c r="BG177" s="435" t="s">
        <v>290</v>
      </c>
    </row>
    <row r="178" spans="1:60" ht="15" customHeight="1">
      <c r="A178" s="436"/>
      <c r="B178" s="437"/>
      <c r="C178" s="533"/>
      <c r="D178" s="438"/>
      <c r="E178" s="498" t="s">
        <v>335</v>
      </c>
      <c r="F178" s="439"/>
      <c r="H178" s="574"/>
      <c r="I178" s="502"/>
      <c r="J178" s="444"/>
      <c r="K178" s="443"/>
      <c r="M178" s="575"/>
      <c r="N178" s="539" t="s">
        <v>335</v>
      </c>
      <c r="O178" s="439"/>
      <c r="P178" s="469"/>
      <c r="Q178" s="502"/>
      <c r="S178" s="575"/>
      <c r="T178" s="539" t="s">
        <v>335</v>
      </c>
      <c r="U178" s="439"/>
      <c r="V178" s="469"/>
      <c r="W178" s="502"/>
      <c r="Y178" s="575"/>
      <c r="Z178" s="539" t="s">
        <v>335</v>
      </c>
      <c r="AA178" s="439"/>
      <c r="AB178" s="469"/>
      <c r="AC178" s="502"/>
      <c r="AE178" s="575"/>
      <c r="AF178" s="539" t="s">
        <v>335</v>
      </c>
      <c r="AG178" s="439"/>
      <c r="AH178" s="469"/>
      <c r="AI178" s="502"/>
      <c r="AK178" s="575"/>
      <c r="AL178" s="539" t="s">
        <v>335</v>
      </c>
      <c r="AM178" s="439"/>
      <c r="AN178" s="469"/>
      <c r="AO178" s="502"/>
      <c r="AQ178" s="575"/>
      <c r="AR178" s="539" t="s">
        <v>335</v>
      </c>
      <c r="AS178" s="439"/>
      <c r="AT178" s="469"/>
      <c r="AU178" s="502"/>
      <c r="AW178" s="575"/>
      <c r="AX178" s="539" t="s">
        <v>335</v>
      </c>
      <c r="AY178" s="439"/>
      <c r="AZ178" s="469"/>
      <c r="BA178" s="502"/>
      <c r="BC178" s="575"/>
      <c r="BD178" s="539" t="s">
        <v>335</v>
      </c>
      <c r="BE178" s="439"/>
      <c r="BF178" s="469"/>
      <c r="BG178" s="502"/>
    </row>
    <row r="179" spans="1:60" ht="15" customHeight="1">
      <c r="A179" s="436"/>
      <c r="B179" s="437"/>
      <c r="C179" s="533"/>
      <c r="D179" s="438"/>
      <c r="E179" s="498" t="s">
        <v>336</v>
      </c>
      <c r="F179" s="439"/>
      <c r="H179" s="574"/>
      <c r="I179" s="443"/>
      <c r="J179" s="446"/>
      <c r="K179" s="443"/>
      <c r="M179" s="576"/>
      <c r="N179" s="539"/>
      <c r="O179" s="439"/>
      <c r="P179" s="469"/>
      <c r="Q179" s="443"/>
      <c r="S179" s="576"/>
      <c r="T179" s="539"/>
      <c r="U179" s="439"/>
      <c r="V179" s="469"/>
      <c r="W179" s="443"/>
      <c r="Y179" s="576"/>
      <c r="Z179" s="539"/>
      <c r="AA179" s="439"/>
      <c r="AB179" s="469"/>
      <c r="AC179" s="443"/>
      <c r="AE179" s="576"/>
      <c r="AF179" s="539"/>
      <c r="AG179" s="439"/>
      <c r="AH179" s="469"/>
      <c r="AI179" s="443"/>
      <c r="AK179" s="576"/>
      <c r="AL179" s="539"/>
      <c r="AM179" s="439"/>
      <c r="AN179" s="469"/>
      <c r="AO179" s="443"/>
      <c r="AQ179" s="576"/>
      <c r="AR179" s="539"/>
      <c r="AS179" s="439"/>
      <c r="AT179" s="469"/>
      <c r="AU179" s="443"/>
      <c r="AW179" s="576"/>
      <c r="AX179" s="539"/>
      <c r="AY179" s="439"/>
      <c r="AZ179" s="469"/>
      <c r="BA179" s="443"/>
      <c r="BC179" s="576"/>
      <c r="BD179" s="539"/>
      <c r="BE179" s="439"/>
      <c r="BF179" s="469"/>
      <c r="BG179" s="443"/>
    </row>
    <row r="180" spans="1:60" ht="15" customHeight="1">
      <c r="A180" s="436"/>
      <c r="B180" s="437"/>
      <c r="C180" s="533"/>
      <c r="D180" s="438"/>
      <c r="H180" s="574"/>
      <c r="I180" s="443"/>
      <c r="J180" s="446"/>
      <c r="K180" s="443"/>
      <c r="M180" s="576"/>
      <c r="N180" s="539" t="s">
        <v>336</v>
      </c>
      <c r="O180" s="439"/>
      <c r="P180" s="469"/>
      <c r="Q180" s="443"/>
      <c r="S180" s="576"/>
      <c r="T180" s="539" t="s">
        <v>336</v>
      </c>
      <c r="U180" s="439"/>
      <c r="V180" s="469"/>
      <c r="W180" s="443"/>
      <c r="Y180" s="576"/>
      <c r="Z180" s="539" t="s">
        <v>336</v>
      </c>
      <c r="AA180" s="439"/>
      <c r="AB180" s="469"/>
      <c r="AC180" s="443"/>
      <c r="AE180" s="576"/>
      <c r="AF180" s="539" t="s">
        <v>336</v>
      </c>
      <c r="AG180" s="439"/>
      <c r="AH180" s="469"/>
      <c r="AI180" s="443"/>
      <c r="AK180" s="576"/>
      <c r="AL180" s="539" t="s">
        <v>336</v>
      </c>
      <c r="AM180" s="439"/>
      <c r="AN180" s="469"/>
      <c r="AO180" s="443"/>
      <c r="AQ180" s="576"/>
      <c r="AR180" s="539" t="s">
        <v>336</v>
      </c>
      <c r="AS180" s="439"/>
      <c r="AT180" s="469"/>
      <c r="AU180" s="443"/>
      <c r="AW180" s="576"/>
      <c r="AX180" s="539" t="s">
        <v>336</v>
      </c>
      <c r="AY180" s="439"/>
      <c r="AZ180" s="469"/>
      <c r="BA180" s="443"/>
      <c r="BC180" s="576"/>
      <c r="BD180" s="539" t="s">
        <v>336</v>
      </c>
      <c r="BE180" s="439"/>
      <c r="BF180" s="469"/>
      <c r="BG180" s="443"/>
    </row>
    <row r="181" spans="1:60" ht="15" customHeight="1">
      <c r="A181" s="436"/>
      <c r="B181" s="437"/>
      <c r="C181" s="533"/>
      <c r="D181" s="438"/>
      <c r="E181" s="540"/>
      <c r="G181" s="451"/>
      <c r="H181" s="442"/>
      <c r="I181" s="443"/>
      <c r="J181" s="446"/>
      <c r="K181" s="443"/>
      <c r="M181" s="576"/>
      <c r="N181" s="439" t="s">
        <v>337</v>
      </c>
      <c r="O181" s="577">
        <f>E200</f>
        <v>5000000</v>
      </c>
      <c r="P181" s="469"/>
      <c r="Q181" s="443"/>
      <c r="S181" s="576"/>
      <c r="T181" s="439" t="s">
        <v>337</v>
      </c>
      <c r="U181" s="363">
        <f>E201</f>
        <v>6000000</v>
      </c>
      <c r="V181" s="469"/>
      <c r="W181" s="443"/>
      <c r="Y181" s="576"/>
      <c r="Z181" s="439" t="s">
        <v>337</v>
      </c>
      <c r="AA181" s="363">
        <f>E202</f>
        <v>7000000</v>
      </c>
      <c r="AB181" s="469"/>
      <c r="AC181" s="443"/>
      <c r="AE181" s="576"/>
      <c r="AF181" s="439" t="s">
        <v>337</v>
      </c>
      <c r="AG181" s="363">
        <f>E203</f>
        <v>8000000</v>
      </c>
      <c r="AH181" s="469"/>
      <c r="AI181" s="443"/>
      <c r="AK181" s="576"/>
      <c r="AL181" s="439" t="s">
        <v>337</v>
      </c>
      <c r="AM181" s="363">
        <f>E204</f>
        <v>9000000</v>
      </c>
      <c r="AN181" s="469"/>
      <c r="AO181" s="443"/>
      <c r="AQ181" s="576"/>
      <c r="AR181" s="439" t="s">
        <v>337</v>
      </c>
      <c r="AS181" s="363">
        <f>E205</f>
        <v>10000000</v>
      </c>
      <c r="AT181" s="469"/>
      <c r="AU181" s="443"/>
      <c r="AW181" s="576"/>
      <c r="AX181" s="439" t="s">
        <v>337</v>
      </c>
      <c r="AY181" s="363">
        <f>E206</f>
        <v>11000000</v>
      </c>
      <c r="AZ181" s="469"/>
      <c r="BA181" s="443"/>
      <c r="BC181" s="576"/>
      <c r="BD181" s="439" t="s">
        <v>337</v>
      </c>
      <c r="BE181" s="363">
        <f>E207</f>
        <v>12000000</v>
      </c>
      <c r="BF181" s="469"/>
      <c r="BG181" s="443"/>
    </row>
    <row r="182" spans="1:60" ht="15" customHeight="1">
      <c r="A182" s="436"/>
      <c r="B182" s="437"/>
      <c r="C182" s="533"/>
      <c r="D182" s="438"/>
      <c r="E182" s="540" t="s">
        <v>337</v>
      </c>
      <c r="F182" s="577">
        <f>INDEX(E200:L207,MATCH(1,L200:L207,0),1)</f>
        <v>5000000</v>
      </c>
      <c r="G182" s="451"/>
      <c r="I182" s="443"/>
      <c r="J182" s="446"/>
      <c r="K182" s="443"/>
      <c r="M182" s="576"/>
      <c r="N182" s="578" t="s">
        <v>338</v>
      </c>
      <c r="O182" s="505">
        <f>MAX($B178:$B188)</f>
        <v>106419</v>
      </c>
      <c r="P182" s="469"/>
      <c r="Q182" s="443"/>
      <c r="S182" s="576"/>
      <c r="T182" s="578" t="s">
        <v>338</v>
      </c>
      <c r="U182" s="505">
        <f>MAX($B178:$B188)</f>
        <v>106419</v>
      </c>
      <c r="V182" s="469"/>
      <c r="W182" s="443"/>
      <c r="Y182" s="576"/>
      <c r="Z182" s="578" t="s">
        <v>338</v>
      </c>
      <c r="AA182" s="505">
        <f>MAX($B178:$B188)</f>
        <v>106419</v>
      </c>
      <c r="AB182" s="469"/>
      <c r="AC182" s="443"/>
      <c r="AE182" s="576"/>
      <c r="AF182" s="578" t="s">
        <v>338</v>
      </c>
      <c r="AG182" s="505">
        <f>MAX($B178:$B188)</f>
        <v>106419</v>
      </c>
      <c r="AH182" s="469"/>
      <c r="AI182" s="443"/>
      <c r="AK182" s="576"/>
      <c r="AL182" s="578" t="s">
        <v>338</v>
      </c>
      <c r="AM182" s="505">
        <f>MAX($B178:$B188)</f>
        <v>106419</v>
      </c>
      <c r="AN182" s="469"/>
      <c r="AO182" s="443"/>
      <c r="AQ182" s="576"/>
      <c r="AR182" s="578" t="s">
        <v>338</v>
      </c>
      <c r="AS182" s="505">
        <f>MAX($B178:$B188)</f>
        <v>106419</v>
      </c>
      <c r="AT182" s="469"/>
      <c r="AU182" s="443"/>
      <c r="AW182" s="576"/>
      <c r="AX182" s="578" t="s">
        <v>338</v>
      </c>
      <c r="AY182" s="505">
        <f>MAX($B178:$B188)</f>
        <v>106419</v>
      </c>
      <c r="AZ182" s="469"/>
      <c r="BA182" s="443"/>
      <c r="BC182" s="576"/>
      <c r="BD182" s="578" t="s">
        <v>338</v>
      </c>
      <c r="BE182" s="505">
        <f>MAX($B178:$B188)</f>
        <v>106419</v>
      </c>
      <c r="BF182" s="469"/>
      <c r="BG182" s="443"/>
    </row>
    <row r="183" spans="1:60" ht="15" customHeight="1">
      <c r="A183" s="436"/>
      <c r="B183" s="437"/>
      <c r="C183" s="533"/>
      <c r="D183" s="438"/>
      <c r="E183" s="578" t="s">
        <v>338</v>
      </c>
      <c r="F183" s="505">
        <f>MAX(B178:B188)</f>
        <v>106419</v>
      </c>
      <c r="G183" s="451"/>
      <c r="H183" s="442"/>
      <c r="I183" s="443"/>
      <c r="J183" s="446"/>
      <c r="K183" s="443"/>
      <c r="M183" s="576"/>
      <c r="N183" s="578" t="s">
        <v>339</v>
      </c>
      <c r="O183" s="505">
        <f>AVERAGE($B184:$B188)</f>
        <v>102352.4</v>
      </c>
      <c r="P183" s="469"/>
      <c r="Q183" s="443"/>
      <c r="S183" s="576"/>
      <c r="T183" s="578" t="s">
        <v>339</v>
      </c>
      <c r="U183" s="505">
        <f>AVERAGE($B184:$B188)</f>
        <v>102352.4</v>
      </c>
      <c r="V183" s="469"/>
      <c r="W183" s="443"/>
      <c r="Y183" s="576"/>
      <c r="Z183" s="578" t="s">
        <v>339</v>
      </c>
      <c r="AA183" s="505">
        <f>AVERAGE($B184:$B188)</f>
        <v>102352.4</v>
      </c>
      <c r="AB183" s="469"/>
      <c r="AC183" s="443"/>
      <c r="AE183" s="576"/>
      <c r="AF183" s="578" t="s">
        <v>339</v>
      </c>
      <c r="AG183" s="505">
        <f>AVERAGE($B184:$B188)</f>
        <v>102352.4</v>
      </c>
      <c r="AH183" s="469"/>
      <c r="AI183" s="443"/>
      <c r="AK183" s="576"/>
      <c r="AL183" s="578" t="s">
        <v>339</v>
      </c>
      <c r="AM183" s="505">
        <f>AVERAGE($B184:$B188)</f>
        <v>102352.4</v>
      </c>
      <c r="AN183" s="469"/>
      <c r="AO183" s="443"/>
      <c r="AQ183" s="576"/>
      <c r="AR183" s="578" t="s">
        <v>339</v>
      </c>
      <c r="AS183" s="505">
        <f>AVERAGE($B184:$B188)</f>
        <v>102352.4</v>
      </c>
      <c r="AT183" s="469"/>
      <c r="AU183" s="443"/>
      <c r="AW183" s="576"/>
      <c r="AX183" s="578" t="s">
        <v>339</v>
      </c>
      <c r="AY183" s="505">
        <f>AVERAGE($B184:$B188)</f>
        <v>102352.4</v>
      </c>
      <c r="AZ183" s="469"/>
      <c r="BA183" s="443"/>
      <c r="BC183" s="576"/>
      <c r="BD183" s="578" t="s">
        <v>339</v>
      </c>
      <c r="BE183" s="505">
        <f>AVERAGE($B184:$B188)</f>
        <v>102352.4</v>
      </c>
      <c r="BF183" s="469"/>
      <c r="BG183" s="443"/>
    </row>
    <row r="184" spans="1:60" ht="15" customHeight="1">
      <c r="A184" s="436">
        <f t="shared" ref="A184:B189" si="75">A148</f>
        <v>2010</v>
      </c>
      <c r="B184" s="437">
        <f t="shared" si="75"/>
        <v>98279</v>
      </c>
      <c r="C184" s="533">
        <f t="shared" ref="C184:C188" si="76">LN(F$182/B184-1)</f>
        <v>3.9095312743325938</v>
      </c>
      <c r="D184" s="438">
        <f t="shared" ref="D184" si="77">D148</f>
        <v>1</v>
      </c>
      <c r="E184" s="578" t="s">
        <v>339</v>
      </c>
      <c r="F184" s="505">
        <f>AVERAGE(B184:B188)</f>
        <v>102352.4</v>
      </c>
      <c r="G184" s="451"/>
      <c r="H184" s="442"/>
      <c r="I184" s="443">
        <f t="shared" ref="I184:I210" si="78">ROUND($F$182/(1+EXP($F$187+$F$186*D184)),$G$1)</f>
        <v>98261</v>
      </c>
      <c r="J184" s="446">
        <f t="shared" ref="J184:J188" si="79">ABS(B184-I184)/B184*100</f>
        <v>1.8315204672412214E-2</v>
      </c>
      <c r="K184" s="443">
        <f t="shared" ref="K184:K188" si="80">(B184-I184)^2/1000</f>
        <v>0.32400000000000001</v>
      </c>
      <c r="M184" s="576">
        <f t="shared" ref="M184:M188" si="81">LN($O$181/B184-1)</f>
        <v>3.9095312743325938</v>
      </c>
      <c r="N184" s="579" t="s">
        <v>340</v>
      </c>
      <c r="O184" s="504">
        <f>INDEX(LINEST(M184:M188,$D184:$D188),1)</f>
        <v>-2.0609724633349778E-2</v>
      </c>
      <c r="P184" s="469">
        <f t="shared" ref="P184:P188" si="82">ROUND(O$181/(1+EXP(O$185+O$184*$D184)),$G$1)</f>
        <v>98261</v>
      </c>
      <c r="Q184" s="443">
        <f>($B184-P184)^2/1000</f>
        <v>0.32400000000000001</v>
      </c>
      <c r="S184" s="576">
        <f t="shared" ref="S184:S188" si="83">LN($U$181/$B184-1)</f>
        <v>4.0951889096833369</v>
      </c>
      <c r="T184" s="579" t="s">
        <v>340</v>
      </c>
      <c r="U184" s="504">
        <f>INDEX(LINEST(S184:S188,$D184:$D188),1)</f>
        <v>-2.0538255291303199E-2</v>
      </c>
      <c r="V184" s="469">
        <f t="shared" ref="V184:V188" si="84">ROUND(U$181/(1+EXP(U$185+U$184*$D184)),$G$1)</f>
        <v>98261</v>
      </c>
      <c r="W184" s="443">
        <f>($B184-V184)^2/1000</f>
        <v>0.32400000000000001</v>
      </c>
      <c r="Y184" s="576">
        <f t="shared" ref="Y184:Y188" si="85">LN($AA$181/$B184-1)</f>
        <v>4.2517157071840987</v>
      </c>
      <c r="Z184" s="579" t="s">
        <v>340</v>
      </c>
      <c r="AA184" s="504">
        <f>INDEX(LINEST(Y184:Y188,$D184:$D188),1)</f>
        <v>-2.0487508626114787E-2</v>
      </c>
      <c r="AB184" s="469">
        <f t="shared" ref="AB184:AB188" si="86">ROUND(AA$181/(1+EXP(AA$185+AA$184*$D184)),$G$1)</f>
        <v>98261</v>
      </c>
      <c r="AC184" s="443">
        <f t="shared" ref="AC184:AC185" si="87">($B184-AB184)^2/1000</f>
        <v>0.32400000000000001</v>
      </c>
      <c r="AE184" s="576">
        <f t="shared" ref="AE184:AE188" si="88">LN($AG$181/$B184-1)</f>
        <v>4.3870254902398891</v>
      </c>
      <c r="AF184" s="579" t="s">
        <v>340</v>
      </c>
      <c r="AG184" s="504">
        <f>INDEX(LINEST(AE184:AE188,$D184:$D188),1)</f>
        <v>-2.0449612968515662E-2</v>
      </c>
      <c r="AH184" s="469">
        <f t="shared" ref="AH184:AH188" si="89">ROUND(AG$181/(1+EXP(AG$185+AG$184*$D184)),$G$1)</f>
        <v>98261</v>
      </c>
      <c r="AI184" s="443">
        <f t="shared" ref="AI184:AI185" si="90">($B184-AH184)^2/1000</f>
        <v>0.32400000000000001</v>
      </c>
      <c r="AK184" s="576">
        <f t="shared" ref="AK184:AK188" si="91">LN($AM$181/$B184-1)</f>
        <v>4.5061895352219894</v>
      </c>
      <c r="AL184" s="579" t="s">
        <v>340</v>
      </c>
      <c r="AM184" s="504">
        <f>INDEX(LINEST(AK184:AK188,$D184:$D188),1)</f>
        <v>-2.0420235395455767E-2</v>
      </c>
      <c r="AN184" s="469">
        <f t="shared" ref="AN184:AN188" si="92">ROUND(AM$181/(1+EXP(AM$185+AM$184*$D184)),$G$1)</f>
        <v>98261</v>
      </c>
      <c r="AO184" s="443">
        <f t="shared" ref="AO184:AO187" si="93">($B184-AN184)^2/1000</f>
        <v>0.32400000000000001</v>
      </c>
      <c r="AQ184" s="576">
        <f t="shared" ref="AQ184:AQ188" si="94">LN($AS$181/$B184-1)</f>
        <v>4.612653486807341</v>
      </c>
      <c r="AR184" s="579" t="s">
        <v>340</v>
      </c>
      <c r="AS184" s="504">
        <f>INDEX(LINEST(AQ184:AQ188,$D184:$D188),1)</f>
        <v>-2.0396794067855061E-2</v>
      </c>
      <c r="AT184" s="469">
        <f t="shared" ref="AT184:AT188" si="95">ROUND(AS$181/(1+EXP(AS$185+AS$184*$D184)),$G$1)</f>
        <v>98261</v>
      </c>
      <c r="AU184" s="443">
        <f t="shared" ref="AU184:AU185" si="96">($B184-AT184)^2/1000</f>
        <v>0.32400000000000001</v>
      </c>
      <c r="AW184" s="576">
        <f t="shared" ref="AW184:AW188" si="97">LN($AY$181/$B184-1)</f>
        <v>4.7088655730711544</v>
      </c>
      <c r="AX184" s="579" t="s">
        <v>340</v>
      </c>
      <c r="AY184" s="504">
        <f>INDEX(LINEST(AW184:AW188,$D184:$D188),1)</f>
        <v>-2.037765481102536E-2</v>
      </c>
      <c r="AZ184" s="469">
        <f t="shared" ref="AZ184:AZ188" si="98">ROUND(AY$181/(1+EXP(AY$185+AY$184*$D184)),$G$1)</f>
        <v>98261</v>
      </c>
      <c r="BA184" s="443">
        <f t="shared" ref="BA184:BA185" si="99">($B184-AZ184)^2/1000</f>
        <v>0.32400000000000001</v>
      </c>
      <c r="BC184" s="576">
        <f t="shared" ref="BC184:BC188" si="100">LN($BE$181/$B184-1)</f>
        <v>4.7966279179005911</v>
      </c>
      <c r="BD184" s="579" t="s">
        <v>340</v>
      </c>
      <c r="BE184" s="504">
        <f>INDEX(LINEST(BC184:BC188,$D184:$D188),1)</f>
        <v>-2.0361732859159518E-2</v>
      </c>
      <c r="BF184" s="469">
        <f t="shared" ref="BF184:BF188" si="101">ROUND(BE$181/(1+EXP(BE$185+BE$184*$D184)),$G$1)</f>
        <v>98261</v>
      </c>
      <c r="BG184" s="443">
        <f t="shared" ref="BG184:BG185" si="102">($B184-BF184)^2/1000</f>
        <v>0.32400000000000001</v>
      </c>
    </row>
    <row r="185" spans="1:60" ht="15" customHeight="1">
      <c r="A185" s="436">
        <f t="shared" si="75"/>
        <v>2011</v>
      </c>
      <c r="B185" s="437">
        <f t="shared" si="75"/>
        <v>99952</v>
      </c>
      <c r="C185" s="533">
        <f t="shared" si="76"/>
        <v>3.8923102092178916</v>
      </c>
      <c r="D185" s="438">
        <f t="shared" ref="D185:D210" si="103">D184+1</f>
        <v>2</v>
      </c>
      <c r="G185" s="451"/>
      <c r="H185" s="442"/>
      <c r="I185" s="443">
        <f t="shared" si="78"/>
        <v>100266</v>
      </c>
      <c r="J185" s="446">
        <f t="shared" si="79"/>
        <v>0.31415079238034255</v>
      </c>
      <c r="K185" s="443">
        <f t="shared" si="80"/>
        <v>98.596000000000004</v>
      </c>
      <c r="M185" s="576">
        <f t="shared" si="81"/>
        <v>3.8923102092178916</v>
      </c>
      <c r="N185" s="439" t="s">
        <v>305</v>
      </c>
      <c r="O185" s="504">
        <f>INDEX(LINEST(M184:M188,$D184:$D188),2)</f>
        <v>3.9303281277860664</v>
      </c>
      <c r="P185" s="469">
        <f t="shared" si="82"/>
        <v>100266</v>
      </c>
      <c r="Q185" s="443">
        <f>($B185-P185)^2/1000</f>
        <v>98.596000000000004</v>
      </c>
      <c r="S185" s="576">
        <f t="shared" si="83"/>
        <v>4.0780256947027231</v>
      </c>
      <c r="T185" s="439" t="s">
        <v>305</v>
      </c>
      <c r="U185" s="504">
        <f>INDEX(LINEST(S184:S188,$D184:$D188),2)</f>
        <v>4.1159123266567939</v>
      </c>
      <c r="V185" s="469">
        <f t="shared" si="84"/>
        <v>100266</v>
      </c>
      <c r="W185" s="443">
        <f>($B185-V185)^2/1000</f>
        <v>98.596000000000004</v>
      </c>
      <c r="Y185" s="576">
        <f t="shared" si="85"/>
        <v>4.2345935763316795</v>
      </c>
      <c r="Z185" s="439" t="s">
        <v>305</v>
      </c>
      <c r="AA185" s="504">
        <f>INDEX(LINEST(Y184:Y188,$D184:$D188),2)</f>
        <v>4.2723869862622692</v>
      </c>
      <c r="AB185" s="469">
        <f t="shared" si="86"/>
        <v>100266</v>
      </c>
      <c r="AC185" s="443">
        <f t="shared" si="87"/>
        <v>98.596000000000004</v>
      </c>
      <c r="AE185" s="576">
        <f t="shared" si="88"/>
        <v>4.3699340436348075</v>
      </c>
      <c r="AF185" s="439" t="s">
        <v>305</v>
      </c>
      <c r="AG185" s="504">
        <f>INDEX(LINEST(AE184:AE188,$D184:$D188),2)</f>
        <v>4.4076578377399187</v>
      </c>
      <c r="AH185" s="469">
        <f t="shared" si="89"/>
        <v>100266</v>
      </c>
      <c r="AI185" s="443">
        <f t="shared" si="90"/>
        <v>98.596000000000004</v>
      </c>
      <c r="AK185" s="576">
        <f t="shared" si="91"/>
        <v>4.4891218782129005</v>
      </c>
      <c r="AL185" s="439" t="s">
        <v>305</v>
      </c>
      <c r="AM185" s="504">
        <f>INDEX(LINEST(AK184:AK188,$D184:$D188),2)</f>
        <v>4.5267917038429406</v>
      </c>
      <c r="AN185" s="469">
        <f t="shared" si="92"/>
        <v>100266</v>
      </c>
      <c r="AO185" s="443">
        <f t="shared" si="93"/>
        <v>98.596000000000004</v>
      </c>
      <c r="AQ185" s="576">
        <f t="shared" si="94"/>
        <v>4.5956048138445613</v>
      </c>
      <c r="AR185" s="439" t="s">
        <v>305</v>
      </c>
      <c r="AS185" s="504">
        <f>INDEX(LINEST(AQ184:AQ188,$D184:$D188),2)</f>
        <v>4.633231575816958</v>
      </c>
      <c r="AT185" s="469">
        <f t="shared" si="95"/>
        <v>100266</v>
      </c>
      <c r="AU185" s="443">
        <f t="shared" si="96"/>
        <v>98.596000000000004</v>
      </c>
      <c r="AW185" s="576">
        <f t="shared" si="97"/>
        <v>4.6918324011260495</v>
      </c>
      <c r="AX185" s="439" t="s">
        <v>305</v>
      </c>
      <c r="AY185" s="504">
        <f>INDEX(LINEST(AW184:AW188,$D184:$D188),2)</f>
        <v>4.7294240024083241</v>
      </c>
      <c r="AZ185" s="469">
        <f t="shared" si="98"/>
        <v>100266</v>
      </c>
      <c r="BA185" s="443">
        <f t="shared" si="99"/>
        <v>98.596000000000004</v>
      </c>
      <c r="BC185" s="576">
        <f t="shared" si="100"/>
        <v>4.7796076419537172</v>
      </c>
      <c r="BD185" s="439" t="s">
        <v>305</v>
      </c>
      <c r="BE185" s="504">
        <f>INDEX(LINEST(BC184:BC188,$D184:$D188),2)</f>
        <v>4.817169992850074</v>
      </c>
      <c r="BF185" s="469">
        <f t="shared" si="101"/>
        <v>100266</v>
      </c>
      <c r="BG185" s="443">
        <f t="shared" si="102"/>
        <v>98.596000000000004</v>
      </c>
    </row>
    <row r="186" spans="1:60" ht="15" customHeight="1">
      <c r="A186" s="436">
        <f t="shared" si="75"/>
        <v>2012</v>
      </c>
      <c r="B186" s="437">
        <f t="shared" si="75"/>
        <v>102796</v>
      </c>
      <c r="C186" s="580">
        <f t="shared" si="76"/>
        <v>3.8636732672345016</v>
      </c>
      <c r="D186" s="508">
        <f t="shared" si="103"/>
        <v>3</v>
      </c>
      <c r="E186" s="581" t="s">
        <v>340</v>
      </c>
      <c r="F186" s="504">
        <f>INDEX(LINEST(C184:C188,D184:D188),1)</f>
        <v>-2.0609724633349778E-2</v>
      </c>
      <c r="G186" s="582"/>
      <c r="H186" s="442"/>
      <c r="I186" s="443">
        <f t="shared" si="78"/>
        <v>102311</v>
      </c>
      <c r="J186" s="467">
        <f t="shared" si="79"/>
        <v>0.47180824156581963</v>
      </c>
      <c r="K186" s="443">
        <f t="shared" si="80"/>
        <v>235.22499999999999</v>
      </c>
      <c r="M186" s="576">
        <f t="shared" si="81"/>
        <v>3.8636732672345016</v>
      </c>
      <c r="N186" s="578" t="s">
        <v>306</v>
      </c>
      <c r="O186" s="583">
        <f>O184*-1</f>
        <v>2.0609724633349778E-2</v>
      </c>
      <c r="P186" s="469">
        <f t="shared" si="82"/>
        <v>102311</v>
      </c>
      <c r="Q186" s="443">
        <f>($B186-P186)^2/1000</f>
        <v>235.22499999999999</v>
      </c>
      <c r="S186" s="576">
        <f t="shared" si="83"/>
        <v>4.0494871775052408</v>
      </c>
      <c r="T186" s="578" t="s">
        <v>306</v>
      </c>
      <c r="U186" s="583">
        <f>U184*-1</f>
        <v>2.0538255291303199E-2</v>
      </c>
      <c r="V186" s="469">
        <f t="shared" si="84"/>
        <v>102311</v>
      </c>
      <c r="W186" s="443">
        <f>($B186-V186)^2/1000</f>
        <v>235.22499999999999</v>
      </c>
      <c r="Y186" s="576">
        <f t="shared" si="85"/>
        <v>4.2061249493130992</v>
      </c>
      <c r="Z186" s="578" t="s">
        <v>306</v>
      </c>
      <c r="AA186" s="583">
        <f>AA184*-1</f>
        <v>2.0487508626114787E-2</v>
      </c>
      <c r="AB186" s="469">
        <f t="shared" si="86"/>
        <v>102311</v>
      </c>
      <c r="AC186" s="443">
        <f>($B186-AB186)^2/1000</f>
        <v>235.22499999999999</v>
      </c>
      <c r="AE186" s="576">
        <f t="shared" si="88"/>
        <v>4.3415176100003867</v>
      </c>
      <c r="AF186" s="578" t="s">
        <v>306</v>
      </c>
      <c r="AG186" s="583">
        <f>AG184*-1</f>
        <v>2.0449612968515662E-2</v>
      </c>
      <c r="AH186" s="469">
        <f t="shared" si="89"/>
        <v>102311</v>
      </c>
      <c r="AI186" s="443">
        <f>($B186-AH186)^2/1000</f>
        <v>235.22499999999999</v>
      </c>
      <c r="AK186" s="576">
        <f t="shared" si="91"/>
        <v>4.4607459073009226</v>
      </c>
      <c r="AL186" s="578" t="s">
        <v>306</v>
      </c>
      <c r="AM186" s="583">
        <f>AM184*-1</f>
        <v>2.0420235395455767E-2</v>
      </c>
      <c r="AN186" s="469">
        <f t="shared" si="92"/>
        <v>102311</v>
      </c>
      <c r="AO186" s="443">
        <f t="shared" si="93"/>
        <v>235.22499999999999</v>
      </c>
      <c r="AQ186" s="576">
        <f t="shared" si="94"/>
        <v>4.5672611302328256</v>
      </c>
      <c r="AR186" s="578" t="s">
        <v>306</v>
      </c>
      <c r="AS186" s="583">
        <f>AS184*-1</f>
        <v>2.0396794067855061E-2</v>
      </c>
      <c r="AT186" s="469">
        <f t="shared" si="95"/>
        <v>102311</v>
      </c>
      <c r="AU186" s="443">
        <f>($B186-AT186)^2/1000</f>
        <v>235.22499999999999</v>
      </c>
      <c r="AW186" s="576">
        <f t="shared" si="97"/>
        <v>4.6635150797922904</v>
      </c>
      <c r="AX186" s="578" t="s">
        <v>306</v>
      </c>
      <c r="AY186" s="583">
        <f>AY184*-1</f>
        <v>2.037765481102536E-2</v>
      </c>
      <c r="AZ186" s="469">
        <f t="shared" si="98"/>
        <v>102311</v>
      </c>
      <c r="BA186" s="443">
        <f>($B186-AZ186)^2/1000</f>
        <v>235.22499999999999</v>
      </c>
      <c r="BC186" s="576">
        <f t="shared" si="100"/>
        <v>4.7513122517512816</v>
      </c>
      <c r="BD186" s="578" t="s">
        <v>306</v>
      </c>
      <c r="BE186" s="583">
        <f>BE184*-1</f>
        <v>2.0361732859159518E-2</v>
      </c>
      <c r="BF186" s="469">
        <f t="shared" si="101"/>
        <v>102311</v>
      </c>
      <c r="BG186" s="443">
        <f>($B186-BF186)^2/1000</f>
        <v>235.22499999999999</v>
      </c>
    </row>
    <row r="187" spans="1:60" ht="15" customHeight="1">
      <c r="A187" s="436">
        <f t="shared" si="75"/>
        <v>2013</v>
      </c>
      <c r="B187" s="437">
        <f t="shared" si="75"/>
        <v>104316</v>
      </c>
      <c r="C187" s="580">
        <f t="shared" si="76"/>
        <v>3.8486845257406186</v>
      </c>
      <c r="D187" s="508">
        <f t="shared" si="103"/>
        <v>4</v>
      </c>
      <c r="E187" s="540" t="s">
        <v>305</v>
      </c>
      <c r="F187" s="504">
        <f>INDEX(LINEST(C184:C188,D184:D188),2)</f>
        <v>3.9303281277860664</v>
      </c>
      <c r="G187" s="451"/>
      <c r="H187" s="439"/>
      <c r="I187" s="443">
        <f t="shared" si="78"/>
        <v>104397</v>
      </c>
      <c r="J187" s="467">
        <f t="shared" si="79"/>
        <v>7.764868284826873E-2</v>
      </c>
      <c r="K187" s="443">
        <f t="shared" si="80"/>
        <v>6.5609999999999999</v>
      </c>
      <c r="M187" s="576">
        <f t="shared" si="81"/>
        <v>3.8486845257406186</v>
      </c>
      <c r="N187" s="439" t="s">
        <v>321</v>
      </c>
      <c r="O187" s="504">
        <f>P177</f>
        <v>0.99180587513811858</v>
      </c>
      <c r="P187" s="469">
        <f t="shared" si="82"/>
        <v>104397</v>
      </c>
      <c r="Q187" s="443">
        <f>($B187-P187)^2/1000</f>
        <v>6.5609999999999999</v>
      </c>
      <c r="S187" s="576">
        <f t="shared" si="83"/>
        <v>4.0345510828898732</v>
      </c>
      <c r="T187" s="439" t="s">
        <v>321</v>
      </c>
      <c r="U187" s="504">
        <f>V177</f>
        <v>0.99180587513811858</v>
      </c>
      <c r="V187" s="469">
        <f t="shared" si="84"/>
        <v>104397</v>
      </c>
      <c r="W187" s="443">
        <f>($B187-V187)^2/1000</f>
        <v>6.5609999999999999</v>
      </c>
      <c r="Y187" s="576">
        <f t="shared" si="85"/>
        <v>4.1912262337427721</v>
      </c>
      <c r="Z187" s="439" t="s">
        <v>321</v>
      </c>
      <c r="AA187" s="504">
        <f>AB177</f>
        <v>0.99180587513811858</v>
      </c>
      <c r="AB187" s="469">
        <f t="shared" si="86"/>
        <v>104397</v>
      </c>
      <c r="AC187" s="443">
        <f>($B187-AB187)^2/1000</f>
        <v>6.5609999999999999</v>
      </c>
      <c r="AE187" s="576">
        <f t="shared" si="88"/>
        <v>4.326646806164133</v>
      </c>
      <c r="AF187" s="439" t="s">
        <v>321</v>
      </c>
      <c r="AG187" s="504">
        <f>AH177</f>
        <v>0.99180587513811858</v>
      </c>
      <c r="AH187" s="469">
        <f t="shared" si="89"/>
        <v>104397</v>
      </c>
      <c r="AI187" s="443">
        <f>($B187-AH187)^2/1000</f>
        <v>6.5609999999999999</v>
      </c>
      <c r="AK187" s="576">
        <f t="shared" si="91"/>
        <v>4.4458967403917962</v>
      </c>
      <c r="AL187" s="439" t="s">
        <v>341</v>
      </c>
      <c r="AM187" s="504">
        <f>AN177</f>
        <v>0.99180587513811858</v>
      </c>
      <c r="AN187" s="469">
        <f t="shared" si="92"/>
        <v>104397</v>
      </c>
      <c r="AO187" s="443">
        <f t="shared" si="93"/>
        <v>6.5609999999999999</v>
      </c>
      <c r="AQ187" s="576">
        <f t="shared" si="94"/>
        <v>4.5524292275837812</v>
      </c>
      <c r="AR187" s="439" t="s">
        <v>321</v>
      </c>
      <c r="AS187" s="504">
        <f>AT177</f>
        <v>0.99180587513811858</v>
      </c>
      <c r="AT187" s="469">
        <f t="shared" si="95"/>
        <v>104397</v>
      </c>
      <c r="AU187" s="443">
        <f>($B187-AT187)^2/1000</f>
        <v>6.5609999999999999</v>
      </c>
      <c r="AW187" s="576">
        <f t="shared" si="97"/>
        <v>4.6486972726153866</v>
      </c>
      <c r="AX187" s="439" t="s">
        <v>321</v>
      </c>
      <c r="AY187" s="504">
        <f>AZ177</f>
        <v>0.99180587513811858</v>
      </c>
      <c r="AZ187" s="469">
        <f t="shared" si="98"/>
        <v>104397</v>
      </c>
      <c r="BA187" s="443">
        <f>($B187-AZ187)^2/1000</f>
        <v>6.5609999999999999</v>
      </c>
      <c r="BC187" s="576">
        <f t="shared" si="100"/>
        <v>4.7365061703514728</v>
      </c>
      <c r="BD187" s="439" t="s">
        <v>321</v>
      </c>
      <c r="BE187" s="504">
        <f>BF177</f>
        <v>0.99180587513811858</v>
      </c>
      <c r="BF187" s="469">
        <f t="shared" si="101"/>
        <v>104397</v>
      </c>
      <c r="BG187" s="443">
        <f>($B187-BF187)^2/1000</f>
        <v>6.5609999999999999</v>
      </c>
    </row>
    <row r="188" spans="1:60" ht="15" customHeight="1" thickBot="1">
      <c r="A188" s="436">
        <f t="shared" si="75"/>
        <v>2014</v>
      </c>
      <c r="B188" s="437">
        <f t="shared" si="75"/>
        <v>106419</v>
      </c>
      <c r="C188" s="580">
        <f t="shared" si="76"/>
        <v>3.8282954929044815</v>
      </c>
      <c r="D188" s="508">
        <f t="shared" si="103"/>
        <v>5</v>
      </c>
      <c r="E188" s="578" t="s">
        <v>306</v>
      </c>
      <c r="F188" s="583">
        <f>F186*-1</f>
        <v>2.0609724633349778E-2</v>
      </c>
      <c r="H188" s="558"/>
      <c r="I188" s="443">
        <f t="shared" si="78"/>
        <v>106525</v>
      </c>
      <c r="J188" s="467">
        <f t="shared" si="79"/>
        <v>9.9606273315855254E-2</v>
      </c>
      <c r="K188" s="443">
        <f t="shared" si="80"/>
        <v>11.236000000000001</v>
      </c>
      <c r="M188" s="576">
        <f t="shared" si="81"/>
        <v>3.8282954929044815</v>
      </c>
      <c r="N188" s="439" t="s">
        <v>322</v>
      </c>
      <c r="O188" s="363">
        <f>SUM(Q178:Q188)</f>
        <v>351.94199999999995</v>
      </c>
      <c r="P188" s="469">
        <f t="shared" si="82"/>
        <v>106525</v>
      </c>
      <c r="Q188" s="443">
        <f>($B188-P188)^2/1000</f>
        <v>11.236000000000001</v>
      </c>
      <c r="S188" s="584">
        <f t="shared" si="83"/>
        <v>4.0142349391332459</v>
      </c>
      <c r="T188" s="439" t="s">
        <v>322</v>
      </c>
      <c r="U188" s="363">
        <f>SUM(W178:W188)</f>
        <v>351.94199999999995</v>
      </c>
      <c r="V188" s="469">
        <f t="shared" si="84"/>
        <v>106525</v>
      </c>
      <c r="W188" s="443">
        <f>($B188-V188)^2/1000</f>
        <v>11.236000000000001</v>
      </c>
      <c r="Y188" s="584">
        <f t="shared" si="85"/>
        <v>4.1709618353479785</v>
      </c>
      <c r="Z188" s="439" t="s">
        <v>322</v>
      </c>
      <c r="AA188" s="363">
        <f>SUM(AC178:AC188)</f>
        <v>351.94199999999995</v>
      </c>
      <c r="AB188" s="469">
        <f t="shared" si="86"/>
        <v>106525</v>
      </c>
      <c r="AC188" s="443">
        <f>($B188-AB188)^2/1000</f>
        <v>11.236000000000001</v>
      </c>
      <c r="AE188" s="584">
        <f t="shared" si="88"/>
        <v>4.306421044132648</v>
      </c>
      <c r="AF188" s="439" t="s">
        <v>322</v>
      </c>
      <c r="AG188" s="363">
        <f>SUM(AI178:AI188)</f>
        <v>351.94199999999995</v>
      </c>
      <c r="AH188" s="469">
        <f t="shared" si="89"/>
        <v>106525</v>
      </c>
      <c r="AI188" s="443">
        <f>($B188-AH188)^2/1000</f>
        <v>11.236000000000001</v>
      </c>
      <c r="AK188" s="584">
        <f t="shared" si="91"/>
        <v>4.4257009271552628</v>
      </c>
      <c r="AL188" s="439" t="s">
        <v>322</v>
      </c>
      <c r="AM188" s="363">
        <f>SUM(AO178:AO188)</f>
        <v>351.94199999999995</v>
      </c>
      <c r="AN188" s="469">
        <f t="shared" si="92"/>
        <v>106525</v>
      </c>
      <c r="AO188" s="443">
        <f>($B188-AN188)^2/1000</f>
        <v>11.236000000000001</v>
      </c>
      <c r="AQ188" s="584">
        <f t="shared" si="94"/>
        <v>4.5322573095984557</v>
      </c>
      <c r="AR188" s="439" t="s">
        <v>322</v>
      </c>
      <c r="AS188" s="363">
        <f>SUM(AU178:AU188)</f>
        <v>351.94199999999995</v>
      </c>
      <c r="AT188" s="469">
        <f t="shared" si="95"/>
        <v>106525</v>
      </c>
      <c r="AU188" s="443">
        <f>($B188-AT188)^2/1000</f>
        <v>11.236000000000001</v>
      </c>
      <c r="AW188" s="584">
        <f t="shared" si="97"/>
        <v>4.6285448632713591</v>
      </c>
      <c r="AX188" s="439" t="s">
        <v>322</v>
      </c>
      <c r="AY188" s="363">
        <f>SUM(BA178:BA188)</f>
        <v>351.94199999999995</v>
      </c>
      <c r="AZ188" s="469">
        <f t="shared" si="98"/>
        <v>106525</v>
      </c>
      <c r="BA188" s="443">
        <f>($B188-AZ188)^2/1000</f>
        <v>11.236000000000001</v>
      </c>
      <c r="BC188" s="584">
        <f t="shared" si="100"/>
        <v>4.7163699894059157</v>
      </c>
      <c r="BD188" s="439" t="s">
        <v>322</v>
      </c>
      <c r="BE188" s="363">
        <f>SUM(BG178:BG188)</f>
        <v>351.94199999999995</v>
      </c>
      <c r="BF188" s="469">
        <f t="shared" si="101"/>
        <v>106525</v>
      </c>
      <c r="BG188" s="443">
        <f>($B188-BF188)^2/1000</f>
        <v>11.236000000000001</v>
      </c>
    </row>
    <row r="189" spans="1:60" ht="15" customHeight="1" thickTop="1">
      <c r="A189" s="511">
        <f t="shared" si="75"/>
        <v>2015</v>
      </c>
      <c r="B189" s="459">
        <f t="shared" si="75"/>
        <v>108343</v>
      </c>
      <c r="C189" s="585"/>
      <c r="D189" s="513">
        <f t="shared" si="103"/>
        <v>6</v>
      </c>
      <c r="E189" s="462"/>
      <c r="F189" s="461"/>
      <c r="G189" s="461"/>
      <c r="H189" s="586"/>
      <c r="I189" s="464">
        <f t="shared" si="78"/>
        <v>108695</v>
      </c>
      <c r="J189" s="463"/>
      <c r="K189" s="464"/>
      <c r="M189" s="587"/>
      <c r="N189" s="461"/>
      <c r="O189" s="461"/>
      <c r="P189" s="588"/>
      <c r="Q189" s="589"/>
      <c r="S189" s="587"/>
      <c r="T189" s="461"/>
      <c r="U189" s="461"/>
      <c r="V189" s="588"/>
      <c r="W189" s="589"/>
      <c r="Y189" s="587"/>
      <c r="Z189" s="461"/>
      <c r="AA189" s="461"/>
      <c r="AB189" s="588"/>
      <c r="AC189" s="589"/>
      <c r="AE189" s="587"/>
      <c r="AF189" s="461"/>
      <c r="AG189" s="461"/>
      <c r="AH189" s="588"/>
      <c r="AI189" s="589"/>
      <c r="AK189" s="587"/>
      <c r="AL189" s="461"/>
      <c r="AM189" s="461"/>
      <c r="AN189" s="588"/>
      <c r="AO189" s="589"/>
      <c r="AQ189" s="587"/>
      <c r="AR189" s="461"/>
      <c r="AS189" s="461"/>
      <c r="AT189" s="588"/>
      <c r="AU189" s="589"/>
      <c r="AW189" s="587"/>
      <c r="AX189" s="461"/>
      <c r="AY189" s="461"/>
      <c r="AZ189" s="588"/>
      <c r="BA189" s="589"/>
      <c r="BC189" s="587"/>
      <c r="BD189" s="461"/>
      <c r="BE189" s="461"/>
      <c r="BF189" s="588"/>
      <c r="BG189" s="589"/>
    </row>
    <row r="190" spans="1:60" ht="15" customHeight="1">
      <c r="A190" s="436">
        <f>A154</f>
        <v>2016</v>
      </c>
      <c r="B190" s="437">
        <f t="shared" ref="B190:B210" si="104">ROUND(F$182/(1+EXP(F$187+F$186*D190)),$G$1)</f>
        <v>110908</v>
      </c>
      <c r="C190" s="580"/>
      <c r="D190" s="508">
        <f t="shared" si="103"/>
        <v>7</v>
      </c>
      <c r="E190" s="2318" t="s">
        <v>276</v>
      </c>
      <c r="F190" s="2320"/>
      <c r="G190" s="447">
        <f>I177</f>
        <v>0.99180587513811858</v>
      </c>
      <c r="H190" s="558"/>
      <c r="I190" s="443">
        <f t="shared" si="78"/>
        <v>110908</v>
      </c>
      <c r="J190" s="467"/>
      <c r="K190" s="443"/>
      <c r="M190" s="590"/>
      <c r="N190" s="451"/>
      <c r="O190" s="451"/>
      <c r="P190" s="493"/>
      <c r="Q190" s="492"/>
      <c r="S190" s="590"/>
      <c r="T190" s="451"/>
      <c r="U190" s="451"/>
      <c r="V190" s="493"/>
      <c r="W190" s="492"/>
      <c r="Y190" s="590"/>
      <c r="Z190" s="451"/>
      <c r="AA190" s="451"/>
      <c r="AB190" s="493"/>
      <c r="AC190" s="492"/>
      <c r="AE190" s="590"/>
      <c r="AF190" s="451"/>
      <c r="AG190" s="451"/>
      <c r="AH190" s="493"/>
      <c r="AI190" s="492"/>
      <c r="AK190" s="590"/>
      <c r="AL190" s="451"/>
      <c r="AM190" s="451"/>
      <c r="AN190" s="493"/>
      <c r="AO190" s="492"/>
      <c r="AQ190" s="590"/>
      <c r="AR190" s="451"/>
      <c r="AS190" s="451"/>
      <c r="AT190" s="493"/>
      <c r="AU190" s="492"/>
      <c r="AW190" s="590"/>
      <c r="AX190" s="451"/>
      <c r="AY190" s="451"/>
      <c r="AZ190" s="493"/>
      <c r="BA190" s="492"/>
      <c r="BC190" s="590"/>
      <c r="BD190" s="451"/>
      <c r="BE190" s="451"/>
      <c r="BF190" s="493"/>
      <c r="BG190" s="492"/>
    </row>
    <row r="191" spans="1:60" ht="15" customHeight="1">
      <c r="A191" s="436">
        <f>A155</f>
        <v>2017</v>
      </c>
      <c r="B191" s="437">
        <f t="shared" si="104"/>
        <v>113165</v>
      </c>
      <c r="C191" s="580"/>
      <c r="D191" s="508">
        <f t="shared" si="103"/>
        <v>8</v>
      </c>
      <c r="E191" s="2318" t="s">
        <v>323</v>
      </c>
      <c r="F191" s="2320"/>
      <c r="G191" s="448">
        <f>SUM(K178:K188)</f>
        <v>351.94199999999995</v>
      </c>
      <c r="H191" s="558"/>
      <c r="I191" s="443">
        <f t="shared" si="78"/>
        <v>113165</v>
      </c>
      <c r="J191" s="467"/>
      <c r="K191" s="443"/>
      <c r="M191" s="505" t="str">
        <f>E183</f>
        <v>max(y) =</v>
      </c>
      <c r="N191" s="505">
        <f>F183</f>
        <v>106419</v>
      </c>
      <c r="O191" s="505"/>
      <c r="P191" s="505"/>
      <c r="Q191" s="505"/>
      <c r="R191" s="505"/>
      <c r="S191" s="505" t="str">
        <f>M191</f>
        <v>max(y) =</v>
      </c>
      <c r="T191" s="505">
        <f>N191</f>
        <v>106419</v>
      </c>
      <c r="U191" s="505"/>
      <c r="V191" s="505"/>
      <c r="W191" s="505"/>
      <c r="X191" s="505"/>
      <c r="Y191" s="505" t="str">
        <f>S191</f>
        <v>max(y) =</v>
      </c>
      <c r="Z191" s="505">
        <f>T191</f>
        <v>106419</v>
      </c>
      <c r="AA191" s="505"/>
      <c r="AB191" s="505"/>
      <c r="AC191" s="505"/>
      <c r="AD191" s="505"/>
      <c r="AE191" s="505" t="str">
        <f>Y191</f>
        <v>max(y) =</v>
      </c>
      <c r="AF191" s="505">
        <f>Z191</f>
        <v>106419</v>
      </c>
      <c r="AG191" s="505"/>
      <c r="AH191" s="505"/>
      <c r="AI191" s="505"/>
      <c r="AJ191" s="505"/>
      <c r="AK191" s="505" t="str">
        <f>AE191</f>
        <v>max(y) =</v>
      </c>
      <c r="AL191" s="505">
        <f>AF191</f>
        <v>106419</v>
      </c>
      <c r="AM191" s="505"/>
      <c r="AN191" s="505"/>
      <c r="AO191" s="505"/>
      <c r="AP191" s="505"/>
      <c r="AQ191" s="505" t="str">
        <f>AK191</f>
        <v>max(y) =</v>
      </c>
      <c r="AR191" s="505">
        <f>AL191</f>
        <v>106419</v>
      </c>
      <c r="AS191" s="505"/>
      <c r="AT191" s="505"/>
      <c r="AU191" s="505"/>
      <c r="AV191" s="505"/>
      <c r="AW191" s="505" t="str">
        <f>AQ191</f>
        <v>max(y) =</v>
      </c>
      <c r="AX191" s="505">
        <f>AR191</f>
        <v>106419</v>
      </c>
      <c r="AY191" s="505"/>
      <c r="AZ191" s="505"/>
      <c r="BA191" s="505"/>
      <c r="BB191" s="505"/>
      <c r="BC191" s="505" t="str">
        <f>AW191</f>
        <v>max(y) =</v>
      </c>
      <c r="BD191" s="505">
        <f>AX191</f>
        <v>106419</v>
      </c>
      <c r="BE191" s="505"/>
      <c r="BF191" s="505"/>
      <c r="BG191" s="505"/>
      <c r="BH191" s="505"/>
    </row>
    <row r="192" spans="1:60" ht="15" customHeight="1">
      <c r="A192" s="436">
        <f>A156</f>
        <v>2018</v>
      </c>
      <c r="B192" s="437">
        <f t="shared" si="104"/>
        <v>115467</v>
      </c>
      <c r="C192" s="580"/>
      <c r="D192" s="508">
        <f t="shared" si="103"/>
        <v>9</v>
      </c>
      <c r="E192" s="2318" t="s">
        <v>324</v>
      </c>
      <c r="F192" s="2320"/>
      <c r="G192" s="449">
        <f>SUM(J178:J188)/D199</f>
        <v>6.134557467391865E-2</v>
      </c>
      <c r="H192" s="558"/>
      <c r="I192" s="443">
        <f t="shared" si="78"/>
        <v>115467</v>
      </c>
      <c r="J192" s="467"/>
      <c r="K192" s="443"/>
      <c r="M192" s="505" t="s">
        <v>326</v>
      </c>
      <c r="N192" s="505">
        <v>3</v>
      </c>
      <c r="O192" s="505"/>
      <c r="P192" s="505"/>
      <c r="Q192" s="505"/>
      <c r="R192" s="505"/>
      <c r="S192" s="505" t="s">
        <v>326</v>
      </c>
      <c r="T192" s="505">
        <f>N192</f>
        <v>3</v>
      </c>
      <c r="U192" s="505"/>
      <c r="V192" s="505"/>
      <c r="W192" s="505"/>
      <c r="X192" s="505"/>
      <c r="Y192" s="505" t="s">
        <v>326</v>
      </c>
      <c r="Z192" s="505">
        <f>T192</f>
        <v>3</v>
      </c>
      <c r="AA192" s="505"/>
      <c r="AB192" s="505"/>
      <c r="AC192" s="505"/>
      <c r="AD192" s="505"/>
      <c r="AE192" s="505" t="s">
        <v>326</v>
      </c>
      <c r="AF192" s="505">
        <f>Z192</f>
        <v>3</v>
      </c>
      <c r="AG192" s="505"/>
      <c r="AH192" s="505"/>
      <c r="AI192" s="505"/>
      <c r="AJ192" s="505"/>
      <c r="AK192" s="505" t="s">
        <v>326</v>
      </c>
      <c r="AL192" s="505">
        <f>AF192</f>
        <v>3</v>
      </c>
      <c r="AM192" s="505"/>
      <c r="AN192" s="505"/>
      <c r="AO192" s="505"/>
      <c r="AP192" s="505"/>
      <c r="AQ192" s="505" t="s">
        <v>342</v>
      </c>
      <c r="AR192" s="505">
        <f>AL192</f>
        <v>3</v>
      </c>
      <c r="AS192" s="505"/>
      <c r="AT192" s="505"/>
      <c r="AU192" s="505"/>
      <c r="AV192" s="505"/>
      <c r="AW192" s="505" t="s">
        <v>326</v>
      </c>
      <c r="AX192" s="505">
        <f>AR192</f>
        <v>3</v>
      </c>
      <c r="AY192" s="505"/>
      <c r="AZ192" s="505"/>
      <c r="BA192" s="505"/>
      <c r="BB192" s="505"/>
      <c r="BC192" s="505" t="s">
        <v>326</v>
      </c>
      <c r="BD192" s="505">
        <f>AX192</f>
        <v>3</v>
      </c>
      <c r="BE192" s="505"/>
      <c r="BF192" s="505"/>
      <c r="BG192" s="505"/>
      <c r="BH192" s="505"/>
    </row>
    <row r="193" spans="1:70" ht="15" customHeight="1">
      <c r="A193" s="436">
        <f>A157</f>
        <v>2019</v>
      </c>
      <c r="B193" s="437">
        <f t="shared" si="104"/>
        <v>117815</v>
      </c>
      <c r="C193" s="580"/>
      <c r="D193" s="508">
        <f t="shared" si="103"/>
        <v>10</v>
      </c>
      <c r="H193" s="558"/>
      <c r="I193" s="443">
        <f t="shared" si="78"/>
        <v>117815</v>
      </c>
      <c r="J193" s="467"/>
      <c r="K193" s="443"/>
      <c r="M193" s="505" t="s">
        <v>343</v>
      </c>
      <c r="N193" s="559">
        <v>100000</v>
      </c>
      <c r="O193" s="505"/>
      <c r="P193" s="505"/>
      <c r="Q193" s="505"/>
      <c r="R193" s="505"/>
      <c r="S193" s="505" t="s">
        <v>343</v>
      </c>
      <c r="T193" s="505">
        <f>N193</f>
        <v>100000</v>
      </c>
      <c r="U193" s="505"/>
      <c r="V193" s="505"/>
      <c r="W193" s="505"/>
      <c r="X193" s="505"/>
      <c r="Y193" s="505" t="s">
        <v>343</v>
      </c>
      <c r="Z193" s="505">
        <f>T193</f>
        <v>100000</v>
      </c>
      <c r="AA193" s="505"/>
      <c r="AB193" s="505"/>
      <c r="AC193" s="505"/>
      <c r="AD193" s="505"/>
      <c r="AE193" s="505" t="s">
        <v>343</v>
      </c>
      <c r="AF193" s="505">
        <f>Z193</f>
        <v>100000</v>
      </c>
      <c r="AG193" s="505"/>
      <c r="AH193" s="505"/>
      <c r="AI193" s="505"/>
      <c r="AJ193" s="505"/>
      <c r="AK193" s="505" t="s">
        <v>343</v>
      </c>
      <c r="AL193" s="505">
        <f>AF193</f>
        <v>100000</v>
      </c>
      <c r="AM193" s="505"/>
      <c r="AN193" s="505"/>
      <c r="AO193" s="505"/>
      <c r="AP193" s="505"/>
      <c r="AQ193" s="505" t="s">
        <v>343</v>
      </c>
      <c r="AR193" s="505">
        <f>AL193</f>
        <v>100000</v>
      </c>
      <c r="AS193" s="505"/>
      <c r="AT193" s="505"/>
      <c r="AU193" s="505"/>
      <c r="AV193" s="505"/>
      <c r="AW193" s="505" t="s">
        <v>343</v>
      </c>
      <c r="AX193" s="505">
        <f>AR193</f>
        <v>100000</v>
      </c>
      <c r="AY193" s="505"/>
      <c r="AZ193" s="505"/>
      <c r="BA193" s="505"/>
      <c r="BB193" s="505"/>
      <c r="BC193" s="505" t="s">
        <v>343</v>
      </c>
      <c r="BD193" s="505">
        <f>AX193</f>
        <v>100000</v>
      </c>
      <c r="BE193" s="505"/>
      <c r="BF193" s="505"/>
      <c r="BG193" s="505"/>
      <c r="BH193" s="505"/>
    </row>
    <row r="194" spans="1:70" ht="15" customHeight="1">
      <c r="A194" s="436">
        <f>A158</f>
        <v>2020</v>
      </c>
      <c r="B194" s="437">
        <f t="shared" si="104"/>
        <v>120210</v>
      </c>
      <c r="C194" s="580"/>
      <c r="D194" s="508">
        <f t="shared" si="103"/>
        <v>11</v>
      </c>
      <c r="E194" s="451"/>
      <c r="F194" s="451"/>
      <c r="G194" s="451"/>
      <c r="H194" s="558"/>
      <c r="I194" s="443">
        <f t="shared" si="78"/>
        <v>120210</v>
      </c>
      <c r="J194" s="467"/>
      <c r="K194" s="443"/>
      <c r="M194" s="590"/>
      <c r="N194" s="451"/>
      <c r="O194" s="451"/>
      <c r="P194" s="493"/>
      <c r="Q194" s="492"/>
      <c r="S194" s="590"/>
      <c r="T194" s="451"/>
      <c r="U194" s="451"/>
      <c r="V194" s="493"/>
      <c r="W194" s="492"/>
      <c r="Y194" s="590"/>
      <c r="Z194" s="451"/>
      <c r="AA194" s="451"/>
      <c r="AB194" s="493"/>
      <c r="AC194" s="492"/>
      <c r="AE194" s="590"/>
      <c r="AF194" s="451"/>
      <c r="AG194" s="451"/>
      <c r="AH194" s="493"/>
      <c r="AI194" s="492"/>
      <c r="AK194" s="590"/>
      <c r="AL194" s="451"/>
      <c r="AM194" s="451"/>
      <c r="AN194" s="493"/>
      <c r="AO194" s="492"/>
      <c r="AQ194" s="590"/>
      <c r="AR194" s="451"/>
      <c r="AS194" s="451"/>
      <c r="AT194" s="493"/>
      <c r="AU194" s="492"/>
      <c r="AW194" s="590"/>
      <c r="AX194" s="451"/>
      <c r="AY194" s="451"/>
      <c r="AZ194" s="493"/>
      <c r="BA194" s="492"/>
      <c r="BC194" s="590"/>
      <c r="BD194" s="451"/>
      <c r="BE194" s="451"/>
      <c r="BF194" s="493"/>
      <c r="BG194" s="492"/>
    </row>
    <row r="195" spans="1:70" ht="15" customHeight="1">
      <c r="A195" s="436">
        <f t="shared" ref="A195:A210" si="105">A159</f>
        <v>2021</v>
      </c>
      <c r="B195" s="437">
        <f t="shared" si="104"/>
        <v>122651</v>
      </c>
      <c r="C195" s="580"/>
      <c r="D195" s="508">
        <f t="shared" si="103"/>
        <v>12</v>
      </c>
      <c r="E195" s="451"/>
      <c r="F195" s="451"/>
      <c r="G195" s="451"/>
      <c r="H195" s="558"/>
      <c r="I195" s="443">
        <f t="shared" si="78"/>
        <v>122651</v>
      </c>
      <c r="J195" s="467"/>
      <c r="K195" s="443"/>
      <c r="M195" s="590"/>
      <c r="N195" s="451"/>
      <c r="O195" s="451"/>
      <c r="P195" s="493"/>
      <c r="Q195" s="492"/>
      <c r="S195" s="590"/>
      <c r="T195" s="451"/>
      <c r="U195" s="451"/>
      <c r="V195" s="493"/>
      <c r="W195" s="492"/>
      <c r="Y195" s="590"/>
      <c r="Z195" s="451"/>
      <c r="AA195" s="451"/>
      <c r="AB195" s="493"/>
      <c r="AC195" s="492"/>
      <c r="AE195" s="590"/>
      <c r="AF195" s="451"/>
      <c r="AG195" s="451"/>
      <c r="AH195" s="493"/>
      <c r="AI195" s="492"/>
      <c r="AK195" s="590"/>
      <c r="AL195" s="451"/>
      <c r="AM195" s="451"/>
      <c r="AN195" s="493"/>
      <c r="AO195" s="492"/>
      <c r="AQ195" s="590"/>
      <c r="AR195" s="451"/>
      <c r="AS195" s="451"/>
      <c r="AT195" s="493"/>
      <c r="AU195" s="492"/>
      <c r="AW195" s="590"/>
      <c r="AX195" s="451"/>
      <c r="AY195" s="451"/>
      <c r="AZ195" s="493"/>
      <c r="BA195" s="492"/>
      <c r="BC195" s="590"/>
      <c r="BD195" s="451"/>
      <c r="BE195" s="451"/>
      <c r="BF195" s="493"/>
      <c r="BG195" s="492"/>
    </row>
    <row r="196" spans="1:70" s="451" customFormat="1" ht="15" customHeight="1">
      <c r="A196" s="436">
        <f t="shared" si="105"/>
        <v>2022</v>
      </c>
      <c r="B196" s="437">
        <f t="shared" si="104"/>
        <v>125141</v>
      </c>
      <c r="C196" s="580"/>
      <c r="D196" s="508">
        <f t="shared" si="103"/>
        <v>13</v>
      </c>
      <c r="H196" s="558"/>
      <c r="I196" s="443">
        <f t="shared" si="78"/>
        <v>125141</v>
      </c>
      <c r="J196" s="467"/>
      <c r="K196" s="443"/>
      <c r="M196" s="590"/>
      <c r="P196" s="493"/>
      <c r="Q196" s="492"/>
      <c r="S196" s="590"/>
      <c r="V196" s="493"/>
      <c r="W196" s="492"/>
      <c r="Y196" s="590"/>
      <c r="AB196" s="493"/>
      <c r="AC196" s="492"/>
      <c r="AE196" s="590"/>
      <c r="AH196" s="493"/>
      <c r="AI196" s="492"/>
      <c r="AK196" s="590"/>
      <c r="AN196" s="493"/>
      <c r="AO196" s="492"/>
      <c r="AQ196" s="590"/>
      <c r="AT196" s="493"/>
      <c r="AU196" s="492"/>
      <c r="AW196" s="590"/>
      <c r="AZ196" s="493"/>
      <c r="BA196" s="492"/>
      <c r="BC196" s="590"/>
      <c r="BF196" s="493"/>
      <c r="BG196" s="492"/>
    </row>
    <row r="197" spans="1:70" ht="15" customHeight="1">
      <c r="A197" s="436">
        <f t="shared" si="105"/>
        <v>2023</v>
      </c>
      <c r="B197" s="437">
        <f t="shared" si="104"/>
        <v>127681</v>
      </c>
      <c r="C197" s="580"/>
      <c r="D197" s="508">
        <f t="shared" si="103"/>
        <v>14</v>
      </c>
      <c r="E197" s="519"/>
      <c r="F197" s="451"/>
      <c r="G197" s="451"/>
      <c r="H197" s="558"/>
      <c r="I197" s="443">
        <f t="shared" si="78"/>
        <v>127681</v>
      </c>
      <c r="J197" s="467"/>
      <c r="K197" s="443"/>
      <c r="M197" s="590"/>
      <c r="N197" s="451"/>
      <c r="O197" s="451"/>
      <c r="P197" s="493"/>
      <c r="Q197" s="492"/>
      <c r="S197" s="590"/>
      <c r="T197" s="451"/>
      <c r="U197" s="451"/>
      <c r="V197" s="493"/>
      <c r="W197" s="492"/>
      <c r="Y197" s="590"/>
      <c r="Z197" s="451"/>
      <c r="AA197" s="451"/>
      <c r="AB197" s="493"/>
      <c r="AC197" s="492"/>
      <c r="AE197" s="590"/>
      <c r="AF197" s="451"/>
      <c r="AG197" s="451"/>
      <c r="AH197" s="493"/>
      <c r="AI197" s="492"/>
      <c r="AK197" s="590"/>
      <c r="AL197" s="451"/>
      <c r="AM197" s="451"/>
      <c r="AN197" s="493"/>
      <c r="AO197" s="492"/>
      <c r="AQ197" s="590"/>
      <c r="AR197" s="451"/>
      <c r="AS197" s="451"/>
      <c r="AT197" s="493"/>
      <c r="AU197" s="492"/>
      <c r="AW197" s="590"/>
      <c r="AX197" s="451"/>
      <c r="AY197" s="451"/>
      <c r="AZ197" s="493"/>
      <c r="BA197" s="492"/>
      <c r="BC197" s="590"/>
      <c r="BD197" s="451"/>
      <c r="BE197" s="451"/>
      <c r="BF197" s="493"/>
      <c r="BG197" s="492"/>
      <c r="BI197" s="590"/>
      <c r="BJ197" s="451"/>
      <c r="BK197" s="451"/>
      <c r="BL197" s="493"/>
      <c r="BM197" s="492"/>
    </row>
    <row r="198" spans="1:70" s="451" customFormat="1" ht="15" customHeight="1">
      <c r="A198" s="436">
        <f t="shared" si="105"/>
        <v>2024</v>
      </c>
      <c r="B198" s="437">
        <f t="shared" si="104"/>
        <v>130270</v>
      </c>
      <c r="C198" s="580"/>
      <c r="D198" s="508">
        <f t="shared" si="103"/>
        <v>15</v>
      </c>
      <c r="E198" s="519"/>
      <c r="H198" s="591"/>
      <c r="I198" s="443">
        <f t="shared" si="78"/>
        <v>130270</v>
      </c>
      <c r="J198" s="467"/>
      <c r="K198" s="443"/>
      <c r="M198" s="590"/>
      <c r="P198" s="493"/>
      <c r="Q198" s="492"/>
      <c r="S198" s="590"/>
      <c r="V198" s="493"/>
      <c r="W198" s="492"/>
      <c r="Y198" s="590"/>
      <c r="AB198" s="493"/>
      <c r="AC198" s="492"/>
      <c r="AE198" s="590"/>
      <c r="AH198" s="493"/>
      <c r="AI198" s="492"/>
      <c r="AK198" s="590"/>
      <c r="AN198" s="493"/>
      <c r="AO198" s="492"/>
      <c r="AQ198" s="590"/>
      <c r="AT198" s="493"/>
      <c r="AU198" s="492"/>
      <c r="AW198" s="590"/>
      <c r="AZ198" s="493"/>
      <c r="BA198" s="492"/>
      <c r="BC198" s="590"/>
      <c r="BF198" s="493"/>
      <c r="BG198" s="492"/>
      <c r="BI198" s="590"/>
      <c r="BL198" s="493"/>
      <c r="BM198" s="492"/>
    </row>
    <row r="199" spans="1:70" s="451" customFormat="1" ht="15" customHeight="1" thickBot="1">
      <c r="A199" s="436">
        <f t="shared" si="105"/>
        <v>2025</v>
      </c>
      <c r="B199" s="437">
        <f t="shared" si="104"/>
        <v>132911</v>
      </c>
      <c r="C199" s="580"/>
      <c r="D199" s="508">
        <f t="shared" si="103"/>
        <v>16</v>
      </c>
      <c r="E199" s="560" t="s">
        <v>344</v>
      </c>
      <c r="F199" s="561" t="s">
        <v>332</v>
      </c>
      <c r="G199" s="561" t="s">
        <v>294</v>
      </c>
      <c r="H199" s="591"/>
      <c r="I199" s="443">
        <f t="shared" si="78"/>
        <v>132911</v>
      </c>
      <c r="J199" s="467"/>
      <c r="K199" s="443"/>
      <c r="M199" s="590"/>
      <c r="P199" s="493"/>
      <c r="Q199" s="492"/>
      <c r="S199" s="590"/>
      <c r="V199" s="493"/>
      <c r="W199" s="492"/>
      <c r="Y199" s="590"/>
      <c r="AB199" s="493"/>
      <c r="AC199" s="492"/>
      <c r="AE199" s="590"/>
      <c r="AH199" s="493"/>
      <c r="AI199" s="492"/>
      <c r="AK199" s="590"/>
      <c r="AN199" s="493"/>
      <c r="AO199" s="492"/>
      <c r="AQ199" s="590"/>
      <c r="AT199" s="493"/>
      <c r="AU199" s="492"/>
      <c r="AW199" s="590"/>
      <c r="AZ199" s="493"/>
      <c r="BA199" s="492"/>
      <c r="BC199" s="590"/>
      <c r="BF199" s="493"/>
      <c r="BG199" s="492"/>
      <c r="BI199" s="590"/>
      <c r="BL199" s="493"/>
      <c r="BM199" s="492"/>
    </row>
    <row r="200" spans="1:70" ht="15" customHeight="1" thickTop="1">
      <c r="A200" s="436">
        <f t="shared" si="105"/>
        <v>2026</v>
      </c>
      <c r="B200" s="437">
        <f t="shared" si="104"/>
        <v>135603</v>
      </c>
      <c r="C200" s="520"/>
      <c r="D200" s="508">
        <f t="shared" si="103"/>
        <v>17</v>
      </c>
      <c r="E200" s="592">
        <v>5000000</v>
      </c>
      <c r="F200" s="563">
        <f>O187</f>
        <v>0.99180587513811858</v>
      </c>
      <c r="G200" s="564">
        <f>O188</f>
        <v>351.94199999999995</v>
      </c>
      <c r="H200" s="591"/>
      <c r="I200" s="443">
        <f t="shared" si="78"/>
        <v>135603</v>
      </c>
      <c r="J200" s="469"/>
      <c r="K200" s="469"/>
      <c r="L200" s="326">
        <f>RANK(F200,$F$200:$F$207)</f>
        <v>1</v>
      </c>
    </row>
    <row r="201" spans="1:70" ht="15" customHeight="1">
      <c r="A201" s="436">
        <f t="shared" si="105"/>
        <v>2027</v>
      </c>
      <c r="B201" s="437">
        <f t="shared" si="104"/>
        <v>138349</v>
      </c>
      <c r="C201" s="520"/>
      <c r="D201" s="508">
        <f t="shared" si="103"/>
        <v>18</v>
      </c>
      <c r="E201" s="593">
        <v>6000000</v>
      </c>
      <c r="F201" s="565">
        <f>V177</f>
        <v>0.99180587513811858</v>
      </c>
      <c r="G201" s="564">
        <f>U188</f>
        <v>351.94199999999995</v>
      </c>
      <c r="H201" s="591"/>
      <c r="I201" s="443">
        <f t="shared" si="78"/>
        <v>138349</v>
      </c>
      <c r="J201" s="469"/>
      <c r="K201" s="469"/>
      <c r="L201" s="326">
        <f t="shared" ref="L201:L207" si="106">RANK(F201,$F$200:$F$207)</f>
        <v>1</v>
      </c>
    </row>
    <row r="202" spans="1:70" ht="15" customHeight="1">
      <c r="A202" s="436">
        <f t="shared" si="105"/>
        <v>2028</v>
      </c>
      <c r="B202" s="437">
        <f t="shared" si="104"/>
        <v>141149</v>
      </c>
      <c r="C202" s="520"/>
      <c r="D202" s="508">
        <f t="shared" si="103"/>
        <v>19</v>
      </c>
      <c r="E202" s="593">
        <v>7000000</v>
      </c>
      <c r="F202" s="565">
        <f>AB177</f>
        <v>0.99180587513811858</v>
      </c>
      <c r="G202" s="564">
        <f>AA188</f>
        <v>351.94199999999995</v>
      </c>
      <c r="H202" s="591"/>
      <c r="I202" s="443">
        <f t="shared" si="78"/>
        <v>141149</v>
      </c>
      <c r="J202" s="469"/>
      <c r="K202" s="469"/>
      <c r="L202" s="326">
        <f t="shared" si="106"/>
        <v>1</v>
      </c>
      <c r="BK202" s="505"/>
      <c r="BL202" s="505"/>
      <c r="BM202" s="505"/>
      <c r="BN202" s="505"/>
      <c r="BO202" s="505"/>
      <c r="BP202" s="505"/>
      <c r="BQ202" s="505"/>
      <c r="BR202" s="505"/>
    </row>
    <row r="203" spans="1:70" ht="15" customHeight="1">
      <c r="A203" s="436">
        <f t="shared" si="105"/>
        <v>2029</v>
      </c>
      <c r="B203" s="437">
        <f t="shared" si="104"/>
        <v>144003</v>
      </c>
      <c r="C203" s="520"/>
      <c r="D203" s="508">
        <f t="shared" si="103"/>
        <v>20</v>
      </c>
      <c r="E203" s="593">
        <v>8000000</v>
      </c>
      <c r="F203" s="565">
        <f>AH177</f>
        <v>0.99180587513811858</v>
      </c>
      <c r="G203" s="564">
        <f>AG188</f>
        <v>351.94199999999995</v>
      </c>
      <c r="H203" s="591"/>
      <c r="I203" s="443">
        <f t="shared" si="78"/>
        <v>144003</v>
      </c>
      <c r="J203" s="469"/>
      <c r="K203" s="469"/>
      <c r="L203" s="326">
        <f t="shared" si="106"/>
        <v>1</v>
      </c>
    </row>
    <row r="204" spans="1:70" ht="15" customHeight="1">
      <c r="A204" s="436">
        <f t="shared" si="105"/>
        <v>2030</v>
      </c>
      <c r="B204" s="437">
        <f t="shared" si="104"/>
        <v>146914</v>
      </c>
      <c r="C204" s="520"/>
      <c r="D204" s="508">
        <f t="shared" si="103"/>
        <v>21</v>
      </c>
      <c r="E204" s="593">
        <v>9000000</v>
      </c>
      <c r="F204" s="565">
        <f>AN177</f>
        <v>0.99180587513811858</v>
      </c>
      <c r="G204" s="564">
        <f>AM188</f>
        <v>351.94199999999995</v>
      </c>
      <c r="H204" s="591"/>
      <c r="I204" s="443">
        <f t="shared" si="78"/>
        <v>146914</v>
      </c>
      <c r="J204" s="469"/>
      <c r="K204" s="469"/>
      <c r="L204" s="326">
        <f t="shared" si="106"/>
        <v>1</v>
      </c>
    </row>
    <row r="205" spans="1:70" ht="15" customHeight="1">
      <c r="A205" s="436">
        <f t="shared" si="105"/>
        <v>2031</v>
      </c>
      <c r="B205" s="437">
        <f t="shared" si="104"/>
        <v>149881</v>
      </c>
      <c r="C205" s="520"/>
      <c r="D205" s="508">
        <f t="shared" si="103"/>
        <v>22</v>
      </c>
      <c r="E205" s="593">
        <v>10000000</v>
      </c>
      <c r="F205" s="565">
        <f>AT177</f>
        <v>0.99180587513811858</v>
      </c>
      <c r="G205" s="564">
        <f>AS188</f>
        <v>351.94199999999995</v>
      </c>
      <c r="H205" s="591"/>
      <c r="I205" s="443">
        <f t="shared" si="78"/>
        <v>149881</v>
      </c>
      <c r="J205" s="469"/>
      <c r="K205" s="469"/>
      <c r="L205" s="326">
        <f t="shared" si="106"/>
        <v>1</v>
      </c>
    </row>
    <row r="206" spans="1:70" ht="15" customHeight="1">
      <c r="A206" s="436">
        <f t="shared" si="105"/>
        <v>2032</v>
      </c>
      <c r="B206" s="437">
        <f t="shared" si="104"/>
        <v>152907</v>
      </c>
      <c r="C206" s="520"/>
      <c r="D206" s="508">
        <f t="shared" si="103"/>
        <v>23</v>
      </c>
      <c r="E206" s="593">
        <v>11000000</v>
      </c>
      <c r="F206" s="565">
        <f>AZ177</f>
        <v>0.99180587513811858</v>
      </c>
      <c r="G206" s="594">
        <f>AY188</f>
        <v>351.94199999999995</v>
      </c>
      <c r="H206" s="591"/>
      <c r="I206" s="443">
        <f t="shared" si="78"/>
        <v>152907</v>
      </c>
      <c r="J206" s="469"/>
      <c r="K206" s="469"/>
      <c r="L206" s="326">
        <f t="shared" si="106"/>
        <v>1</v>
      </c>
    </row>
    <row r="207" spans="1:70" ht="15" customHeight="1">
      <c r="A207" s="522">
        <f t="shared" si="105"/>
        <v>2033</v>
      </c>
      <c r="B207" s="523">
        <f t="shared" si="104"/>
        <v>155992</v>
      </c>
      <c r="C207" s="524"/>
      <c r="D207" s="525">
        <f t="shared" si="103"/>
        <v>24</v>
      </c>
      <c r="E207" s="570">
        <v>12000000</v>
      </c>
      <c r="F207" s="571">
        <f>BF177</f>
        <v>0.99180587513811858</v>
      </c>
      <c r="G207" s="595">
        <f>BE188</f>
        <v>351.94199999999995</v>
      </c>
      <c r="H207" s="596"/>
      <c r="I207" s="528">
        <f t="shared" si="78"/>
        <v>155992</v>
      </c>
      <c r="J207" s="529"/>
      <c r="K207" s="529"/>
      <c r="L207" s="326">
        <f t="shared" si="106"/>
        <v>1</v>
      </c>
    </row>
    <row r="208" spans="1:70" ht="15" customHeight="1">
      <c r="A208" s="522">
        <f t="shared" si="105"/>
        <v>2034</v>
      </c>
      <c r="B208" s="523">
        <f t="shared" si="104"/>
        <v>159137</v>
      </c>
      <c r="C208" s="524"/>
      <c r="D208" s="525">
        <f t="shared" si="103"/>
        <v>25</v>
      </c>
      <c r="E208" s="570"/>
      <c r="F208" s="571"/>
      <c r="G208" s="595"/>
      <c r="H208" s="596"/>
      <c r="I208" s="528">
        <f t="shared" si="78"/>
        <v>159137</v>
      </c>
      <c r="J208" s="529"/>
      <c r="K208" s="529"/>
    </row>
    <row r="209" spans="1:41" ht="20.100000000000001" customHeight="1">
      <c r="A209" s="522">
        <f t="shared" si="105"/>
        <v>2035</v>
      </c>
      <c r="B209" s="523">
        <f t="shared" si="104"/>
        <v>162343</v>
      </c>
      <c r="C209" s="524"/>
      <c r="D209" s="525">
        <f t="shared" si="103"/>
        <v>26</v>
      </c>
      <c r="E209" s="570"/>
      <c r="F209" s="571"/>
      <c r="G209" s="595"/>
      <c r="H209" s="596"/>
      <c r="I209" s="528">
        <f t="shared" si="78"/>
        <v>162343</v>
      </c>
      <c r="J209" s="529"/>
      <c r="K209" s="529"/>
      <c r="L209" s="578"/>
      <c r="M209" s="578"/>
      <c r="N209" s="578"/>
      <c r="O209" s="578"/>
      <c r="P209" s="578"/>
      <c r="Q209" s="578"/>
      <c r="R209" s="578"/>
      <c r="S209" s="578"/>
      <c r="T209" s="578"/>
      <c r="U209" s="578"/>
      <c r="V209" s="578"/>
      <c r="W209" s="578"/>
      <c r="X209" s="578"/>
      <c r="Y209" s="578"/>
      <c r="Z209" s="578"/>
      <c r="AA209" s="578"/>
      <c r="AB209" s="578"/>
      <c r="AC209" s="578"/>
      <c r="AD209" s="578"/>
      <c r="AE209" s="578"/>
      <c r="AF209" s="578"/>
      <c r="AG209" s="578"/>
      <c r="AH209" s="578"/>
      <c r="AI209" s="578"/>
      <c r="AJ209" s="578"/>
      <c r="AK209" s="578"/>
      <c r="AL209" s="578"/>
      <c r="AM209" s="578"/>
      <c r="AN209" s="578"/>
      <c r="AO209" s="578"/>
    </row>
    <row r="210" spans="1:41" ht="20.100000000000001" customHeight="1">
      <c r="A210" s="522">
        <f t="shared" si="105"/>
        <v>2036</v>
      </c>
      <c r="B210" s="523">
        <f t="shared" si="104"/>
        <v>165611</v>
      </c>
      <c r="C210" s="524"/>
      <c r="D210" s="525">
        <f t="shared" si="103"/>
        <v>27</v>
      </c>
      <c r="E210" s="570"/>
      <c r="F210" s="571"/>
      <c r="G210" s="595"/>
      <c r="H210" s="596"/>
      <c r="I210" s="528">
        <f t="shared" si="78"/>
        <v>165611</v>
      </c>
      <c r="J210" s="529"/>
      <c r="K210" s="529"/>
      <c r="L210" s="578"/>
      <c r="M210" s="578"/>
      <c r="N210" s="578"/>
      <c r="O210" s="578"/>
      <c r="P210" s="578"/>
      <c r="Q210" s="578"/>
      <c r="R210" s="578"/>
      <c r="S210" s="578"/>
      <c r="T210" s="578"/>
      <c r="U210" s="578"/>
      <c r="V210" s="578"/>
      <c r="W210" s="578"/>
      <c r="X210" s="578"/>
      <c r="Y210" s="578"/>
      <c r="Z210" s="578"/>
      <c r="AA210" s="578"/>
      <c r="AB210" s="578"/>
      <c r="AC210" s="578"/>
      <c r="AD210" s="578"/>
      <c r="AE210" s="578"/>
      <c r="AF210" s="578"/>
      <c r="AG210" s="578"/>
      <c r="AH210" s="578"/>
      <c r="AI210" s="578"/>
      <c r="AJ210" s="578"/>
      <c r="AK210" s="578"/>
      <c r="AL210" s="578"/>
      <c r="AM210" s="578"/>
      <c r="AN210" s="578"/>
      <c r="AO210" s="578"/>
    </row>
    <row r="211" spans="1:41" ht="20.100000000000001" customHeight="1">
      <c r="K211" s="578"/>
      <c r="L211" s="578"/>
      <c r="M211" s="578"/>
      <c r="N211" s="578"/>
      <c r="O211" s="578"/>
      <c r="P211" s="578"/>
      <c r="Q211" s="578"/>
      <c r="R211" s="578"/>
      <c r="S211" s="578"/>
      <c r="T211" s="578"/>
      <c r="U211" s="578"/>
      <c r="V211" s="578"/>
      <c r="W211" s="578"/>
      <c r="X211" s="578"/>
      <c r="Y211" s="578"/>
      <c r="Z211" s="578"/>
      <c r="AA211" s="578"/>
      <c r="AB211" s="578"/>
      <c r="AC211" s="578"/>
      <c r="AD211" s="578"/>
      <c r="AE211" s="578"/>
      <c r="AF211" s="578"/>
      <c r="AG211" s="578"/>
      <c r="AH211" s="578"/>
      <c r="AI211" s="578"/>
      <c r="AJ211" s="578"/>
      <c r="AK211" s="578"/>
      <c r="AL211" s="578"/>
      <c r="AM211" s="578"/>
      <c r="AN211" s="578"/>
      <c r="AO211" s="578"/>
    </row>
    <row r="212" spans="1:41" ht="20.100000000000001" customHeight="1">
      <c r="K212" s="578"/>
      <c r="L212" s="578"/>
      <c r="M212" s="578"/>
      <c r="N212" s="578"/>
      <c r="O212" s="578"/>
      <c r="P212" s="578"/>
      <c r="Q212" s="578"/>
      <c r="R212" s="578"/>
      <c r="S212" s="578"/>
      <c r="T212" s="578"/>
      <c r="U212" s="578"/>
      <c r="V212" s="578"/>
      <c r="W212" s="578"/>
      <c r="X212" s="578"/>
      <c r="Y212" s="578"/>
      <c r="Z212" s="578"/>
      <c r="AA212" s="578"/>
      <c r="AB212" s="578"/>
      <c r="AC212" s="578"/>
      <c r="AD212" s="578"/>
      <c r="AE212" s="578"/>
      <c r="AF212" s="578"/>
      <c r="AG212" s="578"/>
      <c r="AH212" s="578"/>
      <c r="AI212" s="578"/>
      <c r="AJ212" s="578"/>
      <c r="AK212" s="578"/>
      <c r="AL212" s="578"/>
      <c r="AM212" s="578"/>
      <c r="AN212" s="578"/>
      <c r="AO212" s="578"/>
    </row>
    <row r="213" spans="1:41" ht="20.100000000000001" customHeight="1">
      <c r="K213" s="578"/>
      <c r="L213" s="578"/>
      <c r="M213" s="578"/>
      <c r="N213" s="578"/>
      <c r="O213" s="578"/>
      <c r="P213" s="578"/>
      <c r="Q213" s="578"/>
      <c r="R213" s="578"/>
      <c r="S213" s="578"/>
      <c r="T213" s="578"/>
      <c r="U213" s="578"/>
      <c r="V213" s="578"/>
      <c r="W213" s="578"/>
      <c r="X213" s="578"/>
      <c r="Y213" s="578"/>
      <c r="Z213" s="578"/>
      <c r="AA213" s="578"/>
      <c r="AB213" s="578"/>
      <c r="AC213" s="578"/>
      <c r="AD213" s="578"/>
      <c r="AE213" s="578"/>
      <c r="AF213" s="578"/>
      <c r="AG213" s="578"/>
      <c r="AH213" s="578"/>
      <c r="AI213" s="578"/>
      <c r="AJ213" s="578"/>
      <c r="AK213" s="578"/>
      <c r="AL213" s="578"/>
      <c r="AM213" s="578"/>
      <c r="AN213" s="578"/>
      <c r="AO213" s="578"/>
    </row>
    <row r="214" spans="1:41" ht="20.100000000000001" customHeight="1"/>
    <row r="215" spans="1:41" ht="20.100000000000001" customHeight="1"/>
    <row r="216" spans="1:41" ht="20.100000000000001" customHeight="1"/>
    <row r="217" spans="1:41" ht="20.100000000000001" customHeight="1"/>
    <row r="218" spans="1:41" ht="20.100000000000001" customHeight="1"/>
    <row r="219" spans="1:41" ht="20.100000000000001" customHeight="1"/>
    <row r="220" spans="1:41" ht="20.100000000000001" customHeight="1"/>
    <row r="221" spans="1:41" ht="20.100000000000001" customHeight="1"/>
    <row r="222" spans="1:41" ht="20.100000000000001" customHeight="1"/>
    <row r="223" spans="1:41" ht="20.100000000000001" customHeight="1"/>
    <row r="224" spans="1:41" ht="20.100000000000001" customHeight="1"/>
    <row r="225" ht="20.100000000000001" customHeight="1"/>
    <row r="226" s="325" customFormat="1" ht="20.100000000000001" customHeight="1"/>
    <row r="227" s="325" customFormat="1" ht="20.100000000000001" customHeight="1"/>
    <row r="228" s="325" customFormat="1" ht="20.100000000000001" customHeight="1"/>
    <row r="229" s="325" customFormat="1" ht="20.100000000000001" customHeight="1"/>
    <row r="230" s="325" customFormat="1" ht="20.100000000000001" customHeight="1"/>
  </sheetData>
  <mergeCells count="17">
    <mergeCell ref="F153:G153"/>
    <mergeCell ref="I5:J5"/>
    <mergeCell ref="A39:B39"/>
    <mergeCell ref="A40:B40"/>
    <mergeCell ref="A41:B41"/>
    <mergeCell ref="D70:E70"/>
    <mergeCell ref="D71:E71"/>
    <mergeCell ref="D72:E72"/>
    <mergeCell ref="D73:E73"/>
    <mergeCell ref="E115:F115"/>
    <mergeCell ref="E116:F116"/>
    <mergeCell ref="E117:F117"/>
    <mergeCell ref="F154:G154"/>
    <mergeCell ref="F155:G155"/>
    <mergeCell ref="E190:F190"/>
    <mergeCell ref="E191:F191"/>
    <mergeCell ref="E192:F192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CX230"/>
  <sheetViews>
    <sheetView view="pageBreakPreview" zoomScaleNormal="100" zoomScaleSheetLayoutView="100" workbookViewId="0">
      <selection activeCell="A3" sqref="A3:F3"/>
    </sheetView>
  </sheetViews>
  <sheetFormatPr defaultRowHeight="14.85" customHeight="1"/>
  <cols>
    <col min="1" max="2" width="12.125" style="325" customWidth="1"/>
    <col min="3" max="5" width="13" style="326" customWidth="1"/>
    <col min="6" max="6" width="12.875" style="326" customWidth="1"/>
    <col min="7" max="7" width="13" style="326" customWidth="1"/>
    <col min="8" max="8" width="13.125" style="326" customWidth="1"/>
    <col min="9" max="10" width="12.125" style="326" customWidth="1"/>
    <col min="11" max="11" width="14.375" style="326" bestFit="1" customWidth="1"/>
    <col min="12" max="12" width="11" style="326" customWidth="1"/>
    <col min="13" max="13" width="10" style="326" customWidth="1"/>
    <col min="14" max="14" width="10.875" style="326" customWidth="1"/>
    <col min="15" max="15" width="13.75" style="326" customWidth="1"/>
    <col min="16" max="16" width="10" style="326" customWidth="1"/>
    <col min="17" max="17" width="13.25" style="326" customWidth="1"/>
    <col min="18" max="18" width="14.375" style="326" customWidth="1"/>
    <col min="19" max="19" width="10" style="326" customWidth="1"/>
    <col min="20" max="20" width="10.875" style="326" customWidth="1"/>
    <col min="21" max="21" width="11.375" style="326" customWidth="1"/>
    <col min="22" max="22" width="15.375" style="326" customWidth="1"/>
    <col min="23" max="24" width="10.75" style="326" customWidth="1"/>
    <col min="25" max="25" width="14.375" style="326" customWidth="1"/>
    <col min="26" max="26" width="10.75" style="326" customWidth="1"/>
    <col min="27" max="27" width="11.75" style="326" customWidth="1"/>
    <col min="28" max="28" width="10" style="326" customWidth="1"/>
    <col min="29" max="29" width="15.375" style="326" customWidth="1"/>
    <col min="30" max="30" width="10" style="326" customWidth="1"/>
    <col min="31" max="31" width="10.75" style="326" customWidth="1"/>
    <col min="32" max="32" width="14.875" style="326" customWidth="1"/>
    <col min="33" max="33" width="11.5" style="326" customWidth="1"/>
    <col min="34" max="34" width="10" style="326" customWidth="1"/>
    <col min="35" max="35" width="10.75" style="326" customWidth="1"/>
    <col min="36" max="36" width="13.5" style="326" customWidth="1"/>
    <col min="37" max="37" width="9" style="326"/>
    <col min="38" max="38" width="10.75" style="326" bestFit="1" customWidth="1"/>
    <col min="39" max="39" width="13.75" style="326" customWidth="1"/>
    <col min="40" max="40" width="9" style="326"/>
    <col min="41" max="41" width="10.625" style="326" customWidth="1"/>
    <col min="42" max="42" width="9" style="326"/>
    <col min="43" max="43" width="14.25" style="326" customWidth="1"/>
    <col min="44" max="44" width="10.75" style="326" bestFit="1" customWidth="1"/>
    <col min="45" max="45" width="11.625" style="326" customWidth="1"/>
    <col min="46" max="46" width="13.75" style="326" customWidth="1"/>
    <col min="47" max="47" width="10.625" style="326" customWidth="1"/>
    <col min="48" max="49" width="9" style="326"/>
    <col min="50" max="50" width="14.125" style="326" customWidth="1"/>
    <col min="51" max="51" width="11" style="326" customWidth="1"/>
    <col min="52" max="52" width="10.75" style="326" bestFit="1" customWidth="1"/>
    <col min="53" max="53" width="13.5" style="326" customWidth="1"/>
    <col min="54" max="55" width="9" style="326"/>
    <col min="56" max="56" width="10.75" style="326" bestFit="1" customWidth="1"/>
    <col min="57" max="57" width="14" style="326" customWidth="1"/>
    <col min="58" max="58" width="9" style="326"/>
    <col min="59" max="59" width="10.75" style="326" customWidth="1"/>
    <col min="60" max="60" width="12.75" style="326" customWidth="1"/>
    <col min="61" max="61" width="9" style="326"/>
    <col min="62" max="62" width="10.75" style="326" bestFit="1" customWidth="1"/>
    <col min="63" max="63" width="11.5" style="326" customWidth="1"/>
    <col min="64" max="64" width="13.625" style="326" customWidth="1"/>
    <col min="65" max="65" width="10.625" style="326" customWidth="1"/>
    <col min="66" max="66" width="10.75" style="326" bestFit="1" customWidth="1"/>
    <col min="67" max="67" width="12.375" style="326" customWidth="1"/>
    <col min="68" max="70" width="9" style="326"/>
    <col min="71" max="71" width="15.75" style="326" customWidth="1"/>
    <col min="72" max="72" width="9" style="326"/>
    <col min="73" max="73" width="10.75" style="326" bestFit="1" customWidth="1"/>
    <col min="74" max="74" width="12.625" style="326" customWidth="1"/>
    <col min="75" max="77" width="9" style="326"/>
    <col min="78" max="78" width="13.625" style="326" customWidth="1"/>
    <col min="79" max="79" width="9" style="326"/>
    <col min="80" max="80" width="10.75" style="326" bestFit="1" customWidth="1"/>
    <col min="81" max="81" width="12.5" style="326" customWidth="1"/>
    <col min="82" max="84" width="9" style="326"/>
    <col min="85" max="85" width="12.875" style="326" customWidth="1"/>
    <col min="86" max="86" width="9" style="326"/>
    <col min="87" max="87" width="10.75" style="326" bestFit="1" customWidth="1"/>
    <col min="88" max="88" width="13.875" style="326" customWidth="1"/>
    <col min="89" max="91" width="9" style="326"/>
    <col min="92" max="92" width="14.125" style="326" customWidth="1"/>
    <col min="93" max="93" width="9" style="326"/>
    <col min="94" max="94" width="10.75" style="326" bestFit="1" customWidth="1"/>
    <col min="95" max="95" width="13.25" style="326" customWidth="1"/>
    <col min="96" max="98" width="9" style="326"/>
    <col min="99" max="99" width="13.25" style="326" customWidth="1"/>
    <col min="100" max="100" width="9" style="326"/>
    <col min="101" max="101" width="10.75" style="326" bestFit="1" customWidth="1"/>
    <col min="102" max="102" width="13.875" style="326" customWidth="1"/>
    <col min="103" max="250" width="9" style="326"/>
    <col min="251" max="252" width="12.125" style="326" customWidth="1"/>
    <col min="253" max="255" width="13" style="326" customWidth="1"/>
    <col min="256" max="256" width="12.875" style="326" customWidth="1"/>
    <col min="257" max="257" width="13" style="326" customWidth="1"/>
    <col min="258" max="258" width="13.125" style="326" customWidth="1"/>
    <col min="259" max="260" width="12.125" style="326" customWidth="1"/>
    <col min="261" max="261" width="14.375" style="326" bestFit="1" customWidth="1"/>
    <col min="262" max="262" width="11" style="326" customWidth="1"/>
    <col min="263" max="263" width="10" style="326" customWidth="1"/>
    <col min="264" max="264" width="10.875" style="326" customWidth="1"/>
    <col min="265" max="265" width="13.75" style="326" customWidth="1"/>
    <col min="266" max="266" width="10" style="326" customWidth="1"/>
    <col min="267" max="267" width="13.25" style="326" customWidth="1"/>
    <col min="268" max="268" width="14.375" style="326" customWidth="1"/>
    <col min="269" max="269" width="10" style="326" customWidth="1"/>
    <col min="270" max="270" width="10.875" style="326" customWidth="1"/>
    <col min="271" max="271" width="11.375" style="326" customWidth="1"/>
    <col min="272" max="272" width="15.375" style="326" customWidth="1"/>
    <col min="273" max="274" width="10.75" style="326" customWidth="1"/>
    <col min="275" max="275" width="14.375" style="326" customWidth="1"/>
    <col min="276" max="276" width="10.75" style="326" customWidth="1"/>
    <col min="277" max="277" width="11.75" style="326" customWidth="1"/>
    <col min="278" max="278" width="10" style="326" customWidth="1"/>
    <col min="279" max="279" width="15.375" style="326" customWidth="1"/>
    <col min="280" max="280" width="10" style="326" customWidth="1"/>
    <col min="281" max="281" width="10.75" style="326" customWidth="1"/>
    <col min="282" max="282" width="14.875" style="326" customWidth="1"/>
    <col min="283" max="283" width="11.5" style="326" customWidth="1"/>
    <col min="284" max="284" width="10" style="326" customWidth="1"/>
    <col min="285" max="285" width="10.75" style="326" customWidth="1"/>
    <col min="286" max="286" width="13.5" style="326" customWidth="1"/>
    <col min="287" max="287" width="9" style="326"/>
    <col min="288" max="288" width="10.75" style="326" bestFit="1" customWidth="1"/>
    <col min="289" max="289" width="13.75" style="326" customWidth="1"/>
    <col min="290" max="290" width="9" style="326"/>
    <col min="291" max="291" width="10.625" style="326" customWidth="1"/>
    <col min="292" max="292" width="9" style="326"/>
    <col min="293" max="293" width="14.25" style="326" customWidth="1"/>
    <col min="294" max="294" width="10.75" style="326" bestFit="1" customWidth="1"/>
    <col min="295" max="295" width="11.625" style="326" customWidth="1"/>
    <col min="296" max="296" width="13.75" style="326" customWidth="1"/>
    <col min="297" max="297" width="10.625" style="326" customWidth="1"/>
    <col min="298" max="299" width="9" style="326"/>
    <col min="300" max="300" width="14.125" style="326" customWidth="1"/>
    <col min="301" max="301" width="11" style="326" customWidth="1"/>
    <col min="302" max="302" width="10.75" style="326" bestFit="1" customWidth="1"/>
    <col min="303" max="303" width="13.5" style="326" customWidth="1"/>
    <col min="304" max="305" width="9" style="326"/>
    <col min="306" max="306" width="10.75" style="326" bestFit="1" customWidth="1"/>
    <col min="307" max="307" width="14" style="326" customWidth="1"/>
    <col min="308" max="308" width="9" style="326"/>
    <col min="309" max="309" width="10.75" style="326" customWidth="1"/>
    <col min="310" max="310" width="12.75" style="326" customWidth="1"/>
    <col min="311" max="311" width="9" style="326"/>
    <col min="312" max="312" width="10.75" style="326" bestFit="1" customWidth="1"/>
    <col min="313" max="313" width="11.5" style="326" customWidth="1"/>
    <col min="314" max="314" width="13.625" style="326" customWidth="1"/>
    <col min="315" max="315" width="10.625" style="326" customWidth="1"/>
    <col min="316" max="316" width="10.75" style="326" bestFit="1" customWidth="1"/>
    <col min="317" max="317" width="12.375" style="326" customWidth="1"/>
    <col min="318" max="320" width="9" style="326"/>
    <col min="321" max="321" width="15.75" style="326" customWidth="1"/>
    <col min="322" max="322" width="9" style="326"/>
    <col min="323" max="323" width="10.75" style="326" bestFit="1" customWidth="1"/>
    <col min="324" max="324" width="12.625" style="326" customWidth="1"/>
    <col min="325" max="327" width="9" style="326"/>
    <col min="328" max="328" width="13.625" style="326" customWidth="1"/>
    <col min="329" max="329" width="9" style="326"/>
    <col min="330" max="330" width="10.75" style="326" bestFit="1" customWidth="1"/>
    <col min="331" max="331" width="12.5" style="326" customWidth="1"/>
    <col min="332" max="334" width="9" style="326"/>
    <col min="335" max="335" width="12.875" style="326" customWidth="1"/>
    <col min="336" max="336" width="9" style="326"/>
    <col min="337" max="337" width="10.75" style="326" bestFit="1" customWidth="1"/>
    <col min="338" max="338" width="13.875" style="326" customWidth="1"/>
    <col min="339" max="341" width="9" style="326"/>
    <col min="342" max="342" width="14.125" style="326" customWidth="1"/>
    <col min="343" max="343" width="9" style="326"/>
    <col min="344" max="344" width="10.75" style="326" bestFit="1" customWidth="1"/>
    <col min="345" max="345" width="13.25" style="326" customWidth="1"/>
    <col min="346" max="348" width="9" style="326"/>
    <col min="349" max="349" width="13.25" style="326" customWidth="1"/>
    <col min="350" max="350" width="9" style="326"/>
    <col min="351" max="351" width="10.75" style="326" bestFit="1" customWidth="1"/>
    <col min="352" max="352" width="13.875" style="326" customWidth="1"/>
    <col min="353" max="355" width="9" style="326"/>
    <col min="356" max="356" width="13.625" style="326" customWidth="1"/>
    <col min="357" max="357" width="9" style="326"/>
    <col min="358" max="358" width="10.75" style="326" bestFit="1" customWidth="1"/>
    <col min="359" max="359" width="13" style="326" customWidth="1"/>
    <col min="360" max="506" width="9" style="326"/>
    <col min="507" max="508" width="12.125" style="326" customWidth="1"/>
    <col min="509" max="511" width="13" style="326" customWidth="1"/>
    <col min="512" max="512" width="12.875" style="326" customWidth="1"/>
    <col min="513" max="513" width="13" style="326" customWidth="1"/>
    <col min="514" max="514" width="13.125" style="326" customWidth="1"/>
    <col min="515" max="516" width="12.125" style="326" customWidth="1"/>
    <col min="517" max="517" width="14.375" style="326" bestFit="1" customWidth="1"/>
    <col min="518" max="518" width="11" style="326" customWidth="1"/>
    <col min="519" max="519" width="10" style="326" customWidth="1"/>
    <col min="520" max="520" width="10.875" style="326" customWidth="1"/>
    <col min="521" max="521" width="13.75" style="326" customWidth="1"/>
    <col min="522" max="522" width="10" style="326" customWidth="1"/>
    <col min="523" max="523" width="13.25" style="326" customWidth="1"/>
    <col min="524" max="524" width="14.375" style="326" customWidth="1"/>
    <col min="525" max="525" width="10" style="326" customWidth="1"/>
    <col min="526" max="526" width="10.875" style="326" customWidth="1"/>
    <col min="527" max="527" width="11.375" style="326" customWidth="1"/>
    <col min="528" max="528" width="15.375" style="326" customWidth="1"/>
    <col min="529" max="530" width="10.75" style="326" customWidth="1"/>
    <col min="531" max="531" width="14.375" style="326" customWidth="1"/>
    <col min="532" max="532" width="10.75" style="326" customWidth="1"/>
    <col min="533" max="533" width="11.75" style="326" customWidth="1"/>
    <col min="534" max="534" width="10" style="326" customWidth="1"/>
    <col min="535" max="535" width="15.375" style="326" customWidth="1"/>
    <col min="536" max="536" width="10" style="326" customWidth="1"/>
    <col min="537" max="537" width="10.75" style="326" customWidth="1"/>
    <col min="538" max="538" width="14.875" style="326" customWidth="1"/>
    <col min="539" max="539" width="11.5" style="326" customWidth="1"/>
    <col min="540" max="540" width="10" style="326" customWidth="1"/>
    <col min="541" max="541" width="10.75" style="326" customWidth="1"/>
    <col min="542" max="542" width="13.5" style="326" customWidth="1"/>
    <col min="543" max="543" width="9" style="326"/>
    <col min="544" max="544" width="10.75" style="326" bestFit="1" customWidth="1"/>
    <col min="545" max="545" width="13.75" style="326" customWidth="1"/>
    <col min="546" max="546" width="9" style="326"/>
    <col min="547" max="547" width="10.625" style="326" customWidth="1"/>
    <col min="548" max="548" width="9" style="326"/>
    <col min="549" max="549" width="14.25" style="326" customWidth="1"/>
    <col min="550" max="550" width="10.75" style="326" bestFit="1" customWidth="1"/>
    <col min="551" max="551" width="11.625" style="326" customWidth="1"/>
    <col min="552" max="552" width="13.75" style="326" customWidth="1"/>
    <col min="553" max="553" width="10.625" style="326" customWidth="1"/>
    <col min="554" max="555" width="9" style="326"/>
    <col min="556" max="556" width="14.125" style="326" customWidth="1"/>
    <col min="557" max="557" width="11" style="326" customWidth="1"/>
    <col min="558" max="558" width="10.75" style="326" bestFit="1" customWidth="1"/>
    <col min="559" max="559" width="13.5" style="326" customWidth="1"/>
    <col min="560" max="561" width="9" style="326"/>
    <col min="562" max="562" width="10.75" style="326" bestFit="1" customWidth="1"/>
    <col min="563" max="563" width="14" style="326" customWidth="1"/>
    <col min="564" max="564" width="9" style="326"/>
    <col min="565" max="565" width="10.75" style="326" customWidth="1"/>
    <col min="566" max="566" width="12.75" style="326" customWidth="1"/>
    <col min="567" max="567" width="9" style="326"/>
    <col min="568" max="568" width="10.75" style="326" bestFit="1" customWidth="1"/>
    <col min="569" max="569" width="11.5" style="326" customWidth="1"/>
    <col min="570" max="570" width="13.625" style="326" customWidth="1"/>
    <col min="571" max="571" width="10.625" style="326" customWidth="1"/>
    <col min="572" max="572" width="10.75" style="326" bestFit="1" customWidth="1"/>
    <col min="573" max="573" width="12.375" style="326" customWidth="1"/>
    <col min="574" max="576" width="9" style="326"/>
    <col min="577" max="577" width="15.75" style="326" customWidth="1"/>
    <col min="578" max="578" width="9" style="326"/>
    <col min="579" max="579" width="10.75" style="326" bestFit="1" customWidth="1"/>
    <col min="580" max="580" width="12.625" style="326" customWidth="1"/>
    <col min="581" max="583" width="9" style="326"/>
    <col min="584" max="584" width="13.625" style="326" customWidth="1"/>
    <col min="585" max="585" width="9" style="326"/>
    <col min="586" max="586" width="10.75" style="326" bestFit="1" customWidth="1"/>
    <col min="587" max="587" width="12.5" style="326" customWidth="1"/>
    <col min="588" max="590" width="9" style="326"/>
    <col min="591" max="591" width="12.875" style="326" customWidth="1"/>
    <col min="592" max="592" width="9" style="326"/>
    <col min="593" max="593" width="10.75" style="326" bestFit="1" customWidth="1"/>
    <col min="594" max="594" width="13.875" style="326" customWidth="1"/>
    <col min="595" max="597" width="9" style="326"/>
    <col min="598" max="598" width="14.125" style="326" customWidth="1"/>
    <col min="599" max="599" width="9" style="326"/>
    <col min="600" max="600" width="10.75" style="326" bestFit="1" customWidth="1"/>
    <col min="601" max="601" width="13.25" style="326" customWidth="1"/>
    <col min="602" max="604" width="9" style="326"/>
    <col min="605" max="605" width="13.25" style="326" customWidth="1"/>
    <col min="606" max="606" width="9" style="326"/>
    <col min="607" max="607" width="10.75" style="326" bestFit="1" customWidth="1"/>
    <col min="608" max="608" width="13.875" style="326" customWidth="1"/>
    <col min="609" max="611" width="9" style="326"/>
    <col min="612" max="612" width="13.625" style="326" customWidth="1"/>
    <col min="613" max="613" width="9" style="326"/>
    <col min="614" max="614" width="10.75" style="326" bestFit="1" customWidth="1"/>
    <col min="615" max="615" width="13" style="326" customWidth="1"/>
    <col min="616" max="762" width="9" style="326"/>
    <col min="763" max="764" width="12.125" style="326" customWidth="1"/>
    <col min="765" max="767" width="13" style="326" customWidth="1"/>
    <col min="768" max="768" width="12.875" style="326" customWidth="1"/>
    <col min="769" max="769" width="13" style="326" customWidth="1"/>
    <col min="770" max="770" width="13.125" style="326" customWidth="1"/>
    <col min="771" max="772" width="12.125" style="326" customWidth="1"/>
    <col min="773" max="773" width="14.375" style="326" bestFit="1" customWidth="1"/>
    <col min="774" max="774" width="11" style="326" customWidth="1"/>
    <col min="775" max="775" width="10" style="326" customWidth="1"/>
    <col min="776" max="776" width="10.875" style="326" customWidth="1"/>
    <col min="777" max="777" width="13.75" style="326" customWidth="1"/>
    <col min="778" max="778" width="10" style="326" customWidth="1"/>
    <col min="779" max="779" width="13.25" style="326" customWidth="1"/>
    <col min="780" max="780" width="14.375" style="326" customWidth="1"/>
    <col min="781" max="781" width="10" style="326" customWidth="1"/>
    <col min="782" max="782" width="10.875" style="326" customWidth="1"/>
    <col min="783" max="783" width="11.375" style="326" customWidth="1"/>
    <col min="784" max="784" width="15.375" style="326" customWidth="1"/>
    <col min="785" max="786" width="10.75" style="326" customWidth="1"/>
    <col min="787" max="787" width="14.375" style="326" customWidth="1"/>
    <col min="788" max="788" width="10.75" style="326" customWidth="1"/>
    <col min="789" max="789" width="11.75" style="326" customWidth="1"/>
    <col min="790" max="790" width="10" style="326" customWidth="1"/>
    <col min="791" max="791" width="15.375" style="326" customWidth="1"/>
    <col min="792" max="792" width="10" style="326" customWidth="1"/>
    <col min="793" max="793" width="10.75" style="326" customWidth="1"/>
    <col min="794" max="794" width="14.875" style="326" customWidth="1"/>
    <col min="795" max="795" width="11.5" style="326" customWidth="1"/>
    <col min="796" max="796" width="10" style="326" customWidth="1"/>
    <col min="797" max="797" width="10.75" style="326" customWidth="1"/>
    <col min="798" max="798" width="13.5" style="326" customWidth="1"/>
    <col min="799" max="799" width="9" style="326"/>
    <col min="800" max="800" width="10.75" style="326" bestFit="1" customWidth="1"/>
    <col min="801" max="801" width="13.75" style="326" customWidth="1"/>
    <col min="802" max="802" width="9" style="326"/>
    <col min="803" max="803" width="10.625" style="326" customWidth="1"/>
    <col min="804" max="804" width="9" style="326"/>
    <col min="805" max="805" width="14.25" style="326" customWidth="1"/>
    <col min="806" max="806" width="10.75" style="326" bestFit="1" customWidth="1"/>
    <col min="807" max="807" width="11.625" style="326" customWidth="1"/>
    <col min="808" max="808" width="13.75" style="326" customWidth="1"/>
    <col min="809" max="809" width="10.625" style="326" customWidth="1"/>
    <col min="810" max="811" width="9" style="326"/>
    <col min="812" max="812" width="14.125" style="326" customWidth="1"/>
    <col min="813" max="813" width="11" style="326" customWidth="1"/>
    <col min="814" max="814" width="10.75" style="326" bestFit="1" customWidth="1"/>
    <col min="815" max="815" width="13.5" style="326" customWidth="1"/>
    <col min="816" max="817" width="9" style="326"/>
    <col min="818" max="818" width="10.75" style="326" bestFit="1" customWidth="1"/>
    <col min="819" max="819" width="14" style="326" customWidth="1"/>
    <col min="820" max="820" width="9" style="326"/>
    <col min="821" max="821" width="10.75" style="326" customWidth="1"/>
    <col min="822" max="822" width="12.75" style="326" customWidth="1"/>
    <col min="823" max="823" width="9" style="326"/>
    <col min="824" max="824" width="10.75" style="326" bestFit="1" customWidth="1"/>
    <col min="825" max="825" width="11.5" style="326" customWidth="1"/>
    <col min="826" max="826" width="13.625" style="326" customWidth="1"/>
    <col min="827" max="827" width="10.625" style="326" customWidth="1"/>
    <col min="828" max="828" width="10.75" style="326" bestFit="1" customWidth="1"/>
    <col min="829" max="829" width="12.375" style="326" customWidth="1"/>
    <col min="830" max="832" width="9" style="326"/>
    <col min="833" max="833" width="15.75" style="326" customWidth="1"/>
    <col min="834" max="834" width="9" style="326"/>
    <col min="835" max="835" width="10.75" style="326" bestFit="1" customWidth="1"/>
    <col min="836" max="836" width="12.625" style="326" customWidth="1"/>
    <col min="837" max="839" width="9" style="326"/>
    <col min="840" max="840" width="13.625" style="326" customWidth="1"/>
    <col min="841" max="841" width="9" style="326"/>
    <col min="842" max="842" width="10.75" style="326" bestFit="1" customWidth="1"/>
    <col min="843" max="843" width="12.5" style="326" customWidth="1"/>
    <col min="844" max="846" width="9" style="326"/>
    <col min="847" max="847" width="12.875" style="326" customWidth="1"/>
    <col min="848" max="848" width="9" style="326"/>
    <col min="849" max="849" width="10.75" style="326" bestFit="1" customWidth="1"/>
    <col min="850" max="850" width="13.875" style="326" customWidth="1"/>
    <col min="851" max="853" width="9" style="326"/>
    <col min="854" max="854" width="14.125" style="326" customWidth="1"/>
    <col min="855" max="855" width="9" style="326"/>
    <col min="856" max="856" width="10.75" style="326" bestFit="1" customWidth="1"/>
    <col min="857" max="857" width="13.25" style="326" customWidth="1"/>
    <col min="858" max="860" width="9" style="326"/>
    <col min="861" max="861" width="13.25" style="326" customWidth="1"/>
    <col min="862" max="862" width="9" style="326"/>
    <col min="863" max="863" width="10.75" style="326" bestFit="1" customWidth="1"/>
    <col min="864" max="864" width="13.875" style="326" customWidth="1"/>
    <col min="865" max="867" width="9" style="326"/>
    <col min="868" max="868" width="13.625" style="326" customWidth="1"/>
    <col min="869" max="869" width="9" style="326"/>
    <col min="870" max="870" width="10.75" style="326" bestFit="1" customWidth="1"/>
    <col min="871" max="871" width="13" style="326" customWidth="1"/>
    <col min="872" max="1018" width="9" style="326"/>
    <col min="1019" max="1020" width="12.125" style="326" customWidth="1"/>
    <col min="1021" max="1023" width="13" style="326" customWidth="1"/>
    <col min="1024" max="1024" width="12.875" style="326" customWidth="1"/>
    <col min="1025" max="1025" width="13" style="326" customWidth="1"/>
    <col min="1026" max="1026" width="13.125" style="326" customWidth="1"/>
    <col min="1027" max="1028" width="12.125" style="326" customWidth="1"/>
    <col min="1029" max="1029" width="14.375" style="326" bestFit="1" customWidth="1"/>
    <col min="1030" max="1030" width="11" style="326" customWidth="1"/>
    <col min="1031" max="1031" width="10" style="326" customWidth="1"/>
    <col min="1032" max="1032" width="10.875" style="326" customWidth="1"/>
    <col min="1033" max="1033" width="13.75" style="326" customWidth="1"/>
    <col min="1034" max="1034" width="10" style="326" customWidth="1"/>
    <col min="1035" max="1035" width="13.25" style="326" customWidth="1"/>
    <col min="1036" max="1036" width="14.375" style="326" customWidth="1"/>
    <col min="1037" max="1037" width="10" style="326" customWidth="1"/>
    <col min="1038" max="1038" width="10.875" style="326" customWidth="1"/>
    <col min="1039" max="1039" width="11.375" style="326" customWidth="1"/>
    <col min="1040" max="1040" width="15.375" style="326" customWidth="1"/>
    <col min="1041" max="1042" width="10.75" style="326" customWidth="1"/>
    <col min="1043" max="1043" width="14.375" style="326" customWidth="1"/>
    <col min="1044" max="1044" width="10.75" style="326" customWidth="1"/>
    <col min="1045" max="1045" width="11.75" style="326" customWidth="1"/>
    <col min="1046" max="1046" width="10" style="326" customWidth="1"/>
    <col min="1047" max="1047" width="15.375" style="326" customWidth="1"/>
    <col min="1048" max="1048" width="10" style="326" customWidth="1"/>
    <col min="1049" max="1049" width="10.75" style="326" customWidth="1"/>
    <col min="1050" max="1050" width="14.875" style="326" customWidth="1"/>
    <col min="1051" max="1051" width="11.5" style="326" customWidth="1"/>
    <col min="1052" max="1052" width="10" style="326" customWidth="1"/>
    <col min="1053" max="1053" width="10.75" style="326" customWidth="1"/>
    <col min="1054" max="1054" width="13.5" style="326" customWidth="1"/>
    <col min="1055" max="1055" width="9" style="326"/>
    <col min="1056" max="1056" width="10.75" style="326" bestFit="1" customWidth="1"/>
    <col min="1057" max="1057" width="13.75" style="326" customWidth="1"/>
    <col min="1058" max="1058" width="9" style="326"/>
    <col min="1059" max="1059" width="10.625" style="326" customWidth="1"/>
    <col min="1060" max="1060" width="9" style="326"/>
    <col min="1061" max="1061" width="14.25" style="326" customWidth="1"/>
    <col min="1062" max="1062" width="10.75" style="326" bestFit="1" customWidth="1"/>
    <col min="1063" max="1063" width="11.625" style="326" customWidth="1"/>
    <col min="1064" max="1064" width="13.75" style="326" customWidth="1"/>
    <col min="1065" max="1065" width="10.625" style="326" customWidth="1"/>
    <col min="1066" max="1067" width="9" style="326"/>
    <col min="1068" max="1068" width="14.125" style="326" customWidth="1"/>
    <col min="1069" max="1069" width="11" style="326" customWidth="1"/>
    <col min="1070" max="1070" width="10.75" style="326" bestFit="1" customWidth="1"/>
    <col min="1071" max="1071" width="13.5" style="326" customWidth="1"/>
    <col min="1072" max="1073" width="9" style="326"/>
    <col min="1074" max="1074" width="10.75" style="326" bestFit="1" customWidth="1"/>
    <col min="1075" max="1075" width="14" style="326" customWidth="1"/>
    <col min="1076" max="1076" width="9" style="326"/>
    <col min="1077" max="1077" width="10.75" style="326" customWidth="1"/>
    <col min="1078" max="1078" width="12.75" style="326" customWidth="1"/>
    <col min="1079" max="1079" width="9" style="326"/>
    <col min="1080" max="1080" width="10.75" style="326" bestFit="1" customWidth="1"/>
    <col min="1081" max="1081" width="11.5" style="326" customWidth="1"/>
    <col min="1082" max="1082" width="13.625" style="326" customWidth="1"/>
    <col min="1083" max="1083" width="10.625" style="326" customWidth="1"/>
    <col min="1084" max="1084" width="10.75" style="326" bestFit="1" customWidth="1"/>
    <col min="1085" max="1085" width="12.375" style="326" customWidth="1"/>
    <col min="1086" max="1088" width="9" style="326"/>
    <col min="1089" max="1089" width="15.75" style="326" customWidth="1"/>
    <col min="1090" max="1090" width="9" style="326"/>
    <col min="1091" max="1091" width="10.75" style="326" bestFit="1" customWidth="1"/>
    <col min="1092" max="1092" width="12.625" style="326" customWidth="1"/>
    <col min="1093" max="1095" width="9" style="326"/>
    <col min="1096" max="1096" width="13.625" style="326" customWidth="1"/>
    <col min="1097" max="1097" width="9" style="326"/>
    <col min="1098" max="1098" width="10.75" style="326" bestFit="1" customWidth="1"/>
    <col min="1099" max="1099" width="12.5" style="326" customWidth="1"/>
    <col min="1100" max="1102" width="9" style="326"/>
    <col min="1103" max="1103" width="12.875" style="326" customWidth="1"/>
    <col min="1104" max="1104" width="9" style="326"/>
    <col min="1105" max="1105" width="10.75" style="326" bestFit="1" customWidth="1"/>
    <col min="1106" max="1106" width="13.875" style="326" customWidth="1"/>
    <col min="1107" max="1109" width="9" style="326"/>
    <col min="1110" max="1110" width="14.125" style="326" customWidth="1"/>
    <col min="1111" max="1111" width="9" style="326"/>
    <col min="1112" max="1112" width="10.75" style="326" bestFit="1" customWidth="1"/>
    <col min="1113" max="1113" width="13.25" style="326" customWidth="1"/>
    <col min="1114" max="1116" width="9" style="326"/>
    <col min="1117" max="1117" width="13.25" style="326" customWidth="1"/>
    <col min="1118" max="1118" width="9" style="326"/>
    <col min="1119" max="1119" width="10.75" style="326" bestFit="1" customWidth="1"/>
    <col min="1120" max="1120" width="13.875" style="326" customWidth="1"/>
    <col min="1121" max="1123" width="9" style="326"/>
    <col min="1124" max="1124" width="13.625" style="326" customWidth="1"/>
    <col min="1125" max="1125" width="9" style="326"/>
    <col min="1126" max="1126" width="10.75" style="326" bestFit="1" customWidth="1"/>
    <col min="1127" max="1127" width="13" style="326" customWidth="1"/>
    <col min="1128" max="1274" width="9" style="326"/>
    <col min="1275" max="1276" width="12.125" style="326" customWidth="1"/>
    <col min="1277" max="1279" width="13" style="326" customWidth="1"/>
    <col min="1280" max="1280" width="12.875" style="326" customWidth="1"/>
    <col min="1281" max="1281" width="13" style="326" customWidth="1"/>
    <col min="1282" max="1282" width="13.125" style="326" customWidth="1"/>
    <col min="1283" max="1284" width="12.125" style="326" customWidth="1"/>
    <col min="1285" max="1285" width="14.375" style="326" bestFit="1" customWidth="1"/>
    <col min="1286" max="1286" width="11" style="326" customWidth="1"/>
    <col min="1287" max="1287" width="10" style="326" customWidth="1"/>
    <col min="1288" max="1288" width="10.875" style="326" customWidth="1"/>
    <col min="1289" max="1289" width="13.75" style="326" customWidth="1"/>
    <col min="1290" max="1290" width="10" style="326" customWidth="1"/>
    <col min="1291" max="1291" width="13.25" style="326" customWidth="1"/>
    <col min="1292" max="1292" width="14.375" style="326" customWidth="1"/>
    <col min="1293" max="1293" width="10" style="326" customWidth="1"/>
    <col min="1294" max="1294" width="10.875" style="326" customWidth="1"/>
    <col min="1295" max="1295" width="11.375" style="326" customWidth="1"/>
    <col min="1296" max="1296" width="15.375" style="326" customWidth="1"/>
    <col min="1297" max="1298" width="10.75" style="326" customWidth="1"/>
    <col min="1299" max="1299" width="14.375" style="326" customWidth="1"/>
    <col min="1300" max="1300" width="10.75" style="326" customWidth="1"/>
    <col min="1301" max="1301" width="11.75" style="326" customWidth="1"/>
    <col min="1302" max="1302" width="10" style="326" customWidth="1"/>
    <col min="1303" max="1303" width="15.375" style="326" customWidth="1"/>
    <col min="1304" max="1304" width="10" style="326" customWidth="1"/>
    <col min="1305" max="1305" width="10.75" style="326" customWidth="1"/>
    <col min="1306" max="1306" width="14.875" style="326" customWidth="1"/>
    <col min="1307" max="1307" width="11.5" style="326" customWidth="1"/>
    <col min="1308" max="1308" width="10" style="326" customWidth="1"/>
    <col min="1309" max="1309" width="10.75" style="326" customWidth="1"/>
    <col min="1310" max="1310" width="13.5" style="326" customWidth="1"/>
    <col min="1311" max="1311" width="9" style="326"/>
    <col min="1312" max="1312" width="10.75" style="326" bestFit="1" customWidth="1"/>
    <col min="1313" max="1313" width="13.75" style="326" customWidth="1"/>
    <col min="1314" max="1314" width="9" style="326"/>
    <col min="1315" max="1315" width="10.625" style="326" customWidth="1"/>
    <col min="1316" max="1316" width="9" style="326"/>
    <col min="1317" max="1317" width="14.25" style="326" customWidth="1"/>
    <col min="1318" max="1318" width="10.75" style="326" bestFit="1" customWidth="1"/>
    <col min="1319" max="1319" width="11.625" style="326" customWidth="1"/>
    <col min="1320" max="1320" width="13.75" style="326" customWidth="1"/>
    <col min="1321" max="1321" width="10.625" style="326" customWidth="1"/>
    <col min="1322" max="1323" width="9" style="326"/>
    <col min="1324" max="1324" width="14.125" style="326" customWidth="1"/>
    <col min="1325" max="1325" width="11" style="326" customWidth="1"/>
    <col min="1326" max="1326" width="10.75" style="326" bestFit="1" customWidth="1"/>
    <col min="1327" max="1327" width="13.5" style="326" customWidth="1"/>
    <col min="1328" max="1329" width="9" style="326"/>
    <col min="1330" max="1330" width="10.75" style="326" bestFit="1" customWidth="1"/>
    <col min="1331" max="1331" width="14" style="326" customWidth="1"/>
    <col min="1332" max="1332" width="9" style="326"/>
    <col min="1333" max="1333" width="10.75" style="326" customWidth="1"/>
    <col min="1334" max="1334" width="12.75" style="326" customWidth="1"/>
    <col min="1335" max="1335" width="9" style="326"/>
    <col min="1336" max="1336" width="10.75" style="326" bestFit="1" customWidth="1"/>
    <col min="1337" max="1337" width="11.5" style="326" customWidth="1"/>
    <col min="1338" max="1338" width="13.625" style="326" customWidth="1"/>
    <col min="1339" max="1339" width="10.625" style="326" customWidth="1"/>
    <col min="1340" max="1340" width="10.75" style="326" bestFit="1" customWidth="1"/>
    <col min="1341" max="1341" width="12.375" style="326" customWidth="1"/>
    <col min="1342" max="1344" width="9" style="326"/>
    <col min="1345" max="1345" width="15.75" style="326" customWidth="1"/>
    <col min="1346" max="1346" width="9" style="326"/>
    <col min="1347" max="1347" width="10.75" style="326" bestFit="1" customWidth="1"/>
    <col min="1348" max="1348" width="12.625" style="326" customWidth="1"/>
    <col min="1349" max="1351" width="9" style="326"/>
    <col min="1352" max="1352" width="13.625" style="326" customWidth="1"/>
    <col min="1353" max="1353" width="9" style="326"/>
    <col min="1354" max="1354" width="10.75" style="326" bestFit="1" customWidth="1"/>
    <col min="1355" max="1355" width="12.5" style="326" customWidth="1"/>
    <col min="1356" max="1358" width="9" style="326"/>
    <col min="1359" max="1359" width="12.875" style="326" customWidth="1"/>
    <col min="1360" max="1360" width="9" style="326"/>
    <col min="1361" max="1361" width="10.75" style="326" bestFit="1" customWidth="1"/>
    <col min="1362" max="1362" width="13.875" style="326" customWidth="1"/>
    <col min="1363" max="1365" width="9" style="326"/>
    <col min="1366" max="1366" width="14.125" style="326" customWidth="1"/>
    <col min="1367" max="1367" width="9" style="326"/>
    <col min="1368" max="1368" width="10.75" style="326" bestFit="1" customWidth="1"/>
    <col min="1369" max="1369" width="13.25" style="326" customWidth="1"/>
    <col min="1370" max="1372" width="9" style="326"/>
    <col min="1373" max="1373" width="13.25" style="326" customWidth="1"/>
    <col min="1374" max="1374" width="9" style="326"/>
    <col min="1375" max="1375" width="10.75" style="326" bestFit="1" customWidth="1"/>
    <col min="1376" max="1376" width="13.875" style="326" customWidth="1"/>
    <col min="1377" max="1379" width="9" style="326"/>
    <col min="1380" max="1380" width="13.625" style="326" customWidth="1"/>
    <col min="1381" max="1381" width="9" style="326"/>
    <col min="1382" max="1382" width="10.75" style="326" bestFit="1" customWidth="1"/>
    <col min="1383" max="1383" width="13" style="326" customWidth="1"/>
    <col min="1384" max="1530" width="9" style="326"/>
    <col min="1531" max="1532" width="12.125" style="326" customWidth="1"/>
    <col min="1533" max="1535" width="13" style="326" customWidth="1"/>
    <col min="1536" max="1536" width="12.875" style="326" customWidth="1"/>
    <col min="1537" max="1537" width="13" style="326" customWidth="1"/>
    <col min="1538" max="1538" width="13.125" style="326" customWidth="1"/>
    <col min="1539" max="1540" width="12.125" style="326" customWidth="1"/>
    <col min="1541" max="1541" width="14.375" style="326" bestFit="1" customWidth="1"/>
    <col min="1542" max="1542" width="11" style="326" customWidth="1"/>
    <col min="1543" max="1543" width="10" style="326" customWidth="1"/>
    <col min="1544" max="1544" width="10.875" style="326" customWidth="1"/>
    <col min="1545" max="1545" width="13.75" style="326" customWidth="1"/>
    <col min="1546" max="1546" width="10" style="326" customWidth="1"/>
    <col min="1547" max="1547" width="13.25" style="326" customWidth="1"/>
    <col min="1548" max="1548" width="14.375" style="326" customWidth="1"/>
    <col min="1549" max="1549" width="10" style="326" customWidth="1"/>
    <col min="1550" max="1550" width="10.875" style="326" customWidth="1"/>
    <col min="1551" max="1551" width="11.375" style="326" customWidth="1"/>
    <col min="1552" max="1552" width="15.375" style="326" customWidth="1"/>
    <col min="1553" max="1554" width="10.75" style="326" customWidth="1"/>
    <col min="1555" max="1555" width="14.375" style="326" customWidth="1"/>
    <col min="1556" max="1556" width="10.75" style="326" customWidth="1"/>
    <col min="1557" max="1557" width="11.75" style="326" customWidth="1"/>
    <col min="1558" max="1558" width="10" style="326" customWidth="1"/>
    <col min="1559" max="1559" width="15.375" style="326" customWidth="1"/>
    <col min="1560" max="1560" width="10" style="326" customWidth="1"/>
    <col min="1561" max="1561" width="10.75" style="326" customWidth="1"/>
    <col min="1562" max="1562" width="14.875" style="326" customWidth="1"/>
    <col min="1563" max="1563" width="11.5" style="326" customWidth="1"/>
    <col min="1564" max="1564" width="10" style="326" customWidth="1"/>
    <col min="1565" max="1565" width="10.75" style="326" customWidth="1"/>
    <col min="1566" max="1566" width="13.5" style="326" customWidth="1"/>
    <col min="1567" max="1567" width="9" style="326"/>
    <col min="1568" max="1568" width="10.75" style="326" bestFit="1" customWidth="1"/>
    <col min="1569" max="1569" width="13.75" style="326" customWidth="1"/>
    <col min="1570" max="1570" width="9" style="326"/>
    <col min="1571" max="1571" width="10.625" style="326" customWidth="1"/>
    <col min="1572" max="1572" width="9" style="326"/>
    <col min="1573" max="1573" width="14.25" style="326" customWidth="1"/>
    <col min="1574" max="1574" width="10.75" style="326" bestFit="1" customWidth="1"/>
    <col min="1575" max="1575" width="11.625" style="326" customWidth="1"/>
    <col min="1576" max="1576" width="13.75" style="326" customWidth="1"/>
    <col min="1577" max="1577" width="10.625" style="326" customWidth="1"/>
    <col min="1578" max="1579" width="9" style="326"/>
    <col min="1580" max="1580" width="14.125" style="326" customWidth="1"/>
    <col min="1581" max="1581" width="11" style="326" customWidth="1"/>
    <col min="1582" max="1582" width="10.75" style="326" bestFit="1" customWidth="1"/>
    <col min="1583" max="1583" width="13.5" style="326" customWidth="1"/>
    <col min="1584" max="1585" width="9" style="326"/>
    <col min="1586" max="1586" width="10.75" style="326" bestFit="1" customWidth="1"/>
    <col min="1587" max="1587" width="14" style="326" customWidth="1"/>
    <col min="1588" max="1588" width="9" style="326"/>
    <col min="1589" max="1589" width="10.75" style="326" customWidth="1"/>
    <col min="1590" max="1590" width="12.75" style="326" customWidth="1"/>
    <col min="1591" max="1591" width="9" style="326"/>
    <col min="1592" max="1592" width="10.75" style="326" bestFit="1" customWidth="1"/>
    <col min="1593" max="1593" width="11.5" style="326" customWidth="1"/>
    <col min="1594" max="1594" width="13.625" style="326" customWidth="1"/>
    <col min="1595" max="1595" width="10.625" style="326" customWidth="1"/>
    <col min="1596" max="1596" width="10.75" style="326" bestFit="1" customWidth="1"/>
    <col min="1597" max="1597" width="12.375" style="326" customWidth="1"/>
    <col min="1598" max="1600" width="9" style="326"/>
    <col min="1601" max="1601" width="15.75" style="326" customWidth="1"/>
    <col min="1602" max="1602" width="9" style="326"/>
    <col min="1603" max="1603" width="10.75" style="326" bestFit="1" customWidth="1"/>
    <col min="1604" max="1604" width="12.625" style="326" customWidth="1"/>
    <col min="1605" max="1607" width="9" style="326"/>
    <col min="1608" max="1608" width="13.625" style="326" customWidth="1"/>
    <col min="1609" max="1609" width="9" style="326"/>
    <col min="1610" max="1610" width="10.75" style="326" bestFit="1" customWidth="1"/>
    <col min="1611" max="1611" width="12.5" style="326" customWidth="1"/>
    <col min="1612" max="1614" width="9" style="326"/>
    <col min="1615" max="1615" width="12.875" style="326" customWidth="1"/>
    <col min="1616" max="1616" width="9" style="326"/>
    <col min="1617" max="1617" width="10.75" style="326" bestFit="1" customWidth="1"/>
    <col min="1618" max="1618" width="13.875" style="326" customWidth="1"/>
    <col min="1619" max="1621" width="9" style="326"/>
    <col min="1622" max="1622" width="14.125" style="326" customWidth="1"/>
    <col min="1623" max="1623" width="9" style="326"/>
    <col min="1624" max="1624" width="10.75" style="326" bestFit="1" customWidth="1"/>
    <col min="1625" max="1625" width="13.25" style="326" customWidth="1"/>
    <col min="1626" max="1628" width="9" style="326"/>
    <col min="1629" max="1629" width="13.25" style="326" customWidth="1"/>
    <col min="1630" max="1630" width="9" style="326"/>
    <col min="1631" max="1631" width="10.75" style="326" bestFit="1" customWidth="1"/>
    <col min="1632" max="1632" width="13.875" style="326" customWidth="1"/>
    <col min="1633" max="1635" width="9" style="326"/>
    <col min="1636" max="1636" width="13.625" style="326" customWidth="1"/>
    <col min="1637" max="1637" width="9" style="326"/>
    <col min="1638" max="1638" width="10.75" style="326" bestFit="1" customWidth="1"/>
    <col min="1639" max="1639" width="13" style="326" customWidth="1"/>
    <col min="1640" max="1786" width="9" style="326"/>
    <col min="1787" max="1788" width="12.125" style="326" customWidth="1"/>
    <col min="1789" max="1791" width="13" style="326" customWidth="1"/>
    <col min="1792" max="1792" width="12.875" style="326" customWidth="1"/>
    <col min="1793" max="1793" width="13" style="326" customWidth="1"/>
    <col min="1794" max="1794" width="13.125" style="326" customWidth="1"/>
    <col min="1795" max="1796" width="12.125" style="326" customWidth="1"/>
    <col min="1797" max="1797" width="14.375" style="326" bestFit="1" customWidth="1"/>
    <col min="1798" max="1798" width="11" style="326" customWidth="1"/>
    <col min="1799" max="1799" width="10" style="326" customWidth="1"/>
    <col min="1800" max="1800" width="10.875" style="326" customWidth="1"/>
    <col min="1801" max="1801" width="13.75" style="326" customWidth="1"/>
    <col min="1802" max="1802" width="10" style="326" customWidth="1"/>
    <col min="1803" max="1803" width="13.25" style="326" customWidth="1"/>
    <col min="1804" max="1804" width="14.375" style="326" customWidth="1"/>
    <col min="1805" max="1805" width="10" style="326" customWidth="1"/>
    <col min="1806" max="1806" width="10.875" style="326" customWidth="1"/>
    <col min="1807" max="1807" width="11.375" style="326" customWidth="1"/>
    <col min="1808" max="1808" width="15.375" style="326" customWidth="1"/>
    <col min="1809" max="1810" width="10.75" style="326" customWidth="1"/>
    <col min="1811" max="1811" width="14.375" style="326" customWidth="1"/>
    <col min="1812" max="1812" width="10.75" style="326" customWidth="1"/>
    <col min="1813" max="1813" width="11.75" style="326" customWidth="1"/>
    <col min="1814" max="1814" width="10" style="326" customWidth="1"/>
    <col min="1815" max="1815" width="15.375" style="326" customWidth="1"/>
    <col min="1816" max="1816" width="10" style="326" customWidth="1"/>
    <col min="1817" max="1817" width="10.75" style="326" customWidth="1"/>
    <col min="1818" max="1818" width="14.875" style="326" customWidth="1"/>
    <col min="1819" max="1819" width="11.5" style="326" customWidth="1"/>
    <col min="1820" max="1820" width="10" style="326" customWidth="1"/>
    <col min="1821" max="1821" width="10.75" style="326" customWidth="1"/>
    <col min="1822" max="1822" width="13.5" style="326" customWidth="1"/>
    <col min="1823" max="1823" width="9" style="326"/>
    <col min="1824" max="1824" width="10.75" style="326" bestFit="1" customWidth="1"/>
    <col min="1825" max="1825" width="13.75" style="326" customWidth="1"/>
    <col min="1826" max="1826" width="9" style="326"/>
    <col min="1827" max="1827" width="10.625" style="326" customWidth="1"/>
    <col min="1828" max="1828" width="9" style="326"/>
    <col min="1829" max="1829" width="14.25" style="326" customWidth="1"/>
    <col min="1830" max="1830" width="10.75" style="326" bestFit="1" customWidth="1"/>
    <col min="1831" max="1831" width="11.625" style="326" customWidth="1"/>
    <col min="1832" max="1832" width="13.75" style="326" customWidth="1"/>
    <col min="1833" max="1833" width="10.625" style="326" customWidth="1"/>
    <col min="1834" max="1835" width="9" style="326"/>
    <col min="1836" max="1836" width="14.125" style="326" customWidth="1"/>
    <col min="1837" max="1837" width="11" style="326" customWidth="1"/>
    <col min="1838" max="1838" width="10.75" style="326" bestFit="1" customWidth="1"/>
    <col min="1839" max="1839" width="13.5" style="326" customWidth="1"/>
    <col min="1840" max="1841" width="9" style="326"/>
    <col min="1842" max="1842" width="10.75" style="326" bestFit="1" customWidth="1"/>
    <col min="1843" max="1843" width="14" style="326" customWidth="1"/>
    <col min="1844" max="1844" width="9" style="326"/>
    <col min="1845" max="1845" width="10.75" style="326" customWidth="1"/>
    <col min="1846" max="1846" width="12.75" style="326" customWidth="1"/>
    <col min="1847" max="1847" width="9" style="326"/>
    <col min="1848" max="1848" width="10.75" style="326" bestFit="1" customWidth="1"/>
    <col min="1849" max="1849" width="11.5" style="326" customWidth="1"/>
    <col min="1850" max="1850" width="13.625" style="326" customWidth="1"/>
    <col min="1851" max="1851" width="10.625" style="326" customWidth="1"/>
    <col min="1852" max="1852" width="10.75" style="326" bestFit="1" customWidth="1"/>
    <col min="1853" max="1853" width="12.375" style="326" customWidth="1"/>
    <col min="1854" max="1856" width="9" style="326"/>
    <col min="1857" max="1857" width="15.75" style="326" customWidth="1"/>
    <col min="1858" max="1858" width="9" style="326"/>
    <col min="1859" max="1859" width="10.75" style="326" bestFit="1" customWidth="1"/>
    <col min="1860" max="1860" width="12.625" style="326" customWidth="1"/>
    <col min="1861" max="1863" width="9" style="326"/>
    <col min="1864" max="1864" width="13.625" style="326" customWidth="1"/>
    <col min="1865" max="1865" width="9" style="326"/>
    <col min="1866" max="1866" width="10.75" style="326" bestFit="1" customWidth="1"/>
    <col min="1867" max="1867" width="12.5" style="326" customWidth="1"/>
    <col min="1868" max="1870" width="9" style="326"/>
    <col min="1871" max="1871" width="12.875" style="326" customWidth="1"/>
    <col min="1872" max="1872" width="9" style="326"/>
    <col min="1873" max="1873" width="10.75" style="326" bestFit="1" customWidth="1"/>
    <col min="1874" max="1874" width="13.875" style="326" customWidth="1"/>
    <col min="1875" max="1877" width="9" style="326"/>
    <col min="1878" max="1878" width="14.125" style="326" customWidth="1"/>
    <col min="1879" max="1879" width="9" style="326"/>
    <col min="1880" max="1880" width="10.75" style="326" bestFit="1" customWidth="1"/>
    <col min="1881" max="1881" width="13.25" style="326" customWidth="1"/>
    <col min="1882" max="1884" width="9" style="326"/>
    <col min="1885" max="1885" width="13.25" style="326" customWidth="1"/>
    <col min="1886" max="1886" width="9" style="326"/>
    <col min="1887" max="1887" width="10.75" style="326" bestFit="1" customWidth="1"/>
    <col min="1888" max="1888" width="13.875" style="326" customWidth="1"/>
    <col min="1889" max="1891" width="9" style="326"/>
    <col min="1892" max="1892" width="13.625" style="326" customWidth="1"/>
    <col min="1893" max="1893" width="9" style="326"/>
    <col min="1894" max="1894" width="10.75" style="326" bestFit="1" customWidth="1"/>
    <col min="1895" max="1895" width="13" style="326" customWidth="1"/>
    <col min="1896" max="2042" width="9" style="326"/>
    <col min="2043" max="2044" width="12.125" style="326" customWidth="1"/>
    <col min="2045" max="2047" width="13" style="326" customWidth="1"/>
    <col min="2048" max="2048" width="12.875" style="326" customWidth="1"/>
    <col min="2049" max="2049" width="13" style="326" customWidth="1"/>
    <col min="2050" max="2050" width="13.125" style="326" customWidth="1"/>
    <col min="2051" max="2052" width="12.125" style="326" customWidth="1"/>
    <col min="2053" max="2053" width="14.375" style="326" bestFit="1" customWidth="1"/>
    <col min="2054" max="2054" width="11" style="326" customWidth="1"/>
    <col min="2055" max="2055" width="10" style="326" customWidth="1"/>
    <col min="2056" max="2056" width="10.875" style="326" customWidth="1"/>
    <col min="2057" max="2057" width="13.75" style="326" customWidth="1"/>
    <col min="2058" max="2058" width="10" style="326" customWidth="1"/>
    <col min="2059" max="2059" width="13.25" style="326" customWidth="1"/>
    <col min="2060" max="2060" width="14.375" style="326" customWidth="1"/>
    <col min="2061" max="2061" width="10" style="326" customWidth="1"/>
    <col min="2062" max="2062" width="10.875" style="326" customWidth="1"/>
    <col min="2063" max="2063" width="11.375" style="326" customWidth="1"/>
    <col min="2064" max="2064" width="15.375" style="326" customWidth="1"/>
    <col min="2065" max="2066" width="10.75" style="326" customWidth="1"/>
    <col min="2067" max="2067" width="14.375" style="326" customWidth="1"/>
    <col min="2068" max="2068" width="10.75" style="326" customWidth="1"/>
    <col min="2069" max="2069" width="11.75" style="326" customWidth="1"/>
    <col min="2070" max="2070" width="10" style="326" customWidth="1"/>
    <col min="2071" max="2071" width="15.375" style="326" customWidth="1"/>
    <col min="2072" max="2072" width="10" style="326" customWidth="1"/>
    <col min="2073" max="2073" width="10.75" style="326" customWidth="1"/>
    <col min="2074" max="2074" width="14.875" style="326" customWidth="1"/>
    <col min="2075" max="2075" width="11.5" style="326" customWidth="1"/>
    <col min="2076" max="2076" width="10" style="326" customWidth="1"/>
    <col min="2077" max="2077" width="10.75" style="326" customWidth="1"/>
    <col min="2078" max="2078" width="13.5" style="326" customWidth="1"/>
    <col min="2079" max="2079" width="9" style="326"/>
    <col min="2080" max="2080" width="10.75" style="326" bestFit="1" customWidth="1"/>
    <col min="2081" max="2081" width="13.75" style="326" customWidth="1"/>
    <col min="2082" max="2082" width="9" style="326"/>
    <col min="2083" max="2083" width="10.625" style="326" customWidth="1"/>
    <col min="2084" max="2084" width="9" style="326"/>
    <col min="2085" max="2085" width="14.25" style="326" customWidth="1"/>
    <col min="2086" max="2086" width="10.75" style="326" bestFit="1" customWidth="1"/>
    <col min="2087" max="2087" width="11.625" style="326" customWidth="1"/>
    <col min="2088" max="2088" width="13.75" style="326" customWidth="1"/>
    <col min="2089" max="2089" width="10.625" style="326" customWidth="1"/>
    <col min="2090" max="2091" width="9" style="326"/>
    <col min="2092" max="2092" width="14.125" style="326" customWidth="1"/>
    <col min="2093" max="2093" width="11" style="326" customWidth="1"/>
    <col min="2094" max="2094" width="10.75" style="326" bestFit="1" customWidth="1"/>
    <col min="2095" max="2095" width="13.5" style="326" customWidth="1"/>
    <col min="2096" max="2097" width="9" style="326"/>
    <col min="2098" max="2098" width="10.75" style="326" bestFit="1" customWidth="1"/>
    <col min="2099" max="2099" width="14" style="326" customWidth="1"/>
    <col min="2100" max="2100" width="9" style="326"/>
    <col min="2101" max="2101" width="10.75" style="326" customWidth="1"/>
    <col min="2102" max="2102" width="12.75" style="326" customWidth="1"/>
    <col min="2103" max="2103" width="9" style="326"/>
    <col min="2104" max="2104" width="10.75" style="326" bestFit="1" customWidth="1"/>
    <col min="2105" max="2105" width="11.5" style="326" customWidth="1"/>
    <col min="2106" max="2106" width="13.625" style="326" customWidth="1"/>
    <col min="2107" max="2107" width="10.625" style="326" customWidth="1"/>
    <col min="2108" max="2108" width="10.75" style="326" bestFit="1" customWidth="1"/>
    <col min="2109" max="2109" width="12.375" style="326" customWidth="1"/>
    <col min="2110" max="2112" width="9" style="326"/>
    <col min="2113" max="2113" width="15.75" style="326" customWidth="1"/>
    <col min="2114" max="2114" width="9" style="326"/>
    <col min="2115" max="2115" width="10.75" style="326" bestFit="1" customWidth="1"/>
    <col min="2116" max="2116" width="12.625" style="326" customWidth="1"/>
    <col min="2117" max="2119" width="9" style="326"/>
    <col min="2120" max="2120" width="13.625" style="326" customWidth="1"/>
    <col min="2121" max="2121" width="9" style="326"/>
    <col min="2122" max="2122" width="10.75" style="326" bestFit="1" customWidth="1"/>
    <col min="2123" max="2123" width="12.5" style="326" customWidth="1"/>
    <col min="2124" max="2126" width="9" style="326"/>
    <col min="2127" max="2127" width="12.875" style="326" customWidth="1"/>
    <col min="2128" max="2128" width="9" style="326"/>
    <col min="2129" max="2129" width="10.75" style="326" bestFit="1" customWidth="1"/>
    <col min="2130" max="2130" width="13.875" style="326" customWidth="1"/>
    <col min="2131" max="2133" width="9" style="326"/>
    <col min="2134" max="2134" width="14.125" style="326" customWidth="1"/>
    <col min="2135" max="2135" width="9" style="326"/>
    <col min="2136" max="2136" width="10.75" style="326" bestFit="1" customWidth="1"/>
    <col min="2137" max="2137" width="13.25" style="326" customWidth="1"/>
    <col min="2138" max="2140" width="9" style="326"/>
    <col min="2141" max="2141" width="13.25" style="326" customWidth="1"/>
    <col min="2142" max="2142" width="9" style="326"/>
    <col min="2143" max="2143" width="10.75" style="326" bestFit="1" customWidth="1"/>
    <col min="2144" max="2144" width="13.875" style="326" customWidth="1"/>
    <col min="2145" max="2147" width="9" style="326"/>
    <col min="2148" max="2148" width="13.625" style="326" customWidth="1"/>
    <col min="2149" max="2149" width="9" style="326"/>
    <col min="2150" max="2150" width="10.75" style="326" bestFit="1" customWidth="1"/>
    <col min="2151" max="2151" width="13" style="326" customWidth="1"/>
    <col min="2152" max="2298" width="9" style="326"/>
    <col min="2299" max="2300" width="12.125" style="326" customWidth="1"/>
    <col min="2301" max="2303" width="13" style="326" customWidth="1"/>
    <col min="2304" max="2304" width="12.875" style="326" customWidth="1"/>
    <col min="2305" max="2305" width="13" style="326" customWidth="1"/>
    <col min="2306" max="2306" width="13.125" style="326" customWidth="1"/>
    <col min="2307" max="2308" width="12.125" style="326" customWidth="1"/>
    <col min="2309" max="2309" width="14.375" style="326" bestFit="1" customWidth="1"/>
    <col min="2310" max="2310" width="11" style="326" customWidth="1"/>
    <col min="2311" max="2311" width="10" style="326" customWidth="1"/>
    <col min="2312" max="2312" width="10.875" style="326" customWidth="1"/>
    <col min="2313" max="2313" width="13.75" style="326" customWidth="1"/>
    <col min="2314" max="2314" width="10" style="326" customWidth="1"/>
    <col min="2315" max="2315" width="13.25" style="326" customWidth="1"/>
    <col min="2316" max="2316" width="14.375" style="326" customWidth="1"/>
    <col min="2317" max="2317" width="10" style="326" customWidth="1"/>
    <col min="2318" max="2318" width="10.875" style="326" customWidth="1"/>
    <col min="2319" max="2319" width="11.375" style="326" customWidth="1"/>
    <col min="2320" max="2320" width="15.375" style="326" customWidth="1"/>
    <col min="2321" max="2322" width="10.75" style="326" customWidth="1"/>
    <col min="2323" max="2323" width="14.375" style="326" customWidth="1"/>
    <col min="2324" max="2324" width="10.75" style="326" customWidth="1"/>
    <col min="2325" max="2325" width="11.75" style="326" customWidth="1"/>
    <col min="2326" max="2326" width="10" style="326" customWidth="1"/>
    <col min="2327" max="2327" width="15.375" style="326" customWidth="1"/>
    <col min="2328" max="2328" width="10" style="326" customWidth="1"/>
    <col min="2329" max="2329" width="10.75" style="326" customWidth="1"/>
    <col min="2330" max="2330" width="14.875" style="326" customWidth="1"/>
    <col min="2331" max="2331" width="11.5" style="326" customWidth="1"/>
    <col min="2332" max="2332" width="10" style="326" customWidth="1"/>
    <col min="2333" max="2333" width="10.75" style="326" customWidth="1"/>
    <col min="2334" max="2334" width="13.5" style="326" customWidth="1"/>
    <col min="2335" max="2335" width="9" style="326"/>
    <col min="2336" max="2336" width="10.75" style="326" bestFit="1" customWidth="1"/>
    <col min="2337" max="2337" width="13.75" style="326" customWidth="1"/>
    <col min="2338" max="2338" width="9" style="326"/>
    <col min="2339" max="2339" width="10.625" style="326" customWidth="1"/>
    <col min="2340" max="2340" width="9" style="326"/>
    <col min="2341" max="2341" width="14.25" style="326" customWidth="1"/>
    <col min="2342" max="2342" width="10.75" style="326" bestFit="1" customWidth="1"/>
    <col min="2343" max="2343" width="11.625" style="326" customWidth="1"/>
    <col min="2344" max="2344" width="13.75" style="326" customWidth="1"/>
    <col min="2345" max="2345" width="10.625" style="326" customWidth="1"/>
    <col min="2346" max="2347" width="9" style="326"/>
    <col min="2348" max="2348" width="14.125" style="326" customWidth="1"/>
    <col min="2349" max="2349" width="11" style="326" customWidth="1"/>
    <col min="2350" max="2350" width="10.75" style="326" bestFit="1" customWidth="1"/>
    <col min="2351" max="2351" width="13.5" style="326" customWidth="1"/>
    <col min="2352" max="2353" width="9" style="326"/>
    <col min="2354" max="2354" width="10.75" style="326" bestFit="1" customWidth="1"/>
    <col min="2355" max="2355" width="14" style="326" customWidth="1"/>
    <col min="2356" max="2356" width="9" style="326"/>
    <col min="2357" max="2357" width="10.75" style="326" customWidth="1"/>
    <col min="2358" max="2358" width="12.75" style="326" customWidth="1"/>
    <col min="2359" max="2359" width="9" style="326"/>
    <col min="2360" max="2360" width="10.75" style="326" bestFit="1" customWidth="1"/>
    <col min="2361" max="2361" width="11.5" style="326" customWidth="1"/>
    <col min="2362" max="2362" width="13.625" style="326" customWidth="1"/>
    <col min="2363" max="2363" width="10.625" style="326" customWidth="1"/>
    <col min="2364" max="2364" width="10.75" style="326" bestFit="1" customWidth="1"/>
    <col min="2365" max="2365" width="12.375" style="326" customWidth="1"/>
    <col min="2366" max="2368" width="9" style="326"/>
    <col min="2369" max="2369" width="15.75" style="326" customWidth="1"/>
    <col min="2370" max="2370" width="9" style="326"/>
    <col min="2371" max="2371" width="10.75" style="326" bestFit="1" customWidth="1"/>
    <col min="2372" max="2372" width="12.625" style="326" customWidth="1"/>
    <col min="2373" max="2375" width="9" style="326"/>
    <col min="2376" max="2376" width="13.625" style="326" customWidth="1"/>
    <col min="2377" max="2377" width="9" style="326"/>
    <col min="2378" max="2378" width="10.75" style="326" bestFit="1" customWidth="1"/>
    <col min="2379" max="2379" width="12.5" style="326" customWidth="1"/>
    <col min="2380" max="2382" width="9" style="326"/>
    <col min="2383" max="2383" width="12.875" style="326" customWidth="1"/>
    <col min="2384" max="2384" width="9" style="326"/>
    <col min="2385" max="2385" width="10.75" style="326" bestFit="1" customWidth="1"/>
    <col min="2386" max="2386" width="13.875" style="326" customWidth="1"/>
    <col min="2387" max="2389" width="9" style="326"/>
    <col min="2390" max="2390" width="14.125" style="326" customWidth="1"/>
    <col min="2391" max="2391" width="9" style="326"/>
    <col min="2392" max="2392" width="10.75" style="326" bestFit="1" customWidth="1"/>
    <col min="2393" max="2393" width="13.25" style="326" customWidth="1"/>
    <col min="2394" max="2396" width="9" style="326"/>
    <col min="2397" max="2397" width="13.25" style="326" customWidth="1"/>
    <col min="2398" max="2398" width="9" style="326"/>
    <col min="2399" max="2399" width="10.75" style="326" bestFit="1" customWidth="1"/>
    <col min="2400" max="2400" width="13.875" style="326" customWidth="1"/>
    <col min="2401" max="2403" width="9" style="326"/>
    <col min="2404" max="2404" width="13.625" style="326" customWidth="1"/>
    <col min="2405" max="2405" width="9" style="326"/>
    <col min="2406" max="2406" width="10.75" style="326" bestFit="1" customWidth="1"/>
    <col min="2407" max="2407" width="13" style="326" customWidth="1"/>
    <col min="2408" max="2554" width="9" style="326"/>
    <col min="2555" max="2556" width="12.125" style="326" customWidth="1"/>
    <col min="2557" max="2559" width="13" style="326" customWidth="1"/>
    <col min="2560" max="2560" width="12.875" style="326" customWidth="1"/>
    <col min="2561" max="2561" width="13" style="326" customWidth="1"/>
    <col min="2562" max="2562" width="13.125" style="326" customWidth="1"/>
    <col min="2563" max="2564" width="12.125" style="326" customWidth="1"/>
    <col min="2565" max="2565" width="14.375" style="326" bestFit="1" customWidth="1"/>
    <col min="2566" max="2566" width="11" style="326" customWidth="1"/>
    <col min="2567" max="2567" width="10" style="326" customWidth="1"/>
    <col min="2568" max="2568" width="10.875" style="326" customWidth="1"/>
    <col min="2569" max="2569" width="13.75" style="326" customWidth="1"/>
    <col min="2570" max="2570" width="10" style="326" customWidth="1"/>
    <col min="2571" max="2571" width="13.25" style="326" customWidth="1"/>
    <col min="2572" max="2572" width="14.375" style="326" customWidth="1"/>
    <col min="2573" max="2573" width="10" style="326" customWidth="1"/>
    <col min="2574" max="2574" width="10.875" style="326" customWidth="1"/>
    <col min="2575" max="2575" width="11.375" style="326" customWidth="1"/>
    <col min="2576" max="2576" width="15.375" style="326" customWidth="1"/>
    <col min="2577" max="2578" width="10.75" style="326" customWidth="1"/>
    <col min="2579" max="2579" width="14.375" style="326" customWidth="1"/>
    <col min="2580" max="2580" width="10.75" style="326" customWidth="1"/>
    <col min="2581" max="2581" width="11.75" style="326" customWidth="1"/>
    <col min="2582" max="2582" width="10" style="326" customWidth="1"/>
    <col min="2583" max="2583" width="15.375" style="326" customWidth="1"/>
    <col min="2584" max="2584" width="10" style="326" customWidth="1"/>
    <col min="2585" max="2585" width="10.75" style="326" customWidth="1"/>
    <col min="2586" max="2586" width="14.875" style="326" customWidth="1"/>
    <col min="2587" max="2587" width="11.5" style="326" customWidth="1"/>
    <col min="2588" max="2588" width="10" style="326" customWidth="1"/>
    <col min="2589" max="2589" width="10.75" style="326" customWidth="1"/>
    <col min="2590" max="2590" width="13.5" style="326" customWidth="1"/>
    <col min="2591" max="2591" width="9" style="326"/>
    <col min="2592" max="2592" width="10.75" style="326" bestFit="1" customWidth="1"/>
    <col min="2593" max="2593" width="13.75" style="326" customWidth="1"/>
    <col min="2594" max="2594" width="9" style="326"/>
    <col min="2595" max="2595" width="10.625" style="326" customWidth="1"/>
    <col min="2596" max="2596" width="9" style="326"/>
    <col min="2597" max="2597" width="14.25" style="326" customWidth="1"/>
    <col min="2598" max="2598" width="10.75" style="326" bestFit="1" customWidth="1"/>
    <col min="2599" max="2599" width="11.625" style="326" customWidth="1"/>
    <col min="2600" max="2600" width="13.75" style="326" customWidth="1"/>
    <col min="2601" max="2601" width="10.625" style="326" customWidth="1"/>
    <col min="2602" max="2603" width="9" style="326"/>
    <col min="2604" max="2604" width="14.125" style="326" customWidth="1"/>
    <col min="2605" max="2605" width="11" style="326" customWidth="1"/>
    <col min="2606" max="2606" width="10.75" style="326" bestFit="1" customWidth="1"/>
    <col min="2607" max="2607" width="13.5" style="326" customWidth="1"/>
    <col min="2608" max="2609" width="9" style="326"/>
    <col min="2610" max="2610" width="10.75" style="326" bestFit="1" customWidth="1"/>
    <col min="2611" max="2611" width="14" style="326" customWidth="1"/>
    <col min="2612" max="2612" width="9" style="326"/>
    <col min="2613" max="2613" width="10.75" style="326" customWidth="1"/>
    <col min="2614" max="2614" width="12.75" style="326" customWidth="1"/>
    <col min="2615" max="2615" width="9" style="326"/>
    <col min="2616" max="2616" width="10.75" style="326" bestFit="1" customWidth="1"/>
    <col min="2617" max="2617" width="11.5" style="326" customWidth="1"/>
    <col min="2618" max="2618" width="13.625" style="326" customWidth="1"/>
    <col min="2619" max="2619" width="10.625" style="326" customWidth="1"/>
    <col min="2620" max="2620" width="10.75" style="326" bestFit="1" customWidth="1"/>
    <col min="2621" max="2621" width="12.375" style="326" customWidth="1"/>
    <col min="2622" max="2624" width="9" style="326"/>
    <col min="2625" max="2625" width="15.75" style="326" customWidth="1"/>
    <col min="2626" max="2626" width="9" style="326"/>
    <col min="2627" max="2627" width="10.75" style="326" bestFit="1" customWidth="1"/>
    <col min="2628" max="2628" width="12.625" style="326" customWidth="1"/>
    <col min="2629" max="2631" width="9" style="326"/>
    <col min="2632" max="2632" width="13.625" style="326" customWidth="1"/>
    <col min="2633" max="2633" width="9" style="326"/>
    <col min="2634" max="2634" width="10.75" style="326" bestFit="1" customWidth="1"/>
    <col min="2635" max="2635" width="12.5" style="326" customWidth="1"/>
    <col min="2636" max="2638" width="9" style="326"/>
    <col min="2639" max="2639" width="12.875" style="326" customWidth="1"/>
    <col min="2640" max="2640" width="9" style="326"/>
    <col min="2641" max="2641" width="10.75" style="326" bestFit="1" customWidth="1"/>
    <col min="2642" max="2642" width="13.875" style="326" customWidth="1"/>
    <col min="2643" max="2645" width="9" style="326"/>
    <col min="2646" max="2646" width="14.125" style="326" customWidth="1"/>
    <col min="2647" max="2647" width="9" style="326"/>
    <col min="2648" max="2648" width="10.75" style="326" bestFit="1" customWidth="1"/>
    <col min="2649" max="2649" width="13.25" style="326" customWidth="1"/>
    <col min="2650" max="2652" width="9" style="326"/>
    <col min="2653" max="2653" width="13.25" style="326" customWidth="1"/>
    <col min="2654" max="2654" width="9" style="326"/>
    <col min="2655" max="2655" width="10.75" style="326" bestFit="1" customWidth="1"/>
    <col min="2656" max="2656" width="13.875" style="326" customWidth="1"/>
    <col min="2657" max="2659" width="9" style="326"/>
    <col min="2660" max="2660" width="13.625" style="326" customWidth="1"/>
    <col min="2661" max="2661" width="9" style="326"/>
    <col min="2662" max="2662" width="10.75" style="326" bestFit="1" customWidth="1"/>
    <col min="2663" max="2663" width="13" style="326" customWidth="1"/>
    <col min="2664" max="2810" width="9" style="326"/>
    <col min="2811" max="2812" width="12.125" style="326" customWidth="1"/>
    <col min="2813" max="2815" width="13" style="326" customWidth="1"/>
    <col min="2816" max="2816" width="12.875" style="326" customWidth="1"/>
    <col min="2817" max="2817" width="13" style="326" customWidth="1"/>
    <col min="2818" max="2818" width="13.125" style="326" customWidth="1"/>
    <col min="2819" max="2820" width="12.125" style="326" customWidth="1"/>
    <col min="2821" max="2821" width="14.375" style="326" bestFit="1" customWidth="1"/>
    <col min="2822" max="2822" width="11" style="326" customWidth="1"/>
    <col min="2823" max="2823" width="10" style="326" customWidth="1"/>
    <col min="2824" max="2824" width="10.875" style="326" customWidth="1"/>
    <col min="2825" max="2825" width="13.75" style="326" customWidth="1"/>
    <col min="2826" max="2826" width="10" style="326" customWidth="1"/>
    <col min="2827" max="2827" width="13.25" style="326" customWidth="1"/>
    <col min="2828" max="2828" width="14.375" style="326" customWidth="1"/>
    <col min="2829" max="2829" width="10" style="326" customWidth="1"/>
    <col min="2830" max="2830" width="10.875" style="326" customWidth="1"/>
    <col min="2831" max="2831" width="11.375" style="326" customWidth="1"/>
    <col min="2832" max="2832" width="15.375" style="326" customWidth="1"/>
    <col min="2833" max="2834" width="10.75" style="326" customWidth="1"/>
    <col min="2835" max="2835" width="14.375" style="326" customWidth="1"/>
    <col min="2836" max="2836" width="10.75" style="326" customWidth="1"/>
    <col min="2837" max="2837" width="11.75" style="326" customWidth="1"/>
    <col min="2838" max="2838" width="10" style="326" customWidth="1"/>
    <col min="2839" max="2839" width="15.375" style="326" customWidth="1"/>
    <col min="2840" max="2840" width="10" style="326" customWidth="1"/>
    <col min="2841" max="2841" width="10.75" style="326" customWidth="1"/>
    <col min="2842" max="2842" width="14.875" style="326" customWidth="1"/>
    <col min="2843" max="2843" width="11.5" style="326" customWidth="1"/>
    <col min="2844" max="2844" width="10" style="326" customWidth="1"/>
    <col min="2845" max="2845" width="10.75" style="326" customWidth="1"/>
    <col min="2846" max="2846" width="13.5" style="326" customWidth="1"/>
    <col min="2847" max="2847" width="9" style="326"/>
    <col min="2848" max="2848" width="10.75" style="326" bestFit="1" customWidth="1"/>
    <col min="2849" max="2849" width="13.75" style="326" customWidth="1"/>
    <col min="2850" max="2850" width="9" style="326"/>
    <col min="2851" max="2851" width="10.625" style="326" customWidth="1"/>
    <col min="2852" max="2852" width="9" style="326"/>
    <col min="2853" max="2853" width="14.25" style="326" customWidth="1"/>
    <col min="2854" max="2854" width="10.75" style="326" bestFit="1" customWidth="1"/>
    <col min="2855" max="2855" width="11.625" style="326" customWidth="1"/>
    <col min="2856" max="2856" width="13.75" style="326" customWidth="1"/>
    <col min="2857" max="2857" width="10.625" style="326" customWidth="1"/>
    <col min="2858" max="2859" width="9" style="326"/>
    <col min="2860" max="2860" width="14.125" style="326" customWidth="1"/>
    <col min="2861" max="2861" width="11" style="326" customWidth="1"/>
    <col min="2862" max="2862" width="10.75" style="326" bestFit="1" customWidth="1"/>
    <col min="2863" max="2863" width="13.5" style="326" customWidth="1"/>
    <col min="2864" max="2865" width="9" style="326"/>
    <col min="2866" max="2866" width="10.75" style="326" bestFit="1" customWidth="1"/>
    <col min="2867" max="2867" width="14" style="326" customWidth="1"/>
    <col min="2868" max="2868" width="9" style="326"/>
    <col min="2869" max="2869" width="10.75" style="326" customWidth="1"/>
    <col min="2870" max="2870" width="12.75" style="326" customWidth="1"/>
    <col min="2871" max="2871" width="9" style="326"/>
    <col min="2872" max="2872" width="10.75" style="326" bestFit="1" customWidth="1"/>
    <col min="2873" max="2873" width="11.5" style="326" customWidth="1"/>
    <col min="2874" max="2874" width="13.625" style="326" customWidth="1"/>
    <col min="2875" max="2875" width="10.625" style="326" customWidth="1"/>
    <col min="2876" max="2876" width="10.75" style="326" bestFit="1" customWidth="1"/>
    <col min="2877" max="2877" width="12.375" style="326" customWidth="1"/>
    <col min="2878" max="2880" width="9" style="326"/>
    <col min="2881" max="2881" width="15.75" style="326" customWidth="1"/>
    <col min="2882" max="2882" width="9" style="326"/>
    <col min="2883" max="2883" width="10.75" style="326" bestFit="1" customWidth="1"/>
    <col min="2884" max="2884" width="12.625" style="326" customWidth="1"/>
    <col min="2885" max="2887" width="9" style="326"/>
    <col min="2888" max="2888" width="13.625" style="326" customWidth="1"/>
    <col min="2889" max="2889" width="9" style="326"/>
    <col min="2890" max="2890" width="10.75" style="326" bestFit="1" customWidth="1"/>
    <col min="2891" max="2891" width="12.5" style="326" customWidth="1"/>
    <col min="2892" max="2894" width="9" style="326"/>
    <col min="2895" max="2895" width="12.875" style="326" customWidth="1"/>
    <col min="2896" max="2896" width="9" style="326"/>
    <col min="2897" max="2897" width="10.75" style="326" bestFit="1" customWidth="1"/>
    <col min="2898" max="2898" width="13.875" style="326" customWidth="1"/>
    <col min="2899" max="2901" width="9" style="326"/>
    <col min="2902" max="2902" width="14.125" style="326" customWidth="1"/>
    <col min="2903" max="2903" width="9" style="326"/>
    <col min="2904" max="2904" width="10.75" style="326" bestFit="1" customWidth="1"/>
    <col min="2905" max="2905" width="13.25" style="326" customWidth="1"/>
    <col min="2906" max="2908" width="9" style="326"/>
    <col min="2909" max="2909" width="13.25" style="326" customWidth="1"/>
    <col min="2910" max="2910" width="9" style="326"/>
    <col min="2911" max="2911" width="10.75" style="326" bestFit="1" customWidth="1"/>
    <col min="2912" max="2912" width="13.875" style="326" customWidth="1"/>
    <col min="2913" max="2915" width="9" style="326"/>
    <col min="2916" max="2916" width="13.625" style="326" customWidth="1"/>
    <col min="2917" max="2917" width="9" style="326"/>
    <col min="2918" max="2918" width="10.75" style="326" bestFit="1" customWidth="1"/>
    <col min="2919" max="2919" width="13" style="326" customWidth="1"/>
    <col min="2920" max="3066" width="9" style="326"/>
    <col min="3067" max="3068" width="12.125" style="326" customWidth="1"/>
    <col min="3069" max="3071" width="13" style="326" customWidth="1"/>
    <col min="3072" max="3072" width="12.875" style="326" customWidth="1"/>
    <col min="3073" max="3073" width="13" style="326" customWidth="1"/>
    <col min="3074" max="3074" width="13.125" style="326" customWidth="1"/>
    <col min="3075" max="3076" width="12.125" style="326" customWidth="1"/>
    <col min="3077" max="3077" width="14.375" style="326" bestFit="1" customWidth="1"/>
    <col min="3078" max="3078" width="11" style="326" customWidth="1"/>
    <col min="3079" max="3079" width="10" style="326" customWidth="1"/>
    <col min="3080" max="3080" width="10.875" style="326" customWidth="1"/>
    <col min="3081" max="3081" width="13.75" style="326" customWidth="1"/>
    <col min="3082" max="3082" width="10" style="326" customWidth="1"/>
    <col min="3083" max="3083" width="13.25" style="326" customWidth="1"/>
    <col min="3084" max="3084" width="14.375" style="326" customWidth="1"/>
    <col min="3085" max="3085" width="10" style="326" customWidth="1"/>
    <col min="3086" max="3086" width="10.875" style="326" customWidth="1"/>
    <col min="3087" max="3087" width="11.375" style="326" customWidth="1"/>
    <col min="3088" max="3088" width="15.375" style="326" customWidth="1"/>
    <col min="3089" max="3090" width="10.75" style="326" customWidth="1"/>
    <col min="3091" max="3091" width="14.375" style="326" customWidth="1"/>
    <col min="3092" max="3092" width="10.75" style="326" customWidth="1"/>
    <col min="3093" max="3093" width="11.75" style="326" customWidth="1"/>
    <col min="3094" max="3094" width="10" style="326" customWidth="1"/>
    <col min="3095" max="3095" width="15.375" style="326" customWidth="1"/>
    <col min="3096" max="3096" width="10" style="326" customWidth="1"/>
    <col min="3097" max="3097" width="10.75" style="326" customWidth="1"/>
    <col min="3098" max="3098" width="14.875" style="326" customWidth="1"/>
    <col min="3099" max="3099" width="11.5" style="326" customWidth="1"/>
    <col min="3100" max="3100" width="10" style="326" customWidth="1"/>
    <col min="3101" max="3101" width="10.75" style="326" customWidth="1"/>
    <col min="3102" max="3102" width="13.5" style="326" customWidth="1"/>
    <col min="3103" max="3103" width="9" style="326"/>
    <col min="3104" max="3104" width="10.75" style="326" bestFit="1" customWidth="1"/>
    <col min="3105" max="3105" width="13.75" style="326" customWidth="1"/>
    <col min="3106" max="3106" width="9" style="326"/>
    <col min="3107" max="3107" width="10.625" style="326" customWidth="1"/>
    <col min="3108" max="3108" width="9" style="326"/>
    <col min="3109" max="3109" width="14.25" style="326" customWidth="1"/>
    <col min="3110" max="3110" width="10.75" style="326" bestFit="1" customWidth="1"/>
    <col min="3111" max="3111" width="11.625" style="326" customWidth="1"/>
    <col min="3112" max="3112" width="13.75" style="326" customWidth="1"/>
    <col min="3113" max="3113" width="10.625" style="326" customWidth="1"/>
    <col min="3114" max="3115" width="9" style="326"/>
    <col min="3116" max="3116" width="14.125" style="326" customWidth="1"/>
    <col min="3117" max="3117" width="11" style="326" customWidth="1"/>
    <col min="3118" max="3118" width="10.75" style="326" bestFit="1" customWidth="1"/>
    <col min="3119" max="3119" width="13.5" style="326" customWidth="1"/>
    <col min="3120" max="3121" width="9" style="326"/>
    <col min="3122" max="3122" width="10.75" style="326" bestFit="1" customWidth="1"/>
    <col min="3123" max="3123" width="14" style="326" customWidth="1"/>
    <col min="3124" max="3124" width="9" style="326"/>
    <col min="3125" max="3125" width="10.75" style="326" customWidth="1"/>
    <col min="3126" max="3126" width="12.75" style="326" customWidth="1"/>
    <col min="3127" max="3127" width="9" style="326"/>
    <col min="3128" max="3128" width="10.75" style="326" bestFit="1" customWidth="1"/>
    <col min="3129" max="3129" width="11.5" style="326" customWidth="1"/>
    <col min="3130" max="3130" width="13.625" style="326" customWidth="1"/>
    <col min="3131" max="3131" width="10.625" style="326" customWidth="1"/>
    <col min="3132" max="3132" width="10.75" style="326" bestFit="1" customWidth="1"/>
    <col min="3133" max="3133" width="12.375" style="326" customWidth="1"/>
    <col min="3134" max="3136" width="9" style="326"/>
    <col min="3137" max="3137" width="15.75" style="326" customWidth="1"/>
    <col min="3138" max="3138" width="9" style="326"/>
    <col min="3139" max="3139" width="10.75" style="326" bestFit="1" customWidth="1"/>
    <col min="3140" max="3140" width="12.625" style="326" customWidth="1"/>
    <col min="3141" max="3143" width="9" style="326"/>
    <col min="3144" max="3144" width="13.625" style="326" customWidth="1"/>
    <col min="3145" max="3145" width="9" style="326"/>
    <col min="3146" max="3146" width="10.75" style="326" bestFit="1" customWidth="1"/>
    <col min="3147" max="3147" width="12.5" style="326" customWidth="1"/>
    <col min="3148" max="3150" width="9" style="326"/>
    <col min="3151" max="3151" width="12.875" style="326" customWidth="1"/>
    <col min="3152" max="3152" width="9" style="326"/>
    <col min="3153" max="3153" width="10.75" style="326" bestFit="1" customWidth="1"/>
    <col min="3154" max="3154" width="13.875" style="326" customWidth="1"/>
    <col min="3155" max="3157" width="9" style="326"/>
    <col min="3158" max="3158" width="14.125" style="326" customWidth="1"/>
    <col min="3159" max="3159" width="9" style="326"/>
    <col min="3160" max="3160" width="10.75" style="326" bestFit="1" customWidth="1"/>
    <col min="3161" max="3161" width="13.25" style="326" customWidth="1"/>
    <col min="3162" max="3164" width="9" style="326"/>
    <col min="3165" max="3165" width="13.25" style="326" customWidth="1"/>
    <col min="3166" max="3166" width="9" style="326"/>
    <col min="3167" max="3167" width="10.75" style="326" bestFit="1" customWidth="1"/>
    <col min="3168" max="3168" width="13.875" style="326" customWidth="1"/>
    <col min="3169" max="3171" width="9" style="326"/>
    <col min="3172" max="3172" width="13.625" style="326" customWidth="1"/>
    <col min="3173" max="3173" width="9" style="326"/>
    <col min="3174" max="3174" width="10.75" style="326" bestFit="1" customWidth="1"/>
    <col min="3175" max="3175" width="13" style="326" customWidth="1"/>
    <col min="3176" max="3322" width="9" style="326"/>
    <col min="3323" max="3324" width="12.125" style="326" customWidth="1"/>
    <col min="3325" max="3327" width="13" style="326" customWidth="1"/>
    <col min="3328" max="3328" width="12.875" style="326" customWidth="1"/>
    <col min="3329" max="3329" width="13" style="326" customWidth="1"/>
    <col min="3330" max="3330" width="13.125" style="326" customWidth="1"/>
    <col min="3331" max="3332" width="12.125" style="326" customWidth="1"/>
    <col min="3333" max="3333" width="14.375" style="326" bestFit="1" customWidth="1"/>
    <col min="3334" max="3334" width="11" style="326" customWidth="1"/>
    <col min="3335" max="3335" width="10" style="326" customWidth="1"/>
    <col min="3336" max="3336" width="10.875" style="326" customWidth="1"/>
    <col min="3337" max="3337" width="13.75" style="326" customWidth="1"/>
    <col min="3338" max="3338" width="10" style="326" customWidth="1"/>
    <col min="3339" max="3339" width="13.25" style="326" customWidth="1"/>
    <col min="3340" max="3340" width="14.375" style="326" customWidth="1"/>
    <col min="3341" max="3341" width="10" style="326" customWidth="1"/>
    <col min="3342" max="3342" width="10.875" style="326" customWidth="1"/>
    <col min="3343" max="3343" width="11.375" style="326" customWidth="1"/>
    <col min="3344" max="3344" width="15.375" style="326" customWidth="1"/>
    <col min="3345" max="3346" width="10.75" style="326" customWidth="1"/>
    <col min="3347" max="3347" width="14.375" style="326" customWidth="1"/>
    <col min="3348" max="3348" width="10.75" style="326" customWidth="1"/>
    <col min="3349" max="3349" width="11.75" style="326" customWidth="1"/>
    <col min="3350" max="3350" width="10" style="326" customWidth="1"/>
    <col min="3351" max="3351" width="15.375" style="326" customWidth="1"/>
    <col min="3352" max="3352" width="10" style="326" customWidth="1"/>
    <col min="3353" max="3353" width="10.75" style="326" customWidth="1"/>
    <col min="3354" max="3354" width="14.875" style="326" customWidth="1"/>
    <col min="3355" max="3355" width="11.5" style="326" customWidth="1"/>
    <col min="3356" max="3356" width="10" style="326" customWidth="1"/>
    <col min="3357" max="3357" width="10.75" style="326" customWidth="1"/>
    <col min="3358" max="3358" width="13.5" style="326" customWidth="1"/>
    <col min="3359" max="3359" width="9" style="326"/>
    <col min="3360" max="3360" width="10.75" style="326" bestFit="1" customWidth="1"/>
    <col min="3361" max="3361" width="13.75" style="326" customWidth="1"/>
    <col min="3362" max="3362" width="9" style="326"/>
    <col min="3363" max="3363" width="10.625" style="326" customWidth="1"/>
    <col min="3364" max="3364" width="9" style="326"/>
    <col min="3365" max="3365" width="14.25" style="326" customWidth="1"/>
    <col min="3366" max="3366" width="10.75" style="326" bestFit="1" customWidth="1"/>
    <col min="3367" max="3367" width="11.625" style="326" customWidth="1"/>
    <col min="3368" max="3368" width="13.75" style="326" customWidth="1"/>
    <col min="3369" max="3369" width="10.625" style="326" customWidth="1"/>
    <col min="3370" max="3371" width="9" style="326"/>
    <col min="3372" max="3372" width="14.125" style="326" customWidth="1"/>
    <col min="3373" max="3373" width="11" style="326" customWidth="1"/>
    <col min="3374" max="3374" width="10.75" style="326" bestFit="1" customWidth="1"/>
    <col min="3375" max="3375" width="13.5" style="326" customWidth="1"/>
    <col min="3376" max="3377" width="9" style="326"/>
    <col min="3378" max="3378" width="10.75" style="326" bestFit="1" customWidth="1"/>
    <col min="3379" max="3379" width="14" style="326" customWidth="1"/>
    <col min="3380" max="3380" width="9" style="326"/>
    <col min="3381" max="3381" width="10.75" style="326" customWidth="1"/>
    <col min="3382" max="3382" width="12.75" style="326" customWidth="1"/>
    <col min="3383" max="3383" width="9" style="326"/>
    <col min="3384" max="3384" width="10.75" style="326" bestFit="1" customWidth="1"/>
    <col min="3385" max="3385" width="11.5" style="326" customWidth="1"/>
    <col min="3386" max="3386" width="13.625" style="326" customWidth="1"/>
    <col min="3387" max="3387" width="10.625" style="326" customWidth="1"/>
    <col min="3388" max="3388" width="10.75" style="326" bestFit="1" customWidth="1"/>
    <col min="3389" max="3389" width="12.375" style="326" customWidth="1"/>
    <col min="3390" max="3392" width="9" style="326"/>
    <col min="3393" max="3393" width="15.75" style="326" customWidth="1"/>
    <col min="3394" max="3394" width="9" style="326"/>
    <col min="3395" max="3395" width="10.75" style="326" bestFit="1" customWidth="1"/>
    <col min="3396" max="3396" width="12.625" style="326" customWidth="1"/>
    <col min="3397" max="3399" width="9" style="326"/>
    <col min="3400" max="3400" width="13.625" style="326" customWidth="1"/>
    <col min="3401" max="3401" width="9" style="326"/>
    <col min="3402" max="3402" width="10.75" style="326" bestFit="1" customWidth="1"/>
    <col min="3403" max="3403" width="12.5" style="326" customWidth="1"/>
    <col min="3404" max="3406" width="9" style="326"/>
    <col min="3407" max="3407" width="12.875" style="326" customWidth="1"/>
    <col min="3408" max="3408" width="9" style="326"/>
    <col min="3409" max="3409" width="10.75" style="326" bestFit="1" customWidth="1"/>
    <col min="3410" max="3410" width="13.875" style="326" customWidth="1"/>
    <col min="3411" max="3413" width="9" style="326"/>
    <col min="3414" max="3414" width="14.125" style="326" customWidth="1"/>
    <col min="3415" max="3415" width="9" style="326"/>
    <col min="3416" max="3416" width="10.75" style="326" bestFit="1" customWidth="1"/>
    <col min="3417" max="3417" width="13.25" style="326" customWidth="1"/>
    <col min="3418" max="3420" width="9" style="326"/>
    <col min="3421" max="3421" width="13.25" style="326" customWidth="1"/>
    <col min="3422" max="3422" width="9" style="326"/>
    <col min="3423" max="3423" width="10.75" style="326" bestFit="1" customWidth="1"/>
    <col min="3424" max="3424" width="13.875" style="326" customWidth="1"/>
    <col min="3425" max="3427" width="9" style="326"/>
    <col min="3428" max="3428" width="13.625" style="326" customWidth="1"/>
    <col min="3429" max="3429" width="9" style="326"/>
    <col min="3430" max="3430" width="10.75" style="326" bestFit="1" customWidth="1"/>
    <col min="3431" max="3431" width="13" style="326" customWidth="1"/>
    <col min="3432" max="3578" width="9" style="326"/>
    <col min="3579" max="3580" width="12.125" style="326" customWidth="1"/>
    <col min="3581" max="3583" width="13" style="326" customWidth="1"/>
    <col min="3584" max="3584" width="12.875" style="326" customWidth="1"/>
    <col min="3585" max="3585" width="13" style="326" customWidth="1"/>
    <col min="3586" max="3586" width="13.125" style="326" customWidth="1"/>
    <col min="3587" max="3588" width="12.125" style="326" customWidth="1"/>
    <col min="3589" max="3589" width="14.375" style="326" bestFit="1" customWidth="1"/>
    <col min="3590" max="3590" width="11" style="326" customWidth="1"/>
    <col min="3591" max="3591" width="10" style="326" customWidth="1"/>
    <col min="3592" max="3592" width="10.875" style="326" customWidth="1"/>
    <col min="3593" max="3593" width="13.75" style="326" customWidth="1"/>
    <col min="3594" max="3594" width="10" style="326" customWidth="1"/>
    <col min="3595" max="3595" width="13.25" style="326" customWidth="1"/>
    <col min="3596" max="3596" width="14.375" style="326" customWidth="1"/>
    <col min="3597" max="3597" width="10" style="326" customWidth="1"/>
    <col min="3598" max="3598" width="10.875" style="326" customWidth="1"/>
    <col min="3599" max="3599" width="11.375" style="326" customWidth="1"/>
    <col min="3600" max="3600" width="15.375" style="326" customWidth="1"/>
    <col min="3601" max="3602" width="10.75" style="326" customWidth="1"/>
    <col min="3603" max="3603" width="14.375" style="326" customWidth="1"/>
    <col min="3604" max="3604" width="10.75" style="326" customWidth="1"/>
    <col min="3605" max="3605" width="11.75" style="326" customWidth="1"/>
    <col min="3606" max="3606" width="10" style="326" customWidth="1"/>
    <col min="3607" max="3607" width="15.375" style="326" customWidth="1"/>
    <col min="3608" max="3608" width="10" style="326" customWidth="1"/>
    <col min="3609" max="3609" width="10.75" style="326" customWidth="1"/>
    <col min="3610" max="3610" width="14.875" style="326" customWidth="1"/>
    <col min="3611" max="3611" width="11.5" style="326" customWidth="1"/>
    <col min="3612" max="3612" width="10" style="326" customWidth="1"/>
    <col min="3613" max="3613" width="10.75" style="326" customWidth="1"/>
    <col min="3614" max="3614" width="13.5" style="326" customWidth="1"/>
    <col min="3615" max="3615" width="9" style="326"/>
    <col min="3616" max="3616" width="10.75" style="326" bestFit="1" customWidth="1"/>
    <col min="3617" max="3617" width="13.75" style="326" customWidth="1"/>
    <col min="3618" max="3618" width="9" style="326"/>
    <col min="3619" max="3619" width="10.625" style="326" customWidth="1"/>
    <col min="3620" max="3620" width="9" style="326"/>
    <col min="3621" max="3621" width="14.25" style="326" customWidth="1"/>
    <col min="3622" max="3622" width="10.75" style="326" bestFit="1" customWidth="1"/>
    <col min="3623" max="3623" width="11.625" style="326" customWidth="1"/>
    <col min="3624" max="3624" width="13.75" style="326" customWidth="1"/>
    <col min="3625" max="3625" width="10.625" style="326" customWidth="1"/>
    <col min="3626" max="3627" width="9" style="326"/>
    <col min="3628" max="3628" width="14.125" style="326" customWidth="1"/>
    <col min="3629" max="3629" width="11" style="326" customWidth="1"/>
    <col min="3630" max="3630" width="10.75" style="326" bestFit="1" customWidth="1"/>
    <col min="3631" max="3631" width="13.5" style="326" customWidth="1"/>
    <col min="3632" max="3633" width="9" style="326"/>
    <col min="3634" max="3634" width="10.75" style="326" bestFit="1" customWidth="1"/>
    <col min="3635" max="3635" width="14" style="326" customWidth="1"/>
    <col min="3636" max="3636" width="9" style="326"/>
    <col min="3637" max="3637" width="10.75" style="326" customWidth="1"/>
    <col min="3638" max="3638" width="12.75" style="326" customWidth="1"/>
    <col min="3639" max="3639" width="9" style="326"/>
    <col min="3640" max="3640" width="10.75" style="326" bestFit="1" customWidth="1"/>
    <col min="3641" max="3641" width="11.5" style="326" customWidth="1"/>
    <col min="3642" max="3642" width="13.625" style="326" customWidth="1"/>
    <col min="3643" max="3643" width="10.625" style="326" customWidth="1"/>
    <col min="3644" max="3644" width="10.75" style="326" bestFit="1" customWidth="1"/>
    <col min="3645" max="3645" width="12.375" style="326" customWidth="1"/>
    <col min="3646" max="3648" width="9" style="326"/>
    <col min="3649" max="3649" width="15.75" style="326" customWidth="1"/>
    <col min="3650" max="3650" width="9" style="326"/>
    <col min="3651" max="3651" width="10.75" style="326" bestFit="1" customWidth="1"/>
    <col min="3652" max="3652" width="12.625" style="326" customWidth="1"/>
    <col min="3653" max="3655" width="9" style="326"/>
    <col min="3656" max="3656" width="13.625" style="326" customWidth="1"/>
    <col min="3657" max="3657" width="9" style="326"/>
    <col min="3658" max="3658" width="10.75" style="326" bestFit="1" customWidth="1"/>
    <col min="3659" max="3659" width="12.5" style="326" customWidth="1"/>
    <col min="3660" max="3662" width="9" style="326"/>
    <col min="3663" max="3663" width="12.875" style="326" customWidth="1"/>
    <col min="3664" max="3664" width="9" style="326"/>
    <col min="3665" max="3665" width="10.75" style="326" bestFit="1" customWidth="1"/>
    <col min="3666" max="3666" width="13.875" style="326" customWidth="1"/>
    <col min="3667" max="3669" width="9" style="326"/>
    <col min="3670" max="3670" width="14.125" style="326" customWidth="1"/>
    <col min="3671" max="3671" width="9" style="326"/>
    <col min="3672" max="3672" width="10.75" style="326" bestFit="1" customWidth="1"/>
    <col min="3673" max="3673" width="13.25" style="326" customWidth="1"/>
    <col min="3674" max="3676" width="9" style="326"/>
    <col min="3677" max="3677" width="13.25" style="326" customWidth="1"/>
    <col min="3678" max="3678" width="9" style="326"/>
    <col min="3679" max="3679" width="10.75" style="326" bestFit="1" customWidth="1"/>
    <col min="3680" max="3680" width="13.875" style="326" customWidth="1"/>
    <col min="3681" max="3683" width="9" style="326"/>
    <col min="3684" max="3684" width="13.625" style="326" customWidth="1"/>
    <col min="3685" max="3685" width="9" style="326"/>
    <col min="3686" max="3686" width="10.75" style="326" bestFit="1" customWidth="1"/>
    <col min="3687" max="3687" width="13" style="326" customWidth="1"/>
    <col min="3688" max="3834" width="9" style="326"/>
    <col min="3835" max="3836" width="12.125" style="326" customWidth="1"/>
    <col min="3837" max="3839" width="13" style="326" customWidth="1"/>
    <col min="3840" max="3840" width="12.875" style="326" customWidth="1"/>
    <col min="3841" max="3841" width="13" style="326" customWidth="1"/>
    <col min="3842" max="3842" width="13.125" style="326" customWidth="1"/>
    <col min="3843" max="3844" width="12.125" style="326" customWidth="1"/>
    <col min="3845" max="3845" width="14.375" style="326" bestFit="1" customWidth="1"/>
    <col min="3846" max="3846" width="11" style="326" customWidth="1"/>
    <col min="3847" max="3847" width="10" style="326" customWidth="1"/>
    <col min="3848" max="3848" width="10.875" style="326" customWidth="1"/>
    <col min="3849" max="3849" width="13.75" style="326" customWidth="1"/>
    <col min="3850" max="3850" width="10" style="326" customWidth="1"/>
    <col min="3851" max="3851" width="13.25" style="326" customWidth="1"/>
    <col min="3852" max="3852" width="14.375" style="326" customWidth="1"/>
    <col min="3853" max="3853" width="10" style="326" customWidth="1"/>
    <col min="3854" max="3854" width="10.875" style="326" customWidth="1"/>
    <col min="3855" max="3855" width="11.375" style="326" customWidth="1"/>
    <col min="3856" max="3856" width="15.375" style="326" customWidth="1"/>
    <col min="3857" max="3858" width="10.75" style="326" customWidth="1"/>
    <col min="3859" max="3859" width="14.375" style="326" customWidth="1"/>
    <col min="3860" max="3860" width="10.75" style="326" customWidth="1"/>
    <col min="3861" max="3861" width="11.75" style="326" customWidth="1"/>
    <col min="3862" max="3862" width="10" style="326" customWidth="1"/>
    <col min="3863" max="3863" width="15.375" style="326" customWidth="1"/>
    <col min="3864" max="3864" width="10" style="326" customWidth="1"/>
    <col min="3865" max="3865" width="10.75" style="326" customWidth="1"/>
    <col min="3866" max="3866" width="14.875" style="326" customWidth="1"/>
    <col min="3867" max="3867" width="11.5" style="326" customWidth="1"/>
    <col min="3868" max="3868" width="10" style="326" customWidth="1"/>
    <col min="3869" max="3869" width="10.75" style="326" customWidth="1"/>
    <col min="3870" max="3870" width="13.5" style="326" customWidth="1"/>
    <col min="3871" max="3871" width="9" style="326"/>
    <col min="3872" max="3872" width="10.75" style="326" bestFit="1" customWidth="1"/>
    <col min="3873" max="3873" width="13.75" style="326" customWidth="1"/>
    <col min="3874" max="3874" width="9" style="326"/>
    <col min="3875" max="3875" width="10.625" style="326" customWidth="1"/>
    <col min="3876" max="3876" width="9" style="326"/>
    <col min="3877" max="3877" width="14.25" style="326" customWidth="1"/>
    <col min="3878" max="3878" width="10.75" style="326" bestFit="1" customWidth="1"/>
    <col min="3879" max="3879" width="11.625" style="326" customWidth="1"/>
    <col min="3880" max="3880" width="13.75" style="326" customWidth="1"/>
    <col min="3881" max="3881" width="10.625" style="326" customWidth="1"/>
    <col min="3882" max="3883" width="9" style="326"/>
    <col min="3884" max="3884" width="14.125" style="326" customWidth="1"/>
    <col min="3885" max="3885" width="11" style="326" customWidth="1"/>
    <col min="3886" max="3886" width="10.75" style="326" bestFit="1" customWidth="1"/>
    <col min="3887" max="3887" width="13.5" style="326" customWidth="1"/>
    <col min="3888" max="3889" width="9" style="326"/>
    <col min="3890" max="3890" width="10.75" style="326" bestFit="1" customWidth="1"/>
    <col min="3891" max="3891" width="14" style="326" customWidth="1"/>
    <col min="3892" max="3892" width="9" style="326"/>
    <col min="3893" max="3893" width="10.75" style="326" customWidth="1"/>
    <col min="3894" max="3894" width="12.75" style="326" customWidth="1"/>
    <col min="3895" max="3895" width="9" style="326"/>
    <col min="3896" max="3896" width="10.75" style="326" bestFit="1" customWidth="1"/>
    <col min="3897" max="3897" width="11.5" style="326" customWidth="1"/>
    <col min="3898" max="3898" width="13.625" style="326" customWidth="1"/>
    <col min="3899" max="3899" width="10.625" style="326" customWidth="1"/>
    <col min="3900" max="3900" width="10.75" style="326" bestFit="1" customWidth="1"/>
    <col min="3901" max="3901" width="12.375" style="326" customWidth="1"/>
    <col min="3902" max="3904" width="9" style="326"/>
    <col min="3905" max="3905" width="15.75" style="326" customWidth="1"/>
    <col min="3906" max="3906" width="9" style="326"/>
    <col min="3907" max="3907" width="10.75" style="326" bestFit="1" customWidth="1"/>
    <col min="3908" max="3908" width="12.625" style="326" customWidth="1"/>
    <col min="3909" max="3911" width="9" style="326"/>
    <col min="3912" max="3912" width="13.625" style="326" customWidth="1"/>
    <col min="3913" max="3913" width="9" style="326"/>
    <col min="3914" max="3914" width="10.75" style="326" bestFit="1" customWidth="1"/>
    <col min="3915" max="3915" width="12.5" style="326" customWidth="1"/>
    <col min="3916" max="3918" width="9" style="326"/>
    <col min="3919" max="3919" width="12.875" style="326" customWidth="1"/>
    <col min="3920" max="3920" width="9" style="326"/>
    <col min="3921" max="3921" width="10.75" style="326" bestFit="1" customWidth="1"/>
    <col min="3922" max="3922" width="13.875" style="326" customWidth="1"/>
    <col min="3923" max="3925" width="9" style="326"/>
    <col min="3926" max="3926" width="14.125" style="326" customWidth="1"/>
    <col min="3927" max="3927" width="9" style="326"/>
    <col min="3928" max="3928" width="10.75" style="326" bestFit="1" customWidth="1"/>
    <col min="3929" max="3929" width="13.25" style="326" customWidth="1"/>
    <col min="3930" max="3932" width="9" style="326"/>
    <col min="3933" max="3933" width="13.25" style="326" customWidth="1"/>
    <col min="3934" max="3934" width="9" style="326"/>
    <col min="3935" max="3935" width="10.75" style="326" bestFit="1" customWidth="1"/>
    <col min="3936" max="3936" width="13.875" style="326" customWidth="1"/>
    <col min="3937" max="3939" width="9" style="326"/>
    <col min="3940" max="3940" width="13.625" style="326" customWidth="1"/>
    <col min="3941" max="3941" width="9" style="326"/>
    <col min="3942" max="3942" width="10.75" style="326" bestFit="1" customWidth="1"/>
    <col min="3943" max="3943" width="13" style="326" customWidth="1"/>
    <col min="3944" max="4090" width="9" style="326"/>
    <col min="4091" max="4092" width="12.125" style="326" customWidth="1"/>
    <col min="4093" max="4095" width="13" style="326" customWidth="1"/>
    <col min="4096" max="4096" width="12.875" style="326" customWidth="1"/>
    <col min="4097" max="4097" width="13" style="326" customWidth="1"/>
    <col min="4098" max="4098" width="13.125" style="326" customWidth="1"/>
    <col min="4099" max="4100" width="12.125" style="326" customWidth="1"/>
    <col min="4101" max="4101" width="14.375" style="326" bestFit="1" customWidth="1"/>
    <col min="4102" max="4102" width="11" style="326" customWidth="1"/>
    <col min="4103" max="4103" width="10" style="326" customWidth="1"/>
    <col min="4104" max="4104" width="10.875" style="326" customWidth="1"/>
    <col min="4105" max="4105" width="13.75" style="326" customWidth="1"/>
    <col min="4106" max="4106" width="10" style="326" customWidth="1"/>
    <col min="4107" max="4107" width="13.25" style="326" customWidth="1"/>
    <col min="4108" max="4108" width="14.375" style="326" customWidth="1"/>
    <col min="4109" max="4109" width="10" style="326" customWidth="1"/>
    <col min="4110" max="4110" width="10.875" style="326" customWidth="1"/>
    <col min="4111" max="4111" width="11.375" style="326" customWidth="1"/>
    <col min="4112" max="4112" width="15.375" style="326" customWidth="1"/>
    <col min="4113" max="4114" width="10.75" style="326" customWidth="1"/>
    <col min="4115" max="4115" width="14.375" style="326" customWidth="1"/>
    <col min="4116" max="4116" width="10.75" style="326" customWidth="1"/>
    <col min="4117" max="4117" width="11.75" style="326" customWidth="1"/>
    <col min="4118" max="4118" width="10" style="326" customWidth="1"/>
    <col min="4119" max="4119" width="15.375" style="326" customWidth="1"/>
    <col min="4120" max="4120" width="10" style="326" customWidth="1"/>
    <col min="4121" max="4121" width="10.75" style="326" customWidth="1"/>
    <col min="4122" max="4122" width="14.875" style="326" customWidth="1"/>
    <col min="4123" max="4123" width="11.5" style="326" customWidth="1"/>
    <col min="4124" max="4124" width="10" style="326" customWidth="1"/>
    <col min="4125" max="4125" width="10.75" style="326" customWidth="1"/>
    <col min="4126" max="4126" width="13.5" style="326" customWidth="1"/>
    <col min="4127" max="4127" width="9" style="326"/>
    <col min="4128" max="4128" width="10.75" style="326" bestFit="1" customWidth="1"/>
    <col min="4129" max="4129" width="13.75" style="326" customWidth="1"/>
    <col min="4130" max="4130" width="9" style="326"/>
    <col min="4131" max="4131" width="10.625" style="326" customWidth="1"/>
    <col min="4132" max="4132" width="9" style="326"/>
    <col min="4133" max="4133" width="14.25" style="326" customWidth="1"/>
    <col min="4134" max="4134" width="10.75" style="326" bestFit="1" customWidth="1"/>
    <col min="4135" max="4135" width="11.625" style="326" customWidth="1"/>
    <col min="4136" max="4136" width="13.75" style="326" customWidth="1"/>
    <col min="4137" max="4137" width="10.625" style="326" customWidth="1"/>
    <col min="4138" max="4139" width="9" style="326"/>
    <col min="4140" max="4140" width="14.125" style="326" customWidth="1"/>
    <col min="4141" max="4141" width="11" style="326" customWidth="1"/>
    <col min="4142" max="4142" width="10.75" style="326" bestFit="1" customWidth="1"/>
    <col min="4143" max="4143" width="13.5" style="326" customWidth="1"/>
    <col min="4144" max="4145" width="9" style="326"/>
    <col min="4146" max="4146" width="10.75" style="326" bestFit="1" customWidth="1"/>
    <col min="4147" max="4147" width="14" style="326" customWidth="1"/>
    <col min="4148" max="4148" width="9" style="326"/>
    <col min="4149" max="4149" width="10.75" style="326" customWidth="1"/>
    <col min="4150" max="4150" width="12.75" style="326" customWidth="1"/>
    <col min="4151" max="4151" width="9" style="326"/>
    <col min="4152" max="4152" width="10.75" style="326" bestFit="1" customWidth="1"/>
    <col min="4153" max="4153" width="11.5" style="326" customWidth="1"/>
    <col min="4154" max="4154" width="13.625" style="326" customWidth="1"/>
    <col min="4155" max="4155" width="10.625" style="326" customWidth="1"/>
    <col min="4156" max="4156" width="10.75" style="326" bestFit="1" customWidth="1"/>
    <col min="4157" max="4157" width="12.375" style="326" customWidth="1"/>
    <col min="4158" max="4160" width="9" style="326"/>
    <col min="4161" max="4161" width="15.75" style="326" customWidth="1"/>
    <col min="4162" max="4162" width="9" style="326"/>
    <col min="4163" max="4163" width="10.75" style="326" bestFit="1" customWidth="1"/>
    <col min="4164" max="4164" width="12.625" style="326" customWidth="1"/>
    <col min="4165" max="4167" width="9" style="326"/>
    <col min="4168" max="4168" width="13.625" style="326" customWidth="1"/>
    <col min="4169" max="4169" width="9" style="326"/>
    <col min="4170" max="4170" width="10.75" style="326" bestFit="1" customWidth="1"/>
    <col min="4171" max="4171" width="12.5" style="326" customWidth="1"/>
    <col min="4172" max="4174" width="9" style="326"/>
    <col min="4175" max="4175" width="12.875" style="326" customWidth="1"/>
    <col min="4176" max="4176" width="9" style="326"/>
    <col min="4177" max="4177" width="10.75" style="326" bestFit="1" customWidth="1"/>
    <col min="4178" max="4178" width="13.875" style="326" customWidth="1"/>
    <col min="4179" max="4181" width="9" style="326"/>
    <col min="4182" max="4182" width="14.125" style="326" customWidth="1"/>
    <col min="4183" max="4183" width="9" style="326"/>
    <col min="4184" max="4184" width="10.75" style="326" bestFit="1" customWidth="1"/>
    <col min="4185" max="4185" width="13.25" style="326" customWidth="1"/>
    <col min="4186" max="4188" width="9" style="326"/>
    <col min="4189" max="4189" width="13.25" style="326" customWidth="1"/>
    <col min="4190" max="4190" width="9" style="326"/>
    <col min="4191" max="4191" width="10.75" style="326" bestFit="1" customWidth="1"/>
    <col min="4192" max="4192" width="13.875" style="326" customWidth="1"/>
    <col min="4193" max="4195" width="9" style="326"/>
    <col min="4196" max="4196" width="13.625" style="326" customWidth="1"/>
    <col min="4197" max="4197" width="9" style="326"/>
    <col min="4198" max="4198" width="10.75" style="326" bestFit="1" customWidth="1"/>
    <col min="4199" max="4199" width="13" style="326" customWidth="1"/>
    <col min="4200" max="4346" width="9" style="326"/>
    <col min="4347" max="4348" width="12.125" style="326" customWidth="1"/>
    <col min="4349" max="4351" width="13" style="326" customWidth="1"/>
    <col min="4352" max="4352" width="12.875" style="326" customWidth="1"/>
    <col min="4353" max="4353" width="13" style="326" customWidth="1"/>
    <col min="4354" max="4354" width="13.125" style="326" customWidth="1"/>
    <col min="4355" max="4356" width="12.125" style="326" customWidth="1"/>
    <col min="4357" max="4357" width="14.375" style="326" bestFit="1" customWidth="1"/>
    <col min="4358" max="4358" width="11" style="326" customWidth="1"/>
    <col min="4359" max="4359" width="10" style="326" customWidth="1"/>
    <col min="4360" max="4360" width="10.875" style="326" customWidth="1"/>
    <col min="4361" max="4361" width="13.75" style="326" customWidth="1"/>
    <col min="4362" max="4362" width="10" style="326" customWidth="1"/>
    <col min="4363" max="4363" width="13.25" style="326" customWidth="1"/>
    <col min="4364" max="4364" width="14.375" style="326" customWidth="1"/>
    <col min="4365" max="4365" width="10" style="326" customWidth="1"/>
    <col min="4366" max="4366" width="10.875" style="326" customWidth="1"/>
    <col min="4367" max="4367" width="11.375" style="326" customWidth="1"/>
    <col min="4368" max="4368" width="15.375" style="326" customWidth="1"/>
    <col min="4369" max="4370" width="10.75" style="326" customWidth="1"/>
    <col min="4371" max="4371" width="14.375" style="326" customWidth="1"/>
    <col min="4372" max="4372" width="10.75" style="326" customWidth="1"/>
    <col min="4373" max="4373" width="11.75" style="326" customWidth="1"/>
    <col min="4374" max="4374" width="10" style="326" customWidth="1"/>
    <col min="4375" max="4375" width="15.375" style="326" customWidth="1"/>
    <col min="4376" max="4376" width="10" style="326" customWidth="1"/>
    <col min="4377" max="4377" width="10.75" style="326" customWidth="1"/>
    <col min="4378" max="4378" width="14.875" style="326" customWidth="1"/>
    <col min="4379" max="4379" width="11.5" style="326" customWidth="1"/>
    <col min="4380" max="4380" width="10" style="326" customWidth="1"/>
    <col min="4381" max="4381" width="10.75" style="326" customWidth="1"/>
    <col min="4382" max="4382" width="13.5" style="326" customWidth="1"/>
    <col min="4383" max="4383" width="9" style="326"/>
    <col min="4384" max="4384" width="10.75" style="326" bestFit="1" customWidth="1"/>
    <col min="4385" max="4385" width="13.75" style="326" customWidth="1"/>
    <col min="4386" max="4386" width="9" style="326"/>
    <col min="4387" max="4387" width="10.625" style="326" customWidth="1"/>
    <col min="4388" max="4388" width="9" style="326"/>
    <col min="4389" max="4389" width="14.25" style="326" customWidth="1"/>
    <col min="4390" max="4390" width="10.75" style="326" bestFit="1" customWidth="1"/>
    <col min="4391" max="4391" width="11.625" style="326" customWidth="1"/>
    <col min="4392" max="4392" width="13.75" style="326" customWidth="1"/>
    <col min="4393" max="4393" width="10.625" style="326" customWidth="1"/>
    <col min="4394" max="4395" width="9" style="326"/>
    <col min="4396" max="4396" width="14.125" style="326" customWidth="1"/>
    <col min="4397" max="4397" width="11" style="326" customWidth="1"/>
    <col min="4398" max="4398" width="10.75" style="326" bestFit="1" customWidth="1"/>
    <col min="4399" max="4399" width="13.5" style="326" customWidth="1"/>
    <col min="4400" max="4401" width="9" style="326"/>
    <col min="4402" max="4402" width="10.75" style="326" bestFit="1" customWidth="1"/>
    <col min="4403" max="4403" width="14" style="326" customWidth="1"/>
    <col min="4404" max="4404" width="9" style="326"/>
    <col min="4405" max="4405" width="10.75" style="326" customWidth="1"/>
    <col min="4406" max="4406" width="12.75" style="326" customWidth="1"/>
    <col min="4407" max="4407" width="9" style="326"/>
    <col min="4408" max="4408" width="10.75" style="326" bestFit="1" customWidth="1"/>
    <col min="4409" max="4409" width="11.5" style="326" customWidth="1"/>
    <col min="4410" max="4410" width="13.625" style="326" customWidth="1"/>
    <col min="4411" max="4411" width="10.625" style="326" customWidth="1"/>
    <col min="4412" max="4412" width="10.75" style="326" bestFit="1" customWidth="1"/>
    <col min="4413" max="4413" width="12.375" style="326" customWidth="1"/>
    <col min="4414" max="4416" width="9" style="326"/>
    <col min="4417" max="4417" width="15.75" style="326" customWidth="1"/>
    <col min="4418" max="4418" width="9" style="326"/>
    <col min="4419" max="4419" width="10.75" style="326" bestFit="1" customWidth="1"/>
    <col min="4420" max="4420" width="12.625" style="326" customWidth="1"/>
    <col min="4421" max="4423" width="9" style="326"/>
    <col min="4424" max="4424" width="13.625" style="326" customWidth="1"/>
    <col min="4425" max="4425" width="9" style="326"/>
    <col min="4426" max="4426" width="10.75" style="326" bestFit="1" customWidth="1"/>
    <col min="4427" max="4427" width="12.5" style="326" customWidth="1"/>
    <col min="4428" max="4430" width="9" style="326"/>
    <col min="4431" max="4431" width="12.875" style="326" customWidth="1"/>
    <col min="4432" max="4432" width="9" style="326"/>
    <col min="4433" max="4433" width="10.75" style="326" bestFit="1" customWidth="1"/>
    <col min="4434" max="4434" width="13.875" style="326" customWidth="1"/>
    <col min="4435" max="4437" width="9" style="326"/>
    <col min="4438" max="4438" width="14.125" style="326" customWidth="1"/>
    <col min="4439" max="4439" width="9" style="326"/>
    <col min="4440" max="4440" width="10.75" style="326" bestFit="1" customWidth="1"/>
    <col min="4441" max="4441" width="13.25" style="326" customWidth="1"/>
    <col min="4442" max="4444" width="9" style="326"/>
    <col min="4445" max="4445" width="13.25" style="326" customWidth="1"/>
    <col min="4446" max="4446" width="9" style="326"/>
    <col min="4447" max="4447" width="10.75" style="326" bestFit="1" customWidth="1"/>
    <col min="4448" max="4448" width="13.875" style="326" customWidth="1"/>
    <col min="4449" max="4451" width="9" style="326"/>
    <col min="4452" max="4452" width="13.625" style="326" customWidth="1"/>
    <col min="4453" max="4453" width="9" style="326"/>
    <col min="4454" max="4454" width="10.75" style="326" bestFit="1" customWidth="1"/>
    <col min="4455" max="4455" width="13" style="326" customWidth="1"/>
    <col min="4456" max="4602" width="9" style="326"/>
    <col min="4603" max="4604" width="12.125" style="326" customWidth="1"/>
    <col min="4605" max="4607" width="13" style="326" customWidth="1"/>
    <col min="4608" max="4608" width="12.875" style="326" customWidth="1"/>
    <col min="4609" max="4609" width="13" style="326" customWidth="1"/>
    <col min="4610" max="4610" width="13.125" style="326" customWidth="1"/>
    <col min="4611" max="4612" width="12.125" style="326" customWidth="1"/>
    <col min="4613" max="4613" width="14.375" style="326" bestFit="1" customWidth="1"/>
    <col min="4614" max="4614" width="11" style="326" customWidth="1"/>
    <col min="4615" max="4615" width="10" style="326" customWidth="1"/>
    <col min="4616" max="4616" width="10.875" style="326" customWidth="1"/>
    <col min="4617" max="4617" width="13.75" style="326" customWidth="1"/>
    <col min="4618" max="4618" width="10" style="326" customWidth="1"/>
    <col min="4619" max="4619" width="13.25" style="326" customWidth="1"/>
    <col min="4620" max="4620" width="14.375" style="326" customWidth="1"/>
    <col min="4621" max="4621" width="10" style="326" customWidth="1"/>
    <col min="4622" max="4622" width="10.875" style="326" customWidth="1"/>
    <col min="4623" max="4623" width="11.375" style="326" customWidth="1"/>
    <col min="4624" max="4624" width="15.375" style="326" customWidth="1"/>
    <col min="4625" max="4626" width="10.75" style="326" customWidth="1"/>
    <col min="4627" max="4627" width="14.375" style="326" customWidth="1"/>
    <col min="4628" max="4628" width="10.75" style="326" customWidth="1"/>
    <col min="4629" max="4629" width="11.75" style="326" customWidth="1"/>
    <col min="4630" max="4630" width="10" style="326" customWidth="1"/>
    <col min="4631" max="4631" width="15.375" style="326" customWidth="1"/>
    <col min="4632" max="4632" width="10" style="326" customWidth="1"/>
    <col min="4633" max="4633" width="10.75" style="326" customWidth="1"/>
    <col min="4634" max="4634" width="14.875" style="326" customWidth="1"/>
    <col min="4635" max="4635" width="11.5" style="326" customWidth="1"/>
    <col min="4636" max="4636" width="10" style="326" customWidth="1"/>
    <col min="4637" max="4637" width="10.75" style="326" customWidth="1"/>
    <col min="4638" max="4638" width="13.5" style="326" customWidth="1"/>
    <col min="4639" max="4639" width="9" style="326"/>
    <col min="4640" max="4640" width="10.75" style="326" bestFit="1" customWidth="1"/>
    <col min="4641" max="4641" width="13.75" style="326" customWidth="1"/>
    <col min="4642" max="4642" width="9" style="326"/>
    <col min="4643" max="4643" width="10.625" style="326" customWidth="1"/>
    <col min="4644" max="4644" width="9" style="326"/>
    <col min="4645" max="4645" width="14.25" style="326" customWidth="1"/>
    <col min="4646" max="4646" width="10.75" style="326" bestFit="1" customWidth="1"/>
    <col min="4647" max="4647" width="11.625" style="326" customWidth="1"/>
    <col min="4648" max="4648" width="13.75" style="326" customWidth="1"/>
    <col min="4649" max="4649" width="10.625" style="326" customWidth="1"/>
    <col min="4650" max="4651" width="9" style="326"/>
    <col min="4652" max="4652" width="14.125" style="326" customWidth="1"/>
    <col min="4653" max="4653" width="11" style="326" customWidth="1"/>
    <col min="4654" max="4654" width="10.75" style="326" bestFit="1" customWidth="1"/>
    <col min="4655" max="4655" width="13.5" style="326" customWidth="1"/>
    <col min="4656" max="4657" width="9" style="326"/>
    <col min="4658" max="4658" width="10.75" style="326" bestFit="1" customWidth="1"/>
    <col min="4659" max="4659" width="14" style="326" customWidth="1"/>
    <col min="4660" max="4660" width="9" style="326"/>
    <col min="4661" max="4661" width="10.75" style="326" customWidth="1"/>
    <col min="4662" max="4662" width="12.75" style="326" customWidth="1"/>
    <col min="4663" max="4663" width="9" style="326"/>
    <col min="4664" max="4664" width="10.75" style="326" bestFit="1" customWidth="1"/>
    <col min="4665" max="4665" width="11.5" style="326" customWidth="1"/>
    <col min="4666" max="4666" width="13.625" style="326" customWidth="1"/>
    <col min="4667" max="4667" width="10.625" style="326" customWidth="1"/>
    <col min="4668" max="4668" width="10.75" style="326" bestFit="1" customWidth="1"/>
    <col min="4669" max="4669" width="12.375" style="326" customWidth="1"/>
    <col min="4670" max="4672" width="9" style="326"/>
    <col min="4673" max="4673" width="15.75" style="326" customWidth="1"/>
    <col min="4674" max="4674" width="9" style="326"/>
    <col min="4675" max="4675" width="10.75" style="326" bestFit="1" customWidth="1"/>
    <col min="4676" max="4676" width="12.625" style="326" customWidth="1"/>
    <col min="4677" max="4679" width="9" style="326"/>
    <col min="4680" max="4680" width="13.625" style="326" customWidth="1"/>
    <col min="4681" max="4681" width="9" style="326"/>
    <col min="4682" max="4682" width="10.75" style="326" bestFit="1" customWidth="1"/>
    <col min="4683" max="4683" width="12.5" style="326" customWidth="1"/>
    <col min="4684" max="4686" width="9" style="326"/>
    <col min="4687" max="4687" width="12.875" style="326" customWidth="1"/>
    <col min="4688" max="4688" width="9" style="326"/>
    <col min="4689" max="4689" width="10.75" style="326" bestFit="1" customWidth="1"/>
    <col min="4690" max="4690" width="13.875" style="326" customWidth="1"/>
    <col min="4691" max="4693" width="9" style="326"/>
    <col min="4694" max="4694" width="14.125" style="326" customWidth="1"/>
    <col min="4695" max="4695" width="9" style="326"/>
    <col min="4696" max="4696" width="10.75" style="326" bestFit="1" customWidth="1"/>
    <col min="4697" max="4697" width="13.25" style="326" customWidth="1"/>
    <col min="4698" max="4700" width="9" style="326"/>
    <col min="4701" max="4701" width="13.25" style="326" customWidth="1"/>
    <col min="4702" max="4702" width="9" style="326"/>
    <col min="4703" max="4703" width="10.75" style="326" bestFit="1" customWidth="1"/>
    <col min="4704" max="4704" width="13.875" style="326" customWidth="1"/>
    <col min="4705" max="4707" width="9" style="326"/>
    <col min="4708" max="4708" width="13.625" style="326" customWidth="1"/>
    <col min="4709" max="4709" width="9" style="326"/>
    <col min="4710" max="4710" width="10.75" style="326" bestFit="1" customWidth="1"/>
    <col min="4711" max="4711" width="13" style="326" customWidth="1"/>
    <col min="4712" max="4858" width="9" style="326"/>
    <col min="4859" max="4860" width="12.125" style="326" customWidth="1"/>
    <col min="4861" max="4863" width="13" style="326" customWidth="1"/>
    <col min="4864" max="4864" width="12.875" style="326" customWidth="1"/>
    <col min="4865" max="4865" width="13" style="326" customWidth="1"/>
    <col min="4866" max="4866" width="13.125" style="326" customWidth="1"/>
    <col min="4867" max="4868" width="12.125" style="326" customWidth="1"/>
    <col min="4869" max="4869" width="14.375" style="326" bestFit="1" customWidth="1"/>
    <col min="4870" max="4870" width="11" style="326" customWidth="1"/>
    <col min="4871" max="4871" width="10" style="326" customWidth="1"/>
    <col min="4872" max="4872" width="10.875" style="326" customWidth="1"/>
    <col min="4873" max="4873" width="13.75" style="326" customWidth="1"/>
    <col min="4874" max="4874" width="10" style="326" customWidth="1"/>
    <col min="4875" max="4875" width="13.25" style="326" customWidth="1"/>
    <col min="4876" max="4876" width="14.375" style="326" customWidth="1"/>
    <col min="4877" max="4877" width="10" style="326" customWidth="1"/>
    <col min="4878" max="4878" width="10.875" style="326" customWidth="1"/>
    <col min="4879" max="4879" width="11.375" style="326" customWidth="1"/>
    <col min="4880" max="4880" width="15.375" style="326" customWidth="1"/>
    <col min="4881" max="4882" width="10.75" style="326" customWidth="1"/>
    <col min="4883" max="4883" width="14.375" style="326" customWidth="1"/>
    <col min="4884" max="4884" width="10.75" style="326" customWidth="1"/>
    <col min="4885" max="4885" width="11.75" style="326" customWidth="1"/>
    <col min="4886" max="4886" width="10" style="326" customWidth="1"/>
    <col min="4887" max="4887" width="15.375" style="326" customWidth="1"/>
    <col min="4888" max="4888" width="10" style="326" customWidth="1"/>
    <col min="4889" max="4889" width="10.75" style="326" customWidth="1"/>
    <col min="4890" max="4890" width="14.875" style="326" customWidth="1"/>
    <col min="4891" max="4891" width="11.5" style="326" customWidth="1"/>
    <col min="4892" max="4892" width="10" style="326" customWidth="1"/>
    <col min="4893" max="4893" width="10.75" style="326" customWidth="1"/>
    <col min="4894" max="4894" width="13.5" style="326" customWidth="1"/>
    <col min="4895" max="4895" width="9" style="326"/>
    <col min="4896" max="4896" width="10.75" style="326" bestFit="1" customWidth="1"/>
    <col min="4897" max="4897" width="13.75" style="326" customWidth="1"/>
    <col min="4898" max="4898" width="9" style="326"/>
    <col min="4899" max="4899" width="10.625" style="326" customWidth="1"/>
    <col min="4900" max="4900" width="9" style="326"/>
    <col min="4901" max="4901" width="14.25" style="326" customWidth="1"/>
    <col min="4902" max="4902" width="10.75" style="326" bestFit="1" customWidth="1"/>
    <col min="4903" max="4903" width="11.625" style="326" customWidth="1"/>
    <col min="4904" max="4904" width="13.75" style="326" customWidth="1"/>
    <col min="4905" max="4905" width="10.625" style="326" customWidth="1"/>
    <col min="4906" max="4907" width="9" style="326"/>
    <col min="4908" max="4908" width="14.125" style="326" customWidth="1"/>
    <col min="4909" max="4909" width="11" style="326" customWidth="1"/>
    <col min="4910" max="4910" width="10.75" style="326" bestFit="1" customWidth="1"/>
    <col min="4911" max="4911" width="13.5" style="326" customWidth="1"/>
    <col min="4912" max="4913" width="9" style="326"/>
    <col min="4914" max="4914" width="10.75" style="326" bestFit="1" customWidth="1"/>
    <col min="4915" max="4915" width="14" style="326" customWidth="1"/>
    <col min="4916" max="4916" width="9" style="326"/>
    <col min="4917" max="4917" width="10.75" style="326" customWidth="1"/>
    <col min="4918" max="4918" width="12.75" style="326" customWidth="1"/>
    <col min="4919" max="4919" width="9" style="326"/>
    <col min="4920" max="4920" width="10.75" style="326" bestFit="1" customWidth="1"/>
    <col min="4921" max="4921" width="11.5" style="326" customWidth="1"/>
    <col min="4922" max="4922" width="13.625" style="326" customWidth="1"/>
    <col min="4923" max="4923" width="10.625" style="326" customWidth="1"/>
    <col min="4924" max="4924" width="10.75" style="326" bestFit="1" customWidth="1"/>
    <col min="4925" max="4925" width="12.375" style="326" customWidth="1"/>
    <col min="4926" max="4928" width="9" style="326"/>
    <col min="4929" max="4929" width="15.75" style="326" customWidth="1"/>
    <col min="4930" max="4930" width="9" style="326"/>
    <col min="4931" max="4931" width="10.75" style="326" bestFit="1" customWidth="1"/>
    <col min="4932" max="4932" width="12.625" style="326" customWidth="1"/>
    <col min="4933" max="4935" width="9" style="326"/>
    <col min="4936" max="4936" width="13.625" style="326" customWidth="1"/>
    <col min="4937" max="4937" width="9" style="326"/>
    <col min="4938" max="4938" width="10.75" style="326" bestFit="1" customWidth="1"/>
    <col min="4939" max="4939" width="12.5" style="326" customWidth="1"/>
    <col min="4940" max="4942" width="9" style="326"/>
    <col min="4943" max="4943" width="12.875" style="326" customWidth="1"/>
    <col min="4944" max="4944" width="9" style="326"/>
    <col min="4945" max="4945" width="10.75" style="326" bestFit="1" customWidth="1"/>
    <col min="4946" max="4946" width="13.875" style="326" customWidth="1"/>
    <col min="4947" max="4949" width="9" style="326"/>
    <col min="4950" max="4950" width="14.125" style="326" customWidth="1"/>
    <col min="4951" max="4951" width="9" style="326"/>
    <col min="4952" max="4952" width="10.75" style="326" bestFit="1" customWidth="1"/>
    <col min="4953" max="4953" width="13.25" style="326" customWidth="1"/>
    <col min="4954" max="4956" width="9" style="326"/>
    <col min="4957" max="4957" width="13.25" style="326" customWidth="1"/>
    <col min="4958" max="4958" width="9" style="326"/>
    <col min="4959" max="4959" width="10.75" style="326" bestFit="1" customWidth="1"/>
    <col min="4960" max="4960" width="13.875" style="326" customWidth="1"/>
    <col min="4961" max="4963" width="9" style="326"/>
    <col min="4964" max="4964" width="13.625" style="326" customWidth="1"/>
    <col min="4965" max="4965" width="9" style="326"/>
    <col min="4966" max="4966" width="10.75" style="326" bestFit="1" customWidth="1"/>
    <col min="4967" max="4967" width="13" style="326" customWidth="1"/>
    <col min="4968" max="5114" width="9" style="326"/>
    <col min="5115" max="5116" width="12.125" style="326" customWidth="1"/>
    <col min="5117" max="5119" width="13" style="326" customWidth="1"/>
    <col min="5120" max="5120" width="12.875" style="326" customWidth="1"/>
    <col min="5121" max="5121" width="13" style="326" customWidth="1"/>
    <col min="5122" max="5122" width="13.125" style="326" customWidth="1"/>
    <col min="5123" max="5124" width="12.125" style="326" customWidth="1"/>
    <col min="5125" max="5125" width="14.375" style="326" bestFit="1" customWidth="1"/>
    <col min="5126" max="5126" width="11" style="326" customWidth="1"/>
    <col min="5127" max="5127" width="10" style="326" customWidth="1"/>
    <col min="5128" max="5128" width="10.875" style="326" customWidth="1"/>
    <col min="5129" max="5129" width="13.75" style="326" customWidth="1"/>
    <col min="5130" max="5130" width="10" style="326" customWidth="1"/>
    <col min="5131" max="5131" width="13.25" style="326" customWidth="1"/>
    <col min="5132" max="5132" width="14.375" style="326" customWidth="1"/>
    <col min="5133" max="5133" width="10" style="326" customWidth="1"/>
    <col min="5134" max="5134" width="10.875" style="326" customWidth="1"/>
    <col min="5135" max="5135" width="11.375" style="326" customWidth="1"/>
    <col min="5136" max="5136" width="15.375" style="326" customWidth="1"/>
    <col min="5137" max="5138" width="10.75" style="326" customWidth="1"/>
    <col min="5139" max="5139" width="14.375" style="326" customWidth="1"/>
    <col min="5140" max="5140" width="10.75" style="326" customWidth="1"/>
    <col min="5141" max="5141" width="11.75" style="326" customWidth="1"/>
    <col min="5142" max="5142" width="10" style="326" customWidth="1"/>
    <col min="5143" max="5143" width="15.375" style="326" customWidth="1"/>
    <col min="5144" max="5144" width="10" style="326" customWidth="1"/>
    <col min="5145" max="5145" width="10.75" style="326" customWidth="1"/>
    <col min="5146" max="5146" width="14.875" style="326" customWidth="1"/>
    <col min="5147" max="5147" width="11.5" style="326" customWidth="1"/>
    <col min="5148" max="5148" width="10" style="326" customWidth="1"/>
    <col min="5149" max="5149" width="10.75" style="326" customWidth="1"/>
    <col min="5150" max="5150" width="13.5" style="326" customWidth="1"/>
    <col min="5151" max="5151" width="9" style="326"/>
    <col min="5152" max="5152" width="10.75" style="326" bestFit="1" customWidth="1"/>
    <col min="5153" max="5153" width="13.75" style="326" customWidth="1"/>
    <col min="5154" max="5154" width="9" style="326"/>
    <col min="5155" max="5155" width="10.625" style="326" customWidth="1"/>
    <col min="5156" max="5156" width="9" style="326"/>
    <col min="5157" max="5157" width="14.25" style="326" customWidth="1"/>
    <col min="5158" max="5158" width="10.75" style="326" bestFit="1" customWidth="1"/>
    <col min="5159" max="5159" width="11.625" style="326" customWidth="1"/>
    <col min="5160" max="5160" width="13.75" style="326" customWidth="1"/>
    <col min="5161" max="5161" width="10.625" style="326" customWidth="1"/>
    <col min="5162" max="5163" width="9" style="326"/>
    <col min="5164" max="5164" width="14.125" style="326" customWidth="1"/>
    <col min="5165" max="5165" width="11" style="326" customWidth="1"/>
    <col min="5166" max="5166" width="10.75" style="326" bestFit="1" customWidth="1"/>
    <col min="5167" max="5167" width="13.5" style="326" customWidth="1"/>
    <col min="5168" max="5169" width="9" style="326"/>
    <col min="5170" max="5170" width="10.75" style="326" bestFit="1" customWidth="1"/>
    <col min="5171" max="5171" width="14" style="326" customWidth="1"/>
    <col min="5172" max="5172" width="9" style="326"/>
    <col min="5173" max="5173" width="10.75" style="326" customWidth="1"/>
    <col min="5174" max="5174" width="12.75" style="326" customWidth="1"/>
    <col min="5175" max="5175" width="9" style="326"/>
    <col min="5176" max="5176" width="10.75" style="326" bestFit="1" customWidth="1"/>
    <col min="5177" max="5177" width="11.5" style="326" customWidth="1"/>
    <col min="5178" max="5178" width="13.625" style="326" customWidth="1"/>
    <col min="5179" max="5179" width="10.625" style="326" customWidth="1"/>
    <col min="5180" max="5180" width="10.75" style="326" bestFit="1" customWidth="1"/>
    <col min="5181" max="5181" width="12.375" style="326" customWidth="1"/>
    <col min="5182" max="5184" width="9" style="326"/>
    <col min="5185" max="5185" width="15.75" style="326" customWidth="1"/>
    <col min="5186" max="5186" width="9" style="326"/>
    <col min="5187" max="5187" width="10.75" style="326" bestFit="1" customWidth="1"/>
    <col min="5188" max="5188" width="12.625" style="326" customWidth="1"/>
    <col min="5189" max="5191" width="9" style="326"/>
    <col min="5192" max="5192" width="13.625" style="326" customWidth="1"/>
    <col min="5193" max="5193" width="9" style="326"/>
    <col min="5194" max="5194" width="10.75" style="326" bestFit="1" customWidth="1"/>
    <col min="5195" max="5195" width="12.5" style="326" customWidth="1"/>
    <col min="5196" max="5198" width="9" style="326"/>
    <col min="5199" max="5199" width="12.875" style="326" customWidth="1"/>
    <col min="5200" max="5200" width="9" style="326"/>
    <col min="5201" max="5201" width="10.75" style="326" bestFit="1" customWidth="1"/>
    <col min="5202" max="5202" width="13.875" style="326" customWidth="1"/>
    <col min="5203" max="5205" width="9" style="326"/>
    <col min="5206" max="5206" width="14.125" style="326" customWidth="1"/>
    <col min="5207" max="5207" width="9" style="326"/>
    <col min="5208" max="5208" width="10.75" style="326" bestFit="1" customWidth="1"/>
    <col min="5209" max="5209" width="13.25" style="326" customWidth="1"/>
    <col min="5210" max="5212" width="9" style="326"/>
    <col min="5213" max="5213" width="13.25" style="326" customWidth="1"/>
    <col min="5214" max="5214" width="9" style="326"/>
    <col min="5215" max="5215" width="10.75" style="326" bestFit="1" customWidth="1"/>
    <col min="5216" max="5216" width="13.875" style="326" customWidth="1"/>
    <col min="5217" max="5219" width="9" style="326"/>
    <col min="5220" max="5220" width="13.625" style="326" customWidth="1"/>
    <col min="5221" max="5221" width="9" style="326"/>
    <col min="5222" max="5222" width="10.75" style="326" bestFit="1" customWidth="1"/>
    <col min="5223" max="5223" width="13" style="326" customWidth="1"/>
    <col min="5224" max="5370" width="9" style="326"/>
    <col min="5371" max="5372" width="12.125" style="326" customWidth="1"/>
    <col min="5373" max="5375" width="13" style="326" customWidth="1"/>
    <col min="5376" max="5376" width="12.875" style="326" customWidth="1"/>
    <col min="5377" max="5377" width="13" style="326" customWidth="1"/>
    <col min="5378" max="5378" width="13.125" style="326" customWidth="1"/>
    <col min="5379" max="5380" width="12.125" style="326" customWidth="1"/>
    <col min="5381" max="5381" width="14.375" style="326" bestFit="1" customWidth="1"/>
    <col min="5382" max="5382" width="11" style="326" customWidth="1"/>
    <col min="5383" max="5383" width="10" style="326" customWidth="1"/>
    <col min="5384" max="5384" width="10.875" style="326" customWidth="1"/>
    <col min="5385" max="5385" width="13.75" style="326" customWidth="1"/>
    <col min="5386" max="5386" width="10" style="326" customWidth="1"/>
    <col min="5387" max="5387" width="13.25" style="326" customWidth="1"/>
    <col min="5388" max="5388" width="14.375" style="326" customWidth="1"/>
    <col min="5389" max="5389" width="10" style="326" customWidth="1"/>
    <col min="5390" max="5390" width="10.875" style="326" customWidth="1"/>
    <col min="5391" max="5391" width="11.375" style="326" customWidth="1"/>
    <col min="5392" max="5392" width="15.375" style="326" customWidth="1"/>
    <col min="5393" max="5394" width="10.75" style="326" customWidth="1"/>
    <col min="5395" max="5395" width="14.375" style="326" customWidth="1"/>
    <col min="5396" max="5396" width="10.75" style="326" customWidth="1"/>
    <col min="5397" max="5397" width="11.75" style="326" customWidth="1"/>
    <col min="5398" max="5398" width="10" style="326" customWidth="1"/>
    <col min="5399" max="5399" width="15.375" style="326" customWidth="1"/>
    <col min="5400" max="5400" width="10" style="326" customWidth="1"/>
    <col min="5401" max="5401" width="10.75" style="326" customWidth="1"/>
    <col min="5402" max="5402" width="14.875" style="326" customWidth="1"/>
    <col min="5403" max="5403" width="11.5" style="326" customWidth="1"/>
    <col min="5404" max="5404" width="10" style="326" customWidth="1"/>
    <col min="5405" max="5405" width="10.75" style="326" customWidth="1"/>
    <col min="5406" max="5406" width="13.5" style="326" customWidth="1"/>
    <col min="5407" max="5407" width="9" style="326"/>
    <col min="5408" max="5408" width="10.75" style="326" bestFit="1" customWidth="1"/>
    <col min="5409" max="5409" width="13.75" style="326" customWidth="1"/>
    <col min="5410" max="5410" width="9" style="326"/>
    <col min="5411" max="5411" width="10.625" style="326" customWidth="1"/>
    <col min="5412" max="5412" width="9" style="326"/>
    <col min="5413" max="5413" width="14.25" style="326" customWidth="1"/>
    <col min="5414" max="5414" width="10.75" style="326" bestFit="1" customWidth="1"/>
    <col min="5415" max="5415" width="11.625" style="326" customWidth="1"/>
    <col min="5416" max="5416" width="13.75" style="326" customWidth="1"/>
    <col min="5417" max="5417" width="10.625" style="326" customWidth="1"/>
    <col min="5418" max="5419" width="9" style="326"/>
    <col min="5420" max="5420" width="14.125" style="326" customWidth="1"/>
    <col min="5421" max="5421" width="11" style="326" customWidth="1"/>
    <col min="5422" max="5422" width="10.75" style="326" bestFit="1" customWidth="1"/>
    <col min="5423" max="5423" width="13.5" style="326" customWidth="1"/>
    <col min="5424" max="5425" width="9" style="326"/>
    <col min="5426" max="5426" width="10.75" style="326" bestFit="1" customWidth="1"/>
    <col min="5427" max="5427" width="14" style="326" customWidth="1"/>
    <col min="5428" max="5428" width="9" style="326"/>
    <col min="5429" max="5429" width="10.75" style="326" customWidth="1"/>
    <col min="5430" max="5430" width="12.75" style="326" customWidth="1"/>
    <col min="5431" max="5431" width="9" style="326"/>
    <col min="5432" max="5432" width="10.75" style="326" bestFit="1" customWidth="1"/>
    <col min="5433" max="5433" width="11.5" style="326" customWidth="1"/>
    <col min="5434" max="5434" width="13.625" style="326" customWidth="1"/>
    <col min="5435" max="5435" width="10.625" style="326" customWidth="1"/>
    <col min="5436" max="5436" width="10.75" style="326" bestFit="1" customWidth="1"/>
    <col min="5437" max="5437" width="12.375" style="326" customWidth="1"/>
    <col min="5438" max="5440" width="9" style="326"/>
    <col min="5441" max="5441" width="15.75" style="326" customWidth="1"/>
    <col min="5442" max="5442" width="9" style="326"/>
    <col min="5443" max="5443" width="10.75" style="326" bestFit="1" customWidth="1"/>
    <col min="5444" max="5444" width="12.625" style="326" customWidth="1"/>
    <col min="5445" max="5447" width="9" style="326"/>
    <col min="5448" max="5448" width="13.625" style="326" customWidth="1"/>
    <col min="5449" max="5449" width="9" style="326"/>
    <col min="5450" max="5450" width="10.75" style="326" bestFit="1" customWidth="1"/>
    <col min="5451" max="5451" width="12.5" style="326" customWidth="1"/>
    <col min="5452" max="5454" width="9" style="326"/>
    <col min="5455" max="5455" width="12.875" style="326" customWidth="1"/>
    <col min="5456" max="5456" width="9" style="326"/>
    <col min="5457" max="5457" width="10.75" style="326" bestFit="1" customWidth="1"/>
    <col min="5458" max="5458" width="13.875" style="326" customWidth="1"/>
    <col min="5459" max="5461" width="9" style="326"/>
    <col min="5462" max="5462" width="14.125" style="326" customWidth="1"/>
    <col min="5463" max="5463" width="9" style="326"/>
    <col min="5464" max="5464" width="10.75" style="326" bestFit="1" customWidth="1"/>
    <col min="5465" max="5465" width="13.25" style="326" customWidth="1"/>
    <col min="5466" max="5468" width="9" style="326"/>
    <col min="5469" max="5469" width="13.25" style="326" customWidth="1"/>
    <col min="5470" max="5470" width="9" style="326"/>
    <col min="5471" max="5471" width="10.75" style="326" bestFit="1" customWidth="1"/>
    <col min="5472" max="5472" width="13.875" style="326" customWidth="1"/>
    <col min="5473" max="5475" width="9" style="326"/>
    <col min="5476" max="5476" width="13.625" style="326" customWidth="1"/>
    <col min="5477" max="5477" width="9" style="326"/>
    <col min="5478" max="5478" width="10.75" style="326" bestFit="1" customWidth="1"/>
    <col min="5479" max="5479" width="13" style="326" customWidth="1"/>
    <col min="5480" max="5626" width="9" style="326"/>
    <col min="5627" max="5628" width="12.125" style="326" customWidth="1"/>
    <col min="5629" max="5631" width="13" style="326" customWidth="1"/>
    <col min="5632" max="5632" width="12.875" style="326" customWidth="1"/>
    <col min="5633" max="5633" width="13" style="326" customWidth="1"/>
    <col min="5634" max="5634" width="13.125" style="326" customWidth="1"/>
    <col min="5635" max="5636" width="12.125" style="326" customWidth="1"/>
    <col min="5637" max="5637" width="14.375" style="326" bestFit="1" customWidth="1"/>
    <col min="5638" max="5638" width="11" style="326" customWidth="1"/>
    <col min="5639" max="5639" width="10" style="326" customWidth="1"/>
    <col min="5640" max="5640" width="10.875" style="326" customWidth="1"/>
    <col min="5641" max="5641" width="13.75" style="326" customWidth="1"/>
    <col min="5642" max="5642" width="10" style="326" customWidth="1"/>
    <col min="5643" max="5643" width="13.25" style="326" customWidth="1"/>
    <col min="5644" max="5644" width="14.375" style="326" customWidth="1"/>
    <col min="5645" max="5645" width="10" style="326" customWidth="1"/>
    <col min="5646" max="5646" width="10.875" style="326" customWidth="1"/>
    <col min="5647" max="5647" width="11.375" style="326" customWidth="1"/>
    <col min="5648" max="5648" width="15.375" style="326" customWidth="1"/>
    <col min="5649" max="5650" width="10.75" style="326" customWidth="1"/>
    <col min="5651" max="5651" width="14.375" style="326" customWidth="1"/>
    <col min="5652" max="5652" width="10.75" style="326" customWidth="1"/>
    <col min="5653" max="5653" width="11.75" style="326" customWidth="1"/>
    <col min="5654" max="5654" width="10" style="326" customWidth="1"/>
    <col min="5655" max="5655" width="15.375" style="326" customWidth="1"/>
    <col min="5656" max="5656" width="10" style="326" customWidth="1"/>
    <col min="5657" max="5657" width="10.75" style="326" customWidth="1"/>
    <col min="5658" max="5658" width="14.875" style="326" customWidth="1"/>
    <col min="5659" max="5659" width="11.5" style="326" customWidth="1"/>
    <col min="5660" max="5660" width="10" style="326" customWidth="1"/>
    <col min="5661" max="5661" width="10.75" style="326" customWidth="1"/>
    <col min="5662" max="5662" width="13.5" style="326" customWidth="1"/>
    <col min="5663" max="5663" width="9" style="326"/>
    <col min="5664" max="5664" width="10.75" style="326" bestFit="1" customWidth="1"/>
    <col min="5665" max="5665" width="13.75" style="326" customWidth="1"/>
    <col min="5666" max="5666" width="9" style="326"/>
    <col min="5667" max="5667" width="10.625" style="326" customWidth="1"/>
    <col min="5668" max="5668" width="9" style="326"/>
    <col min="5669" max="5669" width="14.25" style="326" customWidth="1"/>
    <col min="5670" max="5670" width="10.75" style="326" bestFit="1" customWidth="1"/>
    <col min="5671" max="5671" width="11.625" style="326" customWidth="1"/>
    <col min="5672" max="5672" width="13.75" style="326" customWidth="1"/>
    <col min="5673" max="5673" width="10.625" style="326" customWidth="1"/>
    <col min="5674" max="5675" width="9" style="326"/>
    <col min="5676" max="5676" width="14.125" style="326" customWidth="1"/>
    <col min="5677" max="5677" width="11" style="326" customWidth="1"/>
    <col min="5678" max="5678" width="10.75" style="326" bestFit="1" customWidth="1"/>
    <col min="5679" max="5679" width="13.5" style="326" customWidth="1"/>
    <col min="5680" max="5681" width="9" style="326"/>
    <col min="5682" max="5682" width="10.75" style="326" bestFit="1" customWidth="1"/>
    <col min="5683" max="5683" width="14" style="326" customWidth="1"/>
    <col min="5684" max="5684" width="9" style="326"/>
    <col min="5685" max="5685" width="10.75" style="326" customWidth="1"/>
    <col min="5686" max="5686" width="12.75" style="326" customWidth="1"/>
    <col min="5687" max="5687" width="9" style="326"/>
    <col min="5688" max="5688" width="10.75" style="326" bestFit="1" customWidth="1"/>
    <col min="5689" max="5689" width="11.5" style="326" customWidth="1"/>
    <col min="5690" max="5690" width="13.625" style="326" customWidth="1"/>
    <col min="5691" max="5691" width="10.625" style="326" customWidth="1"/>
    <col min="5692" max="5692" width="10.75" style="326" bestFit="1" customWidth="1"/>
    <col min="5693" max="5693" width="12.375" style="326" customWidth="1"/>
    <col min="5694" max="5696" width="9" style="326"/>
    <col min="5697" max="5697" width="15.75" style="326" customWidth="1"/>
    <col min="5698" max="5698" width="9" style="326"/>
    <col min="5699" max="5699" width="10.75" style="326" bestFit="1" customWidth="1"/>
    <col min="5700" max="5700" width="12.625" style="326" customWidth="1"/>
    <col min="5701" max="5703" width="9" style="326"/>
    <col min="5704" max="5704" width="13.625" style="326" customWidth="1"/>
    <col min="5705" max="5705" width="9" style="326"/>
    <col min="5706" max="5706" width="10.75" style="326" bestFit="1" customWidth="1"/>
    <col min="5707" max="5707" width="12.5" style="326" customWidth="1"/>
    <col min="5708" max="5710" width="9" style="326"/>
    <col min="5711" max="5711" width="12.875" style="326" customWidth="1"/>
    <col min="5712" max="5712" width="9" style="326"/>
    <col min="5713" max="5713" width="10.75" style="326" bestFit="1" customWidth="1"/>
    <col min="5714" max="5714" width="13.875" style="326" customWidth="1"/>
    <col min="5715" max="5717" width="9" style="326"/>
    <col min="5718" max="5718" width="14.125" style="326" customWidth="1"/>
    <col min="5719" max="5719" width="9" style="326"/>
    <col min="5720" max="5720" width="10.75" style="326" bestFit="1" customWidth="1"/>
    <col min="5721" max="5721" width="13.25" style="326" customWidth="1"/>
    <col min="5722" max="5724" width="9" style="326"/>
    <col min="5725" max="5725" width="13.25" style="326" customWidth="1"/>
    <col min="5726" max="5726" width="9" style="326"/>
    <col min="5727" max="5727" width="10.75" style="326" bestFit="1" customWidth="1"/>
    <col min="5728" max="5728" width="13.875" style="326" customWidth="1"/>
    <col min="5729" max="5731" width="9" style="326"/>
    <col min="5732" max="5732" width="13.625" style="326" customWidth="1"/>
    <col min="5733" max="5733" width="9" style="326"/>
    <col min="5734" max="5734" width="10.75" style="326" bestFit="1" customWidth="1"/>
    <col min="5735" max="5735" width="13" style="326" customWidth="1"/>
    <col min="5736" max="5882" width="9" style="326"/>
    <col min="5883" max="5884" width="12.125" style="326" customWidth="1"/>
    <col min="5885" max="5887" width="13" style="326" customWidth="1"/>
    <col min="5888" max="5888" width="12.875" style="326" customWidth="1"/>
    <col min="5889" max="5889" width="13" style="326" customWidth="1"/>
    <col min="5890" max="5890" width="13.125" style="326" customWidth="1"/>
    <col min="5891" max="5892" width="12.125" style="326" customWidth="1"/>
    <col min="5893" max="5893" width="14.375" style="326" bestFit="1" customWidth="1"/>
    <col min="5894" max="5894" width="11" style="326" customWidth="1"/>
    <col min="5895" max="5895" width="10" style="326" customWidth="1"/>
    <col min="5896" max="5896" width="10.875" style="326" customWidth="1"/>
    <col min="5897" max="5897" width="13.75" style="326" customWidth="1"/>
    <col min="5898" max="5898" width="10" style="326" customWidth="1"/>
    <col min="5899" max="5899" width="13.25" style="326" customWidth="1"/>
    <col min="5900" max="5900" width="14.375" style="326" customWidth="1"/>
    <col min="5901" max="5901" width="10" style="326" customWidth="1"/>
    <col min="5902" max="5902" width="10.875" style="326" customWidth="1"/>
    <col min="5903" max="5903" width="11.375" style="326" customWidth="1"/>
    <col min="5904" max="5904" width="15.375" style="326" customWidth="1"/>
    <col min="5905" max="5906" width="10.75" style="326" customWidth="1"/>
    <col min="5907" max="5907" width="14.375" style="326" customWidth="1"/>
    <col min="5908" max="5908" width="10.75" style="326" customWidth="1"/>
    <col min="5909" max="5909" width="11.75" style="326" customWidth="1"/>
    <col min="5910" max="5910" width="10" style="326" customWidth="1"/>
    <col min="5911" max="5911" width="15.375" style="326" customWidth="1"/>
    <col min="5912" max="5912" width="10" style="326" customWidth="1"/>
    <col min="5913" max="5913" width="10.75" style="326" customWidth="1"/>
    <col min="5914" max="5914" width="14.875" style="326" customWidth="1"/>
    <col min="5915" max="5915" width="11.5" style="326" customWidth="1"/>
    <col min="5916" max="5916" width="10" style="326" customWidth="1"/>
    <col min="5917" max="5917" width="10.75" style="326" customWidth="1"/>
    <col min="5918" max="5918" width="13.5" style="326" customWidth="1"/>
    <col min="5919" max="5919" width="9" style="326"/>
    <col min="5920" max="5920" width="10.75" style="326" bestFit="1" customWidth="1"/>
    <col min="5921" max="5921" width="13.75" style="326" customWidth="1"/>
    <col min="5922" max="5922" width="9" style="326"/>
    <col min="5923" max="5923" width="10.625" style="326" customWidth="1"/>
    <col min="5924" max="5924" width="9" style="326"/>
    <col min="5925" max="5925" width="14.25" style="326" customWidth="1"/>
    <col min="5926" max="5926" width="10.75" style="326" bestFit="1" customWidth="1"/>
    <col min="5927" max="5927" width="11.625" style="326" customWidth="1"/>
    <col min="5928" max="5928" width="13.75" style="326" customWidth="1"/>
    <col min="5929" max="5929" width="10.625" style="326" customWidth="1"/>
    <col min="5930" max="5931" width="9" style="326"/>
    <col min="5932" max="5932" width="14.125" style="326" customWidth="1"/>
    <col min="5933" max="5933" width="11" style="326" customWidth="1"/>
    <col min="5934" max="5934" width="10.75" style="326" bestFit="1" customWidth="1"/>
    <col min="5935" max="5935" width="13.5" style="326" customWidth="1"/>
    <col min="5936" max="5937" width="9" style="326"/>
    <col min="5938" max="5938" width="10.75" style="326" bestFit="1" customWidth="1"/>
    <col min="5939" max="5939" width="14" style="326" customWidth="1"/>
    <col min="5940" max="5940" width="9" style="326"/>
    <col min="5941" max="5941" width="10.75" style="326" customWidth="1"/>
    <col min="5942" max="5942" width="12.75" style="326" customWidth="1"/>
    <col min="5943" max="5943" width="9" style="326"/>
    <col min="5944" max="5944" width="10.75" style="326" bestFit="1" customWidth="1"/>
    <col min="5945" max="5945" width="11.5" style="326" customWidth="1"/>
    <col min="5946" max="5946" width="13.625" style="326" customWidth="1"/>
    <col min="5947" max="5947" width="10.625" style="326" customWidth="1"/>
    <col min="5948" max="5948" width="10.75" style="326" bestFit="1" customWidth="1"/>
    <col min="5949" max="5949" width="12.375" style="326" customWidth="1"/>
    <col min="5950" max="5952" width="9" style="326"/>
    <col min="5953" max="5953" width="15.75" style="326" customWidth="1"/>
    <col min="5954" max="5954" width="9" style="326"/>
    <col min="5955" max="5955" width="10.75" style="326" bestFit="1" customWidth="1"/>
    <col min="5956" max="5956" width="12.625" style="326" customWidth="1"/>
    <col min="5957" max="5959" width="9" style="326"/>
    <col min="5960" max="5960" width="13.625" style="326" customWidth="1"/>
    <col min="5961" max="5961" width="9" style="326"/>
    <col min="5962" max="5962" width="10.75" style="326" bestFit="1" customWidth="1"/>
    <col min="5963" max="5963" width="12.5" style="326" customWidth="1"/>
    <col min="5964" max="5966" width="9" style="326"/>
    <col min="5967" max="5967" width="12.875" style="326" customWidth="1"/>
    <col min="5968" max="5968" width="9" style="326"/>
    <col min="5969" max="5969" width="10.75" style="326" bestFit="1" customWidth="1"/>
    <col min="5970" max="5970" width="13.875" style="326" customWidth="1"/>
    <col min="5971" max="5973" width="9" style="326"/>
    <col min="5974" max="5974" width="14.125" style="326" customWidth="1"/>
    <col min="5975" max="5975" width="9" style="326"/>
    <col min="5976" max="5976" width="10.75" style="326" bestFit="1" customWidth="1"/>
    <col min="5977" max="5977" width="13.25" style="326" customWidth="1"/>
    <col min="5978" max="5980" width="9" style="326"/>
    <col min="5981" max="5981" width="13.25" style="326" customWidth="1"/>
    <col min="5982" max="5982" width="9" style="326"/>
    <col min="5983" max="5983" width="10.75" style="326" bestFit="1" customWidth="1"/>
    <col min="5984" max="5984" width="13.875" style="326" customWidth="1"/>
    <col min="5985" max="5987" width="9" style="326"/>
    <col min="5988" max="5988" width="13.625" style="326" customWidth="1"/>
    <col min="5989" max="5989" width="9" style="326"/>
    <col min="5990" max="5990" width="10.75" style="326" bestFit="1" customWidth="1"/>
    <col min="5991" max="5991" width="13" style="326" customWidth="1"/>
    <col min="5992" max="6138" width="9" style="326"/>
    <col min="6139" max="6140" width="12.125" style="326" customWidth="1"/>
    <col min="6141" max="6143" width="13" style="326" customWidth="1"/>
    <col min="6144" max="6144" width="12.875" style="326" customWidth="1"/>
    <col min="6145" max="6145" width="13" style="326" customWidth="1"/>
    <col min="6146" max="6146" width="13.125" style="326" customWidth="1"/>
    <col min="6147" max="6148" width="12.125" style="326" customWidth="1"/>
    <col min="6149" max="6149" width="14.375" style="326" bestFit="1" customWidth="1"/>
    <col min="6150" max="6150" width="11" style="326" customWidth="1"/>
    <col min="6151" max="6151" width="10" style="326" customWidth="1"/>
    <col min="6152" max="6152" width="10.875" style="326" customWidth="1"/>
    <col min="6153" max="6153" width="13.75" style="326" customWidth="1"/>
    <col min="6154" max="6154" width="10" style="326" customWidth="1"/>
    <col min="6155" max="6155" width="13.25" style="326" customWidth="1"/>
    <col min="6156" max="6156" width="14.375" style="326" customWidth="1"/>
    <col min="6157" max="6157" width="10" style="326" customWidth="1"/>
    <col min="6158" max="6158" width="10.875" style="326" customWidth="1"/>
    <col min="6159" max="6159" width="11.375" style="326" customWidth="1"/>
    <col min="6160" max="6160" width="15.375" style="326" customWidth="1"/>
    <col min="6161" max="6162" width="10.75" style="326" customWidth="1"/>
    <col min="6163" max="6163" width="14.375" style="326" customWidth="1"/>
    <col min="6164" max="6164" width="10.75" style="326" customWidth="1"/>
    <col min="6165" max="6165" width="11.75" style="326" customWidth="1"/>
    <col min="6166" max="6166" width="10" style="326" customWidth="1"/>
    <col min="6167" max="6167" width="15.375" style="326" customWidth="1"/>
    <col min="6168" max="6168" width="10" style="326" customWidth="1"/>
    <col min="6169" max="6169" width="10.75" style="326" customWidth="1"/>
    <col min="6170" max="6170" width="14.875" style="326" customWidth="1"/>
    <col min="6171" max="6171" width="11.5" style="326" customWidth="1"/>
    <col min="6172" max="6172" width="10" style="326" customWidth="1"/>
    <col min="6173" max="6173" width="10.75" style="326" customWidth="1"/>
    <col min="6174" max="6174" width="13.5" style="326" customWidth="1"/>
    <col min="6175" max="6175" width="9" style="326"/>
    <col min="6176" max="6176" width="10.75" style="326" bestFit="1" customWidth="1"/>
    <col min="6177" max="6177" width="13.75" style="326" customWidth="1"/>
    <col min="6178" max="6178" width="9" style="326"/>
    <col min="6179" max="6179" width="10.625" style="326" customWidth="1"/>
    <col min="6180" max="6180" width="9" style="326"/>
    <col min="6181" max="6181" width="14.25" style="326" customWidth="1"/>
    <col min="6182" max="6182" width="10.75" style="326" bestFit="1" customWidth="1"/>
    <col min="6183" max="6183" width="11.625" style="326" customWidth="1"/>
    <col min="6184" max="6184" width="13.75" style="326" customWidth="1"/>
    <col min="6185" max="6185" width="10.625" style="326" customWidth="1"/>
    <col min="6186" max="6187" width="9" style="326"/>
    <col min="6188" max="6188" width="14.125" style="326" customWidth="1"/>
    <col min="6189" max="6189" width="11" style="326" customWidth="1"/>
    <col min="6190" max="6190" width="10.75" style="326" bestFit="1" customWidth="1"/>
    <col min="6191" max="6191" width="13.5" style="326" customWidth="1"/>
    <col min="6192" max="6193" width="9" style="326"/>
    <col min="6194" max="6194" width="10.75" style="326" bestFit="1" customWidth="1"/>
    <col min="6195" max="6195" width="14" style="326" customWidth="1"/>
    <col min="6196" max="6196" width="9" style="326"/>
    <col min="6197" max="6197" width="10.75" style="326" customWidth="1"/>
    <col min="6198" max="6198" width="12.75" style="326" customWidth="1"/>
    <col min="6199" max="6199" width="9" style="326"/>
    <col min="6200" max="6200" width="10.75" style="326" bestFit="1" customWidth="1"/>
    <col min="6201" max="6201" width="11.5" style="326" customWidth="1"/>
    <col min="6202" max="6202" width="13.625" style="326" customWidth="1"/>
    <col min="6203" max="6203" width="10.625" style="326" customWidth="1"/>
    <col min="6204" max="6204" width="10.75" style="326" bestFit="1" customWidth="1"/>
    <col min="6205" max="6205" width="12.375" style="326" customWidth="1"/>
    <col min="6206" max="6208" width="9" style="326"/>
    <col min="6209" max="6209" width="15.75" style="326" customWidth="1"/>
    <col min="6210" max="6210" width="9" style="326"/>
    <col min="6211" max="6211" width="10.75" style="326" bestFit="1" customWidth="1"/>
    <col min="6212" max="6212" width="12.625" style="326" customWidth="1"/>
    <col min="6213" max="6215" width="9" style="326"/>
    <col min="6216" max="6216" width="13.625" style="326" customWidth="1"/>
    <col min="6217" max="6217" width="9" style="326"/>
    <col min="6218" max="6218" width="10.75" style="326" bestFit="1" customWidth="1"/>
    <col min="6219" max="6219" width="12.5" style="326" customWidth="1"/>
    <col min="6220" max="6222" width="9" style="326"/>
    <col min="6223" max="6223" width="12.875" style="326" customWidth="1"/>
    <col min="6224" max="6224" width="9" style="326"/>
    <col min="6225" max="6225" width="10.75" style="326" bestFit="1" customWidth="1"/>
    <col min="6226" max="6226" width="13.875" style="326" customWidth="1"/>
    <col min="6227" max="6229" width="9" style="326"/>
    <col min="6230" max="6230" width="14.125" style="326" customWidth="1"/>
    <col min="6231" max="6231" width="9" style="326"/>
    <col min="6232" max="6232" width="10.75" style="326" bestFit="1" customWidth="1"/>
    <col min="6233" max="6233" width="13.25" style="326" customWidth="1"/>
    <col min="6234" max="6236" width="9" style="326"/>
    <col min="6237" max="6237" width="13.25" style="326" customWidth="1"/>
    <col min="6238" max="6238" width="9" style="326"/>
    <col min="6239" max="6239" width="10.75" style="326" bestFit="1" customWidth="1"/>
    <col min="6240" max="6240" width="13.875" style="326" customWidth="1"/>
    <col min="6241" max="6243" width="9" style="326"/>
    <col min="6244" max="6244" width="13.625" style="326" customWidth="1"/>
    <col min="6245" max="6245" width="9" style="326"/>
    <col min="6246" max="6246" width="10.75" style="326" bestFit="1" customWidth="1"/>
    <col min="6247" max="6247" width="13" style="326" customWidth="1"/>
    <col min="6248" max="6394" width="9" style="326"/>
    <col min="6395" max="6396" width="12.125" style="326" customWidth="1"/>
    <col min="6397" max="6399" width="13" style="326" customWidth="1"/>
    <col min="6400" max="6400" width="12.875" style="326" customWidth="1"/>
    <col min="6401" max="6401" width="13" style="326" customWidth="1"/>
    <col min="6402" max="6402" width="13.125" style="326" customWidth="1"/>
    <col min="6403" max="6404" width="12.125" style="326" customWidth="1"/>
    <col min="6405" max="6405" width="14.375" style="326" bestFit="1" customWidth="1"/>
    <col min="6406" max="6406" width="11" style="326" customWidth="1"/>
    <col min="6407" max="6407" width="10" style="326" customWidth="1"/>
    <col min="6408" max="6408" width="10.875" style="326" customWidth="1"/>
    <col min="6409" max="6409" width="13.75" style="326" customWidth="1"/>
    <col min="6410" max="6410" width="10" style="326" customWidth="1"/>
    <col min="6411" max="6411" width="13.25" style="326" customWidth="1"/>
    <col min="6412" max="6412" width="14.375" style="326" customWidth="1"/>
    <col min="6413" max="6413" width="10" style="326" customWidth="1"/>
    <col min="6414" max="6414" width="10.875" style="326" customWidth="1"/>
    <col min="6415" max="6415" width="11.375" style="326" customWidth="1"/>
    <col min="6416" max="6416" width="15.375" style="326" customWidth="1"/>
    <col min="6417" max="6418" width="10.75" style="326" customWidth="1"/>
    <col min="6419" max="6419" width="14.375" style="326" customWidth="1"/>
    <col min="6420" max="6420" width="10.75" style="326" customWidth="1"/>
    <col min="6421" max="6421" width="11.75" style="326" customWidth="1"/>
    <col min="6422" max="6422" width="10" style="326" customWidth="1"/>
    <col min="6423" max="6423" width="15.375" style="326" customWidth="1"/>
    <col min="6424" max="6424" width="10" style="326" customWidth="1"/>
    <col min="6425" max="6425" width="10.75" style="326" customWidth="1"/>
    <col min="6426" max="6426" width="14.875" style="326" customWidth="1"/>
    <col min="6427" max="6427" width="11.5" style="326" customWidth="1"/>
    <col min="6428" max="6428" width="10" style="326" customWidth="1"/>
    <col min="6429" max="6429" width="10.75" style="326" customWidth="1"/>
    <col min="6430" max="6430" width="13.5" style="326" customWidth="1"/>
    <col min="6431" max="6431" width="9" style="326"/>
    <col min="6432" max="6432" width="10.75" style="326" bestFit="1" customWidth="1"/>
    <col min="6433" max="6433" width="13.75" style="326" customWidth="1"/>
    <col min="6434" max="6434" width="9" style="326"/>
    <col min="6435" max="6435" width="10.625" style="326" customWidth="1"/>
    <col min="6436" max="6436" width="9" style="326"/>
    <col min="6437" max="6437" width="14.25" style="326" customWidth="1"/>
    <col min="6438" max="6438" width="10.75" style="326" bestFit="1" customWidth="1"/>
    <col min="6439" max="6439" width="11.625" style="326" customWidth="1"/>
    <col min="6440" max="6440" width="13.75" style="326" customWidth="1"/>
    <col min="6441" max="6441" width="10.625" style="326" customWidth="1"/>
    <col min="6442" max="6443" width="9" style="326"/>
    <col min="6444" max="6444" width="14.125" style="326" customWidth="1"/>
    <col min="6445" max="6445" width="11" style="326" customWidth="1"/>
    <col min="6446" max="6446" width="10.75" style="326" bestFit="1" customWidth="1"/>
    <col min="6447" max="6447" width="13.5" style="326" customWidth="1"/>
    <col min="6448" max="6449" width="9" style="326"/>
    <col min="6450" max="6450" width="10.75" style="326" bestFit="1" customWidth="1"/>
    <col min="6451" max="6451" width="14" style="326" customWidth="1"/>
    <col min="6452" max="6452" width="9" style="326"/>
    <col min="6453" max="6453" width="10.75" style="326" customWidth="1"/>
    <col min="6454" max="6454" width="12.75" style="326" customWidth="1"/>
    <col min="6455" max="6455" width="9" style="326"/>
    <col min="6456" max="6456" width="10.75" style="326" bestFit="1" customWidth="1"/>
    <col min="6457" max="6457" width="11.5" style="326" customWidth="1"/>
    <col min="6458" max="6458" width="13.625" style="326" customWidth="1"/>
    <col min="6459" max="6459" width="10.625" style="326" customWidth="1"/>
    <col min="6460" max="6460" width="10.75" style="326" bestFit="1" customWidth="1"/>
    <col min="6461" max="6461" width="12.375" style="326" customWidth="1"/>
    <col min="6462" max="6464" width="9" style="326"/>
    <col min="6465" max="6465" width="15.75" style="326" customWidth="1"/>
    <col min="6466" max="6466" width="9" style="326"/>
    <col min="6467" max="6467" width="10.75" style="326" bestFit="1" customWidth="1"/>
    <col min="6468" max="6468" width="12.625" style="326" customWidth="1"/>
    <col min="6469" max="6471" width="9" style="326"/>
    <col min="6472" max="6472" width="13.625" style="326" customWidth="1"/>
    <col min="6473" max="6473" width="9" style="326"/>
    <col min="6474" max="6474" width="10.75" style="326" bestFit="1" customWidth="1"/>
    <col min="6475" max="6475" width="12.5" style="326" customWidth="1"/>
    <col min="6476" max="6478" width="9" style="326"/>
    <col min="6479" max="6479" width="12.875" style="326" customWidth="1"/>
    <col min="6480" max="6480" width="9" style="326"/>
    <col min="6481" max="6481" width="10.75" style="326" bestFit="1" customWidth="1"/>
    <col min="6482" max="6482" width="13.875" style="326" customWidth="1"/>
    <col min="6483" max="6485" width="9" style="326"/>
    <col min="6486" max="6486" width="14.125" style="326" customWidth="1"/>
    <col min="6487" max="6487" width="9" style="326"/>
    <col min="6488" max="6488" width="10.75" style="326" bestFit="1" customWidth="1"/>
    <col min="6489" max="6489" width="13.25" style="326" customWidth="1"/>
    <col min="6490" max="6492" width="9" style="326"/>
    <col min="6493" max="6493" width="13.25" style="326" customWidth="1"/>
    <col min="6494" max="6494" width="9" style="326"/>
    <col min="6495" max="6495" width="10.75" style="326" bestFit="1" customWidth="1"/>
    <col min="6496" max="6496" width="13.875" style="326" customWidth="1"/>
    <col min="6497" max="6499" width="9" style="326"/>
    <col min="6500" max="6500" width="13.625" style="326" customWidth="1"/>
    <col min="6501" max="6501" width="9" style="326"/>
    <col min="6502" max="6502" width="10.75" style="326" bestFit="1" customWidth="1"/>
    <col min="6503" max="6503" width="13" style="326" customWidth="1"/>
    <col min="6504" max="6650" width="9" style="326"/>
    <col min="6651" max="6652" width="12.125" style="326" customWidth="1"/>
    <col min="6653" max="6655" width="13" style="326" customWidth="1"/>
    <col min="6656" max="6656" width="12.875" style="326" customWidth="1"/>
    <col min="6657" max="6657" width="13" style="326" customWidth="1"/>
    <col min="6658" max="6658" width="13.125" style="326" customWidth="1"/>
    <col min="6659" max="6660" width="12.125" style="326" customWidth="1"/>
    <col min="6661" max="6661" width="14.375" style="326" bestFit="1" customWidth="1"/>
    <col min="6662" max="6662" width="11" style="326" customWidth="1"/>
    <col min="6663" max="6663" width="10" style="326" customWidth="1"/>
    <col min="6664" max="6664" width="10.875" style="326" customWidth="1"/>
    <col min="6665" max="6665" width="13.75" style="326" customWidth="1"/>
    <col min="6666" max="6666" width="10" style="326" customWidth="1"/>
    <col min="6667" max="6667" width="13.25" style="326" customWidth="1"/>
    <col min="6668" max="6668" width="14.375" style="326" customWidth="1"/>
    <col min="6669" max="6669" width="10" style="326" customWidth="1"/>
    <col min="6670" max="6670" width="10.875" style="326" customWidth="1"/>
    <col min="6671" max="6671" width="11.375" style="326" customWidth="1"/>
    <col min="6672" max="6672" width="15.375" style="326" customWidth="1"/>
    <col min="6673" max="6674" width="10.75" style="326" customWidth="1"/>
    <col min="6675" max="6675" width="14.375" style="326" customWidth="1"/>
    <col min="6676" max="6676" width="10.75" style="326" customWidth="1"/>
    <col min="6677" max="6677" width="11.75" style="326" customWidth="1"/>
    <col min="6678" max="6678" width="10" style="326" customWidth="1"/>
    <col min="6679" max="6679" width="15.375" style="326" customWidth="1"/>
    <col min="6680" max="6680" width="10" style="326" customWidth="1"/>
    <col min="6681" max="6681" width="10.75" style="326" customWidth="1"/>
    <col min="6682" max="6682" width="14.875" style="326" customWidth="1"/>
    <col min="6683" max="6683" width="11.5" style="326" customWidth="1"/>
    <col min="6684" max="6684" width="10" style="326" customWidth="1"/>
    <col min="6685" max="6685" width="10.75" style="326" customWidth="1"/>
    <col min="6686" max="6686" width="13.5" style="326" customWidth="1"/>
    <col min="6687" max="6687" width="9" style="326"/>
    <col min="6688" max="6688" width="10.75" style="326" bestFit="1" customWidth="1"/>
    <col min="6689" max="6689" width="13.75" style="326" customWidth="1"/>
    <col min="6690" max="6690" width="9" style="326"/>
    <col min="6691" max="6691" width="10.625" style="326" customWidth="1"/>
    <col min="6692" max="6692" width="9" style="326"/>
    <col min="6693" max="6693" width="14.25" style="326" customWidth="1"/>
    <col min="6694" max="6694" width="10.75" style="326" bestFit="1" customWidth="1"/>
    <col min="6695" max="6695" width="11.625" style="326" customWidth="1"/>
    <col min="6696" max="6696" width="13.75" style="326" customWidth="1"/>
    <col min="6697" max="6697" width="10.625" style="326" customWidth="1"/>
    <col min="6698" max="6699" width="9" style="326"/>
    <col min="6700" max="6700" width="14.125" style="326" customWidth="1"/>
    <col min="6701" max="6701" width="11" style="326" customWidth="1"/>
    <col min="6702" max="6702" width="10.75" style="326" bestFit="1" customWidth="1"/>
    <col min="6703" max="6703" width="13.5" style="326" customWidth="1"/>
    <col min="6704" max="6705" width="9" style="326"/>
    <col min="6706" max="6706" width="10.75" style="326" bestFit="1" customWidth="1"/>
    <col min="6707" max="6707" width="14" style="326" customWidth="1"/>
    <col min="6708" max="6708" width="9" style="326"/>
    <col min="6709" max="6709" width="10.75" style="326" customWidth="1"/>
    <col min="6710" max="6710" width="12.75" style="326" customWidth="1"/>
    <col min="6711" max="6711" width="9" style="326"/>
    <col min="6712" max="6712" width="10.75" style="326" bestFit="1" customWidth="1"/>
    <col min="6713" max="6713" width="11.5" style="326" customWidth="1"/>
    <col min="6714" max="6714" width="13.625" style="326" customWidth="1"/>
    <col min="6715" max="6715" width="10.625" style="326" customWidth="1"/>
    <col min="6716" max="6716" width="10.75" style="326" bestFit="1" customWidth="1"/>
    <col min="6717" max="6717" width="12.375" style="326" customWidth="1"/>
    <col min="6718" max="6720" width="9" style="326"/>
    <col min="6721" max="6721" width="15.75" style="326" customWidth="1"/>
    <col min="6722" max="6722" width="9" style="326"/>
    <col min="6723" max="6723" width="10.75" style="326" bestFit="1" customWidth="1"/>
    <col min="6724" max="6724" width="12.625" style="326" customWidth="1"/>
    <col min="6725" max="6727" width="9" style="326"/>
    <col min="6728" max="6728" width="13.625" style="326" customWidth="1"/>
    <col min="6729" max="6729" width="9" style="326"/>
    <col min="6730" max="6730" width="10.75" style="326" bestFit="1" customWidth="1"/>
    <col min="6731" max="6731" width="12.5" style="326" customWidth="1"/>
    <col min="6732" max="6734" width="9" style="326"/>
    <col min="6735" max="6735" width="12.875" style="326" customWidth="1"/>
    <col min="6736" max="6736" width="9" style="326"/>
    <col min="6737" max="6737" width="10.75" style="326" bestFit="1" customWidth="1"/>
    <col min="6738" max="6738" width="13.875" style="326" customWidth="1"/>
    <col min="6739" max="6741" width="9" style="326"/>
    <col min="6742" max="6742" width="14.125" style="326" customWidth="1"/>
    <col min="6743" max="6743" width="9" style="326"/>
    <col min="6744" max="6744" width="10.75" style="326" bestFit="1" customWidth="1"/>
    <col min="6745" max="6745" width="13.25" style="326" customWidth="1"/>
    <col min="6746" max="6748" width="9" style="326"/>
    <col min="6749" max="6749" width="13.25" style="326" customWidth="1"/>
    <col min="6750" max="6750" width="9" style="326"/>
    <col min="6751" max="6751" width="10.75" style="326" bestFit="1" customWidth="1"/>
    <col min="6752" max="6752" width="13.875" style="326" customWidth="1"/>
    <col min="6753" max="6755" width="9" style="326"/>
    <col min="6756" max="6756" width="13.625" style="326" customWidth="1"/>
    <col min="6757" max="6757" width="9" style="326"/>
    <col min="6758" max="6758" width="10.75" style="326" bestFit="1" customWidth="1"/>
    <col min="6759" max="6759" width="13" style="326" customWidth="1"/>
    <col min="6760" max="6906" width="9" style="326"/>
    <col min="6907" max="6908" width="12.125" style="326" customWidth="1"/>
    <col min="6909" max="6911" width="13" style="326" customWidth="1"/>
    <col min="6912" max="6912" width="12.875" style="326" customWidth="1"/>
    <col min="6913" max="6913" width="13" style="326" customWidth="1"/>
    <col min="6914" max="6914" width="13.125" style="326" customWidth="1"/>
    <col min="6915" max="6916" width="12.125" style="326" customWidth="1"/>
    <col min="6917" max="6917" width="14.375" style="326" bestFit="1" customWidth="1"/>
    <col min="6918" max="6918" width="11" style="326" customWidth="1"/>
    <col min="6919" max="6919" width="10" style="326" customWidth="1"/>
    <col min="6920" max="6920" width="10.875" style="326" customWidth="1"/>
    <col min="6921" max="6921" width="13.75" style="326" customWidth="1"/>
    <col min="6922" max="6922" width="10" style="326" customWidth="1"/>
    <col min="6923" max="6923" width="13.25" style="326" customWidth="1"/>
    <col min="6924" max="6924" width="14.375" style="326" customWidth="1"/>
    <col min="6925" max="6925" width="10" style="326" customWidth="1"/>
    <col min="6926" max="6926" width="10.875" style="326" customWidth="1"/>
    <col min="6927" max="6927" width="11.375" style="326" customWidth="1"/>
    <col min="6928" max="6928" width="15.375" style="326" customWidth="1"/>
    <col min="6929" max="6930" width="10.75" style="326" customWidth="1"/>
    <col min="6931" max="6931" width="14.375" style="326" customWidth="1"/>
    <col min="6932" max="6932" width="10.75" style="326" customWidth="1"/>
    <col min="6933" max="6933" width="11.75" style="326" customWidth="1"/>
    <col min="6934" max="6934" width="10" style="326" customWidth="1"/>
    <col min="6935" max="6935" width="15.375" style="326" customWidth="1"/>
    <col min="6936" max="6936" width="10" style="326" customWidth="1"/>
    <col min="6937" max="6937" width="10.75" style="326" customWidth="1"/>
    <col min="6938" max="6938" width="14.875" style="326" customWidth="1"/>
    <col min="6939" max="6939" width="11.5" style="326" customWidth="1"/>
    <col min="6940" max="6940" width="10" style="326" customWidth="1"/>
    <col min="6941" max="6941" width="10.75" style="326" customWidth="1"/>
    <col min="6942" max="6942" width="13.5" style="326" customWidth="1"/>
    <col min="6943" max="6943" width="9" style="326"/>
    <col min="6944" max="6944" width="10.75" style="326" bestFit="1" customWidth="1"/>
    <col min="6945" max="6945" width="13.75" style="326" customWidth="1"/>
    <col min="6946" max="6946" width="9" style="326"/>
    <col min="6947" max="6947" width="10.625" style="326" customWidth="1"/>
    <col min="6948" max="6948" width="9" style="326"/>
    <col min="6949" max="6949" width="14.25" style="326" customWidth="1"/>
    <col min="6950" max="6950" width="10.75" style="326" bestFit="1" customWidth="1"/>
    <col min="6951" max="6951" width="11.625" style="326" customWidth="1"/>
    <col min="6952" max="6952" width="13.75" style="326" customWidth="1"/>
    <col min="6953" max="6953" width="10.625" style="326" customWidth="1"/>
    <col min="6954" max="6955" width="9" style="326"/>
    <col min="6956" max="6956" width="14.125" style="326" customWidth="1"/>
    <col min="6957" max="6957" width="11" style="326" customWidth="1"/>
    <col min="6958" max="6958" width="10.75" style="326" bestFit="1" customWidth="1"/>
    <col min="6959" max="6959" width="13.5" style="326" customWidth="1"/>
    <col min="6960" max="6961" width="9" style="326"/>
    <col min="6962" max="6962" width="10.75" style="326" bestFit="1" customWidth="1"/>
    <col min="6963" max="6963" width="14" style="326" customWidth="1"/>
    <col min="6964" max="6964" width="9" style="326"/>
    <col min="6965" max="6965" width="10.75" style="326" customWidth="1"/>
    <col min="6966" max="6966" width="12.75" style="326" customWidth="1"/>
    <col min="6967" max="6967" width="9" style="326"/>
    <col min="6968" max="6968" width="10.75" style="326" bestFit="1" customWidth="1"/>
    <col min="6969" max="6969" width="11.5" style="326" customWidth="1"/>
    <col min="6970" max="6970" width="13.625" style="326" customWidth="1"/>
    <col min="6971" max="6971" width="10.625" style="326" customWidth="1"/>
    <col min="6972" max="6972" width="10.75" style="326" bestFit="1" customWidth="1"/>
    <col min="6973" max="6973" width="12.375" style="326" customWidth="1"/>
    <col min="6974" max="6976" width="9" style="326"/>
    <col min="6977" max="6977" width="15.75" style="326" customWidth="1"/>
    <col min="6978" max="6978" width="9" style="326"/>
    <col min="6979" max="6979" width="10.75" style="326" bestFit="1" customWidth="1"/>
    <col min="6980" max="6980" width="12.625" style="326" customWidth="1"/>
    <col min="6981" max="6983" width="9" style="326"/>
    <col min="6984" max="6984" width="13.625" style="326" customWidth="1"/>
    <col min="6985" max="6985" width="9" style="326"/>
    <col min="6986" max="6986" width="10.75" style="326" bestFit="1" customWidth="1"/>
    <col min="6987" max="6987" width="12.5" style="326" customWidth="1"/>
    <col min="6988" max="6990" width="9" style="326"/>
    <col min="6991" max="6991" width="12.875" style="326" customWidth="1"/>
    <col min="6992" max="6992" width="9" style="326"/>
    <col min="6993" max="6993" width="10.75" style="326" bestFit="1" customWidth="1"/>
    <col min="6994" max="6994" width="13.875" style="326" customWidth="1"/>
    <col min="6995" max="6997" width="9" style="326"/>
    <col min="6998" max="6998" width="14.125" style="326" customWidth="1"/>
    <col min="6999" max="6999" width="9" style="326"/>
    <col min="7000" max="7000" width="10.75" style="326" bestFit="1" customWidth="1"/>
    <col min="7001" max="7001" width="13.25" style="326" customWidth="1"/>
    <col min="7002" max="7004" width="9" style="326"/>
    <col min="7005" max="7005" width="13.25" style="326" customWidth="1"/>
    <col min="7006" max="7006" width="9" style="326"/>
    <col min="7007" max="7007" width="10.75" style="326" bestFit="1" customWidth="1"/>
    <col min="7008" max="7008" width="13.875" style="326" customWidth="1"/>
    <col min="7009" max="7011" width="9" style="326"/>
    <col min="7012" max="7012" width="13.625" style="326" customWidth="1"/>
    <col min="7013" max="7013" width="9" style="326"/>
    <col min="7014" max="7014" width="10.75" style="326" bestFit="1" customWidth="1"/>
    <col min="7015" max="7015" width="13" style="326" customWidth="1"/>
    <col min="7016" max="7162" width="9" style="326"/>
    <col min="7163" max="7164" width="12.125" style="326" customWidth="1"/>
    <col min="7165" max="7167" width="13" style="326" customWidth="1"/>
    <col min="7168" max="7168" width="12.875" style="326" customWidth="1"/>
    <col min="7169" max="7169" width="13" style="326" customWidth="1"/>
    <col min="7170" max="7170" width="13.125" style="326" customWidth="1"/>
    <col min="7171" max="7172" width="12.125" style="326" customWidth="1"/>
    <col min="7173" max="7173" width="14.375" style="326" bestFit="1" customWidth="1"/>
    <col min="7174" max="7174" width="11" style="326" customWidth="1"/>
    <col min="7175" max="7175" width="10" style="326" customWidth="1"/>
    <col min="7176" max="7176" width="10.875" style="326" customWidth="1"/>
    <col min="7177" max="7177" width="13.75" style="326" customWidth="1"/>
    <col min="7178" max="7178" width="10" style="326" customWidth="1"/>
    <col min="7179" max="7179" width="13.25" style="326" customWidth="1"/>
    <col min="7180" max="7180" width="14.375" style="326" customWidth="1"/>
    <col min="7181" max="7181" width="10" style="326" customWidth="1"/>
    <col min="7182" max="7182" width="10.875" style="326" customWidth="1"/>
    <col min="7183" max="7183" width="11.375" style="326" customWidth="1"/>
    <col min="7184" max="7184" width="15.375" style="326" customWidth="1"/>
    <col min="7185" max="7186" width="10.75" style="326" customWidth="1"/>
    <col min="7187" max="7187" width="14.375" style="326" customWidth="1"/>
    <col min="7188" max="7188" width="10.75" style="326" customWidth="1"/>
    <col min="7189" max="7189" width="11.75" style="326" customWidth="1"/>
    <col min="7190" max="7190" width="10" style="326" customWidth="1"/>
    <col min="7191" max="7191" width="15.375" style="326" customWidth="1"/>
    <col min="7192" max="7192" width="10" style="326" customWidth="1"/>
    <col min="7193" max="7193" width="10.75" style="326" customWidth="1"/>
    <col min="7194" max="7194" width="14.875" style="326" customWidth="1"/>
    <col min="7195" max="7195" width="11.5" style="326" customWidth="1"/>
    <col min="7196" max="7196" width="10" style="326" customWidth="1"/>
    <col min="7197" max="7197" width="10.75" style="326" customWidth="1"/>
    <col min="7198" max="7198" width="13.5" style="326" customWidth="1"/>
    <col min="7199" max="7199" width="9" style="326"/>
    <col min="7200" max="7200" width="10.75" style="326" bestFit="1" customWidth="1"/>
    <col min="7201" max="7201" width="13.75" style="326" customWidth="1"/>
    <col min="7202" max="7202" width="9" style="326"/>
    <col min="7203" max="7203" width="10.625" style="326" customWidth="1"/>
    <col min="7204" max="7204" width="9" style="326"/>
    <col min="7205" max="7205" width="14.25" style="326" customWidth="1"/>
    <col min="7206" max="7206" width="10.75" style="326" bestFit="1" customWidth="1"/>
    <col min="7207" max="7207" width="11.625" style="326" customWidth="1"/>
    <col min="7208" max="7208" width="13.75" style="326" customWidth="1"/>
    <col min="7209" max="7209" width="10.625" style="326" customWidth="1"/>
    <col min="7210" max="7211" width="9" style="326"/>
    <col min="7212" max="7212" width="14.125" style="326" customWidth="1"/>
    <col min="7213" max="7213" width="11" style="326" customWidth="1"/>
    <col min="7214" max="7214" width="10.75" style="326" bestFit="1" customWidth="1"/>
    <col min="7215" max="7215" width="13.5" style="326" customWidth="1"/>
    <col min="7216" max="7217" width="9" style="326"/>
    <col min="7218" max="7218" width="10.75" style="326" bestFit="1" customWidth="1"/>
    <col min="7219" max="7219" width="14" style="326" customWidth="1"/>
    <col min="7220" max="7220" width="9" style="326"/>
    <col min="7221" max="7221" width="10.75" style="326" customWidth="1"/>
    <col min="7222" max="7222" width="12.75" style="326" customWidth="1"/>
    <col min="7223" max="7223" width="9" style="326"/>
    <col min="7224" max="7224" width="10.75" style="326" bestFit="1" customWidth="1"/>
    <col min="7225" max="7225" width="11.5" style="326" customWidth="1"/>
    <col min="7226" max="7226" width="13.625" style="326" customWidth="1"/>
    <col min="7227" max="7227" width="10.625" style="326" customWidth="1"/>
    <col min="7228" max="7228" width="10.75" style="326" bestFit="1" customWidth="1"/>
    <col min="7229" max="7229" width="12.375" style="326" customWidth="1"/>
    <col min="7230" max="7232" width="9" style="326"/>
    <col min="7233" max="7233" width="15.75" style="326" customWidth="1"/>
    <col min="7234" max="7234" width="9" style="326"/>
    <col min="7235" max="7235" width="10.75" style="326" bestFit="1" customWidth="1"/>
    <col min="7236" max="7236" width="12.625" style="326" customWidth="1"/>
    <col min="7237" max="7239" width="9" style="326"/>
    <col min="7240" max="7240" width="13.625" style="326" customWidth="1"/>
    <col min="7241" max="7241" width="9" style="326"/>
    <col min="7242" max="7242" width="10.75" style="326" bestFit="1" customWidth="1"/>
    <col min="7243" max="7243" width="12.5" style="326" customWidth="1"/>
    <col min="7244" max="7246" width="9" style="326"/>
    <col min="7247" max="7247" width="12.875" style="326" customWidth="1"/>
    <col min="7248" max="7248" width="9" style="326"/>
    <col min="7249" max="7249" width="10.75" style="326" bestFit="1" customWidth="1"/>
    <col min="7250" max="7250" width="13.875" style="326" customWidth="1"/>
    <col min="7251" max="7253" width="9" style="326"/>
    <col min="7254" max="7254" width="14.125" style="326" customWidth="1"/>
    <col min="7255" max="7255" width="9" style="326"/>
    <col min="7256" max="7256" width="10.75" style="326" bestFit="1" customWidth="1"/>
    <col min="7257" max="7257" width="13.25" style="326" customWidth="1"/>
    <col min="7258" max="7260" width="9" style="326"/>
    <col min="7261" max="7261" width="13.25" style="326" customWidth="1"/>
    <col min="7262" max="7262" width="9" style="326"/>
    <col min="7263" max="7263" width="10.75" style="326" bestFit="1" customWidth="1"/>
    <col min="7264" max="7264" width="13.875" style="326" customWidth="1"/>
    <col min="7265" max="7267" width="9" style="326"/>
    <col min="7268" max="7268" width="13.625" style="326" customWidth="1"/>
    <col min="7269" max="7269" width="9" style="326"/>
    <col min="7270" max="7270" width="10.75" style="326" bestFit="1" customWidth="1"/>
    <col min="7271" max="7271" width="13" style="326" customWidth="1"/>
    <col min="7272" max="7418" width="9" style="326"/>
    <col min="7419" max="7420" width="12.125" style="326" customWidth="1"/>
    <col min="7421" max="7423" width="13" style="326" customWidth="1"/>
    <col min="7424" max="7424" width="12.875" style="326" customWidth="1"/>
    <col min="7425" max="7425" width="13" style="326" customWidth="1"/>
    <col min="7426" max="7426" width="13.125" style="326" customWidth="1"/>
    <col min="7427" max="7428" width="12.125" style="326" customWidth="1"/>
    <col min="7429" max="7429" width="14.375" style="326" bestFit="1" customWidth="1"/>
    <col min="7430" max="7430" width="11" style="326" customWidth="1"/>
    <col min="7431" max="7431" width="10" style="326" customWidth="1"/>
    <col min="7432" max="7432" width="10.875" style="326" customWidth="1"/>
    <col min="7433" max="7433" width="13.75" style="326" customWidth="1"/>
    <col min="7434" max="7434" width="10" style="326" customWidth="1"/>
    <col min="7435" max="7435" width="13.25" style="326" customWidth="1"/>
    <col min="7436" max="7436" width="14.375" style="326" customWidth="1"/>
    <col min="7437" max="7437" width="10" style="326" customWidth="1"/>
    <col min="7438" max="7438" width="10.875" style="326" customWidth="1"/>
    <col min="7439" max="7439" width="11.375" style="326" customWidth="1"/>
    <col min="7440" max="7440" width="15.375" style="326" customWidth="1"/>
    <col min="7441" max="7442" width="10.75" style="326" customWidth="1"/>
    <col min="7443" max="7443" width="14.375" style="326" customWidth="1"/>
    <col min="7444" max="7444" width="10.75" style="326" customWidth="1"/>
    <col min="7445" max="7445" width="11.75" style="326" customWidth="1"/>
    <col min="7446" max="7446" width="10" style="326" customWidth="1"/>
    <col min="7447" max="7447" width="15.375" style="326" customWidth="1"/>
    <col min="7448" max="7448" width="10" style="326" customWidth="1"/>
    <col min="7449" max="7449" width="10.75" style="326" customWidth="1"/>
    <col min="7450" max="7450" width="14.875" style="326" customWidth="1"/>
    <col min="7451" max="7451" width="11.5" style="326" customWidth="1"/>
    <col min="7452" max="7452" width="10" style="326" customWidth="1"/>
    <col min="7453" max="7453" width="10.75" style="326" customWidth="1"/>
    <col min="7454" max="7454" width="13.5" style="326" customWidth="1"/>
    <col min="7455" max="7455" width="9" style="326"/>
    <col min="7456" max="7456" width="10.75" style="326" bestFit="1" customWidth="1"/>
    <col min="7457" max="7457" width="13.75" style="326" customWidth="1"/>
    <col min="7458" max="7458" width="9" style="326"/>
    <col min="7459" max="7459" width="10.625" style="326" customWidth="1"/>
    <col min="7460" max="7460" width="9" style="326"/>
    <col min="7461" max="7461" width="14.25" style="326" customWidth="1"/>
    <col min="7462" max="7462" width="10.75" style="326" bestFit="1" customWidth="1"/>
    <col min="7463" max="7463" width="11.625" style="326" customWidth="1"/>
    <col min="7464" max="7464" width="13.75" style="326" customWidth="1"/>
    <col min="7465" max="7465" width="10.625" style="326" customWidth="1"/>
    <col min="7466" max="7467" width="9" style="326"/>
    <col min="7468" max="7468" width="14.125" style="326" customWidth="1"/>
    <col min="7469" max="7469" width="11" style="326" customWidth="1"/>
    <col min="7470" max="7470" width="10.75" style="326" bestFit="1" customWidth="1"/>
    <col min="7471" max="7471" width="13.5" style="326" customWidth="1"/>
    <col min="7472" max="7473" width="9" style="326"/>
    <col min="7474" max="7474" width="10.75" style="326" bestFit="1" customWidth="1"/>
    <col min="7475" max="7475" width="14" style="326" customWidth="1"/>
    <col min="7476" max="7476" width="9" style="326"/>
    <col min="7477" max="7477" width="10.75" style="326" customWidth="1"/>
    <col min="7478" max="7478" width="12.75" style="326" customWidth="1"/>
    <col min="7479" max="7479" width="9" style="326"/>
    <col min="7480" max="7480" width="10.75" style="326" bestFit="1" customWidth="1"/>
    <col min="7481" max="7481" width="11.5" style="326" customWidth="1"/>
    <col min="7482" max="7482" width="13.625" style="326" customWidth="1"/>
    <col min="7483" max="7483" width="10.625" style="326" customWidth="1"/>
    <col min="7484" max="7484" width="10.75" style="326" bestFit="1" customWidth="1"/>
    <col min="7485" max="7485" width="12.375" style="326" customWidth="1"/>
    <col min="7486" max="7488" width="9" style="326"/>
    <col min="7489" max="7489" width="15.75" style="326" customWidth="1"/>
    <col min="7490" max="7490" width="9" style="326"/>
    <col min="7491" max="7491" width="10.75" style="326" bestFit="1" customWidth="1"/>
    <col min="7492" max="7492" width="12.625" style="326" customWidth="1"/>
    <col min="7493" max="7495" width="9" style="326"/>
    <col min="7496" max="7496" width="13.625" style="326" customWidth="1"/>
    <col min="7497" max="7497" width="9" style="326"/>
    <col min="7498" max="7498" width="10.75" style="326" bestFit="1" customWidth="1"/>
    <col min="7499" max="7499" width="12.5" style="326" customWidth="1"/>
    <col min="7500" max="7502" width="9" style="326"/>
    <col min="7503" max="7503" width="12.875" style="326" customWidth="1"/>
    <col min="7504" max="7504" width="9" style="326"/>
    <col min="7505" max="7505" width="10.75" style="326" bestFit="1" customWidth="1"/>
    <col min="7506" max="7506" width="13.875" style="326" customWidth="1"/>
    <col min="7507" max="7509" width="9" style="326"/>
    <col min="7510" max="7510" width="14.125" style="326" customWidth="1"/>
    <col min="7511" max="7511" width="9" style="326"/>
    <col min="7512" max="7512" width="10.75" style="326" bestFit="1" customWidth="1"/>
    <col min="7513" max="7513" width="13.25" style="326" customWidth="1"/>
    <col min="7514" max="7516" width="9" style="326"/>
    <col min="7517" max="7517" width="13.25" style="326" customWidth="1"/>
    <col min="7518" max="7518" width="9" style="326"/>
    <col min="7519" max="7519" width="10.75" style="326" bestFit="1" customWidth="1"/>
    <col min="7520" max="7520" width="13.875" style="326" customWidth="1"/>
    <col min="7521" max="7523" width="9" style="326"/>
    <col min="7524" max="7524" width="13.625" style="326" customWidth="1"/>
    <col min="7525" max="7525" width="9" style="326"/>
    <col min="7526" max="7526" width="10.75" style="326" bestFit="1" customWidth="1"/>
    <col min="7527" max="7527" width="13" style="326" customWidth="1"/>
    <col min="7528" max="7674" width="9" style="326"/>
    <col min="7675" max="7676" width="12.125" style="326" customWidth="1"/>
    <col min="7677" max="7679" width="13" style="326" customWidth="1"/>
    <col min="7680" max="7680" width="12.875" style="326" customWidth="1"/>
    <col min="7681" max="7681" width="13" style="326" customWidth="1"/>
    <col min="7682" max="7682" width="13.125" style="326" customWidth="1"/>
    <col min="7683" max="7684" width="12.125" style="326" customWidth="1"/>
    <col min="7685" max="7685" width="14.375" style="326" bestFit="1" customWidth="1"/>
    <col min="7686" max="7686" width="11" style="326" customWidth="1"/>
    <col min="7687" max="7687" width="10" style="326" customWidth="1"/>
    <col min="7688" max="7688" width="10.875" style="326" customWidth="1"/>
    <col min="7689" max="7689" width="13.75" style="326" customWidth="1"/>
    <col min="7690" max="7690" width="10" style="326" customWidth="1"/>
    <col min="7691" max="7691" width="13.25" style="326" customWidth="1"/>
    <col min="7692" max="7692" width="14.375" style="326" customWidth="1"/>
    <col min="7693" max="7693" width="10" style="326" customWidth="1"/>
    <col min="7694" max="7694" width="10.875" style="326" customWidth="1"/>
    <col min="7695" max="7695" width="11.375" style="326" customWidth="1"/>
    <col min="7696" max="7696" width="15.375" style="326" customWidth="1"/>
    <col min="7697" max="7698" width="10.75" style="326" customWidth="1"/>
    <col min="7699" max="7699" width="14.375" style="326" customWidth="1"/>
    <col min="7700" max="7700" width="10.75" style="326" customWidth="1"/>
    <col min="7701" max="7701" width="11.75" style="326" customWidth="1"/>
    <col min="7702" max="7702" width="10" style="326" customWidth="1"/>
    <col min="7703" max="7703" width="15.375" style="326" customWidth="1"/>
    <col min="7704" max="7704" width="10" style="326" customWidth="1"/>
    <col min="7705" max="7705" width="10.75" style="326" customWidth="1"/>
    <col min="7706" max="7706" width="14.875" style="326" customWidth="1"/>
    <col min="7707" max="7707" width="11.5" style="326" customWidth="1"/>
    <col min="7708" max="7708" width="10" style="326" customWidth="1"/>
    <col min="7709" max="7709" width="10.75" style="326" customWidth="1"/>
    <col min="7710" max="7710" width="13.5" style="326" customWidth="1"/>
    <col min="7711" max="7711" width="9" style="326"/>
    <col min="7712" max="7712" width="10.75" style="326" bestFit="1" customWidth="1"/>
    <col min="7713" max="7713" width="13.75" style="326" customWidth="1"/>
    <col min="7714" max="7714" width="9" style="326"/>
    <col min="7715" max="7715" width="10.625" style="326" customWidth="1"/>
    <col min="7716" max="7716" width="9" style="326"/>
    <col min="7717" max="7717" width="14.25" style="326" customWidth="1"/>
    <col min="7718" max="7718" width="10.75" style="326" bestFit="1" customWidth="1"/>
    <col min="7719" max="7719" width="11.625" style="326" customWidth="1"/>
    <col min="7720" max="7720" width="13.75" style="326" customWidth="1"/>
    <col min="7721" max="7721" width="10.625" style="326" customWidth="1"/>
    <col min="7722" max="7723" width="9" style="326"/>
    <col min="7724" max="7724" width="14.125" style="326" customWidth="1"/>
    <col min="7725" max="7725" width="11" style="326" customWidth="1"/>
    <col min="7726" max="7726" width="10.75" style="326" bestFit="1" customWidth="1"/>
    <col min="7727" max="7727" width="13.5" style="326" customWidth="1"/>
    <col min="7728" max="7729" width="9" style="326"/>
    <col min="7730" max="7730" width="10.75" style="326" bestFit="1" customWidth="1"/>
    <col min="7731" max="7731" width="14" style="326" customWidth="1"/>
    <col min="7732" max="7732" width="9" style="326"/>
    <col min="7733" max="7733" width="10.75" style="326" customWidth="1"/>
    <col min="7734" max="7734" width="12.75" style="326" customWidth="1"/>
    <col min="7735" max="7735" width="9" style="326"/>
    <col min="7736" max="7736" width="10.75" style="326" bestFit="1" customWidth="1"/>
    <col min="7737" max="7737" width="11.5" style="326" customWidth="1"/>
    <col min="7738" max="7738" width="13.625" style="326" customWidth="1"/>
    <col min="7739" max="7739" width="10.625" style="326" customWidth="1"/>
    <col min="7740" max="7740" width="10.75" style="326" bestFit="1" customWidth="1"/>
    <col min="7741" max="7741" width="12.375" style="326" customWidth="1"/>
    <col min="7742" max="7744" width="9" style="326"/>
    <col min="7745" max="7745" width="15.75" style="326" customWidth="1"/>
    <col min="7746" max="7746" width="9" style="326"/>
    <col min="7747" max="7747" width="10.75" style="326" bestFit="1" customWidth="1"/>
    <col min="7748" max="7748" width="12.625" style="326" customWidth="1"/>
    <col min="7749" max="7751" width="9" style="326"/>
    <col min="7752" max="7752" width="13.625" style="326" customWidth="1"/>
    <col min="7753" max="7753" width="9" style="326"/>
    <col min="7754" max="7754" width="10.75" style="326" bestFit="1" customWidth="1"/>
    <col min="7755" max="7755" width="12.5" style="326" customWidth="1"/>
    <col min="7756" max="7758" width="9" style="326"/>
    <col min="7759" max="7759" width="12.875" style="326" customWidth="1"/>
    <col min="7760" max="7760" width="9" style="326"/>
    <col min="7761" max="7761" width="10.75" style="326" bestFit="1" customWidth="1"/>
    <col min="7762" max="7762" width="13.875" style="326" customWidth="1"/>
    <col min="7763" max="7765" width="9" style="326"/>
    <col min="7766" max="7766" width="14.125" style="326" customWidth="1"/>
    <col min="7767" max="7767" width="9" style="326"/>
    <col min="7768" max="7768" width="10.75" style="326" bestFit="1" customWidth="1"/>
    <col min="7769" max="7769" width="13.25" style="326" customWidth="1"/>
    <col min="7770" max="7772" width="9" style="326"/>
    <col min="7773" max="7773" width="13.25" style="326" customWidth="1"/>
    <col min="7774" max="7774" width="9" style="326"/>
    <col min="7775" max="7775" width="10.75" style="326" bestFit="1" customWidth="1"/>
    <col min="7776" max="7776" width="13.875" style="326" customWidth="1"/>
    <col min="7777" max="7779" width="9" style="326"/>
    <col min="7780" max="7780" width="13.625" style="326" customWidth="1"/>
    <col min="7781" max="7781" width="9" style="326"/>
    <col min="7782" max="7782" width="10.75" style="326" bestFit="1" customWidth="1"/>
    <col min="7783" max="7783" width="13" style="326" customWidth="1"/>
    <col min="7784" max="7930" width="9" style="326"/>
    <col min="7931" max="7932" width="12.125" style="326" customWidth="1"/>
    <col min="7933" max="7935" width="13" style="326" customWidth="1"/>
    <col min="7936" max="7936" width="12.875" style="326" customWidth="1"/>
    <col min="7937" max="7937" width="13" style="326" customWidth="1"/>
    <col min="7938" max="7938" width="13.125" style="326" customWidth="1"/>
    <col min="7939" max="7940" width="12.125" style="326" customWidth="1"/>
    <col min="7941" max="7941" width="14.375" style="326" bestFit="1" customWidth="1"/>
    <col min="7942" max="7942" width="11" style="326" customWidth="1"/>
    <col min="7943" max="7943" width="10" style="326" customWidth="1"/>
    <col min="7944" max="7944" width="10.875" style="326" customWidth="1"/>
    <col min="7945" max="7945" width="13.75" style="326" customWidth="1"/>
    <col min="7946" max="7946" width="10" style="326" customWidth="1"/>
    <col min="7947" max="7947" width="13.25" style="326" customWidth="1"/>
    <col min="7948" max="7948" width="14.375" style="326" customWidth="1"/>
    <col min="7949" max="7949" width="10" style="326" customWidth="1"/>
    <col min="7950" max="7950" width="10.875" style="326" customWidth="1"/>
    <col min="7951" max="7951" width="11.375" style="326" customWidth="1"/>
    <col min="7952" max="7952" width="15.375" style="326" customWidth="1"/>
    <col min="7953" max="7954" width="10.75" style="326" customWidth="1"/>
    <col min="7955" max="7955" width="14.375" style="326" customWidth="1"/>
    <col min="7956" max="7956" width="10.75" style="326" customWidth="1"/>
    <col min="7957" max="7957" width="11.75" style="326" customWidth="1"/>
    <col min="7958" max="7958" width="10" style="326" customWidth="1"/>
    <col min="7959" max="7959" width="15.375" style="326" customWidth="1"/>
    <col min="7960" max="7960" width="10" style="326" customWidth="1"/>
    <col min="7961" max="7961" width="10.75" style="326" customWidth="1"/>
    <col min="7962" max="7962" width="14.875" style="326" customWidth="1"/>
    <col min="7963" max="7963" width="11.5" style="326" customWidth="1"/>
    <col min="7964" max="7964" width="10" style="326" customWidth="1"/>
    <col min="7965" max="7965" width="10.75" style="326" customWidth="1"/>
    <col min="7966" max="7966" width="13.5" style="326" customWidth="1"/>
    <col min="7967" max="7967" width="9" style="326"/>
    <col min="7968" max="7968" width="10.75" style="326" bestFit="1" customWidth="1"/>
    <col min="7969" max="7969" width="13.75" style="326" customWidth="1"/>
    <col min="7970" max="7970" width="9" style="326"/>
    <col min="7971" max="7971" width="10.625" style="326" customWidth="1"/>
    <col min="7972" max="7972" width="9" style="326"/>
    <col min="7973" max="7973" width="14.25" style="326" customWidth="1"/>
    <col min="7974" max="7974" width="10.75" style="326" bestFit="1" customWidth="1"/>
    <col min="7975" max="7975" width="11.625" style="326" customWidth="1"/>
    <col min="7976" max="7976" width="13.75" style="326" customWidth="1"/>
    <col min="7977" max="7977" width="10.625" style="326" customWidth="1"/>
    <col min="7978" max="7979" width="9" style="326"/>
    <col min="7980" max="7980" width="14.125" style="326" customWidth="1"/>
    <col min="7981" max="7981" width="11" style="326" customWidth="1"/>
    <col min="7982" max="7982" width="10.75" style="326" bestFit="1" customWidth="1"/>
    <col min="7983" max="7983" width="13.5" style="326" customWidth="1"/>
    <col min="7984" max="7985" width="9" style="326"/>
    <col min="7986" max="7986" width="10.75" style="326" bestFit="1" customWidth="1"/>
    <col min="7987" max="7987" width="14" style="326" customWidth="1"/>
    <col min="7988" max="7988" width="9" style="326"/>
    <col min="7989" max="7989" width="10.75" style="326" customWidth="1"/>
    <col min="7990" max="7990" width="12.75" style="326" customWidth="1"/>
    <col min="7991" max="7991" width="9" style="326"/>
    <col min="7992" max="7992" width="10.75" style="326" bestFit="1" customWidth="1"/>
    <col min="7993" max="7993" width="11.5" style="326" customWidth="1"/>
    <col min="7994" max="7994" width="13.625" style="326" customWidth="1"/>
    <col min="7995" max="7995" width="10.625" style="326" customWidth="1"/>
    <col min="7996" max="7996" width="10.75" style="326" bestFit="1" customWidth="1"/>
    <col min="7997" max="7997" width="12.375" style="326" customWidth="1"/>
    <col min="7998" max="8000" width="9" style="326"/>
    <col min="8001" max="8001" width="15.75" style="326" customWidth="1"/>
    <col min="8002" max="8002" width="9" style="326"/>
    <col min="8003" max="8003" width="10.75" style="326" bestFit="1" customWidth="1"/>
    <col min="8004" max="8004" width="12.625" style="326" customWidth="1"/>
    <col min="8005" max="8007" width="9" style="326"/>
    <col min="8008" max="8008" width="13.625" style="326" customWidth="1"/>
    <col min="8009" max="8009" width="9" style="326"/>
    <col min="8010" max="8010" width="10.75" style="326" bestFit="1" customWidth="1"/>
    <col min="8011" max="8011" width="12.5" style="326" customWidth="1"/>
    <col min="8012" max="8014" width="9" style="326"/>
    <col min="8015" max="8015" width="12.875" style="326" customWidth="1"/>
    <col min="8016" max="8016" width="9" style="326"/>
    <col min="8017" max="8017" width="10.75" style="326" bestFit="1" customWidth="1"/>
    <col min="8018" max="8018" width="13.875" style="326" customWidth="1"/>
    <col min="8019" max="8021" width="9" style="326"/>
    <col min="8022" max="8022" width="14.125" style="326" customWidth="1"/>
    <col min="8023" max="8023" width="9" style="326"/>
    <col min="8024" max="8024" width="10.75" style="326" bestFit="1" customWidth="1"/>
    <col min="8025" max="8025" width="13.25" style="326" customWidth="1"/>
    <col min="8026" max="8028" width="9" style="326"/>
    <col min="8029" max="8029" width="13.25" style="326" customWidth="1"/>
    <col min="8030" max="8030" width="9" style="326"/>
    <col min="8031" max="8031" width="10.75" style="326" bestFit="1" customWidth="1"/>
    <col min="8032" max="8032" width="13.875" style="326" customWidth="1"/>
    <col min="8033" max="8035" width="9" style="326"/>
    <col min="8036" max="8036" width="13.625" style="326" customWidth="1"/>
    <col min="8037" max="8037" width="9" style="326"/>
    <col min="8038" max="8038" width="10.75" style="326" bestFit="1" customWidth="1"/>
    <col min="8039" max="8039" width="13" style="326" customWidth="1"/>
    <col min="8040" max="8186" width="9" style="326"/>
    <col min="8187" max="8188" width="12.125" style="326" customWidth="1"/>
    <col min="8189" max="8191" width="13" style="326" customWidth="1"/>
    <col min="8192" max="8192" width="12.875" style="326" customWidth="1"/>
    <col min="8193" max="8193" width="13" style="326" customWidth="1"/>
    <col min="8194" max="8194" width="13.125" style="326" customWidth="1"/>
    <col min="8195" max="8196" width="12.125" style="326" customWidth="1"/>
    <col min="8197" max="8197" width="14.375" style="326" bestFit="1" customWidth="1"/>
    <col min="8198" max="8198" width="11" style="326" customWidth="1"/>
    <col min="8199" max="8199" width="10" style="326" customWidth="1"/>
    <col min="8200" max="8200" width="10.875" style="326" customWidth="1"/>
    <col min="8201" max="8201" width="13.75" style="326" customWidth="1"/>
    <col min="8202" max="8202" width="10" style="326" customWidth="1"/>
    <col min="8203" max="8203" width="13.25" style="326" customWidth="1"/>
    <col min="8204" max="8204" width="14.375" style="326" customWidth="1"/>
    <col min="8205" max="8205" width="10" style="326" customWidth="1"/>
    <col min="8206" max="8206" width="10.875" style="326" customWidth="1"/>
    <col min="8207" max="8207" width="11.375" style="326" customWidth="1"/>
    <col min="8208" max="8208" width="15.375" style="326" customWidth="1"/>
    <col min="8209" max="8210" width="10.75" style="326" customWidth="1"/>
    <col min="8211" max="8211" width="14.375" style="326" customWidth="1"/>
    <col min="8212" max="8212" width="10.75" style="326" customWidth="1"/>
    <col min="8213" max="8213" width="11.75" style="326" customWidth="1"/>
    <col min="8214" max="8214" width="10" style="326" customWidth="1"/>
    <col min="8215" max="8215" width="15.375" style="326" customWidth="1"/>
    <col min="8216" max="8216" width="10" style="326" customWidth="1"/>
    <col min="8217" max="8217" width="10.75" style="326" customWidth="1"/>
    <col min="8218" max="8218" width="14.875" style="326" customWidth="1"/>
    <col min="8219" max="8219" width="11.5" style="326" customWidth="1"/>
    <col min="8220" max="8220" width="10" style="326" customWidth="1"/>
    <col min="8221" max="8221" width="10.75" style="326" customWidth="1"/>
    <col min="8222" max="8222" width="13.5" style="326" customWidth="1"/>
    <col min="8223" max="8223" width="9" style="326"/>
    <col min="8224" max="8224" width="10.75" style="326" bestFit="1" customWidth="1"/>
    <col min="8225" max="8225" width="13.75" style="326" customWidth="1"/>
    <col min="8226" max="8226" width="9" style="326"/>
    <col min="8227" max="8227" width="10.625" style="326" customWidth="1"/>
    <col min="8228" max="8228" width="9" style="326"/>
    <col min="8229" max="8229" width="14.25" style="326" customWidth="1"/>
    <col min="8230" max="8230" width="10.75" style="326" bestFit="1" customWidth="1"/>
    <col min="8231" max="8231" width="11.625" style="326" customWidth="1"/>
    <col min="8232" max="8232" width="13.75" style="326" customWidth="1"/>
    <col min="8233" max="8233" width="10.625" style="326" customWidth="1"/>
    <col min="8234" max="8235" width="9" style="326"/>
    <col min="8236" max="8236" width="14.125" style="326" customWidth="1"/>
    <col min="8237" max="8237" width="11" style="326" customWidth="1"/>
    <col min="8238" max="8238" width="10.75" style="326" bestFit="1" customWidth="1"/>
    <col min="8239" max="8239" width="13.5" style="326" customWidth="1"/>
    <col min="8240" max="8241" width="9" style="326"/>
    <col min="8242" max="8242" width="10.75" style="326" bestFit="1" customWidth="1"/>
    <col min="8243" max="8243" width="14" style="326" customWidth="1"/>
    <col min="8244" max="8244" width="9" style="326"/>
    <col min="8245" max="8245" width="10.75" style="326" customWidth="1"/>
    <col min="8246" max="8246" width="12.75" style="326" customWidth="1"/>
    <col min="8247" max="8247" width="9" style="326"/>
    <col min="8248" max="8248" width="10.75" style="326" bestFit="1" customWidth="1"/>
    <col min="8249" max="8249" width="11.5" style="326" customWidth="1"/>
    <col min="8250" max="8250" width="13.625" style="326" customWidth="1"/>
    <col min="8251" max="8251" width="10.625" style="326" customWidth="1"/>
    <col min="8252" max="8252" width="10.75" style="326" bestFit="1" customWidth="1"/>
    <col min="8253" max="8253" width="12.375" style="326" customWidth="1"/>
    <col min="8254" max="8256" width="9" style="326"/>
    <col min="8257" max="8257" width="15.75" style="326" customWidth="1"/>
    <col min="8258" max="8258" width="9" style="326"/>
    <col min="8259" max="8259" width="10.75" style="326" bestFit="1" customWidth="1"/>
    <col min="8260" max="8260" width="12.625" style="326" customWidth="1"/>
    <col min="8261" max="8263" width="9" style="326"/>
    <col min="8264" max="8264" width="13.625" style="326" customWidth="1"/>
    <col min="8265" max="8265" width="9" style="326"/>
    <col min="8266" max="8266" width="10.75" style="326" bestFit="1" customWidth="1"/>
    <col min="8267" max="8267" width="12.5" style="326" customWidth="1"/>
    <col min="8268" max="8270" width="9" style="326"/>
    <col min="8271" max="8271" width="12.875" style="326" customWidth="1"/>
    <col min="8272" max="8272" width="9" style="326"/>
    <col min="8273" max="8273" width="10.75" style="326" bestFit="1" customWidth="1"/>
    <col min="8274" max="8274" width="13.875" style="326" customWidth="1"/>
    <col min="8275" max="8277" width="9" style="326"/>
    <col min="8278" max="8278" width="14.125" style="326" customWidth="1"/>
    <col min="8279" max="8279" width="9" style="326"/>
    <col min="8280" max="8280" width="10.75" style="326" bestFit="1" customWidth="1"/>
    <col min="8281" max="8281" width="13.25" style="326" customWidth="1"/>
    <col min="8282" max="8284" width="9" style="326"/>
    <col min="8285" max="8285" width="13.25" style="326" customWidth="1"/>
    <col min="8286" max="8286" width="9" style="326"/>
    <col min="8287" max="8287" width="10.75" style="326" bestFit="1" customWidth="1"/>
    <col min="8288" max="8288" width="13.875" style="326" customWidth="1"/>
    <col min="8289" max="8291" width="9" style="326"/>
    <col min="8292" max="8292" width="13.625" style="326" customWidth="1"/>
    <col min="8293" max="8293" width="9" style="326"/>
    <col min="8294" max="8294" width="10.75" style="326" bestFit="1" customWidth="1"/>
    <col min="8295" max="8295" width="13" style="326" customWidth="1"/>
    <col min="8296" max="8442" width="9" style="326"/>
    <col min="8443" max="8444" width="12.125" style="326" customWidth="1"/>
    <col min="8445" max="8447" width="13" style="326" customWidth="1"/>
    <col min="8448" max="8448" width="12.875" style="326" customWidth="1"/>
    <col min="8449" max="8449" width="13" style="326" customWidth="1"/>
    <col min="8450" max="8450" width="13.125" style="326" customWidth="1"/>
    <col min="8451" max="8452" width="12.125" style="326" customWidth="1"/>
    <col min="8453" max="8453" width="14.375" style="326" bestFit="1" customWidth="1"/>
    <col min="8454" max="8454" width="11" style="326" customWidth="1"/>
    <col min="8455" max="8455" width="10" style="326" customWidth="1"/>
    <col min="8456" max="8456" width="10.875" style="326" customWidth="1"/>
    <col min="8457" max="8457" width="13.75" style="326" customWidth="1"/>
    <col min="8458" max="8458" width="10" style="326" customWidth="1"/>
    <col min="8459" max="8459" width="13.25" style="326" customWidth="1"/>
    <col min="8460" max="8460" width="14.375" style="326" customWidth="1"/>
    <col min="8461" max="8461" width="10" style="326" customWidth="1"/>
    <col min="8462" max="8462" width="10.875" style="326" customWidth="1"/>
    <col min="8463" max="8463" width="11.375" style="326" customWidth="1"/>
    <col min="8464" max="8464" width="15.375" style="326" customWidth="1"/>
    <col min="8465" max="8466" width="10.75" style="326" customWidth="1"/>
    <col min="8467" max="8467" width="14.375" style="326" customWidth="1"/>
    <col min="8468" max="8468" width="10.75" style="326" customWidth="1"/>
    <col min="8469" max="8469" width="11.75" style="326" customWidth="1"/>
    <col min="8470" max="8470" width="10" style="326" customWidth="1"/>
    <col min="8471" max="8471" width="15.375" style="326" customWidth="1"/>
    <col min="8472" max="8472" width="10" style="326" customWidth="1"/>
    <col min="8473" max="8473" width="10.75" style="326" customWidth="1"/>
    <col min="8474" max="8474" width="14.875" style="326" customWidth="1"/>
    <col min="8475" max="8475" width="11.5" style="326" customWidth="1"/>
    <col min="8476" max="8476" width="10" style="326" customWidth="1"/>
    <col min="8477" max="8477" width="10.75" style="326" customWidth="1"/>
    <col min="8478" max="8478" width="13.5" style="326" customWidth="1"/>
    <col min="8479" max="8479" width="9" style="326"/>
    <col min="8480" max="8480" width="10.75" style="326" bestFit="1" customWidth="1"/>
    <col min="8481" max="8481" width="13.75" style="326" customWidth="1"/>
    <col min="8482" max="8482" width="9" style="326"/>
    <col min="8483" max="8483" width="10.625" style="326" customWidth="1"/>
    <col min="8484" max="8484" width="9" style="326"/>
    <col min="8485" max="8485" width="14.25" style="326" customWidth="1"/>
    <col min="8486" max="8486" width="10.75" style="326" bestFit="1" customWidth="1"/>
    <col min="8487" max="8487" width="11.625" style="326" customWidth="1"/>
    <col min="8488" max="8488" width="13.75" style="326" customWidth="1"/>
    <col min="8489" max="8489" width="10.625" style="326" customWidth="1"/>
    <col min="8490" max="8491" width="9" style="326"/>
    <col min="8492" max="8492" width="14.125" style="326" customWidth="1"/>
    <col min="8493" max="8493" width="11" style="326" customWidth="1"/>
    <col min="8494" max="8494" width="10.75" style="326" bestFit="1" customWidth="1"/>
    <col min="8495" max="8495" width="13.5" style="326" customWidth="1"/>
    <col min="8496" max="8497" width="9" style="326"/>
    <col min="8498" max="8498" width="10.75" style="326" bestFit="1" customWidth="1"/>
    <col min="8499" max="8499" width="14" style="326" customWidth="1"/>
    <col min="8500" max="8500" width="9" style="326"/>
    <col min="8501" max="8501" width="10.75" style="326" customWidth="1"/>
    <col min="8502" max="8502" width="12.75" style="326" customWidth="1"/>
    <col min="8503" max="8503" width="9" style="326"/>
    <col min="8504" max="8504" width="10.75" style="326" bestFit="1" customWidth="1"/>
    <col min="8505" max="8505" width="11.5" style="326" customWidth="1"/>
    <col min="8506" max="8506" width="13.625" style="326" customWidth="1"/>
    <col min="8507" max="8507" width="10.625" style="326" customWidth="1"/>
    <col min="8508" max="8508" width="10.75" style="326" bestFit="1" customWidth="1"/>
    <col min="8509" max="8509" width="12.375" style="326" customWidth="1"/>
    <col min="8510" max="8512" width="9" style="326"/>
    <col min="8513" max="8513" width="15.75" style="326" customWidth="1"/>
    <col min="8514" max="8514" width="9" style="326"/>
    <col min="8515" max="8515" width="10.75" style="326" bestFit="1" customWidth="1"/>
    <col min="8516" max="8516" width="12.625" style="326" customWidth="1"/>
    <col min="8517" max="8519" width="9" style="326"/>
    <col min="8520" max="8520" width="13.625" style="326" customWidth="1"/>
    <col min="8521" max="8521" width="9" style="326"/>
    <col min="8522" max="8522" width="10.75" style="326" bestFit="1" customWidth="1"/>
    <col min="8523" max="8523" width="12.5" style="326" customWidth="1"/>
    <col min="8524" max="8526" width="9" style="326"/>
    <col min="8527" max="8527" width="12.875" style="326" customWidth="1"/>
    <col min="8528" max="8528" width="9" style="326"/>
    <col min="8529" max="8529" width="10.75" style="326" bestFit="1" customWidth="1"/>
    <col min="8530" max="8530" width="13.875" style="326" customWidth="1"/>
    <col min="8531" max="8533" width="9" style="326"/>
    <col min="8534" max="8534" width="14.125" style="326" customWidth="1"/>
    <col min="8535" max="8535" width="9" style="326"/>
    <col min="8536" max="8536" width="10.75" style="326" bestFit="1" customWidth="1"/>
    <col min="8537" max="8537" width="13.25" style="326" customWidth="1"/>
    <col min="8538" max="8540" width="9" style="326"/>
    <col min="8541" max="8541" width="13.25" style="326" customWidth="1"/>
    <col min="8542" max="8542" width="9" style="326"/>
    <col min="8543" max="8543" width="10.75" style="326" bestFit="1" customWidth="1"/>
    <col min="8544" max="8544" width="13.875" style="326" customWidth="1"/>
    <col min="8545" max="8547" width="9" style="326"/>
    <col min="8548" max="8548" width="13.625" style="326" customWidth="1"/>
    <col min="8549" max="8549" width="9" style="326"/>
    <col min="8550" max="8550" width="10.75" style="326" bestFit="1" customWidth="1"/>
    <col min="8551" max="8551" width="13" style="326" customWidth="1"/>
    <col min="8552" max="8698" width="9" style="326"/>
    <col min="8699" max="8700" width="12.125" style="326" customWidth="1"/>
    <col min="8701" max="8703" width="13" style="326" customWidth="1"/>
    <col min="8704" max="8704" width="12.875" style="326" customWidth="1"/>
    <col min="8705" max="8705" width="13" style="326" customWidth="1"/>
    <col min="8706" max="8706" width="13.125" style="326" customWidth="1"/>
    <col min="8707" max="8708" width="12.125" style="326" customWidth="1"/>
    <col min="8709" max="8709" width="14.375" style="326" bestFit="1" customWidth="1"/>
    <col min="8710" max="8710" width="11" style="326" customWidth="1"/>
    <col min="8711" max="8711" width="10" style="326" customWidth="1"/>
    <col min="8712" max="8712" width="10.875" style="326" customWidth="1"/>
    <col min="8713" max="8713" width="13.75" style="326" customWidth="1"/>
    <col min="8714" max="8714" width="10" style="326" customWidth="1"/>
    <col min="8715" max="8715" width="13.25" style="326" customWidth="1"/>
    <col min="8716" max="8716" width="14.375" style="326" customWidth="1"/>
    <col min="8717" max="8717" width="10" style="326" customWidth="1"/>
    <col min="8718" max="8718" width="10.875" style="326" customWidth="1"/>
    <col min="8719" max="8719" width="11.375" style="326" customWidth="1"/>
    <col min="8720" max="8720" width="15.375" style="326" customWidth="1"/>
    <col min="8721" max="8722" width="10.75" style="326" customWidth="1"/>
    <col min="8723" max="8723" width="14.375" style="326" customWidth="1"/>
    <col min="8724" max="8724" width="10.75" style="326" customWidth="1"/>
    <col min="8725" max="8725" width="11.75" style="326" customWidth="1"/>
    <col min="8726" max="8726" width="10" style="326" customWidth="1"/>
    <col min="8727" max="8727" width="15.375" style="326" customWidth="1"/>
    <col min="8728" max="8728" width="10" style="326" customWidth="1"/>
    <col min="8729" max="8729" width="10.75" style="326" customWidth="1"/>
    <col min="8730" max="8730" width="14.875" style="326" customWidth="1"/>
    <col min="8731" max="8731" width="11.5" style="326" customWidth="1"/>
    <col min="8732" max="8732" width="10" style="326" customWidth="1"/>
    <col min="8733" max="8733" width="10.75" style="326" customWidth="1"/>
    <col min="8734" max="8734" width="13.5" style="326" customWidth="1"/>
    <col min="8735" max="8735" width="9" style="326"/>
    <col min="8736" max="8736" width="10.75" style="326" bestFit="1" customWidth="1"/>
    <col min="8737" max="8737" width="13.75" style="326" customWidth="1"/>
    <col min="8738" max="8738" width="9" style="326"/>
    <col min="8739" max="8739" width="10.625" style="326" customWidth="1"/>
    <col min="8740" max="8740" width="9" style="326"/>
    <col min="8741" max="8741" width="14.25" style="326" customWidth="1"/>
    <col min="8742" max="8742" width="10.75" style="326" bestFit="1" customWidth="1"/>
    <col min="8743" max="8743" width="11.625" style="326" customWidth="1"/>
    <col min="8744" max="8744" width="13.75" style="326" customWidth="1"/>
    <col min="8745" max="8745" width="10.625" style="326" customWidth="1"/>
    <col min="8746" max="8747" width="9" style="326"/>
    <col min="8748" max="8748" width="14.125" style="326" customWidth="1"/>
    <col min="8749" max="8749" width="11" style="326" customWidth="1"/>
    <col min="8750" max="8750" width="10.75" style="326" bestFit="1" customWidth="1"/>
    <col min="8751" max="8751" width="13.5" style="326" customWidth="1"/>
    <col min="8752" max="8753" width="9" style="326"/>
    <col min="8754" max="8754" width="10.75" style="326" bestFit="1" customWidth="1"/>
    <col min="8755" max="8755" width="14" style="326" customWidth="1"/>
    <col min="8756" max="8756" width="9" style="326"/>
    <col min="8757" max="8757" width="10.75" style="326" customWidth="1"/>
    <col min="8758" max="8758" width="12.75" style="326" customWidth="1"/>
    <col min="8759" max="8759" width="9" style="326"/>
    <col min="8760" max="8760" width="10.75" style="326" bestFit="1" customWidth="1"/>
    <col min="8761" max="8761" width="11.5" style="326" customWidth="1"/>
    <col min="8762" max="8762" width="13.625" style="326" customWidth="1"/>
    <col min="8763" max="8763" width="10.625" style="326" customWidth="1"/>
    <col min="8764" max="8764" width="10.75" style="326" bestFit="1" customWidth="1"/>
    <col min="8765" max="8765" width="12.375" style="326" customWidth="1"/>
    <col min="8766" max="8768" width="9" style="326"/>
    <col min="8769" max="8769" width="15.75" style="326" customWidth="1"/>
    <col min="8770" max="8770" width="9" style="326"/>
    <col min="8771" max="8771" width="10.75" style="326" bestFit="1" customWidth="1"/>
    <col min="8772" max="8772" width="12.625" style="326" customWidth="1"/>
    <col min="8773" max="8775" width="9" style="326"/>
    <col min="8776" max="8776" width="13.625" style="326" customWidth="1"/>
    <col min="8777" max="8777" width="9" style="326"/>
    <col min="8778" max="8778" width="10.75" style="326" bestFit="1" customWidth="1"/>
    <col min="8779" max="8779" width="12.5" style="326" customWidth="1"/>
    <col min="8780" max="8782" width="9" style="326"/>
    <col min="8783" max="8783" width="12.875" style="326" customWidth="1"/>
    <col min="8784" max="8784" width="9" style="326"/>
    <col min="8785" max="8785" width="10.75" style="326" bestFit="1" customWidth="1"/>
    <col min="8786" max="8786" width="13.875" style="326" customWidth="1"/>
    <col min="8787" max="8789" width="9" style="326"/>
    <col min="8790" max="8790" width="14.125" style="326" customWidth="1"/>
    <col min="8791" max="8791" width="9" style="326"/>
    <col min="8792" max="8792" width="10.75" style="326" bestFit="1" customWidth="1"/>
    <col min="8793" max="8793" width="13.25" style="326" customWidth="1"/>
    <col min="8794" max="8796" width="9" style="326"/>
    <col min="8797" max="8797" width="13.25" style="326" customWidth="1"/>
    <col min="8798" max="8798" width="9" style="326"/>
    <col min="8799" max="8799" width="10.75" style="326" bestFit="1" customWidth="1"/>
    <col min="8800" max="8800" width="13.875" style="326" customWidth="1"/>
    <col min="8801" max="8803" width="9" style="326"/>
    <col min="8804" max="8804" width="13.625" style="326" customWidth="1"/>
    <col min="8805" max="8805" width="9" style="326"/>
    <col min="8806" max="8806" width="10.75" style="326" bestFit="1" customWidth="1"/>
    <col min="8807" max="8807" width="13" style="326" customWidth="1"/>
    <col min="8808" max="8954" width="9" style="326"/>
    <col min="8955" max="8956" width="12.125" style="326" customWidth="1"/>
    <col min="8957" max="8959" width="13" style="326" customWidth="1"/>
    <col min="8960" max="8960" width="12.875" style="326" customWidth="1"/>
    <col min="8961" max="8961" width="13" style="326" customWidth="1"/>
    <col min="8962" max="8962" width="13.125" style="326" customWidth="1"/>
    <col min="8963" max="8964" width="12.125" style="326" customWidth="1"/>
    <col min="8965" max="8965" width="14.375" style="326" bestFit="1" customWidth="1"/>
    <col min="8966" max="8966" width="11" style="326" customWidth="1"/>
    <col min="8967" max="8967" width="10" style="326" customWidth="1"/>
    <col min="8968" max="8968" width="10.875" style="326" customWidth="1"/>
    <col min="8969" max="8969" width="13.75" style="326" customWidth="1"/>
    <col min="8970" max="8970" width="10" style="326" customWidth="1"/>
    <col min="8971" max="8971" width="13.25" style="326" customWidth="1"/>
    <col min="8972" max="8972" width="14.375" style="326" customWidth="1"/>
    <col min="8973" max="8973" width="10" style="326" customWidth="1"/>
    <col min="8974" max="8974" width="10.875" style="326" customWidth="1"/>
    <col min="8975" max="8975" width="11.375" style="326" customWidth="1"/>
    <col min="8976" max="8976" width="15.375" style="326" customWidth="1"/>
    <col min="8977" max="8978" width="10.75" style="326" customWidth="1"/>
    <col min="8979" max="8979" width="14.375" style="326" customWidth="1"/>
    <col min="8980" max="8980" width="10.75" style="326" customWidth="1"/>
    <col min="8981" max="8981" width="11.75" style="326" customWidth="1"/>
    <col min="8982" max="8982" width="10" style="326" customWidth="1"/>
    <col min="8983" max="8983" width="15.375" style="326" customWidth="1"/>
    <col min="8984" max="8984" width="10" style="326" customWidth="1"/>
    <col min="8985" max="8985" width="10.75" style="326" customWidth="1"/>
    <col min="8986" max="8986" width="14.875" style="326" customWidth="1"/>
    <col min="8987" max="8987" width="11.5" style="326" customWidth="1"/>
    <col min="8988" max="8988" width="10" style="326" customWidth="1"/>
    <col min="8989" max="8989" width="10.75" style="326" customWidth="1"/>
    <col min="8990" max="8990" width="13.5" style="326" customWidth="1"/>
    <col min="8991" max="8991" width="9" style="326"/>
    <col min="8992" max="8992" width="10.75" style="326" bestFit="1" customWidth="1"/>
    <col min="8993" max="8993" width="13.75" style="326" customWidth="1"/>
    <col min="8994" max="8994" width="9" style="326"/>
    <col min="8995" max="8995" width="10.625" style="326" customWidth="1"/>
    <col min="8996" max="8996" width="9" style="326"/>
    <col min="8997" max="8997" width="14.25" style="326" customWidth="1"/>
    <col min="8998" max="8998" width="10.75" style="326" bestFit="1" customWidth="1"/>
    <col min="8999" max="8999" width="11.625" style="326" customWidth="1"/>
    <col min="9000" max="9000" width="13.75" style="326" customWidth="1"/>
    <col min="9001" max="9001" width="10.625" style="326" customWidth="1"/>
    <col min="9002" max="9003" width="9" style="326"/>
    <col min="9004" max="9004" width="14.125" style="326" customWidth="1"/>
    <col min="9005" max="9005" width="11" style="326" customWidth="1"/>
    <col min="9006" max="9006" width="10.75" style="326" bestFit="1" customWidth="1"/>
    <col min="9007" max="9007" width="13.5" style="326" customWidth="1"/>
    <col min="9008" max="9009" width="9" style="326"/>
    <col min="9010" max="9010" width="10.75" style="326" bestFit="1" customWidth="1"/>
    <col min="9011" max="9011" width="14" style="326" customWidth="1"/>
    <col min="9012" max="9012" width="9" style="326"/>
    <col min="9013" max="9013" width="10.75" style="326" customWidth="1"/>
    <col min="9014" max="9014" width="12.75" style="326" customWidth="1"/>
    <col min="9015" max="9015" width="9" style="326"/>
    <col min="9016" max="9016" width="10.75" style="326" bestFit="1" customWidth="1"/>
    <col min="9017" max="9017" width="11.5" style="326" customWidth="1"/>
    <col min="9018" max="9018" width="13.625" style="326" customWidth="1"/>
    <col min="9019" max="9019" width="10.625" style="326" customWidth="1"/>
    <col min="9020" max="9020" width="10.75" style="326" bestFit="1" customWidth="1"/>
    <col min="9021" max="9021" width="12.375" style="326" customWidth="1"/>
    <col min="9022" max="9024" width="9" style="326"/>
    <col min="9025" max="9025" width="15.75" style="326" customWidth="1"/>
    <col min="9026" max="9026" width="9" style="326"/>
    <col min="9027" max="9027" width="10.75" style="326" bestFit="1" customWidth="1"/>
    <col min="9028" max="9028" width="12.625" style="326" customWidth="1"/>
    <col min="9029" max="9031" width="9" style="326"/>
    <col min="9032" max="9032" width="13.625" style="326" customWidth="1"/>
    <col min="9033" max="9033" width="9" style="326"/>
    <col min="9034" max="9034" width="10.75" style="326" bestFit="1" customWidth="1"/>
    <col min="9035" max="9035" width="12.5" style="326" customWidth="1"/>
    <col min="9036" max="9038" width="9" style="326"/>
    <col min="9039" max="9039" width="12.875" style="326" customWidth="1"/>
    <col min="9040" max="9040" width="9" style="326"/>
    <col min="9041" max="9041" width="10.75" style="326" bestFit="1" customWidth="1"/>
    <col min="9042" max="9042" width="13.875" style="326" customWidth="1"/>
    <col min="9043" max="9045" width="9" style="326"/>
    <col min="9046" max="9046" width="14.125" style="326" customWidth="1"/>
    <col min="9047" max="9047" width="9" style="326"/>
    <col min="9048" max="9048" width="10.75" style="326" bestFit="1" customWidth="1"/>
    <col min="9049" max="9049" width="13.25" style="326" customWidth="1"/>
    <col min="9050" max="9052" width="9" style="326"/>
    <col min="9053" max="9053" width="13.25" style="326" customWidth="1"/>
    <col min="9054" max="9054" width="9" style="326"/>
    <col min="9055" max="9055" width="10.75" style="326" bestFit="1" customWidth="1"/>
    <col min="9056" max="9056" width="13.875" style="326" customWidth="1"/>
    <col min="9057" max="9059" width="9" style="326"/>
    <col min="9060" max="9060" width="13.625" style="326" customWidth="1"/>
    <col min="9061" max="9061" width="9" style="326"/>
    <col min="9062" max="9062" width="10.75" style="326" bestFit="1" customWidth="1"/>
    <col min="9063" max="9063" width="13" style="326" customWidth="1"/>
    <col min="9064" max="9210" width="9" style="326"/>
    <col min="9211" max="9212" width="12.125" style="326" customWidth="1"/>
    <col min="9213" max="9215" width="13" style="326" customWidth="1"/>
    <col min="9216" max="9216" width="12.875" style="326" customWidth="1"/>
    <col min="9217" max="9217" width="13" style="326" customWidth="1"/>
    <col min="9218" max="9218" width="13.125" style="326" customWidth="1"/>
    <col min="9219" max="9220" width="12.125" style="326" customWidth="1"/>
    <col min="9221" max="9221" width="14.375" style="326" bestFit="1" customWidth="1"/>
    <col min="9222" max="9222" width="11" style="326" customWidth="1"/>
    <col min="9223" max="9223" width="10" style="326" customWidth="1"/>
    <col min="9224" max="9224" width="10.875" style="326" customWidth="1"/>
    <col min="9225" max="9225" width="13.75" style="326" customWidth="1"/>
    <col min="9226" max="9226" width="10" style="326" customWidth="1"/>
    <col min="9227" max="9227" width="13.25" style="326" customWidth="1"/>
    <col min="9228" max="9228" width="14.375" style="326" customWidth="1"/>
    <col min="9229" max="9229" width="10" style="326" customWidth="1"/>
    <col min="9230" max="9230" width="10.875" style="326" customWidth="1"/>
    <col min="9231" max="9231" width="11.375" style="326" customWidth="1"/>
    <col min="9232" max="9232" width="15.375" style="326" customWidth="1"/>
    <col min="9233" max="9234" width="10.75" style="326" customWidth="1"/>
    <col min="9235" max="9235" width="14.375" style="326" customWidth="1"/>
    <col min="9236" max="9236" width="10.75" style="326" customWidth="1"/>
    <col min="9237" max="9237" width="11.75" style="326" customWidth="1"/>
    <col min="9238" max="9238" width="10" style="326" customWidth="1"/>
    <col min="9239" max="9239" width="15.375" style="326" customWidth="1"/>
    <col min="9240" max="9240" width="10" style="326" customWidth="1"/>
    <col min="9241" max="9241" width="10.75" style="326" customWidth="1"/>
    <col min="9242" max="9242" width="14.875" style="326" customWidth="1"/>
    <col min="9243" max="9243" width="11.5" style="326" customWidth="1"/>
    <col min="9244" max="9244" width="10" style="326" customWidth="1"/>
    <col min="9245" max="9245" width="10.75" style="326" customWidth="1"/>
    <col min="9246" max="9246" width="13.5" style="326" customWidth="1"/>
    <col min="9247" max="9247" width="9" style="326"/>
    <col min="9248" max="9248" width="10.75" style="326" bestFit="1" customWidth="1"/>
    <col min="9249" max="9249" width="13.75" style="326" customWidth="1"/>
    <col min="9250" max="9250" width="9" style="326"/>
    <col min="9251" max="9251" width="10.625" style="326" customWidth="1"/>
    <col min="9252" max="9252" width="9" style="326"/>
    <col min="9253" max="9253" width="14.25" style="326" customWidth="1"/>
    <col min="9254" max="9254" width="10.75" style="326" bestFit="1" customWidth="1"/>
    <col min="9255" max="9255" width="11.625" style="326" customWidth="1"/>
    <col min="9256" max="9256" width="13.75" style="326" customWidth="1"/>
    <col min="9257" max="9257" width="10.625" style="326" customWidth="1"/>
    <col min="9258" max="9259" width="9" style="326"/>
    <col min="9260" max="9260" width="14.125" style="326" customWidth="1"/>
    <col min="9261" max="9261" width="11" style="326" customWidth="1"/>
    <col min="9262" max="9262" width="10.75" style="326" bestFit="1" customWidth="1"/>
    <col min="9263" max="9263" width="13.5" style="326" customWidth="1"/>
    <col min="9264" max="9265" width="9" style="326"/>
    <col min="9266" max="9266" width="10.75" style="326" bestFit="1" customWidth="1"/>
    <col min="9267" max="9267" width="14" style="326" customWidth="1"/>
    <col min="9268" max="9268" width="9" style="326"/>
    <col min="9269" max="9269" width="10.75" style="326" customWidth="1"/>
    <col min="9270" max="9270" width="12.75" style="326" customWidth="1"/>
    <col min="9271" max="9271" width="9" style="326"/>
    <col min="9272" max="9272" width="10.75" style="326" bestFit="1" customWidth="1"/>
    <col min="9273" max="9273" width="11.5" style="326" customWidth="1"/>
    <col min="9274" max="9274" width="13.625" style="326" customWidth="1"/>
    <col min="9275" max="9275" width="10.625" style="326" customWidth="1"/>
    <col min="9276" max="9276" width="10.75" style="326" bestFit="1" customWidth="1"/>
    <col min="9277" max="9277" width="12.375" style="326" customWidth="1"/>
    <col min="9278" max="9280" width="9" style="326"/>
    <col min="9281" max="9281" width="15.75" style="326" customWidth="1"/>
    <col min="9282" max="9282" width="9" style="326"/>
    <col min="9283" max="9283" width="10.75" style="326" bestFit="1" customWidth="1"/>
    <col min="9284" max="9284" width="12.625" style="326" customWidth="1"/>
    <col min="9285" max="9287" width="9" style="326"/>
    <col min="9288" max="9288" width="13.625" style="326" customWidth="1"/>
    <col min="9289" max="9289" width="9" style="326"/>
    <col min="9290" max="9290" width="10.75" style="326" bestFit="1" customWidth="1"/>
    <col min="9291" max="9291" width="12.5" style="326" customWidth="1"/>
    <col min="9292" max="9294" width="9" style="326"/>
    <col min="9295" max="9295" width="12.875" style="326" customWidth="1"/>
    <col min="9296" max="9296" width="9" style="326"/>
    <col min="9297" max="9297" width="10.75" style="326" bestFit="1" customWidth="1"/>
    <col min="9298" max="9298" width="13.875" style="326" customWidth="1"/>
    <col min="9299" max="9301" width="9" style="326"/>
    <col min="9302" max="9302" width="14.125" style="326" customWidth="1"/>
    <col min="9303" max="9303" width="9" style="326"/>
    <col min="9304" max="9304" width="10.75" style="326" bestFit="1" customWidth="1"/>
    <col min="9305" max="9305" width="13.25" style="326" customWidth="1"/>
    <col min="9306" max="9308" width="9" style="326"/>
    <col min="9309" max="9309" width="13.25" style="326" customWidth="1"/>
    <col min="9310" max="9310" width="9" style="326"/>
    <col min="9311" max="9311" width="10.75" style="326" bestFit="1" customWidth="1"/>
    <col min="9312" max="9312" width="13.875" style="326" customWidth="1"/>
    <col min="9313" max="9315" width="9" style="326"/>
    <col min="9316" max="9316" width="13.625" style="326" customWidth="1"/>
    <col min="9317" max="9317" width="9" style="326"/>
    <col min="9318" max="9318" width="10.75" style="326" bestFit="1" customWidth="1"/>
    <col min="9319" max="9319" width="13" style="326" customWidth="1"/>
    <col min="9320" max="9466" width="9" style="326"/>
    <col min="9467" max="9468" width="12.125" style="326" customWidth="1"/>
    <col min="9469" max="9471" width="13" style="326" customWidth="1"/>
    <col min="9472" max="9472" width="12.875" style="326" customWidth="1"/>
    <col min="9473" max="9473" width="13" style="326" customWidth="1"/>
    <col min="9474" max="9474" width="13.125" style="326" customWidth="1"/>
    <col min="9475" max="9476" width="12.125" style="326" customWidth="1"/>
    <col min="9477" max="9477" width="14.375" style="326" bestFit="1" customWidth="1"/>
    <col min="9478" max="9478" width="11" style="326" customWidth="1"/>
    <col min="9479" max="9479" width="10" style="326" customWidth="1"/>
    <col min="9480" max="9480" width="10.875" style="326" customWidth="1"/>
    <col min="9481" max="9481" width="13.75" style="326" customWidth="1"/>
    <col min="9482" max="9482" width="10" style="326" customWidth="1"/>
    <col min="9483" max="9483" width="13.25" style="326" customWidth="1"/>
    <col min="9484" max="9484" width="14.375" style="326" customWidth="1"/>
    <col min="9485" max="9485" width="10" style="326" customWidth="1"/>
    <col min="9486" max="9486" width="10.875" style="326" customWidth="1"/>
    <col min="9487" max="9487" width="11.375" style="326" customWidth="1"/>
    <col min="9488" max="9488" width="15.375" style="326" customWidth="1"/>
    <col min="9489" max="9490" width="10.75" style="326" customWidth="1"/>
    <col min="9491" max="9491" width="14.375" style="326" customWidth="1"/>
    <col min="9492" max="9492" width="10.75" style="326" customWidth="1"/>
    <col min="9493" max="9493" width="11.75" style="326" customWidth="1"/>
    <col min="9494" max="9494" width="10" style="326" customWidth="1"/>
    <col min="9495" max="9495" width="15.375" style="326" customWidth="1"/>
    <col min="9496" max="9496" width="10" style="326" customWidth="1"/>
    <col min="9497" max="9497" width="10.75" style="326" customWidth="1"/>
    <col min="9498" max="9498" width="14.875" style="326" customWidth="1"/>
    <col min="9499" max="9499" width="11.5" style="326" customWidth="1"/>
    <col min="9500" max="9500" width="10" style="326" customWidth="1"/>
    <col min="9501" max="9501" width="10.75" style="326" customWidth="1"/>
    <col min="9502" max="9502" width="13.5" style="326" customWidth="1"/>
    <col min="9503" max="9503" width="9" style="326"/>
    <col min="9504" max="9504" width="10.75" style="326" bestFit="1" customWidth="1"/>
    <col min="9505" max="9505" width="13.75" style="326" customWidth="1"/>
    <col min="9506" max="9506" width="9" style="326"/>
    <col min="9507" max="9507" width="10.625" style="326" customWidth="1"/>
    <col min="9508" max="9508" width="9" style="326"/>
    <col min="9509" max="9509" width="14.25" style="326" customWidth="1"/>
    <col min="9510" max="9510" width="10.75" style="326" bestFit="1" customWidth="1"/>
    <col min="9511" max="9511" width="11.625" style="326" customWidth="1"/>
    <col min="9512" max="9512" width="13.75" style="326" customWidth="1"/>
    <col min="9513" max="9513" width="10.625" style="326" customWidth="1"/>
    <col min="9514" max="9515" width="9" style="326"/>
    <col min="9516" max="9516" width="14.125" style="326" customWidth="1"/>
    <col min="9517" max="9517" width="11" style="326" customWidth="1"/>
    <col min="9518" max="9518" width="10.75" style="326" bestFit="1" customWidth="1"/>
    <col min="9519" max="9519" width="13.5" style="326" customWidth="1"/>
    <col min="9520" max="9521" width="9" style="326"/>
    <col min="9522" max="9522" width="10.75" style="326" bestFit="1" customWidth="1"/>
    <col min="9523" max="9523" width="14" style="326" customWidth="1"/>
    <col min="9524" max="9524" width="9" style="326"/>
    <col min="9525" max="9525" width="10.75" style="326" customWidth="1"/>
    <col min="9526" max="9526" width="12.75" style="326" customWidth="1"/>
    <col min="9527" max="9527" width="9" style="326"/>
    <col min="9528" max="9528" width="10.75" style="326" bestFit="1" customWidth="1"/>
    <col min="9529" max="9529" width="11.5" style="326" customWidth="1"/>
    <col min="9530" max="9530" width="13.625" style="326" customWidth="1"/>
    <col min="9531" max="9531" width="10.625" style="326" customWidth="1"/>
    <col min="9532" max="9532" width="10.75" style="326" bestFit="1" customWidth="1"/>
    <col min="9533" max="9533" width="12.375" style="326" customWidth="1"/>
    <col min="9534" max="9536" width="9" style="326"/>
    <col min="9537" max="9537" width="15.75" style="326" customWidth="1"/>
    <col min="9538" max="9538" width="9" style="326"/>
    <col min="9539" max="9539" width="10.75" style="326" bestFit="1" customWidth="1"/>
    <col min="9540" max="9540" width="12.625" style="326" customWidth="1"/>
    <col min="9541" max="9543" width="9" style="326"/>
    <col min="9544" max="9544" width="13.625" style="326" customWidth="1"/>
    <col min="9545" max="9545" width="9" style="326"/>
    <col min="9546" max="9546" width="10.75" style="326" bestFit="1" customWidth="1"/>
    <col min="9547" max="9547" width="12.5" style="326" customWidth="1"/>
    <col min="9548" max="9550" width="9" style="326"/>
    <col min="9551" max="9551" width="12.875" style="326" customWidth="1"/>
    <col min="9552" max="9552" width="9" style="326"/>
    <col min="9553" max="9553" width="10.75" style="326" bestFit="1" customWidth="1"/>
    <col min="9554" max="9554" width="13.875" style="326" customWidth="1"/>
    <col min="9555" max="9557" width="9" style="326"/>
    <col min="9558" max="9558" width="14.125" style="326" customWidth="1"/>
    <col min="9559" max="9559" width="9" style="326"/>
    <col min="9560" max="9560" width="10.75" style="326" bestFit="1" customWidth="1"/>
    <col min="9561" max="9561" width="13.25" style="326" customWidth="1"/>
    <col min="9562" max="9564" width="9" style="326"/>
    <col min="9565" max="9565" width="13.25" style="326" customWidth="1"/>
    <col min="9566" max="9566" width="9" style="326"/>
    <col min="9567" max="9567" width="10.75" style="326" bestFit="1" customWidth="1"/>
    <col min="9568" max="9568" width="13.875" style="326" customWidth="1"/>
    <col min="9569" max="9571" width="9" style="326"/>
    <col min="9572" max="9572" width="13.625" style="326" customWidth="1"/>
    <col min="9573" max="9573" width="9" style="326"/>
    <col min="9574" max="9574" width="10.75" style="326" bestFit="1" customWidth="1"/>
    <col min="9575" max="9575" width="13" style="326" customWidth="1"/>
    <col min="9576" max="9722" width="9" style="326"/>
    <col min="9723" max="9724" width="12.125" style="326" customWidth="1"/>
    <col min="9725" max="9727" width="13" style="326" customWidth="1"/>
    <col min="9728" max="9728" width="12.875" style="326" customWidth="1"/>
    <col min="9729" max="9729" width="13" style="326" customWidth="1"/>
    <col min="9730" max="9730" width="13.125" style="326" customWidth="1"/>
    <col min="9731" max="9732" width="12.125" style="326" customWidth="1"/>
    <col min="9733" max="9733" width="14.375" style="326" bestFit="1" customWidth="1"/>
    <col min="9734" max="9734" width="11" style="326" customWidth="1"/>
    <col min="9735" max="9735" width="10" style="326" customWidth="1"/>
    <col min="9736" max="9736" width="10.875" style="326" customWidth="1"/>
    <col min="9737" max="9737" width="13.75" style="326" customWidth="1"/>
    <col min="9738" max="9738" width="10" style="326" customWidth="1"/>
    <col min="9739" max="9739" width="13.25" style="326" customWidth="1"/>
    <col min="9740" max="9740" width="14.375" style="326" customWidth="1"/>
    <col min="9741" max="9741" width="10" style="326" customWidth="1"/>
    <col min="9742" max="9742" width="10.875" style="326" customWidth="1"/>
    <col min="9743" max="9743" width="11.375" style="326" customWidth="1"/>
    <col min="9744" max="9744" width="15.375" style="326" customWidth="1"/>
    <col min="9745" max="9746" width="10.75" style="326" customWidth="1"/>
    <col min="9747" max="9747" width="14.375" style="326" customWidth="1"/>
    <col min="9748" max="9748" width="10.75" style="326" customWidth="1"/>
    <col min="9749" max="9749" width="11.75" style="326" customWidth="1"/>
    <col min="9750" max="9750" width="10" style="326" customWidth="1"/>
    <col min="9751" max="9751" width="15.375" style="326" customWidth="1"/>
    <col min="9752" max="9752" width="10" style="326" customWidth="1"/>
    <col min="9753" max="9753" width="10.75" style="326" customWidth="1"/>
    <col min="9754" max="9754" width="14.875" style="326" customWidth="1"/>
    <col min="9755" max="9755" width="11.5" style="326" customWidth="1"/>
    <col min="9756" max="9756" width="10" style="326" customWidth="1"/>
    <col min="9757" max="9757" width="10.75" style="326" customWidth="1"/>
    <col min="9758" max="9758" width="13.5" style="326" customWidth="1"/>
    <col min="9759" max="9759" width="9" style="326"/>
    <col min="9760" max="9760" width="10.75" style="326" bestFit="1" customWidth="1"/>
    <col min="9761" max="9761" width="13.75" style="326" customWidth="1"/>
    <col min="9762" max="9762" width="9" style="326"/>
    <col min="9763" max="9763" width="10.625" style="326" customWidth="1"/>
    <col min="9764" max="9764" width="9" style="326"/>
    <col min="9765" max="9765" width="14.25" style="326" customWidth="1"/>
    <col min="9766" max="9766" width="10.75" style="326" bestFit="1" customWidth="1"/>
    <col min="9767" max="9767" width="11.625" style="326" customWidth="1"/>
    <col min="9768" max="9768" width="13.75" style="326" customWidth="1"/>
    <col min="9769" max="9769" width="10.625" style="326" customWidth="1"/>
    <col min="9770" max="9771" width="9" style="326"/>
    <col min="9772" max="9772" width="14.125" style="326" customWidth="1"/>
    <col min="9773" max="9773" width="11" style="326" customWidth="1"/>
    <col min="9774" max="9774" width="10.75" style="326" bestFit="1" customWidth="1"/>
    <col min="9775" max="9775" width="13.5" style="326" customWidth="1"/>
    <col min="9776" max="9777" width="9" style="326"/>
    <col min="9778" max="9778" width="10.75" style="326" bestFit="1" customWidth="1"/>
    <col min="9779" max="9779" width="14" style="326" customWidth="1"/>
    <col min="9780" max="9780" width="9" style="326"/>
    <col min="9781" max="9781" width="10.75" style="326" customWidth="1"/>
    <col min="9782" max="9782" width="12.75" style="326" customWidth="1"/>
    <col min="9783" max="9783" width="9" style="326"/>
    <col min="9784" max="9784" width="10.75" style="326" bestFit="1" customWidth="1"/>
    <col min="9785" max="9785" width="11.5" style="326" customWidth="1"/>
    <col min="9786" max="9786" width="13.625" style="326" customWidth="1"/>
    <col min="9787" max="9787" width="10.625" style="326" customWidth="1"/>
    <col min="9788" max="9788" width="10.75" style="326" bestFit="1" customWidth="1"/>
    <col min="9789" max="9789" width="12.375" style="326" customWidth="1"/>
    <col min="9790" max="9792" width="9" style="326"/>
    <col min="9793" max="9793" width="15.75" style="326" customWidth="1"/>
    <col min="9794" max="9794" width="9" style="326"/>
    <col min="9795" max="9795" width="10.75" style="326" bestFit="1" customWidth="1"/>
    <col min="9796" max="9796" width="12.625" style="326" customWidth="1"/>
    <col min="9797" max="9799" width="9" style="326"/>
    <col min="9800" max="9800" width="13.625" style="326" customWidth="1"/>
    <col min="9801" max="9801" width="9" style="326"/>
    <col min="9802" max="9802" width="10.75" style="326" bestFit="1" customWidth="1"/>
    <col min="9803" max="9803" width="12.5" style="326" customWidth="1"/>
    <col min="9804" max="9806" width="9" style="326"/>
    <col min="9807" max="9807" width="12.875" style="326" customWidth="1"/>
    <col min="9808" max="9808" width="9" style="326"/>
    <col min="9809" max="9809" width="10.75" style="326" bestFit="1" customWidth="1"/>
    <col min="9810" max="9810" width="13.875" style="326" customWidth="1"/>
    <col min="9811" max="9813" width="9" style="326"/>
    <col min="9814" max="9814" width="14.125" style="326" customWidth="1"/>
    <col min="9815" max="9815" width="9" style="326"/>
    <col min="9816" max="9816" width="10.75" style="326" bestFit="1" customWidth="1"/>
    <col min="9817" max="9817" width="13.25" style="326" customWidth="1"/>
    <col min="9818" max="9820" width="9" style="326"/>
    <col min="9821" max="9821" width="13.25" style="326" customWidth="1"/>
    <col min="9822" max="9822" width="9" style="326"/>
    <col min="9823" max="9823" width="10.75" style="326" bestFit="1" customWidth="1"/>
    <col min="9824" max="9824" width="13.875" style="326" customWidth="1"/>
    <col min="9825" max="9827" width="9" style="326"/>
    <col min="9828" max="9828" width="13.625" style="326" customWidth="1"/>
    <col min="9829" max="9829" width="9" style="326"/>
    <col min="9830" max="9830" width="10.75" style="326" bestFit="1" customWidth="1"/>
    <col min="9831" max="9831" width="13" style="326" customWidth="1"/>
    <col min="9832" max="9978" width="9" style="326"/>
    <col min="9979" max="9980" width="12.125" style="326" customWidth="1"/>
    <col min="9981" max="9983" width="13" style="326" customWidth="1"/>
    <col min="9984" max="9984" width="12.875" style="326" customWidth="1"/>
    <col min="9985" max="9985" width="13" style="326" customWidth="1"/>
    <col min="9986" max="9986" width="13.125" style="326" customWidth="1"/>
    <col min="9987" max="9988" width="12.125" style="326" customWidth="1"/>
    <col min="9989" max="9989" width="14.375" style="326" bestFit="1" customWidth="1"/>
    <col min="9990" max="9990" width="11" style="326" customWidth="1"/>
    <col min="9991" max="9991" width="10" style="326" customWidth="1"/>
    <col min="9992" max="9992" width="10.875" style="326" customWidth="1"/>
    <col min="9993" max="9993" width="13.75" style="326" customWidth="1"/>
    <col min="9994" max="9994" width="10" style="326" customWidth="1"/>
    <col min="9995" max="9995" width="13.25" style="326" customWidth="1"/>
    <col min="9996" max="9996" width="14.375" style="326" customWidth="1"/>
    <col min="9997" max="9997" width="10" style="326" customWidth="1"/>
    <col min="9998" max="9998" width="10.875" style="326" customWidth="1"/>
    <col min="9999" max="9999" width="11.375" style="326" customWidth="1"/>
    <col min="10000" max="10000" width="15.375" style="326" customWidth="1"/>
    <col min="10001" max="10002" width="10.75" style="326" customWidth="1"/>
    <col min="10003" max="10003" width="14.375" style="326" customWidth="1"/>
    <col min="10004" max="10004" width="10.75" style="326" customWidth="1"/>
    <col min="10005" max="10005" width="11.75" style="326" customWidth="1"/>
    <col min="10006" max="10006" width="10" style="326" customWidth="1"/>
    <col min="10007" max="10007" width="15.375" style="326" customWidth="1"/>
    <col min="10008" max="10008" width="10" style="326" customWidth="1"/>
    <col min="10009" max="10009" width="10.75" style="326" customWidth="1"/>
    <col min="10010" max="10010" width="14.875" style="326" customWidth="1"/>
    <col min="10011" max="10011" width="11.5" style="326" customWidth="1"/>
    <col min="10012" max="10012" width="10" style="326" customWidth="1"/>
    <col min="10013" max="10013" width="10.75" style="326" customWidth="1"/>
    <col min="10014" max="10014" width="13.5" style="326" customWidth="1"/>
    <col min="10015" max="10015" width="9" style="326"/>
    <col min="10016" max="10016" width="10.75" style="326" bestFit="1" customWidth="1"/>
    <col min="10017" max="10017" width="13.75" style="326" customWidth="1"/>
    <col min="10018" max="10018" width="9" style="326"/>
    <col min="10019" max="10019" width="10.625" style="326" customWidth="1"/>
    <col min="10020" max="10020" width="9" style="326"/>
    <col min="10021" max="10021" width="14.25" style="326" customWidth="1"/>
    <col min="10022" max="10022" width="10.75" style="326" bestFit="1" customWidth="1"/>
    <col min="10023" max="10023" width="11.625" style="326" customWidth="1"/>
    <col min="10024" max="10024" width="13.75" style="326" customWidth="1"/>
    <col min="10025" max="10025" width="10.625" style="326" customWidth="1"/>
    <col min="10026" max="10027" width="9" style="326"/>
    <col min="10028" max="10028" width="14.125" style="326" customWidth="1"/>
    <col min="10029" max="10029" width="11" style="326" customWidth="1"/>
    <col min="10030" max="10030" width="10.75" style="326" bestFit="1" customWidth="1"/>
    <col min="10031" max="10031" width="13.5" style="326" customWidth="1"/>
    <col min="10032" max="10033" width="9" style="326"/>
    <col min="10034" max="10034" width="10.75" style="326" bestFit="1" customWidth="1"/>
    <col min="10035" max="10035" width="14" style="326" customWidth="1"/>
    <col min="10036" max="10036" width="9" style="326"/>
    <col min="10037" max="10037" width="10.75" style="326" customWidth="1"/>
    <col min="10038" max="10038" width="12.75" style="326" customWidth="1"/>
    <col min="10039" max="10039" width="9" style="326"/>
    <col min="10040" max="10040" width="10.75" style="326" bestFit="1" customWidth="1"/>
    <col min="10041" max="10041" width="11.5" style="326" customWidth="1"/>
    <col min="10042" max="10042" width="13.625" style="326" customWidth="1"/>
    <col min="10043" max="10043" width="10.625" style="326" customWidth="1"/>
    <col min="10044" max="10044" width="10.75" style="326" bestFit="1" customWidth="1"/>
    <col min="10045" max="10045" width="12.375" style="326" customWidth="1"/>
    <col min="10046" max="10048" width="9" style="326"/>
    <col min="10049" max="10049" width="15.75" style="326" customWidth="1"/>
    <col min="10050" max="10050" width="9" style="326"/>
    <col min="10051" max="10051" width="10.75" style="326" bestFit="1" customWidth="1"/>
    <col min="10052" max="10052" width="12.625" style="326" customWidth="1"/>
    <col min="10053" max="10055" width="9" style="326"/>
    <col min="10056" max="10056" width="13.625" style="326" customWidth="1"/>
    <col min="10057" max="10057" width="9" style="326"/>
    <col min="10058" max="10058" width="10.75" style="326" bestFit="1" customWidth="1"/>
    <col min="10059" max="10059" width="12.5" style="326" customWidth="1"/>
    <col min="10060" max="10062" width="9" style="326"/>
    <col min="10063" max="10063" width="12.875" style="326" customWidth="1"/>
    <col min="10064" max="10064" width="9" style="326"/>
    <col min="10065" max="10065" width="10.75" style="326" bestFit="1" customWidth="1"/>
    <col min="10066" max="10066" width="13.875" style="326" customWidth="1"/>
    <col min="10067" max="10069" width="9" style="326"/>
    <col min="10070" max="10070" width="14.125" style="326" customWidth="1"/>
    <col min="10071" max="10071" width="9" style="326"/>
    <col min="10072" max="10072" width="10.75" style="326" bestFit="1" customWidth="1"/>
    <col min="10073" max="10073" width="13.25" style="326" customWidth="1"/>
    <col min="10074" max="10076" width="9" style="326"/>
    <col min="10077" max="10077" width="13.25" style="326" customWidth="1"/>
    <col min="10078" max="10078" width="9" style="326"/>
    <col min="10079" max="10079" width="10.75" style="326" bestFit="1" customWidth="1"/>
    <col min="10080" max="10080" width="13.875" style="326" customWidth="1"/>
    <col min="10081" max="10083" width="9" style="326"/>
    <col min="10084" max="10084" width="13.625" style="326" customWidth="1"/>
    <col min="10085" max="10085" width="9" style="326"/>
    <col min="10086" max="10086" width="10.75" style="326" bestFit="1" customWidth="1"/>
    <col min="10087" max="10087" width="13" style="326" customWidth="1"/>
    <col min="10088" max="10234" width="9" style="326"/>
    <col min="10235" max="10236" width="12.125" style="326" customWidth="1"/>
    <col min="10237" max="10239" width="13" style="326" customWidth="1"/>
    <col min="10240" max="10240" width="12.875" style="326" customWidth="1"/>
    <col min="10241" max="10241" width="13" style="326" customWidth="1"/>
    <col min="10242" max="10242" width="13.125" style="326" customWidth="1"/>
    <col min="10243" max="10244" width="12.125" style="326" customWidth="1"/>
    <col min="10245" max="10245" width="14.375" style="326" bestFit="1" customWidth="1"/>
    <col min="10246" max="10246" width="11" style="326" customWidth="1"/>
    <col min="10247" max="10247" width="10" style="326" customWidth="1"/>
    <col min="10248" max="10248" width="10.875" style="326" customWidth="1"/>
    <col min="10249" max="10249" width="13.75" style="326" customWidth="1"/>
    <col min="10250" max="10250" width="10" style="326" customWidth="1"/>
    <col min="10251" max="10251" width="13.25" style="326" customWidth="1"/>
    <col min="10252" max="10252" width="14.375" style="326" customWidth="1"/>
    <col min="10253" max="10253" width="10" style="326" customWidth="1"/>
    <col min="10254" max="10254" width="10.875" style="326" customWidth="1"/>
    <col min="10255" max="10255" width="11.375" style="326" customWidth="1"/>
    <col min="10256" max="10256" width="15.375" style="326" customWidth="1"/>
    <col min="10257" max="10258" width="10.75" style="326" customWidth="1"/>
    <col min="10259" max="10259" width="14.375" style="326" customWidth="1"/>
    <col min="10260" max="10260" width="10.75" style="326" customWidth="1"/>
    <col min="10261" max="10261" width="11.75" style="326" customWidth="1"/>
    <col min="10262" max="10262" width="10" style="326" customWidth="1"/>
    <col min="10263" max="10263" width="15.375" style="326" customWidth="1"/>
    <col min="10264" max="10264" width="10" style="326" customWidth="1"/>
    <col min="10265" max="10265" width="10.75" style="326" customWidth="1"/>
    <col min="10266" max="10266" width="14.875" style="326" customWidth="1"/>
    <col min="10267" max="10267" width="11.5" style="326" customWidth="1"/>
    <col min="10268" max="10268" width="10" style="326" customWidth="1"/>
    <col min="10269" max="10269" width="10.75" style="326" customWidth="1"/>
    <col min="10270" max="10270" width="13.5" style="326" customWidth="1"/>
    <col min="10271" max="10271" width="9" style="326"/>
    <col min="10272" max="10272" width="10.75" style="326" bestFit="1" customWidth="1"/>
    <col min="10273" max="10273" width="13.75" style="326" customWidth="1"/>
    <col min="10274" max="10274" width="9" style="326"/>
    <col min="10275" max="10275" width="10.625" style="326" customWidth="1"/>
    <col min="10276" max="10276" width="9" style="326"/>
    <col min="10277" max="10277" width="14.25" style="326" customWidth="1"/>
    <col min="10278" max="10278" width="10.75" style="326" bestFit="1" customWidth="1"/>
    <col min="10279" max="10279" width="11.625" style="326" customWidth="1"/>
    <col min="10280" max="10280" width="13.75" style="326" customWidth="1"/>
    <col min="10281" max="10281" width="10.625" style="326" customWidth="1"/>
    <col min="10282" max="10283" width="9" style="326"/>
    <col min="10284" max="10284" width="14.125" style="326" customWidth="1"/>
    <col min="10285" max="10285" width="11" style="326" customWidth="1"/>
    <col min="10286" max="10286" width="10.75" style="326" bestFit="1" customWidth="1"/>
    <col min="10287" max="10287" width="13.5" style="326" customWidth="1"/>
    <col min="10288" max="10289" width="9" style="326"/>
    <col min="10290" max="10290" width="10.75" style="326" bestFit="1" customWidth="1"/>
    <col min="10291" max="10291" width="14" style="326" customWidth="1"/>
    <col min="10292" max="10292" width="9" style="326"/>
    <col min="10293" max="10293" width="10.75" style="326" customWidth="1"/>
    <col min="10294" max="10294" width="12.75" style="326" customWidth="1"/>
    <col min="10295" max="10295" width="9" style="326"/>
    <col min="10296" max="10296" width="10.75" style="326" bestFit="1" customWidth="1"/>
    <col min="10297" max="10297" width="11.5" style="326" customWidth="1"/>
    <col min="10298" max="10298" width="13.625" style="326" customWidth="1"/>
    <col min="10299" max="10299" width="10.625" style="326" customWidth="1"/>
    <col min="10300" max="10300" width="10.75" style="326" bestFit="1" customWidth="1"/>
    <col min="10301" max="10301" width="12.375" style="326" customWidth="1"/>
    <col min="10302" max="10304" width="9" style="326"/>
    <col min="10305" max="10305" width="15.75" style="326" customWidth="1"/>
    <col min="10306" max="10306" width="9" style="326"/>
    <col min="10307" max="10307" width="10.75" style="326" bestFit="1" customWidth="1"/>
    <col min="10308" max="10308" width="12.625" style="326" customWidth="1"/>
    <col min="10309" max="10311" width="9" style="326"/>
    <col min="10312" max="10312" width="13.625" style="326" customWidth="1"/>
    <col min="10313" max="10313" width="9" style="326"/>
    <col min="10314" max="10314" width="10.75" style="326" bestFit="1" customWidth="1"/>
    <col min="10315" max="10315" width="12.5" style="326" customWidth="1"/>
    <col min="10316" max="10318" width="9" style="326"/>
    <col min="10319" max="10319" width="12.875" style="326" customWidth="1"/>
    <col min="10320" max="10320" width="9" style="326"/>
    <col min="10321" max="10321" width="10.75" style="326" bestFit="1" customWidth="1"/>
    <col min="10322" max="10322" width="13.875" style="326" customWidth="1"/>
    <col min="10323" max="10325" width="9" style="326"/>
    <col min="10326" max="10326" width="14.125" style="326" customWidth="1"/>
    <col min="10327" max="10327" width="9" style="326"/>
    <col min="10328" max="10328" width="10.75" style="326" bestFit="1" customWidth="1"/>
    <col min="10329" max="10329" width="13.25" style="326" customWidth="1"/>
    <col min="10330" max="10332" width="9" style="326"/>
    <col min="10333" max="10333" width="13.25" style="326" customWidth="1"/>
    <col min="10334" max="10334" width="9" style="326"/>
    <col min="10335" max="10335" width="10.75" style="326" bestFit="1" customWidth="1"/>
    <col min="10336" max="10336" width="13.875" style="326" customWidth="1"/>
    <col min="10337" max="10339" width="9" style="326"/>
    <col min="10340" max="10340" width="13.625" style="326" customWidth="1"/>
    <col min="10341" max="10341" width="9" style="326"/>
    <col min="10342" max="10342" width="10.75" style="326" bestFit="1" customWidth="1"/>
    <col min="10343" max="10343" width="13" style="326" customWidth="1"/>
    <col min="10344" max="10490" width="9" style="326"/>
    <col min="10491" max="10492" width="12.125" style="326" customWidth="1"/>
    <col min="10493" max="10495" width="13" style="326" customWidth="1"/>
    <col min="10496" max="10496" width="12.875" style="326" customWidth="1"/>
    <col min="10497" max="10497" width="13" style="326" customWidth="1"/>
    <col min="10498" max="10498" width="13.125" style="326" customWidth="1"/>
    <col min="10499" max="10500" width="12.125" style="326" customWidth="1"/>
    <col min="10501" max="10501" width="14.375" style="326" bestFit="1" customWidth="1"/>
    <col min="10502" max="10502" width="11" style="326" customWidth="1"/>
    <col min="10503" max="10503" width="10" style="326" customWidth="1"/>
    <col min="10504" max="10504" width="10.875" style="326" customWidth="1"/>
    <col min="10505" max="10505" width="13.75" style="326" customWidth="1"/>
    <col min="10506" max="10506" width="10" style="326" customWidth="1"/>
    <col min="10507" max="10507" width="13.25" style="326" customWidth="1"/>
    <col min="10508" max="10508" width="14.375" style="326" customWidth="1"/>
    <col min="10509" max="10509" width="10" style="326" customWidth="1"/>
    <col min="10510" max="10510" width="10.875" style="326" customWidth="1"/>
    <col min="10511" max="10511" width="11.375" style="326" customWidth="1"/>
    <col min="10512" max="10512" width="15.375" style="326" customWidth="1"/>
    <col min="10513" max="10514" width="10.75" style="326" customWidth="1"/>
    <col min="10515" max="10515" width="14.375" style="326" customWidth="1"/>
    <col min="10516" max="10516" width="10.75" style="326" customWidth="1"/>
    <col min="10517" max="10517" width="11.75" style="326" customWidth="1"/>
    <col min="10518" max="10518" width="10" style="326" customWidth="1"/>
    <col min="10519" max="10519" width="15.375" style="326" customWidth="1"/>
    <col min="10520" max="10520" width="10" style="326" customWidth="1"/>
    <col min="10521" max="10521" width="10.75" style="326" customWidth="1"/>
    <col min="10522" max="10522" width="14.875" style="326" customWidth="1"/>
    <col min="10523" max="10523" width="11.5" style="326" customWidth="1"/>
    <col min="10524" max="10524" width="10" style="326" customWidth="1"/>
    <col min="10525" max="10525" width="10.75" style="326" customWidth="1"/>
    <col min="10526" max="10526" width="13.5" style="326" customWidth="1"/>
    <col min="10527" max="10527" width="9" style="326"/>
    <col min="10528" max="10528" width="10.75" style="326" bestFit="1" customWidth="1"/>
    <col min="10529" max="10529" width="13.75" style="326" customWidth="1"/>
    <col min="10530" max="10530" width="9" style="326"/>
    <col min="10531" max="10531" width="10.625" style="326" customWidth="1"/>
    <col min="10532" max="10532" width="9" style="326"/>
    <col min="10533" max="10533" width="14.25" style="326" customWidth="1"/>
    <col min="10534" max="10534" width="10.75" style="326" bestFit="1" customWidth="1"/>
    <col min="10535" max="10535" width="11.625" style="326" customWidth="1"/>
    <col min="10536" max="10536" width="13.75" style="326" customWidth="1"/>
    <col min="10537" max="10537" width="10.625" style="326" customWidth="1"/>
    <col min="10538" max="10539" width="9" style="326"/>
    <col min="10540" max="10540" width="14.125" style="326" customWidth="1"/>
    <col min="10541" max="10541" width="11" style="326" customWidth="1"/>
    <col min="10542" max="10542" width="10.75" style="326" bestFit="1" customWidth="1"/>
    <col min="10543" max="10543" width="13.5" style="326" customWidth="1"/>
    <col min="10544" max="10545" width="9" style="326"/>
    <col min="10546" max="10546" width="10.75" style="326" bestFit="1" customWidth="1"/>
    <col min="10547" max="10547" width="14" style="326" customWidth="1"/>
    <col min="10548" max="10548" width="9" style="326"/>
    <col min="10549" max="10549" width="10.75" style="326" customWidth="1"/>
    <col min="10550" max="10550" width="12.75" style="326" customWidth="1"/>
    <col min="10551" max="10551" width="9" style="326"/>
    <col min="10552" max="10552" width="10.75" style="326" bestFit="1" customWidth="1"/>
    <col min="10553" max="10553" width="11.5" style="326" customWidth="1"/>
    <col min="10554" max="10554" width="13.625" style="326" customWidth="1"/>
    <col min="10555" max="10555" width="10.625" style="326" customWidth="1"/>
    <col min="10556" max="10556" width="10.75" style="326" bestFit="1" customWidth="1"/>
    <col min="10557" max="10557" width="12.375" style="326" customWidth="1"/>
    <col min="10558" max="10560" width="9" style="326"/>
    <col min="10561" max="10561" width="15.75" style="326" customWidth="1"/>
    <col min="10562" max="10562" width="9" style="326"/>
    <col min="10563" max="10563" width="10.75" style="326" bestFit="1" customWidth="1"/>
    <col min="10564" max="10564" width="12.625" style="326" customWidth="1"/>
    <col min="10565" max="10567" width="9" style="326"/>
    <col min="10568" max="10568" width="13.625" style="326" customWidth="1"/>
    <col min="10569" max="10569" width="9" style="326"/>
    <col min="10570" max="10570" width="10.75" style="326" bestFit="1" customWidth="1"/>
    <col min="10571" max="10571" width="12.5" style="326" customWidth="1"/>
    <col min="10572" max="10574" width="9" style="326"/>
    <col min="10575" max="10575" width="12.875" style="326" customWidth="1"/>
    <col min="10576" max="10576" width="9" style="326"/>
    <col min="10577" max="10577" width="10.75" style="326" bestFit="1" customWidth="1"/>
    <col min="10578" max="10578" width="13.875" style="326" customWidth="1"/>
    <col min="10579" max="10581" width="9" style="326"/>
    <col min="10582" max="10582" width="14.125" style="326" customWidth="1"/>
    <col min="10583" max="10583" width="9" style="326"/>
    <col min="10584" max="10584" width="10.75" style="326" bestFit="1" customWidth="1"/>
    <col min="10585" max="10585" width="13.25" style="326" customWidth="1"/>
    <col min="10586" max="10588" width="9" style="326"/>
    <col min="10589" max="10589" width="13.25" style="326" customWidth="1"/>
    <col min="10590" max="10590" width="9" style="326"/>
    <col min="10591" max="10591" width="10.75" style="326" bestFit="1" customWidth="1"/>
    <col min="10592" max="10592" width="13.875" style="326" customWidth="1"/>
    <col min="10593" max="10595" width="9" style="326"/>
    <col min="10596" max="10596" width="13.625" style="326" customWidth="1"/>
    <col min="10597" max="10597" width="9" style="326"/>
    <col min="10598" max="10598" width="10.75" style="326" bestFit="1" customWidth="1"/>
    <col min="10599" max="10599" width="13" style="326" customWidth="1"/>
    <col min="10600" max="10746" width="9" style="326"/>
    <col min="10747" max="10748" width="12.125" style="326" customWidth="1"/>
    <col min="10749" max="10751" width="13" style="326" customWidth="1"/>
    <col min="10752" max="10752" width="12.875" style="326" customWidth="1"/>
    <col min="10753" max="10753" width="13" style="326" customWidth="1"/>
    <col min="10754" max="10754" width="13.125" style="326" customWidth="1"/>
    <col min="10755" max="10756" width="12.125" style="326" customWidth="1"/>
    <col min="10757" max="10757" width="14.375" style="326" bestFit="1" customWidth="1"/>
    <col min="10758" max="10758" width="11" style="326" customWidth="1"/>
    <col min="10759" max="10759" width="10" style="326" customWidth="1"/>
    <col min="10760" max="10760" width="10.875" style="326" customWidth="1"/>
    <col min="10761" max="10761" width="13.75" style="326" customWidth="1"/>
    <col min="10762" max="10762" width="10" style="326" customWidth="1"/>
    <col min="10763" max="10763" width="13.25" style="326" customWidth="1"/>
    <col min="10764" max="10764" width="14.375" style="326" customWidth="1"/>
    <col min="10765" max="10765" width="10" style="326" customWidth="1"/>
    <col min="10766" max="10766" width="10.875" style="326" customWidth="1"/>
    <col min="10767" max="10767" width="11.375" style="326" customWidth="1"/>
    <col min="10768" max="10768" width="15.375" style="326" customWidth="1"/>
    <col min="10769" max="10770" width="10.75" style="326" customWidth="1"/>
    <col min="10771" max="10771" width="14.375" style="326" customWidth="1"/>
    <col min="10772" max="10772" width="10.75" style="326" customWidth="1"/>
    <col min="10773" max="10773" width="11.75" style="326" customWidth="1"/>
    <col min="10774" max="10774" width="10" style="326" customWidth="1"/>
    <col min="10775" max="10775" width="15.375" style="326" customWidth="1"/>
    <col min="10776" max="10776" width="10" style="326" customWidth="1"/>
    <col min="10777" max="10777" width="10.75" style="326" customWidth="1"/>
    <col min="10778" max="10778" width="14.875" style="326" customWidth="1"/>
    <col min="10779" max="10779" width="11.5" style="326" customWidth="1"/>
    <col min="10780" max="10780" width="10" style="326" customWidth="1"/>
    <col min="10781" max="10781" width="10.75" style="326" customWidth="1"/>
    <col min="10782" max="10782" width="13.5" style="326" customWidth="1"/>
    <col min="10783" max="10783" width="9" style="326"/>
    <col min="10784" max="10784" width="10.75" style="326" bestFit="1" customWidth="1"/>
    <col min="10785" max="10785" width="13.75" style="326" customWidth="1"/>
    <col min="10786" max="10786" width="9" style="326"/>
    <col min="10787" max="10787" width="10.625" style="326" customWidth="1"/>
    <col min="10788" max="10788" width="9" style="326"/>
    <col min="10789" max="10789" width="14.25" style="326" customWidth="1"/>
    <col min="10790" max="10790" width="10.75" style="326" bestFit="1" customWidth="1"/>
    <col min="10791" max="10791" width="11.625" style="326" customWidth="1"/>
    <col min="10792" max="10792" width="13.75" style="326" customWidth="1"/>
    <col min="10793" max="10793" width="10.625" style="326" customWidth="1"/>
    <col min="10794" max="10795" width="9" style="326"/>
    <col min="10796" max="10796" width="14.125" style="326" customWidth="1"/>
    <col min="10797" max="10797" width="11" style="326" customWidth="1"/>
    <col min="10798" max="10798" width="10.75" style="326" bestFit="1" customWidth="1"/>
    <col min="10799" max="10799" width="13.5" style="326" customWidth="1"/>
    <col min="10800" max="10801" width="9" style="326"/>
    <col min="10802" max="10802" width="10.75" style="326" bestFit="1" customWidth="1"/>
    <col min="10803" max="10803" width="14" style="326" customWidth="1"/>
    <col min="10804" max="10804" width="9" style="326"/>
    <col min="10805" max="10805" width="10.75" style="326" customWidth="1"/>
    <col min="10806" max="10806" width="12.75" style="326" customWidth="1"/>
    <col min="10807" max="10807" width="9" style="326"/>
    <col min="10808" max="10808" width="10.75" style="326" bestFit="1" customWidth="1"/>
    <col min="10809" max="10809" width="11.5" style="326" customWidth="1"/>
    <col min="10810" max="10810" width="13.625" style="326" customWidth="1"/>
    <col min="10811" max="10811" width="10.625" style="326" customWidth="1"/>
    <col min="10812" max="10812" width="10.75" style="326" bestFit="1" customWidth="1"/>
    <col min="10813" max="10813" width="12.375" style="326" customWidth="1"/>
    <col min="10814" max="10816" width="9" style="326"/>
    <col min="10817" max="10817" width="15.75" style="326" customWidth="1"/>
    <col min="10818" max="10818" width="9" style="326"/>
    <col min="10819" max="10819" width="10.75" style="326" bestFit="1" customWidth="1"/>
    <col min="10820" max="10820" width="12.625" style="326" customWidth="1"/>
    <col min="10821" max="10823" width="9" style="326"/>
    <col min="10824" max="10824" width="13.625" style="326" customWidth="1"/>
    <col min="10825" max="10825" width="9" style="326"/>
    <col min="10826" max="10826" width="10.75" style="326" bestFit="1" customWidth="1"/>
    <col min="10827" max="10827" width="12.5" style="326" customWidth="1"/>
    <col min="10828" max="10830" width="9" style="326"/>
    <col min="10831" max="10831" width="12.875" style="326" customWidth="1"/>
    <col min="10832" max="10832" width="9" style="326"/>
    <col min="10833" max="10833" width="10.75" style="326" bestFit="1" customWidth="1"/>
    <col min="10834" max="10834" width="13.875" style="326" customWidth="1"/>
    <col min="10835" max="10837" width="9" style="326"/>
    <col min="10838" max="10838" width="14.125" style="326" customWidth="1"/>
    <col min="10839" max="10839" width="9" style="326"/>
    <col min="10840" max="10840" width="10.75" style="326" bestFit="1" customWidth="1"/>
    <col min="10841" max="10841" width="13.25" style="326" customWidth="1"/>
    <col min="10842" max="10844" width="9" style="326"/>
    <col min="10845" max="10845" width="13.25" style="326" customWidth="1"/>
    <col min="10846" max="10846" width="9" style="326"/>
    <col min="10847" max="10847" width="10.75" style="326" bestFit="1" customWidth="1"/>
    <col min="10848" max="10848" width="13.875" style="326" customWidth="1"/>
    <col min="10849" max="10851" width="9" style="326"/>
    <col min="10852" max="10852" width="13.625" style="326" customWidth="1"/>
    <col min="10853" max="10853" width="9" style="326"/>
    <col min="10854" max="10854" width="10.75" style="326" bestFit="1" customWidth="1"/>
    <col min="10855" max="10855" width="13" style="326" customWidth="1"/>
    <col min="10856" max="11002" width="9" style="326"/>
    <col min="11003" max="11004" width="12.125" style="326" customWidth="1"/>
    <col min="11005" max="11007" width="13" style="326" customWidth="1"/>
    <col min="11008" max="11008" width="12.875" style="326" customWidth="1"/>
    <col min="11009" max="11009" width="13" style="326" customWidth="1"/>
    <col min="11010" max="11010" width="13.125" style="326" customWidth="1"/>
    <col min="11011" max="11012" width="12.125" style="326" customWidth="1"/>
    <col min="11013" max="11013" width="14.375" style="326" bestFit="1" customWidth="1"/>
    <col min="11014" max="11014" width="11" style="326" customWidth="1"/>
    <col min="11015" max="11015" width="10" style="326" customWidth="1"/>
    <col min="11016" max="11016" width="10.875" style="326" customWidth="1"/>
    <col min="11017" max="11017" width="13.75" style="326" customWidth="1"/>
    <col min="11018" max="11018" width="10" style="326" customWidth="1"/>
    <col min="11019" max="11019" width="13.25" style="326" customWidth="1"/>
    <col min="11020" max="11020" width="14.375" style="326" customWidth="1"/>
    <col min="11021" max="11021" width="10" style="326" customWidth="1"/>
    <col min="11022" max="11022" width="10.875" style="326" customWidth="1"/>
    <col min="11023" max="11023" width="11.375" style="326" customWidth="1"/>
    <col min="11024" max="11024" width="15.375" style="326" customWidth="1"/>
    <col min="11025" max="11026" width="10.75" style="326" customWidth="1"/>
    <col min="11027" max="11027" width="14.375" style="326" customWidth="1"/>
    <col min="11028" max="11028" width="10.75" style="326" customWidth="1"/>
    <col min="11029" max="11029" width="11.75" style="326" customWidth="1"/>
    <col min="11030" max="11030" width="10" style="326" customWidth="1"/>
    <col min="11031" max="11031" width="15.375" style="326" customWidth="1"/>
    <col min="11032" max="11032" width="10" style="326" customWidth="1"/>
    <col min="11033" max="11033" width="10.75" style="326" customWidth="1"/>
    <col min="11034" max="11034" width="14.875" style="326" customWidth="1"/>
    <col min="11035" max="11035" width="11.5" style="326" customWidth="1"/>
    <col min="11036" max="11036" width="10" style="326" customWidth="1"/>
    <col min="11037" max="11037" width="10.75" style="326" customWidth="1"/>
    <col min="11038" max="11038" width="13.5" style="326" customWidth="1"/>
    <col min="11039" max="11039" width="9" style="326"/>
    <col min="11040" max="11040" width="10.75" style="326" bestFit="1" customWidth="1"/>
    <col min="11041" max="11041" width="13.75" style="326" customWidth="1"/>
    <col min="11042" max="11042" width="9" style="326"/>
    <col min="11043" max="11043" width="10.625" style="326" customWidth="1"/>
    <col min="11044" max="11044" width="9" style="326"/>
    <col min="11045" max="11045" width="14.25" style="326" customWidth="1"/>
    <col min="11046" max="11046" width="10.75" style="326" bestFit="1" customWidth="1"/>
    <col min="11047" max="11047" width="11.625" style="326" customWidth="1"/>
    <col min="11048" max="11048" width="13.75" style="326" customWidth="1"/>
    <col min="11049" max="11049" width="10.625" style="326" customWidth="1"/>
    <col min="11050" max="11051" width="9" style="326"/>
    <col min="11052" max="11052" width="14.125" style="326" customWidth="1"/>
    <col min="11053" max="11053" width="11" style="326" customWidth="1"/>
    <col min="11054" max="11054" width="10.75" style="326" bestFit="1" customWidth="1"/>
    <col min="11055" max="11055" width="13.5" style="326" customWidth="1"/>
    <col min="11056" max="11057" width="9" style="326"/>
    <col min="11058" max="11058" width="10.75" style="326" bestFit="1" customWidth="1"/>
    <col min="11059" max="11059" width="14" style="326" customWidth="1"/>
    <col min="11060" max="11060" width="9" style="326"/>
    <col min="11061" max="11061" width="10.75" style="326" customWidth="1"/>
    <col min="11062" max="11062" width="12.75" style="326" customWidth="1"/>
    <col min="11063" max="11063" width="9" style="326"/>
    <col min="11064" max="11064" width="10.75" style="326" bestFit="1" customWidth="1"/>
    <col min="11065" max="11065" width="11.5" style="326" customWidth="1"/>
    <col min="11066" max="11066" width="13.625" style="326" customWidth="1"/>
    <col min="11067" max="11067" width="10.625" style="326" customWidth="1"/>
    <col min="11068" max="11068" width="10.75" style="326" bestFit="1" customWidth="1"/>
    <col min="11069" max="11069" width="12.375" style="326" customWidth="1"/>
    <col min="11070" max="11072" width="9" style="326"/>
    <col min="11073" max="11073" width="15.75" style="326" customWidth="1"/>
    <col min="11074" max="11074" width="9" style="326"/>
    <col min="11075" max="11075" width="10.75" style="326" bestFit="1" customWidth="1"/>
    <col min="11076" max="11076" width="12.625" style="326" customWidth="1"/>
    <col min="11077" max="11079" width="9" style="326"/>
    <col min="11080" max="11080" width="13.625" style="326" customWidth="1"/>
    <col min="11081" max="11081" width="9" style="326"/>
    <col min="11082" max="11082" width="10.75" style="326" bestFit="1" customWidth="1"/>
    <col min="11083" max="11083" width="12.5" style="326" customWidth="1"/>
    <col min="11084" max="11086" width="9" style="326"/>
    <col min="11087" max="11087" width="12.875" style="326" customWidth="1"/>
    <col min="11088" max="11088" width="9" style="326"/>
    <col min="11089" max="11089" width="10.75" style="326" bestFit="1" customWidth="1"/>
    <col min="11090" max="11090" width="13.875" style="326" customWidth="1"/>
    <col min="11091" max="11093" width="9" style="326"/>
    <col min="11094" max="11094" width="14.125" style="326" customWidth="1"/>
    <col min="11095" max="11095" width="9" style="326"/>
    <col min="11096" max="11096" width="10.75" style="326" bestFit="1" customWidth="1"/>
    <col min="11097" max="11097" width="13.25" style="326" customWidth="1"/>
    <col min="11098" max="11100" width="9" style="326"/>
    <col min="11101" max="11101" width="13.25" style="326" customWidth="1"/>
    <col min="11102" max="11102" width="9" style="326"/>
    <col min="11103" max="11103" width="10.75" style="326" bestFit="1" customWidth="1"/>
    <col min="11104" max="11104" width="13.875" style="326" customWidth="1"/>
    <col min="11105" max="11107" width="9" style="326"/>
    <col min="11108" max="11108" width="13.625" style="326" customWidth="1"/>
    <col min="11109" max="11109" width="9" style="326"/>
    <col min="11110" max="11110" width="10.75" style="326" bestFit="1" customWidth="1"/>
    <col min="11111" max="11111" width="13" style="326" customWidth="1"/>
    <col min="11112" max="11258" width="9" style="326"/>
    <col min="11259" max="11260" width="12.125" style="326" customWidth="1"/>
    <col min="11261" max="11263" width="13" style="326" customWidth="1"/>
    <col min="11264" max="11264" width="12.875" style="326" customWidth="1"/>
    <col min="11265" max="11265" width="13" style="326" customWidth="1"/>
    <col min="11266" max="11266" width="13.125" style="326" customWidth="1"/>
    <col min="11267" max="11268" width="12.125" style="326" customWidth="1"/>
    <col min="11269" max="11269" width="14.375" style="326" bestFit="1" customWidth="1"/>
    <col min="11270" max="11270" width="11" style="326" customWidth="1"/>
    <col min="11271" max="11271" width="10" style="326" customWidth="1"/>
    <col min="11272" max="11272" width="10.875" style="326" customWidth="1"/>
    <col min="11273" max="11273" width="13.75" style="326" customWidth="1"/>
    <col min="11274" max="11274" width="10" style="326" customWidth="1"/>
    <col min="11275" max="11275" width="13.25" style="326" customWidth="1"/>
    <col min="11276" max="11276" width="14.375" style="326" customWidth="1"/>
    <col min="11277" max="11277" width="10" style="326" customWidth="1"/>
    <col min="11278" max="11278" width="10.875" style="326" customWidth="1"/>
    <col min="11279" max="11279" width="11.375" style="326" customWidth="1"/>
    <col min="11280" max="11280" width="15.375" style="326" customWidth="1"/>
    <col min="11281" max="11282" width="10.75" style="326" customWidth="1"/>
    <col min="11283" max="11283" width="14.375" style="326" customWidth="1"/>
    <col min="11284" max="11284" width="10.75" style="326" customWidth="1"/>
    <col min="11285" max="11285" width="11.75" style="326" customWidth="1"/>
    <col min="11286" max="11286" width="10" style="326" customWidth="1"/>
    <col min="11287" max="11287" width="15.375" style="326" customWidth="1"/>
    <col min="11288" max="11288" width="10" style="326" customWidth="1"/>
    <col min="11289" max="11289" width="10.75" style="326" customWidth="1"/>
    <col min="11290" max="11290" width="14.875" style="326" customWidth="1"/>
    <col min="11291" max="11291" width="11.5" style="326" customWidth="1"/>
    <col min="11292" max="11292" width="10" style="326" customWidth="1"/>
    <col min="11293" max="11293" width="10.75" style="326" customWidth="1"/>
    <col min="11294" max="11294" width="13.5" style="326" customWidth="1"/>
    <col min="11295" max="11295" width="9" style="326"/>
    <col min="11296" max="11296" width="10.75" style="326" bestFit="1" customWidth="1"/>
    <col min="11297" max="11297" width="13.75" style="326" customWidth="1"/>
    <col min="11298" max="11298" width="9" style="326"/>
    <col min="11299" max="11299" width="10.625" style="326" customWidth="1"/>
    <col min="11300" max="11300" width="9" style="326"/>
    <col min="11301" max="11301" width="14.25" style="326" customWidth="1"/>
    <col min="11302" max="11302" width="10.75" style="326" bestFit="1" customWidth="1"/>
    <col min="11303" max="11303" width="11.625" style="326" customWidth="1"/>
    <col min="11304" max="11304" width="13.75" style="326" customWidth="1"/>
    <col min="11305" max="11305" width="10.625" style="326" customWidth="1"/>
    <col min="11306" max="11307" width="9" style="326"/>
    <col min="11308" max="11308" width="14.125" style="326" customWidth="1"/>
    <col min="11309" max="11309" width="11" style="326" customWidth="1"/>
    <col min="11310" max="11310" width="10.75" style="326" bestFit="1" customWidth="1"/>
    <col min="11311" max="11311" width="13.5" style="326" customWidth="1"/>
    <col min="11312" max="11313" width="9" style="326"/>
    <col min="11314" max="11314" width="10.75" style="326" bestFit="1" customWidth="1"/>
    <col min="11315" max="11315" width="14" style="326" customWidth="1"/>
    <col min="11316" max="11316" width="9" style="326"/>
    <col min="11317" max="11317" width="10.75" style="326" customWidth="1"/>
    <col min="11318" max="11318" width="12.75" style="326" customWidth="1"/>
    <col min="11319" max="11319" width="9" style="326"/>
    <col min="11320" max="11320" width="10.75" style="326" bestFit="1" customWidth="1"/>
    <col min="11321" max="11321" width="11.5" style="326" customWidth="1"/>
    <col min="11322" max="11322" width="13.625" style="326" customWidth="1"/>
    <col min="11323" max="11323" width="10.625" style="326" customWidth="1"/>
    <col min="11324" max="11324" width="10.75" style="326" bestFit="1" customWidth="1"/>
    <col min="11325" max="11325" width="12.375" style="326" customWidth="1"/>
    <col min="11326" max="11328" width="9" style="326"/>
    <col min="11329" max="11329" width="15.75" style="326" customWidth="1"/>
    <col min="11330" max="11330" width="9" style="326"/>
    <col min="11331" max="11331" width="10.75" style="326" bestFit="1" customWidth="1"/>
    <col min="11332" max="11332" width="12.625" style="326" customWidth="1"/>
    <col min="11333" max="11335" width="9" style="326"/>
    <col min="11336" max="11336" width="13.625" style="326" customWidth="1"/>
    <col min="11337" max="11337" width="9" style="326"/>
    <col min="11338" max="11338" width="10.75" style="326" bestFit="1" customWidth="1"/>
    <col min="11339" max="11339" width="12.5" style="326" customWidth="1"/>
    <col min="11340" max="11342" width="9" style="326"/>
    <col min="11343" max="11343" width="12.875" style="326" customWidth="1"/>
    <col min="11344" max="11344" width="9" style="326"/>
    <col min="11345" max="11345" width="10.75" style="326" bestFit="1" customWidth="1"/>
    <col min="11346" max="11346" width="13.875" style="326" customWidth="1"/>
    <col min="11347" max="11349" width="9" style="326"/>
    <col min="11350" max="11350" width="14.125" style="326" customWidth="1"/>
    <col min="11351" max="11351" width="9" style="326"/>
    <col min="11352" max="11352" width="10.75" style="326" bestFit="1" customWidth="1"/>
    <col min="11353" max="11353" width="13.25" style="326" customWidth="1"/>
    <col min="11354" max="11356" width="9" style="326"/>
    <col min="11357" max="11357" width="13.25" style="326" customWidth="1"/>
    <col min="11358" max="11358" width="9" style="326"/>
    <col min="11359" max="11359" width="10.75" style="326" bestFit="1" customWidth="1"/>
    <col min="11360" max="11360" width="13.875" style="326" customWidth="1"/>
    <col min="11361" max="11363" width="9" style="326"/>
    <col min="11364" max="11364" width="13.625" style="326" customWidth="1"/>
    <col min="11365" max="11365" width="9" style="326"/>
    <col min="11366" max="11366" width="10.75" style="326" bestFit="1" customWidth="1"/>
    <col min="11367" max="11367" width="13" style="326" customWidth="1"/>
    <col min="11368" max="11514" width="9" style="326"/>
    <col min="11515" max="11516" width="12.125" style="326" customWidth="1"/>
    <col min="11517" max="11519" width="13" style="326" customWidth="1"/>
    <col min="11520" max="11520" width="12.875" style="326" customWidth="1"/>
    <col min="11521" max="11521" width="13" style="326" customWidth="1"/>
    <col min="11522" max="11522" width="13.125" style="326" customWidth="1"/>
    <col min="11523" max="11524" width="12.125" style="326" customWidth="1"/>
    <col min="11525" max="11525" width="14.375" style="326" bestFit="1" customWidth="1"/>
    <col min="11526" max="11526" width="11" style="326" customWidth="1"/>
    <col min="11527" max="11527" width="10" style="326" customWidth="1"/>
    <col min="11528" max="11528" width="10.875" style="326" customWidth="1"/>
    <col min="11529" max="11529" width="13.75" style="326" customWidth="1"/>
    <col min="11530" max="11530" width="10" style="326" customWidth="1"/>
    <col min="11531" max="11531" width="13.25" style="326" customWidth="1"/>
    <col min="11532" max="11532" width="14.375" style="326" customWidth="1"/>
    <col min="11533" max="11533" width="10" style="326" customWidth="1"/>
    <col min="11534" max="11534" width="10.875" style="326" customWidth="1"/>
    <col min="11535" max="11535" width="11.375" style="326" customWidth="1"/>
    <col min="11536" max="11536" width="15.375" style="326" customWidth="1"/>
    <col min="11537" max="11538" width="10.75" style="326" customWidth="1"/>
    <col min="11539" max="11539" width="14.375" style="326" customWidth="1"/>
    <col min="11540" max="11540" width="10.75" style="326" customWidth="1"/>
    <col min="11541" max="11541" width="11.75" style="326" customWidth="1"/>
    <col min="11542" max="11542" width="10" style="326" customWidth="1"/>
    <col min="11543" max="11543" width="15.375" style="326" customWidth="1"/>
    <col min="11544" max="11544" width="10" style="326" customWidth="1"/>
    <col min="11545" max="11545" width="10.75" style="326" customWidth="1"/>
    <col min="11546" max="11546" width="14.875" style="326" customWidth="1"/>
    <col min="11547" max="11547" width="11.5" style="326" customWidth="1"/>
    <col min="11548" max="11548" width="10" style="326" customWidth="1"/>
    <col min="11549" max="11549" width="10.75" style="326" customWidth="1"/>
    <col min="11550" max="11550" width="13.5" style="326" customWidth="1"/>
    <col min="11551" max="11551" width="9" style="326"/>
    <col min="11552" max="11552" width="10.75" style="326" bestFit="1" customWidth="1"/>
    <col min="11553" max="11553" width="13.75" style="326" customWidth="1"/>
    <col min="11554" max="11554" width="9" style="326"/>
    <col min="11555" max="11555" width="10.625" style="326" customWidth="1"/>
    <col min="11556" max="11556" width="9" style="326"/>
    <col min="11557" max="11557" width="14.25" style="326" customWidth="1"/>
    <col min="11558" max="11558" width="10.75" style="326" bestFit="1" customWidth="1"/>
    <col min="11559" max="11559" width="11.625" style="326" customWidth="1"/>
    <col min="11560" max="11560" width="13.75" style="326" customWidth="1"/>
    <col min="11561" max="11561" width="10.625" style="326" customWidth="1"/>
    <col min="11562" max="11563" width="9" style="326"/>
    <col min="11564" max="11564" width="14.125" style="326" customWidth="1"/>
    <col min="11565" max="11565" width="11" style="326" customWidth="1"/>
    <col min="11566" max="11566" width="10.75" style="326" bestFit="1" customWidth="1"/>
    <col min="11567" max="11567" width="13.5" style="326" customWidth="1"/>
    <col min="11568" max="11569" width="9" style="326"/>
    <col min="11570" max="11570" width="10.75" style="326" bestFit="1" customWidth="1"/>
    <col min="11571" max="11571" width="14" style="326" customWidth="1"/>
    <col min="11572" max="11572" width="9" style="326"/>
    <col min="11573" max="11573" width="10.75" style="326" customWidth="1"/>
    <col min="11574" max="11574" width="12.75" style="326" customWidth="1"/>
    <col min="11575" max="11575" width="9" style="326"/>
    <col min="11576" max="11576" width="10.75" style="326" bestFit="1" customWidth="1"/>
    <col min="11577" max="11577" width="11.5" style="326" customWidth="1"/>
    <col min="11578" max="11578" width="13.625" style="326" customWidth="1"/>
    <col min="11579" max="11579" width="10.625" style="326" customWidth="1"/>
    <col min="11580" max="11580" width="10.75" style="326" bestFit="1" customWidth="1"/>
    <col min="11581" max="11581" width="12.375" style="326" customWidth="1"/>
    <col min="11582" max="11584" width="9" style="326"/>
    <col min="11585" max="11585" width="15.75" style="326" customWidth="1"/>
    <col min="11586" max="11586" width="9" style="326"/>
    <col min="11587" max="11587" width="10.75" style="326" bestFit="1" customWidth="1"/>
    <col min="11588" max="11588" width="12.625" style="326" customWidth="1"/>
    <col min="11589" max="11591" width="9" style="326"/>
    <col min="11592" max="11592" width="13.625" style="326" customWidth="1"/>
    <col min="11593" max="11593" width="9" style="326"/>
    <col min="11594" max="11594" width="10.75" style="326" bestFit="1" customWidth="1"/>
    <col min="11595" max="11595" width="12.5" style="326" customWidth="1"/>
    <col min="11596" max="11598" width="9" style="326"/>
    <col min="11599" max="11599" width="12.875" style="326" customWidth="1"/>
    <col min="11600" max="11600" width="9" style="326"/>
    <col min="11601" max="11601" width="10.75" style="326" bestFit="1" customWidth="1"/>
    <col min="11602" max="11602" width="13.875" style="326" customWidth="1"/>
    <col min="11603" max="11605" width="9" style="326"/>
    <col min="11606" max="11606" width="14.125" style="326" customWidth="1"/>
    <col min="11607" max="11607" width="9" style="326"/>
    <col min="11608" max="11608" width="10.75" style="326" bestFit="1" customWidth="1"/>
    <col min="11609" max="11609" width="13.25" style="326" customWidth="1"/>
    <col min="11610" max="11612" width="9" style="326"/>
    <col min="11613" max="11613" width="13.25" style="326" customWidth="1"/>
    <col min="11614" max="11614" width="9" style="326"/>
    <col min="11615" max="11615" width="10.75" style="326" bestFit="1" customWidth="1"/>
    <col min="11616" max="11616" width="13.875" style="326" customWidth="1"/>
    <col min="11617" max="11619" width="9" style="326"/>
    <col min="11620" max="11620" width="13.625" style="326" customWidth="1"/>
    <col min="11621" max="11621" width="9" style="326"/>
    <col min="11622" max="11622" width="10.75" style="326" bestFit="1" customWidth="1"/>
    <col min="11623" max="11623" width="13" style="326" customWidth="1"/>
    <col min="11624" max="11770" width="9" style="326"/>
    <col min="11771" max="11772" width="12.125" style="326" customWidth="1"/>
    <col min="11773" max="11775" width="13" style="326" customWidth="1"/>
    <col min="11776" max="11776" width="12.875" style="326" customWidth="1"/>
    <col min="11777" max="11777" width="13" style="326" customWidth="1"/>
    <col min="11778" max="11778" width="13.125" style="326" customWidth="1"/>
    <col min="11779" max="11780" width="12.125" style="326" customWidth="1"/>
    <col min="11781" max="11781" width="14.375" style="326" bestFit="1" customWidth="1"/>
    <col min="11782" max="11782" width="11" style="326" customWidth="1"/>
    <col min="11783" max="11783" width="10" style="326" customWidth="1"/>
    <col min="11784" max="11784" width="10.875" style="326" customWidth="1"/>
    <col min="11785" max="11785" width="13.75" style="326" customWidth="1"/>
    <col min="11786" max="11786" width="10" style="326" customWidth="1"/>
    <col min="11787" max="11787" width="13.25" style="326" customWidth="1"/>
    <col min="11788" max="11788" width="14.375" style="326" customWidth="1"/>
    <col min="11789" max="11789" width="10" style="326" customWidth="1"/>
    <col min="11790" max="11790" width="10.875" style="326" customWidth="1"/>
    <col min="11791" max="11791" width="11.375" style="326" customWidth="1"/>
    <col min="11792" max="11792" width="15.375" style="326" customWidth="1"/>
    <col min="11793" max="11794" width="10.75" style="326" customWidth="1"/>
    <col min="11795" max="11795" width="14.375" style="326" customWidth="1"/>
    <col min="11796" max="11796" width="10.75" style="326" customWidth="1"/>
    <col min="11797" max="11797" width="11.75" style="326" customWidth="1"/>
    <col min="11798" max="11798" width="10" style="326" customWidth="1"/>
    <col min="11799" max="11799" width="15.375" style="326" customWidth="1"/>
    <col min="11800" max="11800" width="10" style="326" customWidth="1"/>
    <col min="11801" max="11801" width="10.75" style="326" customWidth="1"/>
    <col min="11802" max="11802" width="14.875" style="326" customWidth="1"/>
    <col min="11803" max="11803" width="11.5" style="326" customWidth="1"/>
    <col min="11804" max="11804" width="10" style="326" customWidth="1"/>
    <col min="11805" max="11805" width="10.75" style="326" customWidth="1"/>
    <col min="11806" max="11806" width="13.5" style="326" customWidth="1"/>
    <col min="11807" max="11807" width="9" style="326"/>
    <col min="11808" max="11808" width="10.75" style="326" bestFit="1" customWidth="1"/>
    <col min="11809" max="11809" width="13.75" style="326" customWidth="1"/>
    <col min="11810" max="11810" width="9" style="326"/>
    <col min="11811" max="11811" width="10.625" style="326" customWidth="1"/>
    <col min="11812" max="11812" width="9" style="326"/>
    <col min="11813" max="11813" width="14.25" style="326" customWidth="1"/>
    <col min="11814" max="11814" width="10.75" style="326" bestFit="1" customWidth="1"/>
    <col min="11815" max="11815" width="11.625" style="326" customWidth="1"/>
    <col min="11816" max="11816" width="13.75" style="326" customWidth="1"/>
    <col min="11817" max="11817" width="10.625" style="326" customWidth="1"/>
    <col min="11818" max="11819" width="9" style="326"/>
    <col min="11820" max="11820" width="14.125" style="326" customWidth="1"/>
    <col min="11821" max="11821" width="11" style="326" customWidth="1"/>
    <col min="11822" max="11822" width="10.75" style="326" bestFit="1" customWidth="1"/>
    <col min="11823" max="11823" width="13.5" style="326" customWidth="1"/>
    <col min="11824" max="11825" width="9" style="326"/>
    <col min="11826" max="11826" width="10.75" style="326" bestFit="1" customWidth="1"/>
    <col min="11827" max="11827" width="14" style="326" customWidth="1"/>
    <col min="11828" max="11828" width="9" style="326"/>
    <col min="11829" max="11829" width="10.75" style="326" customWidth="1"/>
    <col min="11830" max="11830" width="12.75" style="326" customWidth="1"/>
    <col min="11831" max="11831" width="9" style="326"/>
    <col min="11832" max="11832" width="10.75" style="326" bestFit="1" customWidth="1"/>
    <col min="11833" max="11833" width="11.5" style="326" customWidth="1"/>
    <col min="11834" max="11834" width="13.625" style="326" customWidth="1"/>
    <col min="11835" max="11835" width="10.625" style="326" customWidth="1"/>
    <col min="11836" max="11836" width="10.75" style="326" bestFit="1" customWidth="1"/>
    <col min="11837" max="11837" width="12.375" style="326" customWidth="1"/>
    <col min="11838" max="11840" width="9" style="326"/>
    <col min="11841" max="11841" width="15.75" style="326" customWidth="1"/>
    <col min="11842" max="11842" width="9" style="326"/>
    <col min="11843" max="11843" width="10.75" style="326" bestFit="1" customWidth="1"/>
    <col min="11844" max="11844" width="12.625" style="326" customWidth="1"/>
    <col min="11845" max="11847" width="9" style="326"/>
    <col min="11848" max="11848" width="13.625" style="326" customWidth="1"/>
    <col min="11849" max="11849" width="9" style="326"/>
    <col min="11850" max="11850" width="10.75" style="326" bestFit="1" customWidth="1"/>
    <col min="11851" max="11851" width="12.5" style="326" customWidth="1"/>
    <col min="11852" max="11854" width="9" style="326"/>
    <col min="11855" max="11855" width="12.875" style="326" customWidth="1"/>
    <col min="11856" max="11856" width="9" style="326"/>
    <col min="11857" max="11857" width="10.75" style="326" bestFit="1" customWidth="1"/>
    <col min="11858" max="11858" width="13.875" style="326" customWidth="1"/>
    <col min="11859" max="11861" width="9" style="326"/>
    <col min="11862" max="11862" width="14.125" style="326" customWidth="1"/>
    <col min="11863" max="11863" width="9" style="326"/>
    <col min="11864" max="11864" width="10.75" style="326" bestFit="1" customWidth="1"/>
    <col min="11865" max="11865" width="13.25" style="326" customWidth="1"/>
    <col min="11866" max="11868" width="9" style="326"/>
    <col min="11869" max="11869" width="13.25" style="326" customWidth="1"/>
    <col min="11870" max="11870" width="9" style="326"/>
    <col min="11871" max="11871" width="10.75" style="326" bestFit="1" customWidth="1"/>
    <col min="11872" max="11872" width="13.875" style="326" customWidth="1"/>
    <col min="11873" max="11875" width="9" style="326"/>
    <col min="11876" max="11876" width="13.625" style="326" customWidth="1"/>
    <col min="11877" max="11877" width="9" style="326"/>
    <col min="11878" max="11878" width="10.75" style="326" bestFit="1" customWidth="1"/>
    <col min="11879" max="11879" width="13" style="326" customWidth="1"/>
    <col min="11880" max="12026" width="9" style="326"/>
    <col min="12027" max="12028" width="12.125" style="326" customWidth="1"/>
    <col min="12029" max="12031" width="13" style="326" customWidth="1"/>
    <col min="12032" max="12032" width="12.875" style="326" customWidth="1"/>
    <col min="12033" max="12033" width="13" style="326" customWidth="1"/>
    <col min="12034" max="12034" width="13.125" style="326" customWidth="1"/>
    <col min="12035" max="12036" width="12.125" style="326" customWidth="1"/>
    <col min="12037" max="12037" width="14.375" style="326" bestFit="1" customWidth="1"/>
    <col min="12038" max="12038" width="11" style="326" customWidth="1"/>
    <col min="12039" max="12039" width="10" style="326" customWidth="1"/>
    <col min="12040" max="12040" width="10.875" style="326" customWidth="1"/>
    <col min="12041" max="12041" width="13.75" style="326" customWidth="1"/>
    <col min="12042" max="12042" width="10" style="326" customWidth="1"/>
    <col min="12043" max="12043" width="13.25" style="326" customWidth="1"/>
    <col min="12044" max="12044" width="14.375" style="326" customWidth="1"/>
    <col min="12045" max="12045" width="10" style="326" customWidth="1"/>
    <col min="12046" max="12046" width="10.875" style="326" customWidth="1"/>
    <col min="12047" max="12047" width="11.375" style="326" customWidth="1"/>
    <col min="12048" max="12048" width="15.375" style="326" customWidth="1"/>
    <col min="12049" max="12050" width="10.75" style="326" customWidth="1"/>
    <col min="12051" max="12051" width="14.375" style="326" customWidth="1"/>
    <col min="12052" max="12052" width="10.75" style="326" customWidth="1"/>
    <col min="12053" max="12053" width="11.75" style="326" customWidth="1"/>
    <col min="12054" max="12054" width="10" style="326" customWidth="1"/>
    <col min="12055" max="12055" width="15.375" style="326" customWidth="1"/>
    <col min="12056" max="12056" width="10" style="326" customWidth="1"/>
    <col min="12057" max="12057" width="10.75" style="326" customWidth="1"/>
    <col min="12058" max="12058" width="14.875" style="326" customWidth="1"/>
    <col min="12059" max="12059" width="11.5" style="326" customWidth="1"/>
    <col min="12060" max="12060" width="10" style="326" customWidth="1"/>
    <col min="12061" max="12061" width="10.75" style="326" customWidth="1"/>
    <col min="12062" max="12062" width="13.5" style="326" customWidth="1"/>
    <col min="12063" max="12063" width="9" style="326"/>
    <col min="12064" max="12064" width="10.75" style="326" bestFit="1" customWidth="1"/>
    <col min="12065" max="12065" width="13.75" style="326" customWidth="1"/>
    <col min="12066" max="12066" width="9" style="326"/>
    <col min="12067" max="12067" width="10.625" style="326" customWidth="1"/>
    <col min="12068" max="12068" width="9" style="326"/>
    <col min="12069" max="12069" width="14.25" style="326" customWidth="1"/>
    <col min="12070" max="12070" width="10.75" style="326" bestFit="1" customWidth="1"/>
    <col min="12071" max="12071" width="11.625" style="326" customWidth="1"/>
    <col min="12072" max="12072" width="13.75" style="326" customWidth="1"/>
    <col min="12073" max="12073" width="10.625" style="326" customWidth="1"/>
    <col min="12074" max="12075" width="9" style="326"/>
    <col min="12076" max="12076" width="14.125" style="326" customWidth="1"/>
    <col min="12077" max="12077" width="11" style="326" customWidth="1"/>
    <col min="12078" max="12078" width="10.75" style="326" bestFit="1" customWidth="1"/>
    <col min="12079" max="12079" width="13.5" style="326" customWidth="1"/>
    <col min="12080" max="12081" width="9" style="326"/>
    <col min="12082" max="12082" width="10.75" style="326" bestFit="1" customWidth="1"/>
    <col min="12083" max="12083" width="14" style="326" customWidth="1"/>
    <col min="12084" max="12084" width="9" style="326"/>
    <col min="12085" max="12085" width="10.75" style="326" customWidth="1"/>
    <col min="12086" max="12086" width="12.75" style="326" customWidth="1"/>
    <col min="12087" max="12087" width="9" style="326"/>
    <col min="12088" max="12088" width="10.75" style="326" bestFit="1" customWidth="1"/>
    <col min="12089" max="12089" width="11.5" style="326" customWidth="1"/>
    <col min="12090" max="12090" width="13.625" style="326" customWidth="1"/>
    <col min="12091" max="12091" width="10.625" style="326" customWidth="1"/>
    <col min="12092" max="12092" width="10.75" style="326" bestFit="1" customWidth="1"/>
    <col min="12093" max="12093" width="12.375" style="326" customWidth="1"/>
    <col min="12094" max="12096" width="9" style="326"/>
    <col min="12097" max="12097" width="15.75" style="326" customWidth="1"/>
    <col min="12098" max="12098" width="9" style="326"/>
    <col min="12099" max="12099" width="10.75" style="326" bestFit="1" customWidth="1"/>
    <col min="12100" max="12100" width="12.625" style="326" customWidth="1"/>
    <col min="12101" max="12103" width="9" style="326"/>
    <col min="12104" max="12104" width="13.625" style="326" customWidth="1"/>
    <col min="12105" max="12105" width="9" style="326"/>
    <col min="12106" max="12106" width="10.75" style="326" bestFit="1" customWidth="1"/>
    <col min="12107" max="12107" width="12.5" style="326" customWidth="1"/>
    <col min="12108" max="12110" width="9" style="326"/>
    <col min="12111" max="12111" width="12.875" style="326" customWidth="1"/>
    <col min="12112" max="12112" width="9" style="326"/>
    <col min="12113" max="12113" width="10.75" style="326" bestFit="1" customWidth="1"/>
    <col min="12114" max="12114" width="13.875" style="326" customWidth="1"/>
    <col min="12115" max="12117" width="9" style="326"/>
    <col min="12118" max="12118" width="14.125" style="326" customWidth="1"/>
    <col min="12119" max="12119" width="9" style="326"/>
    <col min="12120" max="12120" width="10.75" style="326" bestFit="1" customWidth="1"/>
    <col min="12121" max="12121" width="13.25" style="326" customWidth="1"/>
    <col min="12122" max="12124" width="9" style="326"/>
    <col min="12125" max="12125" width="13.25" style="326" customWidth="1"/>
    <col min="12126" max="12126" width="9" style="326"/>
    <col min="12127" max="12127" width="10.75" style="326" bestFit="1" customWidth="1"/>
    <col min="12128" max="12128" width="13.875" style="326" customWidth="1"/>
    <col min="12129" max="12131" width="9" style="326"/>
    <col min="12132" max="12132" width="13.625" style="326" customWidth="1"/>
    <col min="12133" max="12133" width="9" style="326"/>
    <col min="12134" max="12134" width="10.75" style="326" bestFit="1" customWidth="1"/>
    <col min="12135" max="12135" width="13" style="326" customWidth="1"/>
    <col min="12136" max="12282" width="9" style="326"/>
    <col min="12283" max="12284" width="12.125" style="326" customWidth="1"/>
    <col min="12285" max="12287" width="13" style="326" customWidth="1"/>
    <col min="12288" max="12288" width="12.875" style="326" customWidth="1"/>
    <col min="12289" max="12289" width="13" style="326" customWidth="1"/>
    <col min="12290" max="12290" width="13.125" style="326" customWidth="1"/>
    <col min="12291" max="12292" width="12.125" style="326" customWidth="1"/>
    <col min="12293" max="12293" width="14.375" style="326" bestFit="1" customWidth="1"/>
    <col min="12294" max="12294" width="11" style="326" customWidth="1"/>
    <col min="12295" max="12295" width="10" style="326" customWidth="1"/>
    <col min="12296" max="12296" width="10.875" style="326" customWidth="1"/>
    <col min="12297" max="12297" width="13.75" style="326" customWidth="1"/>
    <col min="12298" max="12298" width="10" style="326" customWidth="1"/>
    <col min="12299" max="12299" width="13.25" style="326" customWidth="1"/>
    <col min="12300" max="12300" width="14.375" style="326" customWidth="1"/>
    <col min="12301" max="12301" width="10" style="326" customWidth="1"/>
    <col min="12302" max="12302" width="10.875" style="326" customWidth="1"/>
    <col min="12303" max="12303" width="11.375" style="326" customWidth="1"/>
    <col min="12304" max="12304" width="15.375" style="326" customWidth="1"/>
    <col min="12305" max="12306" width="10.75" style="326" customWidth="1"/>
    <col min="12307" max="12307" width="14.375" style="326" customWidth="1"/>
    <col min="12308" max="12308" width="10.75" style="326" customWidth="1"/>
    <col min="12309" max="12309" width="11.75" style="326" customWidth="1"/>
    <col min="12310" max="12310" width="10" style="326" customWidth="1"/>
    <col min="12311" max="12311" width="15.375" style="326" customWidth="1"/>
    <col min="12312" max="12312" width="10" style="326" customWidth="1"/>
    <col min="12313" max="12313" width="10.75" style="326" customWidth="1"/>
    <col min="12314" max="12314" width="14.875" style="326" customWidth="1"/>
    <col min="12315" max="12315" width="11.5" style="326" customWidth="1"/>
    <col min="12316" max="12316" width="10" style="326" customWidth="1"/>
    <col min="12317" max="12317" width="10.75" style="326" customWidth="1"/>
    <col min="12318" max="12318" width="13.5" style="326" customWidth="1"/>
    <col min="12319" max="12319" width="9" style="326"/>
    <col min="12320" max="12320" width="10.75" style="326" bestFit="1" customWidth="1"/>
    <col min="12321" max="12321" width="13.75" style="326" customWidth="1"/>
    <col min="12322" max="12322" width="9" style="326"/>
    <col min="12323" max="12323" width="10.625" style="326" customWidth="1"/>
    <col min="12324" max="12324" width="9" style="326"/>
    <col min="12325" max="12325" width="14.25" style="326" customWidth="1"/>
    <col min="12326" max="12326" width="10.75" style="326" bestFit="1" customWidth="1"/>
    <col min="12327" max="12327" width="11.625" style="326" customWidth="1"/>
    <col min="12328" max="12328" width="13.75" style="326" customWidth="1"/>
    <col min="12329" max="12329" width="10.625" style="326" customWidth="1"/>
    <col min="12330" max="12331" width="9" style="326"/>
    <col min="12332" max="12332" width="14.125" style="326" customWidth="1"/>
    <col min="12333" max="12333" width="11" style="326" customWidth="1"/>
    <col min="12334" max="12334" width="10.75" style="326" bestFit="1" customWidth="1"/>
    <col min="12335" max="12335" width="13.5" style="326" customWidth="1"/>
    <col min="12336" max="12337" width="9" style="326"/>
    <col min="12338" max="12338" width="10.75" style="326" bestFit="1" customWidth="1"/>
    <col min="12339" max="12339" width="14" style="326" customWidth="1"/>
    <col min="12340" max="12340" width="9" style="326"/>
    <col min="12341" max="12341" width="10.75" style="326" customWidth="1"/>
    <col min="12342" max="12342" width="12.75" style="326" customWidth="1"/>
    <col min="12343" max="12343" width="9" style="326"/>
    <col min="12344" max="12344" width="10.75" style="326" bestFit="1" customWidth="1"/>
    <col min="12345" max="12345" width="11.5" style="326" customWidth="1"/>
    <col min="12346" max="12346" width="13.625" style="326" customWidth="1"/>
    <col min="12347" max="12347" width="10.625" style="326" customWidth="1"/>
    <col min="12348" max="12348" width="10.75" style="326" bestFit="1" customWidth="1"/>
    <col min="12349" max="12349" width="12.375" style="326" customWidth="1"/>
    <col min="12350" max="12352" width="9" style="326"/>
    <col min="12353" max="12353" width="15.75" style="326" customWidth="1"/>
    <col min="12354" max="12354" width="9" style="326"/>
    <col min="12355" max="12355" width="10.75" style="326" bestFit="1" customWidth="1"/>
    <col min="12356" max="12356" width="12.625" style="326" customWidth="1"/>
    <col min="12357" max="12359" width="9" style="326"/>
    <col min="12360" max="12360" width="13.625" style="326" customWidth="1"/>
    <col min="12361" max="12361" width="9" style="326"/>
    <col min="12362" max="12362" width="10.75" style="326" bestFit="1" customWidth="1"/>
    <col min="12363" max="12363" width="12.5" style="326" customWidth="1"/>
    <col min="12364" max="12366" width="9" style="326"/>
    <col min="12367" max="12367" width="12.875" style="326" customWidth="1"/>
    <col min="12368" max="12368" width="9" style="326"/>
    <col min="12369" max="12369" width="10.75" style="326" bestFit="1" customWidth="1"/>
    <col min="12370" max="12370" width="13.875" style="326" customWidth="1"/>
    <col min="12371" max="12373" width="9" style="326"/>
    <col min="12374" max="12374" width="14.125" style="326" customWidth="1"/>
    <col min="12375" max="12375" width="9" style="326"/>
    <col min="12376" max="12376" width="10.75" style="326" bestFit="1" customWidth="1"/>
    <col min="12377" max="12377" width="13.25" style="326" customWidth="1"/>
    <col min="12378" max="12380" width="9" style="326"/>
    <col min="12381" max="12381" width="13.25" style="326" customWidth="1"/>
    <col min="12382" max="12382" width="9" style="326"/>
    <col min="12383" max="12383" width="10.75" style="326" bestFit="1" customWidth="1"/>
    <col min="12384" max="12384" width="13.875" style="326" customWidth="1"/>
    <col min="12385" max="12387" width="9" style="326"/>
    <col min="12388" max="12388" width="13.625" style="326" customWidth="1"/>
    <col min="12389" max="12389" width="9" style="326"/>
    <col min="12390" max="12390" width="10.75" style="326" bestFit="1" customWidth="1"/>
    <col min="12391" max="12391" width="13" style="326" customWidth="1"/>
    <col min="12392" max="12538" width="9" style="326"/>
    <col min="12539" max="12540" width="12.125" style="326" customWidth="1"/>
    <col min="12541" max="12543" width="13" style="326" customWidth="1"/>
    <col min="12544" max="12544" width="12.875" style="326" customWidth="1"/>
    <col min="12545" max="12545" width="13" style="326" customWidth="1"/>
    <col min="12546" max="12546" width="13.125" style="326" customWidth="1"/>
    <col min="12547" max="12548" width="12.125" style="326" customWidth="1"/>
    <col min="12549" max="12549" width="14.375" style="326" bestFit="1" customWidth="1"/>
    <col min="12550" max="12550" width="11" style="326" customWidth="1"/>
    <col min="12551" max="12551" width="10" style="326" customWidth="1"/>
    <col min="12552" max="12552" width="10.875" style="326" customWidth="1"/>
    <col min="12553" max="12553" width="13.75" style="326" customWidth="1"/>
    <col min="12554" max="12554" width="10" style="326" customWidth="1"/>
    <col min="12555" max="12555" width="13.25" style="326" customWidth="1"/>
    <col min="12556" max="12556" width="14.375" style="326" customWidth="1"/>
    <col min="12557" max="12557" width="10" style="326" customWidth="1"/>
    <col min="12558" max="12558" width="10.875" style="326" customWidth="1"/>
    <col min="12559" max="12559" width="11.375" style="326" customWidth="1"/>
    <col min="12560" max="12560" width="15.375" style="326" customWidth="1"/>
    <col min="12561" max="12562" width="10.75" style="326" customWidth="1"/>
    <col min="12563" max="12563" width="14.375" style="326" customWidth="1"/>
    <col min="12564" max="12564" width="10.75" style="326" customWidth="1"/>
    <col min="12565" max="12565" width="11.75" style="326" customWidth="1"/>
    <col min="12566" max="12566" width="10" style="326" customWidth="1"/>
    <col min="12567" max="12567" width="15.375" style="326" customWidth="1"/>
    <col min="12568" max="12568" width="10" style="326" customWidth="1"/>
    <col min="12569" max="12569" width="10.75" style="326" customWidth="1"/>
    <col min="12570" max="12570" width="14.875" style="326" customWidth="1"/>
    <col min="12571" max="12571" width="11.5" style="326" customWidth="1"/>
    <col min="12572" max="12572" width="10" style="326" customWidth="1"/>
    <col min="12573" max="12573" width="10.75" style="326" customWidth="1"/>
    <col min="12574" max="12574" width="13.5" style="326" customWidth="1"/>
    <col min="12575" max="12575" width="9" style="326"/>
    <col min="12576" max="12576" width="10.75" style="326" bestFit="1" customWidth="1"/>
    <col min="12577" max="12577" width="13.75" style="326" customWidth="1"/>
    <col min="12578" max="12578" width="9" style="326"/>
    <col min="12579" max="12579" width="10.625" style="326" customWidth="1"/>
    <col min="12580" max="12580" width="9" style="326"/>
    <col min="12581" max="12581" width="14.25" style="326" customWidth="1"/>
    <col min="12582" max="12582" width="10.75" style="326" bestFit="1" customWidth="1"/>
    <col min="12583" max="12583" width="11.625" style="326" customWidth="1"/>
    <col min="12584" max="12584" width="13.75" style="326" customWidth="1"/>
    <col min="12585" max="12585" width="10.625" style="326" customWidth="1"/>
    <col min="12586" max="12587" width="9" style="326"/>
    <col min="12588" max="12588" width="14.125" style="326" customWidth="1"/>
    <col min="12589" max="12589" width="11" style="326" customWidth="1"/>
    <col min="12590" max="12590" width="10.75" style="326" bestFit="1" customWidth="1"/>
    <col min="12591" max="12591" width="13.5" style="326" customWidth="1"/>
    <col min="12592" max="12593" width="9" style="326"/>
    <col min="12594" max="12594" width="10.75" style="326" bestFit="1" customWidth="1"/>
    <col min="12595" max="12595" width="14" style="326" customWidth="1"/>
    <col min="12596" max="12596" width="9" style="326"/>
    <col min="12597" max="12597" width="10.75" style="326" customWidth="1"/>
    <col min="12598" max="12598" width="12.75" style="326" customWidth="1"/>
    <col min="12599" max="12599" width="9" style="326"/>
    <col min="12600" max="12600" width="10.75" style="326" bestFit="1" customWidth="1"/>
    <col min="12601" max="12601" width="11.5" style="326" customWidth="1"/>
    <col min="12602" max="12602" width="13.625" style="326" customWidth="1"/>
    <col min="12603" max="12603" width="10.625" style="326" customWidth="1"/>
    <col min="12604" max="12604" width="10.75" style="326" bestFit="1" customWidth="1"/>
    <col min="12605" max="12605" width="12.375" style="326" customWidth="1"/>
    <col min="12606" max="12608" width="9" style="326"/>
    <col min="12609" max="12609" width="15.75" style="326" customWidth="1"/>
    <col min="12610" max="12610" width="9" style="326"/>
    <col min="12611" max="12611" width="10.75" style="326" bestFit="1" customWidth="1"/>
    <col min="12612" max="12612" width="12.625" style="326" customWidth="1"/>
    <col min="12613" max="12615" width="9" style="326"/>
    <col min="12616" max="12616" width="13.625" style="326" customWidth="1"/>
    <col min="12617" max="12617" width="9" style="326"/>
    <col min="12618" max="12618" width="10.75" style="326" bestFit="1" customWidth="1"/>
    <col min="12619" max="12619" width="12.5" style="326" customWidth="1"/>
    <col min="12620" max="12622" width="9" style="326"/>
    <col min="12623" max="12623" width="12.875" style="326" customWidth="1"/>
    <col min="12624" max="12624" width="9" style="326"/>
    <col min="12625" max="12625" width="10.75" style="326" bestFit="1" customWidth="1"/>
    <col min="12626" max="12626" width="13.875" style="326" customWidth="1"/>
    <col min="12627" max="12629" width="9" style="326"/>
    <col min="12630" max="12630" width="14.125" style="326" customWidth="1"/>
    <col min="12631" max="12631" width="9" style="326"/>
    <col min="12632" max="12632" width="10.75" style="326" bestFit="1" customWidth="1"/>
    <col min="12633" max="12633" width="13.25" style="326" customWidth="1"/>
    <col min="12634" max="12636" width="9" style="326"/>
    <col min="12637" max="12637" width="13.25" style="326" customWidth="1"/>
    <col min="12638" max="12638" width="9" style="326"/>
    <col min="12639" max="12639" width="10.75" style="326" bestFit="1" customWidth="1"/>
    <col min="12640" max="12640" width="13.875" style="326" customWidth="1"/>
    <col min="12641" max="12643" width="9" style="326"/>
    <col min="12644" max="12644" width="13.625" style="326" customWidth="1"/>
    <col min="12645" max="12645" width="9" style="326"/>
    <col min="12646" max="12646" width="10.75" style="326" bestFit="1" customWidth="1"/>
    <col min="12647" max="12647" width="13" style="326" customWidth="1"/>
    <col min="12648" max="12794" width="9" style="326"/>
    <col min="12795" max="12796" width="12.125" style="326" customWidth="1"/>
    <col min="12797" max="12799" width="13" style="326" customWidth="1"/>
    <col min="12800" max="12800" width="12.875" style="326" customWidth="1"/>
    <col min="12801" max="12801" width="13" style="326" customWidth="1"/>
    <col min="12802" max="12802" width="13.125" style="326" customWidth="1"/>
    <col min="12803" max="12804" width="12.125" style="326" customWidth="1"/>
    <col min="12805" max="12805" width="14.375" style="326" bestFit="1" customWidth="1"/>
    <col min="12806" max="12806" width="11" style="326" customWidth="1"/>
    <col min="12807" max="12807" width="10" style="326" customWidth="1"/>
    <col min="12808" max="12808" width="10.875" style="326" customWidth="1"/>
    <col min="12809" max="12809" width="13.75" style="326" customWidth="1"/>
    <col min="12810" max="12810" width="10" style="326" customWidth="1"/>
    <col min="12811" max="12811" width="13.25" style="326" customWidth="1"/>
    <col min="12812" max="12812" width="14.375" style="326" customWidth="1"/>
    <col min="12813" max="12813" width="10" style="326" customWidth="1"/>
    <col min="12814" max="12814" width="10.875" style="326" customWidth="1"/>
    <col min="12815" max="12815" width="11.375" style="326" customWidth="1"/>
    <col min="12816" max="12816" width="15.375" style="326" customWidth="1"/>
    <col min="12817" max="12818" width="10.75" style="326" customWidth="1"/>
    <col min="12819" max="12819" width="14.375" style="326" customWidth="1"/>
    <col min="12820" max="12820" width="10.75" style="326" customWidth="1"/>
    <col min="12821" max="12821" width="11.75" style="326" customWidth="1"/>
    <col min="12822" max="12822" width="10" style="326" customWidth="1"/>
    <col min="12823" max="12823" width="15.375" style="326" customWidth="1"/>
    <col min="12824" max="12824" width="10" style="326" customWidth="1"/>
    <col min="12825" max="12825" width="10.75" style="326" customWidth="1"/>
    <col min="12826" max="12826" width="14.875" style="326" customWidth="1"/>
    <col min="12827" max="12827" width="11.5" style="326" customWidth="1"/>
    <col min="12828" max="12828" width="10" style="326" customWidth="1"/>
    <col min="12829" max="12829" width="10.75" style="326" customWidth="1"/>
    <col min="12830" max="12830" width="13.5" style="326" customWidth="1"/>
    <col min="12831" max="12831" width="9" style="326"/>
    <col min="12832" max="12832" width="10.75" style="326" bestFit="1" customWidth="1"/>
    <col min="12833" max="12833" width="13.75" style="326" customWidth="1"/>
    <col min="12834" max="12834" width="9" style="326"/>
    <col min="12835" max="12835" width="10.625" style="326" customWidth="1"/>
    <col min="12836" max="12836" width="9" style="326"/>
    <col min="12837" max="12837" width="14.25" style="326" customWidth="1"/>
    <col min="12838" max="12838" width="10.75" style="326" bestFit="1" customWidth="1"/>
    <col min="12839" max="12839" width="11.625" style="326" customWidth="1"/>
    <col min="12840" max="12840" width="13.75" style="326" customWidth="1"/>
    <col min="12841" max="12841" width="10.625" style="326" customWidth="1"/>
    <col min="12842" max="12843" width="9" style="326"/>
    <col min="12844" max="12844" width="14.125" style="326" customWidth="1"/>
    <col min="12845" max="12845" width="11" style="326" customWidth="1"/>
    <col min="12846" max="12846" width="10.75" style="326" bestFit="1" customWidth="1"/>
    <col min="12847" max="12847" width="13.5" style="326" customWidth="1"/>
    <col min="12848" max="12849" width="9" style="326"/>
    <col min="12850" max="12850" width="10.75" style="326" bestFit="1" customWidth="1"/>
    <col min="12851" max="12851" width="14" style="326" customWidth="1"/>
    <col min="12852" max="12852" width="9" style="326"/>
    <col min="12853" max="12853" width="10.75" style="326" customWidth="1"/>
    <col min="12854" max="12854" width="12.75" style="326" customWidth="1"/>
    <col min="12855" max="12855" width="9" style="326"/>
    <col min="12856" max="12856" width="10.75" style="326" bestFit="1" customWidth="1"/>
    <col min="12857" max="12857" width="11.5" style="326" customWidth="1"/>
    <col min="12858" max="12858" width="13.625" style="326" customWidth="1"/>
    <col min="12859" max="12859" width="10.625" style="326" customWidth="1"/>
    <col min="12860" max="12860" width="10.75" style="326" bestFit="1" customWidth="1"/>
    <col min="12861" max="12861" width="12.375" style="326" customWidth="1"/>
    <col min="12862" max="12864" width="9" style="326"/>
    <col min="12865" max="12865" width="15.75" style="326" customWidth="1"/>
    <col min="12866" max="12866" width="9" style="326"/>
    <col min="12867" max="12867" width="10.75" style="326" bestFit="1" customWidth="1"/>
    <col min="12868" max="12868" width="12.625" style="326" customWidth="1"/>
    <col min="12869" max="12871" width="9" style="326"/>
    <col min="12872" max="12872" width="13.625" style="326" customWidth="1"/>
    <col min="12873" max="12873" width="9" style="326"/>
    <col min="12874" max="12874" width="10.75" style="326" bestFit="1" customWidth="1"/>
    <col min="12875" max="12875" width="12.5" style="326" customWidth="1"/>
    <col min="12876" max="12878" width="9" style="326"/>
    <col min="12879" max="12879" width="12.875" style="326" customWidth="1"/>
    <col min="12880" max="12880" width="9" style="326"/>
    <col min="12881" max="12881" width="10.75" style="326" bestFit="1" customWidth="1"/>
    <col min="12882" max="12882" width="13.875" style="326" customWidth="1"/>
    <col min="12883" max="12885" width="9" style="326"/>
    <col min="12886" max="12886" width="14.125" style="326" customWidth="1"/>
    <col min="12887" max="12887" width="9" style="326"/>
    <col min="12888" max="12888" width="10.75" style="326" bestFit="1" customWidth="1"/>
    <col min="12889" max="12889" width="13.25" style="326" customWidth="1"/>
    <col min="12890" max="12892" width="9" style="326"/>
    <col min="12893" max="12893" width="13.25" style="326" customWidth="1"/>
    <col min="12894" max="12894" width="9" style="326"/>
    <col min="12895" max="12895" width="10.75" style="326" bestFit="1" customWidth="1"/>
    <col min="12896" max="12896" width="13.875" style="326" customWidth="1"/>
    <col min="12897" max="12899" width="9" style="326"/>
    <col min="12900" max="12900" width="13.625" style="326" customWidth="1"/>
    <col min="12901" max="12901" width="9" style="326"/>
    <col min="12902" max="12902" width="10.75" style="326" bestFit="1" customWidth="1"/>
    <col min="12903" max="12903" width="13" style="326" customWidth="1"/>
    <col min="12904" max="13050" width="9" style="326"/>
    <col min="13051" max="13052" width="12.125" style="326" customWidth="1"/>
    <col min="13053" max="13055" width="13" style="326" customWidth="1"/>
    <col min="13056" max="13056" width="12.875" style="326" customWidth="1"/>
    <col min="13057" max="13057" width="13" style="326" customWidth="1"/>
    <col min="13058" max="13058" width="13.125" style="326" customWidth="1"/>
    <col min="13059" max="13060" width="12.125" style="326" customWidth="1"/>
    <col min="13061" max="13061" width="14.375" style="326" bestFit="1" customWidth="1"/>
    <col min="13062" max="13062" width="11" style="326" customWidth="1"/>
    <col min="13063" max="13063" width="10" style="326" customWidth="1"/>
    <col min="13064" max="13064" width="10.875" style="326" customWidth="1"/>
    <col min="13065" max="13065" width="13.75" style="326" customWidth="1"/>
    <col min="13066" max="13066" width="10" style="326" customWidth="1"/>
    <col min="13067" max="13067" width="13.25" style="326" customWidth="1"/>
    <col min="13068" max="13068" width="14.375" style="326" customWidth="1"/>
    <col min="13069" max="13069" width="10" style="326" customWidth="1"/>
    <col min="13070" max="13070" width="10.875" style="326" customWidth="1"/>
    <col min="13071" max="13071" width="11.375" style="326" customWidth="1"/>
    <col min="13072" max="13072" width="15.375" style="326" customWidth="1"/>
    <col min="13073" max="13074" width="10.75" style="326" customWidth="1"/>
    <col min="13075" max="13075" width="14.375" style="326" customWidth="1"/>
    <col min="13076" max="13076" width="10.75" style="326" customWidth="1"/>
    <col min="13077" max="13077" width="11.75" style="326" customWidth="1"/>
    <col min="13078" max="13078" width="10" style="326" customWidth="1"/>
    <col min="13079" max="13079" width="15.375" style="326" customWidth="1"/>
    <col min="13080" max="13080" width="10" style="326" customWidth="1"/>
    <col min="13081" max="13081" width="10.75" style="326" customWidth="1"/>
    <col min="13082" max="13082" width="14.875" style="326" customWidth="1"/>
    <col min="13083" max="13083" width="11.5" style="326" customWidth="1"/>
    <col min="13084" max="13084" width="10" style="326" customWidth="1"/>
    <col min="13085" max="13085" width="10.75" style="326" customWidth="1"/>
    <col min="13086" max="13086" width="13.5" style="326" customWidth="1"/>
    <col min="13087" max="13087" width="9" style="326"/>
    <col min="13088" max="13088" width="10.75" style="326" bestFit="1" customWidth="1"/>
    <col min="13089" max="13089" width="13.75" style="326" customWidth="1"/>
    <col min="13090" max="13090" width="9" style="326"/>
    <col min="13091" max="13091" width="10.625" style="326" customWidth="1"/>
    <col min="13092" max="13092" width="9" style="326"/>
    <col min="13093" max="13093" width="14.25" style="326" customWidth="1"/>
    <col min="13094" max="13094" width="10.75" style="326" bestFit="1" customWidth="1"/>
    <col min="13095" max="13095" width="11.625" style="326" customWidth="1"/>
    <col min="13096" max="13096" width="13.75" style="326" customWidth="1"/>
    <col min="13097" max="13097" width="10.625" style="326" customWidth="1"/>
    <col min="13098" max="13099" width="9" style="326"/>
    <col min="13100" max="13100" width="14.125" style="326" customWidth="1"/>
    <col min="13101" max="13101" width="11" style="326" customWidth="1"/>
    <col min="13102" max="13102" width="10.75" style="326" bestFit="1" customWidth="1"/>
    <col min="13103" max="13103" width="13.5" style="326" customWidth="1"/>
    <col min="13104" max="13105" width="9" style="326"/>
    <col min="13106" max="13106" width="10.75" style="326" bestFit="1" customWidth="1"/>
    <col min="13107" max="13107" width="14" style="326" customWidth="1"/>
    <col min="13108" max="13108" width="9" style="326"/>
    <col min="13109" max="13109" width="10.75" style="326" customWidth="1"/>
    <col min="13110" max="13110" width="12.75" style="326" customWidth="1"/>
    <col min="13111" max="13111" width="9" style="326"/>
    <col min="13112" max="13112" width="10.75" style="326" bestFit="1" customWidth="1"/>
    <col min="13113" max="13113" width="11.5" style="326" customWidth="1"/>
    <col min="13114" max="13114" width="13.625" style="326" customWidth="1"/>
    <col min="13115" max="13115" width="10.625" style="326" customWidth="1"/>
    <col min="13116" max="13116" width="10.75" style="326" bestFit="1" customWidth="1"/>
    <col min="13117" max="13117" width="12.375" style="326" customWidth="1"/>
    <col min="13118" max="13120" width="9" style="326"/>
    <col min="13121" max="13121" width="15.75" style="326" customWidth="1"/>
    <col min="13122" max="13122" width="9" style="326"/>
    <col min="13123" max="13123" width="10.75" style="326" bestFit="1" customWidth="1"/>
    <col min="13124" max="13124" width="12.625" style="326" customWidth="1"/>
    <col min="13125" max="13127" width="9" style="326"/>
    <col min="13128" max="13128" width="13.625" style="326" customWidth="1"/>
    <col min="13129" max="13129" width="9" style="326"/>
    <col min="13130" max="13130" width="10.75" style="326" bestFit="1" customWidth="1"/>
    <col min="13131" max="13131" width="12.5" style="326" customWidth="1"/>
    <col min="13132" max="13134" width="9" style="326"/>
    <col min="13135" max="13135" width="12.875" style="326" customWidth="1"/>
    <col min="13136" max="13136" width="9" style="326"/>
    <col min="13137" max="13137" width="10.75" style="326" bestFit="1" customWidth="1"/>
    <col min="13138" max="13138" width="13.875" style="326" customWidth="1"/>
    <col min="13139" max="13141" width="9" style="326"/>
    <col min="13142" max="13142" width="14.125" style="326" customWidth="1"/>
    <col min="13143" max="13143" width="9" style="326"/>
    <col min="13144" max="13144" width="10.75" style="326" bestFit="1" customWidth="1"/>
    <col min="13145" max="13145" width="13.25" style="326" customWidth="1"/>
    <col min="13146" max="13148" width="9" style="326"/>
    <col min="13149" max="13149" width="13.25" style="326" customWidth="1"/>
    <col min="13150" max="13150" width="9" style="326"/>
    <col min="13151" max="13151" width="10.75" style="326" bestFit="1" customWidth="1"/>
    <col min="13152" max="13152" width="13.875" style="326" customWidth="1"/>
    <col min="13153" max="13155" width="9" style="326"/>
    <col min="13156" max="13156" width="13.625" style="326" customWidth="1"/>
    <col min="13157" max="13157" width="9" style="326"/>
    <col min="13158" max="13158" width="10.75" style="326" bestFit="1" customWidth="1"/>
    <col min="13159" max="13159" width="13" style="326" customWidth="1"/>
    <col min="13160" max="13306" width="9" style="326"/>
    <col min="13307" max="13308" width="12.125" style="326" customWidth="1"/>
    <col min="13309" max="13311" width="13" style="326" customWidth="1"/>
    <col min="13312" max="13312" width="12.875" style="326" customWidth="1"/>
    <col min="13313" max="13313" width="13" style="326" customWidth="1"/>
    <col min="13314" max="13314" width="13.125" style="326" customWidth="1"/>
    <col min="13315" max="13316" width="12.125" style="326" customWidth="1"/>
    <col min="13317" max="13317" width="14.375" style="326" bestFit="1" customWidth="1"/>
    <col min="13318" max="13318" width="11" style="326" customWidth="1"/>
    <col min="13319" max="13319" width="10" style="326" customWidth="1"/>
    <col min="13320" max="13320" width="10.875" style="326" customWidth="1"/>
    <col min="13321" max="13321" width="13.75" style="326" customWidth="1"/>
    <col min="13322" max="13322" width="10" style="326" customWidth="1"/>
    <col min="13323" max="13323" width="13.25" style="326" customWidth="1"/>
    <col min="13324" max="13324" width="14.375" style="326" customWidth="1"/>
    <col min="13325" max="13325" width="10" style="326" customWidth="1"/>
    <col min="13326" max="13326" width="10.875" style="326" customWidth="1"/>
    <col min="13327" max="13327" width="11.375" style="326" customWidth="1"/>
    <col min="13328" max="13328" width="15.375" style="326" customWidth="1"/>
    <col min="13329" max="13330" width="10.75" style="326" customWidth="1"/>
    <col min="13331" max="13331" width="14.375" style="326" customWidth="1"/>
    <col min="13332" max="13332" width="10.75" style="326" customWidth="1"/>
    <col min="13333" max="13333" width="11.75" style="326" customWidth="1"/>
    <col min="13334" max="13334" width="10" style="326" customWidth="1"/>
    <col min="13335" max="13335" width="15.375" style="326" customWidth="1"/>
    <col min="13336" max="13336" width="10" style="326" customWidth="1"/>
    <col min="13337" max="13337" width="10.75" style="326" customWidth="1"/>
    <col min="13338" max="13338" width="14.875" style="326" customWidth="1"/>
    <col min="13339" max="13339" width="11.5" style="326" customWidth="1"/>
    <col min="13340" max="13340" width="10" style="326" customWidth="1"/>
    <col min="13341" max="13341" width="10.75" style="326" customWidth="1"/>
    <col min="13342" max="13342" width="13.5" style="326" customWidth="1"/>
    <col min="13343" max="13343" width="9" style="326"/>
    <col min="13344" max="13344" width="10.75" style="326" bestFit="1" customWidth="1"/>
    <col min="13345" max="13345" width="13.75" style="326" customWidth="1"/>
    <col min="13346" max="13346" width="9" style="326"/>
    <col min="13347" max="13347" width="10.625" style="326" customWidth="1"/>
    <col min="13348" max="13348" width="9" style="326"/>
    <col min="13349" max="13349" width="14.25" style="326" customWidth="1"/>
    <col min="13350" max="13350" width="10.75" style="326" bestFit="1" customWidth="1"/>
    <col min="13351" max="13351" width="11.625" style="326" customWidth="1"/>
    <col min="13352" max="13352" width="13.75" style="326" customWidth="1"/>
    <col min="13353" max="13353" width="10.625" style="326" customWidth="1"/>
    <col min="13354" max="13355" width="9" style="326"/>
    <col min="13356" max="13356" width="14.125" style="326" customWidth="1"/>
    <col min="13357" max="13357" width="11" style="326" customWidth="1"/>
    <col min="13358" max="13358" width="10.75" style="326" bestFit="1" customWidth="1"/>
    <col min="13359" max="13359" width="13.5" style="326" customWidth="1"/>
    <col min="13360" max="13361" width="9" style="326"/>
    <col min="13362" max="13362" width="10.75" style="326" bestFit="1" customWidth="1"/>
    <col min="13363" max="13363" width="14" style="326" customWidth="1"/>
    <col min="13364" max="13364" width="9" style="326"/>
    <col min="13365" max="13365" width="10.75" style="326" customWidth="1"/>
    <col min="13366" max="13366" width="12.75" style="326" customWidth="1"/>
    <col min="13367" max="13367" width="9" style="326"/>
    <col min="13368" max="13368" width="10.75" style="326" bestFit="1" customWidth="1"/>
    <col min="13369" max="13369" width="11.5" style="326" customWidth="1"/>
    <col min="13370" max="13370" width="13.625" style="326" customWidth="1"/>
    <col min="13371" max="13371" width="10.625" style="326" customWidth="1"/>
    <col min="13372" max="13372" width="10.75" style="326" bestFit="1" customWidth="1"/>
    <col min="13373" max="13373" width="12.375" style="326" customWidth="1"/>
    <col min="13374" max="13376" width="9" style="326"/>
    <col min="13377" max="13377" width="15.75" style="326" customWidth="1"/>
    <col min="13378" max="13378" width="9" style="326"/>
    <col min="13379" max="13379" width="10.75" style="326" bestFit="1" customWidth="1"/>
    <col min="13380" max="13380" width="12.625" style="326" customWidth="1"/>
    <col min="13381" max="13383" width="9" style="326"/>
    <col min="13384" max="13384" width="13.625" style="326" customWidth="1"/>
    <col min="13385" max="13385" width="9" style="326"/>
    <col min="13386" max="13386" width="10.75" style="326" bestFit="1" customWidth="1"/>
    <col min="13387" max="13387" width="12.5" style="326" customWidth="1"/>
    <col min="13388" max="13390" width="9" style="326"/>
    <col min="13391" max="13391" width="12.875" style="326" customWidth="1"/>
    <col min="13392" max="13392" width="9" style="326"/>
    <col min="13393" max="13393" width="10.75" style="326" bestFit="1" customWidth="1"/>
    <col min="13394" max="13394" width="13.875" style="326" customWidth="1"/>
    <col min="13395" max="13397" width="9" style="326"/>
    <col min="13398" max="13398" width="14.125" style="326" customWidth="1"/>
    <col min="13399" max="13399" width="9" style="326"/>
    <col min="13400" max="13400" width="10.75" style="326" bestFit="1" customWidth="1"/>
    <col min="13401" max="13401" width="13.25" style="326" customWidth="1"/>
    <col min="13402" max="13404" width="9" style="326"/>
    <col min="13405" max="13405" width="13.25" style="326" customWidth="1"/>
    <col min="13406" max="13406" width="9" style="326"/>
    <col min="13407" max="13407" width="10.75" style="326" bestFit="1" customWidth="1"/>
    <col min="13408" max="13408" width="13.875" style="326" customWidth="1"/>
    <col min="13409" max="13411" width="9" style="326"/>
    <col min="13412" max="13412" width="13.625" style="326" customWidth="1"/>
    <col min="13413" max="13413" width="9" style="326"/>
    <col min="13414" max="13414" width="10.75" style="326" bestFit="1" customWidth="1"/>
    <col min="13415" max="13415" width="13" style="326" customWidth="1"/>
    <col min="13416" max="13562" width="9" style="326"/>
    <col min="13563" max="13564" width="12.125" style="326" customWidth="1"/>
    <col min="13565" max="13567" width="13" style="326" customWidth="1"/>
    <col min="13568" max="13568" width="12.875" style="326" customWidth="1"/>
    <col min="13569" max="13569" width="13" style="326" customWidth="1"/>
    <col min="13570" max="13570" width="13.125" style="326" customWidth="1"/>
    <col min="13571" max="13572" width="12.125" style="326" customWidth="1"/>
    <col min="13573" max="13573" width="14.375" style="326" bestFit="1" customWidth="1"/>
    <col min="13574" max="13574" width="11" style="326" customWidth="1"/>
    <col min="13575" max="13575" width="10" style="326" customWidth="1"/>
    <col min="13576" max="13576" width="10.875" style="326" customWidth="1"/>
    <col min="13577" max="13577" width="13.75" style="326" customWidth="1"/>
    <col min="13578" max="13578" width="10" style="326" customWidth="1"/>
    <col min="13579" max="13579" width="13.25" style="326" customWidth="1"/>
    <col min="13580" max="13580" width="14.375" style="326" customWidth="1"/>
    <col min="13581" max="13581" width="10" style="326" customWidth="1"/>
    <col min="13582" max="13582" width="10.875" style="326" customWidth="1"/>
    <col min="13583" max="13583" width="11.375" style="326" customWidth="1"/>
    <col min="13584" max="13584" width="15.375" style="326" customWidth="1"/>
    <col min="13585" max="13586" width="10.75" style="326" customWidth="1"/>
    <col min="13587" max="13587" width="14.375" style="326" customWidth="1"/>
    <col min="13588" max="13588" width="10.75" style="326" customWidth="1"/>
    <col min="13589" max="13589" width="11.75" style="326" customWidth="1"/>
    <col min="13590" max="13590" width="10" style="326" customWidth="1"/>
    <col min="13591" max="13591" width="15.375" style="326" customWidth="1"/>
    <col min="13592" max="13592" width="10" style="326" customWidth="1"/>
    <col min="13593" max="13593" width="10.75" style="326" customWidth="1"/>
    <col min="13594" max="13594" width="14.875" style="326" customWidth="1"/>
    <col min="13595" max="13595" width="11.5" style="326" customWidth="1"/>
    <col min="13596" max="13596" width="10" style="326" customWidth="1"/>
    <col min="13597" max="13597" width="10.75" style="326" customWidth="1"/>
    <col min="13598" max="13598" width="13.5" style="326" customWidth="1"/>
    <col min="13599" max="13599" width="9" style="326"/>
    <col min="13600" max="13600" width="10.75" style="326" bestFit="1" customWidth="1"/>
    <col min="13601" max="13601" width="13.75" style="326" customWidth="1"/>
    <col min="13602" max="13602" width="9" style="326"/>
    <col min="13603" max="13603" width="10.625" style="326" customWidth="1"/>
    <col min="13604" max="13604" width="9" style="326"/>
    <col min="13605" max="13605" width="14.25" style="326" customWidth="1"/>
    <col min="13606" max="13606" width="10.75" style="326" bestFit="1" customWidth="1"/>
    <col min="13607" max="13607" width="11.625" style="326" customWidth="1"/>
    <col min="13608" max="13608" width="13.75" style="326" customWidth="1"/>
    <col min="13609" max="13609" width="10.625" style="326" customWidth="1"/>
    <col min="13610" max="13611" width="9" style="326"/>
    <col min="13612" max="13612" width="14.125" style="326" customWidth="1"/>
    <col min="13613" max="13613" width="11" style="326" customWidth="1"/>
    <col min="13614" max="13614" width="10.75" style="326" bestFit="1" customWidth="1"/>
    <col min="13615" max="13615" width="13.5" style="326" customWidth="1"/>
    <col min="13616" max="13617" width="9" style="326"/>
    <col min="13618" max="13618" width="10.75" style="326" bestFit="1" customWidth="1"/>
    <col min="13619" max="13619" width="14" style="326" customWidth="1"/>
    <col min="13620" max="13620" width="9" style="326"/>
    <col min="13621" max="13621" width="10.75" style="326" customWidth="1"/>
    <col min="13622" max="13622" width="12.75" style="326" customWidth="1"/>
    <col min="13623" max="13623" width="9" style="326"/>
    <col min="13624" max="13624" width="10.75" style="326" bestFit="1" customWidth="1"/>
    <col min="13625" max="13625" width="11.5" style="326" customWidth="1"/>
    <col min="13626" max="13626" width="13.625" style="326" customWidth="1"/>
    <col min="13627" max="13627" width="10.625" style="326" customWidth="1"/>
    <col min="13628" max="13628" width="10.75" style="326" bestFit="1" customWidth="1"/>
    <col min="13629" max="13629" width="12.375" style="326" customWidth="1"/>
    <col min="13630" max="13632" width="9" style="326"/>
    <col min="13633" max="13633" width="15.75" style="326" customWidth="1"/>
    <col min="13634" max="13634" width="9" style="326"/>
    <col min="13635" max="13635" width="10.75" style="326" bestFit="1" customWidth="1"/>
    <col min="13636" max="13636" width="12.625" style="326" customWidth="1"/>
    <col min="13637" max="13639" width="9" style="326"/>
    <col min="13640" max="13640" width="13.625" style="326" customWidth="1"/>
    <col min="13641" max="13641" width="9" style="326"/>
    <col min="13642" max="13642" width="10.75" style="326" bestFit="1" customWidth="1"/>
    <col min="13643" max="13643" width="12.5" style="326" customWidth="1"/>
    <col min="13644" max="13646" width="9" style="326"/>
    <col min="13647" max="13647" width="12.875" style="326" customWidth="1"/>
    <col min="13648" max="13648" width="9" style="326"/>
    <col min="13649" max="13649" width="10.75" style="326" bestFit="1" customWidth="1"/>
    <col min="13650" max="13650" width="13.875" style="326" customWidth="1"/>
    <col min="13651" max="13653" width="9" style="326"/>
    <col min="13654" max="13654" width="14.125" style="326" customWidth="1"/>
    <col min="13655" max="13655" width="9" style="326"/>
    <col min="13656" max="13656" width="10.75" style="326" bestFit="1" customWidth="1"/>
    <col min="13657" max="13657" width="13.25" style="326" customWidth="1"/>
    <col min="13658" max="13660" width="9" style="326"/>
    <col min="13661" max="13661" width="13.25" style="326" customWidth="1"/>
    <col min="13662" max="13662" width="9" style="326"/>
    <col min="13663" max="13663" width="10.75" style="326" bestFit="1" customWidth="1"/>
    <col min="13664" max="13664" width="13.875" style="326" customWidth="1"/>
    <col min="13665" max="13667" width="9" style="326"/>
    <col min="13668" max="13668" width="13.625" style="326" customWidth="1"/>
    <col min="13669" max="13669" width="9" style="326"/>
    <col min="13670" max="13670" width="10.75" style="326" bestFit="1" customWidth="1"/>
    <col min="13671" max="13671" width="13" style="326" customWidth="1"/>
    <col min="13672" max="13818" width="9" style="326"/>
    <col min="13819" max="13820" width="12.125" style="326" customWidth="1"/>
    <col min="13821" max="13823" width="13" style="326" customWidth="1"/>
    <col min="13824" max="13824" width="12.875" style="326" customWidth="1"/>
    <col min="13825" max="13825" width="13" style="326" customWidth="1"/>
    <col min="13826" max="13826" width="13.125" style="326" customWidth="1"/>
    <col min="13827" max="13828" width="12.125" style="326" customWidth="1"/>
    <col min="13829" max="13829" width="14.375" style="326" bestFit="1" customWidth="1"/>
    <col min="13830" max="13830" width="11" style="326" customWidth="1"/>
    <col min="13831" max="13831" width="10" style="326" customWidth="1"/>
    <col min="13832" max="13832" width="10.875" style="326" customWidth="1"/>
    <col min="13833" max="13833" width="13.75" style="326" customWidth="1"/>
    <col min="13834" max="13834" width="10" style="326" customWidth="1"/>
    <col min="13835" max="13835" width="13.25" style="326" customWidth="1"/>
    <col min="13836" max="13836" width="14.375" style="326" customWidth="1"/>
    <col min="13837" max="13837" width="10" style="326" customWidth="1"/>
    <col min="13838" max="13838" width="10.875" style="326" customWidth="1"/>
    <col min="13839" max="13839" width="11.375" style="326" customWidth="1"/>
    <col min="13840" max="13840" width="15.375" style="326" customWidth="1"/>
    <col min="13841" max="13842" width="10.75" style="326" customWidth="1"/>
    <col min="13843" max="13843" width="14.375" style="326" customWidth="1"/>
    <col min="13844" max="13844" width="10.75" style="326" customWidth="1"/>
    <col min="13845" max="13845" width="11.75" style="326" customWidth="1"/>
    <col min="13846" max="13846" width="10" style="326" customWidth="1"/>
    <col min="13847" max="13847" width="15.375" style="326" customWidth="1"/>
    <col min="13848" max="13848" width="10" style="326" customWidth="1"/>
    <col min="13849" max="13849" width="10.75" style="326" customWidth="1"/>
    <col min="13850" max="13850" width="14.875" style="326" customWidth="1"/>
    <col min="13851" max="13851" width="11.5" style="326" customWidth="1"/>
    <col min="13852" max="13852" width="10" style="326" customWidth="1"/>
    <col min="13853" max="13853" width="10.75" style="326" customWidth="1"/>
    <col min="13854" max="13854" width="13.5" style="326" customWidth="1"/>
    <col min="13855" max="13855" width="9" style="326"/>
    <col min="13856" max="13856" width="10.75" style="326" bestFit="1" customWidth="1"/>
    <col min="13857" max="13857" width="13.75" style="326" customWidth="1"/>
    <col min="13858" max="13858" width="9" style="326"/>
    <col min="13859" max="13859" width="10.625" style="326" customWidth="1"/>
    <col min="13860" max="13860" width="9" style="326"/>
    <col min="13861" max="13861" width="14.25" style="326" customWidth="1"/>
    <col min="13862" max="13862" width="10.75" style="326" bestFit="1" customWidth="1"/>
    <col min="13863" max="13863" width="11.625" style="326" customWidth="1"/>
    <col min="13864" max="13864" width="13.75" style="326" customWidth="1"/>
    <col min="13865" max="13865" width="10.625" style="326" customWidth="1"/>
    <col min="13866" max="13867" width="9" style="326"/>
    <col min="13868" max="13868" width="14.125" style="326" customWidth="1"/>
    <col min="13869" max="13869" width="11" style="326" customWidth="1"/>
    <col min="13870" max="13870" width="10.75" style="326" bestFit="1" customWidth="1"/>
    <col min="13871" max="13871" width="13.5" style="326" customWidth="1"/>
    <col min="13872" max="13873" width="9" style="326"/>
    <col min="13874" max="13874" width="10.75" style="326" bestFit="1" customWidth="1"/>
    <col min="13875" max="13875" width="14" style="326" customWidth="1"/>
    <col min="13876" max="13876" width="9" style="326"/>
    <col min="13877" max="13877" width="10.75" style="326" customWidth="1"/>
    <col min="13878" max="13878" width="12.75" style="326" customWidth="1"/>
    <col min="13879" max="13879" width="9" style="326"/>
    <col min="13880" max="13880" width="10.75" style="326" bestFit="1" customWidth="1"/>
    <col min="13881" max="13881" width="11.5" style="326" customWidth="1"/>
    <col min="13882" max="13882" width="13.625" style="326" customWidth="1"/>
    <col min="13883" max="13883" width="10.625" style="326" customWidth="1"/>
    <col min="13884" max="13884" width="10.75" style="326" bestFit="1" customWidth="1"/>
    <col min="13885" max="13885" width="12.375" style="326" customWidth="1"/>
    <col min="13886" max="13888" width="9" style="326"/>
    <col min="13889" max="13889" width="15.75" style="326" customWidth="1"/>
    <col min="13890" max="13890" width="9" style="326"/>
    <col min="13891" max="13891" width="10.75" style="326" bestFit="1" customWidth="1"/>
    <col min="13892" max="13892" width="12.625" style="326" customWidth="1"/>
    <col min="13893" max="13895" width="9" style="326"/>
    <col min="13896" max="13896" width="13.625" style="326" customWidth="1"/>
    <col min="13897" max="13897" width="9" style="326"/>
    <col min="13898" max="13898" width="10.75" style="326" bestFit="1" customWidth="1"/>
    <col min="13899" max="13899" width="12.5" style="326" customWidth="1"/>
    <col min="13900" max="13902" width="9" style="326"/>
    <col min="13903" max="13903" width="12.875" style="326" customWidth="1"/>
    <col min="13904" max="13904" width="9" style="326"/>
    <col min="13905" max="13905" width="10.75" style="326" bestFit="1" customWidth="1"/>
    <col min="13906" max="13906" width="13.875" style="326" customWidth="1"/>
    <col min="13907" max="13909" width="9" style="326"/>
    <col min="13910" max="13910" width="14.125" style="326" customWidth="1"/>
    <col min="13911" max="13911" width="9" style="326"/>
    <col min="13912" max="13912" width="10.75" style="326" bestFit="1" customWidth="1"/>
    <col min="13913" max="13913" width="13.25" style="326" customWidth="1"/>
    <col min="13914" max="13916" width="9" style="326"/>
    <col min="13917" max="13917" width="13.25" style="326" customWidth="1"/>
    <col min="13918" max="13918" width="9" style="326"/>
    <col min="13919" max="13919" width="10.75" style="326" bestFit="1" customWidth="1"/>
    <col min="13920" max="13920" width="13.875" style="326" customWidth="1"/>
    <col min="13921" max="13923" width="9" style="326"/>
    <col min="13924" max="13924" width="13.625" style="326" customWidth="1"/>
    <col min="13925" max="13925" width="9" style="326"/>
    <col min="13926" max="13926" width="10.75" style="326" bestFit="1" customWidth="1"/>
    <col min="13927" max="13927" width="13" style="326" customWidth="1"/>
    <col min="13928" max="14074" width="9" style="326"/>
    <col min="14075" max="14076" width="12.125" style="326" customWidth="1"/>
    <col min="14077" max="14079" width="13" style="326" customWidth="1"/>
    <col min="14080" max="14080" width="12.875" style="326" customWidth="1"/>
    <col min="14081" max="14081" width="13" style="326" customWidth="1"/>
    <col min="14082" max="14082" width="13.125" style="326" customWidth="1"/>
    <col min="14083" max="14084" width="12.125" style="326" customWidth="1"/>
    <col min="14085" max="14085" width="14.375" style="326" bestFit="1" customWidth="1"/>
    <col min="14086" max="14086" width="11" style="326" customWidth="1"/>
    <col min="14087" max="14087" width="10" style="326" customWidth="1"/>
    <col min="14088" max="14088" width="10.875" style="326" customWidth="1"/>
    <col min="14089" max="14089" width="13.75" style="326" customWidth="1"/>
    <col min="14090" max="14090" width="10" style="326" customWidth="1"/>
    <col min="14091" max="14091" width="13.25" style="326" customWidth="1"/>
    <col min="14092" max="14092" width="14.375" style="326" customWidth="1"/>
    <col min="14093" max="14093" width="10" style="326" customWidth="1"/>
    <col min="14094" max="14094" width="10.875" style="326" customWidth="1"/>
    <col min="14095" max="14095" width="11.375" style="326" customWidth="1"/>
    <col min="14096" max="14096" width="15.375" style="326" customWidth="1"/>
    <col min="14097" max="14098" width="10.75" style="326" customWidth="1"/>
    <col min="14099" max="14099" width="14.375" style="326" customWidth="1"/>
    <col min="14100" max="14100" width="10.75" style="326" customWidth="1"/>
    <col min="14101" max="14101" width="11.75" style="326" customWidth="1"/>
    <col min="14102" max="14102" width="10" style="326" customWidth="1"/>
    <col min="14103" max="14103" width="15.375" style="326" customWidth="1"/>
    <col min="14104" max="14104" width="10" style="326" customWidth="1"/>
    <col min="14105" max="14105" width="10.75" style="326" customWidth="1"/>
    <col min="14106" max="14106" width="14.875" style="326" customWidth="1"/>
    <col min="14107" max="14107" width="11.5" style="326" customWidth="1"/>
    <col min="14108" max="14108" width="10" style="326" customWidth="1"/>
    <col min="14109" max="14109" width="10.75" style="326" customWidth="1"/>
    <col min="14110" max="14110" width="13.5" style="326" customWidth="1"/>
    <col min="14111" max="14111" width="9" style="326"/>
    <col min="14112" max="14112" width="10.75" style="326" bestFit="1" customWidth="1"/>
    <col min="14113" max="14113" width="13.75" style="326" customWidth="1"/>
    <col min="14114" max="14114" width="9" style="326"/>
    <col min="14115" max="14115" width="10.625" style="326" customWidth="1"/>
    <col min="14116" max="14116" width="9" style="326"/>
    <col min="14117" max="14117" width="14.25" style="326" customWidth="1"/>
    <col min="14118" max="14118" width="10.75" style="326" bestFit="1" customWidth="1"/>
    <col min="14119" max="14119" width="11.625" style="326" customWidth="1"/>
    <col min="14120" max="14120" width="13.75" style="326" customWidth="1"/>
    <col min="14121" max="14121" width="10.625" style="326" customWidth="1"/>
    <col min="14122" max="14123" width="9" style="326"/>
    <col min="14124" max="14124" width="14.125" style="326" customWidth="1"/>
    <col min="14125" max="14125" width="11" style="326" customWidth="1"/>
    <col min="14126" max="14126" width="10.75" style="326" bestFit="1" customWidth="1"/>
    <col min="14127" max="14127" width="13.5" style="326" customWidth="1"/>
    <col min="14128" max="14129" width="9" style="326"/>
    <col min="14130" max="14130" width="10.75" style="326" bestFit="1" customWidth="1"/>
    <col min="14131" max="14131" width="14" style="326" customWidth="1"/>
    <col min="14132" max="14132" width="9" style="326"/>
    <col min="14133" max="14133" width="10.75" style="326" customWidth="1"/>
    <col min="14134" max="14134" width="12.75" style="326" customWidth="1"/>
    <col min="14135" max="14135" width="9" style="326"/>
    <col min="14136" max="14136" width="10.75" style="326" bestFit="1" customWidth="1"/>
    <col min="14137" max="14137" width="11.5" style="326" customWidth="1"/>
    <col min="14138" max="14138" width="13.625" style="326" customWidth="1"/>
    <col min="14139" max="14139" width="10.625" style="326" customWidth="1"/>
    <col min="14140" max="14140" width="10.75" style="326" bestFit="1" customWidth="1"/>
    <col min="14141" max="14141" width="12.375" style="326" customWidth="1"/>
    <col min="14142" max="14144" width="9" style="326"/>
    <col min="14145" max="14145" width="15.75" style="326" customWidth="1"/>
    <col min="14146" max="14146" width="9" style="326"/>
    <col min="14147" max="14147" width="10.75" style="326" bestFit="1" customWidth="1"/>
    <col min="14148" max="14148" width="12.625" style="326" customWidth="1"/>
    <col min="14149" max="14151" width="9" style="326"/>
    <col min="14152" max="14152" width="13.625" style="326" customWidth="1"/>
    <col min="14153" max="14153" width="9" style="326"/>
    <col min="14154" max="14154" width="10.75" style="326" bestFit="1" customWidth="1"/>
    <col min="14155" max="14155" width="12.5" style="326" customWidth="1"/>
    <col min="14156" max="14158" width="9" style="326"/>
    <col min="14159" max="14159" width="12.875" style="326" customWidth="1"/>
    <col min="14160" max="14160" width="9" style="326"/>
    <col min="14161" max="14161" width="10.75" style="326" bestFit="1" customWidth="1"/>
    <col min="14162" max="14162" width="13.875" style="326" customWidth="1"/>
    <col min="14163" max="14165" width="9" style="326"/>
    <col min="14166" max="14166" width="14.125" style="326" customWidth="1"/>
    <col min="14167" max="14167" width="9" style="326"/>
    <col min="14168" max="14168" width="10.75" style="326" bestFit="1" customWidth="1"/>
    <col min="14169" max="14169" width="13.25" style="326" customWidth="1"/>
    <col min="14170" max="14172" width="9" style="326"/>
    <col min="14173" max="14173" width="13.25" style="326" customWidth="1"/>
    <col min="14174" max="14174" width="9" style="326"/>
    <col min="14175" max="14175" width="10.75" style="326" bestFit="1" customWidth="1"/>
    <col min="14176" max="14176" width="13.875" style="326" customWidth="1"/>
    <col min="14177" max="14179" width="9" style="326"/>
    <col min="14180" max="14180" width="13.625" style="326" customWidth="1"/>
    <col min="14181" max="14181" width="9" style="326"/>
    <col min="14182" max="14182" width="10.75" style="326" bestFit="1" customWidth="1"/>
    <col min="14183" max="14183" width="13" style="326" customWidth="1"/>
    <col min="14184" max="14330" width="9" style="326"/>
    <col min="14331" max="14332" width="12.125" style="326" customWidth="1"/>
    <col min="14333" max="14335" width="13" style="326" customWidth="1"/>
    <col min="14336" max="14336" width="12.875" style="326" customWidth="1"/>
    <col min="14337" max="14337" width="13" style="326" customWidth="1"/>
    <col min="14338" max="14338" width="13.125" style="326" customWidth="1"/>
    <col min="14339" max="14340" width="12.125" style="326" customWidth="1"/>
    <col min="14341" max="14341" width="14.375" style="326" bestFit="1" customWidth="1"/>
    <col min="14342" max="14342" width="11" style="326" customWidth="1"/>
    <col min="14343" max="14343" width="10" style="326" customWidth="1"/>
    <col min="14344" max="14344" width="10.875" style="326" customWidth="1"/>
    <col min="14345" max="14345" width="13.75" style="326" customWidth="1"/>
    <col min="14346" max="14346" width="10" style="326" customWidth="1"/>
    <col min="14347" max="14347" width="13.25" style="326" customWidth="1"/>
    <col min="14348" max="14348" width="14.375" style="326" customWidth="1"/>
    <col min="14349" max="14349" width="10" style="326" customWidth="1"/>
    <col min="14350" max="14350" width="10.875" style="326" customWidth="1"/>
    <col min="14351" max="14351" width="11.375" style="326" customWidth="1"/>
    <col min="14352" max="14352" width="15.375" style="326" customWidth="1"/>
    <col min="14353" max="14354" width="10.75" style="326" customWidth="1"/>
    <col min="14355" max="14355" width="14.375" style="326" customWidth="1"/>
    <col min="14356" max="14356" width="10.75" style="326" customWidth="1"/>
    <col min="14357" max="14357" width="11.75" style="326" customWidth="1"/>
    <col min="14358" max="14358" width="10" style="326" customWidth="1"/>
    <col min="14359" max="14359" width="15.375" style="326" customWidth="1"/>
    <col min="14360" max="14360" width="10" style="326" customWidth="1"/>
    <col min="14361" max="14361" width="10.75" style="326" customWidth="1"/>
    <col min="14362" max="14362" width="14.875" style="326" customWidth="1"/>
    <col min="14363" max="14363" width="11.5" style="326" customWidth="1"/>
    <col min="14364" max="14364" width="10" style="326" customWidth="1"/>
    <col min="14365" max="14365" width="10.75" style="326" customWidth="1"/>
    <col min="14366" max="14366" width="13.5" style="326" customWidth="1"/>
    <col min="14367" max="14367" width="9" style="326"/>
    <col min="14368" max="14368" width="10.75" style="326" bestFit="1" customWidth="1"/>
    <col min="14369" max="14369" width="13.75" style="326" customWidth="1"/>
    <col min="14370" max="14370" width="9" style="326"/>
    <col min="14371" max="14371" width="10.625" style="326" customWidth="1"/>
    <col min="14372" max="14372" width="9" style="326"/>
    <col min="14373" max="14373" width="14.25" style="326" customWidth="1"/>
    <col min="14374" max="14374" width="10.75" style="326" bestFit="1" customWidth="1"/>
    <col min="14375" max="14375" width="11.625" style="326" customWidth="1"/>
    <col min="14376" max="14376" width="13.75" style="326" customWidth="1"/>
    <col min="14377" max="14377" width="10.625" style="326" customWidth="1"/>
    <col min="14378" max="14379" width="9" style="326"/>
    <col min="14380" max="14380" width="14.125" style="326" customWidth="1"/>
    <col min="14381" max="14381" width="11" style="326" customWidth="1"/>
    <col min="14382" max="14382" width="10.75" style="326" bestFit="1" customWidth="1"/>
    <col min="14383" max="14383" width="13.5" style="326" customWidth="1"/>
    <col min="14384" max="14385" width="9" style="326"/>
    <col min="14386" max="14386" width="10.75" style="326" bestFit="1" customWidth="1"/>
    <col min="14387" max="14387" width="14" style="326" customWidth="1"/>
    <col min="14388" max="14388" width="9" style="326"/>
    <col min="14389" max="14389" width="10.75" style="326" customWidth="1"/>
    <col min="14390" max="14390" width="12.75" style="326" customWidth="1"/>
    <col min="14391" max="14391" width="9" style="326"/>
    <col min="14392" max="14392" width="10.75" style="326" bestFit="1" customWidth="1"/>
    <col min="14393" max="14393" width="11.5" style="326" customWidth="1"/>
    <col min="14394" max="14394" width="13.625" style="326" customWidth="1"/>
    <col min="14395" max="14395" width="10.625" style="326" customWidth="1"/>
    <col min="14396" max="14396" width="10.75" style="326" bestFit="1" customWidth="1"/>
    <col min="14397" max="14397" width="12.375" style="326" customWidth="1"/>
    <col min="14398" max="14400" width="9" style="326"/>
    <col min="14401" max="14401" width="15.75" style="326" customWidth="1"/>
    <col min="14402" max="14402" width="9" style="326"/>
    <col min="14403" max="14403" width="10.75" style="326" bestFit="1" customWidth="1"/>
    <col min="14404" max="14404" width="12.625" style="326" customWidth="1"/>
    <col min="14405" max="14407" width="9" style="326"/>
    <col min="14408" max="14408" width="13.625" style="326" customWidth="1"/>
    <col min="14409" max="14409" width="9" style="326"/>
    <col min="14410" max="14410" width="10.75" style="326" bestFit="1" customWidth="1"/>
    <col min="14411" max="14411" width="12.5" style="326" customWidth="1"/>
    <col min="14412" max="14414" width="9" style="326"/>
    <col min="14415" max="14415" width="12.875" style="326" customWidth="1"/>
    <col min="14416" max="14416" width="9" style="326"/>
    <col min="14417" max="14417" width="10.75" style="326" bestFit="1" customWidth="1"/>
    <col min="14418" max="14418" width="13.875" style="326" customWidth="1"/>
    <col min="14419" max="14421" width="9" style="326"/>
    <col min="14422" max="14422" width="14.125" style="326" customWidth="1"/>
    <col min="14423" max="14423" width="9" style="326"/>
    <col min="14424" max="14424" width="10.75" style="326" bestFit="1" customWidth="1"/>
    <col min="14425" max="14425" width="13.25" style="326" customWidth="1"/>
    <col min="14426" max="14428" width="9" style="326"/>
    <col min="14429" max="14429" width="13.25" style="326" customWidth="1"/>
    <col min="14430" max="14430" width="9" style="326"/>
    <col min="14431" max="14431" width="10.75" style="326" bestFit="1" customWidth="1"/>
    <col min="14432" max="14432" width="13.875" style="326" customWidth="1"/>
    <col min="14433" max="14435" width="9" style="326"/>
    <col min="14436" max="14436" width="13.625" style="326" customWidth="1"/>
    <col min="14437" max="14437" width="9" style="326"/>
    <col min="14438" max="14438" width="10.75" style="326" bestFit="1" customWidth="1"/>
    <col min="14439" max="14439" width="13" style="326" customWidth="1"/>
    <col min="14440" max="14586" width="9" style="326"/>
    <col min="14587" max="14588" width="12.125" style="326" customWidth="1"/>
    <col min="14589" max="14591" width="13" style="326" customWidth="1"/>
    <col min="14592" max="14592" width="12.875" style="326" customWidth="1"/>
    <col min="14593" max="14593" width="13" style="326" customWidth="1"/>
    <col min="14594" max="14594" width="13.125" style="326" customWidth="1"/>
    <col min="14595" max="14596" width="12.125" style="326" customWidth="1"/>
    <col min="14597" max="14597" width="14.375" style="326" bestFit="1" customWidth="1"/>
    <col min="14598" max="14598" width="11" style="326" customWidth="1"/>
    <col min="14599" max="14599" width="10" style="326" customWidth="1"/>
    <col min="14600" max="14600" width="10.875" style="326" customWidth="1"/>
    <col min="14601" max="14601" width="13.75" style="326" customWidth="1"/>
    <col min="14602" max="14602" width="10" style="326" customWidth="1"/>
    <col min="14603" max="14603" width="13.25" style="326" customWidth="1"/>
    <col min="14604" max="14604" width="14.375" style="326" customWidth="1"/>
    <col min="14605" max="14605" width="10" style="326" customWidth="1"/>
    <col min="14606" max="14606" width="10.875" style="326" customWidth="1"/>
    <col min="14607" max="14607" width="11.375" style="326" customWidth="1"/>
    <col min="14608" max="14608" width="15.375" style="326" customWidth="1"/>
    <col min="14609" max="14610" width="10.75" style="326" customWidth="1"/>
    <col min="14611" max="14611" width="14.375" style="326" customWidth="1"/>
    <col min="14612" max="14612" width="10.75" style="326" customWidth="1"/>
    <col min="14613" max="14613" width="11.75" style="326" customWidth="1"/>
    <col min="14614" max="14614" width="10" style="326" customWidth="1"/>
    <col min="14615" max="14615" width="15.375" style="326" customWidth="1"/>
    <col min="14616" max="14616" width="10" style="326" customWidth="1"/>
    <col min="14617" max="14617" width="10.75" style="326" customWidth="1"/>
    <col min="14618" max="14618" width="14.875" style="326" customWidth="1"/>
    <col min="14619" max="14619" width="11.5" style="326" customWidth="1"/>
    <col min="14620" max="14620" width="10" style="326" customWidth="1"/>
    <col min="14621" max="14621" width="10.75" style="326" customWidth="1"/>
    <col min="14622" max="14622" width="13.5" style="326" customWidth="1"/>
    <col min="14623" max="14623" width="9" style="326"/>
    <col min="14624" max="14624" width="10.75" style="326" bestFit="1" customWidth="1"/>
    <col min="14625" max="14625" width="13.75" style="326" customWidth="1"/>
    <col min="14626" max="14626" width="9" style="326"/>
    <col min="14627" max="14627" width="10.625" style="326" customWidth="1"/>
    <col min="14628" max="14628" width="9" style="326"/>
    <col min="14629" max="14629" width="14.25" style="326" customWidth="1"/>
    <col min="14630" max="14630" width="10.75" style="326" bestFit="1" customWidth="1"/>
    <col min="14631" max="14631" width="11.625" style="326" customWidth="1"/>
    <col min="14632" max="14632" width="13.75" style="326" customWidth="1"/>
    <col min="14633" max="14633" width="10.625" style="326" customWidth="1"/>
    <col min="14634" max="14635" width="9" style="326"/>
    <col min="14636" max="14636" width="14.125" style="326" customWidth="1"/>
    <col min="14637" max="14637" width="11" style="326" customWidth="1"/>
    <col min="14638" max="14638" width="10.75" style="326" bestFit="1" customWidth="1"/>
    <col min="14639" max="14639" width="13.5" style="326" customWidth="1"/>
    <col min="14640" max="14641" width="9" style="326"/>
    <col min="14642" max="14642" width="10.75" style="326" bestFit="1" customWidth="1"/>
    <col min="14643" max="14643" width="14" style="326" customWidth="1"/>
    <col min="14644" max="14644" width="9" style="326"/>
    <col min="14645" max="14645" width="10.75" style="326" customWidth="1"/>
    <col min="14646" max="14646" width="12.75" style="326" customWidth="1"/>
    <col min="14647" max="14647" width="9" style="326"/>
    <col min="14648" max="14648" width="10.75" style="326" bestFit="1" customWidth="1"/>
    <col min="14649" max="14649" width="11.5" style="326" customWidth="1"/>
    <col min="14650" max="14650" width="13.625" style="326" customWidth="1"/>
    <col min="14651" max="14651" width="10.625" style="326" customWidth="1"/>
    <col min="14652" max="14652" width="10.75" style="326" bestFit="1" customWidth="1"/>
    <col min="14653" max="14653" width="12.375" style="326" customWidth="1"/>
    <col min="14654" max="14656" width="9" style="326"/>
    <col min="14657" max="14657" width="15.75" style="326" customWidth="1"/>
    <col min="14658" max="14658" width="9" style="326"/>
    <col min="14659" max="14659" width="10.75" style="326" bestFit="1" customWidth="1"/>
    <col min="14660" max="14660" width="12.625" style="326" customWidth="1"/>
    <col min="14661" max="14663" width="9" style="326"/>
    <col min="14664" max="14664" width="13.625" style="326" customWidth="1"/>
    <col min="14665" max="14665" width="9" style="326"/>
    <col min="14666" max="14666" width="10.75" style="326" bestFit="1" customWidth="1"/>
    <col min="14667" max="14667" width="12.5" style="326" customWidth="1"/>
    <col min="14668" max="14670" width="9" style="326"/>
    <col min="14671" max="14671" width="12.875" style="326" customWidth="1"/>
    <col min="14672" max="14672" width="9" style="326"/>
    <col min="14673" max="14673" width="10.75" style="326" bestFit="1" customWidth="1"/>
    <col min="14674" max="14674" width="13.875" style="326" customWidth="1"/>
    <col min="14675" max="14677" width="9" style="326"/>
    <col min="14678" max="14678" width="14.125" style="326" customWidth="1"/>
    <col min="14679" max="14679" width="9" style="326"/>
    <col min="14680" max="14680" width="10.75" style="326" bestFit="1" customWidth="1"/>
    <col min="14681" max="14681" width="13.25" style="326" customWidth="1"/>
    <col min="14682" max="14684" width="9" style="326"/>
    <col min="14685" max="14685" width="13.25" style="326" customWidth="1"/>
    <col min="14686" max="14686" width="9" style="326"/>
    <col min="14687" max="14687" width="10.75" style="326" bestFit="1" customWidth="1"/>
    <col min="14688" max="14688" width="13.875" style="326" customWidth="1"/>
    <col min="14689" max="14691" width="9" style="326"/>
    <col min="14692" max="14692" width="13.625" style="326" customWidth="1"/>
    <col min="14693" max="14693" width="9" style="326"/>
    <col min="14694" max="14694" width="10.75" style="326" bestFit="1" customWidth="1"/>
    <col min="14695" max="14695" width="13" style="326" customWidth="1"/>
    <col min="14696" max="14842" width="9" style="326"/>
    <col min="14843" max="14844" width="12.125" style="326" customWidth="1"/>
    <col min="14845" max="14847" width="13" style="326" customWidth="1"/>
    <col min="14848" max="14848" width="12.875" style="326" customWidth="1"/>
    <col min="14849" max="14849" width="13" style="326" customWidth="1"/>
    <col min="14850" max="14850" width="13.125" style="326" customWidth="1"/>
    <col min="14851" max="14852" width="12.125" style="326" customWidth="1"/>
    <col min="14853" max="14853" width="14.375" style="326" bestFit="1" customWidth="1"/>
    <col min="14854" max="14854" width="11" style="326" customWidth="1"/>
    <col min="14855" max="14855" width="10" style="326" customWidth="1"/>
    <col min="14856" max="14856" width="10.875" style="326" customWidth="1"/>
    <col min="14857" max="14857" width="13.75" style="326" customWidth="1"/>
    <col min="14858" max="14858" width="10" style="326" customWidth="1"/>
    <col min="14859" max="14859" width="13.25" style="326" customWidth="1"/>
    <col min="14860" max="14860" width="14.375" style="326" customWidth="1"/>
    <col min="14861" max="14861" width="10" style="326" customWidth="1"/>
    <col min="14862" max="14862" width="10.875" style="326" customWidth="1"/>
    <col min="14863" max="14863" width="11.375" style="326" customWidth="1"/>
    <col min="14864" max="14864" width="15.375" style="326" customWidth="1"/>
    <col min="14865" max="14866" width="10.75" style="326" customWidth="1"/>
    <col min="14867" max="14867" width="14.375" style="326" customWidth="1"/>
    <col min="14868" max="14868" width="10.75" style="326" customWidth="1"/>
    <col min="14869" max="14869" width="11.75" style="326" customWidth="1"/>
    <col min="14870" max="14870" width="10" style="326" customWidth="1"/>
    <col min="14871" max="14871" width="15.375" style="326" customWidth="1"/>
    <col min="14872" max="14872" width="10" style="326" customWidth="1"/>
    <col min="14873" max="14873" width="10.75" style="326" customWidth="1"/>
    <col min="14874" max="14874" width="14.875" style="326" customWidth="1"/>
    <col min="14875" max="14875" width="11.5" style="326" customWidth="1"/>
    <col min="14876" max="14876" width="10" style="326" customWidth="1"/>
    <col min="14877" max="14877" width="10.75" style="326" customWidth="1"/>
    <col min="14878" max="14878" width="13.5" style="326" customWidth="1"/>
    <col min="14879" max="14879" width="9" style="326"/>
    <col min="14880" max="14880" width="10.75" style="326" bestFit="1" customWidth="1"/>
    <col min="14881" max="14881" width="13.75" style="326" customWidth="1"/>
    <col min="14882" max="14882" width="9" style="326"/>
    <col min="14883" max="14883" width="10.625" style="326" customWidth="1"/>
    <col min="14884" max="14884" width="9" style="326"/>
    <col min="14885" max="14885" width="14.25" style="326" customWidth="1"/>
    <col min="14886" max="14886" width="10.75" style="326" bestFit="1" customWidth="1"/>
    <col min="14887" max="14887" width="11.625" style="326" customWidth="1"/>
    <col min="14888" max="14888" width="13.75" style="326" customWidth="1"/>
    <col min="14889" max="14889" width="10.625" style="326" customWidth="1"/>
    <col min="14890" max="14891" width="9" style="326"/>
    <col min="14892" max="14892" width="14.125" style="326" customWidth="1"/>
    <col min="14893" max="14893" width="11" style="326" customWidth="1"/>
    <col min="14894" max="14894" width="10.75" style="326" bestFit="1" customWidth="1"/>
    <col min="14895" max="14895" width="13.5" style="326" customWidth="1"/>
    <col min="14896" max="14897" width="9" style="326"/>
    <col min="14898" max="14898" width="10.75" style="326" bestFit="1" customWidth="1"/>
    <col min="14899" max="14899" width="14" style="326" customWidth="1"/>
    <col min="14900" max="14900" width="9" style="326"/>
    <col min="14901" max="14901" width="10.75" style="326" customWidth="1"/>
    <col min="14902" max="14902" width="12.75" style="326" customWidth="1"/>
    <col min="14903" max="14903" width="9" style="326"/>
    <col min="14904" max="14904" width="10.75" style="326" bestFit="1" customWidth="1"/>
    <col min="14905" max="14905" width="11.5" style="326" customWidth="1"/>
    <col min="14906" max="14906" width="13.625" style="326" customWidth="1"/>
    <col min="14907" max="14907" width="10.625" style="326" customWidth="1"/>
    <col min="14908" max="14908" width="10.75" style="326" bestFit="1" customWidth="1"/>
    <col min="14909" max="14909" width="12.375" style="326" customWidth="1"/>
    <col min="14910" max="14912" width="9" style="326"/>
    <col min="14913" max="14913" width="15.75" style="326" customWidth="1"/>
    <col min="14914" max="14914" width="9" style="326"/>
    <col min="14915" max="14915" width="10.75" style="326" bestFit="1" customWidth="1"/>
    <col min="14916" max="14916" width="12.625" style="326" customWidth="1"/>
    <col min="14917" max="14919" width="9" style="326"/>
    <col min="14920" max="14920" width="13.625" style="326" customWidth="1"/>
    <col min="14921" max="14921" width="9" style="326"/>
    <col min="14922" max="14922" width="10.75" style="326" bestFit="1" customWidth="1"/>
    <col min="14923" max="14923" width="12.5" style="326" customWidth="1"/>
    <col min="14924" max="14926" width="9" style="326"/>
    <col min="14927" max="14927" width="12.875" style="326" customWidth="1"/>
    <col min="14928" max="14928" width="9" style="326"/>
    <col min="14929" max="14929" width="10.75" style="326" bestFit="1" customWidth="1"/>
    <col min="14930" max="14930" width="13.875" style="326" customWidth="1"/>
    <col min="14931" max="14933" width="9" style="326"/>
    <col min="14934" max="14934" width="14.125" style="326" customWidth="1"/>
    <col min="14935" max="14935" width="9" style="326"/>
    <col min="14936" max="14936" width="10.75" style="326" bestFit="1" customWidth="1"/>
    <col min="14937" max="14937" width="13.25" style="326" customWidth="1"/>
    <col min="14938" max="14940" width="9" style="326"/>
    <col min="14941" max="14941" width="13.25" style="326" customWidth="1"/>
    <col min="14942" max="14942" width="9" style="326"/>
    <col min="14943" max="14943" width="10.75" style="326" bestFit="1" customWidth="1"/>
    <col min="14944" max="14944" width="13.875" style="326" customWidth="1"/>
    <col min="14945" max="14947" width="9" style="326"/>
    <col min="14948" max="14948" width="13.625" style="326" customWidth="1"/>
    <col min="14949" max="14949" width="9" style="326"/>
    <col min="14950" max="14950" width="10.75" style="326" bestFit="1" customWidth="1"/>
    <col min="14951" max="14951" width="13" style="326" customWidth="1"/>
    <col min="14952" max="15098" width="9" style="326"/>
    <col min="15099" max="15100" width="12.125" style="326" customWidth="1"/>
    <col min="15101" max="15103" width="13" style="326" customWidth="1"/>
    <col min="15104" max="15104" width="12.875" style="326" customWidth="1"/>
    <col min="15105" max="15105" width="13" style="326" customWidth="1"/>
    <col min="15106" max="15106" width="13.125" style="326" customWidth="1"/>
    <col min="15107" max="15108" width="12.125" style="326" customWidth="1"/>
    <col min="15109" max="15109" width="14.375" style="326" bestFit="1" customWidth="1"/>
    <col min="15110" max="15110" width="11" style="326" customWidth="1"/>
    <col min="15111" max="15111" width="10" style="326" customWidth="1"/>
    <col min="15112" max="15112" width="10.875" style="326" customWidth="1"/>
    <col min="15113" max="15113" width="13.75" style="326" customWidth="1"/>
    <col min="15114" max="15114" width="10" style="326" customWidth="1"/>
    <col min="15115" max="15115" width="13.25" style="326" customWidth="1"/>
    <col min="15116" max="15116" width="14.375" style="326" customWidth="1"/>
    <col min="15117" max="15117" width="10" style="326" customWidth="1"/>
    <col min="15118" max="15118" width="10.875" style="326" customWidth="1"/>
    <col min="15119" max="15119" width="11.375" style="326" customWidth="1"/>
    <col min="15120" max="15120" width="15.375" style="326" customWidth="1"/>
    <col min="15121" max="15122" width="10.75" style="326" customWidth="1"/>
    <col min="15123" max="15123" width="14.375" style="326" customWidth="1"/>
    <col min="15124" max="15124" width="10.75" style="326" customWidth="1"/>
    <col min="15125" max="15125" width="11.75" style="326" customWidth="1"/>
    <col min="15126" max="15126" width="10" style="326" customWidth="1"/>
    <col min="15127" max="15127" width="15.375" style="326" customWidth="1"/>
    <col min="15128" max="15128" width="10" style="326" customWidth="1"/>
    <col min="15129" max="15129" width="10.75" style="326" customWidth="1"/>
    <col min="15130" max="15130" width="14.875" style="326" customWidth="1"/>
    <col min="15131" max="15131" width="11.5" style="326" customWidth="1"/>
    <col min="15132" max="15132" width="10" style="326" customWidth="1"/>
    <col min="15133" max="15133" width="10.75" style="326" customWidth="1"/>
    <col min="15134" max="15134" width="13.5" style="326" customWidth="1"/>
    <col min="15135" max="15135" width="9" style="326"/>
    <col min="15136" max="15136" width="10.75" style="326" bestFit="1" customWidth="1"/>
    <col min="15137" max="15137" width="13.75" style="326" customWidth="1"/>
    <col min="15138" max="15138" width="9" style="326"/>
    <col min="15139" max="15139" width="10.625" style="326" customWidth="1"/>
    <col min="15140" max="15140" width="9" style="326"/>
    <col min="15141" max="15141" width="14.25" style="326" customWidth="1"/>
    <col min="15142" max="15142" width="10.75" style="326" bestFit="1" customWidth="1"/>
    <col min="15143" max="15143" width="11.625" style="326" customWidth="1"/>
    <col min="15144" max="15144" width="13.75" style="326" customWidth="1"/>
    <col min="15145" max="15145" width="10.625" style="326" customWidth="1"/>
    <col min="15146" max="15147" width="9" style="326"/>
    <col min="15148" max="15148" width="14.125" style="326" customWidth="1"/>
    <col min="15149" max="15149" width="11" style="326" customWidth="1"/>
    <col min="15150" max="15150" width="10.75" style="326" bestFit="1" customWidth="1"/>
    <col min="15151" max="15151" width="13.5" style="326" customWidth="1"/>
    <col min="15152" max="15153" width="9" style="326"/>
    <col min="15154" max="15154" width="10.75" style="326" bestFit="1" customWidth="1"/>
    <col min="15155" max="15155" width="14" style="326" customWidth="1"/>
    <col min="15156" max="15156" width="9" style="326"/>
    <col min="15157" max="15157" width="10.75" style="326" customWidth="1"/>
    <col min="15158" max="15158" width="12.75" style="326" customWidth="1"/>
    <col min="15159" max="15159" width="9" style="326"/>
    <col min="15160" max="15160" width="10.75" style="326" bestFit="1" customWidth="1"/>
    <col min="15161" max="15161" width="11.5" style="326" customWidth="1"/>
    <col min="15162" max="15162" width="13.625" style="326" customWidth="1"/>
    <col min="15163" max="15163" width="10.625" style="326" customWidth="1"/>
    <col min="15164" max="15164" width="10.75" style="326" bestFit="1" customWidth="1"/>
    <col min="15165" max="15165" width="12.375" style="326" customWidth="1"/>
    <col min="15166" max="15168" width="9" style="326"/>
    <col min="15169" max="15169" width="15.75" style="326" customWidth="1"/>
    <col min="15170" max="15170" width="9" style="326"/>
    <col min="15171" max="15171" width="10.75" style="326" bestFit="1" customWidth="1"/>
    <col min="15172" max="15172" width="12.625" style="326" customWidth="1"/>
    <col min="15173" max="15175" width="9" style="326"/>
    <col min="15176" max="15176" width="13.625" style="326" customWidth="1"/>
    <col min="15177" max="15177" width="9" style="326"/>
    <col min="15178" max="15178" width="10.75" style="326" bestFit="1" customWidth="1"/>
    <col min="15179" max="15179" width="12.5" style="326" customWidth="1"/>
    <col min="15180" max="15182" width="9" style="326"/>
    <col min="15183" max="15183" width="12.875" style="326" customWidth="1"/>
    <col min="15184" max="15184" width="9" style="326"/>
    <col min="15185" max="15185" width="10.75" style="326" bestFit="1" customWidth="1"/>
    <col min="15186" max="15186" width="13.875" style="326" customWidth="1"/>
    <col min="15187" max="15189" width="9" style="326"/>
    <col min="15190" max="15190" width="14.125" style="326" customWidth="1"/>
    <col min="15191" max="15191" width="9" style="326"/>
    <col min="15192" max="15192" width="10.75" style="326" bestFit="1" customWidth="1"/>
    <col min="15193" max="15193" width="13.25" style="326" customWidth="1"/>
    <col min="15194" max="15196" width="9" style="326"/>
    <col min="15197" max="15197" width="13.25" style="326" customWidth="1"/>
    <col min="15198" max="15198" width="9" style="326"/>
    <col min="15199" max="15199" width="10.75" style="326" bestFit="1" customWidth="1"/>
    <col min="15200" max="15200" width="13.875" style="326" customWidth="1"/>
    <col min="15201" max="15203" width="9" style="326"/>
    <col min="15204" max="15204" width="13.625" style="326" customWidth="1"/>
    <col min="15205" max="15205" width="9" style="326"/>
    <col min="15206" max="15206" width="10.75" style="326" bestFit="1" customWidth="1"/>
    <col min="15207" max="15207" width="13" style="326" customWidth="1"/>
    <col min="15208" max="15354" width="9" style="326"/>
    <col min="15355" max="15356" width="12.125" style="326" customWidth="1"/>
    <col min="15357" max="15359" width="13" style="326" customWidth="1"/>
    <col min="15360" max="15360" width="12.875" style="326" customWidth="1"/>
    <col min="15361" max="15361" width="13" style="326" customWidth="1"/>
    <col min="15362" max="15362" width="13.125" style="326" customWidth="1"/>
    <col min="15363" max="15364" width="12.125" style="326" customWidth="1"/>
    <col min="15365" max="15365" width="14.375" style="326" bestFit="1" customWidth="1"/>
    <col min="15366" max="15366" width="11" style="326" customWidth="1"/>
    <col min="15367" max="15367" width="10" style="326" customWidth="1"/>
    <col min="15368" max="15368" width="10.875" style="326" customWidth="1"/>
    <col min="15369" max="15369" width="13.75" style="326" customWidth="1"/>
    <col min="15370" max="15370" width="10" style="326" customWidth="1"/>
    <col min="15371" max="15371" width="13.25" style="326" customWidth="1"/>
    <col min="15372" max="15372" width="14.375" style="326" customWidth="1"/>
    <col min="15373" max="15373" width="10" style="326" customWidth="1"/>
    <col min="15374" max="15374" width="10.875" style="326" customWidth="1"/>
    <col min="15375" max="15375" width="11.375" style="326" customWidth="1"/>
    <col min="15376" max="15376" width="15.375" style="326" customWidth="1"/>
    <col min="15377" max="15378" width="10.75" style="326" customWidth="1"/>
    <col min="15379" max="15379" width="14.375" style="326" customWidth="1"/>
    <col min="15380" max="15380" width="10.75" style="326" customWidth="1"/>
    <col min="15381" max="15381" width="11.75" style="326" customWidth="1"/>
    <col min="15382" max="15382" width="10" style="326" customWidth="1"/>
    <col min="15383" max="15383" width="15.375" style="326" customWidth="1"/>
    <col min="15384" max="15384" width="10" style="326" customWidth="1"/>
    <col min="15385" max="15385" width="10.75" style="326" customWidth="1"/>
    <col min="15386" max="15386" width="14.875" style="326" customWidth="1"/>
    <col min="15387" max="15387" width="11.5" style="326" customWidth="1"/>
    <col min="15388" max="15388" width="10" style="326" customWidth="1"/>
    <col min="15389" max="15389" width="10.75" style="326" customWidth="1"/>
    <col min="15390" max="15390" width="13.5" style="326" customWidth="1"/>
    <col min="15391" max="15391" width="9" style="326"/>
    <col min="15392" max="15392" width="10.75" style="326" bestFit="1" customWidth="1"/>
    <col min="15393" max="15393" width="13.75" style="326" customWidth="1"/>
    <col min="15394" max="15394" width="9" style="326"/>
    <col min="15395" max="15395" width="10.625" style="326" customWidth="1"/>
    <col min="15396" max="15396" width="9" style="326"/>
    <col min="15397" max="15397" width="14.25" style="326" customWidth="1"/>
    <col min="15398" max="15398" width="10.75" style="326" bestFit="1" customWidth="1"/>
    <col min="15399" max="15399" width="11.625" style="326" customWidth="1"/>
    <col min="15400" max="15400" width="13.75" style="326" customWidth="1"/>
    <col min="15401" max="15401" width="10.625" style="326" customWidth="1"/>
    <col min="15402" max="15403" width="9" style="326"/>
    <col min="15404" max="15404" width="14.125" style="326" customWidth="1"/>
    <col min="15405" max="15405" width="11" style="326" customWidth="1"/>
    <col min="15406" max="15406" width="10.75" style="326" bestFit="1" customWidth="1"/>
    <col min="15407" max="15407" width="13.5" style="326" customWidth="1"/>
    <col min="15408" max="15409" width="9" style="326"/>
    <col min="15410" max="15410" width="10.75" style="326" bestFit="1" customWidth="1"/>
    <col min="15411" max="15411" width="14" style="326" customWidth="1"/>
    <col min="15412" max="15412" width="9" style="326"/>
    <col min="15413" max="15413" width="10.75" style="326" customWidth="1"/>
    <col min="15414" max="15414" width="12.75" style="326" customWidth="1"/>
    <col min="15415" max="15415" width="9" style="326"/>
    <col min="15416" max="15416" width="10.75" style="326" bestFit="1" customWidth="1"/>
    <col min="15417" max="15417" width="11.5" style="326" customWidth="1"/>
    <col min="15418" max="15418" width="13.625" style="326" customWidth="1"/>
    <col min="15419" max="15419" width="10.625" style="326" customWidth="1"/>
    <col min="15420" max="15420" width="10.75" style="326" bestFit="1" customWidth="1"/>
    <col min="15421" max="15421" width="12.375" style="326" customWidth="1"/>
    <col min="15422" max="15424" width="9" style="326"/>
    <col min="15425" max="15425" width="15.75" style="326" customWidth="1"/>
    <col min="15426" max="15426" width="9" style="326"/>
    <col min="15427" max="15427" width="10.75" style="326" bestFit="1" customWidth="1"/>
    <col min="15428" max="15428" width="12.625" style="326" customWidth="1"/>
    <col min="15429" max="15431" width="9" style="326"/>
    <col min="15432" max="15432" width="13.625" style="326" customWidth="1"/>
    <col min="15433" max="15433" width="9" style="326"/>
    <col min="15434" max="15434" width="10.75" style="326" bestFit="1" customWidth="1"/>
    <col min="15435" max="15435" width="12.5" style="326" customWidth="1"/>
    <col min="15436" max="15438" width="9" style="326"/>
    <col min="15439" max="15439" width="12.875" style="326" customWidth="1"/>
    <col min="15440" max="15440" width="9" style="326"/>
    <col min="15441" max="15441" width="10.75" style="326" bestFit="1" customWidth="1"/>
    <col min="15442" max="15442" width="13.875" style="326" customWidth="1"/>
    <col min="15443" max="15445" width="9" style="326"/>
    <col min="15446" max="15446" width="14.125" style="326" customWidth="1"/>
    <col min="15447" max="15447" width="9" style="326"/>
    <col min="15448" max="15448" width="10.75" style="326" bestFit="1" customWidth="1"/>
    <col min="15449" max="15449" width="13.25" style="326" customWidth="1"/>
    <col min="15450" max="15452" width="9" style="326"/>
    <col min="15453" max="15453" width="13.25" style="326" customWidth="1"/>
    <col min="15454" max="15454" width="9" style="326"/>
    <col min="15455" max="15455" width="10.75" style="326" bestFit="1" customWidth="1"/>
    <col min="15456" max="15456" width="13.875" style="326" customWidth="1"/>
    <col min="15457" max="15459" width="9" style="326"/>
    <col min="15460" max="15460" width="13.625" style="326" customWidth="1"/>
    <col min="15461" max="15461" width="9" style="326"/>
    <col min="15462" max="15462" width="10.75" style="326" bestFit="1" customWidth="1"/>
    <col min="15463" max="15463" width="13" style="326" customWidth="1"/>
    <col min="15464" max="15610" width="9" style="326"/>
    <col min="15611" max="15612" width="12.125" style="326" customWidth="1"/>
    <col min="15613" max="15615" width="13" style="326" customWidth="1"/>
    <col min="15616" max="15616" width="12.875" style="326" customWidth="1"/>
    <col min="15617" max="15617" width="13" style="326" customWidth="1"/>
    <col min="15618" max="15618" width="13.125" style="326" customWidth="1"/>
    <col min="15619" max="15620" width="12.125" style="326" customWidth="1"/>
    <col min="15621" max="15621" width="14.375" style="326" bestFit="1" customWidth="1"/>
    <col min="15622" max="15622" width="11" style="326" customWidth="1"/>
    <col min="15623" max="15623" width="10" style="326" customWidth="1"/>
    <col min="15624" max="15624" width="10.875" style="326" customWidth="1"/>
    <col min="15625" max="15625" width="13.75" style="326" customWidth="1"/>
    <col min="15626" max="15626" width="10" style="326" customWidth="1"/>
    <col min="15627" max="15627" width="13.25" style="326" customWidth="1"/>
    <col min="15628" max="15628" width="14.375" style="326" customWidth="1"/>
    <col min="15629" max="15629" width="10" style="326" customWidth="1"/>
    <col min="15630" max="15630" width="10.875" style="326" customWidth="1"/>
    <col min="15631" max="15631" width="11.375" style="326" customWidth="1"/>
    <col min="15632" max="15632" width="15.375" style="326" customWidth="1"/>
    <col min="15633" max="15634" width="10.75" style="326" customWidth="1"/>
    <col min="15635" max="15635" width="14.375" style="326" customWidth="1"/>
    <col min="15636" max="15636" width="10.75" style="326" customWidth="1"/>
    <col min="15637" max="15637" width="11.75" style="326" customWidth="1"/>
    <col min="15638" max="15638" width="10" style="326" customWidth="1"/>
    <col min="15639" max="15639" width="15.375" style="326" customWidth="1"/>
    <col min="15640" max="15640" width="10" style="326" customWidth="1"/>
    <col min="15641" max="15641" width="10.75" style="326" customWidth="1"/>
    <col min="15642" max="15642" width="14.875" style="326" customWidth="1"/>
    <col min="15643" max="15643" width="11.5" style="326" customWidth="1"/>
    <col min="15644" max="15644" width="10" style="326" customWidth="1"/>
    <col min="15645" max="15645" width="10.75" style="326" customWidth="1"/>
    <col min="15646" max="15646" width="13.5" style="326" customWidth="1"/>
    <col min="15647" max="15647" width="9" style="326"/>
    <col min="15648" max="15648" width="10.75" style="326" bestFit="1" customWidth="1"/>
    <col min="15649" max="15649" width="13.75" style="326" customWidth="1"/>
    <col min="15650" max="15650" width="9" style="326"/>
    <col min="15651" max="15651" width="10.625" style="326" customWidth="1"/>
    <col min="15652" max="15652" width="9" style="326"/>
    <col min="15653" max="15653" width="14.25" style="326" customWidth="1"/>
    <col min="15654" max="15654" width="10.75" style="326" bestFit="1" customWidth="1"/>
    <col min="15655" max="15655" width="11.625" style="326" customWidth="1"/>
    <col min="15656" max="15656" width="13.75" style="326" customWidth="1"/>
    <col min="15657" max="15657" width="10.625" style="326" customWidth="1"/>
    <col min="15658" max="15659" width="9" style="326"/>
    <col min="15660" max="15660" width="14.125" style="326" customWidth="1"/>
    <col min="15661" max="15661" width="11" style="326" customWidth="1"/>
    <col min="15662" max="15662" width="10.75" style="326" bestFit="1" customWidth="1"/>
    <col min="15663" max="15663" width="13.5" style="326" customWidth="1"/>
    <col min="15664" max="15665" width="9" style="326"/>
    <col min="15666" max="15666" width="10.75" style="326" bestFit="1" customWidth="1"/>
    <col min="15667" max="15667" width="14" style="326" customWidth="1"/>
    <col min="15668" max="15668" width="9" style="326"/>
    <col min="15669" max="15669" width="10.75" style="326" customWidth="1"/>
    <col min="15670" max="15670" width="12.75" style="326" customWidth="1"/>
    <col min="15671" max="15671" width="9" style="326"/>
    <col min="15672" max="15672" width="10.75" style="326" bestFit="1" customWidth="1"/>
    <col min="15673" max="15673" width="11.5" style="326" customWidth="1"/>
    <col min="15674" max="15674" width="13.625" style="326" customWidth="1"/>
    <col min="15675" max="15675" width="10.625" style="326" customWidth="1"/>
    <col min="15676" max="15676" width="10.75" style="326" bestFit="1" customWidth="1"/>
    <col min="15677" max="15677" width="12.375" style="326" customWidth="1"/>
    <col min="15678" max="15680" width="9" style="326"/>
    <col min="15681" max="15681" width="15.75" style="326" customWidth="1"/>
    <col min="15682" max="15682" width="9" style="326"/>
    <col min="15683" max="15683" width="10.75" style="326" bestFit="1" customWidth="1"/>
    <col min="15684" max="15684" width="12.625" style="326" customWidth="1"/>
    <col min="15685" max="15687" width="9" style="326"/>
    <col min="15688" max="15688" width="13.625" style="326" customWidth="1"/>
    <col min="15689" max="15689" width="9" style="326"/>
    <col min="15690" max="15690" width="10.75" style="326" bestFit="1" customWidth="1"/>
    <col min="15691" max="15691" width="12.5" style="326" customWidth="1"/>
    <col min="15692" max="15694" width="9" style="326"/>
    <col min="15695" max="15695" width="12.875" style="326" customWidth="1"/>
    <col min="15696" max="15696" width="9" style="326"/>
    <col min="15697" max="15697" width="10.75" style="326" bestFit="1" customWidth="1"/>
    <col min="15698" max="15698" width="13.875" style="326" customWidth="1"/>
    <col min="15699" max="15701" width="9" style="326"/>
    <col min="15702" max="15702" width="14.125" style="326" customWidth="1"/>
    <col min="15703" max="15703" width="9" style="326"/>
    <col min="15704" max="15704" width="10.75" style="326" bestFit="1" customWidth="1"/>
    <col min="15705" max="15705" width="13.25" style="326" customWidth="1"/>
    <col min="15706" max="15708" width="9" style="326"/>
    <col min="15709" max="15709" width="13.25" style="326" customWidth="1"/>
    <col min="15710" max="15710" width="9" style="326"/>
    <col min="15711" max="15711" width="10.75" style="326" bestFit="1" customWidth="1"/>
    <col min="15712" max="15712" width="13.875" style="326" customWidth="1"/>
    <col min="15713" max="15715" width="9" style="326"/>
    <col min="15716" max="15716" width="13.625" style="326" customWidth="1"/>
    <col min="15717" max="15717" width="9" style="326"/>
    <col min="15718" max="15718" width="10.75" style="326" bestFit="1" customWidth="1"/>
    <col min="15719" max="15719" width="13" style="326" customWidth="1"/>
    <col min="15720" max="15866" width="9" style="326"/>
    <col min="15867" max="15868" width="12.125" style="326" customWidth="1"/>
    <col min="15869" max="15871" width="13" style="326" customWidth="1"/>
    <col min="15872" max="15872" width="12.875" style="326" customWidth="1"/>
    <col min="15873" max="15873" width="13" style="326" customWidth="1"/>
    <col min="15874" max="15874" width="13.125" style="326" customWidth="1"/>
    <col min="15875" max="15876" width="12.125" style="326" customWidth="1"/>
    <col min="15877" max="15877" width="14.375" style="326" bestFit="1" customWidth="1"/>
    <col min="15878" max="15878" width="11" style="326" customWidth="1"/>
    <col min="15879" max="15879" width="10" style="326" customWidth="1"/>
    <col min="15880" max="15880" width="10.875" style="326" customWidth="1"/>
    <col min="15881" max="15881" width="13.75" style="326" customWidth="1"/>
    <col min="15882" max="15882" width="10" style="326" customWidth="1"/>
    <col min="15883" max="15883" width="13.25" style="326" customWidth="1"/>
    <col min="15884" max="15884" width="14.375" style="326" customWidth="1"/>
    <col min="15885" max="15885" width="10" style="326" customWidth="1"/>
    <col min="15886" max="15886" width="10.875" style="326" customWidth="1"/>
    <col min="15887" max="15887" width="11.375" style="326" customWidth="1"/>
    <col min="15888" max="15888" width="15.375" style="326" customWidth="1"/>
    <col min="15889" max="15890" width="10.75" style="326" customWidth="1"/>
    <col min="15891" max="15891" width="14.375" style="326" customWidth="1"/>
    <col min="15892" max="15892" width="10.75" style="326" customWidth="1"/>
    <col min="15893" max="15893" width="11.75" style="326" customWidth="1"/>
    <col min="15894" max="15894" width="10" style="326" customWidth="1"/>
    <col min="15895" max="15895" width="15.375" style="326" customWidth="1"/>
    <col min="15896" max="15896" width="10" style="326" customWidth="1"/>
    <col min="15897" max="15897" width="10.75" style="326" customWidth="1"/>
    <col min="15898" max="15898" width="14.875" style="326" customWidth="1"/>
    <col min="15899" max="15899" width="11.5" style="326" customWidth="1"/>
    <col min="15900" max="15900" width="10" style="326" customWidth="1"/>
    <col min="15901" max="15901" width="10.75" style="326" customWidth="1"/>
    <col min="15902" max="15902" width="13.5" style="326" customWidth="1"/>
    <col min="15903" max="15903" width="9" style="326"/>
    <col min="15904" max="15904" width="10.75" style="326" bestFit="1" customWidth="1"/>
    <col min="15905" max="15905" width="13.75" style="326" customWidth="1"/>
    <col min="15906" max="15906" width="9" style="326"/>
    <col min="15907" max="15907" width="10.625" style="326" customWidth="1"/>
    <col min="15908" max="15908" width="9" style="326"/>
    <col min="15909" max="15909" width="14.25" style="326" customWidth="1"/>
    <col min="15910" max="15910" width="10.75" style="326" bestFit="1" customWidth="1"/>
    <col min="15911" max="15911" width="11.625" style="326" customWidth="1"/>
    <col min="15912" max="15912" width="13.75" style="326" customWidth="1"/>
    <col min="15913" max="15913" width="10.625" style="326" customWidth="1"/>
    <col min="15914" max="15915" width="9" style="326"/>
    <col min="15916" max="15916" width="14.125" style="326" customWidth="1"/>
    <col min="15917" max="15917" width="11" style="326" customWidth="1"/>
    <col min="15918" max="15918" width="10.75" style="326" bestFit="1" customWidth="1"/>
    <col min="15919" max="15919" width="13.5" style="326" customWidth="1"/>
    <col min="15920" max="15921" width="9" style="326"/>
    <col min="15922" max="15922" width="10.75" style="326" bestFit="1" customWidth="1"/>
    <col min="15923" max="15923" width="14" style="326" customWidth="1"/>
    <col min="15924" max="15924" width="9" style="326"/>
    <col min="15925" max="15925" width="10.75" style="326" customWidth="1"/>
    <col min="15926" max="15926" width="12.75" style="326" customWidth="1"/>
    <col min="15927" max="15927" width="9" style="326"/>
    <col min="15928" max="15928" width="10.75" style="326" bestFit="1" customWidth="1"/>
    <col min="15929" max="15929" width="11.5" style="326" customWidth="1"/>
    <col min="15930" max="15930" width="13.625" style="326" customWidth="1"/>
    <col min="15931" max="15931" width="10.625" style="326" customWidth="1"/>
    <col min="15932" max="15932" width="10.75" style="326" bestFit="1" customWidth="1"/>
    <col min="15933" max="15933" width="12.375" style="326" customWidth="1"/>
    <col min="15934" max="15936" width="9" style="326"/>
    <col min="15937" max="15937" width="15.75" style="326" customWidth="1"/>
    <col min="15938" max="15938" width="9" style="326"/>
    <col min="15939" max="15939" width="10.75" style="326" bestFit="1" customWidth="1"/>
    <col min="15940" max="15940" width="12.625" style="326" customWidth="1"/>
    <col min="15941" max="15943" width="9" style="326"/>
    <col min="15944" max="15944" width="13.625" style="326" customWidth="1"/>
    <col min="15945" max="15945" width="9" style="326"/>
    <col min="15946" max="15946" width="10.75" style="326" bestFit="1" customWidth="1"/>
    <col min="15947" max="15947" width="12.5" style="326" customWidth="1"/>
    <col min="15948" max="15950" width="9" style="326"/>
    <col min="15951" max="15951" width="12.875" style="326" customWidth="1"/>
    <col min="15952" max="15952" width="9" style="326"/>
    <col min="15953" max="15953" width="10.75" style="326" bestFit="1" customWidth="1"/>
    <col min="15954" max="15954" width="13.875" style="326" customWidth="1"/>
    <col min="15955" max="15957" width="9" style="326"/>
    <col min="15958" max="15958" width="14.125" style="326" customWidth="1"/>
    <col min="15959" max="15959" width="9" style="326"/>
    <col min="15960" max="15960" width="10.75" style="326" bestFit="1" customWidth="1"/>
    <col min="15961" max="15961" width="13.25" style="326" customWidth="1"/>
    <col min="15962" max="15964" width="9" style="326"/>
    <col min="15965" max="15965" width="13.25" style="326" customWidth="1"/>
    <col min="15966" max="15966" width="9" style="326"/>
    <col min="15967" max="15967" width="10.75" style="326" bestFit="1" customWidth="1"/>
    <col min="15968" max="15968" width="13.875" style="326" customWidth="1"/>
    <col min="15969" max="15971" width="9" style="326"/>
    <col min="15972" max="15972" width="13.625" style="326" customWidth="1"/>
    <col min="15973" max="15973" width="9" style="326"/>
    <col min="15974" max="15974" width="10.75" style="326" bestFit="1" customWidth="1"/>
    <col min="15975" max="15975" width="13" style="326" customWidth="1"/>
    <col min="15976" max="16122" width="9" style="326"/>
    <col min="16123" max="16124" width="12.125" style="326" customWidth="1"/>
    <col min="16125" max="16127" width="13" style="326" customWidth="1"/>
    <col min="16128" max="16128" width="12.875" style="326" customWidth="1"/>
    <col min="16129" max="16129" width="13" style="326" customWidth="1"/>
    <col min="16130" max="16130" width="13.125" style="326" customWidth="1"/>
    <col min="16131" max="16132" width="12.125" style="326" customWidth="1"/>
    <col min="16133" max="16133" width="14.375" style="326" bestFit="1" customWidth="1"/>
    <col min="16134" max="16134" width="11" style="326" customWidth="1"/>
    <col min="16135" max="16135" width="10" style="326" customWidth="1"/>
    <col min="16136" max="16136" width="10.875" style="326" customWidth="1"/>
    <col min="16137" max="16137" width="13.75" style="326" customWidth="1"/>
    <col min="16138" max="16138" width="10" style="326" customWidth="1"/>
    <col min="16139" max="16139" width="13.25" style="326" customWidth="1"/>
    <col min="16140" max="16140" width="14.375" style="326" customWidth="1"/>
    <col min="16141" max="16141" width="10" style="326" customWidth="1"/>
    <col min="16142" max="16142" width="10.875" style="326" customWidth="1"/>
    <col min="16143" max="16143" width="11.375" style="326" customWidth="1"/>
    <col min="16144" max="16144" width="15.375" style="326" customWidth="1"/>
    <col min="16145" max="16146" width="10.75" style="326" customWidth="1"/>
    <col min="16147" max="16147" width="14.375" style="326" customWidth="1"/>
    <col min="16148" max="16148" width="10.75" style="326" customWidth="1"/>
    <col min="16149" max="16149" width="11.75" style="326" customWidth="1"/>
    <col min="16150" max="16150" width="10" style="326" customWidth="1"/>
    <col min="16151" max="16151" width="15.375" style="326" customWidth="1"/>
    <col min="16152" max="16152" width="10" style="326" customWidth="1"/>
    <col min="16153" max="16153" width="10.75" style="326" customWidth="1"/>
    <col min="16154" max="16154" width="14.875" style="326" customWidth="1"/>
    <col min="16155" max="16155" width="11.5" style="326" customWidth="1"/>
    <col min="16156" max="16156" width="10" style="326" customWidth="1"/>
    <col min="16157" max="16157" width="10.75" style="326" customWidth="1"/>
    <col min="16158" max="16158" width="13.5" style="326" customWidth="1"/>
    <col min="16159" max="16159" width="9" style="326"/>
    <col min="16160" max="16160" width="10.75" style="326" bestFit="1" customWidth="1"/>
    <col min="16161" max="16161" width="13.75" style="326" customWidth="1"/>
    <col min="16162" max="16162" width="9" style="326"/>
    <col min="16163" max="16163" width="10.625" style="326" customWidth="1"/>
    <col min="16164" max="16164" width="9" style="326"/>
    <col min="16165" max="16165" width="14.25" style="326" customWidth="1"/>
    <col min="16166" max="16166" width="10.75" style="326" bestFit="1" customWidth="1"/>
    <col min="16167" max="16167" width="11.625" style="326" customWidth="1"/>
    <col min="16168" max="16168" width="13.75" style="326" customWidth="1"/>
    <col min="16169" max="16169" width="10.625" style="326" customWidth="1"/>
    <col min="16170" max="16171" width="9" style="326"/>
    <col min="16172" max="16172" width="14.125" style="326" customWidth="1"/>
    <col min="16173" max="16173" width="11" style="326" customWidth="1"/>
    <col min="16174" max="16174" width="10.75" style="326" bestFit="1" customWidth="1"/>
    <col min="16175" max="16175" width="13.5" style="326" customWidth="1"/>
    <col min="16176" max="16177" width="9" style="326"/>
    <col min="16178" max="16178" width="10.75" style="326" bestFit="1" customWidth="1"/>
    <col min="16179" max="16179" width="14" style="326" customWidth="1"/>
    <col min="16180" max="16180" width="9" style="326"/>
    <col min="16181" max="16181" width="10.75" style="326" customWidth="1"/>
    <col min="16182" max="16182" width="12.75" style="326" customWidth="1"/>
    <col min="16183" max="16183" width="9" style="326"/>
    <col min="16184" max="16184" width="10.75" style="326" bestFit="1" customWidth="1"/>
    <col min="16185" max="16185" width="11.5" style="326" customWidth="1"/>
    <col min="16186" max="16186" width="13.625" style="326" customWidth="1"/>
    <col min="16187" max="16187" width="10.625" style="326" customWidth="1"/>
    <col min="16188" max="16188" width="10.75" style="326" bestFit="1" customWidth="1"/>
    <col min="16189" max="16189" width="12.375" style="326" customWidth="1"/>
    <col min="16190" max="16192" width="9" style="326"/>
    <col min="16193" max="16193" width="15.75" style="326" customWidth="1"/>
    <col min="16194" max="16194" width="9" style="326"/>
    <col min="16195" max="16195" width="10.75" style="326" bestFit="1" customWidth="1"/>
    <col min="16196" max="16196" width="12.625" style="326" customWidth="1"/>
    <col min="16197" max="16199" width="9" style="326"/>
    <col min="16200" max="16200" width="13.625" style="326" customWidth="1"/>
    <col min="16201" max="16201" width="9" style="326"/>
    <col min="16202" max="16202" width="10.75" style="326" bestFit="1" customWidth="1"/>
    <col min="16203" max="16203" width="12.5" style="326" customWidth="1"/>
    <col min="16204" max="16206" width="9" style="326"/>
    <col min="16207" max="16207" width="12.875" style="326" customWidth="1"/>
    <col min="16208" max="16208" width="9" style="326"/>
    <col min="16209" max="16209" width="10.75" style="326" bestFit="1" customWidth="1"/>
    <col min="16210" max="16210" width="13.875" style="326" customWidth="1"/>
    <col min="16211" max="16213" width="9" style="326"/>
    <col min="16214" max="16214" width="14.125" style="326" customWidth="1"/>
    <col min="16215" max="16215" width="9" style="326"/>
    <col min="16216" max="16216" width="10.75" style="326" bestFit="1" customWidth="1"/>
    <col min="16217" max="16217" width="13.25" style="326" customWidth="1"/>
    <col min="16218" max="16220" width="9" style="326"/>
    <col min="16221" max="16221" width="13.25" style="326" customWidth="1"/>
    <col min="16222" max="16222" width="9" style="326"/>
    <col min="16223" max="16223" width="10.75" style="326" bestFit="1" customWidth="1"/>
    <col min="16224" max="16224" width="13.875" style="326" customWidth="1"/>
    <col min="16225" max="16227" width="9" style="326"/>
    <col min="16228" max="16228" width="13.625" style="326" customWidth="1"/>
    <col min="16229" max="16229" width="9" style="326"/>
    <col min="16230" max="16230" width="10.75" style="326" bestFit="1" customWidth="1"/>
    <col min="16231" max="16231" width="13" style="326" customWidth="1"/>
    <col min="16232" max="16384" width="9" style="326"/>
  </cols>
  <sheetData>
    <row r="1" spans="1:41" ht="18.75" customHeight="1">
      <c r="D1" s="325" t="s">
        <v>262</v>
      </c>
      <c r="E1" s="327">
        <f>A5</f>
        <v>2006</v>
      </c>
      <c r="F1" s="326" t="s">
        <v>345</v>
      </c>
      <c r="G1" s="328">
        <v>0</v>
      </c>
      <c r="H1" s="329"/>
      <c r="I1" s="328"/>
    </row>
    <row r="2" spans="1:41" ht="24.95" customHeight="1">
      <c r="A2" s="330" t="s">
        <v>1211</v>
      </c>
      <c r="C2" s="330"/>
    </row>
    <row r="3" spans="1:41" ht="9.9499999999999993" customHeight="1">
      <c r="A3" s="2262"/>
      <c r="B3" s="425"/>
      <c r="C3" s="426"/>
      <c r="D3" s="426"/>
      <c r="E3" s="426"/>
      <c r="F3" s="426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2"/>
      <c r="Z3" s="331"/>
      <c r="AA3" s="332"/>
      <c r="AB3" s="333"/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1"/>
      <c r="AN3" s="331"/>
      <c r="AO3" s="332"/>
    </row>
    <row r="4" spans="1:41" s="344" customFormat="1" ht="14.1" customHeight="1">
      <c r="A4" s="334" t="s">
        <v>264</v>
      </c>
      <c r="B4" s="335" t="s">
        <v>265</v>
      </c>
      <c r="C4" s="336" t="s">
        <v>266</v>
      </c>
      <c r="D4" s="337" t="s">
        <v>267</v>
      </c>
      <c r="E4" s="337" t="s">
        <v>268</v>
      </c>
      <c r="F4" s="338" t="s">
        <v>269</v>
      </c>
      <c r="G4" s="339" t="s">
        <v>270</v>
      </c>
      <c r="H4" s="340" t="s">
        <v>271</v>
      </c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41"/>
      <c r="W4" s="341"/>
      <c r="X4" s="341"/>
      <c r="Y4" s="342"/>
      <c r="Z4" s="341"/>
      <c r="AA4" s="342"/>
      <c r="AB4" s="343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341"/>
      <c r="AN4" s="341"/>
      <c r="AO4" s="342"/>
    </row>
    <row r="5" spans="1:41" s="344" customFormat="1" ht="14.1" customHeight="1">
      <c r="A5" s="345">
        <v>2006</v>
      </c>
      <c r="B5" s="346">
        <f>+'1.1.2 인구분석'!E25</f>
        <v>18154</v>
      </c>
      <c r="C5" s="347">
        <f>I65</f>
        <v>18281</v>
      </c>
      <c r="D5" s="348">
        <f>I104</f>
        <v>18281</v>
      </c>
      <c r="E5" s="349">
        <f>I142</f>
        <v>18112</v>
      </c>
      <c r="F5" s="350">
        <f>I178</f>
        <v>18281</v>
      </c>
      <c r="G5" s="351">
        <f t="shared" ref="G5:G34" si="0">ROUND(SUMIF(C$38:H$38,"○",C5:H5),$G$1)</f>
        <v>36393</v>
      </c>
      <c r="H5" s="352">
        <f>B5</f>
        <v>18154</v>
      </c>
      <c r="I5" s="2316" t="s">
        <v>272</v>
      </c>
      <c r="J5" s="2317"/>
      <c r="K5" s="353"/>
      <c r="L5" s="341"/>
      <c r="M5" s="341"/>
      <c r="N5" s="341"/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2"/>
      <c r="Z5" s="341"/>
      <c r="AA5" s="342"/>
      <c r="AB5" s="343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2"/>
    </row>
    <row r="6" spans="1:41" s="344" customFormat="1" ht="14.1" customHeight="1">
      <c r="A6" s="354">
        <v>2007</v>
      </c>
      <c r="B6" s="355">
        <f>+'1.1.2 인구분석'!E26</f>
        <v>18414</v>
      </c>
      <c r="C6" s="356">
        <f t="shared" ref="C6:C37" si="1">I66</f>
        <v>18378</v>
      </c>
      <c r="D6" s="357">
        <f t="shared" ref="D6:D37" si="2">I105</f>
        <v>18377</v>
      </c>
      <c r="E6" s="358">
        <f t="shared" ref="E6:E37" si="3">I143</f>
        <v>18351</v>
      </c>
      <c r="F6" s="359">
        <f t="shared" ref="F6:F37" si="4">I179</f>
        <v>18377</v>
      </c>
      <c r="G6" s="351">
        <f t="shared" si="0"/>
        <v>36729</v>
      </c>
      <c r="H6" s="352">
        <f>B6</f>
        <v>18414</v>
      </c>
      <c r="I6" s="360" t="s">
        <v>273</v>
      </c>
      <c r="J6" s="361">
        <f>ROUND(((B15/B10)^(1/(A15-A10))-1)*100,2)</f>
        <v>0.39</v>
      </c>
      <c r="K6" s="353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2"/>
      <c r="Z6" s="341"/>
      <c r="AA6" s="342"/>
      <c r="AB6" s="343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2"/>
    </row>
    <row r="7" spans="1:41" s="344" customFormat="1" ht="14.1" customHeight="1">
      <c r="A7" s="354">
        <v>2008</v>
      </c>
      <c r="B7" s="355">
        <f>+'1.1.2 인구분석'!E27</f>
        <v>18251</v>
      </c>
      <c r="C7" s="356">
        <f t="shared" si="1"/>
        <v>18476</v>
      </c>
      <c r="D7" s="357">
        <f t="shared" si="2"/>
        <v>18474</v>
      </c>
      <c r="E7" s="358">
        <f t="shared" si="3"/>
        <v>18512</v>
      </c>
      <c r="F7" s="359">
        <f t="shared" si="4"/>
        <v>18474</v>
      </c>
      <c r="G7" s="351">
        <f t="shared" si="0"/>
        <v>36988</v>
      </c>
      <c r="H7" s="352">
        <f t="shared" ref="H7:H15" si="5">B7</f>
        <v>18251</v>
      </c>
      <c r="I7" s="360" t="s">
        <v>274</v>
      </c>
      <c r="J7" s="360">
        <f>ROUND(((B15/B5)^(1/(A15-A5))-1)*100,2)</f>
        <v>0.49</v>
      </c>
      <c r="K7" s="353"/>
      <c r="L7" s="362"/>
      <c r="M7" s="363"/>
      <c r="N7" s="341"/>
      <c r="O7" s="341"/>
      <c r="P7" s="341"/>
      <c r="Q7" s="341"/>
      <c r="R7" s="341"/>
      <c r="S7" s="341"/>
      <c r="T7" s="341"/>
      <c r="U7" s="341"/>
      <c r="V7" s="341"/>
      <c r="W7" s="341"/>
      <c r="X7" s="341"/>
      <c r="Y7" s="342"/>
      <c r="Z7" s="341"/>
      <c r="AA7" s="342"/>
      <c r="AB7" s="343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2"/>
    </row>
    <row r="8" spans="1:41" s="344" customFormat="1" ht="14.1" customHeight="1">
      <c r="A8" s="354">
        <v>2009</v>
      </c>
      <c r="B8" s="355">
        <f>+'1.1.2 인구분석'!E28</f>
        <v>18588</v>
      </c>
      <c r="C8" s="356">
        <f t="shared" si="1"/>
        <v>18574</v>
      </c>
      <c r="D8" s="357">
        <f t="shared" si="2"/>
        <v>18571</v>
      </c>
      <c r="E8" s="358">
        <f t="shared" si="3"/>
        <v>18638</v>
      </c>
      <c r="F8" s="359">
        <f t="shared" si="4"/>
        <v>18571</v>
      </c>
      <c r="G8" s="351">
        <f t="shared" si="0"/>
        <v>37212</v>
      </c>
      <c r="H8" s="352">
        <f t="shared" si="5"/>
        <v>18588</v>
      </c>
      <c r="I8" s="341"/>
      <c r="J8" s="341"/>
      <c r="K8" s="341"/>
      <c r="L8" s="341"/>
      <c r="M8" s="341"/>
      <c r="N8" s="341"/>
      <c r="O8" s="341"/>
      <c r="P8" s="341"/>
      <c r="Q8" s="341"/>
      <c r="R8" s="341"/>
      <c r="S8" s="341"/>
      <c r="T8" s="341"/>
      <c r="U8" s="341"/>
      <c r="V8" s="341"/>
      <c r="W8" s="341"/>
      <c r="X8" s="341"/>
      <c r="Y8" s="342"/>
      <c r="Z8" s="341"/>
      <c r="AA8" s="342"/>
      <c r="AB8" s="343"/>
      <c r="AC8" s="341"/>
      <c r="AD8" s="341"/>
      <c r="AE8" s="341"/>
      <c r="AF8" s="341"/>
      <c r="AG8" s="341"/>
      <c r="AH8" s="341"/>
      <c r="AI8" s="341"/>
      <c r="AJ8" s="341"/>
      <c r="AK8" s="341"/>
      <c r="AL8" s="341"/>
      <c r="AM8" s="341"/>
      <c r="AN8" s="341"/>
      <c r="AO8" s="342"/>
    </row>
    <row r="9" spans="1:41" s="344" customFormat="1" ht="14.1" customHeight="1">
      <c r="A9" s="354">
        <v>2010</v>
      </c>
      <c r="B9" s="355">
        <f>+'1.1.2 인구분석'!E29</f>
        <v>19021</v>
      </c>
      <c r="C9" s="356">
        <f t="shared" si="1"/>
        <v>18672</v>
      </c>
      <c r="D9" s="357">
        <f t="shared" si="2"/>
        <v>18668</v>
      </c>
      <c r="E9" s="358">
        <f t="shared" si="3"/>
        <v>18742</v>
      </c>
      <c r="F9" s="359">
        <f t="shared" si="4"/>
        <v>18668</v>
      </c>
      <c r="G9" s="351">
        <f t="shared" si="0"/>
        <v>37414</v>
      </c>
      <c r="H9" s="352">
        <f t="shared" si="5"/>
        <v>19021</v>
      </c>
      <c r="I9" s="341"/>
      <c r="J9" s="341"/>
      <c r="K9" s="353"/>
      <c r="L9" s="341"/>
      <c r="M9" s="341"/>
      <c r="N9" s="341"/>
      <c r="O9" s="341"/>
      <c r="P9" s="341"/>
      <c r="Q9" s="341"/>
      <c r="R9" s="341"/>
      <c r="S9" s="341"/>
      <c r="T9" s="341"/>
      <c r="U9" s="341"/>
      <c r="V9" s="341"/>
      <c r="W9" s="341"/>
      <c r="X9" s="341"/>
      <c r="Y9" s="342"/>
      <c r="Z9" s="341"/>
      <c r="AA9" s="342"/>
      <c r="AB9" s="343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2"/>
    </row>
    <row r="10" spans="1:41" s="344" customFormat="1" ht="14.1" customHeight="1">
      <c r="A10" s="354">
        <v>2011</v>
      </c>
      <c r="B10" s="355">
        <f>+'1.1.2 인구분석'!E30</f>
        <v>18690</v>
      </c>
      <c r="C10" s="356">
        <f t="shared" si="1"/>
        <v>18769</v>
      </c>
      <c r="D10" s="357">
        <f t="shared" si="2"/>
        <v>18766</v>
      </c>
      <c r="E10" s="358">
        <f t="shared" si="3"/>
        <v>18831</v>
      </c>
      <c r="F10" s="359">
        <f t="shared" si="4"/>
        <v>18766</v>
      </c>
      <c r="G10" s="351">
        <f t="shared" si="0"/>
        <v>37600</v>
      </c>
      <c r="H10" s="352">
        <f t="shared" si="5"/>
        <v>18690</v>
      </c>
      <c r="I10" s="341"/>
      <c r="J10" s="341"/>
      <c r="K10" s="353"/>
      <c r="L10" s="341"/>
      <c r="M10" s="341"/>
      <c r="N10" s="341"/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2"/>
      <c r="Z10" s="341"/>
      <c r="AA10" s="342"/>
      <c r="AB10" s="343"/>
      <c r="AC10" s="341"/>
      <c r="AD10" s="341"/>
      <c r="AE10" s="341"/>
      <c r="AF10" s="341"/>
      <c r="AG10" s="341"/>
      <c r="AH10" s="341"/>
      <c r="AI10" s="341"/>
      <c r="AJ10" s="341"/>
      <c r="AK10" s="341"/>
      <c r="AL10" s="341"/>
      <c r="AM10" s="341"/>
      <c r="AN10" s="341"/>
      <c r="AO10" s="342"/>
    </row>
    <row r="11" spans="1:41" s="344" customFormat="1" ht="14.1" customHeight="1">
      <c r="A11" s="354">
        <v>2012</v>
      </c>
      <c r="B11" s="355">
        <f>+'1.1.2 인구분석'!E31</f>
        <v>18920</v>
      </c>
      <c r="C11" s="356">
        <f t="shared" si="1"/>
        <v>18867</v>
      </c>
      <c r="D11" s="357">
        <f t="shared" si="2"/>
        <v>18864</v>
      </c>
      <c r="E11" s="358">
        <f t="shared" si="3"/>
        <v>18910</v>
      </c>
      <c r="F11" s="359">
        <f t="shared" si="4"/>
        <v>18864</v>
      </c>
      <c r="G11" s="351">
        <f t="shared" si="0"/>
        <v>37777</v>
      </c>
      <c r="H11" s="352">
        <f t="shared" si="5"/>
        <v>18920</v>
      </c>
      <c r="I11" s="341"/>
      <c r="J11" s="341"/>
      <c r="K11" s="353"/>
      <c r="L11" s="341"/>
      <c r="M11" s="341"/>
      <c r="N11" s="341"/>
      <c r="O11" s="341"/>
      <c r="P11" s="341"/>
      <c r="Q11" s="341"/>
      <c r="R11" s="341"/>
      <c r="S11" s="341"/>
      <c r="T11" s="341"/>
      <c r="U11" s="341"/>
      <c r="V11" s="341"/>
      <c r="W11" s="341"/>
      <c r="X11" s="341"/>
      <c r="Y11" s="342"/>
      <c r="Z11" s="341"/>
      <c r="AA11" s="342"/>
      <c r="AB11" s="343"/>
      <c r="AC11" s="341"/>
      <c r="AD11" s="341"/>
      <c r="AE11" s="341"/>
      <c r="AF11" s="341"/>
      <c r="AG11" s="341"/>
      <c r="AH11" s="341"/>
      <c r="AI11" s="341"/>
      <c r="AJ11" s="341"/>
      <c r="AK11" s="341"/>
      <c r="AL11" s="341"/>
      <c r="AM11" s="341"/>
      <c r="AN11" s="341"/>
      <c r="AO11" s="342"/>
    </row>
    <row r="12" spans="1:41" s="344" customFormat="1" ht="14.1" customHeight="1">
      <c r="A12" s="354">
        <v>2013</v>
      </c>
      <c r="B12" s="355">
        <f>+'1.1.2 인구분석'!E32</f>
        <v>19167</v>
      </c>
      <c r="C12" s="356">
        <f t="shared" si="1"/>
        <v>18965</v>
      </c>
      <c r="D12" s="357">
        <f t="shared" si="2"/>
        <v>18963</v>
      </c>
      <c r="E12" s="358">
        <f t="shared" si="3"/>
        <v>18981</v>
      </c>
      <c r="F12" s="359">
        <f t="shared" si="4"/>
        <v>18963</v>
      </c>
      <c r="G12" s="351">
        <f t="shared" si="0"/>
        <v>37946</v>
      </c>
      <c r="H12" s="352">
        <f t="shared" si="5"/>
        <v>19167</v>
      </c>
      <c r="I12" s="341"/>
      <c r="J12" s="341"/>
      <c r="K12" s="353"/>
      <c r="L12" s="341"/>
      <c r="M12" s="341"/>
      <c r="N12" s="341"/>
      <c r="O12" s="341"/>
      <c r="P12" s="341"/>
      <c r="Q12" s="341"/>
      <c r="R12" s="341"/>
      <c r="S12" s="341"/>
      <c r="T12" s="341"/>
      <c r="U12" s="341"/>
      <c r="V12" s="341"/>
      <c r="W12" s="341"/>
      <c r="X12" s="341"/>
      <c r="Y12" s="342"/>
      <c r="Z12" s="341"/>
      <c r="AA12" s="342"/>
      <c r="AB12" s="343"/>
      <c r="AC12" s="341"/>
      <c r="AD12" s="341"/>
      <c r="AE12" s="341"/>
      <c r="AF12" s="341"/>
      <c r="AG12" s="341"/>
      <c r="AH12" s="341"/>
      <c r="AI12" s="341"/>
      <c r="AJ12" s="341"/>
      <c r="AK12" s="341"/>
      <c r="AL12" s="341"/>
      <c r="AM12" s="341"/>
      <c r="AN12" s="341"/>
      <c r="AO12" s="342"/>
    </row>
    <row r="13" spans="1:41" s="344" customFormat="1" ht="14.1" customHeight="1">
      <c r="A13" s="354">
        <v>2014</v>
      </c>
      <c r="B13" s="355">
        <f>+'1.1.2 인구분석'!E33</f>
        <v>19214</v>
      </c>
      <c r="C13" s="356">
        <f t="shared" si="1"/>
        <v>19062</v>
      </c>
      <c r="D13" s="357">
        <f t="shared" si="2"/>
        <v>19063</v>
      </c>
      <c r="E13" s="358">
        <f t="shared" si="3"/>
        <v>19046</v>
      </c>
      <c r="F13" s="359">
        <f t="shared" si="4"/>
        <v>19063</v>
      </c>
      <c r="G13" s="351">
        <f t="shared" si="0"/>
        <v>38108</v>
      </c>
      <c r="H13" s="352">
        <f t="shared" si="5"/>
        <v>19214</v>
      </c>
      <c r="I13" s="341"/>
      <c r="J13" s="341"/>
      <c r="K13" s="353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2"/>
      <c r="Z13" s="341"/>
      <c r="AA13" s="342"/>
      <c r="AB13" s="343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2"/>
    </row>
    <row r="14" spans="1:41" s="344" customFormat="1" ht="14.1" customHeight="1">
      <c r="A14" s="386">
        <v>2015</v>
      </c>
      <c r="B14" s="2071">
        <f>+'1.1.2 인구분석'!E34</f>
        <v>18986</v>
      </c>
      <c r="C14" s="2072">
        <f t="shared" si="1"/>
        <v>19160</v>
      </c>
      <c r="D14" s="2073">
        <f t="shared" si="2"/>
        <v>19163</v>
      </c>
      <c r="E14" s="2074">
        <f t="shared" si="3"/>
        <v>19105</v>
      </c>
      <c r="F14" s="2075">
        <f t="shared" si="4"/>
        <v>19163</v>
      </c>
      <c r="G14" s="2076">
        <f t="shared" si="0"/>
        <v>38265</v>
      </c>
      <c r="H14" s="2077">
        <f t="shared" si="5"/>
        <v>18986</v>
      </c>
      <c r="I14" s="383"/>
      <c r="J14" s="383"/>
      <c r="K14" s="2078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2079"/>
      <c r="Z14" s="341"/>
      <c r="AA14" s="342"/>
      <c r="AB14" s="343"/>
      <c r="AC14" s="341"/>
      <c r="AD14" s="341"/>
      <c r="AE14" s="341"/>
      <c r="AF14" s="341"/>
      <c r="AG14" s="341"/>
      <c r="AH14" s="341"/>
      <c r="AI14" s="341"/>
      <c r="AJ14" s="341"/>
      <c r="AK14" s="341"/>
      <c r="AL14" s="341"/>
      <c r="AM14" s="341"/>
      <c r="AN14" s="341"/>
      <c r="AO14" s="342"/>
    </row>
    <row r="15" spans="1:41" s="344" customFormat="1" ht="14.1" customHeight="1" thickBot="1">
      <c r="A15" s="2010">
        <v>2016</v>
      </c>
      <c r="B15" s="2014">
        <f>+'1.1.2 인구분석'!E35</f>
        <v>19057</v>
      </c>
      <c r="C15" s="2011">
        <f t="shared" si="1"/>
        <v>19258</v>
      </c>
      <c r="D15" s="2012">
        <f t="shared" si="2"/>
        <v>19263</v>
      </c>
      <c r="E15" s="2011">
        <f t="shared" si="3"/>
        <v>19161</v>
      </c>
      <c r="F15" s="2013">
        <f t="shared" si="4"/>
        <v>19263</v>
      </c>
      <c r="G15" s="351">
        <f t="shared" si="0"/>
        <v>38419</v>
      </c>
      <c r="H15" s="352">
        <f t="shared" si="5"/>
        <v>19057</v>
      </c>
      <c r="I15" s="341"/>
      <c r="J15" s="341"/>
      <c r="K15" s="353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2"/>
      <c r="AB15" s="343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  <c r="AN15" s="341"/>
      <c r="AO15" s="342"/>
    </row>
    <row r="16" spans="1:41" s="344" customFormat="1" ht="14.1" customHeight="1" thickTop="1">
      <c r="A16" s="2114">
        <v>2017</v>
      </c>
      <c r="B16" s="2115"/>
      <c r="C16" s="2116">
        <f t="shared" si="1"/>
        <v>19356</v>
      </c>
      <c r="D16" s="2117">
        <f t="shared" si="2"/>
        <v>19364</v>
      </c>
      <c r="E16" s="2116">
        <f t="shared" si="3"/>
        <v>19212</v>
      </c>
      <c r="F16" s="2118">
        <f t="shared" si="4"/>
        <v>19364</v>
      </c>
      <c r="G16" s="364">
        <f t="shared" si="0"/>
        <v>38568</v>
      </c>
      <c r="H16" s="365"/>
      <c r="I16" s="341"/>
      <c r="J16" s="341"/>
      <c r="K16" s="353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2"/>
      <c r="AB16" s="343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  <c r="AM16" s="341"/>
      <c r="AN16" s="341"/>
      <c r="AO16" s="342"/>
    </row>
    <row r="17" spans="1:41" s="381" customFormat="1" ht="14.1" customHeight="1">
      <c r="A17" s="345">
        <v>2018</v>
      </c>
      <c r="B17" s="346"/>
      <c r="C17" s="347">
        <f t="shared" si="1"/>
        <v>19453</v>
      </c>
      <c r="D17" s="2168">
        <f t="shared" si="2"/>
        <v>19466</v>
      </c>
      <c r="E17" s="347">
        <f t="shared" si="3"/>
        <v>19261</v>
      </c>
      <c r="F17" s="2169">
        <f t="shared" si="4"/>
        <v>19465</v>
      </c>
      <c r="G17" s="2170">
        <f t="shared" si="0"/>
        <v>38714</v>
      </c>
      <c r="H17" s="2171"/>
      <c r="I17" s="2172"/>
      <c r="J17" s="2172"/>
      <c r="K17" s="2173"/>
      <c r="L17" s="2172"/>
      <c r="M17" s="2172"/>
      <c r="N17" s="2172"/>
      <c r="O17" s="2172"/>
      <c r="P17" s="2172"/>
      <c r="Q17" s="2172"/>
      <c r="R17" s="2172"/>
      <c r="S17" s="2172"/>
      <c r="T17" s="2172"/>
      <c r="U17" s="2172"/>
      <c r="V17" s="2172"/>
      <c r="W17" s="2172"/>
      <c r="X17" s="2172"/>
      <c r="Y17" s="2174"/>
      <c r="Z17" s="378"/>
      <c r="AA17" s="379"/>
      <c r="AB17" s="380"/>
      <c r="AC17" s="378"/>
      <c r="AD17" s="378"/>
      <c r="AE17" s="378"/>
      <c r="AF17" s="378"/>
      <c r="AG17" s="378"/>
      <c r="AH17" s="378"/>
      <c r="AI17" s="378"/>
      <c r="AJ17" s="378"/>
      <c r="AK17" s="378"/>
      <c r="AL17" s="378"/>
      <c r="AM17" s="378"/>
      <c r="AN17" s="378"/>
      <c r="AO17" s="379"/>
    </row>
    <row r="18" spans="1:41" s="381" customFormat="1" ht="14.1" customHeight="1">
      <c r="A18" s="354">
        <v>2019</v>
      </c>
      <c r="B18" s="355"/>
      <c r="C18" s="356">
        <f t="shared" si="1"/>
        <v>19551</v>
      </c>
      <c r="D18" s="371">
        <f t="shared" si="2"/>
        <v>19568</v>
      </c>
      <c r="E18" s="356">
        <f t="shared" si="3"/>
        <v>19307</v>
      </c>
      <c r="F18" s="372">
        <f t="shared" si="4"/>
        <v>19567</v>
      </c>
      <c r="G18" s="376">
        <f t="shared" si="0"/>
        <v>38858</v>
      </c>
      <c r="H18" s="377"/>
      <c r="I18" s="378"/>
      <c r="J18" s="378"/>
      <c r="K18" s="1912"/>
      <c r="L18" s="378"/>
      <c r="M18" s="378"/>
      <c r="N18" s="378"/>
      <c r="O18" s="378"/>
      <c r="P18" s="378"/>
      <c r="Q18" s="378"/>
      <c r="R18" s="378"/>
      <c r="S18" s="378"/>
      <c r="T18" s="378"/>
      <c r="U18" s="378"/>
      <c r="V18" s="378"/>
      <c r="W18" s="378"/>
      <c r="X18" s="378"/>
      <c r="Y18" s="379"/>
      <c r="Z18" s="378"/>
      <c r="AA18" s="379"/>
      <c r="AB18" s="380"/>
      <c r="AC18" s="378"/>
      <c r="AD18" s="378"/>
      <c r="AE18" s="378"/>
      <c r="AF18" s="378"/>
      <c r="AG18" s="378"/>
      <c r="AH18" s="378"/>
      <c r="AI18" s="378"/>
      <c r="AJ18" s="378"/>
      <c r="AK18" s="378"/>
      <c r="AL18" s="378"/>
      <c r="AM18" s="378"/>
      <c r="AN18" s="378"/>
      <c r="AO18" s="379"/>
    </row>
    <row r="19" spans="1:41" s="1929" customFormat="1" ht="14.1" customHeight="1">
      <c r="A19" s="366">
        <v>2020</v>
      </c>
      <c r="B19" s="367"/>
      <c r="C19" s="368">
        <f t="shared" si="1"/>
        <v>19649</v>
      </c>
      <c r="D19" s="369">
        <f t="shared" si="2"/>
        <v>19670</v>
      </c>
      <c r="E19" s="368">
        <f t="shared" si="3"/>
        <v>19350</v>
      </c>
      <c r="F19" s="370">
        <f t="shared" si="4"/>
        <v>19670</v>
      </c>
      <c r="G19" s="374">
        <f t="shared" si="0"/>
        <v>38999</v>
      </c>
      <c r="H19" s="373"/>
      <c r="I19" s="1925"/>
      <c r="J19" s="1925"/>
      <c r="K19" s="1926"/>
      <c r="L19" s="1925"/>
      <c r="M19" s="1925"/>
      <c r="N19" s="1925"/>
      <c r="O19" s="1925"/>
      <c r="P19" s="1925"/>
      <c r="Q19" s="1925"/>
      <c r="R19" s="1925"/>
      <c r="S19" s="1925"/>
      <c r="T19" s="1925"/>
      <c r="U19" s="1925"/>
      <c r="V19" s="1925"/>
      <c r="W19" s="1925"/>
      <c r="X19" s="1925"/>
      <c r="Y19" s="1927"/>
      <c r="Z19" s="1925"/>
      <c r="AA19" s="1927"/>
      <c r="AB19" s="1928"/>
      <c r="AC19" s="1925"/>
      <c r="AD19" s="1925"/>
      <c r="AE19" s="1925"/>
      <c r="AF19" s="1925"/>
      <c r="AG19" s="1925"/>
      <c r="AH19" s="1925"/>
      <c r="AI19" s="1925"/>
      <c r="AJ19" s="1925"/>
      <c r="AK19" s="1925"/>
      <c r="AL19" s="1925"/>
      <c r="AM19" s="1925"/>
      <c r="AN19" s="1925"/>
      <c r="AO19" s="1927"/>
    </row>
    <row r="20" spans="1:41" s="381" customFormat="1" ht="14.1" customHeight="1">
      <c r="A20" s="354">
        <v>2021</v>
      </c>
      <c r="B20" s="355"/>
      <c r="C20" s="356">
        <f t="shared" si="1"/>
        <v>19746</v>
      </c>
      <c r="D20" s="371">
        <f t="shared" si="2"/>
        <v>19774</v>
      </c>
      <c r="E20" s="356">
        <f t="shared" si="3"/>
        <v>19392</v>
      </c>
      <c r="F20" s="372">
        <f t="shared" si="4"/>
        <v>19773</v>
      </c>
      <c r="G20" s="376">
        <f t="shared" si="0"/>
        <v>39138</v>
      </c>
      <c r="H20" s="1913"/>
      <c r="I20" s="378"/>
      <c r="J20" s="378"/>
      <c r="K20" s="1912"/>
      <c r="L20" s="378"/>
      <c r="M20" s="378"/>
      <c r="N20" s="378"/>
      <c r="O20" s="378"/>
      <c r="P20" s="378"/>
      <c r="Q20" s="378"/>
      <c r="R20" s="378"/>
      <c r="S20" s="378"/>
      <c r="T20" s="378"/>
      <c r="U20" s="378"/>
      <c r="V20" s="378"/>
      <c r="W20" s="378"/>
      <c r="X20" s="378"/>
      <c r="Y20" s="379"/>
      <c r="Z20" s="378"/>
      <c r="AA20" s="379"/>
      <c r="AB20" s="380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9"/>
    </row>
    <row r="21" spans="1:41" s="381" customFormat="1" ht="14.1" customHeight="1">
      <c r="A21" s="354">
        <v>2022</v>
      </c>
      <c r="B21" s="355"/>
      <c r="C21" s="356">
        <f t="shared" si="1"/>
        <v>19844</v>
      </c>
      <c r="D21" s="371">
        <f t="shared" si="2"/>
        <v>19877</v>
      </c>
      <c r="E21" s="356">
        <f t="shared" si="3"/>
        <v>19431</v>
      </c>
      <c r="F21" s="372">
        <f t="shared" si="4"/>
        <v>19876</v>
      </c>
      <c r="G21" s="376">
        <f t="shared" si="0"/>
        <v>39275</v>
      </c>
      <c r="H21" s="377"/>
      <c r="I21" s="378"/>
      <c r="J21" s="378"/>
      <c r="K21" s="1912"/>
      <c r="L21" s="378"/>
      <c r="M21" s="378"/>
      <c r="N21" s="378"/>
      <c r="O21" s="378"/>
      <c r="P21" s="378"/>
      <c r="Q21" s="378"/>
      <c r="R21" s="378"/>
      <c r="S21" s="378"/>
      <c r="T21" s="378"/>
      <c r="U21" s="378"/>
      <c r="V21" s="378"/>
      <c r="W21" s="378"/>
      <c r="X21" s="378"/>
      <c r="Y21" s="379"/>
      <c r="Z21" s="378"/>
      <c r="AA21" s="379"/>
      <c r="AB21" s="380"/>
      <c r="AC21" s="378"/>
      <c r="AD21" s="378"/>
      <c r="AE21" s="378"/>
      <c r="AF21" s="378"/>
      <c r="AG21" s="378"/>
      <c r="AH21" s="378"/>
      <c r="AI21" s="378"/>
      <c r="AJ21" s="378"/>
      <c r="AK21" s="378"/>
      <c r="AL21" s="378"/>
      <c r="AM21" s="378"/>
      <c r="AN21" s="378"/>
      <c r="AO21" s="379"/>
    </row>
    <row r="22" spans="1:41" s="381" customFormat="1" ht="14.1" customHeight="1">
      <c r="A22" s="354">
        <v>2023</v>
      </c>
      <c r="B22" s="355"/>
      <c r="C22" s="356">
        <f t="shared" si="1"/>
        <v>19942</v>
      </c>
      <c r="D22" s="371">
        <f t="shared" si="2"/>
        <v>19982</v>
      </c>
      <c r="E22" s="356">
        <f t="shared" si="3"/>
        <v>19469</v>
      </c>
      <c r="F22" s="372">
        <f t="shared" si="4"/>
        <v>19981</v>
      </c>
      <c r="G22" s="376">
        <f t="shared" si="0"/>
        <v>39411</v>
      </c>
      <c r="H22" s="377"/>
      <c r="I22" s="378"/>
      <c r="J22" s="378"/>
      <c r="K22" s="1912"/>
      <c r="L22" s="378"/>
      <c r="M22" s="378"/>
      <c r="N22" s="378"/>
      <c r="O22" s="378"/>
      <c r="P22" s="378"/>
      <c r="Q22" s="378"/>
      <c r="R22" s="378"/>
      <c r="S22" s="378"/>
      <c r="T22" s="378"/>
      <c r="U22" s="378"/>
      <c r="V22" s="378"/>
      <c r="W22" s="378"/>
      <c r="X22" s="378"/>
      <c r="Y22" s="379"/>
      <c r="Z22" s="378"/>
      <c r="AA22" s="379"/>
      <c r="AB22" s="380"/>
      <c r="AC22" s="378"/>
      <c r="AD22" s="378"/>
      <c r="AE22" s="378"/>
      <c r="AF22" s="378"/>
      <c r="AG22" s="378"/>
      <c r="AH22" s="378"/>
      <c r="AI22" s="378"/>
      <c r="AJ22" s="378"/>
      <c r="AK22" s="378"/>
      <c r="AL22" s="378"/>
      <c r="AM22" s="378"/>
      <c r="AN22" s="378"/>
      <c r="AO22" s="379"/>
    </row>
    <row r="23" spans="1:41" s="381" customFormat="1" ht="14.1" customHeight="1">
      <c r="A23" s="354">
        <v>2024</v>
      </c>
      <c r="B23" s="355"/>
      <c r="C23" s="356">
        <f t="shared" si="1"/>
        <v>20040</v>
      </c>
      <c r="D23" s="371">
        <f t="shared" si="2"/>
        <v>20086</v>
      </c>
      <c r="E23" s="356">
        <f t="shared" si="3"/>
        <v>19506</v>
      </c>
      <c r="F23" s="372">
        <f t="shared" si="4"/>
        <v>20085</v>
      </c>
      <c r="G23" s="376">
        <f t="shared" si="0"/>
        <v>39546</v>
      </c>
      <c r="H23" s="377"/>
      <c r="I23" s="378"/>
      <c r="J23" s="378"/>
      <c r="K23" s="1912"/>
      <c r="L23" s="378"/>
      <c r="M23" s="378"/>
      <c r="N23" s="378"/>
      <c r="O23" s="378"/>
      <c r="P23" s="378"/>
      <c r="Q23" s="378"/>
      <c r="R23" s="378"/>
      <c r="S23" s="378"/>
      <c r="T23" s="378"/>
      <c r="U23" s="378"/>
      <c r="V23" s="378"/>
      <c r="W23" s="378"/>
      <c r="X23" s="378"/>
      <c r="Y23" s="379"/>
      <c r="Z23" s="378"/>
      <c r="AA23" s="379"/>
      <c r="AB23" s="380"/>
      <c r="AC23" s="378"/>
      <c r="AD23" s="378"/>
      <c r="AE23" s="378"/>
      <c r="AF23" s="378"/>
      <c r="AG23" s="378"/>
      <c r="AH23" s="378"/>
      <c r="AI23" s="378"/>
      <c r="AJ23" s="378"/>
      <c r="AK23" s="378"/>
      <c r="AL23" s="378"/>
      <c r="AM23" s="378"/>
      <c r="AN23" s="378"/>
      <c r="AO23" s="379"/>
    </row>
    <row r="24" spans="1:41" s="1929" customFormat="1" ht="14.1" customHeight="1">
      <c r="A24" s="366">
        <v>2025</v>
      </c>
      <c r="B24" s="367"/>
      <c r="C24" s="368">
        <f t="shared" si="1"/>
        <v>20137</v>
      </c>
      <c r="D24" s="369">
        <f t="shared" si="2"/>
        <v>20192</v>
      </c>
      <c r="E24" s="368">
        <f t="shared" si="3"/>
        <v>19541</v>
      </c>
      <c r="F24" s="370">
        <f t="shared" si="4"/>
        <v>20190</v>
      </c>
      <c r="G24" s="374">
        <f t="shared" si="0"/>
        <v>39678</v>
      </c>
      <c r="H24" s="373"/>
      <c r="I24" s="1925"/>
      <c r="J24" s="1925"/>
      <c r="K24" s="1926"/>
      <c r="L24" s="1925"/>
      <c r="M24" s="1925"/>
      <c r="N24" s="1925"/>
      <c r="O24" s="1925"/>
      <c r="P24" s="1925"/>
      <c r="Q24" s="1925"/>
      <c r="R24" s="1925"/>
      <c r="S24" s="1925"/>
      <c r="T24" s="1925"/>
      <c r="U24" s="1925"/>
      <c r="V24" s="1925"/>
      <c r="W24" s="1925"/>
      <c r="X24" s="1925"/>
      <c r="Y24" s="1927"/>
      <c r="Z24" s="1925"/>
      <c r="AA24" s="1927"/>
      <c r="AB24" s="1928"/>
      <c r="AC24" s="1925"/>
      <c r="AD24" s="1925"/>
      <c r="AE24" s="1925"/>
      <c r="AF24" s="1925"/>
      <c r="AG24" s="1925"/>
      <c r="AH24" s="1925"/>
      <c r="AI24" s="1925"/>
      <c r="AJ24" s="1925"/>
      <c r="AK24" s="1925"/>
      <c r="AL24" s="1925"/>
      <c r="AM24" s="1925"/>
      <c r="AN24" s="1925"/>
      <c r="AO24" s="1927"/>
    </row>
    <row r="25" spans="1:41" s="381" customFormat="1" ht="14.1" customHeight="1">
      <c r="A25" s="354">
        <v>2026</v>
      </c>
      <c r="B25" s="355"/>
      <c r="C25" s="356">
        <f t="shared" si="1"/>
        <v>20235</v>
      </c>
      <c r="D25" s="371">
        <f t="shared" si="2"/>
        <v>20298</v>
      </c>
      <c r="E25" s="356">
        <f t="shared" si="3"/>
        <v>19574</v>
      </c>
      <c r="F25" s="372">
        <f t="shared" si="4"/>
        <v>20296</v>
      </c>
      <c r="G25" s="376">
        <f t="shared" si="0"/>
        <v>39809</v>
      </c>
      <c r="H25" s="1913"/>
      <c r="I25" s="378"/>
      <c r="J25" s="378"/>
      <c r="K25" s="1912"/>
      <c r="L25" s="378"/>
      <c r="M25" s="378"/>
      <c r="N25" s="378"/>
      <c r="O25" s="378"/>
      <c r="P25" s="378"/>
      <c r="Q25" s="378"/>
      <c r="R25" s="378"/>
      <c r="S25" s="378"/>
      <c r="T25" s="378"/>
      <c r="U25" s="378"/>
      <c r="V25" s="378"/>
      <c r="W25" s="378"/>
      <c r="X25" s="378"/>
      <c r="Y25" s="379"/>
      <c r="Z25" s="378"/>
      <c r="AA25" s="379"/>
      <c r="AB25" s="380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9"/>
    </row>
    <row r="26" spans="1:41" s="381" customFormat="1" ht="14.1" customHeight="1">
      <c r="A26" s="354">
        <v>2027</v>
      </c>
      <c r="B26" s="355"/>
      <c r="C26" s="356">
        <f t="shared" si="1"/>
        <v>20333</v>
      </c>
      <c r="D26" s="371">
        <f t="shared" si="2"/>
        <v>20404</v>
      </c>
      <c r="E26" s="356">
        <f t="shared" si="3"/>
        <v>19607</v>
      </c>
      <c r="F26" s="372">
        <f t="shared" si="4"/>
        <v>20402</v>
      </c>
      <c r="G26" s="376">
        <f t="shared" si="0"/>
        <v>39940</v>
      </c>
      <c r="H26" s="375"/>
      <c r="I26" s="378"/>
      <c r="J26" s="378"/>
      <c r="K26" s="1914"/>
      <c r="L26" s="378"/>
      <c r="M26" s="378"/>
      <c r="N26" s="378"/>
      <c r="O26" s="378"/>
      <c r="P26" s="378"/>
      <c r="Q26" s="378"/>
      <c r="R26" s="378"/>
      <c r="S26" s="378"/>
      <c r="T26" s="378"/>
      <c r="U26" s="378"/>
      <c r="V26" s="378"/>
      <c r="W26" s="378"/>
      <c r="X26" s="378"/>
      <c r="Y26" s="379"/>
      <c r="Z26" s="378"/>
      <c r="AA26" s="379"/>
      <c r="AB26" s="380"/>
      <c r="AC26" s="378"/>
      <c r="AD26" s="378"/>
      <c r="AE26" s="378"/>
      <c r="AF26" s="378"/>
      <c r="AG26" s="378"/>
      <c r="AH26" s="378"/>
      <c r="AI26" s="378"/>
      <c r="AJ26" s="378"/>
      <c r="AK26" s="378"/>
      <c r="AL26" s="378"/>
      <c r="AM26" s="378"/>
      <c r="AN26" s="378"/>
      <c r="AO26" s="379"/>
    </row>
    <row r="27" spans="1:41" s="381" customFormat="1" ht="14.1" customHeight="1">
      <c r="A27" s="354">
        <v>2028</v>
      </c>
      <c r="B27" s="382"/>
      <c r="C27" s="356">
        <f t="shared" si="1"/>
        <v>20430</v>
      </c>
      <c r="D27" s="371">
        <f t="shared" si="2"/>
        <v>20511</v>
      </c>
      <c r="E27" s="356">
        <f t="shared" si="3"/>
        <v>19638</v>
      </c>
      <c r="F27" s="372">
        <f t="shared" si="4"/>
        <v>20509</v>
      </c>
      <c r="G27" s="376">
        <f t="shared" si="0"/>
        <v>40068</v>
      </c>
      <c r="H27" s="377"/>
      <c r="I27" s="378"/>
      <c r="J27" s="378"/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9"/>
      <c r="Z27" s="378"/>
      <c r="AA27" s="379"/>
      <c r="AB27" s="380"/>
      <c r="AC27" s="378"/>
      <c r="AD27" s="378"/>
      <c r="AE27" s="378"/>
      <c r="AF27" s="378"/>
      <c r="AG27" s="378"/>
      <c r="AH27" s="378"/>
      <c r="AI27" s="378"/>
      <c r="AJ27" s="378"/>
      <c r="AK27" s="378"/>
      <c r="AL27" s="378"/>
      <c r="AM27" s="378"/>
      <c r="AN27" s="378"/>
      <c r="AO27" s="379"/>
    </row>
    <row r="28" spans="1:41" s="381" customFormat="1" ht="14.1" customHeight="1">
      <c r="A28" s="386">
        <v>2029</v>
      </c>
      <c r="B28" s="387"/>
      <c r="C28" s="2072">
        <f t="shared" si="1"/>
        <v>20528</v>
      </c>
      <c r="D28" s="2175">
        <f t="shared" si="2"/>
        <v>20619</v>
      </c>
      <c r="E28" s="2072">
        <f t="shared" si="3"/>
        <v>19669</v>
      </c>
      <c r="F28" s="2176">
        <f t="shared" si="4"/>
        <v>20616</v>
      </c>
      <c r="G28" s="2177">
        <f t="shared" si="0"/>
        <v>40197</v>
      </c>
      <c r="H28" s="2178"/>
      <c r="I28" s="1916"/>
      <c r="J28" s="1916"/>
      <c r="K28" s="1916"/>
      <c r="L28" s="1916"/>
      <c r="M28" s="1916"/>
      <c r="N28" s="1916"/>
      <c r="O28" s="1916"/>
      <c r="P28" s="1916"/>
      <c r="Q28" s="1916"/>
      <c r="R28" s="1916"/>
      <c r="S28" s="1916"/>
      <c r="T28" s="1916"/>
      <c r="U28" s="1916"/>
      <c r="V28" s="1916"/>
      <c r="W28" s="1916"/>
      <c r="X28" s="1916"/>
      <c r="Y28" s="1917"/>
      <c r="Z28" s="378"/>
      <c r="AA28" s="379"/>
      <c r="AB28" s="1915"/>
      <c r="AC28" s="1916"/>
      <c r="AD28" s="1916"/>
      <c r="AE28" s="1916"/>
      <c r="AF28" s="1916"/>
      <c r="AG28" s="1916"/>
      <c r="AH28" s="1916"/>
      <c r="AI28" s="1916"/>
      <c r="AJ28" s="1916"/>
      <c r="AK28" s="1916"/>
      <c r="AL28" s="1916"/>
      <c r="AM28" s="1916"/>
      <c r="AN28" s="1916"/>
      <c r="AO28" s="1917"/>
    </row>
    <row r="29" spans="1:41" s="1929" customFormat="1" ht="14.1" customHeight="1">
      <c r="A29" s="2135">
        <v>2030</v>
      </c>
      <c r="B29" s="1911"/>
      <c r="C29" s="2136">
        <f t="shared" si="1"/>
        <v>20626</v>
      </c>
      <c r="D29" s="2137">
        <f t="shared" si="2"/>
        <v>20727</v>
      </c>
      <c r="E29" s="2136">
        <f t="shared" si="3"/>
        <v>19698</v>
      </c>
      <c r="F29" s="2138">
        <f t="shared" si="4"/>
        <v>20724</v>
      </c>
      <c r="G29" s="374">
        <f t="shared" si="0"/>
        <v>40324</v>
      </c>
      <c r="H29" s="373"/>
      <c r="I29" s="1925"/>
      <c r="J29" s="1925"/>
      <c r="K29" s="1925"/>
      <c r="L29" s="1925"/>
      <c r="M29" s="1925"/>
      <c r="N29" s="1925"/>
      <c r="O29" s="1925"/>
      <c r="P29" s="1925"/>
      <c r="Q29" s="1925"/>
      <c r="R29" s="1925"/>
      <c r="S29" s="1925"/>
      <c r="T29" s="1925"/>
      <c r="U29" s="1925"/>
      <c r="V29" s="1925"/>
      <c r="W29" s="1925"/>
      <c r="X29" s="1925"/>
      <c r="Y29" s="1925"/>
      <c r="Z29" s="1925"/>
      <c r="AA29" s="1927"/>
    </row>
    <row r="30" spans="1:41" s="381" customFormat="1" ht="14.1" customHeight="1">
      <c r="A30" s="354">
        <v>2031</v>
      </c>
      <c r="B30" s="355"/>
      <c r="C30" s="356">
        <f t="shared" si="1"/>
        <v>20724</v>
      </c>
      <c r="D30" s="371">
        <f t="shared" si="2"/>
        <v>20835</v>
      </c>
      <c r="E30" s="356">
        <f t="shared" si="3"/>
        <v>19727</v>
      </c>
      <c r="F30" s="372">
        <f t="shared" si="4"/>
        <v>20832</v>
      </c>
      <c r="G30" s="376">
        <f t="shared" si="0"/>
        <v>40451</v>
      </c>
      <c r="H30" s="1913"/>
      <c r="I30" s="378"/>
      <c r="J30" s="378"/>
      <c r="K30" s="378"/>
      <c r="L30" s="378"/>
      <c r="M30" s="378"/>
      <c r="N30" s="378"/>
      <c r="O30" s="378"/>
      <c r="P30" s="378"/>
      <c r="Q30" s="378"/>
      <c r="R30" s="378"/>
      <c r="S30" s="378"/>
      <c r="T30" s="378"/>
      <c r="U30" s="378"/>
      <c r="V30" s="378"/>
      <c r="W30" s="378"/>
      <c r="X30" s="378"/>
      <c r="Y30" s="378"/>
      <c r="Z30" s="378"/>
      <c r="AA30" s="379"/>
    </row>
    <row r="31" spans="1:41" s="381" customFormat="1" ht="14.1" customHeight="1">
      <c r="A31" s="354">
        <v>2032</v>
      </c>
      <c r="B31" s="382"/>
      <c r="C31" s="356">
        <f t="shared" si="1"/>
        <v>20821</v>
      </c>
      <c r="D31" s="371">
        <f t="shared" si="2"/>
        <v>20945</v>
      </c>
      <c r="E31" s="356">
        <f t="shared" si="3"/>
        <v>19755</v>
      </c>
      <c r="F31" s="372">
        <f t="shared" si="4"/>
        <v>20941</v>
      </c>
      <c r="G31" s="376">
        <f t="shared" si="0"/>
        <v>40576</v>
      </c>
      <c r="H31" s="377"/>
      <c r="I31" s="378"/>
      <c r="J31" s="378"/>
      <c r="K31" s="378"/>
      <c r="L31" s="378"/>
      <c r="M31" s="378"/>
      <c r="N31" s="378"/>
      <c r="O31" s="378"/>
      <c r="P31" s="378"/>
      <c r="Q31" s="378"/>
      <c r="R31" s="378"/>
      <c r="S31" s="378"/>
      <c r="T31" s="378"/>
      <c r="U31" s="378"/>
      <c r="V31" s="378"/>
      <c r="W31" s="378"/>
      <c r="X31" s="378"/>
      <c r="Y31" s="378"/>
      <c r="Z31" s="378"/>
      <c r="AA31" s="379"/>
    </row>
    <row r="32" spans="1:41" s="381" customFormat="1" ht="14.1" customHeight="1">
      <c r="A32" s="354">
        <v>2033</v>
      </c>
      <c r="B32" s="382"/>
      <c r="C32" s="356">
        <f t="shared" si="1"/>
        <v>20919</v>
      </c>
      <c r="D32" s="371">
        <f t="shared" si="2"/>
        <v>21054</v>
      </c>
      <c r="E32" s="356">
        <f t="shared" si="3"/>
        <v>19782</v>
      </c>
      <c r="F32" s="372">
        <f t="shared" si="4"/>
        <v>21051</v>
      </c>
      <c r="G32" s="376">
        <f t="shared" si="0"/>
        <v>40701</v>
      </c>
      <c r="H32" s="377"/>
      <c r="I32" s="378"/>
      <c r="J32" s="378"/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  <c r="Y32" s="378"/>
      <c r="Z32" s="378"/>
      <c r="AA32" s="379"/>
    </row>
    <row r="33" spans="1:40" s="381" customFormat="1" ht="14.1" customHeight="1">
      <c r="A33" s="354">
        <v>2034</v>
      </c>
      <c r="B33" s="382"/>
      <c r="C33" s="356">
        <f t="shared" si="1"/>
        <v>21017</v>
      </c>
      <c r="D33" s="371">
        <f t="shared" si="2"/>
        <v>21165</v>
      </c>
      <c r="E33" s="356">
        <f t="shared" si="3"/>
        <v>19809</v>
      </c>
      <c r="F33" s="372">
        <f t="shared" si="4"/>
        <v>21161</v>
      </c>
      <c r="G33" s="376">
        <f t="shared" si="0"/>
        <v>40826</v>
      </c>
      <c r="H33" s="377"/>
      <c r="I33" s="378"/>
      <c r="J33" s="378"/>
      <c r="K33" s="378"/>
      <c r="L33" s="378"/>
      <c r="M33" s="378"/>
      <c r="N33" s="378"/>
      <c r="O33" s="378"/>
      <c r="P33" s="378"/>
      <c r="Q33" s="378"/>
      <c r="R33" s="378"/>
      <c r="S33" s="378"/>
      <c r="T33" s="378"/>
      <c r="U33" s="378"/>
      <c r="V33" s="378"/>
      <c r="W33" s="378"/>
      <c r="X33" s="378"/>
      <c r="Y33" s="378"/>
      <c r="Z33" s="378"/>
      <c r="AA33" s="379"/>
    </row>
    <row r="34" spans="1:40" s="1929" customFormat="1" ht="14.1" customHeight="1">
      <c r="A34" s="366">
        <v>2035</v>
      </c>
      <c r="B34" s="367"/>
      <c r="C34" s="368">
        <f t="shared" si="1"/>
        <v>21115</v>
      </c>
      <c r="D34" s="369">
        <f t="shared" si="2"/>
        <v>21276</v>
      </c>
      <c r="E34" s="368">
        <f t="shared" si="3"/>
        <v>19834</v>
      </c>
      <c r="F34" s="370">
        <f t="shared" si="4"/>
        <v>21272</v>
      </c>
      <c r="G34" s="374">
        <f t="shared" si="0"/>
        <v>40949</v>
      </c>
      <c r="H34" s="384"/>
      <c r="I34" s="1925"/>
      <c r="J34" s="1925"/>
      <c r="K34" s="1925"/>
      <c r="L34" s="1930"/>
      <c r="M34" s="1925"/>
      <c r="N34" s="1925"/>
      <c r="O34" s="1925"/>
      <c r="P34" s="1925"/>
      <c r="Q34" s="1925"/>
      <c r="R34" s="1925"/>
      <c r="S34" s="1925"/>
      <c r="T34" s="1925"/>
      <c r="U34" s="1925"/>
      <c r="V34" s="1925"/>
      <c r="W34" s="1925"/>
      <c r="X34" s="1925"/>
      <c r="Y34" s="1925"/>
      <c r="Z34" s="1925"/>
      <c r="AA34" s="1927"/>
    </row>
    <row r="35" spans="1:40" s="381" customFormat="1" ht="14.1" customHeight="1">
      <c r="A35" s="354">
        <v>2036</v>
      </c>
      <c r="B35" s="385"/>
      <c r="C35" s="356">
        <f t="shared" si="1"/>
        <v>21212</v>
      </c>
      <c r="D35" s="371">
        <f t="shared" si="2"/>
        <v>21387</v>
      </c>
      <c r="E35" s="356">
        <f t="shared" si="3"/>
        <v>19859</v>
      </c>
      <c r="F35" s="372">
        <f t="shared" si="4"/>
        <v>21383</v>
      </c>
      <c r="G35" s="376"/>
      <c r="H35" s="377"/>
      <c r="I35" s="378"/>
      <c r="J35" s="378"/>
      <c r="K35" s="378"/>
      <c r="L35" s="410"/>
      <c r="M35" s="378"/>
      <c r="N35" s="378"/>
      <c r="O35" s="378"/>
      <c r="P35" s="378"/>
      <c r="Q35" s="378"/>
      <c r="R35" s="378"/>
      <c r="S35" s="378"/>
      <c r="T35" s="378"/>
      <c r="U35" s="378"/>
      <c r="V35" s="378"/>
      <c r="W35" s="378"/>
      <c r="X35" s="378"/>
      <c r="Y35" s="378"/>
      <c r="Z35" s="378"/>
      <c r="AA35" s="379"/>
    </row>
    <row r="36" spans="1:40" s="381" customFormat="1" ht="14.1" customHeight="1">
      <c r="A36" s="354">
        <v>2037</v>
      </c>
      <c r="B36" s="385"/>
      <c r="C36" s="356">
        <f t="shared" si="1"/>
        <v>21310</v>
      </c>
      <c r="D36" s="371">
        <f t="shared" si="2"/>
        <v>21500</v>
      </c>
      <c r="E36" s="356">
        <f t="shared" si="3"/>
        <v>19884</v>
      </c>
      <c r="F36" s="372">
        <f t="shared" si="4"/>
        <v>21494</v>
      </c>
      <c r="G36" s="376"/>
      <c r="H36" s="377"/>
      <c r="I36" s="378"/>
      <c r="J36" s="378"/>
      <c r="K36" s="378"/>
      <c r="L36" s="410"/>
      <c r="M36" s="378"/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9"/>
    </row>
    <row r="37" spans="1:40" s="381" customFormat="1" ht="14.1" customHeight="1">
      <c r="A37" s="354">
        <f t="shared" ref="A37" si="6">A36+1</f>
        <v>2038</v>
      </c>
      <c r="B37" s="385"/>
      <c r="C37" s="356">
        <f t="shared" si="1"/>
        <v>21408</v>
      </c>
      <c r="D37" s="371">
        <f t="shared" si="2"/>
        <v>21612</v>
      </c>
      <c r="E37" s="356">
        <f t="shared" si="3"/>
        <v>19908</v>
      </c>
      <c r="F37" s="372">
        <f t="shared" si="4"/>
        <v>21607</v>
      </c>
      <c r="G37" s="376"/>
      <c r="H37" s="377"/>
      <c r="I37" s="378"/>
      <c r="J37" s="378"/>
      <c r="K37" s="378"/>
      <c r="L37" s="410"/>
      <c r="M37" s="378"/>
      <c r="N37" s="378"/>
      <c r="O37" s="378"/>
      <c r="P37" s="378"/>
      <c r="Q37" s="378"/>
      <c r="R37" s="378"/>
      <c r="S37" s="378"/>
      <c r="T37" s="378"/>
      <c r="U37" s="378"/>
      <c r="V37" s="378"/>
      <c r="W37" s="378"/>
      <c r="X37" s="378"/>
      <c r="Y37" s="378"/>
      <c r="Z37" s="378"/>
      <c r="AA37" s="379"/>
    </row>
    <row r="38" spans="1:40" s="381" customFormat="1" ht="14.1" customHeight="1">
      <c r="A38" s="386" t="s">
        <v>275</v>
      </c>
      <c r="B38" s="387"/>
      <c r="C38" s="387" t="str">
        <f>IF(OR(C42=1,C42=2),"○","")</f>
        <v>○</v>
      </c>
      <c r="D38" s="387" t="str">
        <f>IF(OR(D42=1,D42=2),"○","")</f>
        <v/>
      </c>
      <c r="E38" s="387" t="str">
        <f>IF(OR(E42=1,E42=2),"○","")</f>
        <v>○</v>
      </c>
      <c r="F38" s="1918" t="str">
        <f>IF(OR(F42=1,F42=2),"○","")</f>
        <v/>
      </c>
      <c r="G38" s="1919"/>
      <c r="H38" s="1920"/>
      <c r="I38" s="378"/>
      <c r="J38" s="378"/>
      <c r="K38" s="1921"/>
      <c r="L38" s="1921"/>
      <c r="M38" s="1921"/>
      <c r="N38" s="1921"/>
      <c r="O38" s="1921"/>
      <c r="P38" s="1921"/>
      <c r="Q38" s="1921"/>
      <c r="R38" s="1921"/>
      <c r="S38" s="1921"/>
      <c r="T38" s="1922"/>
      <c r="U38" s="1922"/>
      <c r="V38" s="410"/>
      <c r="W38" s="410"/>
      <c r="X38" s="410"/>
      <c r="Y38" s="410"/>
      <c r="Z38" s="410"/>
      <c r="AA38" s="1923"/>
      <c r="AB38" s="1924"/>
      <c r="AC38" s="1924"/>
      <c r="AD38" s="1924"/>
      <c r="AE38" s="1924"/>
      <c r="AF38" s="1924"/>
      <c r="AG38" s="1924"/>
      <c r="AH38" s="1924"/>
      <c r="AI38" s="1924"/>
      <c r="AJ38" s="1924"/>
      <c r="AK38" s="1924"/>
      <c r="AL38" s="1924"/>
      <c r="AM38" s="1924"/>
      <c r="AN38" s="1924"/>
    </row>
    <row r="39" spans="1:40" s="344" customFormat="1" ht="14.1" customHeight="1">
      <c r="A39" s="2318" t="s">
        <v>276</v>
      </c>
      <c r="B39" s="2319"/>
      <c r="C39" s="392">
        <f>F70</f>
        <v>0.7589599240153958</v>
      </c>
      <c r="D39" s="393">
        <f>G115</f>
        <v>0.75500628317100282</v>
      </c>
      <c r="E39" s="393">
        <f>H153</f>
        <v>0.81118237227314416</v>
      </c>
      <c r="F39" s="394">
        <f>G190</f>
        <v>0.75500628317100282</v>
      </c>
      <c r="G39" s="395"/>
      <c r="H39" s="396"/>
      <c r="I39" s="341"/>
      <c r="J39" s="341"/>
      <c r="K39" s="362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90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</row>
    <row r="40" spans="1:40" s="344" customFormat="1" ht="14.1" customHeight="1">
      <c r="A40" s="2318" t="s">
        <v>294</v>
      </c>
      <c r="B40" s="2319"/>
      <c r="C40" s="397">
        <f>F71</f>
        <v>333.68200000000002</v>
      </c>
      <c r="D40" s="398">
        <f>G116</f>
        <v>339.21899999999999</v>
      </c>
      <c r="E40" s="398">
        <f>H154</f>
        <v>261.97299999999996</v>
      </c>
      <c r="F40" s="399">
        <f>G191</f>
        <v>339.21899999999999</v>
      </c>
      <c r="G40" s="400"/>
      <c r="H40" s="401"/>
      <c r="I40" s="341"/>
      <c r="J40" s="341"/>
      <c r="K40" s="388"/>
      <c r="L40" s="388"/>
      <c r="M40" s="388"/>
      <c r="N40" s="388"/>
      <c r="O40" s="388"/>
      <c r="P40" s="388"/>
      <c r="Q40" s="388"/>
      <c r="R40" s="388"/>
      <c r="S40" s="388"/>
      <c r="T40" s="389"/>
      <c r="U40" s="389"/>
      <c r="V40" s="362"/>
      <c r="W40" s="362"/>
      <c r="X40" s="362"/>
      <c r="Y40" s="362"/>
      <c r="Z40" s="362"/>
      <c r="AA40" s="390"/>
      <c r="AB40" s="391"/>
      <c r="AC40" s="391"/>
      <c r="AD40" s="391"/>
      <c r="AE40" s="391"/>
      <c r="AF40" s="391"/>
      <c r="AG40" s="391"/>
      <c r="AH40" s="391"/>
      <c r="AI40" s="391"/>
      <c r="AJ40" s="391"/>
      <c r="AK40" s="391"/>
      <c r="AL40" s="391"/>
      <c r="AM40" s="391"/>
      <c r="AN40" s="391"/>
    </row>
    <row r="41" spans="1:40" s="344" customFormat="1" ht="14.1" customHeight="1">
      <c r="A41" s="2318" t="s">
        <v>349</v>
      </c>
      <c r="B41" s="2319"/>
      <c r="C41" s="402">
        <f>F72</f>
        <v>0.777909738096072</v>
      </c>
      <c r="D41" s="403">
        <f>G117</f>
        <v>0.78506558449267205</v>
      </c>
      <c r="E41" s="403">
        <f>H155</f>
        <v>0.68762651235857297</v>
      </c>
      <c r="F41" s="404">
        <f>G192</f>
        <v>0.39253279224633603</v>
      </c>
      <c r="G41" s="405"/>
      <c r="H41" s="401"/>
      <c r="I41" s="383"/>
      <c r="J41" s="383"/>
      <c r="K41" s="406"/>
      <c r="L41" s="406"/>
      <c r="M41" s="406"/>
      <c r="N41" s="406"/>
      <c r="O41" s="406"/>
      <c r="P41" s="406"/>
      <c r="Q41" s="406"/>
      <c r="R41" s="406"/>
      <c r="S41" s="406"/>
      <c r="T41" s="407"/>
      <c r="U41" s="407"/>
      <c r="V41" s="408"/>
      <c r="W41" s="408"/>
      <c r="X41" s="408"/>
      <c r="Y41" s="408"/>
      <c r="Z41" s="408"/>
      <c r="AA41" s="409"/>
      <c r="AB41" s="391"/>
      <c r="AC41" s="391"/>
      <c r="AD41" s="391"/>
      <c r="AE41" s="391"/>
      <c r="AF41" s="391"/>
      <c r="AG41" s="391"/>
      <c r="AH41" s="391"/>
      <c r="AI41" s="391"/>
      <c r="AJ41" s="391"/>
      <c r="AK41" s="391"/>
      <c r="AL41" s="391"/>
      <c r="AM41" s="391"/>
      <c r="AN41" s="391"/>
    </row>
    <row r="42" spans="1:40" s="344" customFormat="1" ht="20.100000000000001" customHeight="1">
      <c r="A42" s="410"/>
      <c r="B42" s="411"/>
      <c r="C42" s="1007">
        <f>RANK(C39,$C$39:$F$39)</f>
        <v>2</v>
      </c>
      <c r="D42" s="1007">
        <f>RANK(D39,$C$39:$F$39)</f>
        <v>3</v>
      </c>
      <c r="E42" s="1007">
        <f>RANK(E39,$C$39:$F$39)</f>
        <v>1</v>
      </c>
      <c r="F42" s="1007">
        <f>RANK(F39,$C$39:$F$39)</f>
        <v>3</v>
      </c>
      <c r="G42" s="341"/>
      <c r="H42" s="341"/>
      <c r="I42" s="341"/>
      <c r="J42" s="413"/>
      <c r="K42" s="391"/>
      <c r="L42" s="391"/>
      <c r="M42" s="391"/>
      <c r="N42" s="391"/>
      <c r="O42" s="391"/>
      <c r="P42" s="391"/>
      <c r="Q42" s="391"/>
      <c r="R42" s="391"/>
      <c r="S42" s="391"/>
      <c r="T42" s="391"/>
      <c r="U42" s="391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391"/>
      <c r="AG42" s="391"/>
      <c r="AH42" s="391"/>
      <c r="AI42" s="391"/>
      <c r="AJ42" s="391"/>
      <c r="AK42" s="391"/>
      <c r="AL42" s="391"/>
      <c r="AM42" s="391"/>
    </row>
    <row r="43" spans="1:40" s="344" customFormat="1" ht="18.95" customHeight="1">
      <c r="A43" s="414" t="s">
        <v>350</v>
      </c>
      <c r="B43" s="415" t="s">
        <v>351</v>
      </c>
      <c r="C43" s="415" t="s">
        <v>352</v>
      </c>
      <c r="D43" s="415" t="s">
        <v>353</v>
      </c>
      <c r="E43" s="415" t="s">
        <v>354</v>
      </c>
      <c r="F43" s="360" t="s">
        <v>355</v>
      </c>
      <c r="G43" s="341"/>
      <c r="H43" s="341"/>
      <c r="I43" s="341"/>
      <c r="J43" s="413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  <c r="AM43" s="391"/>
    </row>
    <row r="44" spans="1:40" s="344" customFormat="1" ht="18.95" customHeight="1">
      <c r="A44" s="416" t="s">
        <v>356</v>
      </c>
      <c r="B44" s="417">
        <f>+C19</f>
        <v>19649</v>
      </c>
      <c r="C44" s="417">
        <f>+C24</f>
        <v>20137</v>
      </c>
      <c r="D44" s="417">
        <f>+C29</f>
        <v>20626</v>
      </c>
      <c r="E44" s="418">
        <f>+C34</f>
        <v>21115</v>
      </c>
      <c r="F44" s="419" t="str">
        <f>IF(C38="","제외","")</f>
        <v/>
      </c>
      <c r="G44" s="341"/>
      <c r="H44" s="341"/>
      <c r="I44" s="341"/>
      <c r="J44" s="413"/>
      <c r="K44" s="391"/>
      <c r="L44" s="391"/>
      <c r="M44" s="391"/>
      <c r="N44" s="391"/>
      <c r="O44" s="391"/>
      <c r="P44" s="391"/>
      <c r="Q44" s="391"/>
      <c r="R44" s="391"/>
      <c r="S44" s="391"/>
      <c r="T44" s="391"/>
      <c r="U44" s="391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391"/>
      <c r="AG44" s="391"/>
      <c r="AH44" s="391"/>
      <c r="AI44" s="391"/>
      <c r="AJ44" s="391"/>
      <c r="AK44" s="391"/>
      <c r="AL44" s="391"/>
      <c r="AM44" s="391"/>
    </row>
    <row r="45" spans="1:40" s="344" customFormat="1" ht="18.95" customHeight="1">
      <c r="A45" s="416" t="s">
        <v>357</v>
      </c>
      <c r="B45" s="417">
        <f>+D19</f>
        <v>19670</v>
      </c>
      <c r="C45" s="417">
        <f>+D24</f>
        <v>20192</v>
      </c>
      <c r="D45" s="417">
        <f>+D29</f>
        <v>20727</v>
      </c>
      <c r="E45" s="418">
        <f>+D34</f>
        <v>21276</v>
      </c>
      <c r="F45" s="419" t="str">
        <f>IF(D38="","제외","")</f>
        <v>제외</v>
      </c>
      <c r="G45" s="341"/>
      <c r="H45" s="341"/>
      <c r="I45" s="341"/>
      <c r="J45" s="413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1"/>
    </row>
    <row r="46" spans="1:40" s="344" customFormat="1" ht="18.95" customHeight="1">
      <c r="A46" s="416" t="s">
        <v>254</v>
      </c>
      <c r="B46" s="417">
        <f>+E19</f>
        <v>19350</v>
      </c>
      <c r="C46" s="417">
        <f>+E24</f>
        <v>19541</v>
      </c>
      <c r="D46" s="417">
        <f>+E29</f>
        <v>19698</v>
      </c>
      <c r="E46" s="418">
        <f>+E34</f>
        <v>19834</v>
      </c>
      <c r="F46" s="419" t="str">
        <f>IF(E38="","제외","")</f>
        <v/>
      </c>
      <c r="G46" s="341"/>
      <c r="H46" s="341"/>
      <c r="I46" s="341"/>
      <c r="J46" s="413"/>
      <c r="K46" s="391"/>
      <c r="L46" s="391"/>
      <c r="M46" s="391"/>
      <c r="N46" s="391"/>
      <c r="O46" s="391"/>
      <c r="P46" s="391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  <c r="AM46" s="391"/>
    </row>
    <row r="47" spans="1:40" s="344" customFormat="1" ht="18.95" customHeight="1">
      <c r="A47" s="416" t="s">
        <v>256</v>
      </c>
      <c r="B47" s="417">
        <f>+F19</f>
        <v>19670</v>
      </c>
      <c r="C47" s="417">
        <f>+F24</f>
        <v>20190</v>
      </c>
      <c r="D47" s="417">
        <f>+F29</f>
        <v>20724</v>
      </c>
      <c r="E47" s="418">
        <f>+F34</f>
        <v>21272</v>
      </c>
      <c r="F47" s="419" t="str">
        <f>IF(F38="","제외","")</f>
        <v>제외</v>
      </c>
      <c r="G47" s="341"/>
      <c r="H47" s="341"/>
      <c r="I47" s="341"/>
      <c r="J47" s="413"/>
      <c r="K47" s="391"/>
      <c r="L47" s="391"/>
      <c r="M47" s="391"/>
      <c r="N47" s="391"/>
      <c r="O47" s="391"/>
      <c r="P47" s="391"/>
      <c r="Q47" s="391"/>
      <c r="R47" s="391"/>
      <c r="S47" s="391"/>
      <c r="T47" s="391"/>
      <c r="U47" s="391"/>
      <c r="V47" s="391"/>
      <c r="W47" s="391"/>
      <c r="X47" s="391"/>
      <c r="Y47" s="391"/>
      <c r="Z47" s="391"/>
      <c r="AA47" s="391"/>
      <c r="AB47" s="391"/>
      <c r="AC47" s="391"/>
      <c r="AD47" s="391"/>
      <c r="AE47" s="391"/>
      <c r="AF47" s="391"/>
      <c r="AG47" s="391"/>
      <c r="AH47" s="391"/>
      <c r="AI47" s="391"/>
      <c r="AJ47" s="391"/>
      <c r="AK47" s="391"/>
      <c r="AL47" s="391"/>
      <c r="AM47" s="391"/>
    </row>
    <row r="48" spans="1:40" s="344" customFormat="1" ht="18.95" customHeight="1">
      <c r="A48" s="416" t="s">
        <v>283</v>
      </c>
      <c r="B48" s="420">
        <f>ROUND(AVERAGE(B45,B47),0)</f>
        <v>19670</v>
      </c>
      <c r="C48" s="420">
        <f t="shared" ref="C48:E48" si="7">ROUND(AVERAGE(C45,C47),0)</f>
        <v>20191</v>
      </c>
      <c r="D48" s="420">
        <f t="shared" si="7"/>
        <v>20726</v>
      </c>
      <c r="E48" s="420">
        <f t="shared" si="7"/>
        <v>21274</v>
      </c>
      <c r="F48" s="419"/>
      <c r="G48" s="341"/>
      <c r="H48" s="341"/>
      <c r="I48" s="341"/>
      <c r="J48" s="413"/>
      <c r="K48" s="391"/>
      <c r="L48" s="391"/>
      <c r="M48" s="391"/>
      <c r="N48" s="391"/>
      <c r="O48" s="391"/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  <c r="AM48" s="391"/>
    </row>
    <row r="49" spans="1:40" s="344" customFormat="1" ht="18.95" customHeight="1">
      <c r="A49" s="416" t="s">
        <v>284</v>
      </c>
      <c r="B49" s="420">
        <f>B48</f>
        <v>19670</v>
      </c>
      <c r="C49" s="420">
        <f>C48</f>
        <v>20191</v>
      </c>
      <c r="D49" s="420">
        <f>D48</f>
        <v>20726</v>
      </c>
      <c r="E49" s="420">
        <f>E48</f>
        <v>21274</v>
      </c>
      <c r="F49" s="419"/>
      <c r="G49" s="341"/>
      <c r="H49" s="341"/>
      <c r="I49" s="341"/>
      <c r="J49" s="413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391"/>
      <c r="AG49" s="391"/>
      <c r="AH49" s="391"/>
      <c r="AI49" s="391"/>
      <c r="AJ49" s="391"/>
      <c r="AK49" s="391"/>
      <c r="AL49" s="391"/>
      <c r="AM49" s="391"/>
    </row>
    <row r="50" spans="1:40" s="344" customFormat="1" ht="20.100000000000001" customHeight="1">
      <c r="A50" s="410"/>
      <c r="B50" s="411"/>
      <c r="C50" s="421">
        <f>C48-B48</f>
        <v>521</v>
      </c>
      <c r="D50" s="421">
        <f>D48-C48</f>
        <v>535</v>
      </c>
      <c r="E50" s="421">
        <f>E48-D48</f>
        <v>548</v>
      </c>
      <c r="F50" s="341"/>
      <c r="G50" s="341"/>
      <c r="H50" s="341"/>
      <c r="I50" s="341"/>
      <c r="J50" s="413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391"/>
      <c r="AG50" s="391"/>
      <c r="AH50" s="391"/>
      <c r="AI50" s="391"/>
      <c r="AJ50" s="391"/>
      <c r="AK50" s="391"/>
      <c r="AL50" s="391"/>
      <c r="AM50" s="391"/>
    </row>
    <row r="51" spans="1:40" s="344" customFormat="1" ht="20.100000000000001" customHeight="1">
      <c r="A51" s="410"/>
      <c r="B51" s="422"/>
      <c r="C51" s="423">
        <f>ROUND((C48/B48)^(1/5)-1,4)</f>
        <v>5.1999999999999998E-3</v>
      </c>
      <c r="D51" s="423">
        <f>ROUND((D48/C48)^(1/5)-1,4)</f>
        <v>5.1999999999999998E-3</v>
      </c>
      <c r="E51" s="423">
        <f>ROUND((E48/D48)^(1/5)-1,4)</f>
        <v>5.1999999999999998E-3</v>
      </c>
      <c r="F51" s="341"/>
      <c r="G51" s="341"/>
      <c r="H51" s="341"/>
      <c r="I51" s="341"/>
      <c r="J51" s="413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391"/>
      <c r="AG51" s="391"/>
      <c r="AH51" s="391"/>
      <c r="AI51" s="391"/>
      <c r="AJ51" s="391"/>
      <c r="AK51" s="391"/>
      <c r="AL51" s="391"/>
      <c r="AM51" s="391"/>
    </row>
    <row r="52" spans="1:40" s="344" customFormat="1" ht="20.100000000000001" customHeight="1">
      <c r="A52" s="410"/>
      <c r="B52" s="411"/>
      <c r="C52" s="423"/>
      <c r="D52" s="423"/>
      <c r="E52" s="423"/>
      <c r="F52" s="341"/>
      <c r="G52" s="341"/>
      <c r="H52" s="341"/>
      <c r="I52" s="341"/>
      <c r="J52" s="413"/>
      <c r="K52" s="391"/>
      <c r="L52" s="391"/>
      <c r="M52" s="391"/>
      <c r="N52" s="391"/>
      <c r="O52" s="391"/>
      <c r="P52" s="391"/>
      <c r="Q52" s="391"/>
      <c r="R52" s="391"/>
      <c r="S52" s="391"/>
      <c r="T52" s="391"/>
      <c r="U52" s="391"/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391"/>
      <c r="AG52" s="391"/>
      <c r="AH52" s="391"/>
      <c r="AI52" s="391"/>
      <c r="AJ52" s="391"/>
      <c r="AK52" s="391"/>
      <c r="AL52" s="391"/>
      <c r="AM52" s="391"/>
    </row>
    <row r="53" spans="1:40" s="344" customFormat="1" ht="20.100000000000001" customHeight="1">
      <c r="A53" s="410"/>
      <c r="B53" s="411"/>
      <c r="C53" s="412"/>
      <c r="D53" s="412"/>
      <c r="E53" s="412"/>
      <c r="F53" s="341"/>
      <c r="G53" s="341"/>
      <c r="H53" s="341"/>
      <c r="I53" s="341"/>
      <c r="J53" s="413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  <c r="AF53" s="391"/>
      <c r="AG53" s="391"/>
      <c r="AH53" s="391"/>
      <c r="AI53" s="391"/>
      <c r="AJ53" s="391"/>
      <c r="AK53" s="391"/>
      <c r="AL53" s="391"/>
      <c r="AM53" s="391"/>
    </row>
    <row r="54" spans="1:40" s="344" customFormat="1" ht="20.100000000000001" customHeight="1">
      <c r="A54" s="410"/>
      <c r="B54" s="411"/>
      <c r="C54" s="412"/>
      <c r="D54" s="412"/>
      <c r="E54" s="412"/>
      <c r="F54" s="341"/>
      <c r="G54" s="341"/>
      <c r="H54" s="341"/>
      <c r="I54" s="341"/>
      <c r="J54" s="413"/>
      <c r="K54" s="391"/>
      <c r="L54" s="391"/>
      <c r="M54" s="391"/>
      <c r="N54" s="391"/>
      <c r="O54" s="391"/>
      <c r="P54" s="391"/>
      <c r="Q54" s="391"/>
      <c r="R54" s="391"/>
      <c r="S54" s="391"/>
      <c r="T54" s="391"/>
      <c r="U54" s="391"/>
      <c r="V54" s="391"/>
      <c r="W54" s="391"/>
      <c r="X54" s="391"/>
      <c r="Y54" s="391"/>
      <c r="Z54" s="391"/>
      <c r="AA54" s="391"/>
      <c r="AB54" s="391"/>
      <c r="AC54" s="391"/>
      <c r="AD54" s="391"/>
      <c r="AE54" s="391"/>
      <c r="AF54" s="391"/>
      <c r="AG54" s="391"/>
      <c r="AH54" s="391"/>
      <c r="AI54" s="391"/>
      <c r="AJ54" s="391"/>
      <c r="AK54" s="391"/>
      <c r="AL54" s="391"/>
      <c r="AM54" s="391"/>
    </row>
    <row r="55" spans="1:40" s="344" customFormat="1" ht="20.100000000000001" customHeight="1">
      <c r="A55" s="410"/>
      <c r="B55" s="411"/>
      <c r="C55" s="412"/>
      <c r="D55" s="412"/>
      <c r="E55" s="412"/>
      <c r="F55" s="341"/>
      <c r="G55" s="341"/>
      <c r="H55" s="341"/>
      <c r="I55" s="341"/>
      <c r="J55" s="413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1"/>
    </row>
    <row r="56" spans="1:40" s="344" customFormat="1" ht="20.100000000000001" customHeight="1">
      <c r="A56" s="410"/>
      <c r="B56" s="411"/>
      <c r="C56" s="412"/>
      <c r="D56" s="412"/>
      <c r="E56" s="412"/>
      <c r="F56" s="341"/>
      <c r="G56" s="341"/>
      <c r="H56" s="341"/>
      <c r="I56" s="341"/>
      <c r="J56" s="413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  <c r="AF56" s="391"/>
      <c r="AG56" s="391"/>
      <c r="AH56" s="391"/>
      <c r="AI56" s="391"/>
      <c r="AJ56" s="391"/>
      <c r="AK56" s="391"/>
      <c r="AL56" s="391"/>
      <c r="AM56" s="391"/>
    </row>
    <row r="57" spans="1:40" s="344" customFormat="1" ht="20.100000000000001" customHeight="1">
      <c r="A57" s="410"/>
      <c r="B57" s="411"/>
      <c r="C57" s="412"/>
      <c r="D57" s="412"/>
      <c r="E57" s="412"/>
      <c r="F57" s="341"/>
      <c r="G57" s="341"/>
      <c r="H57" s="341"/>
      <c r="I57" s="341"/>
      <c r="J57" s="413"/>
      <c r="K57" s="391"/>
      <c r="L57" s="391"/>
      <c r="M57" s="391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91"/>
      <c r="Y57" s="391"/>
      <c r="Z57" s="391"/>
      <c r="AA57" s="391"/>
      <c r="AB57" s="391"/>
      <c r="AC57" s="391"/>
      <c r="AD57" s="391"/>
      <c r="AE57" s="391"/>
      <c r="AF57" s="391"/>
      <c r="AG57" s="391"/>
      <c r="AH57" s="391"/>
      <c r="AI57" s="391"/>
      <c r="AJ57" s="391"/>
      <c r="AK57" s="391"/>
      <c r="AL57" s="391"/>
      <c r="AM57" s="391"/>
    </row>
    <row r="58" spans="1:40" s="344" customFormat="1" ht="20.100000000000001" customHeight="1">
      <c r="A58" s="410"/>
      <c r="B58" s="411"/>
      <c r="C58" s="412"/>
      <c r="D58" s="412"/>
      <c r="E58" s="412"/>
      <c r="F58" s="341"/>
      <c r="G58" s="341"/>
      <c r="H58" s="341"/>
      <c r="I58" s="341"/>
      <c r="J58" s="413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1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  <c r="AF58" s="391"/>
      <c r="AG58" s="391"/>
      <c r="AH58" s="391"/>
      <c r="AI58" s="391"/>
      <c r="AJ58" s="391"/>
      <c r="AK58" s="391"/>
      <c r="AL58" s="391"/>
      <c r="AM58" s="391"/>
    </row>
    <row r="59" spans="1:40" s="344" customFormat="1" ht="20.100000000000001" customHeight="1">
      <c r="A59" s="410"/>
      <c r="B59" s="411"/>
      <c r="C59" s="412"/>
      <c r="D59" s="412"/>
      <c r="E59" s="412"/>
      <c r="F59" s="341"/>
      <c r="G59" s="341"/>
      <c r="H59" s="341"/>
      <c r="I59" s="341"/>
      <c r="J59" s="413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  <c r="AF59" s="391"/>
      <c r="AG59" s="391"/>
      <c r="AH59" s="391"/>
      <c r="AI59" s="391"/>
      <c r="AJ59" s="391"/>
      <c r="AK59" s="391"/>
      <c r="AL59" s="391"/>
      <c r="AM59" s="391"/>
    </row>
    <row r="60" spans="1:40" s="344" customFormat="1" ht="20.100000000000001" customHeight="1">
      <c r="A60" s="410"/>
      <c r="B60" s="411"/>
      <c r="C60" s="412"/>
      <c r="D60" s="412"/>
      <c r="E60" s="412"/>
      <c r="F60" s="341"/>
      <c r="G60" s="341"/>
      <c r="H60" s="341"/>
      <c r="I60" s="341"/>
      <c r="J60" s="413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  <c r="Z60" s="391"/>
      <c r="AA60" s="391"/>
      <c r="AB60" s="391"/>
      <c r="AC60" s="391"/>
      <c r="AD60" s="391"/>
      <c r="AE60" s="391"/>
      <c r="AF60" s="391"/>
      <c r="AG60" s="391"/>
      <c r="AH60" s="391"/>
      <c r="AI60" s="391"/>
      <c r="AJ60" s="391"/>
      <c r="AK60" s="391"/>
      <c r="AL60" s="391"/>
      <c r="AM60" s="391"/>
    </row>
    <row r="61" spans="1:40" s="344" customFormat="1" ht="20.100000000000001" customHeight="1">
      <c r="A61" s="410"/>
      <c r="B61" s="411"/>
      <c r="C61" s="412"/>
      <c r="D61" s="412"/>
      <c r="E61" s="412"/>
      <c r="F61" s="341"/>
      <c r="G61" s="341"/>
      <c r="H61" s="341"/>
      <c r="I61" s="341"/>
      <c r="J61" s="413"/>
      <c r="K61" s="391"/>
      <c r="L61" s="391"/>
      <c r="M61" s="391"/>
      <c r="N61" s="391"/>
      <c r="O61" s="391"/>
      <c r="P61" s="391"/>
      <c r="Q61" s="391"/>
      <c r="R61" s="391"/>
      <c r="S61" s="391"/>
      <c r="T61" s="391"/>
      <c r="U61" s="391"/>
      <c r="V61" s="391"/>
      <c r="W61" s="391"/>
      <c r="X61" s="391"/>
      <c r="Y61" s="391"/>
      <c r="Z61" s="391"/>
      <c r="AA61" s="391"/>
      <c r="AB61" s="391"/>
      <c r="AC61" s="391"/>
      <c r="AD61" s="391"/>
      <c r="AE61" s="391"/>
      <c r="AF61" s="391"/>
      <c r="AG61" s="391"/>
      <c r="AH61" s="391"/>
      <c r="AI61" s="391"/>
      <c r="AJ61" s="391"/>
      <c r="AK61" s="391"/>
      <c r="AL61" s="391"/>
      <c r="AM61" s="391"/>
    </row>
    <row r="62" spans="1:40" s="344" customFormat="1" ht="20.100000000000001" customHeight="1">
      <c r="A62" s="410"/>
      <c r="B62" s="411"/>
      <c r="C62" s="412"/>
      <c r="D62" s="412"/>
      <c r="E62" s="412"/>
      <c r="F62" s="341"/>
      <c r="G62" s="341"/>
      <c r="H62" s="341"/>
      <c r="I62" s="341"/>
      <c r="J62" s="413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  <c r="Z62" s="391"/>
      <c r="AA62" s="391"/>
      <c r="AB62" s="391"/>
      <c r="AC62" s="391"/>
      <c r="AD62" s="391"/>
      <c r="AE62" s="391"/>
      <c r="AF62" s="391"/>
      <c r="AG62" s="391"/>
      <c r="AH62" s="391"/>
      <c r="AI62" s="391"/>
      <c r="AJ62" s="391"/>
      <c r="AK62" s="391"/>
      <c r="AL62" s="391"/>
      <c r="AM62" s="391"/>
      <c r="AN62" s="391"/>
    </row>
    <row r="63" spans="1:40" ht="15" customHeight="1">
      <c r="A63" s="424" t="s">
        <v>285</v>
      </c>
      <c r="B63" s="425"/>
      <c r="I63" s="426"/>
    </row>
    <row r="64" spans="1:40" ht="15" customHeight="1">
      <c r="A64" s="427" t="s">
        <v>264</v>
      </c>
      <c r="B64" s="428" t="s">
        <v>286</v>
      </c>
      <c r="C64" s="429" t="s">
        <v>287</v>
      </c>
      <c r="D64" s="430"/>
      <c r="E64" s="430"/>
      <c r="F64" s="431"/>
      <c r="G64" s="432"/>
      <c r="H64" s="432" t="s">
        <v>288</v>
      </c>
      <c r="I64" s="433">
        <f>RSQ(I65:I75,B65:B75)</f>
        <v>0.7589599240153958</v>
      </c>
      <c r="J64" s="434" t="s">
        <v>289</v>
      </c>
      <c r="K64" s="435" t="s">
        <v>290</v>
      </c>
    </row>
    <row r="65" spans="1:14" ht="15" customHeight="1">
      <c r="A65" s="436">
        <f>A5</f>
        <v>2006</v>
      </c>
      <c r="B65" s="437">
        <f>B5</f>
        <v>18154</v>
      </c>
      <c r="C65" s="438">
        <v>1</v>
      </c>
      <c r="D65" s="439" t="s">
        <v>291</v>
      </c>
      <c r="E65" s="440"/>
      <c r="F65" s="440"/>
      <c r="G65" s="441"/>
      <c r="H65" s="442"/>
      <c r="I65" s="443">
        <f t="shared" ref="I65:I97" si="8">ROUND($E$66*C65+$E$67,$G$1)</f>
        <v>18281</v>
      </c>
      <c r="J65" s="444">
        <f t="shared" ref="J65:J75" si="9">ABS(B65-I65)/B65*100</f>
        <v>0.69957034262421502</v>
      </c>
      <c r="K65" s="443">
        <f t="shared" ref="K65:K75" si="10">(B65-I65)^2/1000</f>
        <v>16.129000000000001</v>
      </c>
      <c r="L65" s="445"/>
    </row>
    <row r="66" spans="1:14" ht="15" customHeight="1">
      <c r="A66" s="436">
        <f t="shared" ref="A66:A97" si="11">A65+1</f>
        <v>2007</v>
      </c>
      <c r="B66" s="437">
        <f t="shared" ref="B66:B75" si="12">B6</f>
        <v>18414</v>
      </c>
      <c r="C66" s="438">
        <f t="shared" ref="C66:C75" si="13">C65+1</f>
        <v>2</v>
      </c>
      <c r="D66" s="439" t="s">
        <v>292</v>
      </c>
      <c r="E66" s="363">
        <f>INDEX(LINEST(B65:B75,C65:C75),1)</f>
        <v>97.718181818181819</v>
      </c>
      <c r="F66" s="440"/>
      <c r="G66" s="441"/>
      <c r="H66" s="442"/>
      <c r="I66" s="443">
        <f t="shared" si="8"/>
        <v>18378</v>
      </c>
      <c r="J66" s="446">
        <f t="shared" si="9"/>
        <v>0.19550342130987292</v>
      </c>
      <c r="K66" s="443">
        <f>(B66-I66)^2/1000</f>
        <v>1.296</v>
      </c>
      <c r="L66" s="445">
        <f t="shared" ref="L66:L97" si="14">+I66-I65</f>
        <v>97</v>
      </c>
      <c r="M66" s="445"/>
    </row>
    <row r="67" spans="1:14" ht="15" customHeight="1">
      <c r="A67" s="436">
        <f t="shared" si="11"/>
        <v>2008</v>
      </c>
      <c r="B67" s="437">
        <f t="shared" si="12"/>
        <v>18251</v>
      </c>
      <c r="C67" s="438">
        <f t="shared" si="13"/>
        <v>3</v>
      </c>
      <c r="D67" s="439" t="s">
        <v>293</v>
      </c>
      <c r="E67" s="363">
        <f>INDEX(LINEST(B65:B75,C65:C75),2)</f>
        <v>18182.963636363638</v>
      </c>
      <c r="G67" s="441"/>
      <c r="H67" s="442"/>
      <c r="I67" s="443">
        <f t="shared" si="8"/>
        <v>18476</v>
      </c>
      <c r="J67" s="446">
        <f t="shared" si="9"/>
        <v>1.2328091611418552</v>
      </c>
      <c r="K67" s="443">
        <f>(B67-I67)^2/1000</f>
        <v>50.625</v>
      </c>
      <c r="L67" s="445">
        <f t="shared" si="14"/>
        <v>98</v>
      </c>
      <c r="M67" s="445"/>
    </row>
    <row r="68" spans="1:14" ht="15" customHeight="1">
      <c r="A68" s="436">
        <f t="shared" si="11"/>
        <v>2009</v>
      </c>
      <c r="B68" s="437">
        <f t="shared" si="12"/>
        <v>18588</v>
      </c>
      <c r="C68" s="438">
        <f t="shared" si="13"/>
        <v>4</v>
      </c>
      <c r="G68" s="442"/>
      <c r="H68" s="442"/>
      <c r="I68" s="443">
        <f t="shared" si="8"/>
        <v>18574</v>
      </c>
      <c r="J68" s="446">
        <f t="shared" si="9"/>
        <v>7.5317409081127606E-2</v>
      </c>
      <c r="K68" s="443">
        <f t="shared" si="10"/>
        <v>0.19600000000000001</v>
      </c>
      <c r="L68" s="445">
        <f t="shared" si="14"/>
        <v>98</v>
      </c>
      <c r="M68" s="445"/>
    </row>
    <row r="69" spans="1:14" ht="15" customHeight="1">
      <c r="A69" s="436">
        <f t="shared" si="11"/>
        <v>2010</v>
      </c>
      <c r="B69" s="437">
        <f t="shared" si="12"/>
        <v>19021</v>
      </c>
      <c r="C69" s="438">
        <f t="shared" si="13"/>
        <v>5</v>
      </c>
      <c r="G69" s="442"/>
      <c r="H69" s="442"/>
      <c r="I69" s="443">
        <f t="shared" si="8"/>
        <v>18672</v>
      </c>
      <c r="J69" s="446">
        <f t="shared" si="9"/>
        <v>1.8348141527785082</v>
      </c>
      <c r="K69" s="443">
        <f t="shared" si="10"/>
        <v>121.801</v>
      </c>
      <c r="L69" s="445">
        <f t="shared" si="14"/>
        <v>98</v>
      </c>
      <c r="M69" s="445"/>
    </row>
    <row r="70" spans="1:14" ht="15" customHeight="1">
      <c r="A70" s="436">
        <f t="shared" si="11"/>
        <v>2011</v>
      </c>
      <c r="B70" s="437">
        <f t="shared" si="12"/>
        <v>18690</v>
      </c>
      <c r="C70" s="438">
        <f t="shared" si="13"/>
        <v>6</v>
      </c>
      <c r="D70" s="2318" t="s">
        <v>276</v>
      </c>
      <c r="E70" s="2320"/>
      <c r="F70" s="447">
        <f>I64</f>
        <v>0.7589599240153958</v>
      </c>
      <c r="G70" s="442"/>
      <c r="H70" s="442"/>
      <c r="I70" s="443">
        <f t="shared" si="8"/>
        <v>18769</v>
      </c>
      <c r="J70" s="446">
        <f t="shared" si="9"/>
        <v>0.42268592830390589</v>
      </c>
      <c r="K70" s="443">
        <f t="shared" si="10"/>
        <v>6.2409999999999997</v>
      </c>
      <c r="L70" s="445">
        <f t="shared" si="14"/>
        <v>97</v>
      </c>
      <c r="M70" s="445"/>
    </row>
    <row r="71" spans="1:14" ht="15" customHeight="1">
      <c r="A71" s="436">
        <f t="shared" si="11"/>
        <v>2012</v>
      </c>
      <c r="B71" s="437">
        <f t="shared" si="12"/>
        <v>18920</v>
      </c>
      <c r="C71" s="438">
        <f t="shared" si="13"/>
        <v>7</v>
      </c>
      <c r="D71" s="2318" t="s">
        <v>294</v>
      </c>
      <c r="E71" s="2320"/>
      <c r="F71" s="448">
        <f>SUM(K65:K75)</f>
        <v>333.68200000000002</v>
      </c>
      <c r="G71" s="442"/>
      <c r="H71" s="442"/>
      <c r="I71" s="443">
        <f t="shared" si="8"/>
        <v>18867</v>
      </c>
      <c r="J71" s="446">
        <f t="shared" si="9"/>
        <v>0.28012684989429171</v>
      </c>
      <c r="K71" s="443">
        <f t="shared" si="10"/>
        <v>2.8090000000000002</v>
      </c>
      <c r="L71" s="445">
        <f t="shared" si="14"/>
        <v>98</v>
      </c>
      <c r="M71" s="445"/>
    </row>
    <row r="72" spans="1:14" ht="15" customHeight="1">
      <c r="A72" s="436">
        <f t="shared" si="11"/>
        <v>2013</v>
      </c>
      <c r="B72" s="437">
        <f t="shared" si="12"/>
        <v>19167</v>
      </c>
      <c r="C72" s="438">
        <f t="shared" si="13"/>
        <v>8</v>
      </c>
      <c r="D72" s="2318" t="s">
        <v>295</v>
      </c>
      <c r="E72" s="2321"/>
      <c r="F72" s="449">
        <f>SUM(J65:J75)/C75</f>
        <v>0.777909738096072</v>
      </c>
      <c r="G72" s="442"/>
      <c r="H72" s="442"/>
      <c r="I72" s="443">
        <f t="shared" si="8"/>
        <v>18965</v>
      </c>
      <c r="J72" s="446">
        <f t="shared" si="9"/>
        <v>1.0538947148745239</v>
      </c>
      <c r="K72" s="443">
        <f t="shared" si="10"/>
        <v>40.804000000000002</v>
      </c>
      <c r="L72" s="445">
        <f t="shared" si="14"/>
        <v>98</v>
      </c>
      <c r="M72" s="445"/>
    </row>
    <row r="73" spans="1:14" ht="15" customHeight="1">
      <c r="A73" s="436">
        <f t="shared" si="11"/>
        <v>2014</v>
      </c>
      <c r="B73" s="437">
        <f t="shared" si="12"/>
        <v>19214</v>
      </c>
      <c r="C73" s="438">
        <f t="shared" si="13"/>
        <v>9</v>
      </c>
      <c r="D73" s="2322"/>
      <c r="E73" s="2322"/>
      <c r="F73" s="450"/>
      <c r="G73" s="442"/>
      <c r="H73" s="442"/>
      <c r="I73" s="443">
        <f t="shared" si="8"/>
        <v>19062</v>
      </c>
      <c r="J73" s="446">
        <f t="shared" si="9"/>
        <v>0.79108983033204949</v>
      </c>
      <c r="K73" s="443">
        <f t="shared" si="10"/>
        <v>23.103999999999999</v>
      </c>
      <c r="L73" s="445">
        <f t="shared" si="14"/>
        <v>97</v>
      </c>
      <c r="M73" s="445"/>
    </row>
    <row r="74" spans="1:14" ht="15" customHeight="1">
      <c r="A74" s="436">
        <f t="shared" si="11"/>
        <v>2015</v>
      </c>
      <c r="B74" s="437">
        <f t="shared" si="12"/>
        <v>18986</v>
      </c>
      <c r="C74" s="438">
        <f t="shared" si="13"/>
        <v>10</v>
      </c>
      <c r="G74" s="439"/>
      <c r="H74" s="451"/>
      <c r="I74" s="443">
        <f t="shared" si="8"/>
        <v>19160</v>
      </c>
      <c r="J74" s="446">
        <f t="shared" si="9"/>
        <v>0.91646476350995476</v>
      </c>
      <c r="K74" s="443">
        <f t="shared" si="10"/>
        <v>30.276</v>
      </c>
      <c r="L74" s="445">
        <f t="shared" si="14"/>
        <v>98</v>
      </c>
      <c r="M74" s="445"/>
    </row>
    <row r="75" spans="1:14" ht="15" customHeight="1" thickBot="1">
      <c r="A75" s="452">
        <f t="shared" si="11"/>
        <v>2016</v>
      </c>
      <c r="B75" s="453">
        <f t="shared" si="12"/>
        <v>19057</v>
      </c>
      <c r="C75" s="438">
        <f t="shared" si="13"/>
        <v>11</v>
      </c>
      <c r="D75" s="454"/>
      <c r="E75" s="454"/>
      <c r="F75" s="454"/>
      <c r="G75" s="455"/>
      <c r="H75" s="454"/>
      <c r="I75" s="456">
        <f t="shared" si="8"/>
        <v>19258</v>
      </c>
      <c r="J75" s="457">
        <f t="shared" si="9"/>
        <v>1.0547305452064857</v>
      </c>
      <c r="K75" s="456">
        <f t="shared" si="10"/>
        <v>40.401000000000003</v>
      </c>
      <c r="L75" s="445">
        <f t="shared" si="14"/>
        <v>98</v>
      </c>
      <c r="M75" s="445"/>
    </row>
    <row r="76" spans="1:14" ht="15" customHeight="1" thickTop="1">
      <c r="A76" s="458">
        <f t="shared" si="11"/>
        <v>2017</v>
      </c>
      <c r="B76" s="459">
        <f t="shared" ref="B76:B97" si="15">ROUND($E$66*C76+$E$67,$G$1)</f>
        <v>19356</v>
      </c>
      <c r="C76" s="460">
        <f>C75+1</f>
        <v>12</v>
      </c>
      <c r="D76" s="461"/>
      <c r="E76" s="461"/>
      <c r="F76" s="461"/>
      <c r="G76" s="462"/>
      <c r="H76" s="461"/>
      <c r="I76" s="443">
        <f t="shared" si="8"/>
        <v>19356</v>
      </c>
      <c r="J76" s="463"/>
      <c r="K76" s="464"/>
      <c r="L76" s="445">
        <f t="shared" si="14"/>
        <v>98</v>
      </c>
    </row>
    <row r="77" spans="1:14" ht="15" customHeight="1">
      <c r="A77" s="465">
        <f t="shared" si="11"/>
        <v>2018</v>
      </c>
      <c r="B77" s="437">
        <f t="shared" si="15"/>
        <v>19453</v>
      </c>
      <c r="C77" s="466">
        <f>C76+1</f>
        <v>13</v>
      </c>
      <c r="F77" s="451"/>
      <c r="G77" s="439"/>
      <c r="H77" s="451"/>
      <c r="I77" s="443">
        <f t="shared" si="8"/>
        <v>19453</v>
      </c>
      <c r="J77" s="467"/>
      <c r="K77" s="443"/>
      <c r="L77" s="445">
        <f t="shared" si="14"/>
        <v>97</v>
      </c>
    </row>
    <row r="78" spans="1:14" ht="15" customHeight="1">
      <c r="A78" s="465">
        <f t="shared" si="11"/>
        <v>2019</v>
      </c>
      <c r="B78" s="437">
        <f t="shared" si="15"/>
        <v>19551</v>
      </c>
      <c r="C78" s="466">
        <f t="shared" ref="C78:C94" si="16">C77+1</f>
        <v>14</v>
      </c>
      <c r="F78" s="451"/>
      <c r="G78" s="439"/>
      <c r="H78" s="451"/>
      <c r="I78" s="443">
        <f t="shared" si="8"/>
        <v>19551</v>
      </c>
      <c r="J78" s="467"/>
      <c r="K78" s="443"/>
      <c r="L78" s="445">
        <f t="shared" si="14"/>
        <v>98</v>
      </c>
    </row>
    <row r="79" spans="1:14" ht="15" customHeight="1">
      <c r="A79" s="465">
        <f t="shared" si="11"/>
        <v>2020</v>
      </c>
      <c r="B79" s="437">
        <f t="shared" si="15"/>
        <v>19649</v>
      </c>
      <c r="C79" s="466">
        <f t="shared" si="16"/>
        <v>15</v>
      </c>
      <c r="F79" s="451"/>
      <c r="G79" s="439"/>
      <c r="H79" s="451"/>
      <c r="I79" s="443">
        <f t="shared" si="8"/>
        <v>19649</v>
      </c>
      <c r="J79" s="467"/>
      <c r="K79" s="443"/>
      <c r="L79" s="445">
        <f t="shared" si="14"/>
        <v>98</v>
      </c>
      <c r="N79" s="326">
        <f>1/0.75</f>
        <v>1.3333333333333333</v>
      </c>
    </row>
    <row r="80" spans="1:14" ht="15" customHeight="1">
      <c r="A80" s="465">
        <f t="shared" si="11"/>
        <v>2021</v>
      </c>
      <c r="B80" s="437">
        <f t="shared" si="15"/>
        <v>19746</v>
      </c>
      <c r="C80" s="466">
        <f t="shared" si="16"/>
        <v>16</v>
      </c>
      <c r="F80" s="451"/>
      <c r="G80" s="439"/>
      <c r="H80" s="451"/>
      <c r="I80" s="443">
        <f t="shared" si="8"/>
        <v>19746</v>
      </c>
      <c r="J80" s="467"/>
      <c r="K80" s="443"/>
      <c r="L80" s="445">
        <f t="shared" si="14"/>
        <v>97</v>
      </c>
    </row>
    <row r="81" spans="1:12" ht="15" customHeight="1">
      <c r="A81" s="465">
        <f t="shared" si="11"/>
        <v>2022</v>
      </c>
      <c r="B81" s="437">
        <f t="shared" si="15"/>
        <v>19844</v>
      </c>
      <c r="C81" s="466">
        <f t="shared" si="16"/>
        <v>17</v>
      </c>
      <c r="D81" s="439"/>
      <c r="E81" s="439"/>
      <c r="F81" s="451"/>
      <c r="G81" s="439"/>
      <c r="H81" s="451"/>
      <c r="I81" s="443">
        <f t="shared" si="8"/>
        <v>19844</v>
      </c>
      <c r="J81" s="467"/>
      <c r="K81" s="443"/>
      <c r="L81" s="445">
        <f t="shared" si="14"/>
        <v>98</v>
      </c>
    </row>
    <row r="82" spans="1:12" ht="15" customHeight="1">
      <c r="A82" s="465">
        <f t="shared" si="11"/>
        <v>2023</v>
      </c>
      <c r="B82" s="437">
        <f t="shared" si="15"/>
        <v>19942</v>
      </c>
      <c r="C82" s="466">
        <f t="shared" si="16"/>
        <v>18</v>
      </c>
      <c r="D82" s="439"/>
      <c r="E82" s="439"/>
      <c r="F82" s="451"/>
      <c r="G82" s="439"/>
      <c r="H82" s="451"/>
      <c r="I82" s="443">
        <f t="shared" si="8"/>
        <v>19942</v>
      </c>
      <c r="J82" s="467"/>
      <c r="K82" s="443"/>
      <c r="L82" s="445">
        <f t="shared" si="14"/>
        <v>98</v>
      </c>
    </row>
    <row r="83" spans="1:12" s="451" customFormat="1" ht="15" customHeight="1">
      <c r="A83" s="465">
        <f t="shared" si="11"/>
        <v>2024</v>
      </c>
      <c r="B83" s="437">
        <f t="shared" si="15"/>
        <v>20040</v>
      </c>
      <c r="C83" s="466">
        <f t="shared" si="16"/>
        <v>19</v>
      </c>
      <c r="G83" s="439"/>
      <c r="H83" s="439"/>
      <c r="I83" s="443">
        <f t="shared" si="8"/>
        <v>20040</v>
      </c>
      <c r="J83" s="467"/>
      <c r="K83" s="443"/>
      <c r="L83" s="445">
        <f t="shared" si="14"/>
        <v>98</v>
      </c>
    </row>
    <row r="84" spans="1:12" ht="15" customHeight="1">
      <c r="A84" s="465">
        <f t="shared" si="11"/>
        <v>2025</v>
      </c>
      <c r="B84" s="437">
        <f t="shared" si="15"/>
        <v>20137</v>
      </c>
      <c r="C84" s="466">
        <f t="shared" si="16"/>
        <v>20</v>
      </c>
      <c r="D84" s="451"/>
      <c r="E84" s="451"/>
      <c r="F84" s="451"/>
      <c r="G84" s="439"/>
      <c r="H84" s="451"/>
      <c r="I84" s="443">
        <f t="shared" si="8"/>
        <v>20137</v>
      </c>
      <c r="J84" s="467"/>
      <c r="K84" s="443"/>
      <c r="L84" s="445">
        <f t="shared" si="14"/>
        <v>97</v>
      </c>
    </row>
    <row r="85" spans="1:12" s="451" customFormat="1" ht="15" customHeight="1">
      <c r="A85" s="465">
        <f t="shared" si="11"/>
        <v>2026</v>
      </c>
      <c r="B85" s="437">
        <f t="shared" si="15"/>
        <v>20235</v>
      </c>
      <c r="C85" s="466">
        <f t="shared" si="16"/>
        <v>21</v>
      </c>
      <c r="G85" s="439"/>
      <c r="I85" s="443">
        <f t="shared" si="8"/>
        <v>20235</v>
      </c>
      <c r="J85" s="467"/>
      <c r="K85" s="443"/>
      <c r="L85" s="445">
        <f t="shared" si="14"/>
        <v>98</v>
      </c>
    </row>
    <row r="86" spans="1:12" s="451" customFormat="1" ht="15" customHeight="1">
      <c r="A86" s="465">
        <f t="shared" si="11"/>
        <v>2027</v>
      </c>
      <c r="B86" s="437">
        <f t="shared" si="15"/>
        <v>20333</v>
      </c>
      <c r="C86" s="466">
        <f t="shared" si="16"/>
        <v>22</v>
      </c>
      <c r="G86" s="439"/>
      <c r="I86" s="443">
        <f t="shared" si="8"/>
        <v>20333</v>
      </c>
      <c r="J86" s="467"/>
      <c r="K86" s="443"/>
      <c r="L86" s="445">
        <f t="shared" si="14"/>
        <v>98</v>
      </c>
    </row>
    <row r="87" spans="1:12" s="451" customFormat="1" ht="15" customHeight="1">
      <c r="A87" s="465">
        <f t="shared" si="11"/>
        <v>2028</v>
      </c>
      <c r="B87" s="437">
        <f t="shared" si="15"/>
        <v>20430</v>
      </c>
      <c r="C87" s="466">
        <f t="shared" si="16"/>
        <v>23</v>
      </c>
      <c r="D87" s="468"/>
      <c r="E87" s="468"/>
      <c r="I87" s="443">
        <f t="shared" si="8"/>
        <v>20430</v>
      </c>
      <c r="J87" s="469"/>
      <c r="K87" s="469"/>
      <c r="L87" s="445">
        <f t="shared" si="14"/>
        <v>97</v>
      </c>
    </row>
    <row r="88" spans="1:12" ht="15" customHeight="1">
      <c r="A88" s="465">
        <f t="shared" si="11"/>
        <v>2029</v>
      </c>
      <c r="B88" s="437">
        <f t="shared" si="15"/>
        <v>20528</v>
      </c>
      <c r="C88" s="466">
        <f t="shared" si="16"/>
        <v>24</v>
      </c>
      <c r="D88" s="468"/>
      <c r="E88" s="468"/>
      <c r="F88" s="451"/>
      <c r="G88" s="451"/>
      <c r="H88" s="451"/>
      <c r="I88" s="443">
        <f t="shared" si="8"/>
        <v>20528</v>
      </c>
      <c r="J88" s="469"/>
      <c r="K88" s="469"/>
      <c r="L88" s="445">
        <f t="shared" si="14"/>
        <v>98</v>
      </c>
    </row>
    <row r="89" spans="1:12" ht="15" customHeight="1">
      <c r="A89" s="465">
        <f t="shared" si="11"/>
        <v>2030</v>
      </c>
      <c r="B89" s="437">
        <f t="shared" si="15"/>
        <v>20626</v>
      </c>
      <c r="C89" s="466">
        <f t="shared" si="16"/>
        <v>25</v>
      </c>
      <c r="D89" s="468"/>
      <c r="E89" s="468"/>
      <c r="F89" s="451"/>
      <c r="G89" s="451"/>
      <c r="H89" s="451"/>
      <c r="I89" s="443">
        <f t="shared" si="8"/>
        <v>20626</v>
      </c>
      <c r="J89" s="469"/>
      <c r="K89" s="469"/>
      <c r="L89" s="445">
        <f t="shared" si="14"/>
        <v>98</v>
      </c>
    </row>
    <row r="90" spans="1:12" ht="15" customHeight="1">
      <c r="A90" s="465">
        <f t="shared" si="11"/>
        <v>2031</v>
      </c>
      <c r="B90" s="437">
        <f t="shared" si="15"/>
        <v>20724</v>
      </c>
      <c r="C90" s="466">
        <f t="shared" si="16"/>
        <v>26</v>
      </c>
      <c r="D90" s="468"/>
      <c r="E90" s="468"/>
      <c r="F90" s="451"/>
      <c r="G90" s="451"/>
      <c r="H90" s="451"/>
      <c r="I90" s="443">
        <f t="shared" si="8"/>
        <v>20724</v>
      </c>
      <c r="J90" s="469"/>
      <c r="K90" s="469"/>
      <c r="L90" s="445">
        <f t="shared" si="14"/>
        <v>98</v>
      </c>
    </row>
    <row r="91" spans="1:12" ht="15" customHeight="1">
      <c r="A91" s="465">
        <f t="shared" si="11"/>
        <v>2032</v>
      </c>
      <c r="B91" s="437">
        <f t="shared" si="15"/>
        <v>20821</v>
      </c>
      <c r="C91" s="466">
        <f t="shared" si="16"/>
        <v>27</v>
      </c>
      <c r="D91" s="468"/>
      <c r="E91" s="468"/>
      <c r="F91" s="451"/>
      <c r="G91" s="451"/>
      <c r="H91" s="451"/>
      <c r="I91" s="443">
        <f t="shared" si="8"/>
        <v>20821</v>
      </c>
      <c r="J91" s="469"/>
      <c r="K91" s="469"/>
      <c r="L91" s="445">
        <f t="shared" si="14"/>
        <v>97</v>
      </c>
    </row>
    <row r="92" spans="1:12" ht="15" customHeight="1">
      <c r="A92" s="465">
        <f t="shared" si="11"/>
        <v>2033</v>
      </c>
      <c r="B92" s="437">
        <f t="shared" si="15"/>
        <v>20919</v>
      </c>
      <c r="C92" s="466">
        <f t="shared" si="16"/>
        <v>28</v>
      </c>
      <c r="D92" s="468"/>
      <c r="E92" s="468"/>
      <c r="F92" s="451"/>
      <c r="G92" s="451"/>
      <c r="H92" s="451"/>
      <c r="I92" s="443">
        <f t="shared" si="8"/>
        <v>20919</v>
      </c>
      <c r="J92" s="469"/>
      <c r="K92" s="469"/>
      <c r="L92" s="445">
        <f t="shared" si="14"/>
        <v>98</v>
      </c>
    </row>
    <row r="93" spans="1:12" ht="15" customHeight="1">
      <c r="A93" s="465">
        <f t="shared" si="11"/>
        <v>2034</v>
      </c>
      <c r="B93" s="437">
        <f t="shared" si="15"/>
        <v>21017</v>
      </c>
      <c r="C93" s="466">
        <f t="shared" si="16"/>
        <v>29</v>
      </c>
      <c r="D93" s="468"/>
      <c r="E93" s="468"/>
      <c r="F93" s="451"/>
      <c r="G93" s="451"/>
      <c r="H93" s="451"/>
      <c r="I93" s="443">
        <f t="shared" si="8"/>
        <v>21017</v>
      </c>
      <c r="J93" s="469"/>
      <c r="K93" s="469"/>
      <c r="L93" s="445">
        <f t="shared" si="14"/>
        <v>98</v>
      </c>
    </row>
    <row r="94" spans="1:12" ht="15" customHeight="1">
      <c r="A94" s="470">
        <f t="shared" si="11"/>
        <v>2035</v>
      </c>
      <c r="B94" s="471">
        <f t="shared" si="15"/>
        <v>21115</v>
      </c>
      <c r="C94" s="472">
        <f t="shared" si="16"/>
        <v>30</v>
      </c>
      <c r="D94" s="473"/>
      <c r="E94" s="473"/>
      <c r="F94" s="474"/>
      <c r="G94" s="474"/>
      <c r="H94" s="474"/>
      <c r="I94" s="471">
        <f t="shared" si="8"/>
        <v>21115</v>
      </c>
      <c r="J94" s="475"/>
      <c r="K94" s="476"/>
      <c r="L94" s="445">
        <f t="shared" si="14"/>
        <v>98</v>
      </c>
    </row>
    <row r="95" spans="1:12" ht="15" customHeight="1">
      <c r="A95" s="477">
        <f t="shared" si="11"/>
        <v>2036</v>
      </c>
      <c r="B95" s="478">
        <f t="shared" si="15"/>
        <v>21212</v>
      </c>
      <c r="C95" s="479">
        <v>31</v>
      </c>
      <c r="D95" s="480"/>
      <c r="E95" s="480"/>
      <c r="F95" s="481"/>
      <c r="G95" s="481"/>
      <c r="H95" s="481"/>
      <c r="I95" s="478">
        <f t="shared" si="8"/>
        <v>21212</v>
      </c>
      <c r="J95" s="482"/>
      <c r="K95" s="483"/>
      <c r="L95" s="445">
        <f t="shared" si="14"/>
        <v>97</v>
      </c>
    </row>
    <row r="96" spans="1:12" ht="15" customHeight="1">
      <c r="A96" s="477">
        <f t="shared" si="11"/>
        <v>2037</v>
      </c>
      <c r="B96" s="478">
        <f t="shared" si="15"/>
        <v>21310</v>
      </c>
      <c r="C96" s="479">
        <v>32</v>
      </c>
      <c r="D96" s="480"/>
      <c r="E96" s="480"/>
      <c r="F96" s="481"/>
      <c r="G96" s="481"/>
      <c r="H96" s="481"/>
      <c r="I96" s="478">
        <f t="shared" si="8"/>
        <v>21310</v>
      </c>
      <c r="J96" s="482"/>
      <c r="K96" s="483"/>
      <c r="L96" s="445">
        <f t="shared" si="14"/>
        <v>98</v>
      </c>
    </row>
    <row r="97" spans="1:13" ht="15" customHeight="1">
      <c r="A97" s="484">
        <f t="shared" si="11"/>
        <v>2038</v>
      </c>
      <c r="B97" s="485">
        <f t="shared" si="15"/>
        <v>21408</v>
      </c>
      <c r="C97" s="486">
        <v>33</v>
      </c>
      <c r="D97" s="487"/>
      <c r="E97" s="487"/>
      <c r="F97" s="488"/>
      <c r="G97" s="488"/>
      <c r="H97" s="488"/>
      <c r="I97" s="485">
        <f t="shared" si="8"/>
        <v>21408</v>
      </c>
      <c r="J97" s="489"/>
      <c r="K97" s="490"/>
      <c r="L97" s="445">
        <f t="shared" si="14"/>
        <v>98</v>
      </c>
    </row>
    <row r="98" spans="1:13" ht="15" customHeight="1">
      <c r="A98" s="491"/>
      <c r="B98" s="492"/>
      <c r="C98" s="439"/>
      <c r="D98" s="468"/>
      <c r="E98" s="468"/>
      <c r="F98" s="451"/>
      <c r="G98" s="451"/>
      <c r="H98" s="451"/>
      <c r="I98" s="492"/>
      <c r="J98" s="493"/>
      <c r="K98" s="493"/>
      <c r="L98" s="445"/>
    </row>
    <row r="99" spans="1:13" ht="15" customHeight="1">
      <c r="A99" s="491"/>
      <c r="B99" s="492"/>
      <c r="C99" s="439"/>
      <c r="D99" s="468"/>
      <c r="E99" s="468"/>
      <c r="F99" s="451"/>
      <c r="G99" s="451"/>
      <c r="H99" s="451"/>
      <c r="I99" s="492"/>
      <c r="J99" s="493"/>
      <c r="K99" s="493"/>
      <c r="L99" s="445"/>
    </row>
    <row r="100" spans="1:13" ht="15" customHeight="1">
      <c r="A100" s="491"/>
      <c r="B100" s="492"/>
      <c r="C100" s="439"/>
      <c r="D100" s="468"/>
      <c r="E100" s="468"/>
      <c r="F100" s="451"/>
      <c r="G100" s="451"/>
      <c r="H100" s="451"/>
      <c r="I100" s="492"/>
      <c r="J100" s="493"/>
      <c r="K100" s="493"/>
      <c r="L100" s="445"/>
    </row>
    <row r="101" spans="1:13" ht="15" customHeight="1">
      <c r="A101" s="491"/>
      <c r="B101" s="494"/>
      <c r="C101" s="439"/>
      <c r="D101" s="468"/>
      <c r="E101" s="468"/>
      <c r="F101" s="451"/>
      <c r="G101" s="451"/>
      <c r="H101" s="451"/>
      <c r="I101" s="495"/>
      <c r="J101" s="495"/>
    </row>
    <row r="102" spans="1:13" ht="15" customHeight="1">
      <c r="A102" s="424" t="s">
        <v>296</v>
      </c>
    </row>
    <row r="103" spans="1:13" ht="15" customHeight="1">
      <c r="A103" s="427" t="s">
        <v>264</v>
      </c>
      <c r="B103" s="428" t="s">
        <v>286</v>
      </c>
      <c r="C103" s="429" t="s">
        <v>297</v>
      </c>
      <c r="D103" s="429" t="s">
        <v>287</v>
      </c>
      <c r="E103" s="496"/>
      <c r="F103" s="430"/>
      <c r="G103" s="431"/>
      <c r="H103" s="432" t="s">
        <v>288</v>
      </c>
      <c r="I103" s="433">
        <f>RSQ(I104:I114,B104:B114)</f>
        <v>0.75500628317100282</v>
      </c>
      <c r="J103" s="434" t="s">
        <v>289</v>
      </c>
      <c r="K103" s="435" t="s">
        <v>290</v>
      </c>
    </row>
    <row r="104" spans="1:13" ht="15" customHeight="1">
      <c r="A104" s="436">
        <f t="shared" ref="A104:B119" si="17">A65</f>
        <v>2006</v>
      </c>
      <c r="B104" s="437">
        <f t="shared" si="17"/>
        <v>18154</v>
      </c>
      <c r="C104" s="497">
        <f t="shared" ref="C104:C114" si="18">LN(B104)</f>
        <v>9.806646201086572</v>
      </c>
      <c r="D104" s="438">
        <f>C65</f>
        <v>1</v>
      </c>
      <c r="E104" s="498" t="s">
        <v>358</v>
      </c>
      <c r="F104" s="499"/>
      <c r="G104" s="500"/>
      <c r="H104" s="501"/>
      <c r="I104" s="502">
        <f t="shared" ref="I104:I136" si="19">ROUND($F$111*(1+$F$112)^D104,$G$1)</f>
        <v>18281</v>
      </c>
      <c r="J104" s="444">
        <f t="shared" ref="J104:J114" si="20">ABS(B104-I104)/B104*100</f>
        <v>0.69957034262421502</v>
      </c>
      <c r="K104" s="443">
        <f t="shared" ref="K104:K114" si="21">(B104-I104)^2/1000</f>
        <v>16.129000000000001</v>
      </c>
      <c r="L104" s="503"/>
    </row>
    <row r="105" spans="1:13" ht="15" customHeight="1">
      <c r="A105" s="436">
        <f t="shared" si="17"/>
        <v>2007</v>
      </c>
      <c r="B105" s="437">
        <f t="shared" si="17"/>
        <v>18414</v>
      </c>
      <c r="C105" s="497">
        <f>LN(B105)</f>
        <v>9.8208665238477906</v>
      </c>
      <c r="D105" s="438">
        <f t="shared" ref="D105:D136" si="22">D104+1</f>
        <v>2</v>
      </c>
      <c r="E105" s="498" t="s">
        <v>299</v>
      </c>
      <c r="F105" s="439"/>
      <c r="G105" s="500"/>
      <c r="H105" s="501"/>
      <c r="I105" s="443">
        <f t="shared" si="19"/>
        <v>18377</v>
      </c>
      <c r="J105" s="446">
        <f t="shared" si="20"/>
        <v>0.20093407190181384</v>
      </c>
      <c r="K105" s="443">
        <f t="shared" si="21"/>
        <v>1.369</v>
      </c>
      <c r="L105" s="503">
        <f>ROUND((I105/I104)^(1/1)-1,4)</f>
        <v>5.3E-3</v>
      </c>
    </row>
    <row r="106" spans="1:13" ht="15" customHeight="1">
      <c r="A106" s="436">
        <f t="shared" si="17"/>
        <v>2008</v>
      </c>
      <c r="B106" s="437">
        <f t="shared" si="17"/>
        <v>18251</v>
      </c>
      <c r="C106" s="497">
        <f>LN(B106)</f>
        <v>9.8119751520300209</v>
      </c>
      <c r="D106" s="438">
        <f t="shared" si="22"/>
        <v>3</v>
      </c>
      <c r="E106" s="326" t="s">
        <v>300</v>
      </c>
      <c r="G106" s="451"/>
      <c r="H106" s="442"/>
      <c r="I106" s="443">
        <f t="shared" si="19"/>
        <v>18474</v>
      </c>
      <c r="J106" s="446">
        <f t="shared" si="20"/>
        <v>1.2218508574872609</v>
      </c>
      <c r="K106" s="443">
        <f t="shared" si="21"/>
        <v>49.728999999999999</v>
      </c>
      <c r="L106" s="503">
        <f t="shared" ref="L106:L136" si="23">ROUND((I106/I105)^(1/1)-1,4)</f>
        <v>5.3E-3</v>
      </c>
      <c r="M106" s="503"/>
    </row>
    <row r="107" spans="1:13" ht="15" customHeight="1">
      <c r="A107" s="436">
        <f t="shared" si="17"/>
        <v>2009</v>
      </c>
      <c r="B107" s="437">
        <f t="shared" si="17"/>
        <v>18588</v>
      </c>
      <c r="C107" s="497">
        <f t="shared" si="18"/>
        <v>9.8302714902048685</v>
      </c>
      <c r="D107" s="438">
        <f t="shared" si="22"/>
        <v>4</v>
      </c>
      <c r="G107" s="451"/>
      <c r="H107" s="442"/>
      <c r="I107" s="443">
        <f t="shared" si="19"/>
        <v>18571</v>
      </c>
      <c r="J107" s="446">
        <f t="shared" si="20"/>
        <v>9.1456853884226377E-2</v>
      </c>
      <c r="K107" s="443">
        <f t="shared" si="21"/>
        <v>0.28899999999999998</v>
      </c>
      <c r="L107" s="503">
        <f t="shared" si="23"/>
        <v>5.3E-3</v>
      </c>
      <c r="M107" s="503"/>
    </row>
    <row r="108" spans="1:13" ht="15" customHeight="1">
      <c r="A108" s="436">
        <f t="shared" si="17"/>
        <v>2010</v>
      </c>
      <c r="B108" s="437">
        <f t="shared" si="17"/>
        <v>19021</v>
      </c>
      <c r="C108" s="497">
        <f t="shared" si="18"/>
        <v>9.8532989109528408</v>
      </c>
      <c r="D108" s="438">
        <f t="shared" si="22"/>
        <v>5</v>
      </c>
      <c r="E108" s="329" t="s">
        <v>301</v>
      </c>
      <c r="F108" s="442" t="s">
        <v>302</v>
      </c>
      <c r="G108" s="504">
        <f>INDEX(LINEST(C104:C114,D104:D114),2)</f>
        <v>9.8084133286431836</v>
      </c>
      <c r="H108" s="442"/>
      <c r="I108" s="443">
        <f t="shared" si="19"/>
        <v>18668</v>
      </c>
      <c r="J108" s="446">
        <f t="shared" si="20"/>
        <v>1.8558435413490351</v>
      </c>
      <c r="K108" s="443">
        <f t="shared" si="21"/>
        <v>124.60899999999999</v>
      </c>
      <c r="L108" s="503">
        <f t="shared" si="23"/>
        <v>5.1999999999999998E-3</v>
      </c>
      <c r="M108" s="503"/>
    </row>
    <row r="109" spans="1:13" ht="15" customHeight="1">
      <c r="A109" s="436">
        <f t="shared" si="17"/>
        <v>2011</v>
      </c>
      <c r="B109" s="437">
        <f t="shared" si="17"/>
        <v>18690</v>
      </c>
      <c r="C109" s="497">
        <f t="shared" si="18"/>
        <v>9.835743900449609</v>
      </c>
      <c r="D109" s="438">
        <f t="shared" si="22"/>
        <v>6</v>
      </c>
      <c r="E109" s="329" t="s">
        <v>303</v>
      </c>
      <c r="F109" s="442" t="s">
        <v>304</v>
      </c>
      <c r="G109" s="504">
        <f>INDEX(LINEST(C104:C114,D104:D114),1)</f>
        <v>5.2305622108001631E-3</v>
      </c>
      <c r="H109" s="442"/>
      <c r="I109" s="443">
        <f t="shared" si="19"/>
        <v>18766</v>
      </c>
      <c r="J109" s="446">
        <f t="shared" si="20"/>
        <v>0.40663456393793473</v>
      </c>
      <c r="K109" s="443">
        <f t="shared" si="21"/>
        <v>5.7759999999999998</v>
      </c>
      <c r="L109" s="503">
        <f t="shared" si="23"/>
        <v>5.1999999999999998E-3</v>
      </c>
      <c r="M109" s="503"/>
    </row>
    <row r="110" spans="1:13" ht="15" customHeight="1">
      <c r="A110" s="436">
        <f t="shared" si="17"/>
        <v>2012</v>
      </c>
      <c r="B110" s="437">
        <f t="shared" si="17"/>
        <v>18920</v>
      </c>
      <c r="C110" s="497">
        <f t="shared" si="18"/>
        <v>9.8479748426058684</v>
      </c>
      <c r="D110" s="438">
        <f t="shared" si="22"/>
        <v>7</v>
      </c>
      <c r="H110" s="442"/>
      <c r="I110" s="443">
        <f t="shared" si="19"/>
        <v>18864</v>
      </c>
      <c r="J110" s="446">
        <f t="shared" si="20"/>
        <v>0.29598308668076112</v>
      </c>
      <c r="K110" s="443">
        <f t="shared" si="21"/>
        <v>3.1360000000000001</v>
      </c>
      <c r="L110" s="503">
        <f t="shared" si="23"/>
        <v>5.1999999999999998E-3</v>
      </c>
      <c r="M110" s="503"/>
    </row>
    <row r="111" spans="1:13" ht="15" customHeight="1">
      <c r="A111" s="436">
        <f t="shared" si="17"/>
        <v>2013</v>
      </c>
      <c r="B111" s="437">
        <f t="shared" si="17"/>
        <v>19167</v>
      </c>
      <c r="C111" s="497">
        <f t="shared" si="18"/>
        <v>9.8609453292704536</v>
      </c>
      <c r="D111" s="438">
        <f t="shared" si="22"/>
        <v>8</v>
      </c>
      <c r="E111" s="329" t="s">
        <v>305</v>
      </c>
      <c r="F111" s="505">
        <f>EXP(G108)</f>
        <v>18186.108795475746</v>
      </c>
      <c r="G111" s="451"/>
      <c r="H111" s="442"/>
      <c r="I111" s="443">
        <f t="shared" si="19"/>
        <v>18963</v>
      </c>
      <c r="J111" s="446">
        <f t="shared" si="20"/>
        <v>1.0643293160118954</v>
      </c>
      <c r="K111" s="443">
        <f t="shared" si="21"/>
        <v>41.616</v>
      </c>
      <c r="L111" s="503">
        <f t="shared" si="23"/>
        <v>5.1999999999999998E-3</v>
      </c>
      <c r="M111" s="503"/>
    </row>
    <row r="112" spans="1:13" ht="15" customHeight="1">
      <c r="A112" s="436">
        <f t="shared" si="17"/>
        <v>2014</v>
      </c>
      <c r="B112" s="437">
        <f t="shared" si="17"/>
        <v>19214</v>
      </c>
      <c r="C112" s="506">
        <f t="shared" si="18"/>
        <v>9.8633944589696831</v>
      </c>
      <c r="D112" s="438">
        <f t="shared" si="22"/>
        <v>9</v>
      </c>
      <c r="E112" s="329" t="s">
        <v>306</v>
      </c>
      <c r="F112" s="507">
        <f>EXP(G109)-1</f>
        <v>5.2442654828419588E-3</v>
      </c>
      <c r="G112" s="451"/>
      <c r="H112" s="442"/>
      <c r="I112" s="443">
        <f t="shared" si="19"/>
        <v>19063</v>
      </c>
      <c r="J112" s="467">
        <f t="shared" si="20"/>
        <v>0.78588529197460189</v>
      </c>
      <c r="K112" s="443">
        <f t="shared" si="21"/>
        <v>22.800999999999998</v>
      </c>
      <c r="L112" s="503">
        <f t="shared" si="23"/>
        <v>5.3E-3</v>
      </c>
      <c r="M112" s="503"/>
    </row>
    <row r="113" spans="1:13" ht="15" customHeight="1">
      <c r="A113" s="436">
        <f t="shared" si="17"/>
        <v>2015</v>
      </c>
      <c r="B113" s="437">
        <f t="shared" si="17"/>
        <v>18986</v>
      </c>
      <c r="C113" s="506">
        <f t="shared" si="18"/>
        <v>9.8514571444417438</v>
      </c>
      <c r="D113" s="508">
        <f t="shared" si="22"/>
        <v>10</v>
      </c>
      <c r="H113" s="509"/>
      <c r="I113" s="443">
        <f t="shared" si="19"/>
        <v>19163</v>
      </c>
      <c r="J113" s="467">
        <f t="shared" si="20"/>
        <v>0.93226588012219525</v>
      </c>
      <c r="K113" s="443">
        <f t="shared" si="21"/>
        <v>31.329000000000001</v>
      </c>
      <c r="L113" s="503">
        <f t="shared" si="23"/>
        <v>5.1999999999999998E-3</v>
      </c>
      <c r="M113" s="503"/>
    </row>
    <row r="114" spans="1:13" ht="15" customHeight="1" thickBot="1">
      <c r="A114" s="436">
        <f t="shared" si="17"/>
        <v>2016</v>
      </c>
      <c r="B114" s="437">
        <f t="shared" si="17"/>
        <v>19057</v>
      </c>
      <c r="C114" s="506">
        <f t="shared" si="18"/>
        <v>9.8551897671283761</v>
      </c>
      <c r="D114" s="508">
        <f t="shared" si="22"/>
        <v>11</v>
      </c>
      <c r="G114" s="510"/>
      <c r="H114" s="509"/>
      <c r="I114" s="443">
        <f t="shared" si="19"/>
        <v>19263</v>
      </c>
      <c r="J114" s="467">
        <f t="shared" si="20"/>
        <v>1.0809676234454531</v>
      </c>
      <c r="K114" s="443">
        <f t="shared" si="21"/>
        <v>42.436</v>
      </c>
      <c r="L114" s="503">
        <f t="shared" si="23"/>
        <v>5.1999999999999998E-3</v>
      </c>
      <c r="M114" s="503"/>
    </row>
    <row r="115" spans="1:13" ht="15" customHeight="1" thickTop="1">
      <c r="A115" s="511">
        <f t="shared" si="17"/>
        <v>2017</v>
      </c>
      <c r="B115" s="459">
        <f t="shared" ref="B115:B136" si="24">ROUND($F$111*(1+$F$112)^D115,$G$1)</f>
        <v>19364</v>
      </c>
      <c r="C115" s="512"/>
      <c r="D115" s="513">
        <f t="shared" si="22"/>
        <v>12</v>
      </c>
      <c r="E115" s="2314" t="s">
        <v>276</v>
      </c>
      <c r="F115" s="2315"/>
      <c r="G115" s="514">
        <f>I103</f>
        <v>0.75500628317100282</v>
      </c>
      <c r="H115" s="515"/>
      <c r="I115" s="464">
        <f t="shared" si="19"/>
        <v>19364</v>
      </c>
      <c r="J115" s="463"/>
      <c r="K115" s="464"/>
      <c r="L115" s="503">
        <f t="shared" si="23"/>
        <v>5.1999999999999998E-3</v>
      </c>
      <c r="M115" s="503"/>
    </row>
    <row r="116" spans="1:13" ht="15" customHeight="1">
      <c r="A116" s="436">
        <f t="shared" si="17"/>
        <v>2018</v>
      </c>
      <c r="B116" s="437">
        <f t="shared" si="24"/>
        <v>19466</v>
      </c>
      <c r="C116" s="506"/>
      <c r="D116" s="508">
        <f t="shared" si="22"/>
        <v>13</v>
      </c>
      <c r="E116" s="2318" t="s">
        <v>294</v>
      </c>
      <c r="F116" s="2320"/>
      <c r="G116" s="448">
        <f>SUM(K104:K114)</f>
        <v>339.21899999999999</v>
      </c>
      <c r="H116" s="509"/>
      <c r="I116" s="443">
        <f t="shared" si="19"/>
        <v>19466</v>
      </c>
      <c r="J116" s="467"/>
      <c r="K116" s="443"/>
      <c r="L116" s="503">
        <f t="shared" si="23"/>
        <v>5.3E-3</v>
      </c>
      <c r="M116" s="503"/>
    </row>
    <row r="117" spans="1:13" ht="15" customHeight="1">
      <c r="A117" s="436">
        <f t="shared" si="17"/>
        <v>2019</v>
      </c>
      <c r="B117" s="437">
        <f t="shared" si="24"/>
        <v>19568</v>
      </c>
      <c r="C117" s="506"/>
      <c r="D117" s="508">
        <f t="shared" si="22"/>
        <v>14</v>
      </c>
      <c r="E117" s="2318" t="s">
        <v>278</v>
      </c>
      <c r="F117" s="2320"/>
      <c r="G117" s="449">
        <f>SUM(J104:J114)/D114</f>
        <v>0.78506558449267205</v>
      </c>
      <c r="H117" s="509"/>
      <c r="I117" s="443">
        <f t="shared" si="19"/>
        <v>19568</v>
      </c>
      <c r="J117" s="467"/>
      <c r="K117" s="443"/>
      <c r="L117" s="503">
        <f t="shared" si="23"/>
        <v>5.1999999999999998E-3</v>
      </c>
      <c r="M117" s="503"/>
    </row>
    <row r="118" spans="1:13" ht="15" customHeight="1">
      <c r="A118" s="436">
        <f t="shared" si="17"/>
        <v>2020</v>
      </c>
      <c r="B118" s="437">
        <f t="shared" si="24"/>
        <v>19670</v>
      </c>
      <c r="C118" s="506"/>
      <c r="D118" s="508">
        <f t="shared" si="22"/>
        <v>15</v>
      </c>
      <c r="H118" s="509"/>
      <c r="I118" s="443">
        <f t="shared" si="19"/>
        <v>19670</v>
      </c>
      <c r="J118" s="467"/>
      <c r="K118" s="443"/>
      <c r="L118" s="503">
        <f t="shared" si="23"/>
        <v>5.1999999999999998E-3</v>
      </c>
      <c r="M118" s="503"/>
    </row>
    <row r="119" spans="1:13" ht="15" customHeight="1">
      <c r="A119" s="436">
        <f t="shared" si="17"/>
        <v>2021</v>
      </c>
      <c r="B119" s="437">
        <f t="shared" si="24"/>
        <v>19774</v>
      </c>
      <c r="C119" s="506"/>
      <c r="D119" s="508">
        <f t="shared" si="22"/>
        <v>16</v>
      </c>
      <c r="E119" s="451"/>
      <c r="F119" s="451"/>
      <c r="G119" s="451"/>
      <c r="H119" s="509"/>
      <c r="I119" s="443">
        <f t="shared" si="19"/>
        <v>19774</v>
      </c>
      <c r="J119" s="467"/>
      <c r="K119" s="443"/>
      <c r="L119" s="503">
        <f t="shared" si="23"/>
        <v>5.3E-3</v>
      </c>
      <c r="M119" s="503"/>
    </row>
    <row r="120" spans="1:13" ht="15" customHeight="1">
      <c r="A120" s="436">
        <f t="shared" ref="A120:A136" si="25">A81</f>
        <v>2022</v>
      </c>
      <c r="B120" s="437">
        <f t="shared" si="24"/>
        <v>19877</v>
      </c>
      <c r="C120" s="506"/>
      <c r="D120" s="508">
        <f t="shared" si="22"/>
        <v>17</v>
      </c>
      <c r="E120" s="516"/>
      <c r="F120" s="517"/>
      <c r="G120" s="509"/>
      <c r="H120" s="509"/>
      <c r="I120" s="443">
        <f t="shared" si="19"/>
        <v>19877</v>
      </c>
      <c r="J120" s="467"/>
      <c r="K120" s="443"/>
      <c r="L120" s="503">
        <f t="shared" si="23"/>
        <v>5.1999999999999998E-3</v>
      </c>
      <c r="M120" s="503"/>
    </row>
    <row r="121" spans="1:13" ht="15" customHeight="1">
      <c r="A121" s="436">
        <f t="shared" si="25"/>
        <v>2023</v>
      </c>
      <c r="B121" s="437">
        <f t="shared" si="24"/>
        <v>19982</v>
      </c>
      <c r="C121" s="506"/>
      <c r="D121" s="508">
        <f t="shared" si="22"/>
        <v>18</v>
      </c>
      <c r="E121" s="509"/>
      <c r="F121" s="509"/>
      <c r="G121" s="518"/>
      <c r="H121" s="509"/>
      <c r="I121" s="443">
        <f t="shared" si="19"/>
        <v>19982</v>
      </c>
      <c r="J121" s="467"/>
      <c r="K121" s="443"/>
      <c r="L121" s="503">
        <f t="shared" si="23"/>
        <v>5.3E-3</v>
      </c>
      <c r="M121" s="503"/>
    </row>
    <row r="122" spans="1:13" s="451" customFormat="1" ht="15" customHeight="1">
      <c r="A122" s="436">
        <f t="shared" si="25"/>
        <v>2024</v>
      </c>
      <c r="B122" s="437">
        <f t="shared" si="24"/>
        <v>20086</v>
      </c>
      <c r="C122" s="506"/>
      <c r="D122" s="508">
        <f t="shared" si="22"/>
        <v>19</v>
      </c>
      <c r="G122" s="518"/>
      <c r="H122" s="509"/>
      <c r="I122" s="443">
        <f t="shared" si="19"/>
        <v>20086</v>
      </c>
      <c r="J122" s="467"/>
      <c r="K122" s="443"/>
      <c r="L122" s="503">
        <f t="shared" si="23"/>
        <v>5.1999999999999998E-3</v>
      </c>
      <c r="M122" s="503"/>
    </row>
    <row r="123" spans="1:13" ht="15" customHeight="1">
      <c r="A123" s="436">
        <f t="shared" si="25"/>
        <v>2025</v>
      </c>
      <c r="B123" s="437">
        <f t="shared" si="24"/>
        <v>20192</v>
      </c>
      <c r="C123" s="506"/>
      <c r="D123" s="508">
        <f t="shared" si="22"/>
        <v>20</v>
      </c>
      <c r="E123" s="519"/>
      <c r="F123" s="451"/>
      <c r="G123" s="451"/>
      <c r="H123" s="451"/>
      <c r="I123" s="443">
        <f t="shared" si="19"/>
        <v>20192</v>
      </c>
      <c r="J123" s="467"/>
      <c r="K123" s="443"/>
      <c r="L123" s="503">
        <f t="shared" si="23"/>
        <v>5.3E-3</v>
      </c>
      <c r="M123" s="503"/>
    </row>
    <row r="124" spans="1:13" s="451" customFormat="1" ht="15" customHeight="1">
      <c r="A124" s="436">
        <f t="shared" si="25"/>
        <v>2026</v>
      </c>
      <c r="B124" s="437">
        <f t="shared" si="24"/>
        <v>20298</v>
      </c>
      <c r="C124" s="506"/>
      <c r="D124" s="508">
        <f t="shared" si="22"/>
        <v>21</v>
      </c>
      <c r="E124" s="519"/>
      <c r="I124" s="443">
        <f t="shared" si="19"/>
        <v>20298</v>
      </c>
      <c r="J124" s="467"/>
      <c r="K124" s="443"/>
      <c r="L124" s="503">
        <f t="shared" si="23"/>
        <v>5.1999999999999998E-3</v>
      </c>
      <c r="M124" s="503"/>
    </row>
    <row r="125" spans="1:13" s="451" customFormat="1" ht="15" customHeight="1">
      <c r="A125" s="436">
        <f t="shared" si="25"/>
        <v>2027</v>
      </c>
      <c r="B125" s="437">
        <f t="shared" si="24"/>
        <v>20404</v>
      </c>
      <c r="C125" s="506"/>
      <c r="D125" s="508">
        <f t="shared" si="22"/>
        <v>22</v>
      </c>
      <c r="E125" s="519"/>
      <c r="I125" s="443">
        <f t="shared" si="19"/>
        <v>20404</v>
      </c>
      <c r="J125" s="467"/>
      <c r="K125" s="443"/>
      <c r="L125" s="503">
        <f t="shared" si="23"/>
        <v>5.1999999999999998E-3</v>
      </c>
      <c r="M125" s="503"/>
    </row>
    <row r="126" spans="1:13" ht="15" customHeight="1">
      <c r="A126" s="436">
        <f t="shared" si="25"/>
        <v>2028</v>
      </c>
      <c r="B126" s="437">
        <f t="shared" si="24"/>
        <v>20511</v>
      </c>
      <c r="C126" s="520"/>
      <c r="D126" s="508">
        <f t="shared" si="22"/>
        <v>23</v>
      </c>
      <c r="E126" s="521"/>
      <c r="F126" s="468"/>
      <c r="G126" s="451"/>
      <c r="H126" s="451"/>
      <c r="I126" s="443">
        <f t="shared" si="19"/>
        <v>20511</v>
      </c>
      <c r="J126" s="469"/>
      <c r="K126" s="469"/>
      <c r="L126" s="503">
        <f t="shared" si="23"/>
        <v>5.1999999999999998E-3</v>
      </c>
      <c r="M126" s="503"/>
    </row>
    <row r="127" spans="1:13" ht="15" customHeight="1">
      <c r="A127" s="436">
        <f t="shared" si="25"/>
        <v>2029</v>
      </c>
      <c r="B127" s="437">
        <f t="shared" si="24"/>
        <v>20619</v>
      </c>
      <c r="C127" s="520"/>
      <c r="D127" s="508">
        <f t="shared" si="22"/>
        <v>24</v>
      </c>
      <c r="E127" s="521"/>
      <c r="F127" s="468"/>
      <c r="G127" s="451"/>
      <c r="H127" s="451"/>
      <c r="I127" s="443">
        <f t="shared" si="19"/>
        <v>20619</v>
      </c>
      <c r="J127" s="469"/>
      <c r="K127" s="469"/>
      <c r="L127" s="503">
        <f t="shared" si="23"/>
        <v>5.3E-3</v>
      </c>
      <c r="M127" s="503"/>
    </row>
    <row r="128" spans="1:13" ht="15" customHeight="1">
      <c r="A128" s="436">
        <f t="shared" si="25"/>
        <v>2030</v>
      </c>
      <c r="B128" s="437">
        <f t="shared" si="24"/>
        <v>20727</v>
      </c>
      <c r="C128" s="520"/>
      <c r="D128" s="508">
        <f t="shared" si="22"/>
        <v>25</v>
      </c>
      <c r="E128" s="521"/>
      <c r="F128" s="468"/>
      <c r="G128" s="451"/>
      <c r="H128" s="451"/>
      <c r="I128" s="443">
        <f t="shared" si="19"/>
        <v>20727</v>
      </c>
      <c r="J128" s="469"/>
      <c r="K128" s="469"/>
      <c r="L128" s="503">
        <f t="shared" si="23"/>
        <v>5.1999999999999998E-3</v>
      </c>
      <c r="M128" s="503"/>
    </row>
    <row r="129" spans="1:102" ht="15" customHeight="1">
      <c r="A129" s="436">
        <f t="shared" si="25"/>
        <v>2031</v>
      </c>
      <c r="B129" s="437">
        <f t="shared" si="24"/>
        <v>20835</v>
      </c>
      <c r="C129" s="520"/>
      <c r="D129" s="508">
        <f t="shared" si="22"/>
        <v>26</v>
      </c>
      <c r="E129" s="521"/>
      <c r="F129" s="468"/>
      <c r="G129" s="451"/>
      <c r="H129" s="451"/>
      <c r="I129" s="443">
        <f t="shared" si="19"/>
        <v>20835</v>
      </c>
      <c r="J129" s="469"/>
      <c r="K129" s="469"/>
      <c r="L129" s="503">
        <f t="shared" si="23"/>
        <v>5.1999999999999998E-3</v>
      </c>
      <c r="M129" s="503"/>
    </row>
    <row r="130" spans="1:102" ht="15" customHeight="1">
      <c r="A130" s="436">
        <f t="shared" si="25"/>
        <v>2032</v>
      </c>
      <c r="B130" s="437">
        <f t="shared" si="24"/>
        <v>20945</v>
      </c>
      <c r="C130" s="520"/>
      <c r="D130" s="508">
        <f t="shared" si="22"/>
        <v>27</v>
      </c>
      <c r="E130" s="521"/>
      <c r="F130" s="468"/>
      <c r="G130" s="451"/>
      <c r="H130" s="451"/>
      <c r="I130" s="443">
        <f t="shared" si="19"/>
        <v>20945</v>
      </c>
      <c r="J130" s="469"/>
      <c r="K130" s="469"/>
      <c r="L130" s="503">
        <f t="shared" si="23"/>
        <v>5.3E-3</v>
      </c>
      <c r="M130" s="503"/>
    </row>
    <row r="131" spans="1:102" ht="15" customHeight="1">
      <c r="A131" s="436">
        <f t="shared" si="25"/>
        <v>2033</v>
      </c>
      <c r="B131" s="437">
        <f t="shared" si="24"/>
        <v>21054</v>
      </c>
      <c r="C131" s="520"/>
      <c r="D131" s="508">
        <f t="shared" si="22"/>
        <v>28</v>
      </c>
      <c r="E131" s="521"/>
      <c r="F131" s="468"/>
      <c r="G131" s="451"/>
      <c r="H131" s="451"/>
      <c r="I131" s="443">
        <f t="shared" si="19"/>
        <v>21054</v>
      </c>
      <c r="J131" s="469"/>
      <c r="K131" s="469"/>
      <c r="L131" s="503">
        <f t="shared" si="23"/>
        <v>5.1999999999999998E-3</v>
      </c>
      <c r="M131" s="503"/>
    </row>
    <row r="132" spans="1:102" ht="15" customHeight="1">
      <c r="A132" s="436">
        <f t="shared" si="25"/>
        <v>2034</v>
      </c>
      <c r="B132" s="437">
        <f t="shared" si="24"/>
        <v>21165</v>
      </c>
      <c r="C132" s="520"/>
      <c r="D132" s="508">
        <f t="shared" si="22"/>
        <v>29</v>
      </c>
      <c r="E132" s="521"/>
      <c r="F132" s="468"/>
      <c r="G132" s="451"/>
      <c r="H132" s="451"/>
      <c r="I132" s="443">
        <f t="shared" si="19"/>
        <v>21165</v>
      </c>
      <c r="J132" s="469"/>
      <c r="K132" s="469"/>
      <c r="L132" s="503">
        <f t="shared" si="23"/>
        <v>5.3E-3</v>
      </c>
      <c r="M132" s="503"/>
    </row>
    <row r="133" spans="1:102" ht="15" customHeight="1">
      <c r="A133" s="522">
        <f t="shared" si="25"/>
        <v>2035</v>
      </c>
      <c r="B133" s="523">
        <f t="shared" si="24"/>
        <v>21276</v>
      </c>
      <c r="C133" s="524"/>
      <c r="D133" s="525">
        <f t="shared" si="22"/>
        <v>30</v>
      </c>
      <c r="E133" s="526"/>
      <c r="F133" s="527"/>
      <c r="G133" s="426"/>
      <c r="H133" s="426"/>
      <c r="I133" s="528">
        <f t="shared" si="19"/>
        <v>21276</v>
      </c>
      <c r="J133" s="529"/>
      <c r="K133" s="529"/>
      <c r="L133" s="503">
        <f t="shared" si="23"/>
        <v>5.1999999999999998E-3</v>
      </c>
      <c r="M133" s="503"/>
    </row>
    <row r="134" spans="1:102" ht="15" customHeight="1">
      <c r="A134" s="522">
        <f t="shared" si="25"/>
        <v>2036</v>
      </c>
      <c r="B134" s="523">
        <f t="shared" si="24"/>
        <v>21387</v>
      </c>
      <c r="C134" s="524"/>
      <c r="D134" s="525">
        <f t="shared" si="22"/>
        <v>31</v>
      </c>
      <c r="E134" s="526"/>
      <c r="F134" s="527"/>
      <c r="G134" s="426"/>
      <c r="H134" s="426"/>
      <c r="I134" s="528">
        <f t="shared" si="19"/>
        <v>21387</v>
      </c>
      <c r="J134" s="529"/>
      <c r="K134" s="529"/>
      <c r="L134" s="503">
        <f t="shared" si="23"/>
        <v>5.1999999999999998E-3</v>
      </c>
      <c r="M134" s="503"/>
    </row>
    <row r="135" spans="1:102" ht="15" customHeight="1">
      <c r="A135" s="522">
        <f t="shared" si="25"/>
        <v>2037</v>
      </c>
      <c r="B135" s="523">
        <f t="shared" si="24"/>
        <v>21500</v>
      </c>
      <c r="C135" s="524"/>
      <c r="D135" s="525">
        <f t="shared" si="22"/>
        <v>32</v>
      </c>
      <c r="E135" s="526"/>
      <c r="F135" s="527"/>
      <c r="G135" s="426"/>
      <c r="H135" s="426"/>
      <c r="I135" s="528">
        <f t="shared" si="19"/>
        <v>21500</v>
      </c>
      <c r="J135" s="529"/>
      <c r="K135" s="529"/>
      <c r="L135" s="503">
        <f t="shared" si="23"/>
        <v>5.3E-3</v>
      </c>
      <c r="M135" s="503"/>
    </row>
    <row r="136" spans="1:102" ht="15" customHeight="1">
      <c r="A136" s="522">
        <f t="shared" si="25"/>
        <v>2038</v>
      </c>
      <c r="B136" s="523">
        <f t="shared" si="24"/>
        <v>21612</v>
      </c>
      <c r="C136" s="524"/>
      <c r="D136" s="525">
        <f t="shared" si="22"/>
        <v>33</v>
      </c>
      <c r="E136" s="526"/>
      <c r="F136" s="527"/>
      <c r="G136" s="426"/>
      <c r="H136" s="426"/>
      <c r="I136" s="528">
        <f t="shared" si="19"/>
        <v>21612</v>
      </c>
      <c r="J136" s="529"/>
      <c r="K136" s="529"/>
      <c r="L136" s="503">
        <f t="shared" si="23"/>
        <v>5.1999999999999998E-3</v>
      </c>
      <c r="M136" s="503"/>
    </row>
    <row r="137" spans="1:102" ht="15" customHeight="1">
      <c r="A137" s="491"/>
      <c r="B137" s="492"/>
      <c r="C137" s="451"/>
      <c r="D137" s="439"/>
      <c r="E137" s="530"/>
      <c r="F137" s="468"/>
      <c r="G137" s="451"/>
      <c r="H137" s="451"/>
      <c r="I137" s="492"/>
      <c r="J137" s="493"/>
      <c r="K137" s="493"/>
      <c r="L137" s="503"/>
      <c r="M137" s="503"/>
    </row>
    <row r="138" spans="1:102" ht="15" customHeight="1">
      <c r="A138" s="491"/>
      <c r="B138" s="492"/>
      <c r="C138" s="451"/>
      <c r="D138" s="439"/>
      <c r="E138" s="530"/>
      <c r="F138" s="468"/>
      <c r="G138" s="451"/>
      <c r="H138" s="451"/>
      <c r="I138" s="492"/>
      <c r="J138" s="493"/>
      <c r="K138" s="493"/>
      <c r="L138" s="503"/>
      <c r="M138" s="503"/>
    </row>
    <row r="139" spans="1:102" ht="15" customHeight="1">
      <c r="A139" s="491"/>
      <c r="B139" s="493"/>
      <c r="C139" s="451"/>
      <c r="D139" s="439"/>
      <c r="E139" s="530"/>
      <c r="F139" s="468"/>
      <c r="G139" s="451"/>
      <c r="H139" s="451"/>
      <c r="I139" s="531"/>
      <c r="J139" s="531"/>
    </row>
    <row r="140" spans="1:102" ht="15" customHeight="1">
      <c r="A140" s="424" t="s">
        <v>307</v>
      </c>
    </row>
    <row r="141" spans="1:102" ht="15" customHeight="1">
      <c r="A141" s="427" t="s">
        <v>264</v>
      </c>
      <c r="B141" s="428" t="s">
        <v>286</v>
      </c>
      <c r="C141" s="429" t="s">
        <v>308</v>
      </c>
      <c r="D141" s="429" t="s">
        <v>287</v>
      </c>
      <c r="E141" s="429" t="s">
        <v>309</v>
      </c>
      <c r="F141" s="496"/>
      <c r="G141" s="430"/>
      <c r="H141" s="432" t="s">
        <v>288</v>
      </c>
      <c r="I141" s="433">
        <f>RSQ(I142:I152,B142:B152)</f>
        <v>0.81118237227314416</v>
      </c>
      <c r="J141" s="434" t="s">
        <v>289</v>
      </c>
      <c r="K141" s="435" t="s">
        <v>290</v>
      </c>
      <c r="M141" s="532" t="s">
        <v>308</v>
      </c>
      <c r="N141" s="431"/>
      <c r="O141" s="432" t="s">
        <v>288</v>
      </c>
      <c r="P141" s="433">
        <f>RSQ($B142:$B152,Q142:Q152)</f>
        <v>0.80960389125291998</v>
      </c>
      <c r="Q141" s="434" t="s">
        <v>310</v>
      </c>
      <c r="R141" s="435" t="s">
        <v>290</v>
      </c>
      <c r="T141" s="532" t="s">
        <v>308</v>
      </c>
      <c r="U141" s="431"/>
      <c r="V141" s="432" t="s">
        <v>288</v>
      </c>
      <c r="W141" s="433">
        <f>RSQ($B142:$B152,X142:X152)</f>
        <v>0.81042098538058061</v>
      </c>
      <c r="X141" s="434" t="s">
        <v>310</v>
      </c>
      <c r="Y141" s="435" t="s">
        <v>290</v>
      </c>
      <c r="AA141" s="532" t="s">
        <v>308</v>
      </c>
      <c r="AB141" s="431"/>
      <c r="AC141" s="432" t="s">
        <v>288</v>
      </c>
      <c r="AD141" s="433">
        <f>RSQ($B142:$B152,AE142:AE152)</f>
        <v>0.81078901181327212</v>
      </c>
      <c r="AE141" s="434" t="s">
        <v>310</v>
      </c>
      <c r="AF141" s="435" t="s">
        <v>290</v>
      </c>
      <c r="AH141" s="532" t="s">
        <v>308</v>
      </c>
      <c r="AI141" s="431"/>
      <c r="AJ141" s="432" t="s">
        <v>288</v>
      </c>
      <c r="AK141" s="433">
        <f>RSQ($B142:$B152,AL142:AL152)</f>
        <v>0.80848444299828859</v>
      </c>
      <c r="AL141" s="434" t="s">
        <v>310</v>
      </c>
      <c r="AM141" s="435" t="s">
        <v>290</v>
      </c>
      <c r="AO141" s="532" t="s">
        <v>308</v>
      </c>
      <c r="AP141" s="431"/>
      <c r="AQ141" s="432" t="s">
        <v>288</v>
      </c>
      <c r="AR141" s="433">
        <f>RSQ($B142:$B152,AS142:AS152)</f>
        <v>0.81118237227314416</v>
      </c>
      <c r="AS141" s="434" t="s">
        <v>310</v>
      </c>
      <c r="AT141" s="435" t="s">
        <v>290</v>
      </c>
      <c r="AV141" s="532" t="s">
        <v>308</v>
      </c>
      <c r="AW141" s="431"/>
      <c r="AX141" s="432" t="s">
        <v>288</v>
      </c>
      <c r="AY141" s="433">
        <f>RSQ($B142:$B152,AZ142:AZ152)</f>
        <v>0.81077630483957652</v>
      </c>
      <c r="AZ141" s="434" t="s">
        <v>310</v>
      </c>
      <c r="BA141" s="435" t="s">
        <v>290</v>
      </c>
      <c r="BC141" s="532" t="s">
        <v>308</v>
      </c>
      <c r="BD141" s="431"/>
      <c r="BE141" s="432" t="s">
        <v>288</v>
      </c>
      <c r="BF141" s="433">
        <f>RSQ($B142:$B152,BG142:BG152)</f>
        <v>0.81047198818498589</v>
      </c>
      <c r="BG141" s="434" t="s">
        <v>310</v>
      </c>
      <c r="BH141" s="435" t="s">
        <v>290</v>
      </c>
      <c r="BJ141" s="532" t="s">
        <v>308</v>
      </c>
      <c r="BK141" s="431"/>
      <c r="BL141" s="432" t="s">
        <v>288</v>
      </c>
      <c r="BM141" s="433">
        <f>RSQ($B142:$B152,BN142:BN152)</f>
        <v>0.81084609823375142</v>
      </c>
      <c r="BN141" s="434" t="s">
        <v>310</v>
      </c>
      <c r="BO141" s="435" t="s">
        <v>290</v>
      </c>
      <c r="BQ141" s="532" t="s">
        <v>308</v>
      </c>
      <c r="BR141" s="431"/>
      <c r="BS141" s="432" t="s">
        <v>288</v>
      </c>
      <c r="BT141" s="433">
        <f>RSQ($B142:$B152,BU142:BU152)</f>
        <v>0.81094764342444703</v>
      </c>
      <c r="BU141" s="434" t="s">
        <v>310</v>
      </c>
      <c r="BV141" s="435" t="s">
        <v>290</v>
      </c>
      <c r="BX141" s="532" t="s">
        <v>308</v>
      </c>
      <c r="BY141" s="431"/>
      <c r="BZ141" s="432" t="s">
        <v>288</v>
      </c>
      <c r="CA141" s="433">
        <f>RSQ($B142:$B152,CB142:CB152)</f>
        <v>0.81095100581877533</v>
      </c>
      <c r="CB141" s="434" t="s">
        <v>310</v>
      </c>
      <c r="CC141" s="435" t="s">
        <v>290</v>
      </c>
      <c r="CE141" s="532" t="s">
        <v>308</v>
      </c>
      <c r="CF141" s="431"/>
      <c r="CG141" s="432" t="s">
        <v>288</v>
      </c>
      <c r="CH141" s="433">
        <f>RSQ($B142:$B152,CI142:CI152)</f>
        <v>0.81086459135994005</v>
      </c>
      <c r="CI141" s="434" t="s">
        <v>310</v>
      </c>
      <c r="CJ141" s="435" t="s">
        <v>290</v>
      </c>
      <c r="CL141" s="532" t="s">
        <v>308</v>
      </c>
      <c r="CM141" s="431"/>
      <c r="CN141" s="432" t="s">
        <v>288</v>
      </c>
      <c r="CO141" s="433">
        <f>RSQ($B142:$B152,CP142:CP152)</f>
        <v>0.81086459135994005</v>
      </c>
      <c r="CP141" s="434" t="s">
        <v>310</v>
      </c>
      <c r="CQ141" s="435" t="s">
        <v>290</v>
      </c>
      <c r="CS141" s="532" t="s">
        <v>308</v>
      </c>
      <c r="CT141" s="431"/>
      <c r="CU141" s="432" t="s">
        <v>288</v>
      </c>
      <c r="CV141" s="433">
        <f>RSQ($B142:$B152,CW142:CW152)</f>
        <v>0.81096111146754579</v>
      </c>
      <c r="CW141" s="434" t="s">
        <v>310</v>
      </c>
      <c r="CX141" s="435" t="s">
        <v>290</v>
      </c>
    </row>
    <row r="142" spans="1:102" ht="15" customHeight="1">
      <c r="A142" s="436">
        <f t="shared" ref="A142:B157" si="26">A104</f>
        <v>2006</v>
      </c>
      <c r="B142" s="437">
        <f t="shared" si="26"/>
        <v>18154</v>
      </c>
      <c r="C142" s="533">
        <f>LN(B142-$G$147)</f>
        <v>7.1340937211928663</v>
      </c>
      <c r="D142" s="438">
        <f t="shared" ref="D142:D174" si="27">C65</f>
        <v>1</v>
      </c>
      <c r="E142" s="534">
        <f>LN(D142)</f>
        <v>0</v>
      </c>
      <c r="F142" s="498" t="s">
        <v>311</v>
      </c>
      <c r="I142" s="502">
        <f t="shared" ref="I142:I174" si="28">ROUND($G$147+$G$150*D142^$G$148,$G$1)</f>
        <v>18112</v>
      </c>
      <c r="J142" s="444">
        <f t="shared" ref="J142:J152" si="29">ABS(B142-I142)/B142*100</f>
        <v>0.23135397157651205</v>
      </c>
      <c r="K142" s="535">
        <f>(B142-I142)^2/1000</f>
        <v>1.764</v>
      </c>
      <c r="M142" s="536">
        <f>LN($B142-$O$144)</f>
        <v>7.675081857716334</v>
      </c>
      <c r="N142" s="331"/>
      <c r="O142" s="331"/>
      <c r="P142" s="331"/>
      <c r="Q142" s="443">
        <f t="shared" ref="Q142:Q152" si="30">ROUND($O$147*D142^$O$145+$O$144,$G$1)</f>
        <v>18095</v>
      </c>
      <c r="R142" s="502">
        <f t="shared" ref="R142:R152" si="31">($B142-Q142)^2/1000</f>
        <v>3.4809999999999999</v>
      </c>
      <c r="T142" s="536">
        <f>LN($B142-$V$144)</f>
        <v>7.4109518755836366</v>
      </c>
      <c r="U142" s="331"/>
      <c r="V142" s="331"/>
      <c r="W142" s="331"/>
      <c r="X142" s="443">
        <f t="shared" ref="X142:X152" si="32">ROUND($V$147*D142^$V$145+$V$144,$G$1)</f>
        <v>18103</v>
      </c>
      <c r="Y142" s="502">
        <f t="shared" ref="Y142:Y152" si="33">($B142-X142)^2/1000</f>
        <v>2.601</v>
      </c>
      <c r="AA142" s="536">
        <f>LN($B142-$AC$144)</f>
        <v>7.0509894470680452</v>
      </c>
      <c r="AB142" s="331"/>
      <c r="AC142" s="331"/>
      <c r="AD142" s="331"/>
      <c r="AE142" s="443">
        <f t="shared" ref="AE142:AE152" si="34">ROUND($AC$147*$D142^$AC$145+$AC$144,$G$1)</f>
        <v>18115</v>
      </c>
      <c r="AF142" s="502">
        <f t="shared" ref="AF142:AF152" si="35">($B142-AE142)^2/1000</f>
        <v>1.5209999999999999</v>
      </c>
      <c r="AH142" s="536">
        <f>LN($B142-$AJ$144)</f>
        <v>6.4831073514571989</v>
      </c>
      <c r="AI142" s="331"/>
      <c r="AJ142" s="331"/>
      <c r="AK142" s="331"/>
      <c r="AL142" s="443">
        <f t="shared" ref="AL142:AL152" si="36">ROUND($AJ$147*$D142^$AJ$145+$AJ$144,$G$1)</f>
        <v>18134</v>
      </c>
      <c r="AM142" s="502">
        <f t="shared" ref="AM142:AM152" si="37">($B142-AL142)^2/1000</f>
        <v>0.4</v>
      </c>
      <c r="AO142" s="536">
        <f>LN($B142-$AQ$144)</f>
        <v>7.1340937211928663</v>
      </c>
      <c r="AP142" s="331"/>
      <c r="AQ142" s="331"/>
      <c r="AR142" s="331"/>
      <c r="AS142" s="443">
        <f t="shared" ref="AS142:AS152" si="38">ROUND($AQ$147*$D142^$AQ$145+$AQ$144,$G$1)</f>
        <v>18112</v>
      </c>
      <c r="AT142" s="502">
        <f t="shared" ref="AT142:AT152" si="39">($B142-AS142)^2/1000</f>
        <v>1.764</v>
      </c>
      <c r="AV142" s="536">
        <f>LN($B142-$AX$144)</f>
        <v>7.2108184534722204</v>
      </c>
      <c r="AW142" s="331"/>
      <c r="AX142" s="331"/>
      <c r="AY142" s="331"/>
      <c r="AZ142" s="443">
        <f t="shared" ref="AZ142:AZ152" si="40">ROUND($AX$147*$D142^$AX$145+$AX$144,$G$1)</f>
        <v>18109</v>
      </c>
      <c r="BA142" s="502">
        <f t="shared" ref="BA142:BA152" si="41">($B142-AZ142)^2/1000</f>
        <v>2.0249999999999999</v>
      </c>
      <c r="BC142" s="536">
        <f>LN($B142-$BE$144)</f>
        <v>7.2820736580934646</v>
      </c>
      <c r="BD142" s="331"/>
      <c r="BE142" s="331"/>
      <c r="BF142" s="331"/>
      <c r="BG142" s="443">
        <f t="shared" ref="BG142:BG152" si="42">ROUND($BE$147*$D142^$BE$145+$BE$144,$G$1)</f>
        <v>18107</v>
      </c>
      <c r="BH142" s="502">
        <f t="shared" ref="BH142:BH152" si="43">($B142-BG142)^2/1000</f>
        <v>2.2090000000000001</v>
      </c>
      <c r="BJ142" s="536">
        <f>LN($B142-$BL$144)</f>
        <v>7.0934046258687662</v>
      </c>
      <c r="BK142" s="331"/>
      <c r="BL142" s="331"/>
      <c r="BM142" s="331"/>
      <c r="BN142" s="443">
        <f t="shared" ref="BN142:BN152" si="44">ROUND($BL$147*$D142^$BL$145+$BL$144,$G$1)</f>
        <v>18113</v>
      </c>
      <c r="BO142" s="502">
        <f t="shared" ref="BO142:BO152" si="45">($B142-BN142)^2/1000</f>
        <v>1.681</v>
      </c>
      <c r="BQ142" s="536">
        <f>LN($B142-$BS$144)</f>
        <v>7.1016759716194438</v>
      </c>
      <c r="BR142" s="331"/>
      <c r="BS142" s="331"/>
      <c r="BT142" s="331"/>
      <c r="BU142" s="443">
        <f t="shared" ref="BU142:BU152" si="46">ROUND($BS$147*$D142^$BS$145+$BS$144,$G$1)</f>
        <v>18113</v>
      </c>
      <c r="BV142" s="502">
        <f t="shared" ref="BV142:BV152" si="47">($B142-BU142)^2/1000</f>
        <v>1.681</v>
      </c>
      <c r="BX142" s="536">
        <f>LN($B142-$BZ$144)</f>
        <v>7.1098794630722715</v>
      </c>
      <c r="BY142" s="331"/>
      <c r="BZ142" s="331"/>
      <c r="CA142" s="331"/>
      <c r="CB142" s="443">
        <f t="shared" ref="CB142:CB152" si="48">ROUND($BZ$147*$D142^$BZ$145+$BZ$144,$G$1)</f>
        <v>18113</v>
      </c>
      <c r="CC142" s="502">
        <f t="shared" ref="CC142:CC152" si="49">($B142-CB142)^2/1000</f>
        <v>1.681</v>
      </c>
      <c r="CE142" s="536">
        <f>LN($B142-$CG$144)</f>
        <v>7.1180162044653335</v>
      </c>
      <c r="CF142" s="331"/>
      <c r="CG142" s="331"/>
      <c r="CH142" s="331"/>
      <c r="CI142" s="443">
        <f t="shared" ref="CI142:CI152" si="50">ROUND($CG$147*$D142^$CG$145+$CG$144,$G$1)</f>
        <v>18112</v>
      </c>
      <c r="CJ142" s="502">
        <f t="shared" ref="CJ142:CJ152" si="51">($B142-CI142)^2/1000</f>
        <v>1.764</v>
      </c>
      <c r="CL142" s="536">
        <f>LN($B142-$CN$144)</f>
        <v>7.1260872732991247</v>
      </c>
      <c r="CM142" s="331"/>
      <c r="CN142" s="331"/>
      <c r="CO142" s="331"/>
      <c r="CP142" s="443">
        <f t="shared" ref="CP142:CP152" si="52">ROUND($CN$147*$D142^$CN$145+$CN$144,$G$1)</f>
        <v>18112</v>
      </c>
      <c r="CQ142" s="502">
        <f t="shared" ref="CQ142:CQ152" si="53">($B142-CP142)^2/1000</f>
        <v>1.764</v>
      </c>
      <c r="CS142" s="536">
        <f>LN($B142-$CU$144)</f>
        <v>7.1420365747068031</v>
      </c>
      <c r="CT142" s="331"/>
      <c r="CU142" s="331"/>
      <c r="CV142" s="331"/>
      <c r="CW142" s="443">
        <f t="shared" ref="CW142:CW152" si="54">ROUND($CU$147*$D142^$CU$145+$CU$144,$G$1)</f>
        <v>18112</v>
      </c>
      <c r="CX142" s="502">
        <f t="shared" ref="CX142:CX152" si="55">($B142-CW142)^2/1000</f>
        <v>1.764</v>
      </c>
    </row>
    <row r="143" spans="1:102" ht="15" customHeight="1">
      <c r="A143" s="436">
        <f t="shared" si="26"/>
        <v>2007</v>
      </c>
      <c r="B143" s="437">
        <f t="shared" si="26"/>
        <v>18414</v>
      </c>
      <c r="C143" s="533">
        <f>LN(B143-$G$147)</f>
        <v>7.3225104339973939</v>
      </c>
      <c r="D143" s="438">
        <f t="shared" si="27"/>
        <v>2</v>
      </c>
      <c r="E143" s="534">
        <f>LN(D143)</f>
        <v>0.69314718055994529</v>
      </c>
      <c r="F143" s="498"/>
      <c r="I143" s="443">
        <f t="shared" si="28"/>
        <v>18351</v>
      </c>
      <c r="J143" s="446">
        <f>ABS(B143-I143)/B143*100</f>
        <v>0.34213098729227759</v>
      </c>
      <c r="K143" s="535">
        <f>(B143-I143)^2/1000</f>
        <v>3.9689999999999999</v>
      </c>
      <c r="M143" s="536">
        <f t="shared" ref="M143:M152" si="56">LN($B143-$O$144)</f>
        <v>7.789040401657477</v>
      </c>
      <c r="N143" s="451"/>
      <c r="O143" s="451"/>
      <c r="P143" s="451"/>
      <c r="Q143" s="443">
        <f t="shared" si="30"/>
        <v>18357</v>
      </c>
      <c r="R143" s="443">
        <f t="shared" si="31"/>
        <v>3.2490000000000001</v>
      </c>
      <c r="T143" s="536">
        <f t="shared" ref="T143:T152" si="57">LN($B143-$V$144)</f>
        <v>7.5569505720128998</v>
      </c>
      <c r="U143" s="451"/>
      <c r="V143" s="451"/>
      <c r="W143" s="451"/>
      <c r="X143" s="443">
        <f t="shared" si="32"/>
        <v>18354</v>
      </c>
      <c r="Y143" s="443">
        <f t="shared" si="33"/>
        <v>3.6</v>
      </c>
      <c r="AA143" s="536">
        <f t="shared" ref="AA143:AA152" si="58">LN($B143-$AC$144)</f>
        <v>7.2541778464565176</v>
      </c>
      <c r="AB143" s="451"/>
      <c r="AC143" s="451"/>
      <c r="AD143" s="451"/>
      <c r="AE143" s="443">
        <f t="shared" si="34"/>
        <v>18350</v>
      </c>
      <c r="AF143" s="443">
        <f t="shared" si="35"/>
        <v>4.0960000000000001</v>
      </c>
      <c r="AH143" s="536">
        <f t="shared" ref="AH143:AH152" si="59">LN($B143-$AJ$144)</f>
        <v>6.8178305714541496</v>
      </c>
      <c r="AI143" s="451"/>
      <c r="AJ143" s="451"/>
      <c r="AK143" s="451"/>
      <c r="AL143" s="443">
        <f t="shared" si="36"/>
        <v>18341</v>
      </c>
      <c r="AM143" s="443">
        <f t="shared" si="37"/>
        <v>5.3289999999999997</v>
      </c>
      <c r="AO143" s="536">
        <f t="shared" ref="AO143:AO152" si="60">LN($B143-$AQ$144)</f>
        <v>7.3225104339973939</v>
      </c>
      <c r="AP143" s="451"/>
      <c r="AQ143" s="451"/>
      <c r="AR143" s="451"/>
      <c r="AS143" s="443">
        <f t="shared" si="38"/>
        <v>18351</v>
      </c>
      <c r="AT143" s="443">
        <f t="shared" si="39"/>
        <v>3.9689999999999999</v>
      </c>
      <c r="AV143" s="536">
        <f t="shared" ref="AV143:AV152" si="61">LN($B143-$AX$144)</f>
        <v>7.3864708488298945</v>
      </c>
      <c r="AW143" s="451"/>
      <c r="AX143" s="451"/>
      <c r="AY143" s="451"/>
      <c r="AZ143" s="443">
        <f t="shared" si="40"/>
        <v>18352</v>
      </c>
      <c r="BA143" s="443">
        <f t="shared" si="41"/>
        <v>3.8439999999999999</v>
      </c>
      <c r="BC143" s="536">
        <f t="shared" ref="BC143:BC152" si="62">LN($B143-$BE$144)</f>
        <v>7.4465850991577254</v>
      </c>
      <c r="BD143" s="451"/>
      <c r="BE143" s="451"/>
      <c r="BF143" s="451"/>
      <c r="BG143" s="443">
        <f t="shared" si="42"/>
        <v>18353</v>
      </c>
      <c r="BH143" s="443">
        <f t="shared" si="43"/>
        <v>3.7210000000000001</v>
      </c>
      <c r="BJ143" s="536">
        <f t="shared" ref="BJ143:BJ152" si="63">LN($B143-$BL$144)</f>
        <v>7.2889276945212567</v>
      </c>
      <c r="BK143" s="451"/>
      <c r="BL143" s="451"/>
      <c r="BM143" s="451"/>
      <c r="BN143" s="443">
        <f t="shared" si="44"/>
        <v>18351</v>
      </c>
      <c r="BO143" s="443">
        <f t="shared" si="45"/>
        <v>3.9689999999999999</v>
      </c>
      <c r="BQ143" s="536">
        <f t="shared" ref="BQ143:BQ152" si="64">LN($B143-$BS$144)</f>
        <v>7.2957350727492818</v>
      </c>
      <c r="BR143" s="451"/>
      <c r="BS143" s="451"/>
      <c r="BT143" s="451"/>
      <c r="BU143" s="443">
        <f t="shared" si="46"/>
        <v>18351</v>
      </c>
      <c r="BV143" s="443">
        <f t="shared" si="47"/>
        <v>3.9689999999999999</v>
      </c>
      <c r="BX143" s="536">
        <f t="shared" ref="BX143:BX152" si="65">LN($B143-$BZ$144)</f>
        <v>7.3024964237273258</v>
      </c>
      <c r="BY143" s="451"/>
      <c r="BZ143" s="451"/>
      <c r="CA143" s="451"/>
      <c r="CB143" s="443">
        <f t="shared" si="48"/>
        <v>18351</v>
      </c>
      <c r="CC143" s="443">
        <f t="shared" si="49"/>
        <v>3.9689999999999999</v>
      </c>
      <c r="CE143" s="536">
        <f t="shared" ref="CE143:CE152" si="66">LN($B143-$CG$144)</f>
        <v>7.3092123656927628</v>
      </c>
      <c r="CF143" s="451"/>
      <c r="CG143" s="451"/>
      <c r="CH143" s="451"/>
      <c r="CI143" s="443">
        <f t="shared" si="50"/>
        <v>18351</v>
      </c>
      <c r="CJ143" s="443">
        <f t="shared" si="51"/>
        <v>3.9689999999999999</v>
      </c>
      <c r="CL143" s="536">
        <f t="shared" ref="CL143:CL152" si="67">LN($B143-$CN$144)</f>
        <v>7.3158835045097854</v>
      </c>
      <c r="CM143" s="451"/>
      <c r="CN143" s="451"/>
      <c r="CO143" s="451"/>
      <c r="CP143" s="443">
        <f t="shared" si="52"/>
        <v>18351</v>
      </c>
      <c r="CQ143" s="443">
        <f t="shared" si="53"/>
        <v>3.9689999999999999</v>
      </c>
      <c r="CS143" s="536">
        <f t="shared" ref="CS143:CS152" si="68">LN($B143-$CU$144)</f>
        <v>7.329093736246592</v>
      </c>
      <c r="CT143" s="451"/>
      <c r="CU143" s="451"/>
      <c r="CV143" s="451"/>
      <c r="CW143" s="443">
        <f t="shared" si="54"/>
        <v>18351</v>
      </c>
      <c r="CX143" s="443">
        <f t="shared" si="55"/>
        <v>3.9689999999999999</v>
      </c>
    </row>
    <row r="144" spans="1:102" ht="15" customHeight="1">
      <c r="A144" s="436">
        <f t="shared" si="26"/>
        <v>2008</v>
      </c>
      <c r="B144" s="437">
        <f t="shared" si="26"/>
        <v>18251</v>
      </c>
      <c r="C144" s="533">
        <f>LN(B144-$G$147)</f>
        <v>7.2086003379601991</v>
      </c>
      <c r="D144" s="438">
        <f t="shared" si="27"/>
        <v>3</v>
      </c>
      <c r="E144" s="534">
        <f>LN(D144)</f>
        <v>1.0986122886681098</v>
      </c>
      <c r="F144" s="498" t="s">
        <v>312</v>
      </c>
      <c r="I144" s="443">
        <f t="shared" si="28"/>
        <v>18512</v>
      </c>
      <c r="J144" s="446">
        <f>ABS(B144-I144)/B144*100</f>
        <v>1.4300586269245521</v>
      </c>
      <c r="K144" s="535">
        <f>(B144-I144)^2/1000</f>
        <v>68.120999999999995</v>
      </c>
      <c r="M144" s="536">
        <f t="shared" si="56"/>
        <v>7.7191298409067324</v>
      </c>
      <c r="N144" s="442" t="s">
        <v>313</v>
      </c>
      <c r="O144" s="537">
        <f>F159</f>
        <v>16000</v>
      </c>
      <c r="P144" s="451"/>
      <c r="Q144" s="443">
        <f t="shared" si="30"/>
        <v>18525</v>
      </c>
      <c r="R144" s="443">
        <f t="shared" si="31"/>
        <v>75.075999999999993</v>
      </c>
      <c r="T144" s="536">
        <f t="shared" si="57"/>
        <v>7.467942332285852</v>
      </c>
      <c r="U144" s="442" t="s">
        <v>313</v>
      </c>
      <c r="V144" s="538">
        <f>F160</f>
        <v>16500</v>
      </c>
      <c r="W144" s="451"/>
      <c r="X144" s="443">
        <f t="shared" si="32"/>
        <v>18519</v>
      </c>
      <c r="Y144" s="443">
        <f t="shared" si="33"/>
        <v>71.823999999999998</v>
      </c>
      <c r="AA144" s="536">
        <f t="shared" si="58"/>
        <v>7.1316985104669115</v>
      </c>
      <c r="AB144" s="442" t="s">
        <v>313</v>
      </c>
      <c r="AC144" s="538">
        <f>F161</f>
        <v>17000</v>
      </c>
      <c r="AD144" s="451"/>
      <c r="AE144" s="443">
        <f t="shared" si="34"/>
        <v>18510</v>
      </c>
      <c r="AF144" s="443">
        <f t="shared" si="35"/>
        <v>67.081000000000003</v>
      </c>
      <c r="AH144" s="536">
        <f t="shared" si="59"/>
        <v>6.6214056517641344</v>
      </c>
      <c r="AI144" s="442" t="s">
        <v>313</v>
      </c>
      <c r="AJ144" s="538">
        <f>F162</f>
        <v>17500</v>
      </c>
      <c r="AK144" s="451"/>
      <c r="AL144" s="443">
        <f t="shared" si="36"/>
        <v>18492</v>
      </c>
      <c r="AM144" s="443">
        <f t="shared" si="37"/>
        <v>58.081000000000003</v>
      </c>
      <c r="AO144" s="536">
        <f t="shared" si="60"/>
        <v>7.2086003379601991</v>
      </c>
      <c r="AP144" s="442" t="s">
        <v>313</v>
      </c>
      <c r="AQ144" s="538">
        <f>F163</f>
        <v>16900</v>
      </c>
      <c r="AR144" s="451"/>
      <c r="AS144" s="443">
        <f t="shared" si="38"/>
        <v>18512</v>
      </c>
      <c r="AT144" s="443">
        <f t="shared" si="39"/>
        <v>68.120999999999995</v>
      </c>
      <c r="AV144" s="536">
        <f t="shared" si="61"/>
        <v>7.2800082528841878</v>
      </c>
      <c r="AW144" s="442" t="s">
        <v>313</v>
      </c>
      <c r="AX144" s="538">
        <f>F164</f>
        <v>16800</v>
      </c>
      <c r="AY144" s="538"/>
      <c r="AZ144" s="443">
        <f t="shared" si="40"/>
        <v>18515</v>
      </c>
      <c r="BA144" s="443">
        <f t="shared" si="41"/>
        <v>69.695999999999998</v>
      </c>
      <c r="BC144" s="536">
        <f t="shared" si="62"/>
        <v>7.3466551631765391</v>
      </c>
      <c r="BD144" s="442" t="s">
        <v>313</v>
      </c>
      <c r="BE144" s="538">
        <f>F165</f>
        <v>16700</v>
      </c>
      <c r="BF144" s="451"/>
      <c r="BG144" s="443">
        <f t="shared" si="42"/>
        <v>18516</v>
      </c>
      <c r="BH144" s="443">
        <f t="shared" si="43"/>
        <v>70.224999999999994</v>
      </c>
      <c r="BJ144" s="536">
        <f t="shared" si="63"/>
        <v>7.1708884785125049</v>
      </c>
      <c r="BK144" s="442" t="s">
        <v>313</v>
      </c>
      <c r="BL144" s="538">
        <f>F166</f>
        <v>16950</v>
      </c>
      <c r="BM144" s="451"/>
      <c r="BN144" s="443">
        <f t="shared" si="44"/>
        <v>18511</v>
      </c>
      <c r="BO144" s="443">
        <f t="shared" si="45"/>
        <v>67.599999999999994</v>
      </c>
      <c r="BQ144" s="536">
        <f t="shared" si="64"/>
        <v>7.1785454837636999</v>
      </c>
      <c r="BR144" s="442" t="s">
        <v>313</v>
      </c>
      <c r="BS144" s="538">
        <f>F167</f>
        <v>16940</v>
      </c>
      <c r="BT144" s="451"/>
      <c r="BU144" s="443">
        <f t="shared" si="46"/>
        <v>18512</v>
      </c>
      <c r="BV144" s="443">
        <f t="shared" si="47"/>
        <v>68.120999999999995</v>
      </c>
      <c r="BX144" s="536">
        <f t="shared" si="65"/>
        <v>7.1861443045223252</v>
      </c>
      <c r="BY144" s="442" t="s">
        <v>313</v>
      </c>
      <c r="BZ144" s="538">
        <f>F168</f>
        <v>16930</v>
      </c>
      <c r="CA144" s="451"/>
      <c r="CB144" s="443">
        <f t="shared" si="48"/>
        <v>18512</v>
      </c>
      <c r="CC144" s="443">
        <f t="shared" si="49"/>
        <v>68.120999999999995</v>
      </c>
      <c r="CE144" s="536">
        <f t="shared" si="66"/>
        <v>7.193685818395112</v>
      </c>
      <c r="CF144" s="442" t="s">
        <v>313</v>
      </c>
      <c r="CG144" s="538">
        <f>F169</f>
        <v>16920</v>
      </c>
      <c r="CH144" s="451"/>
      <c r="CI144" s="443">
        <f t="shared" si="50"/>
        <v>18512</v>
      </c>
      <c r="CJ144" s="443">
        <f t="shared" si="51"/>
        <v>68.120999999999995</v>
      </c>
      <c r="CL144" s="536">
        <f t="shared" si="67"/>
        <v>7.2011708832816783</v>
      </c>
      <c r="CM144" s="442" t="s">
        <v>313</v>
      </c>
      <c r="CN144" s="538">
        <f>F170</f>
        <v>16910</v>
      </c>
      <c r="CO144" s="451"/>
      <c r="CP144" s="443">
        <f t="shared" si="52"/>
        <v>18512</v>
      </c>
      <c r="CQ144" s="443">
        <f t="shared" si="53"/>
        <v>68.120999999999995</v>
      </c>
      <c r="CS144" s="536">
        <f t="shared" si="68"/>
        <v>7.215975002651466</v>
      </c>
      <c r="CT144" s="442" t="s">
        <v>313</v>
      </c>
      <c r="CU144" s="538">
        <f>F171</f>
        <v>16890</v>
      </c>
      <c r="CV144" s="451"/>
      <c r="CW144" s="443">
        <f t="shared" si="54"/>
        <v>18513</v>
      </c>
      <c r="CX144" s="443">
        <f t="shared" si="55"/>
        <v>68.644000000000005</v>
      </c>
    </row>
    <row r="145" spans="1:102" ht="15" customHeight="1">
      <c r="A145" s="436">
        <f t="shared" si="26"/>
        <v>2009</v>
      </c>
      <c r="B145" s="437">
        <f t="shared" si="26"/>
        <v>18588</v>
      </c>
      <c r="C145" s="533">
        <f t="shared" ref="C145:C152" si="69">LN(B145-$G$147)</f>
        <v>7.4312996751559028</v>
      </c>
      <c r="D145" s="438">
        <f t="shared" si="27"/>
        <v>4</v>
      </c>
      <c r="E145" s="534">
        <f t="shared" ref="E145:E152" si="70">LN(D145)</f>
        <v>1.3862943611198906</v>
      </c>
      <c r="F145" s="451" t="s">
        <v>346</v>
      </c>
      <c r="G145" s="539"/>
      <c r="H145" s="439"/>
      <c r="I145" s="443">
        <f t="shared" si="28"/>
        <v>18638</v>
      </c>
      <c r="J145" s="446">
        <f>ABS(B145-I145)/B145*100</f>
        <v>0.26899074671831291</v>
      </c>
      <c r="K145" s="535">
        <f t="shared" ref="K145:K152" si="71">(B145-I145)^2/1000</f>
        <v>2.5</v>
      </c>
      <c r="M145" s="536">
        <f t="shared" si="56"/>
        <v>7.8586406556207908</v>
      </c>
      <c r="N145" s="442" t="s">
        <v>306</v>
      </c>
      <c r="O145" s="504">
        <f>INDEX(LINEST(M142:M152,$E142:$E152),1)</f>
        <v>0.16980174293474917</v>
      </c>
      <c r="Q145" s="443">
        <f t="shared" si="30"/>
        <v>18652</v>
      </c>
      <c r="R145" s="443">
        <f t="shared" si="31"/>
        <v>4.0960000000000001</v>
      </c>
      <c r="T145" s="536">
        <f t="shared" si="57"/>
        <v>7.643961949002529</v>
      </c>
      <c r="U145" s="442" t="s">
        <v>306</v>
      </c>
      <c r="V145" s="504">
        <f>INDEX(LINEST(T142:T152,$E142:$E152),1)</f>
        <v>0.21019805873757114</v>
      </c>
      <c r="X145" s="443">
        <f t="shared" si="32"/>
        <v>18645</v>
      </c>
      <c r="Y145" s="443">
        <f t="shared" si="33"/>
        <v>3.2490000000000001</v>
      </c>
      <c r="AA145" s="536">
        <f t="shared" si="58"/>
        <v>7.3702306418070807</v>
      </c>
      <c r="AB145" s="442" t="s">
        <v>306</v>
      </c>
      <c r="AC145" s="504">
        <f>INDEX(LINEST(AA142:AA152,$E142:$E152),1)</f>
        <v>0.27648661538732261</v>
      </c>
      <c r="AE145" s="443">
        <f t="shared" si="34"/>
        <v>18635</v>
      </c>
      <c r="AF145" s="443">
        <f t="shared" si="35"/>
        <v>2.2090000000000001</v>
      </c>
      <c r="AH145" s="536">
        <f t="shared" si="59"/>
        <v>6.9920964274158877</v>
      </c>
      <c r="AI145" s="442" t="s">
        <v>306</v>
      </c>
      <c r="AJ145" s="504">
        <f>INDEX(LINEST(AH142:AH152,$E142:$E152),1)</f>
        <v>0.40748427627382655</v>
      </c>
      <c r="AL145" s="443">
        <f t="shared" si="36"/>
        <v>18615</v>
      </c>
      <c r="AM145" s="443">
        <f t="shared" si="37"/>
        <v>0.72899999999999998</v>
      </c>
      <c r="AO145" s="536">
        <f t="shared" si="60"/>
        <v>7.4312996751559028</v>
      </c>
      <c r="AP145" s="442" t="s">
        <v>306</v>
      </c>
      <c r="AQ145" s="504">
        <f>INDEX(LINEST(AO142:AO152,$E142:$E152),1)</f>
        <v>0.26000837509285601</v>
      </c>
      <c r="AS145" s="443">
        <f t="shared" si="38"/>
        <v>18638</v>
      </c>
      <c r="AT145" s="443">
        <f t="shared" si="39"/>
        <v>2.5</v>
      </c>
      <c r="AV145" s="536">
        <f t="shared" si="61"/>
        <v>7.4888529557334591</v>
      </c>
      <c r="AW145" s="442" t="s">
        <v>306</v>
      </c>
      <c r="AX145" s="504">
        <f>INDEX(LINEST(AV142:AV152,$E142:$E152),1)</f>
        <v>0.24542267791404807</v>
      </c>
      <c r="AZ145" s="443">
        <f t="shared" si="40"/>
        <v>18640</v>
      </c>
      <c r="BA145" s="443">
        <f t="shared" si="41"/>
        <v>2.7040000000000002</v>
      </c>
      <c r="BC145" s="536">
        <f t="shared" si="62"/>
        <v>7.5432733467054458</v>
      </c>
      <c r="BD145" s="442" t="s">
        <v>306</v>
      </c>
      <c r="BE145" s="504">
        <f>INDEX(LINEST(BC142:BC152,$E142:$E152),1)</f>
        <v>0.23241552394619858</v>
      </c>
      <c r="BG145" s="443">
        <f t="shared" si="42"/>
        <v>18642</v>
      </c>
      <c r="BH145" s="443">
        <f t="shared" si="43"/>
        <v>2.9159999999999999</v>
      </c>
      <c r="BJ145" s="536">
        <f t="shared" si="63"/>
        <v>7.4012312644130152</v>
      </c>
      <c r="BK145" s="442" t="s">
        <v>306</v>
      </c>
      <c r="BL145" s="504">
        <f>INDEX(LINEST(BJ142:BJ152,$E142:$E152),1)</f>
        <v>0.26798807851196466</v>
      </c>
      <c r="BN145" s="443">
        <f t="shared" si="44"/>
        <v>18636</v>
      </c>
      <c r="BO145" s="443">
        <f t="shared" si="45"/>
        <v>2.3039999999999998</v>
      </c>
      <c r="BQ145" s="536">
        <f t="shared" si="64"/>
        <v>7.4073177104694174</v>
      </c>
      <c r="BR145" s="442" t="s">
        <v>306</v>
      </c>
      <c r="BS145" s="504">
        <f>INDEX(LINEST(BQ142:BQ152,$E142:$E152),1)</f>
        <v>0.26635222752407423</v>
      </c>
      <c r="BU145" s="443">
        <f t="shared" si="46"/>
        <v>18637</v>
      </c>
      <c r="BV145" s="443">
        <f t="shared" si="47"/>
        <v>2.4009999999999998</v>
      </c>
      <c r="BX145" s="536">
        <f t="shared" si="65"/>
        <v>7.4133673356952405</v>
      </c>
      <c r="BY145" s="442" t="s">
        <v>306</v>
      </c>
      <c r="BZ145" s="504">
        <f>INDEX(LINEST(BX142:BX152,$E142:$E152),1)</f>
        <v>0.26473671257770998</v>
      </c>
      <c r="CB145" s="443">
        <f t="shared" si="48"/>
        <v>18637</v>
      </c>
      <c r="CC145" s="443">
        <f t="shared" si="49"/>
        <v>2.4009999999999998</v>
      </c>
      <c r="CE145" s="536">
        <f t="shared" si="66"/>
        <v>7.4193805829186923</v>
      </c>
      <c r="CF145" s="442" t="s">
        <v>306</v>
      </c>
      <c r="CG145" s="504">
        <f>INDEX(LINEST(CE142:CE152,$E142:$E152),1)</f>
        <v>0.26314114785746795</v>
      </c>
      <c r="CI145" s="443">
        <f t="shared" si="50"/>
        <v>18637</v>
      </c>
      <c r="CJ145" s="443">
        <f t="shared" si="51"/>
        <v>2.4009999999999998</v>
      </c>
      <c r="CL145" s="536">
        <f t="shared" si="67"/>
        <v>7.4253578870271513</v>
      </c>
      <c r="CM145" s="442" t="s">
        <v>306</v>
      </c>
      <c r="CN145" s="504">
        <f>INDEX(LINEST(CL142:CL152,$E142:$E152),1)</f>
        <v>0.26156515746440373</v>
      </c>
      <c r="CP145" s="443">
        <f t="shared" si="52"/>
        <v>18637</v>
      </c>
      <c r="CQ145" s="443">
        <f t="shared" si="53"/>
        <v>2.4009999999999998</v>
      </c>
      <c r="CS145" s="536">
        <f t="shared" si="68"/>
        <v>7.4372063668712922</v>
      </c>
      <c r="CT145" s="442" t="s">
        <v>306</v>
      </c>
      <c r="CU145" s="504">
        <f>INDEX(LINEST(CS142:CS152,$E142:$E152),1)</f>
        <v>0.25847044372006939</v>
      </c>
      <c r="CW145" s="443">
        <f t="shared" si="54"/>
        <v>18638</v>
      </c>
      <c r="CX145" s="443">
        <f t="shared" si="55"/>
        <v>2.5</v>
      </c>
    </row>
    <row r="146" spans="1:102" ht="15" customHeight="1">
      <c r="A146" s="436">
        <f t="shared" si="26"/>
        <v>2010</v>
      </c>
      <c r="B146" s="437">
        <f t="shared" si="26"/>
        <v>19021</v>
      </c>
      <c r="C146" s="533">
        <f t="shared" si="69"/>
        <v>7.6596429545646822</v>
      </c>
      <c r="D146" s="438">
        <f t="shared" si="27"/>
        <v>5</v>
      </c>
      <c r="E146" s="534">
        <f t="shared" si="70"/>
        <v>1.6094379124341003</v>
      </c>
      <c r="I146" s="443">
        <f t="shared" si="28"/>
        <v>18742</v>
      </c>
      <c r="J146" s="446">
        <f>ABS(B146-I146)/B146*100</f>
        <v>1.46679985279428</v>
      </c>
      <c r="K146" s="443">
        <f t="shared" si="71"/>
        <v>77.840999999999994</v>
      </c>
      <c r="M146" s="536">
        <f t="shared" si="56"/>
        <v>8.0133431813866718</v>
      </c>
      <c r="N146" s="442" t="s">
        <v>301</v>
      </c>
      <c r="O146" s="442" t="s">
        <v>347</v>
      </c>
      <c r="P146" s="504">
        <f>INDEX(LINEST(M142:M152,$E142:$E152),2)</f>
        <v>7.647512710942034</v>
      </c>
      <c r="Q146" s="443">
        <f t="shared" si="30"/>
        <v>18754</v>
      </c>
      <c r="R146" s="443">
        <f t="shared" si="31"/>
        <v>71.289000000000001</v>
      </c>
      <c r="T146" s="536">
        <f t="shared" si="57"/>
        <v>7.8324109271879196</v>
      </c>
      <c r="U146" s="442" t="s">
        <v>301</v>
      </c>
      <c r="V146" s="442" t="s">
        <v>347</v>
      </c>
      <c r="W146" s="504">
        <f>INDEX(LINEST(T142:T152,$E142:$E152),2)</f>
        <v>7.379668616122065</v>
      </c>
      <c r="X146" s="443">
        <f t="shared" si="32"/>
        <v>18748</v>
      </c>
      <c r="Y146" s="443">
        <f t="shared" si="33"/>
        <v>74.528999999999996</v>
      </c>
      <c r="AA146" s="536">
        <f t="shared" si="58"/>
        <v>7.6113477174036213</v>
      </c>
      <c r="AB146" s="442" t="s">
        <v>301</v>
      </c>
      <c r="AC146" s="442" t="s">
        <v>347</v>
      </c>
      <c r="AD146" s="504">
        <f>INDEX(LINEST(AA142:AA152,$E142:$E152),2)</f>
        <v>7.0162174024937718</v>
      </c>
      <c r="AE146" s="443">
        <f t="shared" si="34"/>
        <v>18739</v>
      </c>
      <c r="AF146" s="443">
        <f t="shared" si="35"/>
        <v>79.524000000000001</v>
      </c>
      <c r="AH146" s="536">
        <f t="shared" si="59"/>
        <v>7.3271232922592926</v>
      </c>
      <c r="AI146" s="442" t="s">
        <v>301</v>
      </c>
      <c r="AJ146" s="442" t="s">
        <v>347</v>
      </c>
      <c r="AK146" s="504">
        <f>INDEX(LINEST(AH142:AH152,$E142:$E152),2)</f>
        <v>6.4517721967612847</v>
      </c>
      <c r="AL146" s="443">
        <f t="shared" si="36"/>
        <v>18721</v>
      </c>
      <c r="AM146" s="443">
        <f t="shared" si="37"/>
        <v>90</v>
      </c>
      <c r="AO146" s="536">
        <f t="shared" si="60"/>
        <v>7.6596429545646822</v>
      </c>
      <c r="AP146" s="442" t="s">
        <v>301</v>
      </c>
      <c r="AQ146" s="442" t="s">
        <v>347</v>
      </c>
      <c r="AR146" s="504">
        <f>INDEX(LINEST(AO142:AO152,$E142:$E152),2)</f>
        <v>7.0998770026301363</v>
      </c>
      <c r="AS146" s="443">
        <f t="shared" si="38"/>
        <v>18742</v>
      </c>
      <c r="AT146" s="443">
        <f t="shared" si="39"/>
        <v>77.840999999999994</v>
      </c>
      <c r="AV146" s="536">
        <f t="shared" si="61"/>
        <v>7.7057128238944275</v>
      </c>
      <c r="AW146" s="442" t="s">
        <v>301</v>
      </c>
      <c r="AX146" s="442" t="s">
        <v>347</v>
      </c>
      <c r="AY146" s="504">
        <f>INDEX(LINEST(AV142:AV152,$E142:$E152),2)</f>
        <v>7.1772675460044546</v>
      </c>
      <c r="AZ146" s="443">
        <f t="shared" si="40"/>
        <v>18744</v>
      </c>
      <c r="BA146" s="443">
        <f t="shared" si="41"/>
        <v>76.728999999999999</v>
      </c>
      <c r="BC146" s="536">
        <f t="shared" si="62"/>
        <v>7.7497534062744373</v>
      </c>
      <c r="BD146" s="442" t="s">
        <v>301</v>
      </c>
      <c r="BE146" s="442" t="s">
        <v>347</v>
      </c>
      <c r="BF146" s="504">
        <f>INDEX(LINEST(BC142:BC152,$E142:$E152),2)</f>
        <v>7.2492524791542241</v>
      </c>
      <c r="BG146" s="443">
        <f t="shared" si="42"/>
        <v>18745</v>
      </c>
      <c r="BH146" s="443">
        <f t="shared" si="43"/>
        <v>76.176000000000002</v>
      </c>
      <c r="BJ146" s="536">
        <f t="shared" si="63"/>
        <v>7.6357868613955846</v>
      </c>
      <c r="BK146" s="442" t="s">
        <v>301</v>
      </c>
      <c r="BL146" s="442" t="s">
        <v>347</v>
      </c>
      <c r="BM146" s="504">
        <f>INDEX(LINEST(BJ142:BJ152,$E142:$E152),2)</f>
        <v>7.0588927027204624</v>
      </c>
      <c r="BN146" s="443">
        <f t="shared" si="44"/>
        <v>18740</v>
      </c>
      <c r="BO146" s="443">
        <f t="shared" si="45"/>
        <v>78.960999999999999</v>
      </c>
      <c r="BQ146" s="536">
        <f t="shared" si="64"/>
        <v>7.640603826393634</v>
      </c>
      <c r="BR146" s="442" t="s">
        <v>301</v>
      </c>
      <c r="BS146" s="442" t="s">
        <v>347</v>
      </c>
      <c r="BT146" s="504">
        <f>INDEX(LINEST(BQ142:BQ152,$E142:$E152),2)</f>
        <v>7.067220557568664</v>
      </c>
      <c r="BU146" s="443">
        <f t="shared" si="46"/>
        <v>18741</v>
      </c>
      <c r="BV146" s="443">
        <f t="shared" si="47"/>
        <v>78.400000000000006</v>
      </c>
      <c r="BX146" s="536">
        <f t="shared" si="65"/>
        <v>7.6453976994286332</v>
      </c>
      <c r="BY146" s="442" t="s">
        <v>301</v>
      </c>
      <c r="BZ146" s="442" t="s">
        <v>347</v>
      </c>
      <c r="CA146" s="504">
        <f>INDEX(LINEST(BX142:BX152,$E142:$E152),2)</f>
        <v>7.0754818876907404</v>
      </c>
      <c r="CB146" s="443">
        <f t="shared" si="48"/>
        <v>18741</v>
      </c>
      <c r="CC146" s="443">
        <f t="shared" si="49"/>
        <v>78.400000000000006</v>
      </c>
      <c r="CE146" s="536">
        <f t="shared" si="66"/>
        <v>7.6501687008450006</v>
      </c>
      <c r="CF146" s="442" t="s">
        <v>301</v>
      </c>
      <c r="CG146" s="442" t="s">
        <v>347</v>
      </c>
      <c r="CH146" s="504">
        <f>INDEX(LINEST(CE142:CE152,$E142:$E152),2)</f>
        <v>7.0836777323256568</v>
      </c>
      <c r="CI146" s="443">
        <f t="shared" si="50"/>
        <v>18741</v>
      </c>
      <c r="CJ146" s="443">
        <f t="shared" si="51"/>
        <v>78.400000000000006</v>
      </c>
      <c r="CL146" s="536">
        <f t="shared" si="67"/>
        <v>7.6549170478483202</v>
      </c>
      <c r="CM146" s="442" t="s">
        <v>301</v>
      </c>
      <c r="CN146" s="442" t="s">
        <v>347</v>
      </c>
      <c r="CO146" s="504">
        <f>INDEX(LINEST(CL142:CL152,$E142:$E152),2)</f>
        <v>7.0918091066733364</v>
      </c>
      <c r="CP146" s="443">
        <f t="shared" si="52"/>
        <v>18741</v>
      </c>
      <c r="CQ146" s="443">
        <f t="shared" si="53"/>
        <v>78.400000000000006</v>
      </c>
      <c r="CS146" s="536">
        <f t="shared" si="68"/>
        <v>7.6643466320986171</v>
      </c>
      <c r="CT146" s="442" t="s">
        <v>301</v>
      </c>
      <c r="CU146" s="442" t="s">
        <v>347</v>
      </c>
      <c r="CV146" s="504">
        <f>INDEX(LINEST(CS142:CS152,$E142:$E152),2)</f>
        <v>7.1078823894963099</v>
      </c>
      <c r="CW146" s="443">
        <f t="shared" si="54"/>
        <v>18742</v>
      </c>
      <c r="CX146" s="443">
        <f t="shared" si="55"/>
        <v>77.840999999999994</v>
      </c>
    </row>
    <row r="147" spans="1:102" ht="15" customHeight="1">
      <c r="A147" s="436">
        <f t="shared" si="26"/>
        <v>2011</v>
      </c>
      <c r="B147" s="437">
        <f t="shared" si="26"/>
        <v>18690</v>
      </c>
      <c r="C147" s="533">
        <f t="shared" si="69"/>
        <v>7.4899708988348008</v>
      </c>
      <c r="D147" s="438">
        <f t="shared" si="27"/>
        <v>6</v>
      </c>
      <c r="E147" s="534">
        <f t="shared" si="70"/>
        <v>1.791759469228055</v>
      </c>
      <c r="F147" s="540" t="s">
        <v>313</v>
      </c>
      <c r="G147" s="541">
        <f>INDEX(F159:L171,MATCH(1,L159:L171,0),1)</f>
        <v>16900</v>
      </c>
      <c r="H147" s="439"/>
      <c r="I147" s="443">
        <f t="shared" si="28"/>
        <v>18831</v>
      </c>
      <c r="J147" s="446">
        <f t="shared" si="29"/>
        <v>0.75441412520064211</v>
      </c>
      <c r="K147" s="443">
        <f t="shared" si="71"/>
        <v>19.881</v>
      </c>
      <c r="M147" s="536">
        <f t="shared" si="56"/>
        <v>7.897296472595885</v>
      </c>
      <c r="N147" s="442" t="s">
        <v>305</v>
      </c>
      <c r="O147" s="542">
        <f>EXP(P146)</f>
        <v>2095.4271691810868</v>
      </c>
      <c r="P147" s="451"/>
      <c r="Q147" s="443">
        <f t="shared" si="30"/>
        <v>18841</v>
      </c>
      <c r="R147" s="443">
        <f t="shared" si="31"/>
        <v>22.800999999999998</v>
      </c>
      <c r="T147" s="536">
        <f t="shared" si="57"/>
        <v>7.6916568228105469</v>
      </c>
      <c r="U147" s="442" t="s">
        <v>305</v>
      </c>
      <c r="V147" s="542">
        <f>EXP(W146)</f>
        <v>1603.0584520762345</v>
      </c>
      <c r="W147" s="504"/>
      <c r="X147" s="443">
        <f t="shared" si="32"/>
        <v>18836</v>
      </c>
      <c r="Y147" s="443">
        <f t="shared" si="33"/>
        <v>21.315999999999999</v>
      </c>
      <c r="AA147" s="536">
        <f t="shared" si="58"/>
        <v>7.4324838079171194</v>
      </c>
      <c r="AB147" s="442" t="s">
        <v>305</v>
      </c>
      <c r="AC147" s="542">
        <f>EXP(AD146)</f>
        <v>1114.562692018003</v>
      </c>
      <c r="AD147" s="451"/>
      <c r="AE147" s="443">
        <f t="shared" si="34"/>
        <v>18829</v>
      </c>
      <c r="AF147" s="443">
        <f t="shared" si="35"/>
        <v>19.321000000000002</v>
      </c>
      <c r="AH147" s="536">
        <f t="shared" si="59"/>
        <v>7.0817085861055746</v>
      </c>
      <c r="AI147" s="442" t="s">
        <v>305</v>
      </c>
      <c r="AJ147" s="542">
        <f>EXP(AK146)</f>
        <v>633.82455991176857</v>
      </c>
      <c r="AK147" s="451"/>
      <c r="AL147" s="443">
        <f t="shared" si="36"/>
        <v>18815</v>
      </c>
      <c r="AM147" s="443">
        <f t="shared" si="37"/>
        <v>15.625</v>
      </c>
      <c r="AO147" s="536">
        <f t="shared" si="60"/>
        <v>7.4899708988348008</v>
      </c>
      <c r="AP147" s="442" t="s">
        <v>305</v>
      </c>
      <c r="AQ147" s="542">
        <f>EXP(AR146)</f>
        <v>1211.8180148972099</v>
      </c>
      <c r="AR147" s="451"/>
      <c r="AS147" s="443">
        <f t="shared" si="38"/>
        <v>18831</v>
      </c>
      <c r="AT147" s="443">
        <f t="shared" si="39"/>
        <v>19.881</v>
      </c>
      <c r="AV147" s="536">
        <f t="shared" si="61"/>
        <v>7.5443321080536885</v>
      </c>
      <c r="AW147" s="442" t="s">
        <v>305</v>
      </c>
      <c r="AX147" s="542">
        <f>EXP(AY146)</f>
        <v>1309.3256936551413</v>
      </c>
      <c r="AY147" s="451"/>
      <c r="AZ147" s="443">
        <f t="shared" si="40"/>
        <v>18832</v>
      </c>
      <c r="BA147" s="443">
        <f t="shared" si="41"/>
        <v>20.164000000000001</v>
      </c>
      <c r="BC147" s="536">
        <f t="shared" si="62"/>
        <v>7.5958899177185382</v>
      </c>
      <c r="BD147" s="442" t="s">
        <v>305</v>
      </c>
      <c r="BE147" s="542">
        <f>EXP(BF146)</f>
        <v>1407.052653795248</v>
      </c>
      <c r="BF147" s="451"/>
      <c r="BG147" s="443">
        <f t="shared" si="42"/>
        <v>18834</v>
      </c>
      <c r="BH147" s="443">
        <f t="shared" si="43"/>
        <v>20.736000000000001</v>
      </c>
      <c r="BJ147" s="536">
        <f t="shared" si="63"/>
        <v>7.461640392208575</v>
      </c>
      <c r="BK147" s="442" t="s">
        <v>305</v>
      </c>
      <c r="BL147" s="542">
        <f>EXP(BM146)</f>
        <v>1163.1564924124978</v>
      </c>
      <c r="BM147" s="451"/>
      <c r="BN147" s="443">
        <f t="shared" si="44"/>
        <v>18830</v>
      </c>
      <c r="BO147" s="443">
        <f t="shared" si="45"/>
        <v>19.600000000000001</v>
      </c>
      <c r="BQ147" s="536">
        <f t="shared" si="64"/>
        <v>7.4673710669175595</v>
      </c>
      <c r="BR147" s="442" t="s">
        <v>305</v>
      </c>
      <c r="BS147" s="542">
        <f>EXP(BT146)</f>
        <v>1172.8835373394638</v>
      </c>
      <c r="BT147" s="451"/>
      <c r="BU147" s="443">
        <f t="shared" si="46"/>
        <v>18830</v>
      </c>
      <c r="BV147" s="443">
        <f t="shared" si="47"/>
        <v>19.600000000000001</v>
      </c>
      <c r="BX147" s="536">
        <f t="shared" si="65"/>
        <v>7.4730690880321973</v>
      </c>
      <c r="BY147" s="442" t="s">
        <v>305</v>
      </c>
      <c r="BZ147" s="542">
        <f>EXP(CA146)</f>
        <v>1182.6132502841533</v>
      </c>
      <c r="CA147" s="451"/>
      <c r="CB147" s="443">
        <f t="shared" si="48"/>
        <v>18830</v>
      </c>
      <c r="CC147" s="443">
        <f t="shared" si="49"/>
        <v>19.600000000000001</v>
      </c>
      <c r="CE147" s="536">
        <f t="shared" si="66"/>
        <v>7.4787348255678747</v>
      </c>
      <c r="CF147" s="442" t="s">
        <v>359</v>
      </c>
      <c r="CG147" s="542">
        <f>EXP(CH146)</f>
        <v>1192.3455926514221</v>
      </c>
      <c r="CH147" s="451"/>
      <c r="CI147" s="443">
        <f t="shared" si="50"/>
        <v>18831</v>
      </c>
      <c r="CJ147" s="443">
        <f t="shared" si="51"/>
        <v>19.881</v>
      </c>
      <c r="CL147" s="536">
        <f t="shared" si="67"/>
        <v>7.4843686432861309</v>
      </c>
      <c r="CM147" s="442" t="s">
        <v>305</v>
      </c>
      <c r="CN147" s="542">
        <f>EXP(CO146)</f>
        <v>1202.0805265742476</v>
      </c>
      <c r="CO147" s="451"/>
      <c r="CP147" s="443">
        <f t="shared" si="52"/>
        <v>18831</v>
      </c>
      <c r="CQ147" s="443">
        <f t="shared" si="53"/>
        <v>19.881</v>
      </c>
      <c r="CS147" s="536">
        <f t="shared" si="68"/>
        <v>7.4955419438842563</v>
      </c>
      <c r="CT147" s="442" t="s">
        <v>305</v>
      </c>
      <c r="CU147" s="542">
        <f>EXP(CV146)</f>
        <v>1221.5580211603426</v>
      </c>
      <c r="CV147" s="451"/>
      <c r="CW147" s="443">
        <f t="shared" si="54"/>
        <v>18831</v>
      </c>
      <c r="CX147" s="443">
        <f t="shared" si="55"/>
        <v>19.881</v>
      </c>
    </row>
    <row r="148" spans="1:102" ht="15" customHeight="1">
      <c r="A148" s="436">
        <f t="shared" si="26"/>
        <v>2012</v>
      </c>
      <c r="B148" s="437">
        <f t="shared" si="26"/>
        <v>18920</v>
      </c>
      <c r="C148" s="533">
        <f t="shared" si="69"/>
        <v>7.6108527903952501</v>
      </c>
      <c r="D148" s="438">
        <f t="shared" si="27"/>
        <v>7</v>
      </c>
      <c r="E148" s="534">
        <f t="shared" si="70"/>
        <v>1.9459101490553132</v>
      </c>
      <c r="F148" s="540" t="s">
        <v>306</v>
      </c>
      <c r="G148" s="504">
        <f>INDEX(LINEST(C142:C152,E142:E152),1)</f>
        <v>0.26000837509285601</v>
      </c>
      <c r="H148" s="439"/>
      <c r="I148" s="443">
        <f t="shared" si="28"/>
        <v>18910</v>
      </c>
      <c r="J148" s="446">
        <f t="shared" si="29"/>
        <v>5.2854122621564484E-2</v>
      </c>
      <c r="K148" s="443">
        <f t="shared" si="71"/>
        <v>0.1</v>
      </c>
      <c r="M148" s="536">
        <f t="shared" si="56"/>
        <v>7.9793388952623276</v>
      </c>
      <c r="Q148" s="443">
        <f t="shared" si="30"/>
        <v>18916</v>
      </c>
      <c r="R148" s="443">
        <f t="shared" si="31"/>
        <v>1.6E-2</v>
      </c>
      <c r="T148" s="536">
        <f t="shared" si="57"/>
        <v>7.7915228191507317</v>
      </c>
      <c r="W148" s="451"/>
      <c r="X148" s="443">
        <f t="shared" si="32"/>
        <v>18913</v>
      </c>
      <c r="Y148" s="443">
        <f t="shared" si="33"/>
        <v>4.9000000000000002E-2</v>
      </c>
      <c r="AA148" s="536">
        <f t="shared" si="58"/>
        <v>7.5600804650218274</v>
      </c>
      <c r="AD148" s="451"/>
      <c r="AE148" s="443">
        <f t="shared" si="34"/>
        <v>18909</v>
      </c>
      <c r="AF148" s="443">
        <f t="shared" si="35"/>
        <v>0.121</v>
      </c>
      <c r="AH148" s="536">
        <f t="shared" si="59"/>
        <v>7.2584121505953068</v>
      </c>
      <c r="AK148" s="451"/>
      <c r="AL148" s="443">
        <f t="shared" si="36"/>
        <v>18901</v>
      </c>
      <c r="AM148" s="443">
        <f t="shared" si="37"/>
        <v>0.36099999999999999</v>
      </c>
      <c r="AO148" s="536">
        <f t="shared" si="60"/>
        <v>7.6108527903952501</v>
      </c>
      <c r="AR148" s="451"/>
      <c r="AS148" s="443">
        <f t="shared" si="38"/>
        <v>18910</v>
      </c>
      <c r="AT148" s="443">
        <f t="shared" si="39"/>
        <v>0.1</v>
      </c>
      <c r="AV148" s="536">
        <f t="shared" si="61"/>
        <v>7.6591713676660582</v>
      </c>
      <c r="AY148" s="451"/>
      <c r="AZ148" s="443">
        <f t="shared" si="40"/>
        <v>18911</v>
      </c>
      <c r="BA148" s="443">
        <f t="shared" si="41"/>
        <v>8.1000000000000003E-2</v>
      </c>
      <c r="BC148" s="536">
        <f t="shared" si="62"/>
        <v>7.7052624748663252</v>
      </c>
      <c r="BF148" s="451"/>
      <c r="BG148" s="443">
        <f t="shared" si="42"/>
        <v>18912</v>
      </c>
      <c r="BH148" s="443">
        <f t="shared" si="43"/>
        <v>6.4000000000000001E-2</v>
      </c>
      <c r="BJ148" s="536">
        <f t="shared" si="63"/>
        <v>7.5857888217320344</v>
      </c>
      <c r="BM148" s="451"/>
      <c r="BN148" s="443">
        <f t="shared" si="44"/>
        <v>18909</v>
      </c>
      <c r="BO148" s="443">
        <f t="shared" si="45"/>
        <v>0.121</v>
      </c>
      <c r="BQ148" s="536">
        <f t="shared" si="64"/>
        <v>7.5908521236885811</v>
      </c>
      <c r="BT148" s="451"/>
      <c r="BU148" s="443">
        <f t="shared" si="46"/>
        <v>18909</v>
      </c>
      <c r="BV148" s="443">
        <f t="shared" si="47"/>
        <v>0.121</v>
      </c>
      <c r="BX148" s="536">
        <f t="shared" si="65"/>
        <v>7.5958899177185382</v>
      </c>
      <c r="CA148" s="451"/>
      <c r="CB148" s="443">
        <f t="shared" si="48"/>
        <v>18910</v>
      </c>
      <c r="CC148" s="443">
        <f t="shared" si="49"/>
        <v>0.1</v>
      </c>
      <c r="CE148" s="536">
        <f t="shared" si="66"/>
        <v>7.6009024595420822</v>
      </c>
      <c r="CH148" s="451"/>
      <c r="CI148" s="443">
        <f t="shared" si="50"/>
        <v>18910</v>
      </c>
      <c r="CJ148" s="443">
        <f t="shared" si="51"/>
        <v>0.1</v>
      </c>
      <c r="CL148" s="536">
        <f t="shared" si="67"/>
        <v>7.6058900010531216</v>
      </c>
      <c r="CO148" s="451"/>
      <c r="CP148" s="443">
        <f t="shared" si="52"/>
        <v>18910</v>
      </c>
      <c r="CQ148" s="443">
        <f t="shared" si="53"/>
        <v>0.1</v>
      </c>
      <c r="CS148" s="536">
        <f t="shared" si="68"/>
        <v>7.6157910720358331</v>
      </c>
      <c r="CV148" s="451"/>
      <c r="CW148" s="443">
        <f t="shared" si="54"/>
        <v>18910</v>
      </c>
      <c r="CX148" s="443">
        <f t="shared" si="55"/>
        <v>0.1</v>
      </c>
    </row>
    <row r="149" spans="1:102" ht="15" customHeight="1">
      <c r="A149" s="436">
        <f t="shared" si="26"/>
        <v>2013</v>
      </c>
      <c r="B149" s="437">
        <f t="shared" si="26"/>
        <v>19167</v>
      </c>
      <c r="C149" s="533">
        <f t="shared" si="69"/>
        <v>7.726212650507529</v>
      </c>
      <c r="D149" s="438">
        <f t="shared" si="27"/>
        <v>8</v>
      </c>
      <c r="E149" s="543">
        <f t="shared" si="70"/>
        <v>2.0794415416798357</v>
      </c>
      <c r="F149" s="540" t="s">
        <v>301</v>
      </c>
      <c r="G149" s="504">
        <f>INDEX(LINEST(C142:C152,E142:E152),2)</f>
        <v>7.0998770026301363</v>
      </c>
      <c r="H149" s="544" t="s">
        <v>320</v>
      </c>
      <c r="I149" s="443">
        <f t="shared" si="28"/>
        <v>18981</v>
      </c>
      <c r="J149" s="446">
        <f t="shared" si="29"/>
        <v>0.97041790577555176</v>
      </c>
      <c r="K149" s="443">
        <f t="shared" si="71"/>
        <v>34.595999999999997</v>
      </c>
      <c r="M149" s="536">
        <f t="shared" si="56"/>
        <v>8.0605400465386392</v>
      </c>
      <c r="P149" s="451"/>
      <c r="Q149" s="443">
        <f t="shared" si="30"/>
        <v>18983</v>
      </c>
      <c r="R149" s="443">
        <f t="shared" si="31"/>
        <v>33.856000000000002</v>
      </c>
      <c r="T149" s="536">
        <f t="shared" si="57"/>
        <v>7.8887095241820147</v>
      </c>
      <c r="W149" s="451"/>
      <c r="X149" s="443">
        <f t="shared" si="32"/>
        <v>18982</v>
      </c>
      <c r="Y149" s="443">
        <f t="shared" si="33"/>
        <v>34.225000000000001</v>
      </c>
      <c r="AA149" s="536">
        <f t="shared" si="58"/>
        <v>7.6810990015363592</v>
      </c>
      <c r="AD149" s="451"/>
      <c r="AE149" s="443">
        <f t="shared" si="34"/>
        <v>18981</v>
      </c>
      <c r="AF149" s="443">
        <f t="shared" si="35"/>
        <v>34.595999999999997</v>
      </c>
      <c r="AH149" s="536">
        <f t="shared" si="59"/>
        <v>7.4187808827507942</v>
      </c>
      <c r="AK149" s="451"/>
      <c r="AL149" s="443">
        <f t="shared" si="36"/>
        <v>18979</v>
      </c>
      <c r="AM149" s="443">
        <f t="shared" si="37"/>
        <v>35.344000000000001</v>
      </c>
      <c r="AO149" s="536">
        <f t="shared" si="60"/>
        <v>7.726212650507529</v>
      </c>
      <c r="AR149" s="451"/>
      <c r="AS149" s="443">
        <f t="shared" si="38"/>
        <v>18981</v>
      </c>
      <c r="AT149" s="443">
        <f t="shared" si="39"/>
        <v>34.595999999999997</v>
      </c>
      <c r="AV149" s="536">
        <f t="shared" si="61"/>
        <v>7.7693786095139838</v>
      </c>
      <c r="AY149" s="451"/>
      <c r="AZ149" s="443">
        <f t="shared" si="40"/>
        <v>18981</v>
      </c>
      <c r="BA149" s="443">
        <f t="shared" si="41"/>
        <v>34.595999999999997</v>
      </c>
      <c r="BC149" s="536">
        <f t="shared" si="62"/>
        <v>7.8107581165293567</v>
      </c>
      <c r="BF149" s="451"/>
      <c r="BG149" s="443">
        <f t="shared" si="42"/>
        <v>18981</v>
      </c>
      <c r="BH149" s="443">
        <f t="shared" si="43"/>
        <v>34.595999999999997</v>
      </c>
      <c r="BJ149" s="536">
        <f t="shared" si="63"/>
        <v>7.7039102096163115</v>
      </c>
      <c r="BM149" s="451"/>
      <c r="BN149" s="443">
        <f t="shared" si="44"/>
        <v>18981</v>
      </c>
      <c r="BO149" s="443">
        <f t="shared" si="45"/>
        <v>34.595999999999997</v>
      </c>
      <c r="BQ149" s="536">
        <f t="shared" si="64"/>
        <v>7.7084106672573673</v>
      </c>
      <c r="BT149" s="451"/>
      <c r="BU149" s="443">
        <f t="shared" si="46"/>
        <v>18981</v>
      </c>
      <c r="BV149" s="443">
        <f t="shared" si="47"/>
        <v>34.595999999999997</v>
      </c>
      <c r="BX149" s="536">
        <f t="shared" si="65"/>
        <v>7.71289096149013</v>
      </c>
      <c r="CA149" s="451"/>
      <c r="CB149" s="443">
        <f t="shared" si="48"/>
        <v>18981</v>
      </c>
      <c r="CC149" s="443">
        <f t="shared" si="49"/>
        <v>34.595999999999997</v>
      </c>
      <c r="CE149" s="536">
        <f t="shared" si="66"/>
        <v>7.7173512721853292</v>
      </c>
      <c r="CH149" s="451"/>
      <c r="CI149" s="443">
        <f t="shared" si="50"/>
        <v>18981</v>
      </c>
      <c r="CJ149" s="443">
        <f t="shared" si="51"/>
        <v>34.595999999999997</v>
      </c>
      <c r="CL149" s="536">
        <f t="shared" si="67"/>
        <v>7.7217917768175353</v>
      </c>
      <c r="CO149" s="451"/>
      <c r="CP149" s="443">
        <f t="shared" si="52"/>
        <v>18981</v>
      </c>
      <c r="CQ149" s="443">
        <f t="shared" si="53"/>
        <v>34.595999999999997</v>
      </c>
      <c r="CS149" s="536">
        <f t="shared" si="68"/>
        <v>7.7306140660637395</v>
      </c>
      <c r="CV149" s="451"/>
      <c r="CW149" s="443">
        <f t="shared" si="54"/>
        <v>18981</v>
      </c>
      <c r="CX149" s="443">
        <f t="shared" si="55"/>
        <v>34.595999999999997</v>
      </c>
    </row>
    <row r="150" spans="1:102" ht="15" customHeight="1">
      <c r="A150" s="436">
        <f t="shared" si="26"/>
        <v>2014</v>
      </c>
      <c r="B150" s="437">
        <f t="shared" si="26"/>
        <v>19214</v>
      </c>
      <c r="C150" s="545">
        <f t="shared" si="69"/>
        <v>7.7467329077536222</v>
      </c>
      <c r="D150" s="438">
        <f t="shared" si="27"/>
        <v>9</v>
      </c>
      <c r="E150" s="546">
        <f t="shared" si="70"/>
        <v>2.1972245773362196</v>
      </c>
      <c r="F150" s="540" t="s">
        <v>305</v>
      </c>
      <c r="G150" s="547">
        <f>EXP(G149)</f>
        <v>1211.8180148972099</v>
      </c>
      <c r="I150" s="443">
        <f t="shared" si="28"/>
        <v>19046</v>
      </c>
      <c r="J150" s="467">
        <f t="shared" si="29"/>
        <v>0.87436244405121266</v>
      </c>
      <c r="K150" s="443">
        <f t="shared" si="71"/>
        <v>28.224</v>
      </c>
      <c r="M150" s="536">
        <f t="shared" si="56"/>
        <v>8.0752715462974578</v>
      </c>
      <c r="N150" s="451"/>
      <c r="O150" s="451"/>
      <c r="P150" s="510"/>
      <c r="Q150" s="443">
        <f t="shared" si="30"/>
        <v>19043</v>
      </c>
      <c r="R150" s="443">
        <f t="shared" si="31"/>
        <v>29.241</v>
      </c>
      <c r="T150" s="536">
        <f t="shared" si="57"/>
        <v>7.9061788403948148</v>
      </c>
      <c r="U150" s="451"/>
      <c r="V150" s="451"/>
      <c r="W150" s="510"/>
      <c r="X150" s="443">
        <f t="shared" si="32"/>
        <v>19044</v>
      </c>
      <c r="Y150" s="443">
        <f t="shared" si="33"/>
        <v>28.9</v>
      </c>
      <c r="AA150" s="536">
        <f t="shared" si="58"/>
        <v>7.7025561132685825</v>
      </c>
      <c r="AB150" s="451"/>
      <c r="AC150" s="451"/>
      <c r="AD150" s="510"/>
      <c r="AE150" s="443">
        <f t="shared" si="34"/>
        <v>19046</v>
      </c>
      <c r="AF150" s="443">
        <f t="shared" si="35"/>
        <v>28.224</v>
      </c>
      <c r="AH150" s="536">
        <f t="shared" si="59"/>
        <v>7.4465850991577254</v>
      </c>
      <c r="AI150" s="451"/>
      <c r="AJ150" s="451"/>
      <c r="AK150" s="510"/>
      <c r="AL150" s="443">
        <f t="shared" si="36"/>
        <v>19052</v>
      </c>
      <c r="AM150" s="443">
        <f t="shared" si="37"/>
        <v>26.244</v>
      </c>
      <c r="AO150" s="536">
        <f t="shared" si="60"/>
        <v>7.7467329077536222</v>
      </c>
      <c r="AP150" s="451"/>
      <c r="AQ150" s="451"/>
      <c r="AR150" s="510"/>
      <c r="AS150" s="443">
        <f t="shared" si="38"/>
        <v>19046</v>
      </c>
      <c r="AT150" s="443">
        <f t="shared" si="39"/>
        <v>28.224</v>
      </c>
      <c r="AV150" s="536">
        <f t="shared" si="61"/>
        <v>7.789040401657477</v>
      </c>
      <c r="AW150" s="451"/>
      <c r="AX150" s="451"/>
      <c r="AY150" s="510"/>
      <c r="AZ150" s="443">
        <f t="shared" si="40"/>
        <v>19045</v>
      </c>
      <c r="BA150" s="443">
        <f t="shared" si="41"/>
        <v>28.561</v>
      </c>
      <c r="BC150" s="536">
        <f t="shared" si="62"/>
        <v>7.8296303891501928</v>
      </c>
      <c r="BD150" s="451"/>
      <c r="BE150" s="451"/>
      <c r="BF150" s="510"/>
      <c r="BG150" s="443">
        <f t="shared" si="42"/>
        <v>19045</v>
      </c>
      <c r="BH150" s="443">
        <f t="shared" si="43"/>
        <v>28.561</v>
      </c>
      <c r="BJ150" s="536">
        <f t="shared" si="63"/>
        <v>7.7248884393230739</v>
      </c>
      <c r="BK150" s="451"/>
      <c r="BL150" s="451"/>
      <c r="BM150" s="510"/>
      <c r="BN150" s="443">
        <f t="shared" si="44"/>
        <v>19046</v>
      </c>
      <c r="BO150" s="443">
        <f t="shared" si="45"/>
        <v>28.224</v>
      </c>
      <c r="BQ150" s="536">
        <f t="shared" si="64"/>
        <v>7.7292956743104817</v>
      </c>
      <c r="BR150" s="451"/>
      <c r="BS150" s="451"/>
      <c r="BT150" s="510"/>
      <c r="BU150" s="443">
        <f t="shared" si="46"/>
        <v>19046</v>
      </c>
      <c r="BV150" s="443">
        <f t="shared" si="47"/>
        <v>28.224</v>
      </c>
      <c r="BX150" s="536">
        <f t="shared" si="65"/>
        <v>7.7336835707759004</v>
      </c>
      <c r="BY150" s="451"/>
      <c r="BZ150" s="451"/>
      <c r="CA150" s="510"/>
      <c r="CB150" s="443">
        <f t="shared" si="48"/>
        <v>19046</v>
      </c>
      <c r="CC150" s="443">
        <f t="shared" si="49"/>
        <v>28.224</v>
      </c>
      <c r="CE150" s="536">
        <f t="shared" si="66"/>
        <v>7.7380522976893156</v>
      </c>
      <c r="CF150" s="451"/>
      <c r="CG150" s="451"/>
      <c r="CH150" s="510"/>
      <c r="CI150" s="443">
        <f t="shared" si="50"/>
        <v>19046</v>
      </c>
      <c r="CJ150" s="443">
        <f t="shared" si="51"/>
        <v>28.224</v>
      </c>
      <c r="CL150" s="536">
        <f t="shared" si="67"/>
        <v>7.7424020218157823</v>
      </c>
      <c r="CM150" s="451"/>
      <c r="CN150" s="451"/>
      <c r="CO150" s="510"/>
      <c r="CP150" s="443">
        <f t="shared" si="52"/>
        <v>19046</v>
      </c>
      <c r="CQ150" s="443">
        <f t="shared" si="53"/>
        <v>28.224</v>
      </c>
      <c r="CS150" s="536">
        <f t="shared" si="68"/>
        <v>7.7510451179718016</v>
      </c>
      <c r="CT150" s="451"/>
      <c r="CU150" s="451"/>
      <c r="CV150" s="510"/>
      <c r="CW150" s="443">
        <f t="shared" si="54"/>
        <v>19046</v>
      </c>
      <c r="CX150" s="443">
        <f t="shared" si="55"/>
        <v>28.224</v>
      </c>
    </row>
    <row r="151" spans="1:102" ht="15" customHeight="1">
      <c r="A151" s="436">
        <f t="shared" si="26"/>
        <v>2015</v>
      </c>
      <c r="B151" s="437">
        <f t="shared" si="26"/>
        <v>18986</v>
      </c>
      <c r="C151" s="545">
        <f t="shared" si="69"/>
        <v>7.643003635560718</v>
      </c>
      <c r="D151" s="438">
        <f t="shared" si="27"/>
        <v>10</v>
      </c>
      <c r="E151" s="546">
        <f t="shared" si="70"/>
        <v>2.3025850929940459</v>
      </c>
      <c r="H151" s="439"/>
      <c r="I151" s="443">
        <f t="shared" si="28"/>
        <v>19105</v>
      </c>
      <c r="J151" s="467">
        <f t="shared" si="29"/>
        <v>0.62677762561887707</v>
      </c>
      <c r="K151" s="443">
        <f t="shared" si="71"/>
        <v>14.161</v>
      </c>
      <c r="M151" s="536">
        <f t="shared" si="56"/>
        <v>8.0016899780991348</v>
      </c>
      <c r="N151" s="439" t="s">
        <v>321</v>
      </c>
      <c r="O151" s="504">
        <f>P141</f>
        <v>0.80960389125291998</v>
      </c>
      <c r="P151" s="510"/>
      <c r="Q151" s="443">
        <f t="shared" si="30"/>
        <v>19098</v>
      </c>
      <c r="R151" s="443">
        <f t="shared" si="31"/>
        <v>12.544</v>
      </c>
      <c r="T151" s="536">
        <f t="shared" si="57"/>
        <v>7.818430272070656</v>
      </c>
      <c r="U151" s="439" t="s">
        <v>321</v>
      </c>
      <c r="V151" s="504">
        <f>W141</f>
        <v>0.81042098538058061</v>
      </c>
      <c r="W151" s="510"/>
      <c r="X151" s="443">
        <f t="shared" si="32"/>
        <v>19101</v>
      </c>
      <c r="Y151" s="443">
        <f t="shared" si="33"/>
        <v>13.225</v>
      </c>
      <c r="AA151" s="536">
        <f t="shared" si="58"/>
        <v>7.5938778446051183</v>
      </c>
      <c r="AB151" s="439" t="s">
        <v>321</v>
      </c>
      <c r="AC151" s="504">
        <f>AD141</f>
        <v>0.81078901181327212</v>
      </c>
      <c r="AD151" s="510"/>
      <c r="AE151" s="443">
        <f t="shared" si="34"/>
        <v>19107</v>
      </c>
      <c r="AF151" s="443">
        <f t="shared" si="35"/>
        <v>14.641</v>
      </c>
      <c r="AH151" s="536">
        <f t="shared" si="59"/>
        <v>7.3038432252777046</v>
      </c>
      <c r="AI151" s="439" t="s">
        <v>321</v>
      </c>
      <c r="AJ151" s="504">
        <f>AK141</f>
        <v>0.80848444299828859</v>
      </c>
      <c r="AK151" s="510"/>
      <c r="AL151" s="443">
        <f t="shared" si="36"/>
        <v>19120</v>
      </c>
      <c r="AM151" s="443">
        <f t="shared" si="37"/>
        <v>17.956</v>
      </c>
      <c r="AO151" s="536">
        <f t="shared" si="60"/>
        <v>7.643003635560718</v>
      </c>
      <c r="AP151" s="439" t="s">
        <v>321</v>
      </c>
      <c r="AQ151" s="504">
        <f>AR141</f>
        <v>0.81118237227314416</v>
      </c>
      <c r="AR151" s="510"/>
      <c r="AS151" s="443">
        <f t="shared" si="38"/>
        <v>19105</v>
      </c>
      <c r="AT151" s="443">
        <f t="shared" si="39"/>
        <v>14.161</v>
      </c>
      <c r="AV151" s="536">
        <f t="shared" si="61"/>
        <v>7.6898286687364843</v>
      </c>
      <c r="AW151" s="439" t="s">
        <v>321</v>
      </c>
      <c r="AX151" s="504">
        <f>AY141</f>
        <v>0.81077630483957652</v>
      </c>
      <c r="AY151" s="510"/>
      <c r="AZ151" s="443">
        <f t="shared" si="40"/>
        <v>19104</v>
      </c>
      <c r="BA151" s="443">
        <f t="shared" si="41"/>
        <v>13.923999999999999</v>
      </c>
      <c r="BC151" s="536">
        <f t="shared" si="62"/>
        <v>7.7345588443547557</v>
      </c>
      <c r="BD151" s="439" t="s">
        <v>321</v>
      </c>
      <c r="BE151" s="504">
        <f>BF141</f>
        <v>0.81047198818498589</v>
      </c>
      <c r="BF151" s="510"/>
      <c r="BG151" s="443">
        <f t="shared" si="42"/>
        <v>19103</v>
      </c>
      <c r="BH151" s="443">
        <f t="shared" si="43"/>
        <v>13.689</v>
      </c>
      <c r="BJ151" s="536">
        <f t="shared" si="63"/>
        <v>7.6187423776704133</v>
      </c>
      <c r="BK151" s="439" t="s">
        <v>321</v>
      </c>
      <c r="BL151" s="504">
        <f>BM141</f>
        <v>0.81084609823375142</v>
      </c>
      <c r="BM151" s="510"/>
      <c r="BN151" s="443">
        <f t="shared" si="44"/>
        <v>19106</v>
      </c>
      <c r="BO151" s="443">
        <f t="shared" si="45"/>
        <v>14.4</v>
      </c>
      <c r="BQ151" s="536">
        <f t="shared" si="64"/>
        <v>7.6236419465115715</v>
      </c>
      <c r="BR151" s="439" t="s">
        <v>321</v>
      </c>
      <c r="BS151" s="504">
        <f>BT141</f>
        <v>0.81094764342444703</v>
      </c>
      <c r="BT151" s="510"/>
      <c r="BU151" s="443">
        <f t="shared" si="46"/>
        <v>19106</v>
      </c>
      <c r="BV151" s="443">
        <f t="shared" si="47"/>
        <v>14.4</v>
      </c>
      <c r="BX151" s="536">
        <f t="shared" si="65"/>
        <v>7.6285176265750554</v>
      </c>
      <c r="BY151" s="439" t="s">
        <v>321</v>
      </c>
      <c r="BZ151" s="504">
        <f>CA141</f>
        <v>0.81095100581877533</v>
      </c>
      <c r="CA151" s="510"/>
      <c r="CB151" s="443">
        <f t="shared" si="48"/>
        <v>19106</v>
      </c>
      <c r="CC151" s="443">
        <f t="shared" si="49"/>
        <v>14.4</v>
      </c>
      <c r="CE151" s="536">
        <f t="shared" si="66"/>
        <v>7.633369649679584</v>
      </c>
      <c r="CF151" s="439" t="s">
        <v>321</v>
      </c>
      <c r="CG151" s="504">
        <f>CH141</f>
        <v>0.81086459135994005</v>
      </c>
      <c r="CH151" s="510"/>
      <c r="CI151" s="443">
        <f t="shared" si="50"/>
        <v>19105</v>
      </c>
      <c r="CJ151" s="443">
        <f t="shared" si="51"/>
        <v>14.161</v>
      </c>
      <c r="CL151" s="536">
        <f t="shared" si="67"/>
        <v>7.6381982442857792</v>
      </c>
      <c r="CM151" s="439" t="s">
        <v>321</v>
      </c>
      <c r="CN151" s="504">
        <f>CO141</f>
        <v>0.81086459135994005</v>
      </c>
      <c r="CO151" s="510"/>
      <c r="CP151" s="443">
        <f t="shared" si="52"/>
        <v>19105</v>
      </c>
      <c r="CQ151" s="443">
        <f t="shared" si="53"/>
        <v>14.161</v>
      </c>
      <c r="CS151" s="536">
        <f t="shared" si="68"/>
        <v>7.6477860454409328</v>
      </c>
      <c r="CT151" s="439" t="s">
        <v>321</v>
      </c>
      <c r="CU151" s="504">
        <f>CV141</f>
        <v>0.81096111146754579</v>
      </c>
      <c r="CV151" s="510"/>
      <c r="CW151" s="443">
        <f t="shared" si="54"/>
        <v>19105</v>
      </c>
      <c r="CX151" s="443">
        <f t="shared" si="55"/>
        <v>14.161</v>
      </c>
    </row>
    <row r="152" spans="1:102" ht="15" customHeight="1" thickBot="1">
      <c r="A152" s="436">
        <f t="shared" si="26"/>
        <v>2016</v>
      </c>
      <c r="B152" s="437">
        <f t="shared" si="26"/>
        <v>19057</v>
      </c>
      <c r="C152" s="545">
        <f t="shared" si="69"/>
        <v>7.6764736463891561</v>
      </c>
      <c r="D152" s="438">
        <f t="shared" si="27"/>
        <v>11</v>
      </c>
      <c r="E152" s="546">
        <f t="shared" si="70"/>
        <v>2.3978952727983707</v>
      </c>
      <c r="I152" s="443">
        <f t="shared" si="28"/>
        <v>19161</v>
      </c>
      <c r="J152" s="467">
        <f t="shared" si="29"/>
        <v>0.54573122737052004</v>
      </c>
      <c r="K152" s="443">
        <f t="shared" si="71"/>
        <v>10.816000000000001</v>
      </c>
      <c r="M152" s="536">
        <f t="shared" si="56"/>
        <v>8.025189321890835</v>
      </c>
      <c r="N152" s="439" t="s">
        <v>322</v>
      </c>
      <c r="O152" s="548">
        <f>SUM(R142:R152)</f>
        <v>263.92999999999995</v>
      </c>
      <c r="P152" s="509"/>
      <c r="Q152" s="443">
        <f t="shared" si="30"/>
        <v>19148</v>
      </c>
      <c r="R152" s="443">
        <f t="shared" si="31"/>
        <v>8.2810000000000006</v>
      </c>
      <c r="T152" s="536">
        <f t="shared" si="57"/>
        <v>7.8465899752911863</v>
      </c>
      <c r="U152" s="439" t="s">
        <v>322</v>
      </c>
      <c r="V152" s="548">
        <f>SUM(Y142:Y152)</f>
        <v>262.92700000000002</v>
      </c>
      <c r="W152" s="509"/>
      <c r="X152" s="443">
        <f t="shared" si="32"/>
        <v>19154</v>
      </c>
      <c r="Y152" s="443">
        <f t="shared" si="33"/>
        <v>9.4090000000000007</v>
      </c>
      <c r="AA152" s="536">
        <f t="shared" si="58"/>
        <v>7.6290038896529575</v>
      </c>
      <c r="AB152" s="439" t="s">
        <v>322</v>
      </c>
      <c r="AC152" s="548">
        <f>SUM(AF142:AF152)</f>
        <v>262.57</v>
      </c>
      <c r="AD152" s="509"/>
      <c r="AE152" s="443">
        <f t="shared" si="34"/>
        <v>19163</v>
      </c>
      <c r="AF152" s="443">
        <f t="shared" si="35"/>
        <v>11.236000000000001</v>
      </c>
      <c r="AH152" s="536">
        <f t="shared" si="59"/>
        <v>7.3505161718339984</v>
      </c>
      <c r="AI152" s="439" t="s">
        <v>322</v>
      </c>
      <c r="AJ152" s="548">
        <f>SUM(AM142:AM152)</f>
        <v>266.19799999999998</v>
      </c>
      <c r="AK152" s="509"/>
      <c r="AL152" s="443">
        <f t="shared" si="36"/>
        <v>19184</v>
      </c>
      <c r="AM152" s="443">
        <f t="shared" si="37"/>
        <v>16.129000000000001</v>
      </c>
      <c r="AO152" s="536">
        <f t="shared" si="60"/>
        <v>7.6764736463891561</v>
      </c>
      <c r="AP152" s="439" t="s">
        <v>322</v>
      </c>
      <c r="AQ152" s="548">
        <f>SUM(AT142:AT152)</f>
        <v>261.97299999999996</v>
      </c>
      <c r="AR152" s="509"/>
      <c r="AS152" s="443">
        <f t="shared" si="38"/>
        <v>19161</v>
      </c>
      <c r="AT152" s="443">
        <f t="shared" si="39"/>
        <v>10.816000000000001</v>
      </c>
      <c r="AV152" s="536">
        <f t="shared" si="61"/>
        <v>7.7217917768175353</v>
      </c>
      <c r="AW152" s="439" t="s">
        <v>322</v>
      </c>
      <c r="AX152" s="548">
        <f>SUM(BA142:BA152)</f>
        <v>262.52499999999998</v>
      </c>
      <c r="AY152" s="509"/>
      <c r="AZ152" s="443">
        <f t="shared" si="40"/>
        <v>19158</v>
      </c>
      <c r="BA152" s="443">
        <f t="shared" si="41"/>
        <v>10.201000000000001</v>
      </c>
      <c r="BC152" s="536">
        <f t="shared" si="62"/>
        <v>7.7651449029361315</v>
      </c>
      <c r="BD152" s="439" t="s">
        <v>322</v>
      </c>
      <c r="BE152" s="548">
        <f>SUM(BH142:BH152)</f>
        <v>262.89300000000003</v>
      </c>
      <c r="BF152" s="509"/>
      <c r="BG152" s="443">
        <f t="shared" si="42"/>
        <v>19157</v>
      </c>
      <c r="BH152" s="443">
        <f t="shared" si="43"/>
        <v>10</v>
      </c>
      <c r="BJ152" s="536">
        <f t="shared" si="63"/>
        <v>7.6530204138041888</v>
      </c>
      <c r="BK152" s="439" t="s">
        <v>322</v>
      </c>
      <c r="BL152" s="548">
        <f>SUM(BO142:BO152)</f>
        <v>262.48099999999999</v>
      </c>
      <c r="BM152" s="509"/>
      <c r="BN152" s="443">
        <f t="shared" si="44"/>
        <v>19162</v>
      </c>
      <c r="BO152" s="443">
        <f t="shared" si="45"/>
        <v>11.025</v>
      </c>
      <c r="BQ152" s="536">
        <f t="shared" si="64"/>
        <v>7.6577552711348655</v>
      </c>
      <c r="BR152" s="439" t="s">
        <v>322</v>
      </c>
      <c r="BS152" s="548">
        <f>SUM(BV142:BV152)</f>
        <v>262.32900000000001</v>
      </c>
      <c r="BT152" s="509"/>
      <c r="BU152" s="443">
        <f t="shared" si="46"/>
        <v>19161</v>
      </c>
      <c r="BV152" s="443">
        <f t="shared" si="47"/>
        <v>10.816000000000001</v>
      </c>
      <c r="BX152" s="536">
        <f t="shared" si="65"/>
        <v>7.6624678152002375</v>
      </c>
      <c r="BY152" s="439" t="s">
        <v>322</v>
      </c>
      <c r="BZ152" s="548">
        <f>SUM(CC142:CC152)</f>
        <v>262.30799999999999</v>
      </c>
      <c r="CA152" s="509"/>
      <c r="CB152" s="443">
        <f t="shared" si="48"/>
        <v>19161</v>
      </c>
      <c r="CC152" s="443">
        <f t="shared" si="49"/>
        <v>10.816000000000001</v>
      </c>
      <c r="CE152" s="536">
        <f t="shared" si="66"/>
        <v>7.6671582553191477</v>
      </c>
      <c r="CF152" s="439" t="s">
        <v>322</v>
      </c>
      <c r="CG152" s="548">
        <f>SUM(CJ142:CJ152)</f>
        <v>262.43299999999999</v>
      </c>
      <c r="CH152" s="509"/>
      <c r="CI152" s="443">
        <f t="shared" si="50"/>
        <v>19161</v>
      </c>
      <c r="CJ152" s="443">
        <f t="shared" si="51"/>
        <v>10.816000000000001</v>
      </c>
      <c r="CL152" s="536">
        <f t="shared" si="67"/>
        <v>7.6718267978787811</v>
      </c>
      <c r="CM152" s="439" t="s">
        <v>322</v>
      </c>
      <c r="CN152" s="548">
        <f>SUM(CQ142:CQ152)</f>
        <v>262.43299999999999</v>
      </c>
      <c r="CO152" s="509"/>
      <c r="CP152" s="443">
        <f t="shared" si="52"/>
        <v>19161</v>
      </c>
      <c r="CQ152" s="443">
        <f t="shared" si="53"/>
        <v>10.816000000000001</v>
      </c>
      <c r="CS152" s="536">
        <f t="shared" si="68"/>
        <v>7.6810990015363592</v>
      </c>
      <c r="CT152" s="439" t="s">
        <v>322</v>
      </c>
      <c r="CU152" s="548">
        <f>SUM(CX142:CX152)</f>
        <v>262.28899999999999</v>
      </c>
      <c r="CV152" s="509"/>
      <c r="CW152" s="443">
        <f t="shared" si="54"/>
        <v>19160</v>
      </c>
      <c r="CX152" s="443">
        <f t="shared" si="55"/>
        <v>10.609</v>
      </c>
    </row>
    <row r="153" spans="1:102" ht="15" customHeight="1" thickTop="1">
      <c r="A153" s="458">
        <f t="shared" si="26"/>
        <v>2017</v>
      </c>
      <c r="B153" s="459">
        <f>ROUND($G$147+$G$150*D153^$G$148,$G$1)</f>
        <v>19212</v>
      </c>
      <c r="C153" s="549"/>
      <c r="D153" s="550">
        <f t="shared" si="27"/>
        <v>12</v>
      </c>
      <c r="E153" s="551"/>
      <c r="F153" s="2314" t="s">
        <v>276</v>
      </c>
      <c r="G153" s="2315"/>
      <c r="H153" s="514">
        <f>I141</f>
        <v>0.81118237227314416</v>
      </c>
      <c r="I153" s="464">
        <f t="shared" si="28"/>
        <v>19212</v>
      </c>
      <c r="J153" s="463"/>
      <c r="K153" s="464"/>
      <c r="M153" s="552"/>
      <c r="N153" s="553"/>
      <c r="O153" s="554"/>
      <c r="P153" s="331"/>
      <c r="Q153" s="555"/>
      <c r="R153" s="556"/>
      <c r="T153" s="552"/>
      <c r="U153" s="553"/>
      <c r="V153" s="554"/>
      <c r="W153" s="331"/>
      <c r="X153" s="555"/>
      <c r="Y153" s="556"/>
      <c r="AA153" s="552"/>
      <c r="AB153" s="553"/>
      <c r="AC153" s="554"/>
      <c r="AD153" s="331"/>
      <c r="AE153" s="555"/>
      <c r="AF153" s="556"/>
      <c r="AH153" s="552"/>
      <c r="AI153" s="553"/>
      <c r="AJ153" s="554"/>
      <c r="AK153" s="331"/>
      <c r="AL153" s="555"/>
      <c r="AM153" s="556"/>
      <c r="AO153" s="552"/>
      <c r="AP153" s="553"/>
      <c r="AQ153" s="554"/>
      <c r="AR153" s="331"/>
      <c r="AS153" s="555"/>
      <c r="AT153" s="556"/>
      <c r="AV153" s="552"/>
      <c r="AW153" s="553"/>
      <c r="AX153" s="554"/>
      <c r="AY153" s="331"/>
      <c r="AZ153" s="555"/>
      <c r="BA153" s="556"/>
      <c r="BC153" s="552"/>
      <c r="BD153" s="553"/>
      <c r="BE153" s="554"/>
      <c r="BF153" s="331"/>
      <c r="BG153" s="555"/>
      <c r="BH153" s="556"/>
      <c r="BJ153" s="552"/>
      <c r="BK153" s="553"/>
      <c r="BL153" s="554"/>
      <c r="BM153" s="331"/>
      <c r="BN153" s="555"/>
      <c r="BO153" s="556"/>
      <c r="BQ153" s="552"/>
      <c r="BR153" s="553"/>
      <c r="BS153" s="554"/>
      <c r="BT153" s="331"/>
      <c r="BU153" s="555"/>
      <c r="BV153" s="556"/>
      <c r="BX153" s="552"/>
      <c r="BY153" s="553"/>
      <c r="BZ153" s="554"/>
      <c r="CA153" s="331"/>
      <c r="CB153" s="555"/>
      <c r="CC153" s="556"/>
      <c r="CE153" s="552"/>
      <c r="CF153" s="553"/>
      <c r="CG153" s="554"/>
      <c r="CH153" s="331"/>
      <c r="CI153" s="555"/>
      <c r="CJ153" s="556"/>
      <c r="CL153" s="552"/>
      <c r="CM153" s="553"/>
      <c r="CN153" s="554"/>
      <c r="CO153" s="331"/>
      <c r="CP153" s="555"/>
      <c r="CQ153" s="556"/>
      <c r="CS153" s="552"/>
      <c r="CT153" s="553"/>
      <c r="CU153" s="554"/>
      <c r="CV153" s="331"/>
      <c r="CW153" s="555"/>
      <c r="CX153" s="556"/>
    </row>
    <row r="154" spans="1:102" ht="15" customHeight="1">
      <c r="A154" s="436">
        <f t="shared" si="26"/>
        <v>2018</v>
      </c>
      <c r="B154" s="437">
        <f>ROUND($G$147+$G$150*D154^$G$148,$G$1)</f>
        <v>19261</v>
      </c>
      <c r="C154" s="545"/>
      <c r="D154" s="438">
        <f t="shared" si="27"/>
        <v>13</v>
      </c>
      <c r="E154" s="546"/>
      <c r="F154" s="2318" t="s">
        <v>323</v>
      </c>
      <c r="G154" s="2320"/>
      <c r="H154" s="448">
        <f>SUM(K142:K152)</f>
        <v>261.97299999999996</v>
      </c>
      <c r="I154" s="443">
        <f t="shared" si="28"/>
        <v>19261</v>
      </c>
      <c r="J154" s="467"/>
      <c r="K154" s="443"/>
      <c r="M154" s="557"/>
      <c r="N154" s="439"/>
      <c r="O154" s="548"/>
      <c r="P154" s="451"/>
      <c r="Q154" s="493"/>
      <c r="R154" s="492"/>
      <c r="T154" s="557"/>
      <c r="U154" s="439"/>
      <c r="V154" s="548"/>
      <c r="W154" s="451"/>
      <c r="X154" s="493"/>
      <c r="Y154" s="492"/>
      <c r="AA154" s="557"/>
      <c r="AB154" s="439"/>
      <c r="AC154" s="548"/>
      <c r="AD154" s="451"/>
      <c r="AE154" s="493"/>
      <c r="AF154" s="492"/>
      <c r="AH154" s="557"/>
      <c r="AI154" s="439"/>
      <c r="AJ154" s="548"/>
      <c r="AK154" s="451"/>
      <c r="AL154" s="493"/>
      <c r="AM154" s="492"/>
      <c r="AO154" s="557"/>
      <c r="AP154" s="439"/>
      <c r="AQ154" s="548"/>
      <c r="AR154" s="451"/>
      <c r="AS154" s="493"/>
      <c r="AT154" s="492"/>
      <c r="AV154" s="557"/>
      <c r="AW154" s="439"/>
      <c r="AX154" s="548"/>
      <c r="AY154" s="451"/>
      <c r="AZ154" s="493"/>
      <c r="BA154" s="492"/>
      <c r="BC154" s="557"/>
      <c r="BD154" s="439"/>
      <c r="BE154" s="548"/>
      <c r="BF154" s="451"/>
      <c r="BG154" s="493"/>
      <c r="BH154" s="492"/>
      <c r="BJ154" s="557"/>
      <c r="BK154" s="439"/>
      <c r="BL154" s="548"/>
      <c r="BM154" s="451"/>
      <c r="BN154" s="493"/>
      <c r="BO154" s="492"/>
      <c r="BQ154" s="557"/>
      <c r="BR154" s="439"/>
      <c r="BS154" s="548"/>
      <c r="BT154" s="451"/>
      <c r="BU154" s="493"/>
      <c r="BV154" s="492"/>
      <c r="BX154" s="557"/>
      <c r="BY154" s="439"/>
      <c r="BZ154" s="548"/>
      <c r="CA154" s="451"/>
      <c r="CB154" s="493"/>
      <c r="CC154" s="492"/>
      <c r="CE154" s="557"/>
      <c r="CF154" s="439"/>
      <c r="CG154" s="548"/>
      <c r="CH154" s="451"/>
      <c r="CI154" s="493"/>
      <c r="CJ154" s="492"/>
      <c r="CL154" s="557"/>
      <c r="CM154" s="439"/>
      <c r="CN154" s="548"/>
      <c r="CO154" s="451"/>
      <c r="CP154" s="493"/>
      <c r="CQ154" s="492"/>
      <c r="CS154" s="557"/>
      <c r="CT154" s="439"/>
      <c r="CU154" s="548"/>
      <c r="CV154" s="451"/>
      <c r="CW154" s="493"/>
      <c r="CX154" s="492"/>
    </row>
    <row r="155" spans="1:102" ht="15" customHeight="1">
      <c r="A155" s="436">
        <f t="shared" si="26"/>
        <v>2019</v>
      </c>
      <c r="B155" s="437">
        <f t="shared" ref="B155:B174" si="72">ROUND($G$147+$G$150*D155^$G$148,$G$1)</f>
        <v>19307</v>
      </c>
      <c r="C155" s="545"/>
      <c r="D155" s="438">
        <f t="shared" si="27"/>
        <v>14</v>
      </c>
      <c r="E155" s="546"/>
      <c r="F155" s="2318" t="s">
        <v>324</v>
      </c>
      <c r="G155" s="2320"/>
      <c r="H155" s="449">
        <f>SUM(J142:J152)/D152</f>
        <v>0.68762651235857297</v>
      </c>
      <c r="I155" s="443">
        <f t="shared" si="28"/>
        <v>19307</v>
      </c>
      <c r="J155" s="467"/>
      <c r="K155" s="443"/>
      <c r="M155" s="505" t="s">
        <v>325</v>
      </c>
      <c r="N155" s="505">
        <f>MIN(B142:B152)</f>
        <v>18154</v>
      </c>
      <c r="O155" s="505"/>
      <c r="P155" s="505"/>
      <c r="Q155" s="505"/>
      <c r="R155" s="505"/>
      <c r="S155" s="505"/>
      <c r="T155" s="505" t="s">
        <v>325</v>
      </c>
      <c r="U155" s="505">
        <f>N155</f>
        <v>18154</v>
      </c>
      <c r="V155" s="505"/>
      <c r="W155" s="505"/>
      <c r="X155" s="505"/>
      <c r="Y155" s="505"/>
      <c r="Z155" s="505"/>
      <c r="AA155" s="505" t="s">
        <v>325</v>
      </c>
      <c r="AB155" s="505">
        <f>U155</f>
        <v>18154</v>
      </c>
      <c r="AH155" s="505" t="s">
        <v>325</v>
      </c>
      <c r="AI155" s="505">
        <f>AB155</f>
        <v>18154</v>
      </c>
      <c r="AO155" s="505" t="s">
        <v>360</v>
      </c>
      <c r="AP155" s="505">
        <f>AI155</f>
        <v>18154</v>
      </c>
      <c r="AV155" s="505" t="s">
        <v>325</v>
      </c>
      <c r="AW155" s="505">
        <f>AP155</f>
        <v>18154</v>
      </c>
      <c r="BC155" s="505" t="s">
        <v>325</v>
      </c>
      <c r="BD155" s="505">
        <f>AW155</f>
        <v>18154</v>
      </c>
      <c r="BJ155" s="505" t="s">
        <v>325</v>
      </c>
      <c r="BK155" s="505">
        <f>BD155</f>
        <v>18154</v>
      </c>
      <c r="BQ155" s="505" t="s">
        <v>325</v>
      </c>
      <c r="BR155" s="505">
        <f>BK155</f>
        <v>18154</v>
      </c>
      <c r="BX155" s="505" t="s">
        <v>325</v>
      </c>
      <c r="BY155" s="505">
        <f>BR155</f>
        <v>18154</v>
      </c>
      <c r="CE155" s="505" t="s">
        <v>325</v>
      </c>
      <c r="CF155" s="505">
        <f>BY155</f>
        <v>18154</v>
      </c>
      <c r="CL155" s="505" t="s">
        <v>325</v>
      </c>
      <c r="CM155" s="505">
        <f>CF155</f>
        <v>18154</v>
      </c>
      <c r="CS155" s="505" t="s">
        <v>325</v>
      </c>
      <c r="CT155" s="505">
        <f>CM155</f>
        <v>18154</v>
      </c>
    </row>
    <row r="156" spans="1:102" ht="15" customHeight="1">
      <c r="A156" s="436">
        <f t="shared" si="26"/>
        <v>2020</v>
      </c>
      <c r="B156" s="437">
        <f t="shared" si="72"/>
        <v>19350</v>
      </c>
      <c r="C156" s="545"/>
      <c r="D156" s="438">
        <f t="shared" si="27"/>
        <v>15</v>
      </c>
      <c r="E156" s="546"/>
      <c r="I156" s="443">
        <f t="shared" si="28"/>
        <v>19350</v>
      </c>
      <c r="J156" s="467"/>
      <c r="K156" s="443"/>
      <c r="M156" s="505" t="s">
        <v>326</v>
      </c>
      <c r="N156" s="505">
        <v>3</v>
      </c>
      <c r="O156" s="505"/>
      <c r="P156" s="505"/>
      <c r="Q156" s="505"/>
      <c r="R156" s="505"/>
      <c r="S156" s="505"/>
      <c r="T156" s="505" t="s">
        <v>326</v>
      </c>
      <c r="U156" s="505">
        <f>N156</f>
        <v>3</v>
      </c>
      <c r="V156" s="505"/>
      <c r="W156" s="505"/>
      <c r="X156" s="505"/>
      <c r="Y156" s="505"/>
      <c r="Z156" s="505"/>
      <c r="AA156" s="505" t="s">
        <v>361</v>
      </c>
      <c r="AB156" s="505">
        <f>U156</f>
        <v>3</v>
      </c>
      <c r="AH156" s="505" t="s">
        <v>326</v>
      </c>
      <c r="AI156" s="505">
        <f>AB156</f>
        <v>3</v>
      </c>
      <c r="AO156" s="505" t="s">
        <v>326</v>
      </c>
      <c r="AP156" s="505">
        <f>AI156</f>
        <v>3</v>
      </c>
      <c r="AV156" s="505" t="s">
        <v>326</v>
      </c>
      <c r="AW156" s="505">
        <f>AP156</f>
        <v>3</v>
      </c>
      <c r="BC156" s="505" t="s">
        <v>326</v>
      </c>
      <c r="BD156" s="505">
        <f>AW156</f>
        <v>3</v>
      </c>
      <c r="BJ156" s="505" t="s">
        <v>326</v>
      </c>
      <c r="BK156" s="505">
        <f>BD156</f>
        <v>3</v>
      </c>
      <c r="BQ156" s="505" t="s">
        <v>326</v>
      </c>
      <c r="BR156" s="505">
        <f>BK156</f>
        <v>3</v>
      </c>
      <c r="BX156" s="505" t="s">
        <v>326</v>
      </c>
      <c r="BY156" s="505">
        <f>BR156</f>
        <v>3</v>
      </c>
      <c r="CE156" s="505" t="s">
        <v>326</v>
      </c>
      <c r="CF156" s="505">
        <f>BY156</f>
        <v>3</v>
      </c>
      <c r="CL156" s="505" t="s">
        <v>326</v>
      </c>
      <c r="CM156" s="505">
        <f>CF156</f>
        <v>3</v>
      </c>
      <c r="CS156" s="505" t="s">
        <v>326</v>
      </c>
      <c r="CT156" s="505">
        <f>CM156</f>
        <v>3</v>
      </c>
    </row>
    <row r="157" spans="1:102" ht="15" customHeight="1">
      <c r="A157" s="436">
        <f t="shared" si="26"/>
        <v>2021</v>
      </c>
      <c r="B157" s="437">
        <f t="shared" si="72"/>
        <v>19392</v>
      </c>
      <c r="C157" s="545"/>
      <c r="D157" s="438">
        <f t="shared" si="27"/>
        <v>16</v>
      </c>
      <c r="E157" s="546"/>
      <c r="F157" s="519"/>
      <c r="G157" s="451"/>
      <c r="H157" s="558"/>
      <c r="I157" s="443">
        <f t="shared" si="28"/>
        <v>19392</v>
      </c>
      <c r="J157" s="467"/>
      <c r="K157" s="443"/>
      <c r="M157" s="505" t="s">
        <v>329</v>
      </c>
      <c r="N157" s="559">
        <v>150</v>
      </c>
      <c r="O157" s="505"/>
      <c r="P157" s="505"/>
      <c r="Q157" s="505"/>
      <c r="R157" s="505"/>
      <c r="S157" s="505"/>
      <c r="T157" s="505" t="s">
        <v>329</v>
      </c>
      <c r="U157" s="505">
        <f>N157</f>
        <v>150</v>
      </c>
      <c r="V157" s="505"/>
      <c r="W157" s="505"/>
      <c r="X157" s="505"/>
      <c r="Y157" s="505"/>
      <c r="Z157" s="505"/>
      <c r="AA157" s="505" t="s">
        <v>329</v>
      </c>
      <c r="AB157" s="505">
        <f>U157</f>
        <v>150</v>
      </c>
      <c r="AH157" s="505" t="s">
        <v>329</v>
      </c>
      <c r="AI157" s="505">
        <v>500</v>
      </c>
      <c r="AO157" s="505" t="s">
        <v>329</v>
      </c>
      <c r="AP157" s="505">
        <f>AI157</f>
        <v>500</v>
      </c>
      <c r="AV157" s="505" t="s">
        <v>329</v>
      </c>
      <c r="AW157" s="505">
        <f>AP157</f>
        <v>500</v>
      </c>
      <c r="BC157" s="505" t="s">
        <v>329</v>
      </c>
      <c r="BD157" s="505">
        <f>AW157</f>
        <v>500</v>
      </c>
      <c r="BJ157" s="505" t="s">
        <v>329</v>
      </c>
      <c r="BK157" s="505">
        <f>BD157</f>
        <v>500</v>
      </c>
      <c r="BQ157" s="505" t="s">
        <v>329</v>
      </c>
      <c r="BR157" s="505">
        <f>BK157</f>
        <v>500</v>
      </c>
      <c r="BX157" s="505" t="s">
        <v>329</v>
      </c>
      <c r="BY157" s="505">
        <f>BR157</f>
        <v>500</v>
      </c>
      <c r="CE157" s="505" t="s">
        <v>329</v>
      </c>
      <c r="CF157" s="505">
        <f>BY157</f>
        <v>500</v>
      </c>
      <c r="CL157" s="505" t="s">
        <v>329</v>
      </c>
      <c r="CM157" s="505">
        <f>CF157</f>
        <v>500</v>
      </c>
      <c r="CS157" s="505" t="s">
        <v>329</v>
      </c>
      <c r="CT157" s="505">
        <f>CM157</f>
        <v>500</v>
      </c>
    </row>
    <row r="158" spans="1:102" ht="15" customHeight="1" thickBot="1">
      <c r="A158" s="436">
        <f t="shared" ref="A158:A174" si="73">A120</f>
        <v>2022</v>
      </c>
      <c r="B158" s="437">
        <f t="shared" si="72"/>
        <v>19431</v>
      </c>
      <c r="C158" s="545"/>
      <c r="D158" s="438">
        <f t="shared" si="27"/>
        <v>17</v>
      </c>
      <c r="E158" s="546"/>
      <c r="F158" s="560" t="s">
        <v>331</v>
      </c>
      <c r="G158" s="561" t="s">
        <v>332</v>
      </c>
      <c r="H158" s="562" t="s">
        <v>294</v>
      </c>
      <c r="I158" s="443">
        <f t="shared" si="28"/>
        <v>19431</v>
      </c>
      <c r="J158" s="467"/>
      <c r="K158" s="443"/>
      <c r="M158" s="557"/>
      <c r="N158" s="451"/>
      <c r="O158" s="451"/>
      <c r="P158" s="451"/>
      <c r="Q158" s="493"/>
      <c r="R158" s="492"/>
      <c r="T158" s="557"/>
      <c r="U158" s="451"/>
      <c r="V158" s="451"/>
      <c r="W158" s="451"/>
      <c r="X158" s="493"/>
      <c r="Y158" s="492"/>
      <c r="AA158" s="557"/>
      <c r="AB158" s="451"/>
      <c r="AC158" s="451"/>
      <c r="AD158" s="451"/>
      <c r="AE158" s="493"/>
      <c r="AF158" s="492"/>
      <c r="AH158" s="557"/>
      <c r="AI158" s="451"/>
      <c r="AJ158" s="451"/>
      <c r="AK158" s="451"/>
      <c r="AL158" s="493"/>
      <c r="AM158" s="492"/>
      <c r="AO158" s="557"/>
      <c r="AP158" s="451"/>
      <c r="AQ158" s="451"/>
      <c r="AR158" s="451"/>
      <c r="AS158" s="493"/>
      <c r="AT158" s="492"/>
      <c r="AV158" s="557"/>
      <c r="AW158" s="451"/>
      <c r="AX158" s="451"/>
      <c r="AY158" s="451"/>
      <c r="AZ158" s="493"/>
      <c r="BA158" s="492"/>
      <c r="BC158" s="557"/>
      <c r="BD158" s="451"/>
      <c r="BE158" s="451"/>
      <c r="BF158" s="451"/>
      <c r="BG158" s="493"/>
      <c r="BH158" s="492"/>
      <c r="BJ158" s="557"/>
      <c r="BK158" s="451"/>
      <c r="BL158" s="451"/>
      <c r="BM158" s="451"/>
      <c r="BN158" s="493"/>
      <c r="BO158" s="492"/>
      <c r="BQ158" s="557"/>
      <c r="BR158" s="451"/>
      <c r="BS158" s="451"/>
      <c r="BT158" s="451"/>
      <c r="BU158" s="493"/>
      <c r="BV158" s="492"/>
      <c r="BX158" s="557"/>
      <c r="BY158" s="451"/>
      <c r="BZ158" s="451"/>
      <c r="CA158" s="451"/>
      <c r="CB158" s="493"/>
      <c r="CC158" s="492"/>
      <c r="CE158" s="557"/>
      <c r="CF158" s="451"/>
      <c r="CG158" s="451"/>
      <c r="CH158" s="451"/>
      <c r="CI158" s="493"/>
      <c r="CJ158" s="492"/>
      <c r="CL158" s="557"/>
      <c r="CM158" s="451"/>
      <c r="CN158" s="451"/>
      <c r="CO158" s="451"/>
      <c r="CP158" s="493"/>
      <c r="CQ158" s="492"/>
      <c r="CS158" s="557"/>
      <c r="CT158" s="451"/>
      <c r="CU158" s="451"/>
      <c r="CV158" s="451"/>
      <c r="CW158" s="493"/>
      <c r="CX158" s="492"/>
    </row>
    <row r="159" spans="1:102" ht="15" customHeight="1" thickTop="1">
      <c r="A159" s="436">
        <f t="shared" si="73"/>
        <v>2023</v>
      </c>
      <c r="B159" s="437">
        <f t="shared" si="72"/>
        <v>19469</v>
      </c>
      <c r="C159" s="545"/>
      <c r="D159" s="438">
        <f t="shared" si="27"/>
        <v>18</v>
      </c>
      <c r="E159" s="546"/>
      <c r="F159" s="505">
        <v>16000</v>
      </c>
      <c r="G159" s="563">
        <f>IFERROR(O151,0)</f>
        <v>0.80960389125291998</v>
      </c>
      <c r="H159" s="564">
        <f>O152</f>
        <v>263.92999999999995</v>
      </c>
      <c r="I159" s="443">
        <f t="shared" si="28"/>
        <v>19469</v>
      </c>
      <c r="J159" s="467"/>
      <c r="K159" s="443"/>
      <c r="L159" s="326">
        <f>RANK(G159,$G$159:$G$171)</f>
        <v>12</v>
      </c>
      <c r="M159" s="557"/>
      <c r="N159" s="451"/>
      <c r="O159" s="451"/>
      <c r="P159" s="451"/>
      <c r="Q159" s="493"/>
      <c r="R159" s="492"/>
      <c r="T159" s="557"/>
      <c r="U159" s="451"/>
      <c r="V159" s="451"/>
      <c r="W159" s="451"/>
      <c r="X159" s="493"/>
      <c r="Y159" s="492"/>
      <c r="AA159" s="557"/>
      <c r="AB159" s="451"/>
      <c r="AC159" s="451"/>
      <c r="AD159" s="451"/>
      <c r="AE159" s="493"/>
      <c r="AF159" s="492"/>
      <c r="AH159" s="557"/>
      <c r="AI159" s="451"/>
      <c r="AJ159" s="451"/>
      <c r="AK159" s="451"/>
      <c r="AL159" s="493"/>
      <c r="AM159" s="492"/>
      <c r="AO159" s="557"/>
      <c r="AP159" s="451"/>
      <c r="AQ159" s="451"/>
      <c r="AR159" s="451"/>
      <c r="AS159" s="493"/>
      <c r="AT159" s="492"/>
      <c r="AV159" s="557"/>
      <c r="AW159" s="451"/>
      <c r="AX159" s="451"/>
      <c r="AY159" s="451"/>
      <c r="AZ159" s="493"/>
      <c r="BA159" s="492"/>
      <c r="BC159" s="557"/>
      <c r="BD159" s="451"/>
      <c r="BE159" s="451"/>
      <c r="BF159" s="451"/>
      <c r="BG159" s="493"/>
      <c r="BH159" s="492"/>
      <c r="BJ159" s="557"/>
      <c r="BK159" s="451"/>
      <c r="BL159" s="451"/>
      <c r="BM159" s="451"/>
      <c r="BN159" s="493"/>
      <c r="BO159" s="492"/>
      <c r="BQ159" s="557"/>
      <c r="BR159" s="451"/>
      <c r="BS159" s="451"/>
      <c r="BT159" s="451"/>
      <c r="BU159" s="493"/>
      <c r="BV159" s="492"/>
      <c r="BX159" s="557"/>
      <c r="BY159" s="451"/>
      <c r="BZ159" s="451"/>
      <c r="CA159" s="451"/>
      <c r="CB159" s="493"/>
      <c r="CC159" s="492"/>
      <c r="CE159" s="557"/>
      <c r="CF159" s="451"/>
      <c r="CG159" s="451"/>
      <c r="CH159" s="451"/>
      <c r="CI159" s="493"/>
      <c r="CJ159" s="492"/>
      <c r="CL159" s="557"/>
      <c r="CM159" s="451"/>
      <c r="CN159" s="451"/>
      <c r="CO159" s="451"/>
      <c r="CP159" s="493"/>
      <c r="CQ159" s="492"/>
      <c r="CS159" s="557"/>
      <c r="CT159" s="451"/>
      <c r="CU159" s="451"/>
      <c r="CV159" s="451"/>
      <c r="CW159" s="493"/>
      <c r="CX159" s="492"/>
    </row>
    <row r="160" spans="1:102" s="451" customFormat="1" ht="15" customHeight="1">
      <c r="A160" s="436">
        <f t="shared" si="73"/>
        <v>2024</v>
      </c>
      <c r="B160" s="437">
        <f t="shared" si="72"/>
        <v>19506</v>
      </c>
      <c r="C160" s="545"/>
      <c r="D160" s="438">
        <f t="shared" si="27"/>
        <v>19</v>
      </c>
      <c r="E160" s="546"/>
      <c r="F160" s="505">
        <v>16500</v>
      </c>
      <c r="G160" s="565">
        <f>IFERROR(V151,0)</f>
        <v>0.81042098538058061</v>
      </c>
      <c r="H160" s="564">
        <f>V152</f>
        <v>262.92700000000002</v>
      </c>
      <c r="I160" s="443">
        <f t="shared" si="28"/>
        <v>19506</v>
      </c>
      <c r="J160" s="467"/>
      <c r="K160" s="443"/>
      <c r="L160" s="326">
        <f t="shared" ref="L160:L171" si="74">RANK(G160,$G$159:$G$171)</f>
        <v>11</v>
      </c>
      <c r="M160" s="557"/>
      <c r="P160" s="439"/>
      <c r="Q160" s="493"/>
      <c r="R160" s="492"/>
      <c r="T160" s="557"/>
      <c r="W160" s="439"/>
      <c r="X160" s="493"/>
      <c r="Y160" s="492"/>
      <c r="AA160" s="557"/>
      <c r="AD160" s="439"/>
      <c r="AE160" s="493"/>
      <c r="AF160" s="492"/>
      <c r="AH160" s="557"/>
      <c r="AK160" s="439"/>
      <c r="AL160" s="493"/>
      <c r="AM160" s="492"/>
      <c r="AO160" s="557"/>
      <c r="AR160" s="439"/>
      <c r="AS160" s="493"/>
      <c r="AT160" s="492"/>
      <c r="AV160" s="557"/>
      <c r="AY160" s="439"/>
      <c r="AZ160" s="493"/>
      <c r="BA160" s="492"/>
      <c r="BC160" s="557"/>
      <c r="BF160" s="439"/>
      <c r="BG160" s="493"/>
      <c r="BH160" s="492"/>
      <c r="BJ160" s="557"/>
      <c r="BM160" s="439"/>
      <c r="BN160" s="493"/>
      <c r="BO160" s="492"/>
      <c r="BQ160" s="557"/>
      <c r="BT160" s="439"/>
      <c r="BU160" s="493"/>
      <c r="BV160" s="492"/>
      <c r="BX160" s="557"/>
      <c r="CA160" s="439"/>
      <c r="CB160" s="493"/>
      <c r="CC160" s="492"/>
      <c r="CE160" s="557"/>
      <c r="CH160" s="439"/>
      <c r="CI160" s="493"/>
      <c r="CJ160" s="492"/>
      <c r="CL160" s="557"/>
      <c r="CO160" s="439"/>
      <c r="CP160" s="493"/>
      <c r="CQ160" s="492"/>
      <c r="CS160" s="557"/>
      <c r="CV160" s="439"/>
      <c r="CW160" s="493"/>
      <c r="CX160" s="492"/>
    </row>
    <row r="161" spans="1:102" ht="15" customHeight="1">
      <c r="A161" s="436">
        <f t="shared" si="73"/>
        <v>2025</v>
      </c>
      <c r="B161" s="437">
        <f t="shared" si="72"/>
        <v>19541</v>
      </c>
      <c r="C161" s="545"/>
      <c r="D161" s="438">
        <f t="shared" si="27"/>
        <v>20</v>
      </c>
      <c r="E161" s="546"/>
      <c r="F161" s="505">
        <v>17000</v>
      </c>
      <c r="G161" s="565">
        <f>IFERROR(AC151,0)</f>
        <v>0.81078901181327212</v>
      </c>
      <c r="H161" s="505">
        <f>AC152</f>
        <v>262.57</v>
      </c>
      <c r="I161" s="443">
        <f t="shared" si="28"/>
        <v>19541</v>
      </c>
      <c r="J161" s="467"/>
      <c r="K161" s="443"/>
      <c r="L161" s="326">
        <f t="shared" si="74"/>
        <v>8</v>
      </c>
      <c r="M161" s="557"/>
      <c r="N161" s="451"/>
      <c r="O161" s="451"/>
      <c r="P161" s="439"/>
      <c r="Q161" s="493"/>
      <c r="R161" s="492"/>
      <c r="T161" s="557"/>
      <c r="U161" s="451"/>
      <c r="V161" s="451"/>
      <c r="W161" s="439"/>
      <c r="X161" s="493"/>
      <c r="Y161" s="492"/>
      <c r="AA161" s="557"/>
      <c r="AB161" s="451"/>
      <c r="AC161" s="451"/>
      <c r="AD161" s="439"/>
      <c r="AE161" s="493"/>
      <c r="AF161" s="492"/>
      <c r="AH161" s="557"/>
      <c r="AI161" s="451"/>
      <c r="AJ161" s="451"/>
      <c r="AK161" s="439"/>
      <c r="AL161" s="493"/>
      <c r="AM161" s="492"/>
      <c r="AO161" s="557"/>
      <c r="AP161" s="451"/>
      <c r="AQ161" s="451"/>
      <c r="AR161" s="439"/>
      <c r="AS161" s="493"/>
      <c r="AT161" s="492"/>
      <c r="AV161" s="557"/>
      <c r="AW161" s="451"/>
      <c r="AX161" s="451"/>
      <c r="AY161" s="439"/>
      <c r="AZ161" s="493"/>
      <c r="BA161" s="492"/>
      <c r="BC161" s="557"/>
      <c r="BD161" s="451"/>
      <c r="BE161" s="451"/>
      <c r="BF161" s="439"/>
      <c r="BG161" s="493"/>
      <c r="BH161" s="492"/>
      <c r="BJ161" s="557"/>
      <c r="BK161" s="451"/>
      <c r="BL161" s="451"/>
      <c r="BM161" s="439"/>
      <c r="BN161" s="493"/>
      <c r="BO161" s="492"/>
      <c r="BQ161" s="557"/>
      <c r="BR161" s="451"/>
      <c r="BS161" s="451"/>
      <c r="BT161" s="439"/>
      <c r="BU161" s="493"/>
      <c r="BV161" s="492"/>
      <c r="BX161" s="557"/>
      <c r="BY161" s="451"/>
      <c r="BZ161" s="451"/>
      <c r="CA161" s="439"/>
      <c r="CB161" s="493"/>
      <c r="CC161" s="492"/>
      <c r="CE161" s="557"/>
      <c r="CF161" s="451"/>
      <c r="CG161" s="451"/>
      <c r="CH161" s="439"/>
      <c r="CI161" s="493"/>
      <c r="CJ161" s="492"/>
      <c r="CL161" s="557"/>
      <c r="CM161" s="451"/>
      <c r="CN161" s="451"/>
      <c r="CO161" s="439"/>
      <c r="CP161" s="493"/>
      <c r="CQ161" s="492"/>
      <c r="CS161" s="557"/>
      <c r="CT161" s="451"/>
      <c r="CU161" s="451"/>
      <c r="CV161" s="439"/>
      <c r="CW161" s="493"/>
      <c r="CX161" s="492"/>
    </row>
    <row r="162" spans="1:102" s="451" customFormat="1" ht="15" customHeight="1">
      <c r="A162" s="436">
        <f t="shared" si="73"/>
        <v>2026</v>
      </c>
      <c r="B162" s="437">
        <f t="shared" si="72"/>
        <v>19574</v>
      </c>
      <c r="C162" s="545"/>
      <c r="D162" s="438">
        <f t="shared" si="27"/>
        <v>21</v>
      </c>
      <c r="E162" s="546"/>
      <c r="F162" s="505">
        <v>17500</v>
      </c>
      <c r="G162" s="565">
        <f>IFERROR(AJ151,0)</f>
        <v>0.80848444299828859</v>
      </c>
      <c r="H162" s="505">
        <f>AJ152</f>
        <v>266.19799999999998</v>
      </c>
      <c r="I162" s="443">
        <f t="shared" si="28"/>
        <v>19574</v>
      </c>
      <c r="J162" s="467"/>
      <c r="K162" s="443"/>
      <c r="L162" s="326">
        <f t="shared" si="74"/>
        <v>13</v>
      </c>
      <c r="M162" s="557"/>
      <c r="Q162" s="493"/>
      <c r="R162" s="492"/>
      <c r="T162" s="557"/>
      <c r="X162" s="493"/>
      <c r="Y162" s="492"/>
      <c r="AA162" s="557"/>
      <c r="AE162" s="493"/>
      <c r="AF162" s="492"/>
      <c r="AH162" s="557"/>
      <c r="AL162" s="493"/>
      <c r="AM162" s="492"/>
      <c r="AO162" s="557"/>
      <c r="AS162" s="493"/>
      <c r="AT162" s="492"/>
      <c r="AV162" s="557"/>
      <c r="AZ162" s="493"/>
      <c r="BA162" s="492"/>
      <c r="BC162" s="557"/>
      <c r="BG162" s="493"/>
      <c r="BH162" s="492"/>
      <c r="BJ162" s="557"/>
      <c r="BN162" s="493"/>
      <c r="BO162" s="492"/>
      <c r="BQ162" s="557"/>
      <c r="BU162" s="493"/>
      <c r="BV162" s="492"/>
      <c r="BX162" s="557"/>
      <c r="CB162" s="493"/>
      <c r="CC162" s="492"/>
      <c r="CE162" s="557"/>
      <c r="CI162" s="493"/>
      <c r="CJ162" s="492"/>
      <c r="CL162" s="557"/>
      <c r="CP162" s="493"/>
      <c r="CQ162" s="492"/>
      <c r="CS162" s="557"/>
      <c r="CW162" s="493"/>
      <c r="CX162" s="492"/>
    </row>
    <row r="163" spans="1:102" s="451" customFormat="1" ht="15" customHeight="1">
      <c r="A163" s="436">
        <f t="shared" si="73"/>
        <v>2027</v>
      </c>
      <c r="B163" s="437">
        <f t="shared" si="72"/>
        <v>19607</v>
      </c>
      <c r="C163" s="545"/>
      <c r="D163" s="438">
        <f t="shared" si="27"/>
        <v>22</v>
      </c>
      <c r="E163" s="546"/>
      <c r="F163" s="505">
        <v>16900</v>
      </c>
      <c r="G163" s="565">
        <f>IFERROR(AQ151,0)</f>
        <v>0.81118237227314416</v>
      </c>
      <c r="H163" s="505">
        <f>AQ152</f>
        <v>261.97299999999996</v>
      </c>
      <c r="I163" s="443">
        <f t="shared" si="28"/>
        <v>19607</v>
      </c>
      <c r="J163" s="467"/>
      <c r="K163" s="443"/>
      <c r="L163" s="326">
        <f t="shared" si="74"/>
        <v>1</v>
      </c>
      <c r="M163" s="557"/>
      <c r="N163" s="538"/>
      <c r="O163" s="538"/>
      <c r="P163" s="566"/>
      <c r="Q163" s="493"/>
      <c r="R163" s="492"/>
      <c r="T163" s="557"/>
      <c r="X163" s="493"/>
      <c r="Y163" s="492"/>
      <c r="AA163" s="557"/>
      <c r="AE163" s="493"/>
      <c r="AF163" s="492"/>
      <c r="AH163" s="557"/>
      <c r="AL163" s="493"/>
      <c r="AM163" s="492"/>
      <c r="AO163" s="557"/>
      <c r="AS163" s="493"/>
      <c r="AT163" s="492"/>
      <c r="AV163" s="557"/>
      <c r="AZ163" s="493"/>
      <c r="BA163" s="492"/>
      <c r="BC163" s="557"/>
      <c r="BG163" s="493"/>
      <c r="BH163" s="492"/>
      <c r="BJ163" s="557"/>
      <c r="BN163" s="493"/>
      <c r="BO163" s="492"/>
      <c r="BQ163" s="557"/>
      <c r="BU163" s="493"/>
      <c r="BV163" s="492"/>
      <c r="BX163" s="557"/>
      <c r="CB163" s="493"/>
      <c r="CC163" s="492"/>
      <c r="CE163" s="557"/>
      <c r="CI163" s="493"/>
      <c r="CJ163" s="492"/>
      <c r="CL163" s="557"/>
      <c r="CP163" s="493"/>
      <c r="CQ163" s="492"/>
      <c r="CS163" s="557"/>
      <c r="CW163" s="493"/>
      <c r="CX163" s="492"/>
    </row>
    <row r="164" spans="1:102" ht="15" customHeight="1">
      <c r="A164" s="436">
        <f t="shared" si="73"/>
        <v>2028</v>
      </c>
      <c r="B164" s="437">
        <f t="shared" si="72"/>
        <v>19638</v>
      </c>
      <c r="C164" s="520"/>
      <c r="D164" s="438">
        <f t="shared" si="27"/>
        <v>23</v>
      </c>
      <c r="E164" s="508"/>
      <c r="F164" s="548">
        <v>16800</v>
      </c>
      <c r="G164" s="565">
        <f>IFERROR(AX151,0)</f>
        <v>0.81077630483957652</v>
      </c>
      <c r="H164" s="548">
        <f>AX152</f>
        <v>262.52499999999998</v>
      </c>
      <c r="I164" s="443">
        <f t="shared" si="28"/>
        <v>19638</v>
      </c>
      <c r="J164" s="469"/>
      <c r="K164" s="469"/>
      <c r="L164" s="326">
        <f t="shared" si="74"/>
        <v>9</v>
      </c>
    </row>
    <row r="165" spans="1:102" ht="15" customHeight="1">
      <c r="A165" s="436">
        <f t="shared" si="73"/>
        <v>2029</v>
      </c>
      <c r="B165" s="437">
        <f t="shared" si="72"/>
        <v>19669</v>
      </c>
      <c r="C165" s="520"/>
      <c r="D165" s="438">
        <f t="shared" si="27"/>
        <v>24</v>
      </c>
      <c r="E165" s="508"/>
      <c r="F165" s="548">
        <v>16700</v>
      </c>
      <c r="G165" s="565">
        <f>IFERROR(BE151,0)</f>
        <v>0.81047198818498589</v>
      </c>
      <c r="H165" s="548">
        <f>BE152</f>
        <v>262.89300000000003</v>
      </c>
      <c r="I165" s="443">
        <f t="shared" si="28"/>
        <v>19669</v>
      </c>
      <c r="J165" s="469"/>
      <c r="K165" s="469"/>
      <c r="L165" s="326">
        <f t="shared" si="74"/>
        <v>10</v>
      </c>
    </row>
    <row r="166" spans="1:102" ht="15" customHeight="1">
      <c r="A166" s="436">
        <f t="shared" si="73"/>
        <v>2030</v>
      </c>
      <c r="B166" s="437">
        <f t="shared" si="72"/>
        <v>19698</v>
      </c>
      <c r="C166" s="520"/>
      <c r="D166" s="438">
        <f t="shared" si="27"/>
        <v>25</v>
      </c>
      <c r="E166" s="508"/>
      <c r="F166" s="567">
        <v>16950</v>
      </c>
      <c r="G166" s="568">
        <f>IFERROR(BL151,0)</f>
        <v>0.81084609823375142</v>
      </c>
      <c r="H166" s="567">
        <f>BL152</f>
        <v>262.48099999999999</v>
      </c>
      <c r="I166" s="443">
        <f t="shared" si="28"/>
        <v>19698</v>
      </c>
      <c r="J166" s="469"/>
      <c r="K166" s="469"/>
      <c r="L166" s="326">
        <f t="shared" si="74"/>
        <v>7</v>
      </c>
    </row>
    <row r="167" spans="1:102" ht="15" customHeight="1">
      <c r="A167" s="436">
        <f t="shared" si="73"/>
        <v>2031</v>
      </c>
      <c r="B167" s="437">
        <f t="shared" si="72"/>
        <v>19727</v>
      </c>
      <c r="C167" s="520"/>
      <c r="D167" s="438">
        <f t="shared" si="27"/>
        <v>26</v>
      </c>
      <c r="E167" s="508"/>
      <c r="F167" s="567">
        <v>16940</v>
      </c>
      <c r="G167" s="568">
        <f>IFERROR(BS151,0)</f>
        <v>0.81094764342444703</v>
      </c>
      <c r="H167" s="567">
        <f>BS152</f>
        <v>262.32900000000001</v>
      </c>
      <c r="I167" s="443">
        <f t="shared" si="28"/>
        <v>19727</v>
      </c>
      <c r="J167" s="469"/>
      <c r="K167" s="469"/>
      <c r="L167" s="326">
        <f t="shared" si="74"/>
        <v>4</v>
      </c>
    </row>
    <row r="168" spans="1:102" ht="15" customHeight="1">
      <c r="A168" s="436">
        <f t="shared" si="73"/>
        <v>2032</v>
      </c>
      <c r="B168" s="437">
        <f t="shared" si="72"/>
        <v>19755</v>
      </c>
      <c r="C168" s="520"/>
      <c r="D168" s="438">
        <f t="shared" si="27"/>
        <v>27</v>
      </c>
      <c r="E168" s="508"/>
      <c r="F168" s="567">
        <v>16930</v>
      </c>
      <c r="G168" s="568">
        <f>IFERROR(BZ151,0)</f>
        <v>0.81095100581877533</v>
      </c>
      <c r="H168" s="567">
        <f>BZ152</f>
        <v>262.30799999999999</v>
      </c>
      <c r="I168" s="443">
        <f t="shared" si="28"/>
        <v>19755</v>
      </c>
      <c r="J168" s="469"/>
      <c r="K168" s="469"/>
      <c r="L168" s="326">
        <f t="shared" si="74"/>
        <v>3</v>
      </c>
    </row>
    <row r="169" spans="1:102" ht="15" customHeight="1">
      <c r="A169" s="436">
        <f t="shared" si="73"/>
        <v>2033</v>
      </c>
      <c r="B169" s="437">
        <f t="shared" si="72"/>
        <v>19782</v>
      </c>
      <c r="C169" s="520"/>
      <c r="D169" s="438">
        <f t="shared" si="27"/>
        <v>28</v>
      </c>
      <c r="E169" s="508"/>
      <c r="F169" s="567">
        <v>16920</v>
      </c>
      <c r="G169" s="568">
        <f>IFERROR(CG151,0)</f>
        <v>0.81086459135994005</v>
      </c>
      <c r="H169" s="567">
        <f>CG152</f>
        <v>262.43299999999999</v>
      </c>
      <c r="I169" s="443">
        <f t="shared" si="28"/>
        <v>19782</v>
      </c>
      <c r="J169" s="469"/>
      <c r="K169" s="469"/>
      <c r="L169" s="326">
        <f t="shared" si="74"/>
        <v>5</v>
      </c>
    </row>
    <row r="170" spans="1:102" ht="15" customHeight="1">
      <c r="A170" s="436">
        <f t="shared" si="73"/>
        <v>2034</v>
      </c>
      <c r="B170" s="437">
        <f t="shared" si="72"/>
        <v>19809</v>
      </c>
      <c r="C170" s="520"/>
      <c r="D170" s="438">
        <f t="shared" si="27"/>
        <v>29</v>
      </c>
      <c r="E170" s="508"/>
      <c r="F170" s="567">
        <v>16910</v>
      </c>
      <c r="G170" s="568">
        <f>IFERROR(CN151,0)</f>
        <v>0.81086459135994005</v>
      </c>
      <c r="H170" s="567">
        <f>CN152</f>
        <v>262.43299999999999</v>
      </c>
      <c r="I170" s="443">
        <f t="shared" si="28"/>
        <v>19809</v>
      </c>
      <c r="J170" s="469"/>
      <c r="K170" s="469"/>
      <c r="L170" s="326">
        <f t="shared" si="74"/>
        <v>5</v>
      </c>
    </row>
    <row r="171" spans="1:102" ht="15" customHeight="1">
      <c r="A171" s="522">
        <f t="shared" si="73"/>
        <v>2035</v>
      </c>
      <c r="B171" s="523">
        <f t="shared" si="72"/>
        <v>19834</v>
      </c>
      <c r="C171" s="524"/>
      <c r="D171" s="569">
        <f t="shared" si="27"/>
        <v>30</v>
      </c>
      <c r="E171" s="525"/>
      <c r="F171" s="570">
        <v>16890</v>
      </c>
      <c r="G171" s="571">
        <f>IFERROR(CU151,0)</f>
        <v>0.81096111146754579</v>
      </c>
      <c r="H171" s="570">
        <f>CU152</f>
        <v>262.28899999999999</v>
      </c>
      <c r="I171" s="528">
        <f t="shared" si="28"/>
        <v>19834</v>
      </c>
      <c r="J171" s="529"/>
      <c r="K171" s="529"/>
      <c r="L171" s="326">
        <f t="shared" si="74"/>
        <v>2</v>
      </c>
    </row>
    <row r="172" spans="1:102" ht="15" customHeight="1">
      <c r="A172" s="522">
        <f t="shared" si="73"/>
        <v>2036</v>
      </c>
      <c r="B172" s="523">
        <f t="shared" si="72"/>
        <v>19859</v>
      </c>
      <c r="C172" s="524"/>
      <c r="D172" s="569">
        <f t="shared" si="27"/>
        <v>31</v>
      </c>
      <c r="E172" s="525"/>
      <c r="F172" s="570"/>
      <c r="G172" s="571"/>
      <c r="H172" s="570"/>
      <c r="I172" s="528">
        <f t="shared" si="28"/>
        <v>19859</v>
      </c>
      <c r="J172" s="529"/>
      <c r="K172" s="529"/>
    </row>
    <row r="173" spans="1:102" ht="15" customHeight="1">
      <c r="A173" s="522">
        <f t="shared" si="73"/>
        <v>2037</v>
      </c>
      <c r="B173" s="523">
        <f t="shared" si="72"/>
        <v>19884</v>
      </c>
      <c r="C173" s="524"/>
      <c r="D173" s="569">
        <f t="shared" si="27"/>
        <v>32</v>
      </c>
      <c r="E173" s="525"/>
      <c r="F173" s="570"/>
      <c r="G173" s="571"/>
      <c r="H173" s="570"/>
      <c r="I173" s="528">
        <f t="shared" si="28"/>
        <v>19884</v>
      </c>
      <c r="J173" s="529"/>
      <c r="K173" s="529"/>
    </row>
    <row r="174" spans="1:102" ht="15" customHeight="1">
      <c r="A174" s="522">
        <f t="shared" si="73"/>
        <v>2038</v>
      </c>
      <c r="B174" s="523">
        <f t="shared" si="72"/>
        <v>19908</v>
      </c>
      <c r="C174" s="524"/>
      <c r="D174" s="569">
        <f t="shared" si="27"/>
        <v>33</v>
      </c>
      <c r="E174" s="525"/>
      <c r="F174" s="570"/>
      <c r="G174" s="571"/>
      <c r="H174" s="570"/>
      <c r="I174" s="528">
        <f t="shared" si="28"/>
        <v>19908</v>
      </c>
      <c r="J174" s="529"/>
      <c r="K174" s="529"/>
    </row>
    <row r="175" spans="1:102" ht="15" customHeight="1">
      <c r="A175" s="491"/>
      <c r="B175" s="494"/>
      <c r="C175" s="451"/>
      <c r="D175" s="439"/>
      <c r="E175" s="439"/>
      <c r="F175" s="530"/>
      <c r="G175" s="572"/>
      <c r="H175" s="451"/>
      <c r="I175" s="538"/>
      <c r="J175" s="538"/>
      <c r="O175" s="573"/>
    </row>
    <row r="176" spans="1:102" ht="15" customHeight="1">
      <c r="A176" s="424" t="s">
        <v>333</v>
      </c>
    </row>
    <row r="177" spans="1:60" ht="15" customHeight="1">
      <c r="A177" s="427" t="s">
        <v>264</v>
      </c>
      <c r="B177" s="428" t="s">
        <v>286</v>
      </c>
      <c r="C177" s="429" t="s">
        <v>334</v>
      </c>
      <c r="D177" s="429" t="s">
        <v>287</v>
      </c>
      <c r="E177" s="496"/>
      <c r="F177" s="430"/>
      <c r="G177" s="431"/>
      <c r="H177" s="432" t="s">
        <v>288</v>
      </c>
      <c r="I177" s="433">
        <f>RSQ(I178:I188,B178:B188)</f>
        <v>0.75500628317100282</v>
      </c>
      <c r="J177" s="434" t="s">
        <v>289</v>
      </c>
      <c r="K177" s="435" t="s">
        <v>290</v>
      </c>
      <c r="M177" s="532" t="s">
        <v>334</v>
      </c>
      <c r="N177" s="430"/>
      <c r="O177" s="432" t="s">
        <v>288</v>
      </c>
      <c r="P177" s="433">
        <f>RSQ($B178:$B188,P178:P188)</f>
        <v>0.75500628317100282</v>
      </c>
      <c r="Q177" s="435" t="s">
        <v>290</v>
      </c>
      <c r="S177" s="532" t="s">
        <v>334</v>
      </c>
      <c r="T177" s="430"/>
      <c r="U177" s="432" t="s">
        <v>288</v>
      </c>
      <c r="V177" s="433">
        <f>RSQ($B178:$B188,V178:V188)</f>
        <v>0.75500628317100282</v>
      </c>
      <c r="W177" s="435" t="s">
        <v>290</v>
      </c>
      <c r="Y177" s="532" t="s">
        <v>334</v>
      </c>
      <c r="Z177" s="430"/>
      <c r="AA177" s="432" t="s">
        <v>288</v>
      </c>
      <c r="AB177" s="433">
        <f>RSQ($B178:$B188,AB178:AB188)</f>
        <v>0.75500628317100282</v>
      </c>
      <c r="AC177" s="435" t="s">
        <v>290</v>
      </c>
      <c r="AE177" s="532" t="s">
        <v>334</v>
      </c>
      <c r="AF177" s="430"/>
      <c r="AG177" s="432" t="s">
        <v>288</v>
      </c>
      <c r="AH177" s="433">
        <f>RSQ($B178:$B188,AH178:AH188)</f>
        <v>0.75500628317100282</v>
      </c>
      <c r="AI177" s="435" t="s">
        <v>290</v>
      </c>
      <c r="AK177" s="532" t="s">
        <v>334</v>
      </c>
      <c r="AL177" s="430"/>
      <c r="AM177" s="432" t="s">
        <v>288</v>
      </c>
      <c r="AN177" s="433">
        <f>RSQ($B178:$B188,AN178:AN188)</f>
        <v>0.75500628317100282</v>
      </c>
      <c r="AO177" s="435" t="s">
        <v>290</v>
      </c>
      <c r="AQ177" s="532" t="s">
        <v>334</v>
      </c>
      <c r="AR177" s="430"/>
      <c r="AS177" s="432" t="s">
        <v>288</v>
      </c>
      <c r="AT177" s="433">
        <f>RSQ($B178:$B188,AT178:AT188)</f>
        <v>0.75500628317100282</v>
      </c>
      <c r="AU177" s="435" t="s">
        <v>290</v>
      </c>
      <c r="AW177" s="532" t="s">
        <v>334</v>
      </c>
      <c r="AX177" s="430"/>
      <c r="AY177" s="432" t="s">
        <v>288</v>
      </c>
      <c r="AZ177" s="433">
        <f>RSQ($B178:$B188,AZ178:AZ188)</f>
        <v>0.75500628317100282</v>
      </c>
      <c r="BA177" s="435" t="s">
        <v>290</v>
      </c>
      <c r="BC177" s="532" t="s">
        <v>334</v>
      </c>
      <c r="BD177" s="430"/>
      <c r="BE177" s="432" t="s">
        <v>288</v>
      </c>
      <c r="BF177" s="433">
        <f>RSQ($B178:$B188,BF178:BF188)</f>
        <v>0.75500628317100282</v>
      </c>
      <c r="BG177" s="435" t="s">
        <v>290</v>
      </c>
    </row>
    <row r="178" spans="1:60" ht="15" customHeight="1">
      <c r="A178" s="436">
        <f t="shared" ref="A178:B189" si="75">A142</f>
        <v>2006</v>
      </c>
      <c r="B178" s="437">
        <f t="shared" si="75"/>
        <v>18154</v>
      </c>
      <c r="C178" s="533">
        <f t="shared" ref="C178:C188" si="76">LN(F$182/B178-1)</f>
        <v>3.762766868101139</v>
      </c>
      <c r="D178" s="438">
        <f t="shared" ref="D178:D184" si="77">D142</f>
        <v>1</v>
      </c>
      <c r="E178" s="498" t="s">
        <v>362</v>
      </c>
      <c r="F178" s="439"/>
      <c r="H178" s="574"/>
      <c r="I178" s="502">
        <f t="shared" ref="I178:I210" si="78">ROUND($F$182/(1+EXP($F$187+$F$186*D178)),$G$1)</f>
        <v>18281</v>
      </c>
      <c r="J178" s="444">
        <f t="shared" ref="J178:J188" si="79">ABS(B178-I178)/B178*100</f>
        <v>0.69957034262421502</v>
      </c>
      <c r="K178" s="443">
        <f t="shared" ref="K178:K188" si="80">(B178-I178)^2/1000</f>
        <v>16.129000000000001</v>
      </c>
      <c r="M178" s="575">
        <f t="shared" ref="M178:M188" si="81">LN($O$181/B178-1)</f>
        <v>3.762766868101139</v>
      </c>
      <c r="N178" s="539" t="s">
        <v>362</v>
      </c>
      <c r="O178" s="439"/>
      <c r="P178" s="469">
        <f t="shared" ref="P178:P188" si="82">ROUND(O$181/(1+EXP(O$185+O$184*$D178)),$G$1)</f>
        <v>18281</v>
      </c>
      <c r="Q178" s="502">
        <f t="shared" ref="Q178:Q183" si="83">($B178-P178)^2/1000</f>
        <v>16.129000000000001</v>
      </c>
      <c r="S178" s="575">
        <f>LN($U$181/$B178-1)</f>
        <v>3.8831265154828438</v>
      </c>
      <c r="T178" s="539" t="s">
        <v>362</v>
      </c>
      <c r="U178" s="439"/>
      <c r="V178" s="469">
        <f t="shared" ref="V178:V188" si="84">ROUND(U$181/(1+EXP(U$185+U$184*$D178)),$G$1)</f>
        <v>18281</v>
      </c>
      <c r="W178" s="502">
        <f t="shared" ref="W178:W183" si="85">($B178-V178)^2/1000</f>
        <v>16.129000000000001</v>
      </c>
      <c r="Y178" s="575">
        <f>LN($AA$181/$B178-1)</f>
        <v>3.9905435511414571</v>
      </c>
      <c r="Z178" s="539" t="s">
        <v>362</v>
      </c>
      <c r="AA178" s="439"/>
      <c r="AB178" s="469">
        <f t="shared" ref="AB178:AB188" si="86">ROUND(AA$181/(1+EXP(AA$185+AA$184*$D178)),$G$1)</f>
        <v>18281</v>
      </c>
      <c r="AC178" s="502">
        <f t="shared" ref="AC178:AC185" si="87">($B178-AB178)^2/1000</f>
        <v>16.129000000000001</v>
      </c>
      <c r="AE178" s="575">
        <f>LN($AG$181/$B178-1)</f>
        <v>4.6928930904731088</v>
      </c>
      <c r="AF178" s="539" t="s">
        <v>362</v>
      </c>
      <c r="AG178" s="439"/>
      <c r="AH178" s="469">
        <f t="shared" ref="AH178:AH188" si="88">ROUND(AG$181/(1+EXP(AG$185+AG$184*$D178)),$G$1)</f>
        <v>18281</v>
      </c>
      <c r="AI178" s="502">
        <f t="shared" ref="AI178:AI185" si="89">($B178-AH178)^2/1000</f>
        <v>16.129000000000001</v>
      </c>
      <c r="AK178" s="575">
        <f>LN($AM$181/$B178-1)</f>
        <v>5.1014069286942041</v>
      </c>
      <c r="AL178" s="539" t="s">
        <v>362</v>
      </c>
      <c r="AM178" s="439"/>
      <c r="AN178" s="469">
        <f t="shared" ref="AN178:AN188" si="90">ROUND(AM$181/(1+EXP(AM$185+AM$184*$D178)),$G$1)</f>
        <v>18281</v>
      </c>
      <c r="AO178" s="502">
        <f t="shared" ref="AO178:AO187" si="91">($B178-AN178)^2/1000</f>
        <v>16.129000000000001</v>
      </c>
      <c r="AQ178" s="575">
        <f>LN($AS$181/$B178-1)</f>
        <v>5.3906098877386972</v>
      </c>
      <c r="AR178" s="539" t="s">
        <v>362</v>
      </c>
      <c r="AS178" s="439"/>
      <c r="AT178" s="469">
        <f t="shared" ref="AT178:AT188" si="92">ROUND(AS$181/(1+EXP(AS$185+AS$184*$D178)),$G$1)</f>
        <v>18281</v>
      </c>
      <c r="AU178" s="502">
        <f t="shared" ref="AU178:AU185" si="93">($B178-AT178)^2/1000</f>
        <v>16.129000000000001</v>
      </c>
      <c r="AW178" s="575">
        <f>LN($AY$181/$B178-1)</f>
        <v>5.6146648619593167</v>
      </c>
      <c r="AX178" s="539" t="s">
        <v>362</v>
      </c>
      <c r="AY178" s="439"/>
      <c r="AZ178" s="469">
        <f t="shared" ref="AZ178:AZ188" si="94">ROUND(AY$181/(1+EXP(AY$185+AY$184*$D178)),$G$1)</f>
        <v>18281</v>
      </c>
      <c r="BA178" s="502">
        <f t="shared" ref="BA178:BA185" si="95">($B178-AZ178)^2/1000</f>
        <v>16.129000000000001</v>
      </c>
      <c r="BC178" s="575">
        <f>LN($BE$181/$B178-1)</f>
        <v>5.7975935728557166</v>
      </c>
      <c r="BD178" s="539" t="s">
        <v>362</v>
      </c>
      <c r="BE178" s="439"/>
      <c r="BF178" s="469">
        <f t="shared" ref="BF178:BF188" si="96">ROUND(BE$181/(1+EXP(BE$185+BE$184*$D178)),$G$1)</f>
        <v>18281</v>
      </c>
      <c r="BG178" s="502">
        <f t="shared" ref="BG178:BG185" si="97">($B178-BF178)^2/1000</f>
        <v>16.129000000000001</v>
      </c>
    </row>
    <row r="179" spans="1:60" ht="15" customHeight="1">
      <c r="A179" s="436">
        <f t="shared" si="75"/>
        <v>2007</v>
      </c>
      <c r="B179" s="437">
        <f t="shared" si="75"/>
        <v>18414</v>
      </c>
      <c r="C179" s="533">
        <f t="shared" si="76"/>
        <v>3.7482139437270625</v>
      </c>
      <c r="D179" s="438">
        <f t="shared" si="77"/>
        <v>2</v>
      </c>
      <c r="E179" s="498" t="s">
        <v>363</v>
      </c>
      <c r="F179" s="439"/>
      <c r="H179" s="574"/>
      <c r="I179" s="443">
        <f t="shared" si="78"/>
        <v>18377</v>
      </c>
      <c r="J179" s="446">
        <f t="shared" si="79"/>
        <v>0.20093407190181384</v>
      </c>
      <c r="K179" s="443">
        <f t="shared" si="80"/>
        <v>1.369</v>
      </c>
      <c r="M179" s="576">
        <f t="shared" si="81"/>
        <v>3.7482139437270625</v>
      </c>
      <c r="N179" s="539"/>
      <c r="O179" s="439"/>
      <c r="P179" s="469">
        <f t="shared" si="82"/>
        <v>18377</v>
      </c>
      <c r="Q179" s="443">
        <f t="shared" si="83"/>
        <v>1.369</v>
      </c>
      <c r="S179" s="576">
        <f t="shared" ref="S179:S188" si="98">LN($U$181/$B179-1)</f>
        <v>3.8686113131891182</v>
      </c>
      <c r="T179" s="539"/>
      <c r="U179" s="439"/>
      <c r="V179" s="469">
        <f t="shared" si="84"/>
        <v>18377</v>
      </c>
      <c r="W179" s="443">
        <f t="shared" si="85"/>
        <v>1.369</v>
      </c>
      <c r="Y179" s="576">
        <f t="shared" ref="Y179:Y188" si="99">LN($AA$181/$B179-1)</f>
        <v>3.9760583860006502</v>
      </c>
      <c r="Z179" s="539"/>
      <c r="AA179" s="439"/>
      <c r="AB179" s="469">
        <f t="shared" si="86"/>
        <v>18377</v>
      </c>
      <c r="AC179" s="443">
        <f t="shared" si="87"/>
        <v>1.369</v>
      </c>
      <c r="AE179" s="576">
        <f t="shared" ref="AE179:AE188" si="100">LN($AG$181/$B179-1)</f>
        <v>4.6785415682865574</v>
      </c>
      <c r="AF179" s="539"/>
      <c r="AG179" s="439"/>
      <c r="AH179" s="469">
        <f t="shared" si="88"/>
        <v>18377</v>
      </c>
      <c r="AI179" s="443">
        <f t="shared" si="89"/>
        <v>1.369</v>
      </c>
      <c r="AK179" s="576">
        <f t="shared" ref="AK179:AK188" si="101">LN($AM$181/$B179-1)</f>
        <v>5.0870994078228486</v>
      </c>
      <c r="AL179" s="539"/>
      <c r="AM179" s="439"/>
      <c r="AN179" s="469">
        <f t="shared" si="90"/>
        <v>18377</v>
      </c>
      <c r="AO179" s="443">
        <f t="shared" si="91"/>
        <v>1.369</v>
      </c>
      <c r="AQ179" s="576">
        <f t="shared" ref="AQ179:AQ188" si="102">LN($AS$181/$B179-1)</f>
        <v>5.3763242664981066</v>
      </c>
      <c r="AR179" s="539"/>
      <c r="AS179" s="439"/>
      <c r="AT179" s="469">
        <f t="shared" si="92"/>
        <v>18377</v>
      </c>
      <c r="AU179" s="443">
        <f t="shared" si="93"/>
        <v>1.369</v>
      </c>
      <c r="AW179" s="576">
        <f t="shared" ref="AW179:AW188" si="103">LN($AY$181/$B179-1)</f>
        <v>5.6003923483465803</v>
      </c>
      <c r="AX179" s="539"/>
      <c r="AY179" s="439"/>
      <c r="AZ179" s="469">
        <f t="shared" si="94"/>
        <v>18377</v>
      </c>
      <c r="BA179" s="443">
        <f t="shared" si="95"/>
        <v>1.369</v>
      </c>
      <c r="BC179" s="576">
        <f t="shared" ref="BC179:BC188" si="104">LN($BE$181/$B179-1)</f>
        <v>5.7833297843064129</v>
      </c>
      <c r="BD179" s="539"/>
      <c r="BE179" s="439"/>
      <c r="BF179" s="469">
        <f t="shared" si="96"/>
        <v>18377</v>
      </c>
      <c r="BG179" s="443">
        <f t="shared" si="97"/>
        <v>1.369</v>
      </c>
    </row>
    <row r="180" spans="1:60" ht="15" customHeight="1">
      <c r="A180" s="436">
        <f t="shared" si="75"/>
        <v>2008</v>
      </c>
      <c r="B180" s="437">
        <f t="shared" si="75"/>
        <v>18251</v>
      </c>
      <c r="C180" s="533">
        <f t="shared" si="76"/>
        <v>3.7573138441079252</v>
      </c>
      <c r="D180" s="438">
        <f t="shared" si="77"/>
        <v>3</v>
      </c>
      <c r="H180" s="574"/>
      <c r="I180" s="443">
        <f t="shared" si="78"/>
        <v>18474</v>
      </c>
      <c r="J180" s="446">
        <f t="shared" si="79"/>
        <v>1.2218508574872609</v>
      </c>
      <c r="K180" s="443">
        <f t="shared" si="80"/>
        <v>49.728999999999999</v>
      </c>
      <c r="M180" s="576">
        <f t="shared" si="81"/>
        <v>3.7573138441079252</v>
      </c>
      <c r="N180" s="539" t="s">
        <v>363</v>
      </c>
      <c r="O180" s="439"/>
      <c r="P180" s="469">
        <f t="shared" si="82"/>
        <v>18474</v>
      </c>
      <c r="Q180" s="443">
        <f t="shared" si="83"/>
        <v>49.728999999999999</v>
      </c>
      <c r="S180" s="576">
        <f t="shared" si="98"/>
        <v>3.8776875619593274</v>
      </c>
      <c r="T180" s="539" t="s">
        <v>363</v>
      </c>
      <c r="U180" s="439"/>
      <c r="V180" s="469">
        <f t="shared" si="84"/>
        <v>18474</v>
      </c>
      <c r="W180" s="443">
        <f t="shared" si="85"/>
        <v>49.728999999999999</v>
      </c>
      <c r="Y180" s="576">
        <f t="shared" si="99"/>
        <v>3.9851158018204629</v>
      </c>
      <c r="Z180" s="539" t="s">
        <v>363</v>
      </c>
      <c r="AA180" s="439"/>
      <c r="AB180" s="469">
        <f t="shared" si="86"/>
        <v>18474</v>
      </c>
      <c r="AC180" s="443">
        <f t="shared" si="87"/>
        <v>49.728999999999999</v>
      </c>
      <c r="AE180" s="576">
        <f t="shared" si="100"/>
        <v>4.6875151940647379</v>
      </c>
      <c r="AF180" s="539" t="s">
        <v>363</v>
      </c>
      <c r="AG180" s="439"/>
      <c r="AH180" s="469">
        <f t="shared" si="88"/>
        <v>18474</v>
      </c>
      <c r="AI180" s="443">
        <f t="shared" si="89"/>
        <v>49.728999999999999</v>
      </c>
      <c r="AK180" s="576">
        <f t="shared" si="101"/>
        <v>5.0960454470373167</v>
      </c>
      <c r="AL180" s="539" t="s">
        <v>363</v>
      </c>
      <c r="AM180" s="439"/>
      <c r="AN180" s="469">
        <f t="shared" si="90"/>
        <v>18474</v>
      </c>
      <c r="AO180" s="443">
        <f t="shared" si="91"/>
        <v>49.728999999999999</v>
      </c>
      <c r="AQ180" s="576">
        <f t="shared" si="102"/>
        <v>5.3852565759381221</v>
      </c>
      <c r="AR180" s="539" t="s">
        <v>363</v>
      </c>
      <c r="AS180" s="439"/>
      <c r="AT180" s="469">
        <f t="shared" si="92"/>
        <v>18474</v>
      </c>
      <c r="AU180" s="443">
        <f t="shared" si="93"/>
        <v>49.728999999999999</v>
      </c>
      <c r="AW180" s="576">
        <f t="shared" si="103"/>
        <v>5.6093164401321154</v>
      </c>
      <c r="AX180" s="539" t="s">
        <v>363</v>
      </c>
      <c r="AY180" s="439"/>
      <c r="AZ180" s="469">
        <f t="shared" si="94"/>
        <v>18474</v>
      </c>
      <c r="BA180" s="443">
        <f t="shared" si="95"/>
        <v>49.728999999999999</v>
      </c>
      <c r="BC180" s="576">
        <f t="shared" si="104"/>
        <v>5.7922484060507315</v>
      </c>
      <c r="BD180" s="539" t="s">
        <v>363</v>
      </c>
      <c r="BE180" s="439"/>
      <c r="BF180" s="469">
        <f t="shared" si="96"/>
        <v>18474</v>
      </c>
      <c r="BG180" s="443">
        <f t="shared" si="97"/>
        <v>49.728999999999999</v>
      </c>
    </row>
    <row r="181" spans="1:60" ht="15" customHeight="1">
      <c r="A181" s="436">
        <f t="shared" si="75"/>
        <v>2009</v>
      </c>
      <c r="B181" s="437">
        <f t="shared" si="75"/>
        <v>18588</v>
      </c>
      <c r="C181" s="533">
        <f t="shared" si="76"/>
        <v>3.738586328331766</v>
      </c>
      <c r="D181" s="438">
        <f t="shared" si="77"/>
        <v>4</v>
      </c>
      <c r="E181" s="540"/>
      <c r="G181" s="451"/>
      <c r="H181" s="442"/>
      <c r="I181" s="443">
        <f t="shared" si="78"/>
        <v>18571</v>
      </c>
      <c r="J181" s="446">
        <f t="shared" si="79"/>
        <v>9.1456853884226377E-2</v>
      </c>
      <c r="K181" s="443">
        <f t="shared" si="80"/>
        <v>0.28899999999999998</v>
      </c>
      <c r="M181" s="576">
        <f t="shared" si="81"/>
        <v>3.738586328331766</v>
      </c>
      <c r="N181" s="439" t="s">
        <v>337</v>
      </c>
      <c r="O181" s="577">
        <f>E200</f>
        <v>800000</v>
      </c>
      <c r="P181" s="469">
        <f t="shared" si="82"/>
        <v>18571</v>
      </c>
      <c r="Q181" s="443">
        <f t="shared" si="83"/>
        <v>0.28899999999999998</v>
      </c>
      <c r="S181" s="576">
        <f t="shared" si="98"/>
        <v>3.8590089557963556</v>
      </c>
      <c r="T181" s="439" t="s">
        <v>337</v>
      </c>
      <c r="U181" s="363">
        <f>E201</f>
        <v>900000</v>
      </c>
      <c r="V181" s="469">
        <f t="shared" si="84"/>
        <v>18571</v>
      </c>
      <c r="W181" s="443">
        <f t="shared" si="85"/>
        <v>0.28899999999999998</v>
      </c>
      <c r="Y181" s="576">
        <f t="shared" si="99"/>
        <v>3.9664761397885187</v>
      </c>
      <c r="Z181" s="439" t="s">
        <v>337</v>
      </c>
      <c r="AA181" s="363">
        <f>E202</f>
        <v>1000000</v>
      </c>
      <c r="AB181" s="469">
        <f t="shared" si="86"/>
        <v>18571</v>
      </c>
      <c r="AC181" s="443">
        <f t="shared" si="87"/>
        <v>0.28899999999999998</v>
      </c>
      <c r="AE181" s="576">
        <f t="shared" si="100"/>
        <v>4.6690487896216704</v>
      </c>
      <c r="AF181" s="439" t="s">
        <v>337</v>
      </c>
      <c r="AG181" s="363">
        <f>E203</f>
        <v>2000000</v>
      </c>
      <c r="AH181" s="469">
        <f t="shared" si="88"/>
        <v>18571</v>
      </c>
      <c r="AI181" s="443">
        <f t="shared" si="89"/>
        <v>0.28899999999999998</v>
      </c>
      <c r="AK181" s="576">
        <f t="shared" si="101"/>
        <v>5.0776360815602173</v>
      </c>
      <c r="AL181" s="439" t="s">
        <v>337</v>
      </c>
      <c r="AM181" s="363">
        <f>E204</f>
        <v>3000000</v>
      </c>
      <c r="AN181" s="469">
        <f t="shared" si="90"/>
        <v>18571</v>
      </c>
      <c r="AO181" s="443">
        <f t="shared" si="91"/>
        <v>0.28899999999999998</v>
      </c>
      <c r="AQ181" s="576">
        <f t="shared" si="102"/>
        <v>5.3668755980077298</v>
      </c>
      <c r="AR181" s="439" t="s">
        <v>337</v>
      </c>
      <c r="AS181" s="363">
        <f>E205</f>
        <v>4000000</v>
      </c>
      <c r="AT181" s="469">
        <f t="shared" si="92"/>
        <v>18571</v>
      </c>
      <c r="AU181" s="443">
        <f t="shared" si="93"/>
        <v>0.28899999999999998</v>
      </c>
      <c r="AW181" s="576">
        <f t="shared" si="103"/>
        <v>5.5909524527443057</v>
      </c>
      <c r="AX181" s="439" t="s">
        <v>337</v>
      </c>
      <c r="AY181" s="363">
        <f>E206</f>
        <v>5000000</v>
      </c>
      <c r="AZ181" s="469">
        <f t="shared" si="94"/>
        <v>18571</v>
      </c>
      <c r="BA181" s="443">
        <f t="shared" si="95"/>
        <v>0.28899999999999998</v>
      </c>
      <c r="BC181" s="576">
        <f t="shared" si="104"/>
        <v>5.7738957282512491</v>
      </c>
      <c r="BD181" s="439" t="s">
        <v>337</v>
      </c>
      <c r="BE181" s="363">
        <f>E207</f>
        <v>6000000</v>
      </c>
      <c r="BF181" s="469">
        <f t="shared" si="96"/>
        <v>18571</v>
      </c>
      <c r="BG181" s="443">
        <f t="shared" si="97"/>
        <v>0.28899999999999998</v>
      </c>
    </row>
    <row r="182" spans="1:60" ht="15" customHeight="1">
      <c r="A182" s="436">
        <f t="shared" si="75"/>
        <v>2010</v>
      </c>
      <c r="B182" s="437">
        <f t="shared" si="75"/>
        <v>19021</v>
      </c>
      <c r="C182" s="533">
        <f t="shared" si="76"/>
        <v>3.7150046289031238</v>
      </c>
      <c r="D182" s="438">
        <f t="shared" si="77"/>
        <v>5</v>
      </c>
      <c r="E182" s="540" t="s">
        <v>337</v>
      </c>
      <c r="F182" s="577">
        <f>INDEX(E200:L207,MATCH(1,L200:L207,0),1)</f>
        <v>800000</v>
      </c>
      <c r="G182" s="451"/>
      <c r="I182" s="443">
        <f t="shared" si="78"/>
        <v>18668</v>
      </c>
      <c r="J182" s="446">
        <f t="shared" si="79"/>
        <v>1.8558435413490351</v>
      </c>
      <c r="K182" s="443">
        <f t="shared" si="80"/>
        <v>124.60899999999999</v>
      </c>
      <c r="M182" s="576">
        <f t="shared" si="81"/>
        <v>3.7150046289031238</v>
      </c>
      <c r="N182" s="578" t="s">
        <v>338</v>
      </c>
      <c r="O182" s="505">
        <f>MAX($B178:$B188)</f>
        <v>19214</v>
      </c>
      <c r="P182" s="469">
        <f t="shared" si="82"/>
        <v>18668</v>
      </c>
      <c r="Q182" s="443">
        <f t="shared" si="83"/>
        <v>124.60899999999999</v>
      </c>
      <c r="S182" s="576">
        <f t="shared" si="98"/>
        <v>3.8354901571320048</v>
      </c>
      <c r="T182" s="578" t="s">
        <v>338</v>
      </c>
      <c r="U182" s="505">
        <f>MAX($B178:$B188)</f>
        <v>19214</v>
      </c>
      <c r="V182" s="469">
        <f t="shared" si="84"/>
        <v>18668</v>
      </c>
      <c r="W182" s="443">
        <f t="shared" si="85"/>
        <v>124.60899999999999</v>
      </c>
      <c r="Y182" s="576">
        <f t="shared" si="99"/>
        <v>3.943007420637703</v>
      </c>
      <c r="Z182" s="578" t="s">
        <v>338</v>
      </c>
      <c r="AA182" s="505">
        <f>MAX($B178:$B188)</f>
        <v>19214</v>
      </c>
      <c r="AB182" s="469">
        <f t="shared" si="86"/>
        <v>18668</v>
      </c>
      <c r="AC182" s="443">
        <f t="shared" si="87"/>
        <v>124.60899999999999</v>
      </c>
      <c r="AE182" s="576">
        <f t="shared" si="100"/>
        <v>4.645802813964945</v>
      </c>
      <c r="AF182" s="578" t="s">
        <v>338</v>
      </c>
      <c r="AG182" s="505">
        <f>MAX($B178:$B188)</f>
        <v>19214</v>
      </c>
      <c r="AH182" s="469">
        <f t="shared" si="88"/>
        <v>18668</v>
      </c>
      <c r="AI182" s="443">
        <f t="shared" si="89"/>
        <v>124.60899999999999</v>
      </c>
      <c r="AK182" s="576">
        <f t="shared" si="101"/>
        <v>5.0544634170666534</v>
      </c>
      <c r="AL182" s="578" t="s">
        <v>338</v>
      </c>
      <c r="AM182" s="505">
        <f>MAX($B178:$B188)</f>
        <v>19214</v>
      </c>
      <c r="AN182" s="469">
        <f t="shared" si="90"/>
        <v>18668</v>
      </c>
      <c r="AO182" s="443">
        <f t="shared" si="91"/>
        <v>124.60899999999999</v>
      </c>
      <c r="AQ182" s="576">
        <f t="shared" si="102"/>
        <v>5.343739415959182</v>
      </c>
      <c r="AR182" s="578" t="s">
        <v>338</v>
      </c>
      <c r="AS182" s="505">
        <f>MAX($B178:$B188)</f>
        <v>19214</v>
      </c>
      <c r="AT182" s="469">
        <f t="shared" si="92"/>
        <v>18668</v>
      </c>
      <c r="AU182" s="443">
        <f t="shared" si="93"/>
        <v>124.60899999999999</v>
      </c>
      <c r="AW182" s="576">
        <f t="shared" si="103"/>
        <v>5.5678381050728127</v>
      </c>
      <c r="AX182" s="578" t="s">
        <v>338</v>
      </c>
      <c r="AY182" s="505">
        <f>MAX($B178:$B188)</f>
        <v>19214</v>
      </c>
      <c r="AZ182" s="469">
        <f t="shared" si="94"/>
        <v>18668</v>
      </c>
      <c r="BA182" s="443">
        <f t="shared" si="95"/>
        <v>124.60899999999999</v>
      </c>
      <c r="BC182" s="576">
        <f t="shared" si="104"/>
        <v>5.7507959139491467</v>
      </c>
      <c r="BD182" s="578" t="s">
        <v>338</v>
      </c>
      <c r="BE182" s="505">
        <f>MAX($B178:$B188)</f>
        <v>19214</v>
      </c>
      <c r="BF182" s="469">
        <f t="shared" si="96"/>
        <v>18668</v>
      </c>
      <c r="BG182" s="443">
        <f t="shared" si="97"/>
        <v>124.60899999999999</v>
      </c>
    </row>
    <row r="183" spans="1:60" ht="15" customHeight="1">
      <c r="A183" s="436">
        <f t="shared" si="75"/>
        <v>2011</v>
      </c>
      <c r="B183" s="437">
        <f t="shared" si="75"/>
        <v>18690</v>
      </c>
      <c r="C183" s="533">
        <f t="shared" si="76"/>
        <v>3.7329833766341709</v>
      </c>
      <c r="D183" s="438">
        <f t="shared" si="77"/>
        <v>6</v>
      </c>
      <c r="E183" s="578" t="s">
        <v>338</v>
      </c>
      <c r="F183" s="505">
        <f>MAX(B178:B188)</f>
        <v>19214</v>
      </c>
      <c r="G183" s="451"/>
      <c r="H183" s="442"/>
      <c r="I183" s="443">
        <f t="shared" si="78"/>
        <v>18766</v>
      </c>
      <c r="J183" s="446">
        <f t="shared" si="79"/>
        <v>0.40663456393793473</v>
      </c>
      <c r="K183" s="443">
        <f t="shared" si="80"/>
        <v>5.7759999999999998</v>
      </c>
      <c r="M183" s="576">
        <f t="shared" si="81"/>
        <v>3.7329833766341709</v>
      </c>
      <c r="N183" s="578" t="s">
        <v>339</v>
      </c>
      <c r="O183" s="505">
        <f>AVERAGE($B184:$B188)</f>
        <v>19068.8</v>
      </c>
      <c r="P183" s="469">
        <f t="shared" si="82"/>
        <v>18766</v>
      </c>
      <c r="Q183" s="443">
        <f t="shared" si="83"/>
        <v>5.7759999999999998</v>
      </c>
      <c r="S183" s="576">
        <f t="shared" si="98"/>
        <v>3.8534208154477043</v>
      </c>
      <c r="T183" s="578" t="s">
        <v>339</v>
      </c>
      <c r="U183" s="505">
        <f>AVERAGE($B184:$B188)</f>
        <v>19068.8</v>
      </c>
      <c r="V183" s="469">
        <f t="shared" si="84"/>
        <v>18766</v>
      </c>
      <c r="W183" s="443">
        <f t="shared" si="85"/>
        <v>5.7759999999999998</v>
      </c>
      <c r="Y183" s="576">
        <f t="shared" si="99"/>
        <v>3.9608997922565909</v>
      </c>
      <c r="Z183" s="578" t="s">
        <v>339</v>
      </c>
      <c r="AA183" s="505">
        <f>AVERAGE($B184:$B188)</f>
        <v>19068.8</v>
      </c>
      <c r="AB183" s="469">
        <f t="shared" si="86"/>
        <v>18766</v>
      </c>
      <c r="AC183" s="443">
        <f t="shared" si="87"/>
        <v>5.7759999999999998</v>
      </c>
      <c r="AE183" s="576">
        <f t="shared" si="100"/>
        <v>4.6635248996112431</v>
      </c>
      <c r="AF183" s="578" t="s">
        <v>339</v>
      </c>
      <c r="AG183" s="505">
        <f>AVERAGE($B184:$B188)</f>
        <v>19068.8</v>
      </c>
      <c r="AH183" s="469">
        <f t="shared" si="88"/>
        <v>18766</v>
      </c>
      <c r="AI183" s="443">
        <f t="shared" si="89"/>
        <v>5.7759999999999998</v>
      </c>
      <c r="AK183" s="576">
        <f t="shared" si="101"/>
        <v>5.0721294587528227</v>
      </c>
      <c r="AL183" s="578" t="s">
        <v>339</v>
      </c>
      <c r="AM183" s="505">
        <f>AVERAGE($B184:$B188)</f>
        <v>19068.8</v>
      </c>
      <c r="AN183" s="469">
        <f t="shared" si="90"/>
        <v>18766</v>
      </c>
      <c r="AO183" s="443">
        <f t="shared" si="91"/>
        <v>5.7759999999999998</v>
      </c>
      <c r="AQ183" s="576">
        <f t="shared" si="102"/>
        <v>5.3613775683830829</v>
      </c>
      <c r="AR183" s="578" t="s">
        <v>339</v>
      </c>
      <c r="AS183" s="505">
        <f>AVERAGE($B184:$B188)</f>
        <v>19068.8</v>
      </c>
      <c r="AT183" s="469">
        <f t="shared" si="92"/>
        <v>18766</v>
      </c>
      <c r="AU183" s="443">
        <f t="shared" si="93"/>
        <v>5.7759999999999998</v>
      </c>
      <c r="AW183" s="576">
        <f t="shared" si="103"/>
        <v>5.5854595661678967</v>
      </c>
      <c r="AX183" s="578" t="s">
        <v>339</v>
      </c>
      <c r="AY183" s="505">
        <f>AVERAGE($B184:$B188)</f>
        <v>19068.8</v>
      </c>
      <c r="AZ183" s="469">
        <f t="shared" si="94"/>
        <v>18766</v>
      </c>
      <c r="BA183" s="443">
        <f t="shared" si="95"/>
        <v>5.7759999999999998</v>
      </c>
      <c r="BC183" s="576">
        <f t="shared" si="104"/>
        <v>5.7684062650314418</v>
      </c>
      <c r="BD183" s="578" t="s">
        <v>339</v>
      </c>
      <c r="BE183" s="505">
        <f>AVERAGE($B184:$B188)</f>
        <v>19068.8</v>
      </c>
      <c r="BF183" s="469">
        <f t="shared" si="96"/>
        <v>18766</v>
      </c>
      <c r="BG183" s="443">
        <f t="shared" si="97"/>
        <v>5.7759999999999998</v>
      </c>
    </row>
    <row r="184" spans="1:60" ht="15" customHeight="1">
      <c r="A184" s="436">
        <f t="shared" si="75"/>
        <v>2012</v>
      </c>
      <c r="B184" s="437">
        <f t="shared" si="75"/>
        <v>18920</v>
      </c>
      <c r="C184" s="533">
        <f t="shared" si="76"/>
        <v>3.7204580137485639</v>
      </c>
      <c r="D184" s="438">
        <f t="shared" si="77"/>
        <v>7</v>
      </c>
      <c r="E184" s="578" t="s">
        <v>339</v>
      </c>
      <c r="F184" s="505">
        <f>AVERAGE(B184:B188)</f>
        <v>19068.8</v>
      </c>
      <c r="G184" s="451"/>
      <c r="H184" s="442"/>
      <c r="I184" s="443">
        <f t="shared" si="78"/>
        <v>18864</v>
      </c>
      <c r="J184" s="446">
        <f t="shared" si="79"/>
        <v>0.29598308668076112</v>
      </c>
      <c r="K184" s="443">
        <f t="shared" si="80"/>
        <v>3.1360000000000001</v>
      </c>
      <c r="M184" s="576">
        <f t="shared" si="81"/>
        <v>3.7204580137485639</v>
      </c>
      <c r="N184" s="579" t="s">
        <v>340</v>
      </c>
      <c r="O184" s="504">
        <f>INDEX(LINEST(M178:M188,$D178:$D188),1)</f>
        <v>-5.3556311905893798E-3</v>
      </c>
      <c r="P184" s="469">
        <f t="shared" si="82"/>
        <v>18864</v>
      </c>
      <c r="Q184" s="443">
        <f>($B184-P184)^2/1000</f>
        <v>3.1360000000000001</v>
      </c>
      <c r="S184" s="576">
        <f t="shared" si="98"/>
        <v>3.8409288640922248</v>
      </c>
      <c r="T184" s="579" t="s">
        <v>340</v>
      </c>
      <c r="U184" s="504">
        <f>INDEX(LINEST(S178:S188,$D178:$D188),1)</f>
        <v>-5.3414400001304723E-3</v>
      </c>
      <c r="V184" s="469">
        <f t="shared" si="84"/>
        <v>18864</v>
      </c>
      <c r="W184" s="443">
        <f>($B184-V184)^2/1000</f>
        <v>3.1360000000000001</v>
      </c>
      <c r="Y184" s="576">
        <f t="shared" si="99"/>
        <v>3.9484344420560036</v>
      </c>
      <c r="Z184" s="579" t="s">
        <v>340</v>
      </c>
      <c r="AA184" s="504">
        <f>INDEX(LINEST(Y178:Y188,$D178:$D188),1)</f>
        <v>-5.3301410925088244E-3</v>
      </c>
      <c r="AB184" s="469">
        <f t="shared" si="86"/>
        <v>18864</v>
      </c>
      <c r="AC184" s="443">
        <f t="shared" si="87"/>
        <v>3.1360000000000001</v>
      </c>
      <c r="AE184" s="576">
        <f t="shared" si="100"/>
        <v>4.651177865904045</v>
      </c>
      <c r="AF184" s="579" t="s">
        <v>340</v>
      </c>
      <c r="AG184" s="504">
        <f>INDEX(LINEST(AE178:AE188,$D178:$D188),1)</f>
        <v>-5.2798820888095566E-3</v>
      </c>
      <c r="AH184" s="469">
        <f t="shared" si="88"/>
        <v>18864</v>
      </c>
      <c r="AI184" s="443">
        <f t="shared" si="89"/>
        <v>3.1360000000000001</v>
      </c>
      <c r="AK184" s="576">
        <f t="shared" si="101"/>
        <v>5.0598213663262461</v>
      </c>
      <c r="AL184" s="579" t="s">
        <v>340</v>
      </c>
      <c r="AM184" s="504">
        <f>INDEX(LINEST(AK178:AK188,$D178:$D188),1)</f>
        <v>-5.263339090436114E-3</v>
      </c>
      <c r="AN184" s="469">
        <f t="shared" si="90"/>
        <v>18864</v>
      </c>
      <c r="AO184" s="443">
        <f t="shared" si="91"/>
        <v>3.1360000000000001</v>
      </c>
      <c r="AQ184" s="576">
        <f t="shared" si="102"/>
        <v>5.3490888546280777</v>
      </c>
      <c r="AR184" s="579" t="s">
        <v>340</v>
      </c>
      <c r="AS184" s="504">
        <f>INDEX(LINEST(AQ178:AQ188,$D178:$D188),1)</f>
        <v>-5.2551064122712795E-3</v>
      </c>
      <c r="AT184" s="469">
        <f t="shared" si="92"/>
        <v>18864</v>
      </c>
      <c r="AU184" s="443">
        <f t="shared" si="93"/>
        <v>3.1360000000000001</v>
      </c>
      <c r="AW184" s="576">
        <f t="shared" si="103"/>
        <v>5.5731824503524958</v>
      </c>
      <c r="AX184" s="579" t="s">
        <v>340</v>
      </c>
      <c r="AY184" s="504">
        <f>INDEX(LINEST(AW178:AW188,$D178:$D188),1)</f>
        <v>-5.2501791581868835E-3</v>
      </c>
      <c r="AZ184" s="469">
        <f t="shared" si="94"/>
        <v>18864</v>
      </c>
      <c r="BA184" s="443">
        <f t="shared" si="95"/>
        <v>3.1360000000000001</v>
      </c>
      <c r="BC184" s="576">
        <f t="shared" si="104"/>
        <v>5.7561368690210548</v>
      </c>
      <c r="BD184" s="579" t="s">
        <v>340</v>
      </c>
      <c r="BE184" s="504">
        <f>INDEX(LINEST(BC178:BC188,$D178:$D188),1)</f>
        <v>-5.2468994530545064E-3</v>
      </c>
      <c r="BF184" s="469">
        <f t="shared" si="96"/>
        <v>18864</v>
      </c>
      <c r="BG184" s="443">
        <f t="shared" si="97"/>
        <v>3.1360000000000001</v>
      </c>
    </row>
    <row r="185" spans="1:60" ht="15" customHeight="1">
      <c r="A185" s="436">
        <f t="shared" si="75"/>
        <v>2013</v>
      </c>
      <c r="B185" s="437">
        <f t="shared" si="75"/>
        <v>19167</v>
      </c>
      <c r="C185" s="533">
        <f t="shared" si="76"/>
        <v>3.7071712482617167</v>
      </c>
      <c r="D185" s="438">
        <f t="shared" ref="D185:D210" si="105">D184+1</f>
        <v>8</v>
      </c>
      <c r="G185" s="451"/>
      <c r="H185" s="442"/>
      <c r="I185" s="443">
        <f t="shared" si="78"/>
        <v>18963</v>
      </c>
      <c r="J185" s="446">
        <f t="shared" si="79"/>
        <v>1.0643293160118954</v>
      </c>
      <c r="K185" s="443">
        <f t="shared" si="80"/>
        <v>41.616</v>
      </c>
      <c r="M185" s="576">
        <f t="shared" si="81"/>
        <v>3.7071712482617167</v>
      </c>
      <c r="N185" s="439" t="s">
        <v>305</v>
      </c>
      <c r="O185" s="504">
        <f>INDEX(LINEST(M178:M188,$D178:$D188),2)</f>
        <v>3.7609627927861897</v>
      </c>
      <c r="P185" s="469">
        <f t="shared" si="82"/>
        <v>18963</v>
      </c>
      <c r="Q185" s="443">
        <f>($B185-P185)^2/1000</f>
        <v>41.616</v>
      </c>
      <c r="S185" s="576">
        <f t="shared" si="98"/>
        <v>3.8276780003583779</v>
      </c>
      <c r="T185" s="439" t="s">
        <v>305</v>
      </c>
      <c r="U185" s="504">
        <f>INDEX(LINEST(S178:S188,$D178:$D188),2)</f>
        <v>3.881326620181325</v>
      </c>
      <c r="V185" s="469">
        <f t="shared" si="84"/>
        <v>18963</v>
      </c>
      <c r="W185" s="443">
        <f>($B185-V185)^2/1000</f>
        <v>41.616</v>
      </c>
      <c r="Y185" s="576">
        <f t="shared" si="99"/>
        <v>3.9352121603308796</v>
      </c>
      <c r="Z185" s="439" t="s">
        <v>305</v>
      </c>
      <c r="AA185" s="504">
        <f>INDEX(LINEST(Y178:Y188,$D178:$D188),2)</f>
        <v>3.9887469861890628</v>
      </c>
      <c r="AB185" s="469">
        <f t="shared" si="86"/>
        <v>18963</v>
      </c>
      <c r="AC185" s="443">
        <f t="shared" si="87"/>
        <v>41.616</v>
      </c>
      <c r="AE185" s="576">
        <f t="shared" si="100"/>
        <v>4.6380826919985658</v>
      </c>
      <c r="AF185" s="439" t="s">
        <v>305</v>
      </c>
      <c r="AG185" s="504">
        <f>INDEX(LINEST(AE178:AE188,$D178:$D188),2)</f>
        <v>4.6911113635960016</v>
      </c>
      <c r="AH185" s="469">
        <f t="shared" si="88"/>
        <v>18963</v>
      </c>
      <c r="AI185" s="443">
        <f t="shared" si="89"/>
        <v>41.616</v>
      </c>
      <c r="AK185" s="576">
        <f t="shared" si="101"/>
        <v>5.0467680203511884</v>
      </c>
      <c r="AL185" s="439" t="s">
        <v>305</v>
      </c>
      <c r="AM185" s="504">
        <f>INDEX(LINEST(AK178:AK188,$D178:$D188),2)</f>
        <v>5.0996300945063702</v>
      </c>
      <c r="AN185" s="469">
        <f t="shared" si="90"/>
        <v>18963</v>
      </c>
      <c r="AO185" s="443">
        <f t="shared" si="91"/>
        <v>41.616</v>
      </c>
      <c r="AQ185" s="576">
        <f t="shared" si="102"/>
        <v>5.3360563225731266</v>
      </c>
      <c r="AR185" s="439" t="s">
        <v>305</v>
      </c>
      <c r="AS185" s="504">
        <f>INDEX(LINEST(AQ178:AQ188,$D178:$D188),2)</f>
        <v>5.3888354900132702</v>
      </c>
      <c r="AT185" s="469">
        <f t="shared" si="92"/>
        <v>18963</v>
      </c>
      <c r="AU185" s="443">
        <f t="shared" si="93"/>
        <v>41.616</v>
      </c>
      <c r="AW185" s="576">
        <f t="shared" si="103"/>
        <v>5.5601623748187761</v>
      </c>
      <c r="AX185" s="439" t="s">
        <v>305</v>
      </c>
      <c r="AY185" s="504">
        <f>INDEX(LINEST(AW178:AW188,$D178:$D188),2)</f>
        <v>5.6128919229639695</v>
      </c>
      <c r="AZ185" s="469">
        <f t="shared" si="94"/>
        <v>18963</v>
      </c>
      <c r="BA185" s="443">
        <f t="shared" si="95"/>
        <v>41.616</v>
      </c>
      <c r="BC185" s="576">
        <f t="shared" si="104"/>
        <v>5.7431250846142063</v>
      </c>
      <c r="BD185" s="439" t="s">
        <v>305</v>
      </c>
      <c r="BE185" s="504">
        <f>INDEX(LINEST(BC178:BC188,$D178:$D188),2)</f>
        <v>5.7958216050391318</v>
      </c>
      <c r="BF185" s="469">
        <f t="shared" si="96"/>
        <v>18963</v>
      </c>
      <c r="BG185" s="443">
        <f t="shared" si="97"/>
        <v>41.616</v>
      </c>
    </row>
    <row r="186" spans="1:60" ht="15" customHeight="1">
      <c r="A186" s="436">
        <f t="shared" si="75"/>
        <v>2014</v>
      </c>
      <c r="B186" s="437">
        <f t="shared" si="75"/>
        <v>19214</v>
      </c>
      <c r="C186" s="580">
        <f t="shared" si="76"/>
        <v>3.7046619246227168</v>
      </c>
      <c r="D186" s="508">
        <f t="shared" si="105"/>
        <v>9</v>
      </c>
      <c r="E186" s="581" t="s">
        <v>340</v>
      </c>
      <c r="F186" s="504">
        <f>INDEX(LINEST(C178:C188,D178:D188),1)</f>
        <v>-5.3556311905893798E-3</v>
      </c>
      <c r="G186" s="582"/>
      <c r="H186" s="442"/>
      <c r="I186" s="443">
        <f t="shared" si="78"/>
        <v>19063</v>
      </c>
      <c r="J186" s="467">
        <f t="shared" si="79"/>
        <v>0.78588529197460189</v>
      </c>
      <c r="K186" s="443">
        <f t="shared" si="80"/>
        <v>22.800999999999998</v>
      </c>
      <c r="M186" s="576">
        <f t="shared" si="81"/>
        <v>3.7046619246227168</v>
      </c>
      <c r="N186" s="578" t="s">
        <v>306</v>
      </c>
      <c r="O186" s="583">
        <f>O184*-1</f>
        <v>5.3556311905893798E-3</v>
      </c>
      <c r="P186" s="469">
        <f t="shared" si="82"/>
        <v>19063</v>
      </c>
      <c r="Q186" s="443">
        <f>($B186-P186)^2/1000</f>
        <v>22.800999999999998</v>
      </c>
      <c r="S186" s="576">
        <f t="shared" si="98"/>
        <v>3.8251755106533669</v>
      </c>
      <c r="T186" s="578" t="s">
        <v>306</v>
      </c>
      <c r="U186" s="583">
        <f>U184*-1</f>
        <v>5.3414400001304723E-3</v>
      </c>
      <c r="V186" s="469">
        <f t="shared" si="84"/>
        <v>19063</v>
      </c>
      <c r="W186" s="443">
        <f>($B186-V186)^2/1000</f>
        <v>22.800999999999998</v>
      </c>
      <c r="Y186" s="576">
        <f t="shared" si="99"/>
        <v>3.9327151110305345</v>
      </c>
      <c r="Z186" s="578" t="s">
        <v>306</v>
      </c>
      <c r="AA186" s="583">
        <f>AA184*-1</f>
        <v>5.3301410925088244E-3</v>
      </c>
      <c r="AB186" s="469">
        <f t="shared" si="86"/>
        <v>19063</v>
      </c>
      <c r="AC186" s="443">
        <f>($B186-AB186)^2/1000</f>
        <v>22.800999999999998</v>
      </c>
      <c r="AE186" s="576">
        <f t="shared" si="100"/>
        <v>4.6356098346263792</v>
      </c>
      <c r="AF186" s="578" t="s">
        <v>306</v>
      </c>
      <c r="AG186" s="583">
        <f>AG184*-1</f>
        <v>5.2798820888095566E-3</v>
      </c>
      <c r="AH186" s="469">
        <f t="shared" si="88"/>
        <v>19063</v>
      </c>
      <c r="AI186" s="443">
        <f>($B186-AH186)^2/1000</f>
        <v>22.800999999999998</v>
      </c>
      <c r="AK186" s="576">
        <f t="shared" si="101"/>
        <v>5.0443031231230364</v>
      </c>
      <c r="AL186" s="578" t="s">
        <v>306</v>
      </c>
      <c r="AM186" s="583">
        <f>AM184*-1</f>
        <v>5.263339090436114E-3</v>
      </c>
      <c r="AN186" s="469">
        <f t="shared" si="90"/>
        <v>19063</v>
      </c>
      <c r="AO186" s="443">
        <f t="shared" si="91"/>
        <v>22.800999999999998</v>
      </c>
      <c r="AQ186" s="576">
        <f t="shared" si="102"/>
        <v>5.333595386230046</v>
      </c>
      <c r="AR186" s="578" t="s">
        <v>306</v>
      </c>
      <c r="AS186" s="583">
        <f>AS184*-1</f>
        <v>5.2551064122712795E-3</v>
      </c>
      <c r="AT186" s="469">
        <f t="shared" si="92"/>
        <v>19063</v>
      </c>
      <c r="AU186" s="443">
        <f>($B186-AT186)^2/1000</f>
        <v>22.800999999999998</v>
      </c>
      <c r="AW186" s="576">
        <f t="shared" si="103"/>
        <v>5.5577038089024002</v>
      </c>
      <c r="AX186" s="578" t="s">
        <v>306</v>
      </c>
      <c r="AY186" s="583">
        <f>AY184*-1</f>
        <v>5.2501791581868835E-3</v>
      </c>
      <c r="AZ186" s="469">
        <f t="shared" si="94"/>
        <v>19063</v>
      </c>
      <c r="BA186" s="443">
        <f>($B186-AZ186)^2/1000</f>
        <v>22.800999999999998</v>
      </c>
      <c r="BC186" s="576">
        <f t="shared" si="104"/>
        <v>5.7406680964469867</v>
      </c>
      <c r="BD186" s="578" t="s">
        <v>306</v>
      </c>
      <c r="BE186" s="583">
        <f>BE184*-1</f>
        <v>5.2468994530545064E-3</v>
      </c>
      <c r="BF186" s="469">
        <f t="shared" si="96"/>
        <v>19063</v>
      </c>
      <c r="BG186" s="443">
        <f>($B186-BF186)^2/1000</f>
        <v>22.800999999999998</v>
      </c>
    </row>
    <row r="187" spans="1:60" ht="15" customHeight="1">
      <c r="A187" s="436">
        <f t="shared" si="75"/>
        <v>2015</v>
      </c>
      <c r="B187" s="437">
        <f t="shared" si="75"/>
        <v>18986</v>
      </c>
      <c r="C187" s="580">
        <f t="shared" si="76"/>
        <v>3.7168912099556506</v>
      </c>
      <c r="D187" s="508">
        <f t="shared" si="105"/>
        <v>10</v>
      </c>
      <c r="E187" s="540" t="s">
        <v>305</v>
      </c>
      <c r="F187" s="504">
        <f>INDEX(LINEST(C178:C188,D178:D188),2)</f>
        <v>3.7609627927861897</v>
      </c>
      <c r="G187" s="451"/>
      <c r="H187" s="439"/>
      <c r="I187" s="443">
        <f t="shared" si="78"/>
        <v>19163</v>
      </c>
      <c r="J187" s="467">
        <f t="shared" si="79"/>
        <v>0.93226588012219525</v>
      </c>
      <c r="K187" s="443">
        <f t="shared" si="80"/>
        <v>31.329000000000001</v>
      </c>
      <c r="M187" s="576">
        <f t="shared" si="81"/>
        <v>3.7168912099556506</v>
      </c>
      <c r="N187" s="439" t="s">
        <v>321</v>
      </c>
      <c r="O187" s="504">
        <f>P177</f>
        <v>0.75500628317100282</v>
      </c>
      <c r="P187" s="469">
        <f t="shared" si="82"/>
        <v>19163</v>
      </c>
      <c r="Q187" s="443">
        <f>($B187-P187)^2/1000</f>
        <v>31.329000000000001</v>
      </c>
      <c r="S187" s="576">
        <f t="shared" si="98"/>
        <v>3.8373716513832288</v>
      </c>
      <c r="T187" s="439" t="s">
        <v>321</v>
      </c>
      <c r="U187" s="504">
        <f>V177</f>
        <v>0.75500628317100282</v>
      </c>
      <c r="V187" s="469">
        <f t="shared" si="84"/>
        <v>19163</v>
      </c>
      <c r="W187" s="443">
        <f>($B187-V187)^2/1000</f>
        <v>31.329000000000001</v>
      </c>
      <c r="Y187" s="576">
        <f t="shared" si="99"/>
        <v>3.9448848651558102</v>
      </c>
      <c r="Z187" s="439" t="s">
        <v>321</v>
      </c>
      <c r="AA187" s="504">
        <f>AB177</f>
        <v>0.75500628317100282</v>
      </c>
      <c r="AB187" s="469">
        <f t="shared" si="86"/>
        <v>19163</v>
      </c>
      <c r="AC187" s="443">
        <f>($B187-AB187)^2/1000</f>
        <v>31.329000000000001</v>
      </c>
      <c r="AE187" s="576">
        <f t="shared" si="100"/>
        <v>4.6476622483517813</v>
      </c>
      <c r="AF187" s="439" t="s">
        <v>321</v>
      </c>
      <c r="AG187" s="504">
        <f>AH177</f>
        <v>0.75500628317100282</v>
      </c>
      <c r="AH187" s="469">
        <f t="shared" si="88"/>
        <v>19163</v>
      </c>
      <c r="AI187" s="443">
        <f>($B187-AH187)^2/1000</f>
        <v>31.329000000000001</v>
      </c>
      <c r="AK187" s="576">
        <f t="shared" si="101"/>
        <v>5.0563169246180371</v>
      </c>
      <c r="AL187" s="439" t="s">
        <v>321</v>
      </c>
      <c r="AM187" s="504">
        <f>AN177</f>
        <v>0.75500628317100282</v>
      </c>
      <c r="AN187" s="469">
        <f t="shared" si="90"/>
        <v>19163</v>
      </c>
      <c r="AO187" s="443">
        <f t="shared" si="91"/>
        <v>31.329000000000001</v>
      </c>
      <c r="AQ187" s="576">
        <f t="shared" si="102"/>
        <v>5.3455899742388722</v>
      </c>
      <c r="AR187" s="439" t="s">
        <v>321</v>
      </c>
      <c r="AS187" s="504">
        <f>AT177</f>
        <v>0.75500628317100282</v>
      </c>
      <c r="AT187" s="469">
        <f t="shared" si="92"/>
        <v>19163</v>
      </c>
      <c r="AU187" s="443">
        <f>($B187-AT187)^2/1000</f>
        <v>31.329000000000001</v>
      </c>
      <c r="AW187" s="576">
        <f t="shared" si="103"/>
        <v>5.5696868982903132</v>
      </c>
      <c r="AX187" s="439" t="s">
        <v>321</v>
      </c>
      <c r="AY187" s="504">
        <f>AZ177</f>
        <v>0.75500628317100282</v>
      </c>
      <c r="AZ187" s="469">
        <f t="shared" si="94"/>
        <v>19163</v>
      </c>
      <c r="BA187" s="443">
        <f>($B187-AZ187)^2/1000</f>
        <v>31.329000000000001</v>
      </c>
      <c r="BC187" s="576">
        <f t="shared" si="104"/>
        <v>5.7526435323279053</v>
      </c>
      <c r="BD187" s="439" t="s">
        <v>321</v>
      </c>
      <c r="BE187" s="504">
        <f>BF177</f>
        <v>0.75500628317100282</v>
      </c>
      <c r="BF187" s="469">
        <f t="shared" si="96"/>
        <v>19163</v>
      </c>
      <c r="BG187" s="443">
        <f>($B187-BF187)^2/1000</f>
        <v>31.329000000000001</v>
      </c>
    </row>
    <row r="188" spans="1:60" ht="15" customHeight="1" thickBot="1">
      <c r="A188" s="436">
        <f t="shared" si="75"/>
        <v>2016</v>
      </c>
      <c r="B188" s="437">
        <f t="shared" si="75"/>
        <v>19057</v>
      </c>
      <c r="C188" s="580">
        <f t="shared" si="76"/>
        <v>3.7130676756753589</v>
      </c>
      <c r="D188" s="508">
        <f t="shared" si="105"/>
        <v>11</v>
      </c>
      <c r="E188" s="578" t="s">
        <v>306</v>
      </c>
      <c r="F188" s="583">
        <f>F186*-1</f>
        <v>5.3556311905893798E-3</v>
      </c>
      <c r="H188" s="558"/>
      <c r="I188" s="443">
        <f t="shared" si="78"/>
        <v>19263</v>
      </c>
      <c r="J188" s="467">
        <f t="shared" si="79"/>
        <v>1.0809676234454531</v>
      </c>
      <c r="K188" s="443">
        <f t="shared" si="80"/>
        <v>42.436</v>
      </c>
      <c r="M188" s="576">
        <f t="shared" si="81"/>
        <v>3.7130676756753589</v>
      </c>
      <c r="N188" s="439" t="s">
        <v>322</v>
      </c>
      <c r="O188" s="363">
        <f>SUM(Q178:Q188)</f>
        <v>339.21899999999999</v>
      </c>
      <c r="P188" s="469">
        <f t="shared" si="82"/>
        <v>19263</v>
      </c>
      <c r="Q188" s="443">
        <f>($B188-P188)^2/1000</f>
        <v>42.436</v>
      </c>
      <c r="S188" s="584">
        <f t="shared" si="98"/>
        <v>3.8335584364914084</v>
      </c>
      <c r="T188" s="439" t="s">
        <v>322</v>
      </c>
      <c r="U188" s="363">
        <f>SUM(W178:W188)</f>
        <v>339.21899999999999</v>
      </c>
      <c r="V188" s="469">
        <f t="shared" si="84"/>
        <v>19263</v>
      </c>
      <c r="W188" s="443">
        <f>($B188-V188)^2/1000</f>
        <v>42.436</v>
      </c>
      <c r="Y188" s="584">
        <f t="shared" si="99"/>
        <v>3.9410798657554875</v>
      </c>
      <c r="Z188" s="439" t="s">
        <v>322</v>
      </c>
      <c r="AA188" s="363">
        <f>SUM(AC178:AC188)</f>
        <v>339.21899999999999</v>
      </c>
      <c r="AB188" s="469">
        <f t="shared" si="86"/>
        <v>19263</v>
      </c>
      <c r="AC188" s="443">
        <f>($B188-AB188)^2/1000</f>
        <v>42.436</v>
      </c>
      <c r="AE188" s="584">
        <f t="shared" si="100"/>
        <v>4.6438937847915565</v>
      </c>
      <c r="AF188" s="439" t="s">
        <v>322</v>
      </c>
      <c r="AG188" s="363">
        <f>SUM(AI178:AI188)</f>
        <v>339.21899999999999</v>
      </c>
      <c r="AH188" s="469">
        <f t="shared" si="88"/>
        <v>19263</v>
      </c>
      <c r="AI188" s="443">
        <f>($B188-AH188)^2/1000</f>
        <v>42.436</v>
      </c>
      <c r="AK188" s="584">
        <f t="shared" si="101"/>
        <v>5.05256048424872</v>
      </c>
      <c r="AL188" s="439" t="s">
        <v>322</v>
      </c>
      <c r="AM188" s="363">
        <f>SUM(AO178:AO188)</f>
        <v>339.21899999999999</v>
      </c>
      <c r="AN188" s="469">
        <f t="shared" si="90"/>
        <v>19263</v>
      </c>
      <c r="AO188" s="443">
        <f>($B188-AN188)^2/1000</f>
        <v>42.436</v>
      </c>
      <c r="AQ188" s="584">
        <f t="shared" si="102"/>
        <v>5.3418395167410244</v>
      </c>
      <c r="AR188" s="439" t="s">
        <v>322</v>
      </c>
      <c r="AS188" s="363">
        <f>SUM(AU178:AU188)</f>
        <v>339.21899999999999</v>
      </c>
      <c r="AT188" s="469">
        <f t="shared" si="92"/>
        <v>19263</v>
      </c>
      <c r="AU188" s="443">
        <f>($B188-AT188)^2/1000</f>
        <v>42.436</v>
      </c>
      <c r="AW188" s="584">
        <f t="shared" si="103"/>
        <v>5.5659400213763233</v>
      </c>
      <c r="AX188" s="439" t="s">
        <v>322</v>
      </c>
      <c r="AY188" s="363">
        <f>SUM(BA178:BA188)</f>
        <v>339.21899999999999</v>
      </c>
      <c r="AZ188" s="469">
        <f t="shared" si="94"/>
        <v>19263</v>
      </c>
      <c r="BA188" s="443">
        <f>($B188-AZ188)^2/1000</f>
        <v>42.436</v>
      </c>
      <c r="BC188" s="584">
        <f t="shared" si="104"/>
        <v>5.748899038674006</v>
      </c>
      <c r="BD188" s="439" t="s">
        <v>322</v>
      </c>
      <c r="BE188" s="363">
        <f>SUM(BG178:BG188)</f>
        <v>339.21899999999999</v>
      </c>
      <c r="BF188" s="469">
        <f t="shared" si="96"/>
        <v>19263</v>
      </c>
      <c r="BG188" s="443">
        <f>($B188-BF188)^2/1000</f>
        <v>42.436</v>
      </c>
    </row>
    <row r="189" spans="1:60" ht="15" customHeight="1" thickTop="1">
      <c r="A189" s="511">
        <f t="shared" si="75"/>
        <v>2017</v>
      </c>
      <c r="B189" s="459">
        <f t="shared" si="75"/>
        <v>19212</v>
      </c>
      <c r="C189" s="585"/>
      <c r="D189" s="513">
        <f t="shared" si="105"/>
        <v>12</v>
      </c>
      <c r="E189" s="462"/>
      <c r="F189" s="461"/>
      <c r="G189" s="461"/>
      <c r="H189" s="586"/>
      <c r="I189" s="464">
        <f t="shared" si="78"/>
        <v>19364</v>
      </c>
      <c r="J189" s="463"/>
      <c r="K189" s="464"/>
      <c r="M189" s="587"/>
      <c r="N189" s="461"/>
      <c r="O189" s="461"/>
      <c r="P189" s="588"/>
      <c r="Q189" s="589"/>
      <c r="S189" s="587"/>
      <c r="T189" s="461"/>
      <c r="U189" s="461"/>
      <c r="V189" s="588"/>
      <c r="W189" s="589"/>
      <c r="Y189" s="587"/>
      <c r="Z189" s="461"/>
      <c r="AA189" s="461"/>
      <c r="AB189" s="588"/>
      <c r="AC189" s="589"/>
      <c r="AE189" s="587"/>
      <c r="AF189" s="461"/>
      <c r="AG189" s="461"/>
      <c r="AH189" s="588"/>
      <c r="AI189" s="589"/>
      <c r="AK189" s="587"/>
      <c r="AL189" s="461"/>
      <c r="AM189" s="461"/>
      <c r="AN189" s="588"/>
      <c r="AO189" s="589"/>
      <c r="AQ189" s="587"/>
      <c r="AR189" s="461"/>
      <c r="AS189" s="461"/>
      <c r="AT189" s="588"/>
      <c r="AU189" s="589"/>
      <c r="AW189" s="587"/>
      <c r="AX189" s="461"/>
      <c r="AY189" s="461"/>
      <c r="AZ189" s="588"/>
      <c r="BA189" s="589"/>
      <c r="BC189" s="587"/>
      <c r="BD189" s="461"/>
      <c r="BE189" s="461"/>
      <c r="BF189" s="588"/>
      <c r="BG189" s="589"/>
    </row>
    <row r="190" spans="1:60" ht="15" customHeight="1">
      <c r="A190" s="436">
        <f>A154</f>
        <v>2018</v>
      </c>
      <c r="B190" s="437">
        <f t="shared" ref="B190:B210" si="106">ROUND(F$182/(1+EXP(F$187+F$186*D190)),$G$1)</f>
        <v>19465</v>
      </c>
      <c r="C190" s="580"/>
      <c r="D190" s="508">
        <f t="shared" si="105"/>
        <v>13</v>
      </c>
      <c r="E190" s="2318" t="s">
        <v>276</v>
      </c>
      <c r="F190" s="2320"/>
      <c r="G190" s="447">
        <f>I177</f>
        <v>0.75500628317100282</v>
      </c>
      <c r="H190" s="558"/>
      <c r="I190" s="443">
        <f t="shared" si="78"/>
        <v>19465</v>
      </c>
      <c r="J190" s="467"/>
      <c r="K190" s="443"/>
      <c r="M190" s="590"/>
      <c r="N190" s="451"/>
      <c r="O190" s="451"/>
      <c r="P190" s="493"/>
      <c r="Q190" s="492"/>
      <c r="S190" s="590"/>
      <c r="T190" s="451"/>
      <c r="U190" s="451"/>
      <c r="V190" s="493"/>
      <c r="W190" s="492"/>
      <c r="Y190" s="590"/>
      <c r="Z190" s="451"/>
      <c r="AA190" s="451"/>
      <c r="AB190" s="493"/>
      <c r="AC190" s="492"/>
      <c r="AE190" s="590"/>
      <c r="AF190" s="451"/>
      <c r="AG190" s="451"/>
      <c r="AH190" s="493"/>
      <c r="AI190" s="492"/>
      <c r="AK190" s="590"/>
      <c r="AL190" s="451"/>
      <c r="AM190" s="451"/>
      <c r="AN190" s="493"/>
      <c r="AO190" s="492"/>
      <c r="AQ190" s="590"/>
      <c r="AR190" s="451"/>
      <c r="AS190" s="451"/>
      <c r="AT190" s="493"/>
      <c r="AU190" s="492"/>
      <c r="AW190" s="590"/>
      <c r="AX190" s="451"/>
      <c r="AY190" s="451"/>
      <c r="AZ190" s="493"/>
      <c r="BA190" s="492"/>
      <c r="BC190" s="590"/>
      <c r="BD190" s="451"/>
      <c r="BE190" s="451"/>
      <c r="BF190" s="493"/>
      <c r="BG190" s="492"/>
    </row>
    <row r="191" spans="1:60" ht="15" customHeight="1">
      <c r="A191" s="436">
        <f>A155</f>
        <v>2019</v>
      </c>
      <c r="B191" s="437">
        <f t="shared" si="106"/>
        <v>19567</v>
      </c>
      <c r="C191" s="580"/>
      <c r="D191" s="508">
        <f t="shared" si="105"/>
        <v>14</v>
      </c>
      <c r="E191" s="2318" t="s">
        <v>323</v>
      </c>
      <c r="F191" s="2320"/>
      <c r="G191" s="448">
        <f>SUM(K178:K188)</f>
        <v>339.21899999999999</v>
      </c>
      <c r="H191" s="558"/>
      <c r="I191" s="443">
        <f t="shared" si="78"/>
        <v>19567</v>
      </c>
      <c r="J191" s="467"/>
      <c r="K191" s="443"/>
      <c r="M191" s="505" t="str">
        <f>E183</f>
        <v>max(y) =</v>
      </c>
      <c r="N191" s="505">
        <f>F183</f>
        <v>19214</v>
      </c>
      <c r="O191" s="505"/>
      <c r="P191" s="505"/>
      <c r="Q191" s="505"/>
      <c r="R191" s="505"/>
      <c r="S191" s="505" t="str">
        <f>M191</f>
        <v>max(y) =</v>
      </c>
      <c r="T191" s="505">
        <f>N191</f>
        <v>19214</v>
      </c>
      <c r="U191" s="505"/>
      <c r="V191" s="505"/>
      <c r="W191" s="505"/>
      <c r="X191" s="505"/>
      <c r="Y191" s="505" t="str">
        <f>S191</f>
        <v>max(y) =</v>
      </c>
      <c r="Z191" s="505">
        <f>T191</f>
        <v>19214</v>
      </c>
      <c r="AA191" s="505"/>
      <c r="AB191" s="505"/>
      <c r="AC191" s="505"/>
      <c r="AD191" s="505"/>
      <c r="AE191" s="505" t="str">
        <f>Y191</f>
        <v>max(y) =</v>
      </c>
      <c r="AF191" s="505">
        <f>Z191</f>
        <v>19214</v>
      </c>
      <c r="AG191" s="505"/>
      <c r="AH191" s="505"/>
      <c r="AI191" s="505"/>
      <c r="AJ191" s="505"/>
      <c r="AK191" s="505" t="str">
        <f>AE191</f>
        <v>max(y) =</v>
      </c>
      <c r="AL191" s="505">
        <f>AF191</f>
        <v>19214</v>
      </c>
      <c r="AM191" s="505"/>
      <c r="AN191" s="505"/>
      <c r="AO191" s="505"/>
      <c r="AP191" s="505"/>
      <c r="AQ191" s="505" t="str">
        <f>AK191</f>
        <v>max(y) =</v>
      </c>
      <c r="AR191" s="505">
        <f>AL191</f>
        <v>19214</v>
      </c>
      <c r="AS191" s="505"/>
      <c r="AT191" s="505"/>
      <c r="AU191" s="505"/>
      <c r="AV191" s="505"/>
      <c r="AW191" s="505" t="str">
        <f>AQ191</f>
        <v>max(y) =</v>
      </c>
      <c r="AX191" s="505">
        <f>AR191</f>
        <v>19214</v>
      </c>
      <c r="AY191" s="505"/>
      <c r="AZ191" s="505"/>
      <c r="BA191" s="505"/>
      <c r="BB191" s="505"/>
      <c r="BC191" s="505" t="str">
        <f>AW191</f>
        <v>max(y) =</v>
      </c>
      <c r="BD191" s="505">
        <f>AX191</f>
        <v>19214</v>
      </c>
      <c r="BE191" s="505"/>
      <c r="BF191" s="505"/>
      <c r="BG191" s="505"/>
      <c r="BH191" s="505"/>
    </row>
    <row r="192" spans="1:60" ht="15" customHeight="1">
      <c r="A192" s="436">
        <f>A156</f>
        <v>2020</v>
      </c>
      <c r="B192" s="437">
        <f t="shared" si="106"/>
        <v>19670</v>
      </c>
      <c r="C192" s="580"/>
      <c r="D192" s="508">
        <f t="shared" si="105"/>
        <v>15</v>
      </c>
      <c r="E192" s="2318" t="s">
        <v>364</v>
      </c>
      <c r="F192" s="2320"/>
      <c r="G192" s="449">
        <f>SUM(J178:J188)/D199</f>
        <v>0.39253279224633603</v>
      </c>
      <c r="H192" s="558"/>
      <c r="I192" s="443">
        <f t="shared" si="78"/>
        <v>19670</v>
      </c>
      <c r="J192" s="467"/>
      <c r="K192" s="443"/>
      <c r="M192" s="505" t="s">
        <v>365</v>
      </c>
      <c r="N192" s="505">
        <v>3</v>
      </c>
      <c r="O192" s="505"/>
      <c r="P192" s="505"/>
      <c r="Q192" s="505"/>
      <c r="R192" s="505"/>
      <c r="S192" s="505" t="s">
        <v>365</v>
      </c>
      <c r="T192" s="505">
        <f>N192</f>
        <v>3</v>
      </c>
      <c r="U192" s="505"/>
      <c r="V192" s="505"/>
      <c r="W192" s="505"/>
      <c r="X192" s="505"/>
      <c r="Y192" s="505" t="s">
        <v>366</v>
      </c>
      <c r="Z192" s="505">
        <f>T192</f>
        <v>3</v>
      </c>
      <c r="AA192" s="505"/>
      <c r="AB192" s="505"/>
      <c r="AC192" s="505"/>
      <c r="AD192" s="505"/>
      <c r="AE192" s="505" t="s">
        <v>326</v>
      </c>
      <c r="AF192" s="505">
        <f>Z192</f>
        <v>3</v>
      </c>
      <c r="AG192" s="505"/>
      <c r="AH192" s="505"/>
      <c r="AI192" s="505"/>
      <c r="AJ192" s="505"/>
      <c r="AK192" s="505" t="s">
        <v>365</v>
      </c>
      <c r="AL192" s="505">
        <f>AF192</f>
        <v>3</v>
      </c>
      <c r="AM192" s="505"/>
      <c r="AN192" s="505"/>
      <c r="AO192" s="505"/>
      <c r="AP192" s="505"/>
      <c r="AQ192" s="505" t="s">
        <v>326</v>
      </c>
      <c r="AR192" s="505">
        <f>AL192</f>
        <v>3</v>
      </c>
      <c r="AS192" s="505"/>
      <c r="AT192" s="505"/>
      <c r="AU192" s="505"/>
      <c r="AV192" s="505"/>
      <c r="AW192" s="505" t="s">
        <v>326</v>
      </c>
      <c r="AX192" s="505">
        <f>AR192</f>
        <v>3</v>
      </c>
      <c r="AY192" s="505"/>
      <c r="AZ192" s="505"/>
      <c r="BA192" s="505"/>
      <c r="BB192" s="505"/>
      <c r="BC192" s="505" t="s">
        <v>367</v>
      </c>
      <c r="BD192" s="505">
        <f>AX192</f>
        <v>3</v>
      </c>
      <c r="BE192" s="505"/>
      <c r="BF192" s="505"/>
      <c r="BG192" s="505"/>
      <c r="BH192" s="505"/>
    </row>
    <row r="193" spans="1:70" ht="15" customHeight="1">
      <c r="A193" s="436">
        <f>A157</f>
        <v>2021</v>
      </c>
      <c r="B193" s="437">
        <f t="shared" si="106"/>
        <v>19773</v>
      </c>
      <c r="C193" s="580"/>
      <c r="D193" s="508">
        <f t="shared" si="105"/>
        <v>16</v>
      </c>
      <c r="H193" s="558"/>
      <c r="I193" s="443">
        <f t="shared" si="78"/>
        <v>19773</v>
      </c>
      <c r="J193" s="467"/>
      <c r="K193" s="443"/>
      <c r="M193" s="505" t="s">
        <v>343</v>
      </c>
      <c r="N193" s="559">
        <v>100000</v>
      </c>
      <c r="O193" s="505"/>
      <c r="P193" s="505"/>
      <c r="Q193" s="505"/>
      <c r="R193" s="505"/>
      <c r="S193" s="505" t="s">
        <v>343</v>
      </c>
      <c r="T193" s="505">
        <f>N193</f>
        <v>100000</v>
      </c>
      <c r="U193" s="505"/>
      <c r="V193" s="505"/>
      <c r="W193" s="505"/>
      <c r="X193" s="505"/>
      <c r="Y193" s="505" t="s">
        <v>343</v>
      </c>
      <c r="Z193" s="505">
        <f>T193</f>
        <v>100000</v>
      </c>
      <c r="AA193" s="505"/>
      <c r="AB193" s="505"/>
      <c r="AC193" s="505"/>
      <c r="AD193" s="505"/>
      <c r="AE193" s="505" t="s">
        <v>343</v>
      </c>
      <c r="AF193" s="505">
        <f>Z193</f>
        <v>100000</v>
      </c>
      <c r="AG193" s="505"/>
      <c r="AH193" s="505"/>
      <c r="AI193" s="505"/>
      <c r="AJ193" s="505"/>
      <c r="AK193" s="505" t="s">
        <v>343</v>
      </c>
      <c r="AL193" s="505">
        <f>AF193</f>
        <v>100000</v>
      </c>
      <c r="AM193" s="505"/>
      <c r="AN193" s="505"/>
      <c r="AO193" s="505"/>
      <c r="AP193" s="505"/>
      <c r="AQ193" s="505" t="s">
        <v>343</v>
      </c>
      <c r="AR193" s="505">
        <f>AL193</f>
        <v>100000</v>
      </c>
      <c r="AS193" s="505"/>
      <c r="AT193" s="505"/>
      <c r="AU193" s="505"/>
      <c r="AV193" s="505"/>
      <c r="AW193" s="505" t="s">
        <v>343</v>
      </c>
      <c r="AX193" s="505">
        <f>AR193</f>
        <v>100000</v>
      </c>
      <c r="AY193" s="505"/>
      <c r="AZ193" s="505"/>
      <c r="BA193" s="505"/>
      <c r="BB193" s="505"/>
      <c r="BC193" s="505" t="s">
        <v>343</v>
      </c>
      <c r="BD193" s="505">
        <f>AX193</f>
        <v>100000</v>
      </c>
      <c r="BE193" s="505"/>
      <c r="BF193" s="505"/>
      <c r="BG193" s="505"/>
      <c r="BH193" s="505"/>
    </row>
    <row r="194" spans="1:70" ht="15" customHeight="1">
      <c r="A194" s="436">
        <f>A158</f>
        <v>2022</v>
      </c>
      <c r="B194" s="437">
        <f t="shared" si="106"/>
        <v>19876</v>
      </c>
      <c r="C194" s="580"/>
      <c r="D194" s="508">
        <f t="shared" si="105"/>
        <v>17</v>
      </c>
      <c r="E194" s="451"/>
      <c r="F194" s="451"/>
      <c r="G194" s="451"/>
      <c r="H194" s="558"/>
      <c r="I194" s="443">
        <f t="shared" si="78"/>
        <v>19876</v>
      </c>
      <c r="J194" s="467"/>
      <c r="K194" s="443"/>
      <c r="M194" s="590"/>
      <c r="N194" s="451"/>
      <c r="O194" s="451"/>
      <c r="P194" s="493"/>
      <c r="Q194" s="492"/>
      <c r="S194" s="590"/>
      <c r="T194" s="451"/>
      <c r="U194" s="451"/>
      <c r="V194" s="493"/>
      <c r="W194" s="492"/>
      <c r="Y194" s="590"/>
      <c r="Z194" s="451"/>
      <c r="AA194" s="451"/>
      <c r="AB194" s="493"/>
      <c r="AC194" s="492"/>
      <c r="AE194" s="590"/>
      <c r="AF194" s="451"/>
      <c r="AG194" s="451"/>
      <c r="AH194" s="493"/>
      <c r="AI194" s="492"/>
      <c r="AK194" s="590"/>
      <c r="AL194" s="451"/>
      <c r="AM194" s="451"/>
      <c r="AN194" s="493"/>
      <c r="AO194" s="492"/>
      <c r="AQ194" s="590"/>
      <c r="AR194" s="451"/>
      <c r="AS194" s="451"/>
      <c r="AT194" s="493"/>
      <c r="AU194" s="492"/>
      <c r="AW194" s="590"/>
      <c r="AX194" s="451"/>
      <c r="AY194" s="451"/>
      <c r="AZ194" s="493"/>
      <c r="BA194" s="492"/>
      <c r="BC194" s="590"/>
      <c r="BD194" s="451"/>
      <c r="BE194" s="451"/>
      <c r="BF194" s="493"/>
      <c r="BG194" s="492"/>
    </row>
    <row r="195" spans="1:70" ht="15" customHeight="1">
      <c r="A195" s="436">
        <f t="shared" ref="A195:A210" si="107">A159</f>
        <v>2023</v>
      </c>
      <c r="B195" s="437">
        <f t="shared" si="106"/>
        <v>19981</v>
      </c>
      <c r="C195" s="580"/>
      <c r="D195" s="508">
        <f t="shared" si="105"/>
        <v>18</v>
      </c>
      <c r="E195" s="451"/>
      <c r="F195" s="451"/>
      <c r="G195" s="451"/>
      <c r="H195" s="558"/>
      <c r="I195" s="443">
        <f t="shared" si="78"/>
        <v>19981</v>
      </c>
      <c r="J195" s="467"/>
      <c r="K195" s="443"/>
      <c r="M195" s="590"/>
      <c r="N195" s="451"/>
      <c r="O195" s="451"/>
      <c r="P195" s="493"/>
      <c r="Q195" s="492"/>
      <c r="S195" s="590"/>
      <c r="T195" s="451"/>
      <c r="U195" s="451"/>
      <c r="V195" s="493"/>
      <c r="W195" s="492"/>
      <c r="Y195" s="590"/>
      <c r="Z195" s="451"/>
      <c r="AA195" s="451"/>
      <c r="AB195" s="493"/>
      <c r="AC195" s="492"/>
      <c r="AE195" s="590"/>
      <c r="AF195" s="451"/>
      <c r="AG195" s="451"/>
      <c r="AH195" s="493"/>
      <c r="AI195" s="492"/>
      <c r="AK195" s="590"/>
      <c r="AL195" s="451"/>
      <c r="AM195" s="451"/>
      <c r="AN195" s="493"/>
      <c r="AO195" s="492"/>
      <c r="AQ195" s="590"/>
      <c r="AR195" s="451"/>
      <c r="AS195" s="451"/>
      <c r="AT195" s="493"/>
      <c r="AU195" s="492"/>
      <c r="AW195" s="590"/>
      <c r="AX195" s="451"/>
      <c r="AY195" s="451"/>
      <c r="AZ195" s="493"/>
      <c r="BA195" s="492"/>
      <c r="BC195" s="590"/>
      <c r="BD195" s="451"/>
      <c r="BE195" s="451"/>
      <c r="BF195" s="493"/>
      <c r="BG195" s="492"/>
    </row>
    <row r="196" spans="1:70" s="451" customFormat="1" ht="15" customHeight="1">
      <c r="A196" s="436">
        <f t="shared" si="107"/>
        <v>2024</v>
      </c>
      <c r="B196" s="437">
        <f t="shared" si="106"/>
        <v>20085</v>
      </c>
      <c r="C196" s="580"/>
      <c r="D196" s="508">
        <f t="shared" si="105"/>
        <v>19</v>
      </c>
      <c r="H196" s="558"/>
      <c r="I196" s="443">
        <f t="shared" si="78"/>
        <v>20085</v>
      </c>
      <c r="J196" s="467"/>
      <c r="K196" s="443"/>
      <c r="M196" s="590"/>
      <c r="P196" s="493"/>
      <c r="Q196" s="492"/>
      <c r="S196" s="590"/>
      <c r="V196" s="493"/>
      <c r="W196" s="492"/>
      <c r="Y196" s="590"/>
      <c r="AB196" s="493"/>
      <c r="AC196" s="492"/>
      <c r="AE196" s="590"/>
      <c r="AH196" s="493"/>
      <c r="AI196" s="492"/>
      <c r="AK196" s="590"/>
      <c r="AN196" s="493"/>
      <c r="AO196" s="492"/>
      <c r="AQ196" s="590"/>
      <c r="AT196" s="493"/>
      <c r="AU196" s="492"/>
      <c r="AW196" s="590"/>
      <c r="AZ196" s="493"/>
      <c r="BA196" s="492"/>
      <c r="BC196" s="590"/>
      <c r="BF196" s="493"/>
      <c r="BG196" s="492"/>
    </row>
    <row r="197" spans="1:70" ht="15" customHeight="1">
      <c r="A197" s="436">
        <f t="shared" si="107"/>
        <v>2025</v>
      </c>
      <c r="B197" s="437">
        <f t="shared" si="106"/>
        <v>20190</v>
      </c>
      <c r="C197" s="580"/>
      <c r="D197" s="508">
        <f t="shared" si="105"/>
        <v>20</v>
      </c>
      <c r="E197" s="519"/>
      <c r="F197" s="451"/>
      <c r="G197" s="451"/>
      <c r="H197" s="558"/>
      <c r="I197" s="443">
        <f t="shared" si="78"/>
        <v>20190</v>
      </c>
      <c r="J197" s="467"/>
      <c r="K197" s="443"/>
      <c r="M197" s="590"/>
      <c r="N197" s="451"/>
      <c r="O197" s="451"/>
      <c r="P197" s="493"/>
      <c r="Q197" s="492"/>
      <c r="S197" s="590"/>
      <c r="T197" s="451"/>
      <c r="U197" s="451"/>
      <c r="V197" s="493"/>
      <c r="W197" s="492"/>
      <c r="Y197" s="590"/>
      <c r="Z197" s="451"/>
      <c r="AA197" s="451"/>
      <c r="AB197" s="493"/>
      <c r="AC197" s="492"/>
      <c r="AE197" s="590"/>
      <c r="AF197" s="451"/>
      <c r="AG197" s="451"/>
      <c r="AH197" s="493"/>
      <c r="AI197" s="492"/>
      <c r="AK197" s="590"/>
      <c r="AL197" s="451"/>
      <c r="AM197" s="451"/>
      <c r="AN197" s="493"/>
      <c r="AO197" s="492"/>
      <c r="AQ197" s="590"/>
      <c r="AR197" s="451"/>
      <c r="AS197" s="451"/>
      <c r="AT197" s="493"/>
      <c r="AU197" s="492"/>
      <c r="AW197" s="590"/>
      <c r="AX197" s="451"/>
      <c r="AY197" s="451"/>
      <c r="AZ197" s="493"/>
      <c r="BA197" s="492"/>
      <c r="BC197" s="590"/>
      <c r="BD197" s="451"/>
      <c r="BE197" s="451"/>
      <c r="BF197" s="493"/>
      <c r="BG197" s="492"/>
      <c r="BI197" s="590"/>
      <c r="BJ197" s="451"/>
      <c r="BK197" s="451"/>
      <c r="BL197" s="493"/>
      <c r="BM197" s="492"/>
    </row>
    <row r="198" spans="1:70" s="451" customFormat="1" ht="15" customHeight="1">
      <c r="A198" s="436">
        <f t="shared" si="107"/>
        <v>2026</v>
      </c>
      <c r="B198" s="437">
        <f t="shared" si="106"/>
        <v>20296</v>
      </c>
      <c r="C198" s="580"/>
      <c r="D198" s="508">
        <f t="shared" si="105"/>
        <v>21</v>
      </c>
      <c r="E198" s="519"/>
      <c r="H198" s="591"/>
      <c r="I198" s="443">
        <f t="shared" si="78"/>
        <v>20296</v>
      </c>
      <c r="J198" s="467"/>
      <c r="K198" s="443"/>
      <c r="M198" s="590"/>
      <c r="P198" s="493"/>
      <c r="Q198" s="492"/>
      <c r="S198" s="590"/>
      <c r="V198" s="493"/>
      <c r="W198" s="492"/>
      <c r="Y198" s="590"/>
      <c r="AB198" s="493"/>
      <c r="AC198" s="492"/>
      <c r="AE198" s="590"/>
      <c r="AH198" s="493"/>
      <c r="AI198" s="492"/>
      <c r="AK198" s="590"/>
      <c r="AN198" s="493"/>
      <c r="AO198" s="492"/>
      <c r="AQ198" s="590"/>
      <c r="AT198" s="493"/>
      <c r="AU198" s="492"/>
      <c r="AW198" s="590"/>
      <c r="AZ198" s="493"/>
      <c r="BA198" s="492"/>
      <c r="BC198" s="590"/>
      <c r="BF198" s="493"/>
      <c r="BG198" s="492"/>
      <c r="BI198" s="590"/>
      <c r="BL198" s="493"/>
      <c r="BM198" s="492"/>
    </row>
    <row r="199" spans="1:70" s="451" customFormat="1" ht="15" customHeight="1" thickBot="1">
      <c r="A199" s="436">
        <f t="shared" si="107"/>
        <v>2027</v>
      </c>
      <c r="B199" s="437">
        <f t="shared" si="106"/>
        <v>20402</v>
      </c>
      <c r="C199" s="580"/>
      <c r="D199" s="508">
        <f t="shared" si="105"/>
        <v>22</v>
      </c>
      <c r="E199" s="560" t="s">
        <v>344</v>
      </c>
      <c r="F199" s="561" t="s">
        <v>332</v>
      </c>
      <c r="G199" s="561" t="s">
        <v>294</v>
      </c>
      <c r="H199" s="591"/>
      <c r="I199" s="443">
        <f t="shared" si="78"/>
        <v>20402</v>
      </c>
      <c r="J199" s="467"/>
      <c r="K199" s="443"/>
      <c r="M199" s="590"/>
      <c r="P199" s="493"/>
      <c r="Q199" s="492"/>
      <c r="S199" s="590"/>
      <c r="V199" s="493"/>
      <c r="W199" s="492"/>
      <c r="Y199" s="590"/>
      <c r="AB199" s="493"/>
      <c r="AC199" s="492"/>
      <c r="AE199" s="590"/>
      <c r="AH199" s="493"/>
      <c r="AI199" s="492"/>
      <c r="AK199" s="590"/>
      <c r="AN199" s="493"/>
      <c r="AO199" s="492"/>
      <c r="AQ199" s="590"/>
      <c r="AT199" s="493"/>
      <c r="AU199" s="492"/>
      <c r="AW199" s="590"/>
      <c r="AZ199" s="493"/>
      <c r="BA199" s="492"/>
      <c r="BC199" s="590"/>
      <c r="BF199" s="493"/>
      <c r="BG199" s="492"/>
      <c r="BI199" s="590"/>
      <c r="BL199" s="493"/>
      <c r="BM199" s="492"/>
    </row>
    <row r="200" spans="1:70" ht="15" customHeight="1" thickTop="1">
      <c r="A200" s="436">
        <f t="shared" si="107"/>
        <v>2028</v>
      </c>
      <c r="B200" s="437">
        <f t="shared" si="106"/>
        <v>20509</v>
      </c>
      <c r="C200" s="520"/>
      <c r="D200" s="508">
        <f t="shared" si="105"/>
        <v>23</v>
      </c>
      <c r="E200" s="592">
        <v>800000</v>
      </c>
      <c r="F200" s="563">
        <f>IFERROR(O187,0)</f>
        <v>0.75500628317100282</v>
      </c>
      <c r="G200" s="564">
        <f>O188</f>
        <v>339.21899999999999</v>
      </c>
      <c r="H200" s="591"/>
      <c r="I200" s="443">
        <f t="shared" si="78"/>
        <v>20509</v>
      </c>
      <c r="J200" s="469"/>
      <c r="K200" s="469"/>
      <c r="L200" s="326">
        <f>RANK(F200,$F$200:$F$207)</f>
        <v>1</v>
      </c>
    </row>
    <row r="201" spans="1:70" ht="15" customHeight="1">
      <c r="A201" s="436">
        <f t="shared" si="107"/>
        <v>2029</v>
      </c>
      <c r="B201" s="437">
        <f t="shared" si="106"/>
        <v>20616</v>
      </c>
      <c r="C201" s="520"/>
      <c r="D201" s="508">
        <f t="shared" si="105"/>
        <v>24</v>
      </c>
      <c r="E201" s="593">
        <v>900000</v>
      </c>
      <c r="F201" s="565">
        <f>IFERROR(V177,0)</f>
        <v>0.75500628317100282</v>
      </c>
      <c r="G201" s="564">
        <f>U188</f>
        <v>339.21899999999999</v>
      </c>
      <c r="H201" s="591"/>
      <c r="I201" s="443">
        <f t="shared" si="78"/>
        <v>20616</v>
      </c>
      <c r="J201" s="469"/>
      <c r="K201" s="469"/>
      <c r="L201" s="326">
        <f t="shared" ref="L201:L207" si="108">RANK(F201,$F$200:$F$207)</f>
        <v>1</v>
      </c>
    </row>
    <row r="202" spans="1:70" ht="15" customHeight="1">
      <c r="A202" s="436">
        <f t="shared" si="107"/>
        <v>2030</v>
      </c>
      <c r="B202" s="437">
        <f t="shared" si="106"/>
        <v>20724</v>
      </c>
      <c r="C202" s="520"/>
      <c r="D202" s="508">
        <f t="shared" si="105"/>
        <v>25</v>
      </c>
      <c r="E202" s="593">
        <v>1000000</v>
      </c>
      <c r="F202" s="565">
        <f>IFERROR(AB177,0)</f>
        <v>0.75500628317100282</v>
      </c>
      <c r="G202" s="564">
        <f>AA188</f>
        <v>339.21899999999999</v>
      </c>
      <c r="H202" s="591"/>
      <c r="I202" s="443">
        <f t="shared" si="78"/>
        <v>20724</v>
      </c>
      <c r="J202" s="469"/>
      <c r="K202" s="469"/>
      <c r="L202" s="326">
        <f t="shared" si="108"/>
        <v>1</v>
      </c>
      <c r="BK202" s="505"/>
      <c r="BL202" s="505"/>
      <c r="BM202" s="505"/>
      <c r="BN202" s="505"/>
      <c r="BO202" s="505"/>
      <c r="BP202" s="505"/>
      <c r="BQ202" s="505"/>
      <c r="BR202" s="505"/>
    </row>
    <row r="203" spans="1:70" ht="15" customHeight="1">
      <c r="A203" s="436">
        <f t="shared" si="107"/>
        <v>2031</v>
      </c>
      <c r="B203" s="437">
        <f t="shared" si="106"/>
        <v>20832</v>
      </c>
      <c r="C203" s="520"/>
      <c r="D203" s="508">
        <f t="shared" si="105"/>
        <v>26</v>
      </c>
      <c r="E203" s="593">
        <v>2000000</v>
      </c>
      <c r="F203" s="565">
        <f>IFERROR(AH177,0)</f>
        <v>0.75500628317100282</v>
      </c>
      <c r="G203" s="564">
        <f>AG188</f>
        <v>339.21899999999999</v>
      </c>
      <c r="H203" s="591"/>
      <c r="I203" s="443">
        <f t="shared" si="78"/>
        <v>20832</v>
      </c>
      <c r="J203" s="469"/>
      <c r="K203" s="469"/>
      <c r="L203" s="326">
        <f t="shared" si="108"/>
        <v>1</v>
      </c>
    </row>
    <row r="204" spans="1:70" ht="15" customHeight="1">
      <c r="A204" s="436">
        <f t="shared" si="107"/>
        <v>2032</v>
      </c>
      <c r="B204" s="437">
        <f t="shared" si="106"/>
        <v>20941</v>
      </c>
      <c r="C204" s="520"/>
      <c r="D204" s="508">
        <f t="shared" si="105"/>
        <v>27</v>
      </c>
      <c r="E204" s="593">
        <v>3000000</v>
      </c>
      <c r="F204" s="565">
        <f>IFERROR(AN177,0)</f>
        <v>0.75500628317100282</v>
      </c>
      <c r="G204" s="564">
        <f>AM188</f>
        <v>339.21899999999999</v>
      </c>
      <c r="H204" s="591"/>
      <c r="I204" s="443">
        <f t="shared" si="78"/>
        <v>20941</v>
      </c>
      <c r="J204" s="469"/>
      <c r="K204" s="469"/>
      <c r="L204" s="326">
        <f t="shared" si="108"/>
        <v>1</v>
      </c>
    </row>
    <row r="205" spans="1:70" ht="15" customHeight="1">
      <c r="A205" s="436">
        <f t="shared" si="107"/>
        <v>2033</v>
      </c>
      <c r="B205" s="437">
        <f t="shared" si="106"/>
        <v>21051</v>
      </c>
      <c r="C205" s="520"/>
      <c r="D205" s="508">
        <f t="shared" si="105"/>
        <v>28</v>
      </c>
      <c r="E205" s="593">
        <v>4000000</v>
      </c>
      <c r="F205" s="565">
        <f>IFERROR(AT177,0)</f>
        <v>0.75500628317100282</v>
      </c>
      <c r="G205" s="564">
        <f>AS188</f>
        <v>339.21899999999999</v>
      </c>
      <c r="H205" s="591"/>
      <c r="I205" s="443">
        <f t="shared" si="78"/>
        <v>21051</v>
      </c>
      <c r="J205" s="469"/>
      <c r="K205" s="469"/>
      <c r="L205" s="326">
        <f t="shared" si="108"/>
        <v>1</v>
      </c>
    </row>
    <row r="206" spans="1:70" ht="15" customHeight="1">
      <c r="A206" s="436">
        <f t="shared" si="107"/>
        <v>2034</v>
      </c>
      <c r="B206" s="437">
        <f t="shared" si="106"/>
        <v>21161</v>
      </c>
      <c r="C206" s="520"/>
      <c r="D206" s="508">
        <f t="shared" si="105"/>
        <v>29</v>
      </c>
      <c r="E206" s="593">
        <v>5000000</v>
      </c>
      <c r="F206" s="565">
        <f>IFERROR(AZ177,0)</f>
        <v>0.75500628317100282</v>
      </c>
      <c r="G206" s="594">
        <f>AY188</f>
        <v>339.21899999999999</v>
      </c>
      <c r="H206" s="591"/>
      <c r="I206" s="443">
        <f t="shared" si="78"/>
        <v>21161</v>
      </c>
      <c r="J206" s="469"/>
      <c r="K206" s="469"/>
      <c r="L206" s="326">
        <f t="shared" si="108"/>
        <v>1</v>
      </c>
    </row>
    <row r="207" spans="1:70" ht="15" customHeight="1">
      <c r="A207" s="522">
        <f t="shared" si="107"/>
        <v>2035</v>
      </c>
      <c r="B207" s="523">
        <f t="shared" si="106"/>
        <v>21272</v>
      </c>
      <c r="C207" s="524"/>
      <c r="D207" s="525">
        <f t="shared" si="105"/>
        <v>30</v>
      </c>
      <c r="E207" s="570">
        <v>6000000</v>
      </c>
      <c r="F207" s="571">
        <f>IFERROR(BF177,0)</f>
        <v>0.75500628317100282</v>
      </c>
      <c r="G207" s="595">
        <f>BE188</f>
        <v>339.21899999999999</v>
      </c>
      <c r="H207" s="596"/>
      <c r="I207" s="528">
        <f t="shared" si="78"/>
        <v>21272</v>
      </c>
      <c r="J207" s="529"/>
      <c r="K207" s="529"/>
      <c r="L207" s="326">
        <f t="shared" si="108"/>
        <v>1</v>
      </c>
    </row>
    <row r="208" spans="1:70" ht="15" customHeight="1">
      <c r="A208" s="522">
        <f t="shared" si="107"/>
        <v>2036</v>
      </c>
      <c r="B208" s="523">
        <f t="shared" si="106"/>
        <v>21383</v>
      </c>
      <c r="C208" s="524"/>
      <c r="D208" s="525">
        <f t="shared" si="105"/>
        <v>31</v>
      </c>
      <c r="E208" s="570"/>
      <c r="F208" s="571"/>
      <c r="G208" s="595"/>
      <c r="H208" s="596"/>
      <c r="I208" s="528">
        <f t="shared" si="78"/>
        <v>21383</v>
      </c>
      <c r="J208" s="529"/>
      <c r="K208" s="529"/>
    </row>
    <row r="209" spans="1:41" ht="20.100000000000001" customHeight="1">
      <c r="A209" s="522">
        <f t="shared" si="107"/>
        <v>2037</v>
      </c>
      <c r="B209" s="523">
        <f t="shared" si="106"/>
        <v>21494</v>
      </c>
      <c r="C209" s="524"/>
      <c r="D209" s="525">
        <f t="shared" si="105"/>
        <v>32</v>
      </c>
      <c r="E209" s="570"/>
      <c r="F209" s="571"/>
      <c r="G209" s="595"/>
      <c r="H209" s="596"/>
      <c r="I209" s="528">
        <f t="shared" si="78"/>
        <v>21494</v>
      </c>
      <c r="J209" s="529"/>
      <c r="K209" s="529"/>
      <c r="L209" s="578"/>
      <c r="M209" s="578"/>
      <c r="N209" s="578"/>
      <c r="O209" s="578"/>
      <c r="P209" s="578"/>
      <c r="Q209" s="578"/>
      <c r="R209" s="578"/>
      <c r="S209" s="578"/>
      <c r="T209" s="578"/>
      <c r="U209" s="578"/>
      <c r="V209" s="578"/>
      <c r="W209" s="578"/>
      <c r="X209" s="578"/>
      <c r="Y209" s="578"/>
      <c r="Z209" s="578"/>
      <c r="AA209" s="578"/>
      <c r="AB209" s="578"/>
      <c r="AC209" s="578"/>
      <c r="AD209" s="578"/>
      <c r="AE209" s="578"/>
      <c r="AF209" s="578"/>
      <c r="AG209" s="578"/>
      <c r="AH209" s="578"/>
      <c r="AI209" s="578"/>
      <c r="AJ209" s="578"/>
      <c r="AK209" s="578"/>
      <c r="AL209" s="578"/>
      <c r="AM209" s="578"/>
      <c r="AN209" s="578"/>
      <c r="AO209" s="578"/>
    </row>
    <row r="210" spans="1:41" ht="20.100000000000001" customHeight="1">
      <c r="A210" s="522">
        <f t="shared" si="107"/>
        <v>2038</v>
      </c>
      <c r="B210" s="523">
        <f t="shared" si="106"/>
        <v>21607</v>
      </c>
      <c r="C210" s="524"/>
      <c r="D210" s="525">
        <f t="shared" si="105"/>
        <v>33</v>
      </c>
      <c r="E210" s="570"/>
      <c r="F210" s="571"/>
      <c r="G210" s="595"/>
      <c r="H210" s="596"/>
      <c r="I210" s="528">
        <f t="shared" si="78"/>
        <v>21607</v>
      </c>
      <c r="J210" s="529"/>
      <c r="K210" s="529"/>
      <c r="L210" s="578"/>
      <c r="M210" s="578"/>
      <c r="N210" s="578"/>
      <c r="O210" s="578"/>
      <c r="P210" s="578"/>
      <c r="Q210" s="578"/>
      <c r="R210" s="578"/>
      <c r="S210" s="578"/>
      <c r="T210" s="578"/>
      <c r="U210" s="578"/>
      <c r="V210" s="578"/>
      <c r="W210" s="578"/>
      <c r="X210" s="578"/>
      <c r="Y210" s="578"/>
      <c r="Z210" s="578"/>
      <c r="AA210" s="578"/>
      <c r="AB210" s="578"/>
      <c r="AC210" s="578"/>
      <c r="AD210" s="578"/>
      <c r="AE210" s="578"/>
      <c r="AF210" s="578"/>
      <c r="AG210" s="578"/>
      <c r="AH210" s="578"/>
      <c r="AI210" s="578"/>
      <c r="AJ210" s="578"/>
      <c r="AK210" s="578"/>
      <c r="AL210" s="578"/>
      <c r="AM210" s="578"/>
      <c r="AN210" s="578"/>
      <c r="AO210" s="578"/>
    </row>
    <row r="211" spans="1:41" ht="20.100000000000001" customHeight="1">
      <c r="K211" s="578"/>
      <c r="L211" s="578"/>
      <c r="M211" s="578"/>
      <c r="N211" s="578"/>
      <c r="O211" s="578"/>
      <c r="P211" s="578"/>
      <c r="Q211" s="578"/>
      <c r="R211" s="578"/>
      <c r="S211" s="578"/>
      <c r="T211" s="578"/>
      <c r="U211" s="578"/>
      <c r="V211" s="578"/>
      <c r="W211" s="578"/>
      <c r="X211" s="578"/>
      <c r="Y211" s="578"/>
      <c r="Z211" s="578"/>
      <c r="AA211" s="578"/>
      <c r="AB211" s="578"/>
      <c r="AC211" s="578"/>
      <c r="AD211" s="578"/>
      <c r="AE211" s="578"/>
      <c r="AF211" s="578"/>
      <c r="AG211" s="578"/>
      <c r="AH211" s="578"/>
      <c r="AI211" s="578"/>
      <c r="AJ211" s="578"/>
      <c r="AK211" s="578"/>
      <c r="AL211" s="578"/>
      <c r="AM211" s="578"/>
      <c r="AN211" s="578"/>
      <c r="AO211" s="578"/>
    </row>
    <row r="212" spans="1:41" ht="20.100000000000001" customHeight="1">
      <c r="K212" s="578"/>
      <c r="L212" s="578"/>
      <c r="M212" s="578"/>
      <c r="N212" s="578"/>
      <c r="O212" s="578"/>
      <c r="P212" s="578"/>
      <c r="Q212" s="578"/>
      <c r="R212" s="578"/>
      <c r="S212" s="578"/>
      <c r="T212" s="578"/>
      <c r="U212" s="578"/>
      <c r="V212" s="578"/>
      <c r="W212" s="578"/>
      <c r="X212" s="578"/>
      <c r="Y212" s="578"/>
      <c r="Z212" s="578"/>
      <c r="AA212" s="578"/>
      <c r="AB212" s="578"/>
      <c r="AC212" s="578"/>
      <c r="AD212" s="578"/>
      <c r="AE212" s="578"/>
      <c r="AF212" s="578"/>
      <c r="AG212" s="578"/>
      <c r="AH212" s="578"/>
      <c r="AI212" s="578"/>
      <c r="AJ212" s="578"/>
      <c r="AK212" s="578"/>
      <c r="AL212" s="578"/>
      <c r="AM212" s="578"/>
      <c r="AN212" s="578"/>
      <c r="AO212" s="578"/>
    </row>
    <row r="213" spans="1:41" ht="20.100000000000001" customHeight="1">
      <c r="K213" s="578"/>
      <c r="L213" s="578"/>
      <c r="M213" s="578"/>
      <c r="N213" s="578"/>
      <c r="O213" s="578"/>
      <c r="P213" s="578"/>
      <c r="Q213" s="578"/>
      <c r="R213" s="578"/>
      <c r="S213" s="578"/>
      <c r="T213" s="578"/>
      <c r="U213" s="578"/>
      <c r="V213" s="578"/>
      <c r="W213" s="578"/>
      <c r="X213" s="578"/>
      <c r="Y213" s="578"/>
      <c r="Z213" s="578"/>
      <c r="AA213" s="578"/>
      <c r="AB213" s="578"/>
      <c r="AC213" s="578"/>
      <c r="AD213" s="578"/>
      <c r="AE213" s="578"/>
      <c r="AF213" s="578"/>
      <c r="AG213" s="578"/>
      <c r="AH213" s="578"/>
      <c r="AI213" s="578"/>
      <c r="AJ213" s="578"/>
      <c r="AK213" s="578"/>
      <c r="AL213" s="578"/>
      <c r="AM213" s="578"/>
      <c r="AN213" s="578"/>
      <c r="AO213" s="578"/>
    </row>
    <row r="214" spans="1:41" ht="20.100000000000001" customHeight="1"/>
    <row r="215" spans="1:41" ht="20.100000000000001" customHeight="1"/>
    <row r="216" spans="1:41" ht="20.100000000000001" customHeight="1"/>
    <row r="217" spans="1:41" ht="20.100000000000001" customHeight="1"/>
    <row r="218" spans="1:41" ht="20.100000000000001" customHeight="1"/>
    <row r="219" spans="1:41" ht="20.100000000000001" customHeight="1"/>
    <row r="220" spans="1:41" ht="20.100000000000001" customHeight="1"/>
    <row r="221" spans="1:41" ht="20.100000000000001" customHeight="1"/>
    <row r="222" spans="1:41" ht="20.100000000000001" customHeight="1"/>
    <row r="223" spans="1:41" ht="20.100000000000001" customHeight="1"/>
    <row r="224" spans="1:41" ht="20.100000000000001" customHeight="1"/>
    <row r="225" ht="20.100000000000001" customHeight="1"/>
    <row r="226" s="325" customFormat="1" ht="20.100000000000001" customHeight="1"/>
    <row r="227" s="325" customFormat="1" ht="20.100000000000001" customHeight="1"/>
    <row r="228" s="325" customFormat="1" ht="20.100000000000001" customHeight="1"/>
    <row r="229" s="325" customFormat="1" ht="20.100000000000001" customHeight="1"/>
    <row r="230" s="325" customFormat="1" ht="20.100000000000001" customHeight="1"/>
  </sheetData>
  <mergeCells count="17">
    <mergeCell ref="F154:G154"/>
    <mergeCell ref="F155:G155"/>
    <mergeCell ref="E190:F190"/>
    <mergeCell ref="E191:F191"/>
    <mergeCell ref="E192:F192"/>
    <mergeCell ref="F153:G153"/>
    <mergeCell ref="I5:J5"/>
    <mergeCell ref="A39:B39"/>
    <mergeCell ref="A40:B40"/>
    <mergeCell ref="A41:B41"/>
    <mergeCell ref="D70:E70"/>
    <mergeCell ref="D71:E71"/>
    <mergeCell ref="D72:E72"/>
    <mergeCell ref="D73:E73"/>
    <mergeCell ref="E115:F115"/>
    <mergeCell ref="E116:F116"/>
    <mergeCell ref="E117:F117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CX230"/>
  <sheetViews>
    <sheetView view="pageBreakPreview" zoomScaleNormal="100" zoomScaleSheetLayoutView="100" workbookViewId="0">
      <selection activeCell="A3" sqref="A3:F3"/>
    </sheetView>
  </sheetViews>
  <sheetFormatPr defaultRowHeight="14.85" customHeight="1"/>
  <cols>
    <col min="1" max="2" width="12.125" style="325" customWidth="1"/>
    <col min="3" max="5" width="13" style="326" customWidth="1"/>
    <col min="6" max="6" width="12.875" style="326" customWidth="1"/>
    <col min="7" max="7" width="13" style="326" customWidth="1"/>
    <col min="8" max="8" width="13.125" style="326" customWidth="1"/>
    <col min="9" max="10" width="12.125" style="326" customWidth="1"/>
    <col min="11" max="11" width="14.375" style="326" bestFit="1" customWidth="1"/>
    <col min="12" max="12" width="11" style="326" customWidth="1"/>
    <col min="13" max="13" width="10" style="326" customWidth="1"/>
    <col min="14" max="14" width="10.875" style="326" customWidth="1"/>
    <col min="15" max="15" width="13.75" style="326" customWidth="1"/>
    <col min="16" max="16" width="10" style="326" customWidth="1"/>
    <col min="17" max="17" width="13.25" style="326" customWidth="1"/>
    <col min="18" max="18" width="14.375" style="326" customWidth="1"/>
    <col min="19" max="19" width="10" style="326" customWidth="1"/>
    <col min="20" max="20" width="10.875" style="326" customWidth="1"/>
    <col min="21" max="21" width="11.375" style="326" customWidth="1"/>
    <col min="22" max="22" width="15.375" style="326" customWidth="1"/>
    <col min="23" max="24" width="10.75" style="326" customWidth="1"/>
    <col min="25" max="25" width="14.375" style="326" customWidth="1"/>
    <col min="26" max="26" width="10.75" style="326" customWidth="1"/>
    <col min="27" max="27" width="11.75" style="326" customWidth="1"/>
    <col min="28" max="28" width="10" style="326" customWidth="1"/>
    <col min="29" max="29" width="15.375" style="326" customWidth="1"/>
    <col min="30" max="30" width="10" style="326" customWidth="1"/>
    <col min="31" max="31" width="10.75" style="326" customWidth="1"/>
    <col min="32" max="32" width="14.875" style="326" customWidth="1"/>
    <col min="33" max="33" width="11.5" style="326" customWidth="1"/>
    <col min="34" max="34" width="10" style="326" customWidth="1"/>
    <col min="35" max="35" width="10.75" style="326" customWidth="1"/>
    <col min="36" max="36" width="13.5" style="326" customWidth="1"/>
    <col min="37" max="37" width="9" style="326"/>
    <col min="38" max="38" width="10.75" style="326" bestFit="1" customWidth="1"/>
    <col min="39" max="39" width="13.75" style="326" customWidth="1"/>
    <col min="40" max="40" width="9" style="326"/>
    <col min="41" max="41" width="10.625" style="326" customWidth="1"/>
    <col min="42" max="42" width="9" style="326"/>
    <col min="43" max="43" width="14.25" style="326" customWidth="1"/>
    <col min="44" max="44" width="10.75" style="326" bestFit="1" customWidth="1"/>
    <col min="45" max="45" width="11.625" style="326" customWidth="1"/>
    <col min="46" max="46" width="13.75" style="326" customWidth="1"/>
    <col min="47" max="47" width="10.625" style="326" customWidth="1"/>
    <col min="48" max="49" width="9" style="326"/>
    <col min="50" max="50" width="14.125" style="326" customWidth="1"/>
    <col min="51" max="51" width="11" style="326" customWidth="1"/>
    <col min="52" max="52" width="10.75" style="326" bestFit="1" customWidth="1"/>
    <col min="53" max="53" width="13.5" style="326" customWidth="1"/>
    <col min="54" max="55" width="9" style="326"/>
    <col min="56" max="56" width="10.75" style="326" bestFit="1" customWidth="1"/>
    <col min="57" max="57" width="14" style="326" customWidth="1"/>
    <col min="58" max="58" width="9" style="326"/>
    <col min="59" max="59" width="10.75" style="326" customWidth="1"/>
    <col min="60" max="60" width="12.75" style="326" customWidth="1"/>
    <col min="61" max="61" width="9" style="326"/>
    <col min="62" max="62" width="10.75" style="326" bestFit="1" customWidth="1"/>
    <col min="63" max="63" width="11.5" style="326" customWidth="1"/>
    <col min="64" max="64" width="13.625" style="326" customWidth="1"/>
    <col min="65" max="65" width="10.625" style="326" customWidth="1"/>
    <col min="66" max="66" width="10.75" style="326" bestFit="1" customWidth="1"/>
    <col min="67" max="67" width="12.375" style="326" customWidth="1"/>
    <col min="68" max="70" width="9" style="326"/>
    <col min="71" max="71" width="15.75" style="326" customWidth="1"/>
    <col min="72" max="72" width="9" style="326"/>
    <col min="73" max="73" width="10.75" style="326" bestFit="1" customWidth="1"/>
    <col min="74" max="74" width="12.625" style="326" customWidth="1"/>
    <col min="75" max="77" width="9" style="326"/>
    <col min="78" max="78" width="13.625" style="326" customWidth="1"/>
    <col min="79" max="79" width="9" style="326"/>
    <col min="80" max="80" width="10.75" style="326" bestFit="1" customWidth="1"/>
    <col min="81" max="81" width="12.5" style="326" customWidth="1"/>
    <col min="82" max="84" width="9" style="326"/>
    <col min="85" max="85" width="12.875" style="326" customWidth="1"/>
    <col min="86" max="86" width="9" style="326"/>
    <col min="87" max="87" width="10.75" style="326" bestFit="1" customWidth="1"/>
    <col min="88" max="88" width="13.875" style="326" customWidth="1"/>
    <col min="89" max="91" width="9" style="326"/>
    <col min="92" max="92" width="14.125" style="326" customWidth="1"/>
    <col min="93" max="93" width="9" style="326"/>
    <col min="94" max="94" width="10.75" style="326" bestFit="1" customWidth="1"/>
    <col min="95" max="95" width="13.25" style="326" customWidth="1"/>
    <col min="96" max="98" width="9" style="326"/>
    <col min="99" max="99" width="13.25" style="326" customWidth="1"/>
    <col min="100" max="100" width="9" style="326"/>
    <col min="101" max="101" width="10.75" style="326" bestFit="1" customWidth="1"/>
    <col min="102" max="102" width="13.875" style="326" customWidth="1"/>
    <col min="103" max="250" width="9" style="326"/>
    <col min="251" max="252" width="12.125" style="326" customWidth="1"/>
    <col min="253" max="255" width="13" style="326" customWidth="1"/>
    <col min="256" max="256" width="12.875" style="326" customWidth="1"/>
    <col min="257" max="257" width="13" style="326" customWidth="1"/>
    <col min="258" max="258" width="13.125" style="326" customWidth="1"/>
    <col min="259" max="260" width="12.125" style="326" customWidth="1"/>
    <col min="261" max="261" width="14.375" style="326" bestFit="1" customWidth="1"/>
    <col min="262" max="262" width="11" style="326" customWidth="1"/>
    <col min="263" max="263" width="10" style="326" customWidth="1"/>
    <col min="264" max="264" width="10.875" style="326" customWidth="1"/>
    <col min="265" max="265" width="13.75" style="326" customWidth="1"/>
    <col min="266" max="266" width="10" style="326" customWidth="1"/>
    <col min="267" max="267" width="13.25" style="326" customWidth="1"/>
    <col min="268" max="268" width="14.375" style="326" customWidth="1"/>
    <col min="269" max="269" width="10" style="326" customWidth="1"/>
    <col min="270" max="270" width="10.875" style="326" customWidth="1"/>
    <col min="271" max="271" width="11.375" style="326" customWidth="1"/>
    <col min="272" max="272" width="15.375" style="326" customWidth="1"/>
    <col min="273" max="274" width="10.75" style="326" customWidth="1"/>
    <col min="275" max="275" width="14.375" style="326" customWidth="1"/>
    <col min="276" max="276" width="10.75" style="326" customWidth="1"/>
    <col min="277" max="277" width="11.75" style="326" customWidth="1"/>
    <col min="278" max="278" width="10" style="326" customWidth="1"/>
    <col min="279" max="279" width="15.375" style="326" customWidth="1"/>
    <col min="280" max="280" width="10" style="326" customWidth="1"/>
    <col min="281" max="281" width="10.75" style="326" customWidth="1"/>
    <col min="282" max="282" width="14.875" style="326" customWidth="1"/>
    <col min="283" max="283" width="11.5" style="326" customWidth="1"/>
    <col min="284" max="284" width="10" style="326" customWidth="1"/>
    <col min="285" max="285" width="10.75" style="326" customWidth="1"/>
    <col min="286" max="286" width="13.5" style="326" customWidth="1"/>
    <col min="287" max="287" width="9" style="326"/>
    <col min="288" max="288" width="10.75" style="326" bestFit="1" customWidth="1"/>
    <col min="289" max="289" width="13.75" style="326" customWidth="1"/>
    <col min="290" max="290" width="9" style="326"/>
    <col min="291" max="291" width="10.625" style="326" customWidth="1"/>
    <col min="292" max="292" width="9" style="326"/>
    <col min="293" max="293" width="14.25" style="326" customWidth="1"/>
    <col min="294" max="294" width="10.75" style="326" bestFit="1" customWidth="1"/>
    <col min="295" max="295" width="11.625" style="326" customWidth="1"/>
    <col min="296" max="296" width="13.75" style="326" customWidth="1"/>
    <col min="297" max="297" width="10.625" style="326" customWidth="1"/>
    <col min="298" max="299" width="9" style="326"/>
    <col min="300" max="300" width="14.125" style="326" customWidth="1"/>
    <col min="301" max="301" width="11" style="326" customWidth="1"/>
    <col min="302" max="302" width="10.75" style="326" bestFit="1" customWidth="1"/>
    <col min="303" max="303" width="13.5" style="326" customWidth="1"/>
    <col min="304" max="305" width="9" style="326"/>
    <col min="306" max="306" width="10.75" style="326" bestFit="1" customWidth="1"/>
    <col min="307" max="307" width="14" style="326" customWidth="1"/>
    <col min="308" max="308" width="9" style="326"/>
    <col min="309" max="309" width="10.75" style="326" customWidth="1"/>
    <col min="310" max="310" width="12.75" style="326" customWidth="1"/>
    <col min="311" max="311" width="9" style="326"/>
    <col min="312" max="312" width="10.75" style="326" bestFit="1" customWidth="1"/>
    <col min="313" max="313" width="11.5" style="326" customWidth="1"/>
    <col min="314" max="314" width="13.625" style="326" customWidth="1"/>
    <col min="315" max="315" width="10.625" style="326" customWidth="1"/>
    <col min="316" max="316" width="10.75" style="326" bestFit="1" customWidth="1"/>
    <col min="317" max="317" width="12.375" style="326" customWidth="1"/>
    <col min="318" max="320" width="9" style="326"/>
    <col min="321" max="321" width="15.75" style="326" customWidth="1"/>
    <col min="322" max="322" width="9" style="326"/>
    <col min="323" max="323" width="10.75" style="326" bestFit="1" customWidth="1"/>
    <col min="324" max="324" width="12.625" style="326" customWidth="1"/>
    <col min="325" max="327" width="9" style="326"/>
    <col min="328" max="328" width="13.625" style="326" customWidth="1"/>
    <col min="329" max="329" width="9" style="326"/>
    <col min="330" max="330" width="10.75" style="326" bestFit="1" customWidth="1"/>
    <col min="331" max="331" width="12.5" style="326" customWidth="1"/>
    <col min="332" max="334" width="9" style="326"/>
    <col min="335" max="335" width="12.875" style="326" customWidth="1"/>
    <col min="336" max="336" width="9" style="326"/>
    <col min="337" max="337" width="10.75" style="326" bestFit="1" customWidth="1"/>
    <col min="338" max="338" width="13.875" style="326" customWidth="1"/>
    <col min="339" max="341" width="9" style="326"/>
    <col min="342" max="342" width="14.125" style="326" customWidth="1"/>
    <col min="343" max="343" width="9" style="326"/>
    <col min="344" max="344" width="10.75" style="326" bestFit="1" customWidth="1"/>
    <col min="345" max="345" width="13.25" style="326" customWidth="1"/>
    <col min="346" max="348" width="9" style="326"/>
    <col min="349" max="349" width="13.25" style="326" customWidth="1"/>
    <col min="350" max="350" width="9" style="326"/>
    <col min="351" max="351" width="10.75" style="326" bestFit="1" customWidth="1"/>
    <col min="352" max="352" width="13.875" style="326" customWidth="1"/>
    <col min="353" max="355" width="9" style="326"/>
    <col min="356" max="356" width="13.625" style="326" customWidth="1"/>
    <col min="357" max="357" width="9" style="326"/>
    <col min="358" max="358" width="10.75" style="326" bestFit="1" customWidth="1"/>
    <col min="359" max="359" width="13" style="326" customWidth="1"/>
    <col min="360" max="506" width="9" style="326"/>
    <col min="507" max="508" width="12.125" style="326" customWidth="1"/>
    <col min="509" max="511" width="13" style="326" customWidth="1"/>
    <col min="512" max="512" width="12.875" style="326" customWidth="1"/>
    <col min="513" max="513" width="13" style="326" customWidth="1"/>
    <col min="514" max="514" width="13.125" style="326" customWidth="1"/>
    <col min="515" max="516" width="12.125" style="326" customWidth="1"/>
    <col min="517" max="517" width="14.375" style="326" bestFit="1" customWidth="1"/>
    <col min="518" max="518" width="11" style="326" customWidth="1"/>
    <col min="519" max="519" width="10" style="326" customWidth="1"/>
    <col min="520" max="520" width="10.875" style="326" customWidth="1"/>
    <col min="521" max="521" width="13.75" style="326" customWidth="1"/>
    <col min="522" max="522" width="10" style="326" customWidth="1"/>
    <col min="523" max="523" width="13.25" style="326" customWidth="1"/>
    <col min="524" max="524" width="14.375" style="326" customWidth="1"/>
    <col min="525" max="525" width="10" style="326" customWidth="1"/>
    <col min="526" max="526" width="10.875" style="326" customWidth="1"/>
    <col min="527" max="527" width="11.375" style="326" customWidth="1"/>
    <col min="528" max="528" width="15.375" style="326" customWidth="1"/>
    <col min="529" max="530" width="10.75" style="326" customWidth="1"/>
    <col min="531" max="531" width="14.375" style="326" customWidth="1"/>
    <col min="532" max="532" width="10.75" style="326" customWidth="1"/>
    <col min="533" max="533" width="11.75" style="326" customWidth="1"/>
    <col min="534" max="534" width="10" style="326" customWidth="1"/>
    <col min="535" max="535" width="15.375" style="326" customWidth="1"/>
    <col min="536" max="536" width="10" style="326" customWidth="1"/>
    <col min="537" max="537" width="10.75" style="326" customWidth="1"/>
    <col min="538" max="538" width="14.875" style="326" customWidth="1"/>
    <col min="539" max="539" width="11.5" style="326" customWidth="1"/>
    <col min="540" max="540" width="10" style="326" customWidth="1"/>
    <col min="541" max="541" width="10.75" style="326" customWidth="1"/>
    <col min="542" max="542" width="13.5" style="326" customWidth="1"/>
    <col min="543" max="543" width="9" style="326"/>
    <col min="544" max="544" width="10.75" style="326" bestFit="1" customWidth="1"/>
    <col min="545" max="545" width="13.75" style="326" customWidth="1"/>
    <col min="546" max="546" width="9" style="326"/>
    <col min="547" max="547" width="10.625" style="326" customWidth="1"/>
    <col min="548" max="548" width="9" style="326"/>
    <col min="549" max="549" width="14.25" style="326" customWidth="1"/>
    <col min="550" max="550" width="10.75" style="326" bestFit="1" customWidth="1"/>
    <col min="551" max="551" width="11.625" style="326" customWidth="1"/>
    <col min="552" max="552" width="13.75" style="326" customWidth="1"/>
    <col min="553" max="553" width="10.625" style="326" customWidth="1"/>
    <col min="554" max="555" width="9" style="326"/>
    <col min="556" max="556" width="14.125" style="326" customWidth="1"/>
    <col min="557" max="557" width="11" style="326" customWidth="1"/>
    <col min="558" max="558" width="10.75" style="326" bestFit="1" customWidth="1"/>
    <col min="559" max="559" width="13.5" style="326" customWidth="1"/>
    <col min="560" max="561" width="9" style="326"/>
    <col min="562" max="562" width="10.75" style="326" bestFit="1" customWidth="1"/>
    <col min="563" max="563" width="14" style="326" customWidth="1"/>
    <col min="564" max="564" width="9" style="326"/>
    <col min="565" max="565" width="10.75" style="326" customWidth="1"/>
    <col min="566" max="566" width="12.75" style="326" customWidth="1"/>
    <col min="567" max="567" width="9" style="326"/>
    <col min="568" max="568" width="10.75" style="326" bestFit="1" customWidth="1"/>
    <col min="569" max="569" width="11.5" style="326" customWidth="1"/>
    <col min="570" max="570" width="13.625" style="326" customWidth="1"/>
    <col min="571" max="571" width="10.625" style="326" customWidth="1"/>
    <col min="572" max="572" width="10.75" style="326" bestFit="1" customWidth="1"/>
    <col min="573" max="573" width="12.375" style="326" customWidth="1"/>
    <col min="574" max="576" width="9" style="326"/>
    <col min="577" max="577" width="15.75" style="326" customWidth="1"/>
    <col min="578" max="578" width="9" style="326"/>
    <col min="579" max="579" width="10.75" style="326" bestFit="1" customWidth="1"/>
    <col min="580" max="580" width="12.625" style="326" customWidth="1"/>
    <col min="581" max="583" width="9" style="326"/>
    <col min="584" max="584" width="13.625" style="326" customWidth="1"/>
    <col min="585" max="585" width="9" style="326"/>
    <col min="586" max="586" width="10.75" style="326" bestFit="1" customWidth="1"/>
    <col min="587" max="587" width="12.5" style="326" customWidth="1"/>
    <col min="588" max="590" width="9" style="326"/>
    <col min="591" max="591" width="12.875" style="326" customWidth="1"/>
    <col min="592" max="592" width="9" style="326"/>
    <col min="593" max="593" width="10.75" style="326" bestFit="1" customWidth="1"/>
    <col min="594" max="594" width="13.875" style="326" customWidth="1"/>
    <col min="595" max="597" width="9" style="326"/>
    <col min="598" max="598" width="14.125" style="326" customWidth="1"/>
    <col min="599" max="599" width="9" style="326"/>
    <col min="600" max="600" width="10.75" style="326" bestFit="1" customWidth="1"/>
    <col min="601" max="601" width="13.25" style="326" customWidth="1"/>
    <col min="602" max="604" width="9" style="326"/>
    <col min="605" max="605" width="13.25" style="326" customWidth="1"/>
    <col min="606" max="606" width="9" style="326"/>
    <col min="607" max="607" width="10.75" style="326" bestFit="1" customWidth="1"/>
    <col min="608" max="608" width="13.875" style="326" customWidth="1"/>
    <col min="609" max="611" width="9" style="326"/>
    <col min="612" max="612" width="13.625" style="326" customWidth="1"/>
    <col min="613" max="613" width="9" style="326"/>
    <col min="614" max="614" width="10.75" style="326" bestFit="1" customWidth="1"/>
    <col min="615" max="615" width="13" style="326" customWidth="1"/>
    <col min="616" max="762" width="9" style="326"/>
    <col min="763" max="764" width="12.125" style="326" customWidth="1"/>
    <col min="765" max="767" width="13" style="326" customWidth="1"/>
    <col min="768" max="768" width="12.875" style="326" customWidth="1"/>
    <col min="769" max="769" width="13" style="326" customWidth="1"/>
    <col min="770" max="770" width="13.125" style="326" customWidth="1"/>
    <col min="771" max="772" width="12.125" style="326" customWidth="1"/>
    <col min="773" max="773" width="14.375" style="326" bestFit="1" customWidth="1"/>
    <col min="774" max="774" width="11" style="326" customWidth="1"/>
    <col min="775" max="775" width="10" style="326" customWidth="1"/>
    <col min="776" max="776" width="10.875" style="326" customWidth="1"/>
    <col min="777" max="777" width="13.75" style="326" customWidth="1"/>
    <col min="778" max="778" width="10" style="326" customWidth="1"/>
    <col min="779" max="779" width="13.25" style="326" customWidth="1"/>
    <col min="780" max="780" width="14.375" style="326" customWidth="1"/>
    <col min="781" max="781" width="10" style="326" customWidth="1"/>
    <col min="782" max="782" width="10.875" style="326" customWidth="1"/>
    <col min="783" max="783" width="11.375" style="326" customWidth="1"/>
    <col min="784" max="784" width="15.375" style="326" customWidth="1"/>
    <col min="785" max="786" width="10.75" style="326" customWidth="1"/>
    <col min="787" max="787" width="14.375" style="326" customWidth="1"/>
    <col min="788" max="788" width="10.75" style="326" customWidth="1"/>
    <col min="789" max="789" width="11.75" style="326" customWidth="1"/>
    <col min="790" max="790" width="10" style="326" customWidth="1"/>
    <col min="791" max="791" width="15.375" style="326" customWidth="1"/>
    <col min="792" max="792" width="10" style="326" customWidth="1"/>
    <col min="793" max="793" width="10.75" style="326" customWidth="1"/>
    <col min="794" max="794" width="14.875" style="326" customWidth="1"/>
    <col min="795" max="795" width="11.5" style="326" customWidth="1"/>
    <col min="796" max="796" width="10" style="326" customWidth="1"/>
    <col min="797" max="797" width="10.75" style="326" customWidth="1"/>
    <col min="798" max="798" width="13.5" style="326" customWidth="1"/>
    <col min="799" max="799" width="9" style="326"/>
    <col min="800" max="800" width="10.75" style="326" bestFit="1" customWidth="1"/>
    <col min="801" max="801" width="13.75" style="326" customWidth="1"/>
    <col min="802" max="802" width="9" style="326"/>
    <col min="803" max="803" width="10.625" style="326" customWidth="1"/>
    <col min="804" max="804" width="9" style="326"/>
    <col min="805" max="805" width="14.25" style="326" customWidth="1"/>
    <col min="806" max="806" width="10.75" style="326" bestFit="1" customWidth="1"/>
    <col min="807" max="807" width="11.625" style="326" customWidth="1"/>
    <col min="808" max="808" width="13.75" style="326" customWidth="1"/>
    <col min="809" max="809" width="10.625" style="326" customWidth="1"/>
    <col min="810" max="811" width="9" style="326"/>
    <col min="812" max="812" width="14.125" style="326" customWidth="1"/>
    <col min="813" max="813" width="11" style="326" customWidth="1"/>
    <col min="814" max="814" width="10.75" style="326" bestFit="1" customWidth="1"/>
    <col min="815" max="815" width="13.5" style="326" customWidth="1"/>
    <col min="816" max="817" width="9" style="326"/>
    <col min="818" max="818" width="10.75" style="326" bestFit="1" customWidth="1"/>
    <col min="819" max="819" width="14" style="326" customWidth="1"/>
    <col min="820" max="820" width="9" style="326"/>
    <col min="821" max="821" width="10.75" style="326" customWidth="1"/>
    <col min="822" max="822" width="12.75" style="326" customWidth="1"/>
    <col min="823" max="823" width="9" style="326"/>
    <col min="824" max="824" width="10.75" style="326" bestFit="1" customWidth="1"/>
    <col min="825" max="825" width="11.5" style="326" customWidth="1"/>
    <col min="826" max="826" width="13.625" style="326" customWidth="1"/>
    <col min="827" max="827" width="10.625" style="326" customWidth="1"/>
    <col min="828" max="828" width="10.75" style="326" bestFit="1" customWidth="1"/>
    <col min="829" max="829" width="12.375" style="326" customWidth="1"/>
    <col min="830" max="832" width="9" style="326"/>
    <col min="833" max="833" width="15.75" style="326" customWidth="1"/>
    <col min="834" max="834" width="9" style="326"/>
    <col min="835" max="835" width="10.75" style="326" bestFit="1" customWidth="1"/>
    <col min="836" max="836" width="12.625" style="326" customWidth="1"/>
    <col min="837" max="839" width="9" style="326"/>
    <col min="840" max="840" width="13.625" style="326" customWidth="1"/>
    <col min="841" max="841" width="9" style="326"/>
    <col min="842" max="842" width="10.75" style="326" bestFit="1" customWidth="1"/>
    <col min="843" max="843" width="12.5" style="326" customWidth="1"/>
    <col min="844" max="846" width="9" style="326"/>
    <col min="847" max="847" width="12.875" style="326" customWidth="1"/>
    <col min="848" max="848" width="9" style="326"/>
    <col min="849" max="849" width="10.75" style="326" bestFit="1" customWidth="1"/>
    <col min="850" max="850" width="13.875" style="326" customWidth="1"/>
    <col min="851" max="853" width="9" style="326"/>
    <col min="854" max="854" width="14.125" style="326" customWidth="1"/>
    <col min="855" max="855" width="9" style="326"/>
    <col min="856" max="856" width="10.75" style="326" bestFit="1" customWidth="1"/>
    <col min="857" max="857" width="13.25" style="326" customWidth="1"/>
    <col min="858" max="860" width="9" style="326"/>
    <col min="861" max="861" width="13.25" style="326" customWidth="1"/>
    <col min="862" max="862" width="9" style="326"/>
    <col min="863" max="863" width="10.75" style="326" bestFit="1" customWidth="1"/>
    <col min="864" max="864" width="13.875" style="326" customWidth="1"/>
    <col min="865" max="867" width="9" style="326"/>
    <col min="868" max="868" width="13.625" style="326" customWidth="1"/>
    <col min="869" max="869" width="9" style="326"/>
    <col min="870" max="870" width="10.75" style="326" bestFit="1" customWidth="1"/>
    <col min="871" max="871" width="13" style="326" customWidth="1"/>
    <col min="872" max="1018" width="9" style="326"/>
    <col min="1019" max="1020" width="12.125" style="326" customWidth="1"/>
    <col min="1021" max="1023" width="13" style="326" customWidth="1"/>
    <col min="1024" max="1024" width="12.875" style="326" customWidth="1"/>
    <col min="1025" max="1025" width="13" style="326" customWidth="1"/>
    <col min="1026" max="1026" width="13.125" style="326" customWidth="1"/>
    <col min="1027" max="1028" width="12.125" style="326" customWidth="1"/>
    <col min="1029" max="1029" width="14.375" style="326" bestFit="1" customWidth="1"/>
    <col min="1030" max="1030" width="11" style="326" customWidth="1"/>
    <col min="1031" max="1031" width="10" style="326" customWidth="1"/>
    <col min="1032" max="1032" width="10.875" style="326" customWidth="1"/>
    <col min="1033" max="1033" width="13.75" style="326" customWidth="1"/>
    <col min="1034" max="1034" width="10" style="326" customWidth="1"/>
    <col min="1035" max="1035" width="13.25" style="326" customWidth="1"/>
    <col min="1036" max="1036" width="14.375" style="326" customWidth="1"/>
    <col min="1037" max="1037" width="10" style="326" customWidth="1"/>
    <col min="1038" max="1038" width="10.875" style="326" customWidth="1"/>
    <col min="1039" max="1039" width="11.375" style="326" customWidth="1"/>
    <col min="1040" max="1040" width="15.375" style="326" customWidth="1"/>
    <col min="1041" max="1042" width="10.75" style="326" customWidth="1"/>
    <col min="1043" max="1043" width="14.375" style="326" customWidth="1"/>
    <col min="1044" max="1044" width="10.75" style="326" customWidth="1"/>
    <col min="1045" max="1045" width="11.75" style="326" customWidth="1"/>
    <col min="1046" max="1046" width="10" style="326" customWidth="1"/>
    <col min="1047" max="1047" width="15.375" style="326" customWidth="1"/>
    <col min="1048" max="1048" width="10" style="326" customWidth="1"/>
    <col min="1049" max="1049" width="10.75" style="326" customWidth="1"/>
    <col min="1050" max="1050" width="14.875" style="326" customWidth="1"/>
    <col min="1051" max="1051" width="11.5" style="326" customWidth="1"/>
    <col min="1052" max="1052" width="10" style="326" customWidth="1"/>
    <col min="1053" max="1053" width="10.75" style="326" customWidth="1"/>
    <col min="1054" max="1054" width="13.5" style="326" customWidth="1"/>
    <col min="1055" max="1055" width="9" style="326"/>
    <col min="1056" max="1056" width="10.75" style="326" bestFit="1" customWidth="1"/>
    <col min="1057" max="1057" width="13.75" style="326" customWidth="1"/>
    <col min="1058" max="1058" width="9" style="326"/>
    <col min="1059" max="1059" width="10.625" style="326" customWidth="1"/>
    <col min="1060" max="1060" width="9" style="326"/>
    <col min="1061" max="1061" width="14.25" style="326" customWidth="1"/>
    <col min="1062" max="1062" width="10.75" style="326" bestFit="1" customWidth="1"/>
    <col min="1063" max="1063" width="11.625" style="326" customWidth="1"/>
    <col min="1064" max="1064" width="13.75" style="326" customWidth="1"/>
    <col min="1065" max="1065" width="10.625" style="326" customWidth="1"/>
    <col min="1066" max="1067" width="9" style="326"/>
    <col min="1068" max="1068" width="14.125" style="326" customWidth="1"/>
    <col min="1069" max="1069" width="11" style="326" customWidth="1"/>
    <col min="1070" max="1070" width="10.75" style="326" bestFit="1" customWidth="1"/>
    <col min="1071" max="1071" width="13.5" style="326" customWidth="1"/>
    <col min="1072" max="1073" width="9" style="326"/>
    <col min="1074" max="1074" width="10.75" style="326" bestFit="1" customWidth="1"/>
    <col min="1075" max="1075" width="14" style="326" customWidth="1"/>
    <col min="1076" max="1076" width="9" style="326"/>
    <col min="1077" max="1077" width="10.75" style="326" customWidth="1"/>
    <col min="1078" max="1078" width="12.75" style="326" customWidth="1"/>
    <col min="1079" max="1079" width="9" style="326"/>
    <col min="1080" max="1080" width="10.75" style="326" bestFit="1" customWidth="1"/>
    <col min="1081" max="1081" width="11.5" style="326" customWidth="1"/>
    <col min="1082" max="1082" width="13.625" style="326" customWidth="1"/>
    <col min="1083" max="1083" width="10.625" style="326" customWidth="1"/>
    <col min="1084" max="1084" width="10.75" style="326" bestFit="1" customWidth="1"/>
    <col min="1085" max="1085" width="12.375" style="326" customWidth="1"/>
    <col min="1086" max="1088" width="9" style="326"/>
    <col min="1089" max="1089" width="15.75" style="326" customWidth="1"/>
    <col min="1090" max="1090" width="9" style="326"/>
    <col min="1091" max="1091" width="10.75" style="326" bestFit="1" customWidth="1"/>
    <col min="1092" max="1092" width="12.625" style="326" customWidth="1"/>
    <col min="1093" max="1095" width="9" style="326"/>
    <col min="1096" max="1096" width="13.625" style="326" customWidth="1"/>
    <col min="1097" max="1097" width="9" style="326"/>
    <col min="1098" max="1098" width="10.75" style="326" bestFit="1" customWidth="1"/>
    <col min="1099" max="1099" width="12.5" style="326" customWidth="1"/>
    <col min="1100" max="1102" width="9" style="326"/>
    <col min="1103" max="1103" width="12.875" style="326" customWidth="1"/>
    <col min="1104" max="1104" width="9" style="326"/>
    <col min="1105" max="1105" width="10.75" style="326" bestFit="1" customWidth="1"/>
    <col min="1106" max="1106" width="13.875" style="326" customWidth="1"/>
    <col min="1107" max="1109" width="9" style="326"/>
    <col min="1110" max="1110" width="14.125" style="326" customWidth="1"/>
    <col min="1111" max="1111" width="9" style="326"/>
    <col min="1112" max="1112" width="10.75" style="326" bestFit="1" customWidth="1"/>
    <col min="1113" max="1113" width="13.25" style="326" customWidth="1"/>
    <col min="1114" max="1116" width="9" style="326"/>
    <col min="1117" max="1117" width="13.25" style="326" customWidth="1"/>
    <col min="1118" max="1118" width="9" style="326"/>
    <col min="1119" max="1119" width="10.75" style="326" bestFit="1" customWidth="1"/>
    <col min="1120" max="1120" width="13.875" style="326" customWidth="1"/>
    <col min="1121" max="1123" width="9" style="326"/>
    <col min="1124" max="1124" width="13.625" style="326" customWidth="1"/>
    <col min="1125" max="1125" width="9" style="326"/>
    <col min="1126" max="1126" width="10.75" style="326" bestFit="1" customWidth="1"/>
    <col min="1127" max="1127" width="13" style="326" customWidth="1"/>
    <col min="1128" max="1274" width="9" style="326"/>
    <col min="1275" max="1276" width="12.125" style="326" customWidth="1"/>
    <col min="1277" max="1279" width="13" style="326" customWidth="1"/>
    <col min="1280" max="1280" width="12.875" style="326" customWidth="1"/>
    <col min="1281" max="1281" width="13" style="326" customWidth="1"/>
    <col min="1282" max="1282" width="13.125" style="326" customWidth="1"/>
    <col min="1283" max="1284" width="12.125" style="326" customWidth="1"/>
    <col min="1285" max="1285" width="14.375" style="326" bestFit="1" customWidth="1"/>
    <col min="1286" max="1286" width="11" style="326" customWidth="1"/>
    <col min="1287" max="1287" width="10" style="326" customWidth="1"/>
    <col min="1288" max="1288" width="10.875" style="326" customWidth="1"/>
    <col min="1289" max="1289" width="13.75" style="326" customWidth="1"/>
    <col min="1290" max="1290" width="10" style="326" customWidth="1"/>
    <col min="1291" max="1291" width="13.25" style="326" customWidth="1"/>
    <col min="1292" max="1292" width="14.375" style="326" customWidth="1"/>
    <col min="1293" max="1293" width="10" style="326" customWidth="1"/>
    <col min="1294" max="1294" width="10.875" style="326" customWidth="1"/>
    <col min="1295" max="1295" width="11.375" style="326" customWidth="1"/>
    <col min="1296" max="1296" width="15.375" style="326" customWidth="1"/>
    <col min="1297" max="1298" width="10.75" style="326" customWidth="1"/>
    <col min="1299" max="1299" width="14.375" style="326" customWidth="1"/>
    <col min="1300" max="1300" width="10.75" style="326" customWidth="1"/>
    <col min="1301" max="1301" width="11.75" style="326" customWidth="1"/>
    <col min="1302" max="1302" width="10" style="326" customWidth="1"/>
    <col min="1303" max="1303" width="15.375" style="326" customWidth="1"/>
    <col min="1304" max="1304" width="10" style="326" customWidth="1"/>
    <col min="1305" max="1305" width="10.75" style="326" customWidth="1"/>
    <col min="1306" max="1306" width="14.875" style="326" customWidth="1"/>
    <col min="1307" max="1307" width="11.5" style="326" customWidth="1"/>
    <col min="1308" max="1308" width="10" style="326" customWidth="1"/>
    <col min="1309" max="1309" width="10.75" style="326" customWidth="1"/>
    <col min="1310" max="1310" width="13.5" style="326" customWidth="1"/>
    <col min="1311" max="1311" width="9" style="326"/>
    <col min="1312" max="1312" width="10.75" style="326" bestFit="1" customWidth="1"/>
    <col min="1313" max="1313" width="13.75" style="326" customWidth="1"/>
    <col min="1314" max="1314" width="9" style="326"/>
    <col min="1315" max="1315" width="10.625" style="326" customWidth="1"/>
    <col min="1316" max="1316" width="9" style="326"/>
    <col min="1317" max="1317" width="14.25" style="326" customWidth="1"/>
    <col min="1318" max="1318" width="10.75" style="326" bestFit="1" customWidth="1"/>
    <col min="1319" max="1319" width="11.625" style="326" customWidth="1"/>
    <col min="1320" max="1320" width="13.75" style="326" customWidth="1"/>
    <col min="1321" max="1321" width="10.625" style="326" customWidth="1"/>
    <col min="1322" max="1323" width="9" style="326"/>
    <col min="1324" max="1324" width="14.125" style="326" customWidth="1"/>
    <col min="1325" max="1325" width="11" style="326" customWidth="1"/>
    <col min="1326" max="1326" width="10.75" style="326" bestFit="1" customWidth="1"/>
    <col min="1327" max="1327" width="13.5" style="326" customWidth="1"/>
    <col min="1328" max="1329" width="9" style="326"/>
    <col min="1330" max="1330" width="10.75" style="326" bestFit="1" customWidth="1"/>
    <col min="1331" max="1331" width="14" style="326" customWidth="1"/>
    <col min="1332" max="1332" width="9" style="326"/>
    <col min="1333" max="1333" width="10.75" style="326" customWidth="1"/>
    <col min="1334" max="1334" width="12.75" style="326" customWidth="1"/>
    <col min="1335" max="1335" width="9" style="326"/>
    <col min="1336" max="1336" width="10.75" style="326" bestFit="1" customWidth="1"/>
    <col min="1337" max="1337" width="11.5" style="326" customWidth="1"/>
    <col min="1338" max="1338" width="13.625" style="326" customWidth="1"/>
    <col min="1339" max="1339" width="10.625" style="326" customWidth="1"/>
    <col min="1340" max="1340" width="10.75" style="326" bestFit="1" customWidth="1"/>
    <col min="1341" max="1341" width="12.375" style="326" customWidth="1"/>
    <col min="1342" max="1344" width="9" style="326"/>
    <col min="1345" max="1345" width="15.75" style="326" customWidth="1"/>
    <col min="1346" max="1346" width="9" style="326"/>
    <col min="1347" max="1347" width="10.75" style="326" bestFit="1" customWidth="1"/>
    <col min="1348" max="1348" width="12.625" style="326" customWidth="1"/>
    <col min="1349" max="1351" width="9" style="326"/>
    <col min="1352" max="1352" width="13.625" style="326" customWidth="1"/>
    <col min="1353" max="1353" width="9" style="326"/>
    <col min="1354" max="1354" width="10.75" style="326" bestFit="1" customWidth="1"/>
    <col min="1355" max="1355" width="12.5" style="326" customWidth="1"/>
    <col min="1356" max="1358" width="9" style="326"/>
    <col min="1359" max="1359" width="12.875" style="326" customWidth="1"/>
    <col min="1360" max="1360" width="9" style="326"/>
    <col min="1361" max="1361" width="10.75" style="326" bestFit="1" customWidth="1"/>
    <col min="1362" max="1362" width="13.875" style="326" customWidth="1"/>
    <col min="1363" max="1365" width="9" style="326"/>
    <col min="1366" max="1366" width="14.125" style="326" customWidth="1"/>
    <col min="1367" max="1367" width="9" style="326"/>
    <col min="1368" max="1368" width="10.75" style="326" bestFit="1" customWidth="1"/>
    <col min="1369" max="1369" width="13.25" style="326" customWidth="1"/>
    <col min="1370" max="1372" width="9" style="326"/>
    <col min="1373" max="1373" width="13.25" style="326" customWidth="1"/>
    <col min="1374" max="1374" width="9" style="326"/>
    <col min="1375" max="1375" width="10.75" style="326" bestFit="1" customWidth="1"/>
    <col min="1376" max="1376" width="13.875" style="326" customWidth="1"/>
    <col min="1377" max="1379" width="9" style="326"/>
    <col min="1380" max="1380" width="13.625" style="326" customWidth="1"/>
    <col min="1381" max="1381" width="9" style="326"/>
    <col min="1382" max="1382" width="10.75" style="326" bestFit="1" customWidth="1"/>
    <col min="1383" max="1383" width="13" style="326" customWidth="1"/>
    <col min="1384" max="1530" width="9" style="326"/>
    <col min="1531" max="1532" width="12.125" style="326" customWidth="1"/>
    <col min="1533" max="1535" width="13" style="326" customWidth="1"/>
    <col min="1536" max="1536" width="12.875" style="326" customWidth="1"/>
    <col min="1537" max="1537" width="13" style="326" customWidth="1"/>
    <col min="1538" max="1538" width="13.125" style="326" customWidth="1"/>
    <col min="1539" max="1540" width="12.125" style="326" customWidth="1"/>
    <col min="1541" max="1541" width="14.375" style="326" bestFit="1" customWidth="1"/>
    <col min="1542" max="1542" width="11" style="326" customWidth="1"/>
    <col min="1543" max="1543" width="10" style="326" customWidth="1"/>
    <col min="1544" max="1544" width="10.875" style="326" customWidth="1"/>
    <col min="1545" max="1545" width="13.75" style="326" customWidth="1"/>
    <col min="1546" max="1546" width="10" style="326" customWidth="1"/>
    <col min="1547" max="1547" width="13.25" style="326" customWidth="1"/>
    <col min="1548" max="1548" width="14.375" style="326" customWidth="1"/>
    <col min="1549" max="1549" width="10" style="326" customWidth="1"/>
    <col min="1550" max="1550" width="10.875" style="326" customWidth="1"/>
    <col min="1551" max="1551" width="11.375" style="326" customWidth="1"/>
    <col min="1552" max="1552" width="15.375" style="326" customWidth="1"/>
    <col min="1553" max="1554" width="10.75" style="326" customWidth="1"/>
    <col min="1555" max="1555" width="14.375" style="326" customWidth="1"/>
    <col min="1556" max="1556" width="10.75" style="326" customWidth="1"/>
    <col min="1557" max="1557" width="11.75" style="326" customWidth="1"/>
    <col min="1558" max="1558" width="10" style="326" customWidth="1"/>
    <col min="1559" max="1559" width="15.375" style="326" customWidth="1"/>
    <col min="1560" max="1560" width="10" style="326" customWidth="1"/>
    <col min="1561" max="1561" width="10.75" style="326" customWidth="1"/>
    <col min="1562" max="1562" width="14.875" style="326" customWidth="1"/>
    <col min="1563" max="1563" width="11.5" style="326" customWidth="1"/>
    <col min="1564" max="1564" width="10" style="326" customWidth="1"/>
    <col min="1565" max="1565" width="10.75" style="326" customWidth="1"/>
    <col min="1566" max="1566" width="13.5" style="326" customWidth="1"/>
    <col min="1567" max="1567" width="9" style="326"/>
    <col min="1568" max="1568" width="10.75" style="326" bestFit="1" customWidth="1"/>
    <col min="1569" max="1569" width="13.75" style="326" customWidth="1"/>
    <col min="1570" max="1570" width="9" style="326"/>
    <col min="1571" max="1571" width="10.625" style="326" customWidth="1"/>
    <col min="1572" max="1572" width="9" style="326"/>
    <col min="1573" max="1573" width="14.25" style="326" customWidth="1"/>
    <col min="1574" max="1574" width="10.75" style="326" bestFit="1" customWidth="1"/>
    <col min="1575" max="1575" width="11.625" style="326" customWidth="1"/>
    <col min="1576" max="1576" width="13.75" style="326" customWidth="1"/>
    <col min="1577" max="1577" width="10.625" style="326" customWidth="1"/>
    <col min="1578" max="1579" width="9" style="326"/>
    <col min="1580" max="1580" width="14.125" style="326" customWidth="1"/>
    <col min="1581" max="1581" width="11" style="326" customWidth="1"/>
    <col min="1582" max="1582" width="10.75" style="326" bestFit="1" customWidth="1"/>
    <col min="1583" max="1583" width="13.5" style="326" customWidth="1"/>
    <col min="1584" max="1585" width="9" style="326"/>
    <col min="1586" max="1586" width="10.75" style="326" bestFit="1" customWidth="1"/>
    <col min="1587" max="1587" width="14" style="326" customWidth="1"/>
    <col min="1588" max="1588" width="9" style="326"/>
    <col min="1589" max="1589" width="10.75" style="326" customWidth="1"/>
    <col min="1590" max="1590" width="12.75" style="326" customWidth="1"/>
    <col min="1591" max="1591" width="9" style="326"/>
    <col min="1592" max="1592" width="10.75" style="326" bestFit="1" customWidth="1"/>
    <col min="1593" max="1593" width="11.5" style="326" customWidth="1"/>
    <col min="1594" max="1594" width="13.625" style="326" customWidth="1"/>
    <col min="1595" max="1595" width="10.625" style="326" customWidth="1"/>
    <col min="1596" max="1596" width="10.75" style="326" bestFit="1" customWidth="1"/>
    <col min="1597" max="1597" width="12.375" style="326" customWidth="1"/>
    <col min="1598" max="1600" width="9" style="326"/>
    <col min="1601" max="1601" width="15.75" style="326" customWidth="1"/>
    <col min="1602" max="1602" width="9" style="326"/>
    <col min="1603" max="1603" width="10.75" style="326" bestFit="1" customWidth="1"/>
    <col min="1604" max="1604" width="12.625" style="326" customWidth="1"/>
    <col min="1605" max="1607" width="9" style="326"/>
    <col min="1608" max="1608" width="13.625" style="326" customWidth="1"/>
    <col min="1609" max="1609" width="9" style="326"/>
    <col min="1610" max="1610" width="10.75" style="326" bestFit="1" customWidth="1"/>
    <col min="1611" max="1611" width="12.5" style="326" customWidth="1"/>
    <col min="1612" max="1614" width="9" style="326"/>
    <col min="1615" max="1615" width="12.875" style="326" customWidth="1"/>
    <col min="1616" max="1616" width="9" style="326"/>
    <col min="1617" max="1617" width="10.75" style="326" bestFit="1" customWidth="1"/>
    <col min="1618" max="1618" width="13.875" style="326" customWidth="1"/>
    <col min="1619" max="1621" width="9" style="326"/>
    <col min="1622" max="1622" width="14.125" style="326" customWidth="1"/>
    <col min="1623" max="1623" width="9" style="326"/>
    <col min="1624" max="1624" width="10.75" style="326" bestFit="1" customWidth="1"/>
    <col min="1625" max="1625" width="13.25" style="326" customWidth="1"/>
    <col min="1626" max="1628" width="9" style="326"/>
    <col min="1629" max="1629" width="13.25" style="326" customWidth="1"/>
    <col min="1630" max="1630" width="9" style="326"/>
    <col min="1631" max="1631" width="10.75" style="326" bestFit="1" customWidth="1"/>
    <col min="1632" max="1632" width="13.875" style="326" customWidth="1"/>
    <col min="1633" max="1635" width="9" style="326"/>
    <col min="1636" max="1636" width="13.625" style="326" customWidth="1"/>
    <col min="1637" max="1637" width="9" style="326"/>
    <col min="1638" max="1638" width="10.75" style="326" bestFit="1" customWidth="1"/>
    <col min="1639" max="1639" width="13" style="326" customWidth="1"/>
    <col min="1640" max="1786" width="9" style="326"/>
    <col min="1787" max="1788" width="12.125" style="326" customWidth="1"/>
    <col min="1789" max="1791" width="13" style="326" customWidth="1"/>
    <col min="1792" max="1792" width="12.875" style="326" customWidth="1"/>
    <col min="1793" max="1793" width="13" style="326" customWidth="1"/>
    <col min="1794" max="1794" width="13.125" style="326" customWidth="1"/>
    <col min="1795" max="1796" width="12.125" style="326" customWidth="1"/>
    <col min="1797" max="1797" width="14.375" style="326" bestFit="1" customWidth="1"/>
    <col min="1798" max="1798" width="11" style="326" customWidth="1"/>
    <col min="1799" max="1799" width="10" style="326" customWidth="1"/>
    <col min="1800" max="1800" width="10.875" style="326" customWidth="1"/>
    <col min="1801" max="1801" width="13.75" style="326" customWidth="1"/>
    <col min="1802" max="1802" width="10" style="326" customWidth="1"/>
    <col min="1803" max="1803" width="13.25" style="326" customWidth="1"/>
    <col min="1804" max="1804" width="14.375" style="326" customWidth="1"/>
    <col min="1805" max="1805" width="10" style="326" customWidth="1"/>
    <col min="1806" max="1806" width="10.875" style="326" customWidth="1"/>
    <col min="1807" max="1807" width="11.375" style="326" customWidth="1"/>
    <col min="1808" max="1808" width="15.375" style="326" customWidth="1"/>
    <col min="1809" max="1810" width="10.75" style="326" customWidth="1"/>
    <col min="1811" max="1811" width="14.375" style="326" customWidth="1"/>
    <col min="1812" max="1812" width="10.75" style="326" customWidth="1"/>
    <col min="1813" max="1813" width="11.75" style="326" customWidth="1"/>
    <col min="1814" max="1814" width="10" style="326" customWidth="1"/>
    <col min="1815" max="1815" width="15.375" style="326" customWidth="1"/>
    <col min="1816" max="1816" width="10" style="326" customWidth="1"/>
    <col min="1817" max="1817" width="10.75" style="326" customWidth="1"/>
    <col min="1818" max="1818" width="14.875" style="326" customWidth="1"/>
    <col min="1819" max="1819" width="11.5" style="326" customWidth="1"/>
    <col min="1820" max="1820" width="10" style="326" customWidth="1"/>
    <col min="1821" max="1821" width="10.75" style="326" customWidth="1"/>
    <col min="1822" max="1822" width="13.5" style="326" customWidth="1"/>
    <col min="1823" max="1823" width="9" style="326"/>
    <col min="1824" max="1824" width="10.75" style="326" bestFit="1" customWidth="1"/>
    <col min="1825" max="1825" width="13.75" style="326" customWidth="1"/>
    <col min="1826" max="1826" width="9" style="326"/>
    <col min="1827" max="1827" width="10.625" style="326" customWidth="1"/>
    <col min="1828" max="1828" width="9" style="326"/>
    <col min="1829" max="1829" width="14.25" style="326" customWidth="1"/>
    <col min="1830" max="1830" width="10.75" style="326" bestFit="1" customWidth="1"/>
    <col min="1831" max="1831" width="11.625" style="326" customWidth="1"/>
    <col min="1832" max="1832" width="13.75" style="326" customWidth="1"/>
    <col min="1833" max="1833" width="10.625" style="326" customWidth="1"/>
    <col min="1834" max="1835" width="9" style="326"/>
    <col min="1836" max="1836" width="14.125" style="326" customWidth="1"/>
    <col min="1837" max="1837" width="11" style="326" customWidth="1"/>
    <col min="1838" max="1838" width="10.75" style="326" bestFit="1" customWidth="1"/>
    <col min="1839" max="1839" width="13.5" style="326" customWidth="1"/>
    <col min="1840" max="1841" width="9" style="326"/>
    <col min="1842" max="1842" width="10.75" style="326" bestFit="1" customWidth="1"/>
    <col min="1843" max="1843" width="14" style="326" customWidth="1"/>
    <col min="1844" max="1844" width="9" style="326"/>
    <col min="1845" max="1845" width="10.75" style="326" customWidth="1"/>
    <col min="1846" max="1846" width="12.75" style="326" customWidth="1"/>
    <col min="1847" max="1847" width="9" style="326"/>
    <col min="1848" max="1848" width="10.75" style="326" bestFit="1" customWidth="1"/>
    <col min="1849" max="1849" width="11.5" style="326" customWidth="1"/>
    <col min="1850" max="1850" width="13.625" style="326" customWidth="1"/>
    <col min="1851" max="1851" width="10.625" style="326" customWidth="1"/>
    <col min="1852" max="1852" width="10.75" style="326" bestFit="1" customWidth="1"/>
    <col min="1853" max="1853" width="12.375" style="326" customWidth="1"/>
    <col min="1854" max="1856" width="9" style="326"/>
    <col min="1857" max="1857" width="15.75" style="326" customWidth="1"/>
    <col min="1858" max="1858" width="9" style="326"/>
    <col min="1859" max="1859" width="10.75" style="326" bestFit="1" customWidth="1"/>
    <col min="1860" max="1860" width="12.625" style="326" customWidth="1"/>
    <col min="1861" max="1863" width="9" style="326"/>
    <col min="1864" max="1864" width="13.625" style="326" customWidth="1"/>
    <col min="1865" max="1865" width="9" style="326"/>
    <col min="1866" max="1866" width="10.75" style="326" bestFit="1" customWidth="1"/>
    <col min="1867" max="1867" width="12.5" style="326" customWidth="1"/>
    <col min="1868" max="1870" width="9" style="326"/>
    <col min="1871" max="1871" width="12.875" style="326" customWidth="1"/>
    <col min="1872" max="1872" width="9" style="326"/>
    <col min="1873" max="1873" width="10.75" style="326" bestFit="1" customWidth="1"/>
    <col min="1874" max="1874" width="13.875" style="326" customWidth="1"/>
    <col min="1875" max="1877" width="9" style="326"/>
    <col min="1878" max="1878" width="14.125" style="326" customWidth="1"/>
    <col min="1879" max="1879" width="9" style="326"/>
    <col min="1880" max="1880" width="10.75" style="326" bestFit="1" customWidth="1"/>
    <col min="1881" max="1881" width="13.25" style="326" customWidth="1"/>
    <col min="1882" max="1884" width="9" style="326"/>
    <col min="1885" max="1885" width="13.25" style="326" customWidth="1"/>
    <col min="1886" max="1886" width="9" style="326"/>
    <col min="1887" max="1887" width="10.75" style="326" bestFit="1" customWidth="1"/>
    <col min="1888" max="1888" width="13.875" style="326" customWidth="1"/>
    <col min="1889" max="1891" width="9" style="326"/>
    <col min="1892" max="1892" width="13.625" style="326" customWidth="1"/>
    <col min="1893" max="1893" width="9" style="326"/>
    <col min="1894" max="1894" width="10.75" style="326" bestFit="1" customWidth="1"/>
    <col min="1895" max="1895" width="13" style="326" customWidth="1"/>
    <col min="1896" max="2042" width="9" style="326"/>
    <col min="2043" max="2044" width="12.125" style="326" customWidth="1"/>
    <col min="2045" max="2047" width="13" style="326" customWidth="1"/>
    <col min="2048" max="2048" width="12.875" style="326" customWidth="1"/>
    <col min="2049" max="2049" width="13" style="326" customWidth="1"/>
    <col min="2050" max="2050" width="13.125" style="326" customWidth="1"/>
    <col min="2051" max="2052" width="12.125" style="326" customWidth="1"/>
    <col min="2053" max="2053" width="14.375" style="326" bestFit="1" customWidth="1"/>
    <col min="2054" max="2054" width="11" style="326" customWidth="1"/>
    <col min="2055" max="2055" width="10" style="326" customWidth="1"/>
    <col min="2056" max="2056" width="10.875" style="326" customWidth="1"/>
    <col min="2057" max="2057" width="13.75" style="326" customWidth="1"/>
    <col min="2058" max="2058" width="10" style="326" customWidth="1"/>
    <col min="2059" max="2059" width="13.25" style="326" customWidth="1"/>
    <col min="2060" max="2060" width="14.375" style="326" customWidth="1"/>
    <col min="2061" max="2061" width="10" style="326" customWidth="1"/>
    <col min="2062" max="2062" width="10.875" style="326" customWidth="1"/>
    <col min="2063" max="2063" width="11.375" style="326" customWidth="1"/>
    <col min="2064" max="2064" width="15.375" style="326" customWidth="1"/>
    <col min="2065" max="2066" width="10.75" style="326" customWidth="1"/>
    <col min="2067" max="2067" width="14.375" style="326" customWidth="1"/>
    <col min="2068" max="2068" width="10.75" style="326" customWidth="1"/>
    <col min="2069" max="2069" width="11.75" style="326" customWidth="1"/>
    <col min="2070" max="2070" width="10" style="326" customWidth="1"/>
    <col min="2071" max="2071" width="15.375" style="326" customWidth="1"/>
    <col min="2072" max="2072" width="10" style="326" customWidth="1"/>
    <col min="2073" max="2073" width="10.75" style="326" customWidth="1"/>
    <col min="2074" max="2074" width="14.875" style="326" customWidth="1"/>
    <col min="2075" max="2075" width="11.5" style="326" customWidth="1"/>
    <col min="2076" max="2076" width="10" style="326" customWidth="1"/>
    <col min="2077" max="2077" width="10.75" style="326" customWidth="1"/>
    <col min="2078" max="2078" width="13.5" style="326" customWidth="1"/>
    <col min="2079" max="2079" width="9" style="326"/>
    <col min="2080" max="2080" width="10.75" style="326" bestFit="1" customWidth="1"/>
    <col min="2081" max="2081" width="13.75" style="326" customWidth="1"/>
    <col min="2082" max="2082" width="9" style="326"/>
    <col min="2083" max="2083" width="10.625" style="326" customWidth="1"/>
    <col min="2084" max="2084" width="9" style="326"/>
    <col min="2085" max="2085" width="14.25" style="326" customWidth="1"/>
    <col min="2086" max="2086" width="10.75" style="326" bestFit="1" customWidth="1"/>
    <col min="2087" max="2087" width="11.625" style="326" customWidth="1"/>
    <col min="2088" max="2088" width="13.75" style="326" customWidth="1"/>
    <col min="2089" max="2089" width="10.625" style="326" customWidth="1"/>
    <col min="2090" max="2091" width="9" style="326"/>
    <col min="2092" max="2092" width="14.125" style="326" customWidth="1"/>
    <col min="2093" max="2093" width="11" style="326" customWidth="1"/>
    <col min="2094" max="2094" width="10.75" style="326" bestFit="1" customWidth="1"/>
    <col min="2095" max="2095" width="13.5" style="326" customWidth="1"/>
    <col min="2096" max="2097" width="9" style="326"/>
    <col min="2098" max="2098" width="10.75" style="326" bestFit="1" customWidth="1"/>
    <col min="2099" max="2099" width="14" style="326" customWidth="1"/>
    <col min="2100" max="2100" width="9" style="326"/>
    <col min="2101" max="2101" width="10.75" style="326" customWidth="1"/>
    <col min="2102" max="2102" width="12.75" style="326" customWidth="1"/>
    <col min="2103" max="2103" width="9" style="326"/>
    <col min="2104" max="2104" width="10.75" style="326" bestFit="1" customWidth="1"/>
    <col min="2105" max="2105" width="11.5" style="326" customWidth="1"/>
    <col min="2106" max="2106" width="13.625" style="326" customWidth="1"/>
    <col min="2107" max="2107" width="10.625" style="326" customWidth="1"/>
    <col min="2108" max="2108" width="10.75" style="326" bestFit="1" customWidth="1"/>
    <col min="2109" max="2109" width="12.375" style="326" customWidth="1"/>
    <col min="2110" max="2112" width="9" style="326"/>
    <col min="2113" max="2113" width="15.75" style="326" customWidth="1"/>
    <col min="2114" max="2114" width="9" style="326"/>
    <col min="2115" max="2115" width="10.75" style="326" bestFit="1" customWidth="1"/>
    <col min="2116" max="2116" width="12.625" style="326" customWidth="1"/>
    <col min="2117" max="2119" width="9" style="326"/>
    <col min="2120" max="2120" width="13.625" style="326" customWidth="1"/>
    <col min="2121" max="2121" width="9" style="326"/>
    <col min="2122" max="2122" width="10.75" style="326" bestFit="1" customWidth="1"/>
    <col min="2123" max="2123" width="12.5" style="326" customWidth="1"/>
    <col min="2124" max="2126" width="9" style="326"/>
    <col min="2127" max="2127" width="12.875" style="326" customWidth="1"/>
    <col min="2128" max="2128" width="9" style="326"/>
    <col min="2129" max="2129" width="10.75" style="326" bestFit="1" customWidth="1"/>
    <col min="2130" max="2130" width="13.875" style="326" customWidth="1"/>
    <col min="2131" max="2133" width="9" style="326"/>
    <col min="2134" max="2134" width="14.125" style="326" customWidth="1"/>
    <col min="2135" max="2135" width="9" style="326"/>
    <col min="2136" max="2136" width="10.75" style="326" bestFit="1" customWidth="1"/>
    <col min="2137" max="2137" width="13.25" style="326" customWidth="1"/>
    <col min="2138" max="2140" width="9" style="326"/>
    <col min="2141" max="2141" width="13.25" style="326" customWidth="1"/>
    <col min="2142" max="2142" width="9" style="326"/>
    <col min="2143" max="2143" width="10.75" style="326" bestFit="1" customWidth="1"/>
    <col min="2144" max="2144" width="13.875" style="326" customWidth="1"/>
    <col min="2145" max="2147" width="9" style="326"/>
    <col min="2148" max="2148" width="13.625" style="326" customWidth="1"/>
    <col min="2149" max="2149" width="9" style="326"/>
    <col min="2150" max="2150" width="10.75" style="326" bestFit="1" customWidth="1"/>
    <col min="2151" max="2151" width="13" style="326" customWidth="1"/>
    <col min="2152" max="2298" width="9" style="326"/>
    <col min="2299" max="2300" width="12.125" style="326" customWidth="1"/>
    <col min="2301" max="2303" width="13" style="326" customWidth="1"/>
    <col min="2304" max="2304" width="12.875" style="326" customWidth="1"/>
    <col min="2305" max="2305" width="13" style="326" customWidth="1"/>
    <col min="2306" max="2306" width="13.125" style="326" customWidth="1"/>
    <col min="2307" max="2308" width="12.125" style="326" customWidth="1"/>
    <col min="2309" max="2309" width="14.375" style="326" bestFit="1" customWidth="1"/>
    <col min="2310" max="2310" width="11" style="326" customWidth="1"/>
    <col min="2311" max="2311" width="10" style="326" customWidth="1"/>
    <col min="2312" max="2312" width="10.875" style="326" customWidth="1"/>
    <col min="2313" max="2313" width="13.75" style="326" customWidth="1"/>
    <col min="2314" max="2314" width="10" style="326" customWidth="1"/>
    <col min="2315" max="2315" width="13.25" style="326" customWidth="1"/>
    <col min="2316" max="2316" width="14.375" style="326" customWidth="1"/>
    <col min="2317" max="2317" width="10" style="326" customWidth="1"/>
    <col min="2318" max="2318" width="10.875" style="326" customWidth="1"/>
    <col min="2319" max="2319" width="11.375" style="326" customWidth="1"/>
    <col min="2320" max="2320" width="15.375" style="326" customWidth="1"/>
    <col min="2321" max="2322" width="10.75" style="326" customWidth="1"/>
    <col min="2323" max="2323" width="14.375" style="326" customWidth="1"/>
    <col min="2324" max="2324" width="10.75" style="326" customWidth="1"/>
    <col min="2325" max="2325" width="11.75" style="326" customWidth="1"/>
    <col min="2326" max="2326" width="10" style="326" customWidth="1"/>
    <col min="2327" max="2327" width="15.375" style="326" customWidth="1"/>
    <col min="2328" max="2328" width="10" style="326" customWidth="1"/>
    <col min="2329" max="2329" width="10.75" style="326" customWidth="1"/>
    <col min="2330" max="2330" width="14.875" style="326" customWidth="1"/>
    <col min="2331" max="2331" width="11.5" style="326" customWidth="1"/>
    <col min="2332" max="2332" width="10" style="326" customWidth="1"/>
    <col min="2333" max="2333" width="10.75" style="326" customWidth="1"/>
    <col min="2334" max="2334" width="13.5" style="326" customWidth="1"/>
    <col min="2335" max="2335" width="9" style="326"/>
    <col min="2336" max="2336" width="10.75" style="326" bestFit="1" customWidth="1"/>
    <col min="2337" max="2337" width="13.75" style="326" customWidth="1"/>
    <col min="2338" max="2338" width="9" style="326"/>
    <col min="2339" max="2339" width="10.625" style="326" customWidth="1"/>
    <col min="2340" max="2340" width="9" style="326"/>
    <col min="2341" max="2341" width="14.25" style="326" customWidth="1"/>
    <col min="2342" max="2342" width="10.75" style="326" bestFit="1" customWidth="1"/>
    <col min="2343" max="2343" width="11.625" style="326" customWidth="1"/>
    <col min="2344" max="2344" width="13.75" style="326" customWidth="1"/>
    <col min="2345" max="2345" width="10.625" style="326" customWidth="1"/>
    <col min="2346" max="2347" width="9" style="326"/>
    <col min="2348" max="2348" width="14.125" style="326" customWidth="1"/>
    <col min="2349" max="2349" width="11" style="326" customWidth="1"/>
    <col min="2350" max="2350" width="10.75" style="326" bestFit="1" customWidth="1"/>
    <col min="2351" max="2351" width="13.5" style="326" customWidth="1"/>
    <col min="2352" max="2353" width="9" style="326"/>
    <col min="2354" max="2354" width="10.75" style="326" bestFit="1" customWidth="1"/>
    <col min="2355" max="2355" width="14" style="326" customWidth="1"/>
    <col min="2356" max="2356" width="9" style="326"/>
    <col min="2357" max="2357" width="10.75" style="326" customWidth="1"/>
    <col min="2358" max="2358" width="12.75" style="326" customWidth="1"/>
    <col min="2359" max="2359" width="9" style="326"/>
    <col min="2360" max="2360" width="10.75" style="326" bestFit="1" customWidth="1"/>
    <col min="2361" max="2361" width="11.5" style="326" customWidth="1"/>
    <col min="2362" max="2362" width="13.625" style="326" customWidth="1"/>
    <col min="2363" max="2363" width="10.625" style="326" customWidth="1"/>
    <col min="2364" max="2364" width="10.75" style="326" bestFit="1" customWidth="1"/>
    <col min="2365" max="2365" width="12.375" style="326" customWidth="1"/>
    <col min="2366" max="2368" width="9" style="326"/>
    <col min="2369" max="2369" width="15.75" style="326" customWidth="1"/>
    <col min="2370" max="2370" width="9" style="326"/>
    <col min="2371" max="2371" width="10.75" style="326" bestFit="1" customWidth="1"/>
    <col min="2372" max="2372" width="12.625" style="326" customWidth="1"/>
    <col min="2373" max="2375" width="9" style="326"/>
    <col min="2376" max="2376" width="13.625" style="326" customWidth="1"/>
    <col min="2377" max="2377" width="9" style="326"/>
    <col min="2378" max="2378" width="10.75" style="326" bestFit="1" customWidth="1"/>
    <col min="2379" max="2379" width="12.5" style="326" customWidth="1"/>
    <col min="2380" max="2382" width="9" style="326"/>
    <col min="2383" max="2383" width="12.875" style="326" customWidth="1"/>
    <col min="2384" max="2384" width="9" style="326"/>
    <col min="2385" max="2385" width="10.75" style="326" bestFit="1" customWidth="1"/>
    <col min="2386" max="2386" width="13.875" style="326" customWidth="1"/>
    <col min="2387" max="2389" width="9" style="326"/>
    <col min="2390" max="2390" width="14.125" style="326" customWidth="1"/>
    <col min="2391" max="2391" width="9" style="326"/>
    <col min="2392" max="2392" width="10.75" style="326" bestFit="1" customWidth="1"/>
    <col min="2393" max="2393" width="13.25" style="326" customWidth="1"/>
    <col min="2394" max="2396" width="9" style="326"/>
    <col min="2397" max="2397" width="13.25" style="326" customWidth="1"/>
    <col min="2398" max="2398" width="9" style="326"/>
    <col min="2399" max="2399" width="10.75" style="326" bestFit="1" customWidth="1"/>
    <col min="2400" max="2400" width="13.875" style="326" customWidth="1"/>
    <col min="2401" max="2403" width="9" style="326"/>
    <col min="2404" max="2404" width="13.625" style="326" customWidth="1"/>
    <col min="2405" max="2405" width="9" style="326"/>
    <col min="2406" max="2406" width="10.75" style="326" bestFit="1" customWidth="1"/>
    <col min="2407" max="2407" width="13" style="326" customWidth="1"/>
    <col min="2408" max="2554" width="9" style="326"/>
    <col min="2555" max="2556" width="12.125" style="326" customWidth="1"/>
    <col min="2557" max="2559" width="13" style="326" customWidth="1"/>
    <col min="2560" max="2560" width="12.875" style="326" customWidth="1"/>
    <col min="2561" max="2561" width="13" style="326" customWidth="1"/>
    <col min="2562" max="2562" width="13.125" style="326" customWidth="1"/>
    <col min="2563" max="2564" width="12.125" style="326" customWidth="1"/>
    <col min="2565" max="2565" width="14.375" style="326" bestFit="1" customWidth="1"/>
    <col min="2566" max="2566" width="11" style="326" customWidth="1"/>
    <col min="2567" max="2567" width="10" style="326" customWidth="1"/>
    <col min="2568" max="2568" width="10.875" style="326" customWidth="1"/>
    <col min="2569" max="2569" width="13.75" style="326" customWidth="1"/>
    <col min="2570" max="2570" width="10" style="326" customWidth="1"/>
    <col min="2571" max="2571" width="13.25" style="326" customWidth="1"/>
    <col min="2572" max="2572" width="14.375" style="326" customWidth="1"/>
    <col min="2573" max="2573" width="10" style="326" customWidth="1"/>
    <col min="2574" max="2574" width="10.875" style="326" customWidth="1"/>
    <col min="2575" max="2575" width="11.375" style="326" customWidth="1"/>
    <col min="2576" max="2576" width="15.375" style="326" customWidth="1"/>
    <col min="2577" max="2578" width="10.75" style="326" customWidth="1"/>
    <col min="2579" max="2579" width="14.375" style="326" customWidth="1"/>
    <col min="2580" max="2580" width="10.75" style="326" customWidth="1"/>
    <col min="2581" max="2581" width="11.75" style="326" customWidth="1"/>
    <col min="2582" max="2582" width="10" style="326" customWidth="1"/>
    <col min="2583" max="2583" width="15.375" style="326" customWidth="1"/>
    <col min="2584" max="2584" width="10" style="326" customWidth="1"/>
    <col min="2585" max="2585" width="10.75" style="326" customWidth="1"/>
    <col min="2586" max="2586" width="14.875" style="326" customWidth="1"/>
    <col min="2587" max="2587" width="11.5" style="326" customWidth="1"/>
    <col min="2588" max="2588" width="10" style="326" customWidth="1"/>
    <col min="2589" max="2589" width="10.75" style="326" customWidth="1"/>
    <col min="2590" max="2590" width="13.5" style="326" customWidth="1"/>
    <col min="2591" max="2591" width="9" style="326"/>
    <col min="2592" max="2592" width="10.75" style="326" bestFit="1" customWidth="1"/>
    <col min="2593" max="2593" width="13.75" style="326" customWidth="1"/>
    <col min="2594" max="2594" width="9" style="326"/>
    <col min="2595" max="2595" width="10.625" style="326" customWidth="1"/>
    <col min="2596" max="2596" width="9" style="326"/>
    <col min="2597" max="2597" width="14.25" style="326" customWidth="1"/>
    <col min="2598" max="2598" width="10.75" style="326" bestFit="1" customWidth="1"/>
    <col min="2599" max="2599" width="11.625" style="326" customWidth="1"/>
    <col min="2600" max="2600" width="13.75" style="326" customWidth="1"/>
    <col min="2601" max="2601" width="10.625" style="326" customWidth="1"/>
    <col min="2602" max="2603" width="9" style="326"/>
    <col min="2604" max="2604" width="14.125" style="326" customWidth="1"/>
    <col min="2605" max="2605" width="11" style="326" customWidth="1"/>
    <col min="2606" max="2606" width="10.75" style="326" bestFit="1" customWidth="1"/>
    <col min="2607" max="2607" width="13.5" style="326" customWidth="1"/>
    <col min="2608" max="2609" width="9" style="326"/>
    <col min="2610" max="2610" width="10.75" style="326" bestFit="1" customWidth="1"/>
    <col min="2611" max="2611" width="14" style="326" customWidth="1"/>
    <col min="2612" max="2612" width="9" style="326"/>
    <col min="2613" max="2613" width="10.75" style="326" customWidth="1"/>
    <col min="2614" max="2614" width="12.75" style="326" customWidth="1"/>
    <col min="2615" max="2615" width="9" style="326"/>
    <col min="2616" max="2616" width="10.75" style="326" bestFit="1" customWidth="1"/>
    <col min="2617" max="2617" width="11.5" style="326" customWidth="1"/>
    <col min="2618" max="2618" width="13.625" style="326" customWidth="1"/>
    <col min="2619" max="2619" width="10.625" style="326" customWidth="1"/>
    <col min="2620" max="2620" width="10.75" style="326" bestFit="1" customWidth="1"/>
    <col min="2621" max="2621" width="12.375" style="326" customWidth="1"/>
    <col min="2622" max="2624" width="9" style="326"/>
    <col min="2625" max="2625" width="15.75" style="326" customWidth="1"/>
    <col min="2626" max="2626" width="9" style="326"/>
    <col min="2627" max="2627" width="10.75" style="326" bestFit="1" customWidth="1"/>
    <col min="2628" max="2628" width="12.625" style="326" customWidth="1"/>
    <col min="2629" max="2631" width="9" style="326"/>
    <col min="2632" max="2632" width="13.625" style="326" customWidth="1"/>
    <col min="2633" max="2633" width="9" style="326"/>
    <col min="2634" max="2634" width="10.75" style="326" bestFit="1" customWidth="1"/>
    <col min="2635" max="2635" width="12.5" style="326" customWidth="1"/>
    <col min="2636" max="2638" width="9" style="326"/>
    <col min="2639" max="2639" width="12.875" style="326" customWidth="1"/>
    <col min="2640" max="2640" width="9" style="326"/>
    <col min="2641" max="2641" width="10.75" style="326" bestFit="1" customWidth="1"/>
    <col min="2642" max="2642" width="13.875" style="326" customWidth="1"/>
    <col min="2643" max="2645" width="9" style="326"/>
    <col min="2646" max="2646" width="14.125" style="326" customWidth="1"/>
    <col min="2647" max="2647" width="9" style="326"/>
    <col min="2648" max="2648" width="10.75" style="326" bestFit="1" customWidth="1"/>
    <col min="2649" max="2649" width="13.25" style="326" customWidth="1"/>
    <col min="2650" max="2652" width="9" style="326"/>
    <col min="2653" max="2653" width="13.25" style="326" customWidth="1"/>
    <col min="2654" max="2654" width="9" style="326"/>
    <col min="2655" max="2655" width="10.75" style="326" bestFit="1" customWidth="1"/>
    <col min="2656" max="2656" width="13.875" style="326" customWidth="1"/>
    <col min="2657" max="2659" width="9" style="326"/>
    <col min="2660" max="2660" width="13.625" style="326" customWidth="1"/>
    <col min="2661" max="2661" width="9" style="326"/>
    <col min="2662" max="2662" width="10.75" style="326" bestFit="1" customWidth="1"/>
    <col min="2663" max="2663" width="13" style="326" customWidth="1"/>
    <col min="2664" max="2810" width="9" style="326"/>
    <col min="2811" max="2812" width="12.125" style="326" customWidth="1"/>
    <col min="2813" max="2815" width="13" style="326" customWidth="1"/>
    <col min="2816" max="2816" width="12.875" style="326" customWidth="1"/>
    <col min="2817" max="2817" width="13" style="326" customWidth="1"/>
    <col min="2818" max="2818" width="13.125" style="326" customWidth="1"/>
    <col min="2819" max="2820" width="12.125" style="326" customWidth="1"/>
    <col min="2821" max="2821" width="14.375" style="326" bestFit="1" customWidth="1"/>
    <col min="2822" max="2822" width="11" style="326" customWidth="1"/>
    <col min="2823" max="2823" width="10" style="326" customWidth="1"/>
    <col min="2824" max="2824" width="10.875" style="326" customWidth="1"/>
    <col min="2825" max="2825" width="13.75" style="326" customWidth="1"/>
    <col min="2826" max="2826" width="10" style="326" customWidth="1"/>
    <col min="2827" max="2827" width="13.25" style="326" customWidth="1"/>
    <col min="2828" max="2828" width="14.375" style="326" customWidth="1"/>
    <col min="2829" max="2829" width="10" style="326" customWidth="1"/>
    <col min="2830" max="2830" width="10.875" style="326" customWidth="1"/>
    <col min="2831" max="2831" width="11.375" style="326" customWidth="1"/>
    <col min="2832" max="2832" width="15.375" style="326" customWidth="1"/>
    <col min="2833" max="2834" width="10.75" style="326" customWidth="1"/>
    <col min="2835" max="2835" width="14.375" style="326" customWidth="1"/>
    <col min="2836" max="2836" width="10.75" style="326" customWidth="1"/>
    <col min="2837" max="2837" width="11.75" style="326" customWidth="1"/>
    <col min="2838" max="2838" width="10" style="326" customWidth="1"/>
    <col min="2839" max="2839" width="15.375" style="326" customWidth="1"/>
    <col min="2840" max="2840" width="10" style="326" customWidth="1"/>
    <col min="2841" max="2841" width="10.75" style="326" customWidth="1"/>
    <col min="2842" max="2842" width="14.875" style="326" customWidth="1"/>
    <col min="2843" max="2843" width="11.5" style="326" customWidth="1"/>
    <col min="2844" max="2844" width="10" style="326" customWidth="1"/>
    <col min="2845" max="2845" width="10.75" style="326" customWidth="1"/>
    <col min="2846" max="2846" width="13.5" style="326" customWidth="1"/>
    <col min="2847" max="2847" width="9" style="326"/>
    <col min="2848" max="2848" width="10.75" style="326" bestFit="1" customWidth="1"/>
    <col min="2849" max="2849" width="13.75" style="326" customWidth="1"/>
    <col min="2850" max="2850" width="9" style="326"/>
    <col min="2851" max="2851" width="10.625" style="326" customWidth="1"/>
    <col min="2852" max="2852" width="9" style="326"/>
    <col min="2853" max="2853" width="14.25" style="326" customWidth="1"/>
    <col min="2854" max="2854" width="10.75" style="326" bestFit="1" customWidth="1"/>
    <col min="2855" max="2855" width="11.625" style="326" customWidth="1"/>
    <col min="2856" max="2856" width="13.75" style="326" customWidth="1"/>
    <col min="2857" max="2857" width="10.625" style="326" customWidth="1"/>
    <col min="2858" max="2859" width="9" style="326"/>
    <col min="2860" max="2860" width="14.125" style="326" customWidth="1"/>
    <col min="2861" max="2861" width="11" style="326" customWidth="1"/>
    <col min="2862" max="2862" width="10.75" style="326" bestFit="1" customWidth="1"/>
    <col min="2863" max="2863" width="13.5" style="326" customWidth="1"/>
    <col min="2864" max="2865" width="9" style="326"/>
    <col min="2866" max="2866" width="10.75" style="326" bestFit="1" customWidth="1"/>
    <col min="2867" max="2867" width="14" style="326" customWidth="1"/>
    <col min="2868" max="2868" width="9" style="326"/>
    <col min="2869" max="2869" width="10.75" style="326" customWidth="1"/>
    <col min="2870" max="2870" width="12.75" style="326" customWidth="1"/>
    <col min="2871" max="2871" width="9" style="326"/>
    <col min="2872" max="2872" width="10.75" style="326" bestFit="1" customWidth="1"/>
    <col min="2873" max="2873" width="11.5" style="326" customWidth="1"/>
    <col min="2874" max="2874" width="13.625" style="326" customWidth="1"/>
    <col min="2875" max="2875" width="10.625" style="326" customWidth="1"/>
    <col min="2876" max="2876" width="10.75" style="326" bestFit="1" customWidth="1"/>
    <col min="2877" max="2877" width="12.375" style="326" customWidth="1"/>
    <col min="2878" max="2880" width="9" style="326"/>
    <col min="2881" max="2881" width="15.75" style="326" customWidth="1"/>
    <col min="2882" max="2882" width="9" style="326"/>
    <col min="2883" max="2883" width="10.75" style="326" bestFit="1" customWidth="1"/>
    <col min="2884" max="2884" width="12.625" style="326" customWidth="1"/>
    <col min="2885" max="2887" width="9" style="326"/>
    <col min="2888" max="2888" width="13.625" style="326" customWidth="1"/>
    <col min="2889" max="2889" width="9" style="326"/>
    <col min="2890" max="2890" width="10.75" style="326" bestFit="1" customWidth="1"/>
    <col min="2891" max="2891" width="12.5" style="326" customWidth="1"/>
    <col min="2892" max="2894" width="9" style="326"/>
    <col min="2895" max="2895" width="12.875" style="326" customWidth="1"/>
    <col min="2896" max="2896" width="9" style="326"/>
    <col min="2897" max="2897" width="10.75" style="326" bestFit="1" customWidth="1"/>
    <col min="2898" max="2898" width="13.875" style="326" customWidth="1"/>
    <col min="2899" max="2901" width="9" style="326"/>
    <col min="2902" max="2902" width="14.125" style="326" customWidth="1"/>
    <col min="2903" max="2903" width="9" style="326"/>
    <col min="2904" max="2904" width="10.75" style="326" bestFit="1" customWidth="1"/>
    <col min="2905" max="2905" width="13.25" style="326" customWidth="1"/>
    <col min="2906" max="2908" width="9" style="326"/>
    <col min="2909" max="2909" width="13.25" style="326" customWidth="1"/>
    <col min="2910" max="2910" width="9" style="326"/>
    <col min="2911" max="2911" width="10.75" style="326" bestFit="1" customWidth="1"/>
    <col min="2912" max="2912" width="13.875" style="326" customWidth="1"/>
    <col min="2913" max="2915" width="9" style="326"/>
    <col min="2916" max="2916" width="13.625" style="326" customWidth="1"/>
    <col min="2917" max="2917" width="9" style="326"/>
    <col min="2918" max="2918" width="10.75" style="326" bestFit="1" customWidth="1"/>
    <col min="2919" max="2919" width="13" style="326" customWidth="1"/>
    <col min="2920" max="3066" width="9" style="326"/>
    <col min="3067" max="3068" width="12.125" style="326" customWidth="1"/>
    <col min="3069" max="3071" width="13" style="326" customWidth="1"/>
    <col min="3072" max="3072" width="12.875" style="326" customWidth="1"/>
    <col min="3073" max="3073" width="13" style="326" customWidth="1"/>
    <col min="3074" max="3074" width="13.125" style="326" customWidth="1"/>
    <col min="3075" max="3076" width="12.125" style="326" customWidth="1"/>
    <col min="3077" max="3077" width="14.375" style="326" bestFit="1" customWidth="1"/>
    <col min="3078" max="3078" width="11" style="326" customWidth="1"/>
    <col min="3079" max="3079" width="10" style="326" customWidth="1"/>
    <col min="3080" max="3080" width="10.875" style="326" customWidth="1"/>
    <col min="3081" max="3081" width="13.75" style="326" customWidth="1"/>
    <col min="3082" max="3082" width="10" style="326" customWidth="1"/>
    <col min="3083" max="3083" width="13.25" style="326" customWidth="1"/>
    <col min="3084" max="3084" width="14.375" style="326" customWidth="1"/>
    <col min="3085" max="3085" width="10" style="326" customWidth="1"/>
    <col min="3086" max="3086" width="10.875" style="326" customWidth="1"/>
    <col min="3087" max="3087" width="11.375" style="326" customWidth="1"/>
    <col min="3088" max="3088" width="15.375" style="326" customWidth="1"/>
    <col min="3089" max="3090" width="10.75" style="326" customWidth="1"/>
    <col min="3091" max="3091" width="14.375" style="326" customWidth="1"/>
    <col min="3092" max="3092" width="10.75" style="326" customWidth="1"/>
    <col min="3093" max="3093" width="11.75" style="326" customWidth="1"/>
    <col min="3094" max="3094" width="10" style="326" customWidth="1"/>
    <col min="3095" max="3095" width="15.375" style="326" customWidth="1"/>
    <col min="3096" max="3096" width="10" style="326" customWidth="1"/>
    <col min="3097" max="3097" width="10.75" style="326" customWidth="1"/>
    <col min="3098" max="3098" width="14.875" style="326" customWidth="1"/>
    <col min="3099" max="3099" width="11.5" style="326" customWidth="1"/>
    <col min="3100" max="3100" width="10" style="326" customWidth="1"/>
    <col min="3101" max="3101" width="10.75" style="326" customWidth="1"/>
    <col min="3102" max="3102" width="13.5" style="326" customWidth="1"/>
    <col min="3103" max="3103" width="9" style="326"/>
    <col min="3104" max="3104" width="10.75" style="326" bestFit="1" customWidth="1"/>
    <col min="3105" max="3105" width="13.75" style="326" customWidth="1"/>
    <col min="3106" max="3106" width="9" style="326"/>
    <col min="3107" max="3107" width="10.625" style="326" customWidth="1"/>
    <col min="3108" max="3108" width="9" style="326"/>
    <col min="3109" max="3109" width="14.25" style="326" customWidth="1"/>
    <col min="3110" max="3110" width="10.75" style="326" bestFit="1" customWidth="1"/>
    <col min="3111" max="3111" width="11.625" style="326" customWidth="1"/>
    <col min="3112" max="3112" width="13.75" style="326" customWidth="1"/>
    <col min="3113" max="3113" width="10.625" style="326" customWidth="1"/>
    <col min="3114" max="3115" width="9" style="326"/>
    <col min="3116" max="3116" width="14.125" style="326" customWidth="1"/>
    <col min="3117" max="3117" width="11" style="326" customWidth="1"/>
    <col min="3118" max="3118" width="10.75" style="326" bestFit="1" customWidth="1"/>
    <col min="3119" max="3119" width="13.5" style="326" customWidth="1"/>
    <col min="3120" max="3121" width="9" style="326"/>
    <col min="3122" max="3122" width="10.75" style="326" bestFit="1" customWidth="1"/>
    <col min="3123" max="3123" width="14" style="326" customWidth="1"/>
    <col min="3124" max="3124" width="9" style="326"/>
    <col min="3125" max="3125" width="10.75" style="326" customWidth="1"/>
    <col min="3126" max="3126" width="12.75" style="326" customWidth="1"/>
    <col min="3127" max="3127" width="9" style="326"/>
    <col min="3128" max="3128" width="10.75" style="326" bestFit="1" customWidth="1"/>
    <col min="3129" max="3129" width="11.5" style="326" customWidth="1"/>
    <col min="3130" max="3130" width="13.625" style="326" customWidth="1"/>
    <col min="3131" max="3131" width="10.625" style="326" customWidth="1"/>
    <col min="3132" max="3132" width="10.75" style="326" bestFit="1" customWidth="1"/>
    <col min="3133" max="3133" width="12.375" style="326" customWidth="1"/>
    <col min="3134" max="3136" width="9" style="326"/>
    <col min="3137" max="3137" width="15.75" style="326" customWidth="1"/>
    <col min="3138" max="3138" width="9" style="326"/>
    <col min="3139" max="3139" width="10.75" style="326" bestFit="1" customWidth="1"/>
    <col min="3140" max="3140" width="12.625" style="326" customWidth="1"/>
    <col min="3141" max="3143" width="9" style="326"/>
    <col min="3144" max="3144" width="13.625" style="326" customWidth="1"/>
    <col min="3145" max="3145" width="9" style="326"/>
    <col min="3146" max="3146" width="10.75" style="326" bestFit="1" customWidth="1"/>
    <col min="3147" max="3147" width="12.5" style="326" customWidth="1"/>
    <col min="3148" max="3150" width="9" style="326"/>
    <col min="3151" max="3151" width="12.875" style="326" customWidth="1"/>
    <col min="3152" max="3152" width="9" style="326"/>
    <col min="3153" max="3153" width="10.75" style="326" bestFit="1" customWidth="1"/>
    <col min="3154" max="3154" width="13.875" style="326" customWidth="1"/>
    <col min="3155" max="3157" width="9" style="326"/>
    <col min="3158" max="3158" width="14.125" style="326" customWidth="1"/>
    <col min="3159" max="3159" width="9" style="326"/>
    <col min="3160" max="3160" width="10.75" style="326" bestFit="1" customWidth="1"/>
    <col min="3161" max="3161" width="13.25" style="326" customWidth="1"/>
    <col min="3162" max="3164" width="9" style="326"/>
    <col min="3165" max="3165" width="13.25" style="326" customWidth="1"/>
    <col min="3166" max="3166" width="9" style="326"/>
    <col min="3167" max="3167" width="10.75" style="326" bestFit="1" customWidth="1"/>
    <col min="3168" max="3168" width="13.875" style="326" customWidth="1"/>
    <col min="3169" max="3171" width="9" style="326"/>
    <col min="3172" max="3172" width="13.625" style="326" customWidth="1"/>
    <col min="3173" max="3173" width="9" style="326"/>
    <col min="3174" max="3174" width="10.75" style="326" bestFit="1" customWidth="1"/>
    <col min="3175" max="3175" width="13" style="326" customWidth="1"/>
    <col min="3176" max="3322" width="9" style="326"/>
    <col min="3323" max="3324" width="12.125" style="326" customWidth="1"/>
    <col min="3325" max="3327" width="13" style="326" customWidth="1"/>
    <col min="3328" max="3328" width="12.875" style="326" customWidth="1"/>
    <col min="3329" max="3329" width="13" style="326" customWidth="1"/>
    <col min="3330" max="3330" width="13.125" style="326" customWidth="1"/>
    <col min="3331" max="3332" width="12.125" style="326" customWidth="1"/>
    <col min="3333" max="3333" width="14.375" style="326" bestFit="1" customWidth="1"/>
    <col min="3334" max="3334" width="11" style="326" customWidth="1"/>
    <col min="3335" max="3335" width="10" style="326" customWidth="1"/>
    <col min="3336" max="3336" width="10.875" style="326" customWidth="1"/>
    <col min="3337" max="3337" width="13.75" style="326" customWidth="1"/>
    <col min="3338" max="3338" width="10" style="326" customWidth="1"/>
    <col min="3339" max="3339" width="13.25" style="326" customWidth="1"/>
    <col min="3340" max="3340" width="14.375" style="326" customWidth="1"/>
    <col min="3341" max="3341" width="10" style="326" customWidth="1"/>
    <col min="3342" max="3342" width="10.875" style="326" customWidth="1"/>
    <col min="3343" max="3343" width="11.375" style="326" customWidth="1"/>
    <col min="3344" max="3344" width="15.375" style="326" customWidth="1"/>
    <col min="3345" max="3346" width="10.75" style="326" customWidth="1"/>
    <col min="3347" max="3347" width="14.375" style="326" customWidth="1"/>
    <col min="3348" max="3348" width="10.75" style="326" customWidth="1"/>
    <col min="3349" max="3349" width="11.75" style="326" customWidth="1"/>
    <col min="3350" max="3350" width="10" style="326" customWidth="1"/>
    <col min="3351" max="3351" width="15.375" style="326" customWidth="1"/>
    <col min="3352" max="3352" width="10" style="326" customWidth="1"/>
    <col min="3353" max="3353" width="10.75" style="326" customWidth="1"/>
    <col min="3354" max="3354" width="14.875" style="326" customWidth="1"/>
    <col min="3355" max="3355" width="11.5" style="326" customWidth="1"/>
    <col min="3356" max="3356" width="10" style="326" customWidth="1"/>
    <col min="3357" max="3357" width="10.75" style="326" customWidth="1"/>
    <col min="3358" max="3358" width="13.5" style="326" customWidth="1"/>
    <col min="3359" max="3359" width="9" style="326"/>
    <col min="3360" max="3360" width="10.75" style="326" bestFit="1" customWidth="1"/>
    <col min="3361" max="3361" width="13.75" style="326" customWidth="1"/>
    <col min="3362" max="3362" width="9" style="326"/>
    <col min="3363" max="3363" width="10.625" style="326" customWidth="1"/>
    <col min="3364" max="3364" width="9" style="326"/>
    <col min="3365" max="3365" width="14.25" style="326" customWidth="1"/>
    <col min="3366" max="3366" width="10.75" style="326" bestFit="1" customWidth="1"/>
    <col min="3367" max="3367" width="11.625" style="326" customWidth="1"/>
    <col min="3368" max="3368" width="13.75" style="326" customWidth="1"/>
    <col min="3369" max="3369" width="10.625" style="326" customWidth="1"/>
    <col min="3370" max="3371" width="9" style="326"/>
    <col min="3372" max="3372" width="14.125" style="326" customWidth="1"/>
    <col min="3373" max="3373" width="11" style="326" customWidth="1"/>
    <col min="3374" max="3374" width="10.75" style="326" bestFit="1" customWidth="1"/>
    <col min="3375" max="3375" width="13.5" style="326" customWidth="1"/>
    <col min="3376" max="3377" width="9" style="326"/>
    <col min="3378" max="3378" width="10.75" style="326" bestFit="1" customWidth="1"/>
    <col min="3379" max="3379" width="14" style="326" customWidth="1"/>
    <col min="3380" max="3380" width="9" style="326"/>
    <col min="3381" max="3381" width="10.75" style="326" customWidth="1"/>
    <col min="3382" max="3382" width="12.75" style="326" customWidth="1"/>
    <col min="3383" max="3383" width="9" style="326"/>
    <col min="3384" max="3384" width="10.75" style="326" bestFit="1" customWidth="1"/>
    <col min="3385" max="3385" width="11.5" style="326" customWidth="1"/>
    <col min="3386" max="3386" width="13.625" style="326" customWidth="1"/>
    <col min="3387" max="3387" width="10.625" style="326" customWidth="1"/>
    <col min="3388" max="3388" width="10.75" style="326" bestFit="1" customWidth="1"/>
    <col min="3389" max="3389" width="12.375" style="326" customWidth="1"/>
    <col min="3390" max="3392" width="9" style="326"/>
    <col min="3393" max="3393" width="15.75" style="326" customWidth="1"/>
    <col min="3394" max="3394" width="9" style="326"/>
    <col min="3395" max="3395" width="10.75" style="326" bestFit="1" customWidth="1"/>
    <col min="3396" max="3396" width="12.625" style="326" customWidth="1"/>
    <col min="3397" max="3399" width="9" style="326"/>
    <col min="3400" max="3400" width="13.625" style="326" customWidth="1"/>
    <col min="3401" max="3401" width="9" style="326"/>
    <col min="3402" max="3402" width="10.75" style="326" bestFit="1" customWidth="1"/>
    <col min="3403" max="3403" width="12.5" style="326" customWidth="1"/>
    <col min="3404" max="3406" width="9" style="326"/>
    <col min="3407" max="3407" width="12.875" style="326" customWidth="1"/>
    <col min="3408" max="3408" width="9" style="326"/>
    <col min="3409" max="3409" width="10.75" style="326" bestFit="1" customWidth="1"/>
    <col min="3410" max="3410" width="13.875" style="326" customWidth="1"/>
    <col min="3411" max="3413" width="9" style="326"/>
    <col min="3414" max="3414" width="14.125" style="326" customWidth="1"/>
    <col min="3415" max="3415" width="9" style="326"/>
    <col min="3416" max="3416" width="10.75" style="326" bestFit="1" customWidth="1"/>
    <col min="3417" max="3417" width="13.25" style="326" customWidth="1"/>
    <col min="3418" max="3420" width="9" style="326"/>
    <col min="3421" max="3421" width="13.25" style="326" customWidth="1"/>
    <col min="3422" max="3422" width="9" style="326"/>
    <col min="3423" max="3423" width="10.75" style="326" bestFit="1" customWidth="1"/>
    <col min="3424" max="3424" width="13.875" style="326" customWidth="1"/>
    <col min="3425" max="3427" width="9" style="326"/>
    <col min="3428" max="3428" width="13.625" style="326" customWidth="1"/>
    <col min="3429" max="3429" width="9" style="326"/>
    <col min="3430" max="3430" width="10.75" style="326" bestFit="1" customWidth="1"/>
    <col min="3431" max="3431" width="13" style="326" customWidth="1"/>
    <col min="3432" max="3578" width="9" style="326"/>
    <col min="3579" max="3580" width="12.125" style="326" customWidth="1"/>
    <col min="3581" max="3583" width="13" style="326" customWidth="1"/>
    <col min="3584" max="3584" width="12.875" style="326" customWidth="1"/>
    <col min="3585" max="3585" width="13" style="326" customWidth="1"/>
    <col min="3586" max="3586" width="13.125" style="326" customWidth="1"/>
    <col min="3587" max="3588" width="12.125" style="326" customWidth="1"/>
    <col min="3589" max="3589" width="14.375" style="326" bestFit="1" customWidth="1"/>
    <col min="3590" max="3590" width="11" style="326" customWidth="1"/>
    <col min="3591" max="3591" width="10" style="326" customWidth="1"/>
    <col min="3592" max="3592" width="10.875" style="326" customWidth="1"/>
    <col min="3593" max="3593" width="13.75" style="326" customWidth="1"/>
    <col min="3594" max="3594" width="10" style="326" customWidth="1"/>
    <col min="3595" max="3595" width="13.25" style="326" customWidth="1"/>
    <col min="3596" max="3596" width="14.375" style="326" customWidth="1"/>
    <col min="3597" max="3597" width="10" style="326" customWidth="1"/>
    <col min="3598" max="3598" width="10.875" style="326" customWidth="1"/>
    <col min="3599" max="3599" width="11.375" style="326" customWidth="1"/>
    <col min="3600" max="3600" width="15.375" style="326" customWidth="1"/>
    <col min="3601" max="3602" width="10.75" style="326" customWidth="1"/>
    <col min="3603" max="3603" width="14.375" style="326" customWidth="1"/>
    <col min="3604" max="3604" width="10.75" style="326" customWidth="1"/>
    <col min="3605" max="3605" width="11.75" style="326" customWidth="1"/>
    <col min="3606" max="3606" width="10" style="326" customWidth="1"/>
    <col min="3607" max="3607" width="15.375" style="326" customWidth="1"/>
    <col min="3608" max="3608" width="10" style="326" customWidth="1"/>
    <col min="3609" max="3609" width="10.75" style="326" customWidth="1"/>
    <col min="3610" max="3610" width="14.875" style="326" customWidth="1"/>
    <col min="3611" max="3611" width="11.5" style="326" customWidth="1"/>
    <col min="3612" max="3612" width="10" style="326" customWidth="1"/>
    <col min="3613" max="3613" width="10.75" style="326" customWidth="1"/>
    <col min="3614" max="3614" width="13.5" style="326" customWidth="1"/>
    <col min="3615" max="3615" width="9" style="326"/>
    <col min="3616" max="3616" width="10.75" style="326" bestFit="1" customWidth="1"/>
    <col min="3617" max="3617" width="13.75" style="326" customWidth="1"/>
    <col min="3618" max="3618" width="9" style="326"/>
    <col min="3619" max="3619" width="10.625" style="326" customWidth="1"/>
    <col min="3620" max="3620" width="9" style="326"/>
    <col min="3621" max="3621" width="14.25" style="326" customWidth="1"/>
    <col min="3622" max="3622" width="10.75" style="326" bestFit="1" customWidth="1"/>
    <col min="3623" max="3623" width="11.625" style="326" customWidth="1"/>
    <col min="3624" max="3624" width="13.75" style="326" customWidth="1"/>
    <col min="3625" max="3625" width="10.625" style="326" customWidth="1"/>
    <col min="3626" max="3627" width="9" style="326"/>
    <col min="3628" max="3628" width="14.125" style="326" customWidth="1"/>
    <col min="3629" max="3629" width="11" style="326" customWidth="1"/>
    <col min="3630" max="3630" width="10.75" style="326" bestFit="1" customWidth="1"/>
    <col min="3631" max="3631" width="13.5" style="326" customWidth="1"/>
    <col min="3632" max="3633" width="9" style="326"/>
    <col min="3634" max="3634" width="10.75" style="326" bestFit="1" customWidth="1"/>
    <col min="3635" max="3635" width="14" style="326" customWidth="1"/>
    <col min="3636" max="3636" width="9" style="326"/>
    <col min="3637" max="3637" width="10.75" style="326" customWidth="1"/>
    <col min="3638" max="3638" width="12.75" style="326" customWidth="1"/>
    <col min="3639" max="3639" width="9" style="326"/>
    <col min="3640" max="3640" width="10.75" style="326" bestFit="1" customWidth="1"/>
    <col min="3641" max="3641" width="11.5" style="326" customWidth="1"/>
    <col min="3642" max="3642" width="13.625" style="326" customWidth="1"/>
    <col min="3643" max="3643" width="10.625" style="326" customWidth="1"/>
    <col min="3644" max="3644" width="10.75" style="326" bestFit="1" customWidth="1"/>
    <col min="3645" max="3645" width="12.375" style="326" customWidth="1"/>
    <col min="3646" max="3648" width="9" style="326"/>
    <col min="3649" max="3649" width="15.75" style="326" customWidth="1"/>
    <col min="3650" max="3650" width="9" style="326"/>
    <col min="3651" max="3651" width="10.75" style="326" bestFit="1" customWidth="1"/>
    <col min="3652" max="3652" width="12.625" style="326" customWidth="1"/>
    <col min="3653" max="3655" width="9" style="326"/>
    <col min="3656" max="3656" width="13.625" style="326" customWidth="1"/>
    <col min="3657" max="3657" width="9" style="326"/>
    <col min="3658" max="3658" width="10.75" style="326" bestFit="1" customWidth="1"/>
    <col min="3659" max="3659" width="12.5" style="326" customWidth="1"/>
    <col min="3660" max="3662" width="9" style="326"/>
    <col min="3663" max="3663" width="12.875" style="326" customWidth="1"/>
    <col min="3664" max="3664" width="9" style="326"/>
    <col min="3665" max="3665" width="10.75" style="326" bestFit="1" customWidth="1"/>
    <col min="3666" max="3666" width="13.875" style="326" customWidth="1"/>
    <col min="3667" max="3669" width="9" style="326"/>
    <col min="3670" max="3670" width="14.125" style="326" customWidth="1"/>
    <col min="3671" max="3671" width="9" style="326"/>
    <col min="3672" max="3672" width="10.75" style="326" bestFit="1" customWidth="1"/>
    <col min="3673" max="3673" width="13.25" style="326" customWidth="1"/>
    <col min="3674" max="3676" width="9" style="326"/>
    <col min="3677" max="3677" width="13.25" style="326" customWidth="1"/>
    <col min="3678" max="3678" width="9" style="326"/>
    <col min="3679" max="3679" width="10.75" style="326" bestFit="1" customWidth="1"/>
    <col min="3680" max="3680" width="13.875" style="326" customWidth="1"/>
    <col min="3681" max="3683" width="9" style="326"/>
    <col min="3684" max="3684" width="13.625" style="326" customWidth="1"/>
    <col min="3685" max="3685" width="9" style="326"/>
    <col min="3686" max="3686" width="10.75" style="326" bestFit="1" customWidth="1"/>
    <col min="3687" max="3687" width="13" style="326" customWidth="1"/>
    <col min="3688" max="3834" width="9" style="326"/>
    <col min="3835" max="3836" width="12.125" style="326" customWidth="1"/>
    <col min="3837" max="3839" width="13" style="326" customWidth="1"/>
    <col min="3840" max="3840" width="12.875" style="326" customWidth="1"/>
    <col min="3841" max="3841" width="13" style="326" customWidth="1"/>
    <col min="3842" max="3842" width="13.125" style="326" customWidth="1"/>
    <col min="3843" max="3844" width="12.125" style="326" customWidth="1"/>
    <col min="3845" max="3845" width="14.375" style="326" bestFit="1" customWidth="1"/>
    <col min="3846" max="3846" width="11" style="326" customWidth="1"/>
    <col min="3847" max="3847" width="10" style="326" customWidth="1"/>
    <col min="3848" max="3848" width="10.875" style="326" customWidth="1"/>
    <col min="3849" max="3849" width="13.75" style="326" customWidth="1"/>
    <col min="3850" max="3850" width="10" style="326" customWidth="1"/>
    <col min="3851" max="3851" width="13.25" style="326" customWidth="1"/>
    <col min="3852" max="3852" width="14.375" style="326" customWidth="1"/>
    <col min="3853" max="3853" width="10" style="326" customWidth="1"/>
    <col min="3854" max="3854" width="10.875" style="326" customWidth="1"/>
    <col min="3855" max="3855" width="11.375" style="326" customWidth="1"/>
    <col min="3856" max="3856" width="15.375" style="326" customWidth="1"/>
    <col min="3857" max="3858" width="10.75" style="326" customWidth="1"/>
    <col min="3859" max="3859" width="14.375" style="326" customWidth="1"/>
    <col min="3860" max="3860" width="10.75" style="326" customWidth="1"/>
    <col min="3861" max="3861" width="11.75" style="326" customWidth="1"/>
    <col min="3862" max="3862" width="10" style="326" customWidth="1"/>
    <col min="3863" max="3863" width="15.375" style="326" customWidth="1"/>
    <col min="3864" max="3864" width="10" style="326" customWidth="1"/>
    <col min="3865" max="3865" width="10.75" style="326" customWidth="1"/>
    <col min="3866" max="3866" width="14.875" style="326" customWidth="1"/>
    <col min="3867" max="3867" width="11.5" style="326" customWidth="1"/>
    <col min="3868" max="3868" width="10" style="326" customWidth="1"/>
    <col min="3869" max="3869" width="10.75" style="326" customWidth="1"/>
    <col min="3870" max="3870" width="13.5" style="326" customWidth="1"/>
    <col min="3871" max="3871" width="9" style="326"/>
    <col min="3872" max="3872" width="10.75" style="326" bestFit="1" customWidth="1"/>
    <col min="3873" max="3873" width="13.75" style="326" customWidth="1"/>
    <col min="3874" max="3874" width="9" style="326"/>
    <col min="3875" max="3875" width="10.625" style="326" customWidth="1"/>
    <col min="3876" max="3876" width="9" style="326"/>
    <col min="3877" max="3877" width="14.25" style="326" customWidth="1"/>
    <col min="3878" max="3878" width="10.75" style="326" bestFit="1" customWidth="1"/>
    <col min="3879" max="3879" width="11.625" style="326" customWidth="1"/>
    <col min="3880" max="3880" width="13.75" style="326" customWidth="1"/>
    <col min="3881" max="3881" width="10.625" style="326" customWidth="1"/>
    <col min="3882" max="3883" width="9" style="326"/>
    <col min="3884" max="3884" width="14.125" style="326" customWidth="1"/>
    <col min="3885" max="3885" width="11" style="326" customWidth="1"/>
    <col min="3886" max="3886" width="10.75" style="326" bestFit="1" customWidth="1"/>
    <col min="3887" max="3887" width="13.5" style="326" customWidth="1"/>
    <col min="3888" max="3889" width="9" style="326"/>
    <col min="3890" max="3890" width="10.75" style="326" bestFit="1" customWidth="1"/>
    <col min="3891" max="3891" width="14" style="326" customWidth="1"/>
    <col min="3892" max="3892" width="9" style="326"/>
    <col min="3893" max="3893" width="10.75" style="326" customWidth="1"/>
    <col min="3894" max="3894" width="12.75" style="326" customWidth="1"/>
    <col min="3895" max="3895" width="9" style="326"/>
    <col min="3896" max="3896" width="10.75" style="326" bestFit="1" customWidth="1"/>
    <col min="3897" max="3897" width="11.5" style="326" customWidth="1"/>
    <col min="3898" max="3898" width="13.625" style="326" customWidth="1"/>
    <col min="3899" max="3899" width="10.625" style="326" customWidth="1"/>
    <col min="3900" max="3900" width="10.75" style="326" bestFit="1" customWidth="1"/>
    <col min="3901" max="3901" width="12.375" style="326" customWidth="1"/>
    <col min="3902" max="3904" width="9" style="326"/>
    <col min="3905" max="3905" width="15.75" style="326" customWidth="1"/>
    <col min="3906" max="3906" width="9" style="326"/>
    <col min="3907" max="3907" width="10.75" style="326" bestFit="1" customWidth="1"/>
    <col min="3908" max="3908" width="12.625" style="326" customWidth="1"/>
    <col min="3909" max="3911" width="9" style="326"/>
    <col min="3912" max="3912" width="13.625" style="326" customWidth="1"/>
    <col min="3913" max="3913" width="9" style="326"/>
    <col min="3914" max="3914" width="10.75" style="326" bestFit="1" customWidth="1"/>
    <col min="3915" max="3915" width="12.5" style="326" customWidth="1"/>
    <col min="3916" max="3918" width="9" style="326"/>
    <col min="3919" max="3919" width="12.875" style="326" customWidth="1"/>
    <col min="3920" max="3920" width="9" style="326"/>
    <col min="3921" max="3921" width="10.75" style="326" bestFit="1" customWidth="1"/>
    <col min="3922" max="3922" width="13.875" style="326" customWidth="1"/>
    <col min="3923" max="3925" width="9" style="326"/>
    <col min="3926" max="3926" width="14.125" style="326" customWidth="1"/>
    <col min="3927" max="3927" width="9" style="326"/>
    <col min="3928" max="3928" width="10.75" style="326" bestFit="1" customWidth="1"/>
    <col min="3929" max="3929" width="13.25" style="326" customWidth="1"/>
    <col min="3930" max="3932" width="9" style="326"/>
    <col min="3933" max="3933" width="13.25" style="326" customWidth="1"/>
    <col min="3934" max="3934" width="9" style="326"/>
    <col min="3935" max="3935" width="10.75" style="326" bestFit="1" customWidth="1"/>
    <col min="3936" max="3936" width="13.875" style="326" customWidth="1"/>
    <col min="3937" max="3939" width="9" style="326"/>
    <col min="3940" max="3940" width="13.625" style="326" customWidth="1"/>
    <col min="3941" max="3941" width="9" style="326"/>
    <col min="3942" max="3942" width="10.75" style="326" bestFit="1" customWidth="1"/>
    <col min="3943" max="3943" width="13" style="326" customWidth="1"/>
    <col min="3944" max="4090" width="9" style="326"/>
    <col min="4091" max="4092" width="12.125" style="326" customWidth="1"/>
    <col min="4093" max="4095" width="13" style="326" customWidth="1"/>
    <col min="4096" max="4096" width="12.875" style="326" customWidth="1"/>
    <col min="4097" max="4097" width="13" style="326" customWidth="1"/>
    <col min="4098" max="4098" width="13.125" style="326" customWidth="1"/>
    <col min="4099" max="4100" width="12.125" style="326" customWidth="1"/>
    <col min="4101" max="4101" width="14.375" style="326" bestFit="1" customWidth="1"/>
    <col min="4102" max="4102" width="11" style="326" customWidth="1"/>
    <col min="4103" max="4103" width="10" style="326" customWidth="1"/>
    <col min="4104" max="4104" width="10.875" style="326" customWidth="1"/>
    <col min="4105" max="4105" width="13.75" style="326" customWidth="1"/>
    <col min="4106" max="4106" width="10" style="326" customWidth="1"/>
    <col min="4107" max="4107" width="13.25" style="326" customWidth="1"/>
    <col min="4108" max="4108" width="14.375" style="326" customWidth="1"/>
    <col min="4109" max="4109" width="10" style="326" customWidth="1"/>
    <col min="4110" max="4110" width="10.875" style="326" customWidth="1"/>
    <col min="4111" max="4111" width="11.375" style="326" customWidth="1"/>
    <col min="4112" max="4112" width="15.375" style="326" customWidth="1"/>
    <col min="4113" max="4114" width="10.75" style="326" customWidth="1"/>
    <col min="4115" max="4115" width="14.375" style="326" customWidth="1"/>
    <col min="4116" max="4116" width="10.75" style="326" customWidth="1"/>
    <col min="4117" max="4117" width="11.75" style="326" customWidth="1"/>
    <col min="4118" max="4118" width="10" style="326" customWidth="1"/>
    <col min="4119" max="4119" width="15.375" style="326" customWidth="1"/>
    <col min="4120" max="4120" width="10" style="326" customWidth="1"/>
    <col min="4121" max="4121" width="10.75" style="326" customWidth="1"/>
    <col min="4122" max="4122" width="14.875" style="326" customWidth="1"/>
    <col min="4123" max="4123" width="11.5" style="326" customWidth="1"/>
    <col min="4124" max="4124" width="10" style="326" customWidth="1"/>
    <col min="4125" max="4125" width="10.75" style="326" customWidth="1"/>
    <col min="4126" max="4126" width="13.5" style="326" customWidth="1"/>
    <col min="4127" max="4127" width="9" style="326"/>
    <col min="4128" max="4128" width="10.75" style="326" bestFit="1" customWidth="1"/>
    <col min="4129" max="4129" width="13.75" style="326" customWidth="1"/>
    <col min="4130" max="4130" width="9" style="326"/>
    <col min="4131" max="4131" width="10.625" style="326" customWidth="1"/>
    <col min="4132" max="4132" width="9" style="326"/>
    <col min="4133" max="4133" width="14.25" style="326" customWidth="1"/>
    <col min="4134" max="4134" width="10.75" style="326" bestFit="1" customWidth="1"/>
    <col min="4135" max="4135" width="11.625" style="326" customWidth="1"/>
    <col min="4136" max="4136" width="13.75" style="326" customWidth="1"/>
    <col min="4137" max="4137" width="10.625" style="326" customWidth="1"/>
    <col min="4138" max="4139" width="9" style="326"/>
    <col min="4140" max="4140" width="14.125" style="326" customWidth="1"/>
    <col min="4141" max="4141" width="11" style="326" customWidth="1"/>
    <col min="4142" max="4142" width="10.75" style="326" bestFit="1" customWidth="1"/>
    <col min="4143" max="4143" width="13.5" style="326" customWidth="1"/>
    <col min="4144" max="4145" width="9" style="326"/>
    <col min="4146" max="4146" width="10.75" style="326" bestFit="1" customWidth="1"/>
    <col min="4147" max="4147" width="14" style="326" customWidth="1"/>
    <col min="4148" max="4148" width="9" style="326"/>
    <col min="4149" max="4149" width="10.75" style="326" customWidth="1"/>
    <col min="4150" max="4150" width="12.75" style="326" customWidth="1"/>
    <col min="4151" max="4151" width="9" style="326"/>
    <col min="4152" max="4152" width="10.75" style="326" bestFit="1" customWidth="1"/>
    <col min="4153" max="4153" width="11.5" style="326" customWidth="1"/>
    <col min="4154" max="4154" width="13.625" style="326" customWidth="1"/>
    <col min="4155" max="4155" width="10.625" style="326" customWidth="1"/>
    <col min="4156" max="4156" width="10.75" style="326" bestFit="1" customWidth="1"/>
    <col min="4157" max="4157" width="12.375" style="326" customWidth="1"/>
    <col min="4158" max="4160" width="9" style="326"/>
    <col min="4161" max="4161" width="15.75" style="326" customWidth="1"/>
    <col min="4162" max="4162" width="9" style="326"/>
    <col min="4163" max="4163" width="10.75" style="326" bestFit="1" customWidth="1"/>
    <col min="4164" max="4164" width="12.625" style="326" customWidth="1"/>
    <col min="4165" max="4167" width="9" style="326"/>
    <col min="4168" max="4168" width="13.625" style="326" customWidth="1"/>
    <col min="4169" max="4169" width="9" style="326"/>
    <col min="4170" max="4170" width="10.75" style="326" bestFit="1" customWidth="1"/>
    <col min="4171" max="4171" width="12.5" style="326" customWidth="1"/>
    <col min="4172" max="4174" width="9" style="326"/>
    <col min="4175" max="4175" width="12.875" style="326" customWidth="1"/>
    <col min="4176" max="4176" width="9" style="326"/>
    <col min="4177" max="4177" width="10.75" style="326" bestFit="1" customWidth="1"/>
    <col min="4178" max="4178" width="13.875" style="326" customWidth="1"/>
    <col min="4179" max="4181" width="9" style="326"/>
    <col min="4182" max="4182" width="14.125" style="326" customWidth="1"/>
    <col min="4183" max="4183" width="9" style="326"/>
    <col min="4184" max="4184" width="10.75" style="326" bestFit="1" customWidth="1"/>
    <col min="4185" max="4185" width="13.25" style="326" customWidth="1"/>
    <col min="4186" max="4188" width="9" style="326"/>
    <col min="4189" max="4189" width="13.25" style="326" customWidth="1"/>
    <col min="4190" max="4190" width="9" style="326"/>
    <col min="4191" max="4191" width="10.75" style="326" bestFit="1" customWidth="1"/>
    <col min="4192" max="4192" width="13.875" style="326" customWidth="1"/>
    <col min="4193" max="4195" width="9" style="326"/>
    <col min="4196" max="4196" width="13.625" style="326" customWidth="1"/>
    <col min="4197" max="4197" width="9" style="326"/>
    <col min="4198" max="4198" width="10.75" style="326" bestFit="1" customWidth="1"/>
    <col min="4199" max="4199" width="13" style="326" customWidth="1"/>
    <col min="4200" max="4346" width="9" style="326"/>
    <col min="4347" max="4348" width="12.125" style="326" customWidth="1"/>
    <col min="4349" max="4351" width="13" style="326" customWidth="1"/>
    <col min="4352" max="4352" width="12.875" style="326" customWidth="1"/>
    <col min="4353" max="4353" width="13" style="326" customWidth="1"/>
    <col min="4354" max="4354" width="13.125" style="326" customWidth="1"/>
    <col min="4355" max="4356" width="12.125" style="326" customWidth="1"/>
    <col min="4357" max="4357" width="14.375" style="326" bestFit="1" customWidth="1"/>
    <col min="4358" max="4358" width="11" style="326" customWidth="1"/>
    <col min="4359" max="4359" width="10" style="326" customWidth="1"/>
    <col min="4360" max="4360" width="10.875" style="326" customWidth="1"/>
    <col min="4361" max="4361" width="13.75" style="326" customWidth="1"/>
    <col min="4362" max="4362" width="10" style="326" customWidth="1"/>
    <col min="4363" max="4363" width="13.25" style="326" customWidth="1"/>
    <col min="4364" max="4364" width="14.375" style="326" customWidth="1"/>
    <col min="4365" max="4365" width="10" style="326" customWidth="1"/>
    <col min="4366" max="4366" width="10.875" style="326" customWidth="1"/>
    <col min="4367" max="4367" width="11.375" style="326" customWidth="1"/>
    <col min="4368" max="4368" width="15.375" style="326" customWidth="1"/>
    <col min="4369" max="4370" width="10.75" style="326" customWidth="1"/>
    <col min="4371" max="4371" width="14.375" style="326" customWidth="1"/>
    <col min="4372" max="4372" width="10.75" style="326" customWidth="1"/>
    <col min="4373" max="4373" width="11.75" style="326" customWidth="1"/>
    <col min="4374" max="4374" width="10" style="326" customWidth="1"/>
    <col min="4375" max="4375" width="15.375" style="326" customWidth="1"/>
    <col min="4376" max="4376" width="10" style="326" customWidth="1"/>
    <col min="4377" max="4377" width="10.75" style="326" customWidth="1"/>
    <col min="4378" max="4378" width="14.875" style="326" customWidth="1"/>
    <col min="4379" max="4379" width="11.5" style="326" customWidth="1"/>
    <col min="4380" max="4380" width="10" style="326" customWidth="1"/>
    <col min="4381" max="4381" width="10.75" style="326" customWidth="1"/>
    <col min="4382" max="4382" width="13.5" style="326" customWidth="1"/>
    <col min="4383" max="4383" width="9" style="326"/>
    <col min="4384" max="4384" width="10.75" style="326" bestFit="1" customWidth="1"/>
    <col min="4385" max="4385" width="13.75" style="326" customWidth="1"/>
    <col min="4386" max="4386" width="9" style="326"/>
    <col min="4387" max="4387" width="10.625" style="326" customWidth="1"/>
    <col min="4388" max="4388" width="9" style="326"/>
    <col min="4389" max="4389" width="14.25" style="326" customWidth="1"/>
    <col min="4390" max="4390" width="10.75" style="326" bestFit="1" customWidth="1"/>
    <col min="4391" max="4391" width="11.625" style="326" customWidth="1"/>
    <col min="4392" max="4392" width="13.75" style="326" customWidth="1"/>
    <col min="4393" max="4393" width="10.625" style="326" customWidth="1"/>
    <col min="4394" max="4395" width="9" style="326"/>
    <col min="4396" max="4396" width="14.125" style="326" customWidth="1"/>
    <col min="4397" max="4397" width="11" style="326" customWidth="1"/>
    <col min="4398" max="4398" width="10.75" style="326" bestFit="1" customWidth="1"/>
    <col min="4399" max="4399" width="13.5" style="326" customWidth="1"/>
    <col min="4400" max="4401" width="9" style="326"/>
    <col min="4402" max="4402" width="10.75" style="326" bestFit="1" customWidth="1"/>
    <col min="4403" max="4403" width="14" style="326" customWidth="1"/>
    <col min="4404" max="4404" width="9" style="326"/>
    <col min="4405" max="4405" width="10.75" style="326" customWidth="1"/>
    <col min="4406" max="4406" width="12.75" style="326" customWidth="1"/>
    <col min="4407" max="4407" width="9" style="326"/>
    <col min="4408" max="4408" width="10.75" style="326" bestFit="1" customWidth="1"/>
    <col min="4409" max="4409" width="11.5" style="326" customWidth="1"/>
    <col min="4410" max="4410" width="13.625" style="326" customWidth="1"/>
    <col min="4411" max="4411" width="10.625" style="326" customWidth="1"/>
    <col min="4412" max="4412" width="10.75" style="326" bestFit="1" customWidth="1"/>
    <col min="4413" max="4413" width="12.375" style="326" customWidth="1"/>
    <col min="4414" max="4416" width="9" style="326"/>
    <col min="4417" max="4417" width="15.75" style="326" customWidth="1"/>
    <col min="4418" max="4418" width="9" style="326"/>
    <col min="4419" max="4419" width="10.75" style="326" bestFit="1" customWidth="1"/>
    <col min="4420" max="4420" width="12.625" style="326" customWidth="1"/>
    <col min="4421" max="4423" width="9" style="326"/>
    <col min="4424" max="4424" width="13.625" style="326" customWidth="1"/>
    <col min="4425" max="4425" width="9" style="326"/>
    <col min="4426" max="4426" width="10.75" style="326" bestFit="1" customWidth="1"/>
    <col min="4427" max="4427" width="12.5" style="326" customWidth="1"/>
    <col min="4428" max="4430" width="9" style="326"/>
    <col min="4431" max="4431" width="12.875" style="326" customWidth="1"/>
    <col min="4432" max="4432" width="9" style="326"/>
    <col min="4433" max="4433" width="10.75" style="326" bestFit="1" customWidth="1"/>
    <col min="4434" max="4434" width="13.875" style="326" customWidth="1"/>
    <col min="4435" max="4437" width="9" style="326"/>
    <col min="4438" max="4438" width="14.125" style="326" customWidth="1"/>
    <col min="4439" max="4439" width="9" style="326"/>
    <col min="4440" max="4440" width="10.75" style="326" bestFit="1" customWidth="1"/>
    <col min="4441" max="4441" width="13.25" style="326" customWidth="1"/>
    <col min="4442" max="4444" width="9" style="326"/>
    <col min="4445" max="4445" width="13.25" style="326" customWidth="1"/>
    <col min="4446" max="4446" width="9" style="326"/>
    <col min="4447" max="4447" width="10.75" style="326" bestFit="1" customWidth="1"/>
    <col min="4448" max="4448" width="13.875" style="326" customWidth="1"/>
    <col min="4449" max="4451" width="9" style="326"/>
    <col min="4452" max="4452" width="13.625" style="326" customWidth="1"/>
    <col min="4453" max="4453" width="9" style="326"/>
    <col min="4454" max="4454" width="10.75" style="326" bestFit="1" customWidth="1"/>
    <col min="4455" max="4455" width="13" style="326" customWidth="1"/>
    <col min="4456" max="4602" width="9" style="326"/>
    <col min="4603" max="4604" width="12.125" style="326" customWidth="1"/>
    <col min="4605" max="4607" width="13" style="326" customWidth="1"/>
    <col min="4608" max="4608" width="12.875" style="326" customWidth="1"/>
    <col min="4609" max="4609" width="13" style="326" customWidth="1"/>
    <col min="4610" max="4610" width="13.125" style="326" customWidth="1"/>
    <col min="4611" max="4612" width="12.125" style="326" customWidth="1"/>
    <col min="4613" max="4613" width="14.375" style="326" bestFit="1" customWidth="1"/>
    <col min="4614" max="4614" width="11" style="326" customWidth="1"/>
    <col min="4615" max="4615" width="10" style="326" customWidth="1"/>
    <col min="4616" max="4616" width="10.875" style="326" customWidth="1"/>
    <col min="4617" max="4617" width="13.75" style="326" customWidth="1"/>
    <col min="4618" max="4618" width="10" style="326" customWidth="1"/>
    <col min="4619" max="4619" width="13.25" style="326" customWidth="1"/>
    <col min="4620" max="4620" width="14.375" style="326" customWidth="1"/>
    <col min="4621" max="4621" width="10" style="326" customWidth="1"/>
    <col min="4622" max="4622" width="10.875" style="326" customWidth="1"/>
    <col min="4623" max="4623" width="11.375" style="326" customWidth="1"/>
    <col min="4624" max="4624" width="15.375" style="326" customWidth="1"/>
    <col min="4625" max="4626" width="10.75" style="326" customWidth="1"/>
    <col min="4627" max="4627" width="14.375" style="326" customWidth="1"/>
    <col min="4628" max="4628" width="10.75" style="326" customWidth="1"/>
    <col min="4629" max="4629" width="11.75" style="326" customWidth="1"/>
    <col min="4630" max="4630" width="10" style="326" customWidth="1"/>
    <col min="4631" max="4631" width="15.375" style="326" customWidth="1"/>
    <col min="4632" max="4632" width="10" style="326" customWidth="1"/>
    <col min="4633" max="4633" width="10.75" style="326" customWidth="1"/>
    <col min="4634" max="4634" width="14.875" style="326" customWidth="1"/>
    <col min="4635" max="4635" width="11.5" style="326" customWidth="1"/>
    <col min="4636" max="4636" width="10" style="326" customWidth="1"/>
    <col min="4637" max="4637" width="10.75" style="326" customWidth="1"/>
    <col min="4638" max="4638" width="13.5" style="326" customWidth="1"/>
    <col min="4639" max="4639" width="9" style="326"/>
    <col min="4640" max="4640" width="10.75" style="326" bestFit="1" customWidth="1"/>
    <col min="4641" max="4641" width="13.75" style="326" customWidth="1"/>
    <col min="4642" max="4642" width="9" style="326"/>
    <col min="4643" max="4643" width="10.625" style="326" customWidth="1"/>
    <col min="4644" max="4644" width="9" style="326"/>
    <col min="4645" max="4645" width="14.25" style="326" customWidth="1"/>
    <col min="4646" max="4646" width="10.75" style="326" bestFit="1" customWidth="1"/>
    <col min="4647" max="4647" width="11.625" style="326" customWidth="1"/>
    <col min="4648" max="4648" width="13.75" style="326" customWidth="1"/>
    <col min="4649" max="4649" width="10.625" style="326" customWidth="1"/>
    <col min="4650" max="4651" width="9" style="326"/>
    <col min="4652" max="4652" width="14.125" style="326" customWidth="1"/>
    <col min="4653" max="4653" width="11" style="326" customWidth="1"/>
    <col min="4654" max="4654" width="10.75" style="326" bestFit="1" customWidth="1"/>
    <col min="4655" max="4655" width="13.5" style="326" customWidth="1"/>
    <col min="4656" max="4657" width="9" style="326"/>
    <col min="4658" max="4658" width="10.75" style="326" bestFit="1" customWidth="1"/>
    <col min="4659" max="4659" width="14" style="326" customWidth="1"/>
    <col min="4660" max="4660" width="9" style="326"/>
    <col min="4661" max="4661" width="10.75" style="326" customWidth="1"/>
    <col min="4662" max="4662" width="12.75" style="326" customWidth="1"/>
    <col min="4663" max="4663" width="9" style="326"/>
    <col min="4664" max="4664" width="10.75" style="326" bestFit="1" customWidth="1"/>
    <col min="4665" max="4665" width="11.5" style="326" customWidth="1"/>
    <col min="4666" max="4666" width="13.625" style="326" customWidth="1"/>
    <col min="4667" max="4667" width="10.625" style="326" customWidth="1"/>
    <col min="4668" max="4668" width="10.75" style="326" bestFit="1" customWidth="1"/>
    <col min="4669" max="4669" width="12.375" style="326" customWidth="1"/>
    <col min="4670" max="4672" width="9" style="326"/>
    <col min="4673" max="4673" width="15.75" style="326" customWidth="1"/>
    <col min="4674" max="4674" width="9" style="326"/>
    <col min="4675" max="4675" width="10.75" style="326" bestFit="1" customWidth="1"/>
    <col min="4676" max="4676" width="12.625" style="326" customWidth="1"/>
    <col min="4677" max="4679" width="9" style="326"/>
    <col min="4680" max="4680" width="13.625" style="326" customWidth="1"/>
    <col min="4681" max="4681" width="9" style="326"/>
    <col min="4682" max="4682" width="10.75" style="326" bestFit="1" customWidth="1"/>
    <col min="4683" max="4683" width="12.5" style="326" customWidth="1"/>
    <col min="4684" max="4686" width="9" style="326"/>
    <col min="4687" max="4687" width="12.875" style="326" customWidth="1"/>
    <col min="4688" max="4688" width="9" style="326"/>
    <col min="4689" max="4689" width="10.75" style="326" bestFit="1" customWidth="1"/>
    <col min="4690" max="4690" width="13.875" style="326" customWidth="1"/>
    <col min="4691" max="4693" width="9" style="326"/>
    <col min="4694" max="4694" width="14.125" style="326" customWidth="1"/>
    <col min="4695" max="4695" width="9" style="326"/>
    <col min="4696" max="4696" width="10.75" style="326" bestFit="1" customWidth="1"/>
    <col min="4697" max="4697" width="13.25" style="326" customWidth="1"/>
    <col min="4698" max="4700" width="9" style="326"/>
    <col min="4701" max="4701" width="13.25" style="326" customWidth="1"/>
    <col min="4702" max="4702" width="9" style="326"/>
    <col min="4703" max="4703" width="10.75" style="326" bestFit="1" customWidth="1"/>
    <col min="4704" max="4704" width="13.875" style="326" customWidth="1"/>
    <col min="4705" max="4707" width="9" style="326"/>
    <col min="4708" max="4708" width="13.625" style="326" customWidth="1"/>
    <col min="4709" max="4709" width="9" style="326"/>
    <col min="4710" max="4710" width="10.75" style="326" bestFit="1" customWidth="1"/>
    <col min="4711" max="4711" width="13" style="326" customWidth="1"/>
    <col min="4712" max="4858" width="9" style="326"/>
    <col min="4859" max="4860" width="12.125" style="326" customWidth="1"/>
    <col min="4861" max="4863" width="13" style="326" customWidth="1"/>
    <col min="4864" max="4864" width="12.875" style="326" customWidth="1"/>
    <col min="4865" max="4865" width="13" style="326" customWidth="1"/>
    <col min="4866" max="4866" width="13.125" style="326" customWidth="1"/>
    <col min="4867" max="4868" width="12.125" style="326" customWidth="1"/>
    <col min="4869" max="4869" width="14.375" style="326" bestFit="1" customWidth="1"/>
    <col min="4870" max="4870" width="11" style="326" customWidth="1"/>
    <col min="4871" max="4871" width="10" style="326" customWidth="1"/>
    <col min="4872" max="4872" width="10.875" style="326" customWidth="1"/>
    <col min="4873" max="4873" width="13.75" style="326" customWidth="1"/>
    <col min="4874" max="4874" width="10" style="326" customWidth="1"/>
    <col min="4875" max="4875" width="13.25" style="326" customWidth="1"/>
    <col min="4876" max="4876" width="14.375" style="326" customWidth="1"/>
    <col min="4877" max="4877" width="10" style="326" customWidth="1"/>
    <col min="4878" max="4878" width="10.875" style="326" customWidth="1"/>
    <col min="4879" max="4879" width="11.375" style="326" customWidth="1"/>
    <col min="4880" max="4880" width="15.375" style="326" customWidth="1"/>
    <col min="4881" max="4882" width="10.75" style="326" customWidth="1"/>
    <col min="4883" max="4883" width="14.375" style="326" customWidth="1"/>
    <col min="4884" max="4884" width="10.75" style="326" customWidth="1"/>
    <col min="4885" max="4885" width="11.75" style="326" customWidth="1"/>
    <col min="4886" max="4886" width="10" style="326" customWidth="1"/>
    <col min="4887" max="4887" width="15.375" style="326" customWidth="1"/>
    <col min="4888" max="4888" width="10" style="326" customWidth="1"/>
    <col min="4889" max="4889" width="10.75" style="326" customWidth="1"/>
    <col min="4890" max="4890" width="14.875" style="326" customWidth="1"/>
    <col min="4891" max="4891" width="11.5" style="326" customWidth="1"/>
    <col min="4892" max="4892" width="10" style="326" customWidth="1"/>
    <col min="4893" max="4893" width="10.75" style="326" customWidth="1"/>
    <col min="4894" max="4894" width="13.5" style="326" customWidth="1"/>
    <col min="4895" max="4895" width="9" style="326"/>
    <col min="4896" max="4896" width="10.75" style="326" bestFit="1" customWidth="1"/>
    <col min="4897" max="4897" width="13.75" style="326" customWidth="1"/>
    <col min="4898" max="4898" width="9" style="326"/>
    <col min="4899" max="4899" width="10.625" style="326" customWidth="1"/>
    <col min="4900" max="4900" width="9" style="326"/>
    <col min="4901" max="4901" width="14.25" style="326" customWidth="1"/>
    <col min="4902" max="4902" width="10.75" style="326" bestFit="1" customWidth="1"/>
    <col min="4903" max="4903" width="11.625" style="326" customWidth="1"/>
    <col min="4904" max="4904" width="13.75" style="326" customWidth="1"/>
    <col min="4905" max="4905" width="10.625" style="326" customWidth="1"/>
    <col min="4906" max="4907" width="9" style="326"/>
    <col min="4908" max="4908" width="14.125" style="326" customWidth="1"/>
    <col min="4909" max="4909" width="11" style="326" customWidth="1"/>
    <col min="4910" max="4910" width="10.75" style="326" bestFit="1" customWidth="1"/>
    <col min="4911" max="4911" width="13.5" style="326" customWidth="1"/>
    <col min="4912" max="4913" width="9" style="326"/>
    <col min="4914" max="4914" width="10.75" style="326" bestFit="1" customWidth="1"/>
    <col min="4915" max="4915" width="14" style="326" customWidth="1"/>
    <col min="4916" max="4916" width="9" style="326"/>
    <col min="4917" max="4917" width="10.75" style="326" customWidth="1"/>
    <col min="4918" max="4918" width="12.75" style="326" customWidth="1"/>
    <col min="4919" max="4919" width="9" style="326"/>
    <col min="4920" max="4920" width="10.75" style="326" bestFit="1" customWidth="1"/>
    <col min="4921" max="4921" width="11.5" style="326" customWidth="1"/>
    <col min="4922" max="4922" width="13.625" style="326" customWidth="1"/>
    <col min="4923" max="4923" width="10.625" style="326" customWidth="1"/>
    <col min="4924" max="4924" width="10.75" style="326" bestFit="1" customWidth="1"/>
    <col min="4925" max="4925" width="12.375" style="326" customWidth="1"/>
    <col min="4926" max="4928" width="9" style="326"/>
    <col min="4929" max="4929" width="15.75" style="326" customWidth="1"/>
    <col min="4930" max="4930" width="9" style="326"/>
    <col min="4931" max="4931" width="10.75" style="326" bestFit="1" customWidth="1"/>
    <col min="4932" max="4932" width="12.625" style="326" customWidth="1"/>
    <col min="4933" max="4935" width="9" style="326"/>
    <col min="4936" max="4936" width="13.625" style="326" customWidth="1"/>
    <col min="4937" max="4937" width="9" style="326"/>
    <col min="4938" max="4938" width="10.75" style="326" bestFit="1" customWidth="1"/>
    <col min="4939" max="4939" width="12.5" style="326" customWidth="1"/>
    <col min="4940" max="4942" width="9" style="326"/>
    <col min="4943" max="4943" width="12.875" style="326" customWidth="1"/>
    <col min="4944" max="4944" width="9" style="326"/>
    <col min="4945" max="4945" width="10.75" style="326" bestFit="1" customWidth="1"/>
    <col min="4946" max="4946" width="13.875" style="326" customWidth="1"/>
    <col min="4947" max="4949" width="9" style="326"/>
    <col min="4950" max="4950" width="14.125" style="326" customWidth="1"/>
    <col min="4951" max="4951" width="9" style="326"/>
    <col min="4952" max="4952" width="10.75" style="326" bestFit="1" customWidth="1"/>
    <col min="4953" max="4953" width="13.25" style="326" customWidth="1"/>
    <col min="4954" max="4956" width="9" style="326"/>
    <col min="4957" max="4957" width="13.25" style="326" customWidth="1"/>
    <col min="4958" max="4958" width="9" style="326"/>
    <col min="4959" max="4959" width="10.75" style="326" bestFit="1" customWidth="1"/>
    <col min="4960" max="4960" width="13.875" style="326" customWidth="1"/>
    <col min="4961" max="4963" width="9" style="326"/>
    <col min="4964" max="4964" width="13.625" style="326" customWidth="1"/>
    <col min="4965" max="4965" width="9" style="326"/>
    <col min="4966" max="4966" width="10.75" style="326" bestFit="1" customWidth="1"/>
    <col min="4967" max="4967" width="13" style="326" customWidth="1"/>
    <col min="4968" max="5114" width="9" style="326"/>
    <col min="5115" max="5116" width="12.125" style="326" customWidth="1"/>
    <col min="5117" max="5119" width="13" style="326" customWidth="1"/>
    <col min="5120" max="5120" width="12.875" style="326" customWidth="1"/>
    <col min="5121" max="5121" width="13" style="326" customWidth="1"/>
    <col min="5122" max="5122" width="13.125" style="326" customWidth="1"/>
    <col min="5123" max="5124" width="12.125" style="326" customWidth="1"/>
    <col min="5125" max="5125" width="14.375" style="326" bestFit="1" customWidth="1"/>
    <col min="5126" max="5126" width="11" style="326" customWidth="1"/>
    <col min="5127" max="5127" width="10" style="326" customWidth="1"/>
    <col min="5128" max="5128" width="10.875" style="326" customWidth="1"/>
    <col min="5129" max="5129" width="13.75" style="326" customWidth="1"/>
    <col min="5130" max="5130" width="10" style="326" customWidth="1"/>
    <col min="5131" max="5131" width="13.25" style="326" customWidth="1"/>
    <col min="5132" max="5132" width="14.375" style="326" customWidth="1"/>
    <col min="5133" max="5133" width="10" style="326" customWidth="1"/>
    <col min="5134" max="5134" width="10.875" style="326" customWidth="1"/>
    <col min="5135" max="5135" width="11.375" style="326" customWidth="1"/>
    <col min="5136" max="5136" width="15.375" style="326" customWidth="1"/>
    <col min="5137" max="5138" width="10.75" style="326" customWidth="1"/>
    <col min="5139" max="5139" width="14.375" style="326" customWidth="1"/>
    <col min="5140" max="5140" width="10.75" style="326" customWidth="1"/>
    <col min="5141" max="5141" width="11.75" style="326" customWidth="1"/>
    <col min="5142" max="5142" width="10" style="326" customWidth="1"/>
    <col min="5143" max="5143" width="15.375" style="326" customWidth="1"/>
    <col min="5144" max="5144" width="10" style="326" customWidth="1"/>
    <col min="5145" max="5145" width="10.75" style="326" customWidth="1"/>
    <col min="5146" max="5146" width="14.875" style="326" customWidth="1"/>
    <col min="5147" max="5147" width="11.5" style="326" customWidth="1"/>
    <col min="5148" max="5148" width="10" style="326" customWidth="1"/>
    <col min="5149" max="5149" width="10.75" style="326" customWidth="1"/>
    <col min="5150" max="5150" width="13.5" style="326" customWidth="1"/>
    <col min="5151" max="5151" width="9" style="326"/>
    <col min="5152" max="5152" width="10.75" style="326" bestFit="1" customWidth="1"/>
    <col min="5153" max="5153" width="13.75" style="326" customWidth="1"/>
    <col min="5154" max="5154" width="9" style="326"/>
    <col min="5155" max="5155" width="10.625" style="326" customWidth="1"/>
    <col min="5156" max="5156" width="9" style="326"/>
    <col min="5157" max="5157" width="14.25" style="326" customWidth="1"/>
    <col min="5158" max="5158" width="10.75" style="326" bestFit="1" customWidth="1"/>
    <col min="5159" max="5159" width="11.625" style="326" customWidth="1"/>
    <col min="5160" max="5160" width="13.75" style="326" customWidth="1"/>
    <col min="5161" max="5161" width="10.625" style="326" customWidth="1"/>
    <col min="5162" max="5163" width="9" style="326"/>
    <col min="5164" max="5164" width="14.125" style="326" customWidth="1"/>
    <col min="5165" max="5165" width="11" style="326" customWidth="1"/>
    <col min="5166" max="5166" width="10.75" style="326" bestFit="1" customWidth="1"/>
    <col min="5167" max="5167" width="13.5" style="326" customWidth="1"/>
    <col min="5168" max="5169" width="9" style="326"/>
    <col min="5170" max="5170" width="10.75" style="326" bestFit="1" customWidth="1"/>
    <col min="5171" max="5171" width="14" style="326" customWidth="1"/>
    <col min="5172" max="5172" width="9" style="326"/>
    <col min="5173" max="5173" width="10.75" style="326" customWidth="1"/>
    <col min="5174" max="5174" width="12.75" style="326" customWidth="1"/>
    <col min="5175" max="5175" width="9" style="326"/>
    <col min="5176" max="5176" width="10.75" style="326" bestFit="1" customWidth="1"/>
    <col min="5177" max="5177" width="11.5" style="326" customWidth="1"/>
    <col min="5178" max="5178" width="13.625" style="326" customWidth="1"/>
    <col min="5179" max="5179" width="10.625" style="326" customWidth="1"/>
    <col min="5180" max="5180" width="10.75" style="326" bestFit="1" customWidth="1"/>
    <col min="5181" max="5181" width="12.375" style="326" customWidth="1"/>
    <col min="5182" max="5184" width="9" style="326"/>
    <col min="5185" max="5185" width="15.75" style="326" customWidth="1"/>
    <col min="5186" max="5186" width="9" style="326"/>
    <col min="5187" max="5187" width="10.75" style="326" bestFit="1" customWidth="1"/>
    <col min="5188" max="5188" width="12.625" style="326" customWidth="1"/>
    <col min="5189" max="5191" width="9" style="326"/>
    <col min="5192" max="5192" width="13.625" style="326" customWidth="1"/>
    <col min="5193" max="5193" width="9" style="326"/>
    <col min="5194" max="5194" width="10.75" style="326" bestFit="1" customWidth="1"/>
    <col min="5195" max="5195" width="12.5" style="326" customWidth="1"/>
    <col min="5196" max="5198" width="9" style="326"/>
    <col min="5199" max="5199" width="12.875" style="326" customWidth="1"/>
    <col min="5200" max="5200" width="9" style="326"/>
    <col min="5201" max="5201" width="10.75" style="326" bestFit="1" customWidth="1"/>
    <col min="5202" max="5202" width="13.875" style="326" customWidth="1"/>
    <col min="5203" max="5205" width="9" style="326"/>
    <col min="5206" max="5206" width="14.125" style="326" customWidth="1"/>
    <col min="5207" max="5207" width="9" style="326"/>
    <col min="5208" max="5208" width="10.75" style="326" bestFit="1" customWidth="1"/>
    <col min="5209" max="5209" width="13.25" style="326" customWidth="1"/>
    <col min="5210" max="5212" width="9" style="326"/>
    <col min="5213" max="5213" width="13.25" style="326" customWidth="1"/>
    <col min="5214" max="5214" width="9" style="326"/>
    <col min="5215" max="5215" width="10.75" style="326" bestFit="1" customWidth="1"/>
    <col min="5216" max="5216" width="13.875" style="326" customWidth="1"/>
    <col min="5217" max="5219" width="9" style="326"/>
    <col min="5220" max="5220" width="13.625" style="326" customWidth="1"/>
    <col min="5221" max="5221" width="9" style="326"/>
    <col min="5222" max="5222" width="10.75" style="326" bestFit="1" customWidth="1"/>
    <col min="5223" max="5223" width="13" style="326" customWidth="1"/>
    <col min="5224" max="5370" width="9" style="326"/>
    <col min="5371" max="5372" width="12.125" style="326" customWidth="1"/>
    <col min="5373" max="5375" width="13" style="326" customWidth="1"/>
    <col min="5376" max="5376" width="12.875" style="326" customWidth="1"/>
    <col min="5377" max="5377" width="13" style="326" customWidth="1"/>
    <col min="5378" max="5378" width="13.125" style="326" customWidth="1"/>
    <col min="5379" max="5380" width="12.125" style="326" customWidth="1"/>
    <col min="5381" max="5381" width="14.375" style="326" bestFit="1" customWidth="1"/>
    <col min="5382" max="5382" width="11" style="326" customWidth="1"/>
    <col min="5383" max="5383" width="10" style="326" customWidth="1"/>
    <col min="5384" max="5384" width="10.875" style="326" customWidth="1"/>
    <col min="5385" max="5385" width="13.75" style="326" customWidth="1"/>
    <col min="5386" max="5386" width="10" style="326" customWidth="1"/>
    <col min="5387" max="5387" width="13.25" style="326" customWidth="1"/>
    <col min="5388" max="5388" width="14.375" style="326" customWidth="1"/>
    <col min="5389" max="5389" width="10" style="326" customWidth="1"/>
    <col min="5390" max="5390" width="10.875" style="326" customWidth="1"/>
    <col min="5391" max="5391" width="11.375" style="326" customWidth="1"/>
    <col min="5392" max="5392" width="15.375" style="326" customWidth="1"/>
    <col min="5393" max="5394" width="10.75" style="326" customWidth="1"/>
    <col min="5395" max="5395" width="14.375" style="326" customWidth="1"/>
    <col min="5396" max="5396" width="10.75" style="326" customWidth="1"/>
    <col min="5397" max="5397" width="11.75" style="326" customWidth="1"/>
    <col min="5398" max="5398" width="10" style="326" customWidth="1"/>
    <col min="5399" max="5399" width="15.375" style="326" customWidth="1"/>
    <col min="5400" max="5400" width="10" style="326" customWidth="1"/>
    <col min="5401" max="5401" width="10.75" style="326" customWidth="1"/>
    <col min="5402" max="5402" width="14.875" style="326" customWidth="1"/>
    <col min="5403" max="5403" width="11.5" style="326" customWidth="1"/>
    <col min="5404" max="5404" width="10" style="326" customWidth="1"/>
    <col min="5405" max="5405" width="10.75" style="326" customWidth="1"/>
    <col min="5406" max="5406" width="13.5" style="326" customWidth="1"/>
    <col min="5407" max="5407" width="9" style="326"/>
    <col min="5408" max="5408" width="10.75" style="326" bestFit="1" customWidth="1"/>
    <col min="5409" max="5409" width="13.75" style="326" customWidth="1"/>
    <col min="5410" max="5410" width="9" style="326"/>
    <col min="5411" max="5411" width="10.625" style="326" customWidth="1"/>
    <col min="5412" max="5412" width="9" style="326"/>
    <col min="5413" max="5413" width="14.25" style="326" customWidth="1"/>
    <col min="5414" max="5414" width="10.75" style="326" bestFit="1" customWidth="1"/>
    <col min="5415" max="5415" width="11.625" style="326" customWidth="1"/>
    <col min="5416" max="5416" width="13.75" style="326" customWidth="1"/>
    <col min="5417" max="5417" width="10.625" style="326" customWidth="1"/>
    <col min="5418" max="5419" width="9" style="326"/>
    <col min="5420" max="5420" width="14.125" style="326" customWidth="1"/>
    <col min="5421" max="5421" width="11" style="326" customWidth="1"/>
    <col min="5422" max="5422" width="10.75" style="326" bestFit="1" customWidth="1"/>
    <col min="5423" max="5423" width="13.5" style="326" customWidth="1"/>
    <col min="5424" max="5425" width="9" style="326"/>
    <col min="5426" max="5426" width="10.75" style="326" bestFit="1" customWidth="1"/>
    <col min="5427" max="5427" width="14" style="326" customWidth="1"/>
    <col min="5428" max="5428" width="9" style="326"/>
    <col min="5429" max="5429" width="10.75" style="326" customWidth="1"/>
    <col min="5430" max="5430" width="12.75" style="326" customWidth="1"/>
    <col min="5431" max="5431" width="9" style="326"/>
    <col min="5432" max="5432" width="10.75" style="326" bestFit="1" customWidth="1"/>
    <col min="5433" max="5433" width="11.5" style="326" customWidth="1"/>
    <col min="5434" max="5434" width="13.625" style="326" customWidth="1"/>
    <col min="5435" max="5435" width="10.625" style="326" customWidth="1"/>
    <col min="5436" max="5436" width="10.75" style="326" bestFit="1" customWidth="1"/>
    <col min="5437" max="5437" width="12.375" style="326" customWidth="1"/>
    <col min="5438" max="5440" width="9" style="326"/>
    <col min="5441" max="5441" width="15.75" style="326" customWidth="1"/>
    <col min="5442" max="5442" width="9" style="326"/>
    <col min="5443" max="5443" width="10.75" style="326" bestFit="1" customWidth="1"/>
    <col min="5444" max="5444" width="12.625" style="326" customWidth="1"/>
    <col min="5445" max="5447" width="9" style="326"/>
    <col min="5448" max="5448" width="13.625" style="326" customWidth="1"/>
    <col min="5449" max="5449" width="9" style="326"/>
    <col min="5450" max="5450" width="10.75" style="326" bestFit="1" customWidth="1"/>
    <col min="5451" max="5451" width="12.5" style="326" customWidth="1"/>
    <col min="5452" max="5454" width="9" style="326"/>
    <col min="5455" max="5455" width="12.875" style="326" customWidth="1"/>
    <col min="5456" max="5456" width="9" style="326"/>
    <col min="5457" max="5457" width="10.75" style="326" bestFit="1" customWidth="1"/>
    <col min="5458" max="5458" width="13.875" style="326" customWidth="1"/>
    <col min="5459" max="5461" width="9" style="326"/>
    <col min="5462" max="5462" width="14.125" style="326" customWidth="1"/>
    <col min="5463" max="5463" width="9" style="326"/>
    <col min="5464" max="5464" width="10.75" style="326" bestFit="1" customWidth="1"/>
    <col min="5465" max="5465" width="13.25" style="326" customWidth="1"/>
    <col min="5466" max="5468" width="9" style="326"/>
    <col min="5469" max="5469" width="13.25" style="326" customWidth="1"/>
    <col min="5470" max="5470" width="9" style="326"/>
    <col min="5471" max="5471" width="10.75" style="326" bestFit="1" customWidth="1"/>
    <col min="5472" max="5472" width="13.875" style="326" customWidth="1"/>
    <col min="5473" max="5475" width="9" style="326"/>
    <col min="5476" max="5476" width="13.625" style="326" customWidth="1"/>
    <col min="5477" max="5477" width="9" style="326"/>
    <col min="5478" max="5478" width="10.75" style="326" bestFit="1" customWidth="1"/>
    <col min="5479" max="5479" width="13" style="326" customWidth="1"/>
    <col min="5480" max="5626" width="9" style="326"/>
    <col min="5627" max="5628" width="12.125" style="326" customWidth="1"/>
    <col min="5629" max="5631" width="13" style="326" customWidth="1"/>
    <col min="5632" max="5632" width="12.875" style="326" customWidth="1"/>
    <col min="5633" max="5633" width="13" style="326" customWidth="1"/>
    <col min="5634" max="5634" width="13.125" style="326" customWidth="1"/>
    <col min="5635" max="5636" width="12.125" style="326" customWidth="1"/>
    <col min="5637" max="5637" width="14.375" style="326" bestFit="1" customWidth="1"/>
    <col min="5638" max="5638" width="11" style="326" customWidth="1"/>
    <col min="5639" max="5639" width="10" style="326" customWidth="1"/>
    <col min="5640" max="5640" width="10.875" style="326" customWidth="1"/>
    <col min="5641" max="5641" width="13.75" style="326" customWidth="1"/>
    <col min="5642" max="5642" width="10" style="326" customWidth="1"/>
    <col min="5643" max="5643" width="13.25" style="326" customWidth="1"/>
    <col min="5644" max="5644" width="14.375" style="326" customWidth="1"/>
    <col min="5645" max="5645" width="10" style="326" customWidth="1"/>
    <col min="5646" max="5646" width="10.875" style="326" customWidth="1"/>
    <col min="5647" max="5647" width="11.375" style="326" customWidth="1"/>
    <col min="5648" max="5648" width="15.375" style="326" customWidth="1"/>
    <col min="5649" max="5650" width="10.75" style="326" customWidth="1"/>
    <col min="5651" max="5651" width="14.375" style="326" customWidth="1"/>
    <col min="5652" max="5652" width="10.75" style="326" customWidth="1"/>
    <col min="5653" max="5653" width="11.75" style="326" customWidth="1"/>
    <col min="5654" max="5654" width="10" style="326" customWidth="1"/>
    <col min="5655" max="5655" width="15.375" style="326" customWidth="1"/>
    <col min="5656" max="5656" width="10" style="326" customWidth="1"/>
    <col min="5657" max="5657" width="10.75" style="326" customWidth="1"/>
    <col min="5658" max="5658" width="14.875" style="326" customWidth="1"/>
    <col min="5659" max="5659" width="11.5" style="326" customWidth="1"/>
    <col min="5660" max="5660" width="10" style="326" customWidth="1"/>
    <col min="5661" max="5661" width="10.75" style="326" customWidth="1"/>
    <col min="5662" max="5662" width="13.5" style="326" customWidth="1"/>
    <col min="5663" max="5663" width="9" style="326"/>
    <col min="5664" max="5664" width="10.75" style="326" bestFit="1" customWidth="1"/>
    <col min="5665" max="5665" width="13.75" style="326" customWidth="1"/>
    <col min="5666" max="5666" width="9" style="326"/>
    <col min="5667" max="5667" width="10.625" style="326" customWidth="1"/>
    <col min="5668" max="5668" width="9" style="326"/>
    <col min="5669" max="5669" width="14.25" style="326" customWidth="1"/>
    <col min="5670" max="5670" width="10.75" style="326" bestFit="1" customWidth="1"/>
    <col min="5671" max="5671" width="11.625" style="326" customWidth="1"/>
    <col min="5672" max="5672" width="13.75" style="326" customWidth="1"/>
    <col min="5673" max="5673" width="10.625" style="326" customWidth="1"/>
    <col min="5674" max="5675" width="9" style="326"/>
    <col min="5676" max="5676" width="14.125" style="326" customWidth="1"/>
    <col min="5677" max="5677" width="11" style="326" customWidth="1"/>
    <col min="5678" max="5678" width="10.75" style="326" bestFit="1" customWidth="1"/>
    <col min="5679" max="5679" width="13.5" style="326" customWidth="1"/>
    <col min="5680" max="5681" width="9" style="326"/>
    <col min="5682" max="5682" width="10.75" style="326" bestFit="1" customWidth="1"/>
    <col min="5683" max="5683" width="14" style="326" customWidth="1"/>
    <col min="5684" max="5684" width="9" style="326"/>
    <col min="5685" max="5685" width="10.75" style="326" customWidth="1"/>
    <col min="5686" max="5686" width="12.75" style="326" customWidth="1"/>
    <col min="5687" max="5687" width="9" style="326"/>
    <col min="5688" max="5688" width="10.75" style="326" bestFit="1" customWidth="1"/>
    <col min="5689" max="5689" width="11.5" style="326" customWidth="1"/>
    <col min="5690" max="5690" width="13.625" style="326" customWidth="1"/>
    <col min="5691" max="5691" width="10.625" style="326" customWidth="1"/>
    <col min="5692" max="5692" width="10.75" style="326" bestFit="1" customWidth="1"/>
    <col min="5693" max="5693" width="12.375" style="326" customWidth="1"/>
    <col min="5694" max="5696" width="9" style="326"/>
    <col min="5697" max="5697" width="15.75" style="326" customWidth="1"/>
    <col min="5698" max="5698" width="9" style="326"/>
    <col min="5699" max="5699" width="10.75" style="326" bestFit="1" customWidth="1"/>
    <col min="5700" max="5700" width="12.625" style="326" customWidth="1"/>
    <col min="5701" max="5703" width="9" style="326"/>
    <col min="5704" max="5704" width="13.625" style="326" customWidth="1"/>
    <col min="5705" max="5705" width="9" style="326"/>
    <col min="5706" max="5706" width="10.75" style="326" bestFit="1" customWidth="1"/>
    <col min="5707" max="5707" width="12.5" style="326" customWidth="1"/>
    <col min="5708" max="5710" width="9" style="326"/>
    <col min="5711" max="5711" width="12.875" style="326" customWidth="1"/>
    <col min="5712" max="5712" width="9" style="326"/>
    <col min="5713" max="5713" width="10.75" style="326" bestFit="1" customWidth="1"/>
    <col min="5714" max="5714" width="13.875" style="326" customWidth="1"/>
    <col min="5715" max="5717" width="9" style="326"/>
    <col min="5718" max="5718" width="14.125" style="326" customWidth="1"/>
    <col min="5719" max="5719" width="9" style="326"/>
    <col min="5720" max="5720" width="10.75" style="326" bestFit="1" customWidth="1"/>
    <col min="5721" max="5721" width="13.25" style="326" customWidth="1"/>
    <col min="5722" max="5724" width="9" style="326"/>
    <col min="5725" max="5725" width="13.25" style="326" customWidth="1"/>
    <col min="5726" max="5726" width="9" style="326"/>
    <col min="5727" max="5727" width="10.75" style="326" bestFit="1" customWidth="1"/>
    <col min="5728" max="5728" width="13.875" style="326" customWidth="1"/>
    <col min="5729" max="5731" width="9" style="326"/>
    <col min="5732" max="5732" width="13.625" style="326" customWidth="1"/>
    <col min="5733" max="5733" width="9" style="326"/>
    <col min="5734" max="5734" width="10.75" style="326" bestFit="1" customWidth="1"/>
    <col min="5735" max="5735" width="13" style="326" customWidth="1"/>
    <col min="5736" max="5882" width="9" style="326"/>
    <col min="5883" max="5884" width="12.125" style="326" customWidth="1"/>
    <col min="5885" max="5887" width="13" style="326" customWidth="1"/>
    <col min="5888" max="5888" width="12.875" style="326" customWidth="1"/>
    <col min="5889" max="5889" width="13" style="326" customWidth="1"/>
    <col min="5890" max="5890" width="13.125" style="326" customWidth="1"/>
    <col min="5891" max="5892" width="12.125" style="326" customWidth="1"/>
    <col min="5893" max="5893" width="14.375" style="326" bestFit="1" customWidth="1"/>
    <col min="5894" max="5894" width="11" style="326" customWidth="1"/>
    <col min="5895" max="5895" width="10" style="326" customWidth="1"/>
    <col min="5896" max="5896" width="10.875" style="326" customWidth="1"/>
    <col min="5897" max="5897" width="13.75" style="326" customWidth="1"/>
    <col min="5898" max="5898" width="10" style="326" customWidth="1"/>
    <col min="5899" max="5899" width="13.25" style="326" customWidth="1"/>
    <col min="5900" max="5900" width="14.375" style="326" customWidth="1"/>
    <col min="5901" max="5901" width="10" style="326" customWidth="1"/>
    <col min="5902" max="5902" width="10.875" style="326" customWidth="1"/>
    <col min="5903" max="5903" width="11.375" style="326" customWidth="1"/>
    <col min="5904" max="5904" width="15.375" style="326" customWidth="1"/>
    <col min="5905" max="5906" width="10.75" style="326" customWidth="1"/>
    <col min="5907" max="5907" width="14.375" style="326" customWidth="1"/>
    <col min="5908" max="5908" width="10.75" style="326" customWidth="1"/>
    <col min="5909" max="5909" width="11.75" style="326" customWidth="1"/>
    <col min="5910" max="5910" width="10" style="326" customWidth="1"/>
    <col min="5911" max="5911" width="15.375" style="326" customWidth="1"/>
    <col min="5912" max="5912" width="10" style="326" customWidth="1"/>
    <col min="5913" max="5913" width="10.75" style="326" customWidth="1"/>
    <col min="5914" max="5914" width="14.875" style="326" customWidth="1"/>
    <col min="5915" max="5915" width="11.5" style="326" customWidth="1"/>
    <col min="5916" max="5916" width="10" style="326" customWidth="1"/>
    <col min="5917" max="5917" width="10.75" style="326" customWidth="1"/>
    <col min="5918" max="5918" width="13.5" style="326" customWidth="1"/>
    <col min="5919" max="5919" width="9" style="326"/>
    <col min="5920" max="5920" width="10.75" style="326" bestFit="1" customWidth="1"/>
    <col min="5921" max="5921" width="13.75" style="326" customWidth="1"/>
    <col min="5922" max="5922" width="9" style="326"/>
    <col min="5923" max="5923" width="10.625" style="326" customWidth="1"/>
    <col min="5924" max="5924" width="9" style="326"/>
    <col min="5925" max="5925" width="14.25" style="326" customWidth="1"/>
    <col min="5926" max="5926" width="10.75" style="326" bestFit="1" customWidth="1"/>
    <col min="5927" max="5927" width="11.625" style="326" customWidth="1"/>
    <col min="5928" max="5928" width="13.75" style="326" customWidth="1"/>
    <col min="5929" max="5929" width="10.625" style="326" customWidth="1"/>
    <col min="5930" max="5931" width="9" style="326"/>
    <col min="5932" max="5932" width="14.125" style="326" customWidth="1"/>
    <col min="5933" max="5933" width="11" style="326" customWidth="1"/>
    <col min="5934" max="5934" width="10.75" style="326" bestFit="1" customWidth="1"/>
    <col min="5935" max="5935" width="13.5" style="326" customWidth="1"/>
    <col min="5936" max="5937" width="9" style="326"/>
    <col min="5938" max="5938" width="10.75" style="326" bestFit="1" customWidth="1"/>
    <col min="5939" max="5939" width="14" style="326" customWidth="1"/>
    <col min="5940" max="5940" width="9" style="326"/>
    <col min="5941" max="5941" width="10.75" style="326" customWidth="1"/>
    <col min="5942" max="5942" width="12.75" style="326" customWidth="1"/>
    <col min="5943" max="5943" width="9" style="326"/>
    <col min="5944" max="5944" width="10.75" style="326" bestFit="1" customWidth="1"/>
    <col min="5945" max="5945" width="11.5" style="326" customWidth="1"/>
    <col min="5946" max="5946" width="13.625" style="326" customWidth="1"/>
    <col min="5947" max="5947" width="10.625" style="326" customWidth="1"/>
    <col min="5948" max="5948" width="10.75" style="326" bestFit="1" customWidth="1"/>
    <col min="5949" max="5949" width="12.375" style="326" customWidth="1"/>
    <col min="5950" max="5952" width="9" style="326"/>
    <col min="5953" max="5953" width="15.75" style="326" customWidth="1"/>
    <col min="5954" max="5954" width="9" style="326"/>
    <col min="5955" max="5955" width="10.75" style="326" bestFit="1" customWidth="1"/>
    <col min="5956" max="5956" width="12.625" style="326" customWidth="1"/>
    <col min="5957" max="5959" width="9" style="326"/>
    <col min="5960" max="5960" width="13.625" style="326" customWidth="1"/>
    <col min="5961" max="5961" width="9" style="326"/>
    <col min="5962" max="5962" width="10.75" style="326" bestFit="1" customWidth="1"/>
    <col min="5963" max="5963" width="12.5" style="326" customWidth="1"/>
    <col min="5964" max="5966" width="9" style="326"/>
    <col min="5967" max="5967" width="12.875" style="326" customWidth="1"/>
    <col min="5968" max="5968" width="9" style="326"/>
    <col min="5969" max="5969" width="10.75" style="326" bestFit="1" customWidth="1"/>
    <col min="5970" max="5970" width="13.875" style="326" customWidth="1"/>
    <col min="5971" max="5973" width="9" style="326"/>
    <col min="5974" max="5974" width="14.125" style="326" customWidth="1"/>
    <col min="5975" max="5975" width="9" style="326"/>
    <col min="5976" max="5976" width="10.75" style="326" bestFit="1" customWidth="1"/>
    <col min="5977" max="5977" width="13.25" style="326" customWidth="1"/>
    <col min="5978" max="5980" width="9" style="326"/>
    <col min="5981" max="5981" width="13.25" style="326" customWidth="1"/>
    <col min="5982" max="5982" width="9" style="326"/>
    <col min="5983" max="5983" width="10.75" style="326" bestFit="1" customWidth="1"/>
    <col min="5984" max="5984" width="13.875" style="326" customWidth="1"/>
    <col min="5985" max="5987" width="9" style="326"/>
    <col min="5988" max="5988" width="13.625" style="326" customWidth="1"/>
    <col min="5989" max="5989" width="9" style="326"/>
    <col min="5990" max="5990" width="10.75" style="326" bestFit="1" customWidth="1"/>
    <col min="5991" max="5991" width="13" style="326" customWidth="1"/>
    <col min="5992" max="6138" width="9" style="326"/>
    <col min="6139" max="6140" width="12.125" style="326" customWidth="1"/>
    <col min="6141" max="6143" width="13" style="326" customWidth="1"/>
    <col min="6144" max="6144" width="12.875" style="326" customWidth="1"/>
    <col min="6145" max="6145" width="13" style="326" customWidth="1"/>
    <col min="6146" max="6146" width="13.125" style="326" customWidth="1"/>
    <col min="6147" max="6148" width="12.125" style="326" customWidth="1"/>
    <col min="6149" max="6149" width="14.375" style="326" bestFit="1" customWidth="1"/>
    <col min="6150" max="6150" width="11" style="326" customWidth="1"/>
    <col min="6151" max="6151" width="10" style="326" customWidth="1"/>
    <col min="6152" max="6152" width="10.875" style="326" customWidth="1"/>
    <col min="6153" max="6153" width="13.75" style="326" customWidth="1"/>
    <col min="6154" max="6154" width="10" style="326" customWidth="1"/>
    <col min="6155" max="6155" width="13.25" style="326" customWidth="1"/>
    <col min="6156" max="6156" width="14.375" style="326" customWidth="1"/>
    <col min="6157" max="6157" width="10" style="326" customWidth="1"/>
    <col min="6158" max="6158" width="10.875" style="326" customWidth="1"/>
    <col min="6159" max="6159" width="11.375" style="326" customWidth="1"/>
    <col min="6160" max="6160" width="15.375" style="326" customWidth="1"/>
    <col min="6161" max="6162" width="10.75" style="326" customWidth="1"/>
    <col min="6163" max="6163" width="14.375" style="326" customWidth="1"/>
    <col min="6164" max="6164" width="10.75" style="326" customWidth="1"/>
    <col min="6165" max="6165" width="11.75" style="326" customWidth="1"/>
    <col min="6166" max="6166" width="10" style="326" customWidth="1"/>
    <col min="6167" max="6167" width="15.375" style="326" customWidth="1"/>
    <col min="6168" max="6168" width="10" style="326" customWidth="1"/>
    <col min="6169" max="6169" width="10.75" style="326" customWidth="1"/>
    <col min="6170" max="6170" width="14.875" style="326" customWidth="1"/>
    <col min="6171" max="6171" width="11.5" style="326" customWidth="1"/>
    <col min="6172" max="6172" width="10" style="326" customWidth="1"/>
    <col min="6173" max="6173" width="10.75" style="326" customWidth="1"/>
    <col min="6174" max="6174" width="13.5" style="326" customWidth="1"/>
    <col min="6175" max="6175" width="9" style="326"/>
    <col min="6176" max="6176" width="10.75" style="326" bestFit="1" customWidth="1"/>
    <col min="6177" max="6177" width="13.75" style="326" customWidth="1"/>
    <col min="6178" max="6178" width="9" style="326"/>
    <col min="6179" max="6179" width="10.625" style="326" customWidth="1"/>
    <col min="6180" max="6180" width="9" style="326"/>
    <col min="6181" max="6181" width="14.25" style="326" customWidth="1"/>
    <col min="6182" max="6182" width="10.75" style="326" bestFit="1" customWidth="1"/>
    <col min="6183" max="6183" width="11.625" style="326" customWidth="1"/>
    <col min="6184" max="6184" width="13.75" style="326" customWidth="1"/>
    <col min="6185" max="6185" width="10.625" style="326" customWidth="1"/>
    <col min="6186" max="6187" width="9" style="326"/>
    <col min="6188" max="6188" width="14.125" style="326" customWidth="1"/>
    <col min="6189" max="6189" width="11" style="326" customWidth="1"/>
    <col min="6190" max="6190" width="10.75" style="326" bestFit="1" customWidth="1"/>
    <col min="6191" max="6191" width="13.5" style="326" customWidth="1"/>
    <col min="6192" max="6193" width="9" style="326"/>
    <col min="6194" max="6194" width="10.75" style="326" bestFit="1" customWidth="1"/>
    <col min="6195" max="6195" width="14" style="326" customWidth="1"/>
    <col min="6196" max="6196" width="9" style="326"/>
    <col min="6197" max="6197" width="10.75" style="326" customWidth="1"/>
    <col min="6198" max="6198" width="12.75" style="326" customWidth="1"/>
    <col min="6199" max="6199" width="9" style="326"/>
    <col min="6200" max="6200" width="10.75" style="326" bestFit="1" customWidth="1"/>
    <col min="6201" max="6201" width="11.5" style="326" customWidth="1"/>
    <col min="6202" max="6202" width="13.625" style="326" customWidth="1"/>
    <col min="6203" max="6203" width="10.625" style="326" customWidth="1"/>
    <col min="6204" max="6204" width="10.75" style="326" bestFit="1" customWidth="1"/>
    <col min="6205" max="6205" width="12.375" style="326" customWidth="1"/>
    <col min="6206" max="6208" width="9" style="326"/>
    <col min="6209" max="6209" width="15.75" style="326" customWidth="1"/>
    <col min="6210" max="6210" width="9" style="326"/>
    <col min="6211" max="6211" width="10.75" style="326" bestFit="1" customWidth="1"/>
    <col min="6212" max="6212" width="12.625" style="326" customWidth="1"/>
    <col min="6213" max="6215" width="9" style="326"/>
    <col min="6216" max="6216" width="13.625" style="326" customWidth="1"/>
    <col min="6217" max="6217" width="9" style="326"/>
    <col min="6218" max="6218" width="10.75" style="326" bestFit="1" customWidth="1"/>
    <col min="6219" max="6219" width="12.5" style="326" customWidth="1"/>
    <col min="6220" max="6222" width="9" style="326"/>
    <col min="6223" max="6223" width="12.875" style="326" customWidth="1"/>
    <col min="6224" max="6224" width="9" style="326"/>
    <col min="6225" max="6225" width="10.75" style="326" bestFit="1" customWidth="1"/>
    <col min="6226" max="6226" width="13.875" style="326" customWidth="1"/>
    <col min="6227" max="6229" width="9" style="326"/>
    <col min="6230" max="6230" width="14.125" style="326" customWidth="1"/>
    <col min="6231" max="6231" width="9" style="326"/>
    <col min="6232" max="6232" width="10.75" style="326" bestFit="1" customWidth="1"/>
    <col min="6233" max="6233" width="13.25" style="326" customWidth="1"/>
    <col min="6234" max="6236" width="9" style="326"/>
    <col min="6237" max="6237" width="13.25" style="326" customWidth="1"/>
    <col min="6238" max="6238" width="9" style="326"/>
    <col min="6239" max="6239" width="10.75" style="326" bestFit="1" customWidth="1"/>
    <col min="6240" max="6240" width="13.875" style="326" customWidth="1"/>
    <col min="6241" max="6243" width="9" style="326"/>
    <col min="6244" max="6244" width="13.625" style="326" customWidth="1"/>
    <col min="6245" max="6245" width="9" style="326"/>
    <col min="6246" max="6246" width="10.75" style="326" bestFit="1" customWidth="1"/>
    <col min="6247" max="6247" width="13" style="326" customWidth="1"/>
    <col min="6248" max="6394" width="9" style="326"/>
    <col min="6395" max="6396" width="12.125" style="326" customWidth="1"/>
    <col min="6397" max="6399" width="13" style="326" customWidth="1"/>
    <col min="6400" max="6400" width="12.875" style="326" customWidth="1"/>
    <col min="6401" max="6401" width="13" style="326" customWidth="1"/>
    <col min="6402" max="6402" width="13.125" style="326" customWidth="1"/>
    <col min="6403" max="6404" width="12.125" style="326" customWidth="1"/>
    <col min="6405" max="6405" width="14.375" style="326" bestFit="1" customWidth="1"/>
    <col min="6406" max="6406" width="11" style="326" customWidth="1"/>
    <col min="6407" max="6407" width="10" style="326" customWidth="1"/>
    <col min="6408" max="6408" width="10.875" style="326" customWidth="1"/>
    <col min="6409" max="6409" width="13.75" style="326" customWidth="1"/>
    <col min="6410" max="6410" width="10" style="326" customWidth="1"/>
    <col min="6411" max="6411" width="13.25" style="326" customWidth="1"/>
    <col min="6412" max="6412" width="14.375" style="326" customWidth="1"/>
    <col min="6413" max="6413" width="10" style="326" customWidth="1"/>
    <col min="6414" max="6414" width="10.875" style="326" customWidth="1"/>
    <col min="6415" max="6415" width="11.375" style="326" customWidth="1"/>
    <col min="6416" max="6416" width="15.375" style="326" customWidth="1"/>
    <col min="6417" max="6418" width="10.75" style="326" customWidth="1"/>
    <col min="6419" max="6419" width="14.375" style="326" customWidth="1"/>
    <col min="6420" max="6420" width="10.75" style="326" customWidth="1"/>
    <col min="6421" max="6421" width="11.75" style="326" customWidth="1"/>
    <col min="6422" max="6422" width="10" style="326" customWidth="1"/>
    <col min="6423" max="6423" width="15.375" style="326" customWidth="1"/>
    <col min="6424" max="6424" width="10" style="326" customWidth="1"/>
    <col min="6425" max="6425" width="10.75" style="326" customWidth="1"/>
    <col min="6426" max="6426" width="14.875" style="326" customWidth="1"/>
    <col min="6427" max="6427" width="11.5" style="326" customWidth="1"/>
    <col min="6428" max="6428" width="10" style="326" customWidth="1"/>
    <col min="6429" max="6429" width="10.75" style="326" customWidth="1"/>
    <col min="6430" max="6430" width="13.5" style="326" customWidth="1"/>
    <col min="6431" max="6431" width="9" style="326"/>
    <col min="6432" max="6432" width="10.75" style="326" bestFit="1" customWidth="1"/>
    <col min="6433" max="6433" width="13.75" style="326" customWidth="1"/>
    <col min="6434" max="6434" width="9" style="326"/>
    <col min="6435" max="6435" width="10.625" style="326" customWidth="1"/>
    <col min="6436" max="6436" width="9" style="326"/>
    <col min="6437" max="6437" width="14.25" style="326" customWidth="1"/>
    <col min="6438" max="6438" width="10.75" style="326" bestFit="1" customWidth="1"/>
    <col min="6439" max="6439" width="11.625" style="326" customWidth="1"/>
    <col min="6440" max="6440" width="13.75" style="326" customWidth="1"/>
    <col min="6441" max="6441" width="10.625" style="326" customWidth="1"/>
    <col min="6442" max="6443" width="9" style="326"/>
    <col min="6444" max="6444" width="14.125" style="326" customWidth="1"/>
    <col min="6445" max="6445" width="11" style="326" customWidth="1"/>
    <col min="6446" max="6446" width="10.75" style="326" bestFit="1" customWidth="1"/>
    <col min="6447" max="6447" width="13.5" style="326" customWidth="1"/>
    <col min="6448" max="6449" width="9" style="326"/>
    <col min="6450" max="6450" width="10.75" style="326" bestFit="1" customWidth="1"/>
    <col min="6451" max="6451" width="14" style="326" customWidth="1"/>
    <col min="6452" max="6452" width="9" style="326"/>
    <col min="6453" max="6453" width="10.75" style="326" customWidth="1"/>
    <col min="6454" max="6454" width="12.75" style="326" customWidth="1"/>
    <col min="6455" max="6455" width="9" style="326"/>
    <col min="6456" max="6456" width="10.75" style="326" bestFit="1" customWidth="1"/>
    <col min="6457" max="6457" width="11.5" style="326" customWidth="1"/>
    <col min="6458" max="6458" width="13.625" style="326" customWidth="1"/>
    <col min="6459" max="6459" width="10.625" style="326" customWidth="1"/>
    <col min="6460" max="6460" width="10.75" style="326" bestFit="1" customWidth="1"/>
    <col min="6461" max="6461" width="12.375" style="326" customWidth="1"/>
    <col min="6462" max="6464" width="9" style="326"/>
    <col min="6465" max="6465" width="15.75" style="326" customWidth="1"/>
    <col min="6466" max="6466" width="9" style="326"/>
    <col min="6467" max="6467" width="10.75" style="326" bestFit="1" customWidth="1"/>
    <col min="6468" max="6468" width="12.625" style="326" customWidth="1"/>
    <col min="6469" max="6471" width="9" style="326"/>
    <col min="6472" max="6472" width="13.625" style="326" customWidth="1"/>
    <col min="6473" max="6473" width="9" style="326"/>
    <col min="6474" max="6474" width="10.75" style="326" bestFit="1" customWidth="1"/>
    <col min="6475" max="6475" width="12.5" style="326" customWidth="1"/>
    <col min="6476" max="6478" width="9" style="326"/>
    <col min="6479" max="6479" width="12.875" style="326" customWidth="1"/>
    <col min="6480" max="6480" width="9" style="326"/>
    <col min="6481" max="6481" width="10.75" style="326" bestFit="1" customWidth="1"/>
    <col min="6482" max="6482" width="13.875" style="326" customWidth="1"/>
    <col min="6483" max="6485" width="9" style="326"/>
    <col min="6486" max="6486" width="14.125" style="326" customWidth="1"/>
    <col min="6487" max="6487" width="9" style="326"/>
    <col min="6488" max="6488" width="10.75" style="326" bestFit="1" customWidth="1"/>
    <col min="6489" max="6489" width="13.25" style="326" customWidth="1"/>
    <col min="6490" max="6492" width="9" style="326"/>
    <col min="6493" max="6493" width="13.25" style="326" customWidth="1"/>
    <col min="6494" max="6494" width="9" style="326"/>
    <col min="6495" max="6495" width="10.75" style="326" bestFit="1" customWidth="1"/>
    <col min="6496" max="6496" width="13.875" style="326" customWidth="1"/>
    <col min="6497" max="6499" width="9" style="326"/>
    <col min="6500" max="6500" width="13.625" style="326" customWidth="1"/>
    <col min="6501" max="6501" width="9" style="326"/>
    <col min="6502" max="6502" width="10.75" style="326" bestFit="1" customWidth="1"/>
    <col min="6503" max="6503" width="13" style="326" customWidth="1"/>
    <col min="6504" max="6650" width="9" style="326"/>
    <col min="6651" max="6652" width="12.125" style="326" customWidth="1"/>
    <col min="6653" max="6655" width="13" style="326" customWidth="1"/>
    <col min="6656" max="6656" width="12.875" style="326" customWidth="1"/>
    <col min="6657" max="6657" width="13" style="326" customWidth="1"/>
    <col min="6658" max="6658" width="13.125" style="326" customWidth="1"/>
    <col min="6659" max="6660" width="12.125" style="326" customWidth="1"/>
    <col min="6661" max="6661" width="14.375" style="326" bestFit="1" customWidth="1"/>
    <col min="6662" max="6662" width="11" style="326" customWidth="1"/>
    <col min="6663" max="6663" width="10" style="326" customWidth="1"/>
    <col min="6664" max="6664" width="10.875" style="326" customWidth="1"/>
    <col min="6665" max="6665" width="13.75" style="326" customWidth="1"/>
    <col min="6666" max="6666" width="10" style="326" customWidth="1"/>
    <col min="6667" max="6667" width="13.25" style="326" customWidth="1"/>
    <col min="6668" max="6668" width="14.375" style="326" customWidth="1"/>
    <col min="6669" max="6669" width="10" style="326" customWidth="1"/>
    <col min="6670" max="6670" width="10.875" style="326" customWidth="1"/>
    <col min="6671" max="6671" width="11.375" style="326" customWidth="1"/>
    <col min="6672" max="6672" width="15.375" style="326" customWidth="1"/>
    <col min="6673" max="6674" width="10.75" style="326" customWidth="1"/>
    <col min="6675" max="6675" width="14.375" style="326" customWidth="1"/>
    <col min="6676" max="6676" width="10.75" style="326" customWidth="1"/>
    <col min="6677" max="6677" width="11.75" style="326" customWidth="1"/>
    <col min="6678" max="6678" width="10" style="326" customWidth="1"/>
    <col min="6679" max="6679" width="15.375" style="326" customWidth="1"/>
    <col min="6680" max="6680" width="10" style="326" customWidth="1"/>
    <col min="6681" max="6681" width="10.75" style="326" customWidth="1"/>
    <col min="6682" max="6682" width="14.875" style="326" customWidth="1"/>
    <col min="6683" max="6683" width="11.5" style="326" customWidth="1"/>
    <col min="6684" max="6684" width="10" style="326" customWidth="1"/>
    <col min="6685" max="6685" width="10.75" style="326" customWidth="1"/>
    <col min="6686" max="6686" width="13.5" style="326" customWidth="1"/>
    <col min="6687" max="6687" width="9" style="326"/>
    <col min="6688" max="6688" width="10.75" style="326" bestFit="1" customWidth="1"/>
    <col min="6689" max="6689" width="13.75" style="326" customWidth="1"/>
    <col min="6690" max="6690" width="9" style="326"/>
    <col min="6691" max="6691" width="10.625" style="326" customWidth="1"/>
    <col min="6692" max="6692" width="9" style="326"/>
    <col min="6693" max="6693" width="14.25" style="326" customWidth="1"/>
    <col min="6694" max="6694" width="10.75" style="326" bestFit="1" customWidth="1"/>
    <col min="6695" max="6695" width="11.625" style="326" customWidth="1"/>
    <col min="6696" max="6696" width="13.75" style="326" customWidth="1"/>
    <col min="6697" max="6697" width="10.625" style="326" customWidth="1"/>
    <col min="6698" max="6699" width="9" style="326"/>
    <col min="6700" max="6700" width="14.125" style="326" customWidth="1"/>
    <col min="6701" max="6701" width="11" style="326" customWidth="1"/>
    <col min="6702" max="6702" width="10.75" style="326" bestFit="1" customWidth="1"/>
    <col min="6703" max="6703" width="13.5" style="326" customWidth="1"/>
    <col min="6704" max="6705" width="9" style="326"/>
    <col min="6706" max="6706" width="10.75" style="326" bestFit="1" customWidth="1"/>
    <col min="6707" max="6707" width="14" style="326" customWidth="1"/>
    <col min="6708" max="6708" width="9" style="326"/>
    <col min="6709" max="6709" width="10.75" style="326" customWidth="1"/>
    <col min="6710" max="6710" width="12.75" style="326" customWidth="1"/>
    <col min="6711" max="6711" width="9" style="326"/>
    <col min="6712" max="6712" width="10.75" style="326" bestFit="1" customWidth="1"/>
    <col min="6713" max="6713" width="11.5" style="326" customWidth="1"/>
    <col min="6714" max="6714" width="13.625" style="326" customWidth="1"/>
    <col min="6715" max="6715" width="10.625" style="326" customWidth="1"/>
    <col min="6716" max="6716" width="10.75" style="326" bestFit="1" customWidth="1"/>
    <col min="6717" max="6717" width="12.375" style="326" customWidth="1"/>
    <col min="6718" max="6720" width="9" style="326"/>
    <col min="6721" max="6721" width="15.75" style="326" customWidth="1"/>
    <col min="6722" max="6722" width="9" style="326"/>
    <col min="6723" max="6723" width="10.75" style="326" bestFit="1" customWidth="1"/>
    <col min="6724" max="6724" width="12.625" style="326" customWidth="1"/>
    <col min="6725" max="6727" width="9" style="326"/>
    <col min="6728" max="6728" width="13.625" style="326" customWidth="1"/>
    <col min="6729" max="6729" width="9" style="326"/>
    <col min="6730" max="6730" width="10.75" style="326" bestFit="1" customWidth="1"/>
    <col min="6731" max="6731" width="12.5" style="326" customWidth="1"/>
    <col min="6732" max="6734" width="9" style="326"/>
    <col min="6735" max="6735" width="12.875" style="326" customWidth="1"/>
    <col min="6736" max="6736" width="9" style="326"/>
    <col min="6737" max="6737" width="10.75" style="326" bestFit="1" customWidth="1"/>
    <col min="6738" max="6738" width="13.875" style="326" customWidth="1"/>
    <col min="6739" max="6741" width="9" style="326"/>
    <col min="6742" max="6742" width="14.125" style="326" customWidth="1"/>
    <col min="6743" max="6743" width="9" style="326"/>
    <col min="6744" max="6744" width="10.75" style="326" bestFit="1" customWidth="1"/>
    <col min="6745" max="6745" width="13.25" style="326" customWidth="1"/>
    <col min="6746" max="6748" width="9" style="326"/>
    <col min="6749" max="6749" width="13.25" style="326" customWidth="1"/>
    <col min="6750" max="6750" width="9" style="326"/>
    <col min="6751" max="6751" width="10.75" style="326" bestFit="1" customWidth="1"/>
    <col min="6752" max="6752" width="13.875" style="326" customWidth="1"/>
    <col min="6753" max="6755" width="9" style="326"/>
    <col min="6756" max="6756" width="13.625" style="326" customWidth="1"/>
    <col min="6757" max="6757" width="9" style="326"/>
    <col min="6758" max="6758" width="10.75" style="326" bestFit="1" customWidth="1"/>
    <col min="6759" max="6759" width="13" style="326" customWidth="1"/>
    <col min="6760" max="6906" width="9" style="326"/>
    <col min="6907" max="6908" width="12.125" style="326" customWidth="1"/>
    <col min="6909" max="6911" width="13" style="326" customWidth="1"/>
    <col min="6912" max="6912" width="12.875" style="326" customWidth="1"/>
    <col min="6913" max="6913" width="13" style="326" customWidth="1"/>
    <col min="6914" max="6914" width="13.125" style="326" customWidth="1"/>
    <col min="6915" max="6916" width="12.125" style="326" customWidth="1"/>
    <col min="6917" max="6917" width="14.375" style="326" bestFit="1" customWidth="1"/>
    <col min="6918" max="6918" width="11" style="326" customWidth="1"/>
    <col min="6919" max="6919" width="10" style="326" customWidth="1"/>
    <col min="6920" max="6920" width="10.875" style="326" customWidth="1"/>
    <col min="6921" max="6921" width="13.75" style="326" customWidth="1"/>
    <col min="6922" max="6922" width="10" style="326" customWidth="1"/>
    <col min="6923" max="6923" width="13.25" style="326" customWidth="1"/>
    <col min="6924" max="6924" width="14.375" style="326" customWidth="1"/>
    <col min="6925" max="6925" width="10" style="326" customWidth="1"/>
    <col min="6926" max="6926" width="10.875" style="326" customWidth="1"/>
    <col min="6927" max="6927" width="11.375" style="326" customWidth="1"/>
    <col min="6928" max="6928" width="15.375" style="326" customWidth="1"/>
    <col min="6929" max="6930" width="10.75" style="326" customWidth="1"/>
    <col min="6931" max="6931" width="14.375" style="326" customWidth="1"/>
    <col min="6932" max="6932" width="10.75" style="326" customWidth="1"/>
    <col min="6933" max="6933" width="11.75" style="326" customWidth="1"/>
    <col min="6934" max="6934" width="10" style="326" customWidth="1"/>
    <col min="6935" max="6935" width="15.375" style="326" customWidth="1"/>
    <col min="6936" max="6936" width="10" style="326" customWidth="1"/>
    <col min="6937" max="6937" width="10.75" style="326" customWidth="1"/>
    <col min="6938" max="6938" width="14.875" style="326" customWidth="1"/>
    <col min="6939" max="6939" width="11.5" style="326" customWidth="1"/>
    <col min="6940" max="6940" width="10" style="326" customWidth="1"/>
    <col min="6941" max="6941" width="10.75" style="326" customWidth="1"/>
    <col min="6942" max="6942" width="13.5" style="326" customWidth="1"/>
    <col min="6943" max="6943" width="9" style="326"/>
    <col min="6944" max="6944" width="10.75" style="326" bestFit="1" customWidth="1"/>
    <col min="6945" max="6945" width="13.75" style="326" customWidth="1"/>
    <col min="6946" max="6946" width="9" style="326"/>
    <col min="6947" max="6947" width="10.625" style="326" customWidth="1"/>
    <col min="6948" max="6948" width="9" style="326"/>
    <col min="6949" max="6949" width="14.25" style="326" customWidth="1"/>
    <col min="6950" max="6950" width="10.75" style="326" bestFit="1" customWidth="1"/>
    <col min="6951" max="6951" width="11.625" style="326" customWidth="1"/>
    <col min="6952" max="6952" width="13.75" style="326" customWidth="1"/>
    <col min="6953" max="6953" width="10.625" style="326" customWidth="1"/>
    <col min="6954" max="6955" width="9" style="326"/>
    <col min="6956" max="6956" width="14.125" style="326" customWidth="1"/>
    <col min="6957" max="6957" width="11" style="326" customWidth="1"/>
    <col min="6958" max="6958" width="10.75" style="326" bestFit="1" customWidth="1"/>
    <col min="6959" max="6959" width="13.5" style="326" customWidth="1"/>
    <col min="6960" max="6961" width="9" style="326"/>
    <col min="6962" max="6962" width="10.75" style="326" bestFit="1" customWidth="1"/>
    <col min="6963" max="6963" width="14" style="326" customWidth="1"/>
    <col min="6964" max="6964" width="9" style="326"/>
    <col min="6965" max="6965" width="10.75" style="326" customWidth="1"/>
    <col min="6966" max="6966" width="12.75" style="326" customWidth="1"/>
    <col min="6967" max="6967" width="9" style="326"/>
    <col min="6968" max="6968" width="10.75" style="326" bestFit="1" customWidth="1"/>
    <col min="6969" max="6969" width="11.5" style="326" customWidth="1"/>
    <col min="6970" max="6970" width="13.625" style="326" customWidth="1"/>
    <col min="6971" max="6971" width="10.625" style="326" customWidth="1"/>
    <col min="6972" max="6972" width="10.75" style="326" bestFit="1" customWidth="1"/>
    <col min="6973" max="6973" width="12.375" style="326" customWidth="1"/>
    <col min="6974" max="6976" width="9" style="326"/>
    <col min="6977" max="6977" width="15.75" style="326" customWidth="1"/>
    <col min="6978" max="6978" width="9" style="326"/>
    <col min="6979" max="6979" width="10.75" style="326" bestFit="1" customWidth="1"/>
    <col min="6980" max="6980" width="12.625" style="326" customWidth="1"/>
    <col min="6981" max="6983" width="9" style="326"/>
    <col min="6984" max="6984" width="13.625" style="326" customWidth="1"/>
    <col min="6985" max="6985" width="9" style="326"/>
    <col min="6986" max="6986" width="10.75" style="326" bestFit="1" customWidth="1"/>
    <col min="6987" max="6987" width="12.5" style="326" customWidth="1"/>
    <col min="6988" max="6990" width="9" style="326"/>
    <col min="6991" max="6991" width="12.875" style="326" customWidth="1"/>
    <col min="6992" max="6992" width="9" style="326"/>
    <col min="6993" max="6993" width="10.75" style="326" bestFit="1" customWidth="1"/>
    <col min="6994" max="6994" width="13.875" style="326" customWidth="1"/>
    <col min="6995" max="6997" width="9" style="326"/>
    <col min="6998" max="6998" width="14.125" style="326" customWidth="1"/>
    <col min="6999" max="6999" width="9" style="326"/>
    <col min="7000" max="7000" width="10.75" style="326" bestFit="1" customWidth="1"/>
    <col min="7001" max="7001" width="13.25" style="326" customWidth="1"/>
    <col min="7002" max="7004" width="9" style="326"/>
    <col min="7005" max="7005" width="13.25" style="326" customWidth="1"/>
    <col min="7006" max="7006" width="9" style="326"/>
    <col min="7007" max="7007" width="10.75" style="326" bestFit="1" customWidth="1"/>
    <col min="7008" max="7008" width="13.875" style="326" customWidth="1"/>
    <col min="7009" max="7011" width="9" style="326"/>
    <col min="7012" max="7012" width="13.625" style="326" customWidth="1"/>
    <col min="7013" max="7013" width="9" style="326"/>
    <col min="7014" max="7014" width="10.75" style="326" bestFit="1" customWidth="1"/>
    <col min="7015" max="7015" width="13" style="326" customWidth="1"/>
    <col min="7016" max="7162" width="9" style="326"/>
    <col min="7163" max="7164" width="12.125" style="326" customWidth="1"/>
    <col min="7165" max="7167" width="13" style="326" customWidth="1"/>
    <col min="7168" max="7168" width="12.875" style="326" customWidth="1"/>
    <col min="7169" max="7169" width="13" style="326" customWidth="1"/>
    <col min="7170" max="7170" width="13.125" style="326" customWidth="1"/>
    <col min="7171" max="7172" width="12.125" style="326" customWidth="1"/>
    <col min="7173" max="7173" width="14.375" style="326" bestFit="1" customWidth="1"/>
    <col min="7174" max="7174" width="11" style="326" customWidth="1"/>
    <col min="7175" max="7175" width="10" style="326" customWidth="1"/>
    <col min="7176" max="7176" width="10.875" style="326" customWidth="1"/>
    <col min="7177" max="7177" width="13.75" style="326" customWidth="1"/>
    <col min="7178" max="7178" width="10" style="326" customWidth="1"/>
    <col min="7179" max="7179" width="13.25" style="326" customWidth="1"/>
    <col min="7180" max="7180" width="14.375" style="326" customWidth="1"/>
    <col min="7181" max="7181" width="10" style="326" customWidth="1"/>
    <col min="7182" max="7182" width="10.875" style="326" customWidth="1"/>
    <col min="7183" max="7183" width="11.375" style="326" customWidth="1"/>
    <col min="7184" max="7184" width="15.375" style="326" customWidth="1"/>
    <col min="7185" max="7186" width="10.75" style="326" customWidth="1"/>
    <col min="7187" max="7187" width="14.375" style="326" customWidth="1"/>
    <col min="7188" max="7188" width="10.75" style="326" customWidth="1"/>
    <col min="7189" max="7189" width="11.75" style="326" customWidth="1"/>
    <col min="7190" max="7190" width="10" style="326" customWidth="1"/>
    <col min="7191" max="7191" width="15.375" style="326" customWidth="1"/>
    <col min="7192" max="7192" width="10" style="326" customWidth="1"/>
    <col min="7193" max="7193" width="10.75" style="326" customWidth="1"/>
    <col min="7194" max="7194" width="14.875" style="326" customWidth="1"/>
    <col min="7195" max="7195" width="11.5" style="326" customWidth="1"/>
    <col min="7196" max="7196" width="10" style="326" customWidth="1"/>
    <col min="7197" max="7197" width="10.75" style="326" customWidth="1"/>
    <col min="7198" max="7198" width="13.5" style="326" customWidth="1"/>
    <col min="7199" max="7199" width="9" style="326"/>
    <col min="7200" max="7200" width="10.75" style="326" bestFit="1" customWidth="1"/>
    <col min="7201" max="7201" width="13.75" style="326" customWidth="1"/>
    <col min="7202" max="7202" width="9" style="326"/>
    <col min="7203" max="7203" width="10.625" style="326" customWidth="1"/>
    <col min="7204" max="7204" width="9" style="326"/>
    <col min="7205" max="7205" width="14.25" style="326" customWidth="1"/>
    <col min="7206" max="7206" width="10.75" style="326" bestFit="1" customWidth="1"/>
    <col min="7207" max="7207" width="11.625" style="326" customWidth="1"/>
    <col min="7208" max="7208" width="13.75" style="326" customWidth="1"/>
    <col min="7209" max="7209" width="10.625" style="326" customWidth="1"/>
    <col min="7210" max="7211" width="9" style="326"/>
    <col min="7212" max="7212" width="14.125" style="326" customWidth="1"/>
    <col min="7213" max="7213" width="11" style="326" customWidth="1"/>
    <col min="7214" max="7214" width="10.75" style="326" bestFit="1" customWidth="1"/>
    <col min="7215" max="7215" width="13.5" style="326" customWidth="1"/>
    <col min="7216" max="7217" width="9" style="326"/>
    <col min="7218" max="7218" width="10.75" style="326" bestFit="1" customWidth="1"/>
    <col min="7219" max="7219" width="14" style="326" customWidth="1"/>
    <col min="7220" max="7220" width="9" style="326"/>
    <col min="7221" max="7221" width="10.75" style="326" customWidth="1"/>
    <col min="7222" max="7222" width="12.75" style="326" customWidth="1"/>
    <col min="7223" max="7223" width="9" style="326"/>
    <col min="7224" max="7224" width="10.75" style="326" bestFit="1" customWidth="1"/>
    <col min="7225" max="7225" width="11.5" style="326" customWidth="1"/>
    <col min="7226" max="7226" width="13.625" style="326" customWidth="1"/>
    <col min="7227" max="7227" width="10.625" style="326" customWidth="1"/>
    <col min="7228" max="7228" width="10.75" style="326" bestFit="1" customWidth="1"/>
    <col min="7229" max="7229" width="12.375" style="326" customWidth="1"/>
    <col min="7230" max="7232" width="9" style="326"/>
    <col min="7233" max="7233" width="15.75" style="326" customWidth="1"/>
    <col min="7234" max="7234" width="9" style="326"/>
    <col min="7235" max="7235" width="10.75" style="326" bestFit="1" customWidth="1"/>
    <col min="7236" max="7236" width="12.625" style="326" customWidth="1"/>
    <col min="7237" max="7239" width="9" style="326"/>
    <col min="7240" max="7240" width="13.625" style="326" customWidth="1"/>
    <col min="7241" max="7241" width="9" style="326"/>
    <col min="7242" max="7242" width="10.75" style="326" bestFit="1" customWidth="1"/>
    <col min="7243" max="7243" width="12.5" style="326" customWidth="1"/>
    <col min="7244" max="7246" width="9" style="326"/>
    <col min="7247" max="7247" width="12.875" style="326" customWidth="1"/>
    <col min="7248" max="7248" width="9" style="326"/>
    <col min="7249" max="7249" width="10.75" style="326" bestFit="1" customWidth="1"/>
    <col min="7250" max="7250" width="13.875" style="326" customWidth="1"/>
    <col min="7251" max="7253" width="9" style="326"/>
    <col min="7254" max="7254" width="14.125" style="326" customWidth="1"/>
    <col min="7255" max="7255" width="9" style="326"/>
    <col min="7256" max="7256" width="10.75" style="326" bestFit="1" customWidth="1"/>
    <col min="7257" max="7257" width="13.25" style="326" customWidth="1"/>
    <col min="7258" max="7260" width="9" style="326"/>
    <col min="7261" max="7261" width="13.25" style="326" customWidth="1"/>
    <col min="7262" max="7262" width="9" style="326"/>
    <col min="7263" max="7263" width="10.75" style="326" bestFit="1" customWidth="1"/>
    <col min="7264" max="7264" width="13.875" style="326" customWidth="1"/>
    <col min="7265" max="7267" width="9" style="326"/>
    <col min="7268" max="7268" width="13.625" style="326" customWidth="1"/>
    <col min="7269" max="7269" width="9" style="326"/>
    <col min="7270" max="7270" width="10.75" style="326" bestFit="1" customWidth="1"/>
    <col min="7271" max="7271" width="13" style="326" customWidth="1"/>
    <col min="7272" max="7418" width="9" style="326"/>
    <col min="7419" max="7420" width="12.125" style="326" customWidth="1"/>
    <col min="7421" max="7423" width="13" style="326" customWidth="1"/>
    <col min="7424" max="7424" width="12.875" style="326" customWidth="1"/>
    <col min="7425" max="7425" width="13" style="326" customWidth="1"/>
    <col min="7426" max="7426" width="13.125" style="326" customWidth="1"/>
    <col min="7427" max="7428" width="12.125" style="326" customWidth="1"/>
    <col min="7429" max="7429" width="14.375" style="326" bestFit="1" customWidth="1"/>
    <col min="7430" max="7430" width="11" style="326" customWidth="1"/>
    <col min="7431" max="7431" width="10" style="326" customWidth="1"/>
    <col min="7432" max="7432" width="10.875" style="326" customWidth="1"/>
    <col min="7433" max="7433" width="13.75" style="326" customWidth="1"/>
    <col min="7434" max="7434" width="10" style="326" customWidth="1"/>
    <col min="7435" max="7435" width="13.25" style="326" customWidth="1"/>
    <col min="7436" max="7436" width="14.375" style="326" customWidth="1"/>
    <col min="7437" max="7437" width="10" style="326" customWidth="1"/>
    <col min="7438" max="7438" width="10.875" style="326" customWidth="1"/>
    <col min="7439" max="7439" width="11.375" style="326" customWidth="1"/>
    <col min="7440" max="7440" width="15.375" style="326" customWidth="1"/>
    <col min="7441" max="7442" width="10.75" style="326" customWidth="1"/>
    <col min="7443" max="7443" width="14.375" style="326" customWidth="1"/>
    <col min="7444" max="7444" width="10.75" style="326" customWidth="1"/>
    <col min="7445" max="7445" width="11.75" style="326" customWidth="1"/>
    <col min="7446" max="7446" width="10" style="326" customWidth="1"/>
    <col min="7447" max="7447" width="15.375" style="326" customWidth="1"/>
    <col min="7448" max="7448" width="10" style="326" customWidth="1"/>
    <col min="7449" max="7449" width="10.75" style="326" customWidth="1"/>
    <col min="7450" max="7450" width="14.875" style="326" customWidth="1"/>
    <col min="7451" max="7451" width="11.5" style="326" customWidth="1"/>
    <col min="7452" max="7452" width="10" style="326" customWidth="1"/>
    <col min="7453" max="7453" width="10.75" style="326" customWidth="1"/>
    <col min="7454" max="7454" width="13.5" style="326" customWidth="1"/>
    <col min="7455" max="7455" width="9" style="326"/>
    <col min="7456" max="7456" width="10.75" style="326" bestFit="1" customWidth="1"/>
    <col min="7457" max="7457" width="13.75" style="326" customWidth="1"/>
    <col min="7458" max="7458" width="9" style="326"/>
    <col min="7459" max="7459" width="10.625" style="326" customWidth="1"/>
    <col min="7460" max="7460" width="9" style="326"/>
    <col min="7461" max="7461" width="14.25" style="326" customWidth="1"/>
    <col min="7462" max="7462" width="10.75" style="326" bestFit="1" customWidth="1"/>
    <col min="7463" max="7463" width="11.625" style="326" customWidth="1"/>
    <col min="7464" max="7464" width="13.75" style="326" customWidth="1"/>
    <col min="7465" max="7465" width="10.625" style="326" customWidth="1"/>
    <col min="7466" max="7467" width="9" style="326"/>
    <col min="7468" max="7468" width="14.125" style="326" customWidth="1"/>
    <col min="7469" max="7469" width="11" style="326" customWidth="1"/>
    <col min="7470" max="7470" width="10.75" style="326" bestFit="1" customWidth="1"/>
    <col min="7471" max="7471" width="13.5" style="326" customWidth="1"/>
    <col min="7472" max="7473" width="9" style="326"/>
    <col min="7474" max="7474" width="10.75" style="326" bestFit="1" customWidth="1"/>
    <col min="7475" max="7475" width="14" style="326" customWidth="1"/>
    <col min="7476" max="7476" width="9" style="326"/>
    <col min="7477" max="7477" width="10.75" style="326" customWidth="1"/>
    <col min="7478" max="7478" width="12.75" style="326" customWidth="1"/>
    <col min="7479" max="7479" width="9" style="326"/>
    <col min="7480" max="7480" width="10.75" style="326" bestFit="1" customWidth="1"/>
    <col min="7481" max="7481" width="11.5" style="326" customWidth="1"/>
    <col min="7482" max="7482" width="13.625" style="326" customWidth="1"/>
    <col min="7483" max="7483" width="10.625" style="326" customWidth="1"/>
    <col min="7484" max="7484" width="10.75" style="326" bestFit="1" customWidth="1"/>
    <col min="7485" max="7485" width="12.375" style="326" customWidth="1"/>
    <col min="7486" max="7488" width="9" style="326"/>
    <col min="7489" max="7489" width="15.75" style="326" customWidth="1"/>
    <col min="7490" max="7490" width="9" style="326"/>
    <col min="7491" max="7491" width="10.75" style="326" bestFit="1" customWidth="1"/>
    <col min="7492" max="7492" width="12.625" style="326" customWidth="1"/>
    <col min="7493" max="7495" width="9" style="326"/>
    <col min="7496" max="7496" width="13.625" style="326" customWidth="1"/>
    <col min="7497" max="7497" width="9" style="326"/>
    <col min="7498" max="7498" width="10.75" style="326" bestFit="1" customWidth="1"/>
    <col min="7499" max="7499" width="12.5" style="326" customWidth="1"/>
    <col min="7500" max="7502" width="9" style="326"/>
    <col min="7503" max="7503" width="12.875" style="326" customWidth="1"/>
    <col min="7504" max="7504" width="9" style="326"/>
    <col min="7505" max="7505" width="10.75" style="326" bestFit="1" customWidth="1"/>
    <col min="7506" max="7506" width="13.875" style="326" customWidth="1"/>
    <col min="7507" max="7509" width="9" style="326"/>
    <col min="7510" max="7510" width="14.125" style="326" customWidth="1"/>
    <col min="7511" max="7511" width="9" style="326"/>
    <col min="7512" max="7512" width="10.75" style="326" bestFit="1" customWidth="1"/>
    <col min="7513" max="7513" width="13.25" style="326" customWidth="1"/>
    <col min="7514" max="7516" width="9" style="326"/>
    <col min="7517" max="7517" width="13.25" style="326" customWidth="1"/>
    <col min="7518" max="7518" width="9" style="326"/>
    <col min="7519" max="7519" width="10.75" style="326" bestFit="1" customWidth="1"/>
    <col min="7520" max="7520" width="13.875" style="326" customWidth="1"/>
    <col min="7521" max="7523" width="9" style="326"/>
    <col min="7524" max="7524" width="13.625" style="326" customWidth="1"/>
    <col min="7525" max="7525" width="9" style="326"/>
    <col min="7526" max="7526" width="10.75" style="326" bestFit="1" customWidth="1"/>
    <col min="7527" max="7527" width="13" style="326" customWidth="1"/>
    <col min="7528" max="7674" width="9" style="326"/>
    <col min="7675" max="7676" width="12.125" style="326" customWidth="1"/>
    <col min="7677" max="7679" width="13" style="326" customWidth="1"/>
    <col min="7680" max="7680" width="12.875" style="326" customWidth="1"/>
    <col min="7681" max="7681" width="13" style="326" customWidth="1"/>
    <col min="7682" max="7682" width="13.125" style="326" customWidth="1"/>
    <col min="7683" max="7684" width="12.125" style="326" customWidth="1"/>
    <col min="7685" max="7685" width="14.375" style="326" bestFit="1" customWidth="1"/>
    <col min="7686" max="7686" width="11" style="326" customWidth="1"/>
    <col min="7687" max="7687" width="10" style="326" customWidth="1"/>
    <col min="7688" max="7688" width="10.875" style="326" customWidth="1"/>
    <col min="7689" max="7689" width="13.75" style="326" customWidth="1"/>
    <col min="7690" max="7690" width="10" style="326" customWidth="1"/>
    <col min="7691" max="7691" width="13.25" style="326" customWidth="1"/>
    <col min="7692" max="7692" width="14.375" style="326" customWidth="1"/>
    <col min="7693" max="7693" width="10" style="326" customWidth="1"/>
    <col min="7694" max="7694" width="10.875" style="326" customWidth="1"/>
    <col min="7695" max="7695" width="11.375" style="326" customWidth="1"/>
    <col min="7696" max="7696" width="15.375" style="326" customWidth="1"/>
    <col min="7697" max="7698" width="10.75" style="326" customWidth="1"/>
    <col min="7699" max="7699" width="14.375" style="326" customWidth="1"/>
    <col min="7700" max="7700" width="10.75" style="326" customWidth="1"/>
    <col min="7701" max="7701" width="11.75" style="326" customWidth="1"/>
    <col min="7702" max="7702" width="10" style="326" customWidth="1"/>
    <col min="7703" max="7703" width="15.375" style="326" customWidth="1"/>
    <col min="7704" max="7704" width="10" style="326" customWidth="1"/>
    <col min="7705" max="7705" width="10.75" style="326" customWidth="1"/>
    <col min="7706" max="7706" width="14.875" style="326" customWidth="1"/>
    <col min="7707" max="7707" width="11.5" style="326" customWidth="1"/>
    <col min="7708" max="7708" width="10" style="326" customWidth="1"/>
    <col min="7709" max="7709" width="10.75" style="326" customWidth="1"/>
    <col min="7710" max="7710" width="13.5" style="326" customWidth="1"/>
    <col min="7711" max="7711" width="9" style="326"/>
    <col min="7712" max="7712" width="10.75" style="326" bestFit="1" customWidth="1"/>
    <col min="7713" max="7713" width="13.75" style="326" customWidth="1"/>
    <col min="7714" max="7714" width="9" style="326"/>
    <col min="7715" max="7715" width="10.625" style="326" customWidth="1"/>
    <col min="7716" max="7716" width="9" style="326"/>
    <col min="7717" max="7717" width="14.25" style="326" customWidth="1"/>
    <col min="7718" max="7718" width="10.75" style="326" bestFit="1" customWidth="1"/>
    <col min="7719" max="7719" width="11.625" style="326" customWidth="1"/>
    <col min="7720" max="7720" width="13.75" style="326" customWidth="1"/>
    <col min="7721" max="7721" width="10.625" style="326" customWidth="1"/>
    <col min="7722" max="7723" width="9" style="326"/>
    <col min="7724" max="7724" width="14.125" style="326" customWidth="1"/>
    <col min="7725" max="7725" width="11" style="326" customWidth="1"/>
    <col min="7726" max="7726" width="10.75" style="326" bestFit="1" customWidth="1"/>
    <col min="7727" max="7727" width="13.5" style="326" customWidth="1"/>
    <col min="7728" max="7729" width="9" style="326"/>
    <col min="7730" max="7730" width="10.75" style="326" bestFit="1" customWidth="1"/>
    <col min="7731" max="7731" width="14" style="326" customWidth="1"/>
    <col min="7732" max="7732" width="9" style="326"/>
    <col min="7733" max="7733" width="10.75" style="326" customWidth="1"/>
    <col min="7734" max="7734" width="12.75" style="326" customWidth="1"/>
    <col min="7735" max="7735" width="9" style="326"/>
    <col min="7736" max="7736" width="10.75" style="326" bestFit="1" customWidth="1"/>
    <col min="7737" max="7737" width="11.5" style="326" customWidth="1"/>
    <col min="7738" max="7738" width="13.625" style="326" customWidth="1"/>
    <col min="7739" max="7739" width="10.625" style="326" customWidth="1"/>
    <col min="7740" max="7740" width="10.75" style="326" bestFit="1" customWidth="1"/>
    <col min="7741" max="7741" width="12.375" style="326" customWidth="1"/>
    <col min="7742" max="7744" width="9" style="326"/>
    <col min="7745" max="7745" width="15.75" style="326" customWidth="1"/>
    <col min="7746" max="7746" width="9" style="326"/>
    <col min="7747" max="7747" width="10.75" style="326" bestFit="1" customWidth="1"/>
    <col min="7748" max="7748" width="12.625" style="326" customWidth="1"/>
    <col min="7749" max="7751" width="9" style="326"/>
    <col min="7752" max="7752" width="13.625" style="326" customWidth="1"/>
    <col min="7753" max="7753" width="9" style="326"/>
    <col min="7754" max="7754" width="10.75" style="326" bestFit="1" customWidth="1"/>
    <col min="7755" max="7755" width="12.5" style="326" customWidth="1"/>
    <col min="7756" max="7758" width="9" style="326"/>
    <col min="7759" max="7759" width="12.875" style="326" customWidth="1"/>
    <col min="7760" max="7760" width="9" style="326"/>
    <col min="7761" max="7761" width="10.75" style="326" bestFit="1" customWidth="1"/>
    <col min="7762" max="7762" width="13.875" style="326" customWidth="1"/>
    <col min="7763" max="7765" width="9" style="326"/>
    <col min="7766" max="7766" width="14.125" style="326" customWidth="1"/>
    <col min="7767" max="7767" width="9" style="326"/>
    <col min="7768" max="7768" width="10.75" style="326" bestFit="1" customWidth="1"/>
    <col min="7769" max="7769" width="13.25" style="326" customWidth="1"/>
    <col min="7770" max="7772" width="9" style="326"/>
    <col min="7773" max="7773" width="13.25" style="326" customWidth="1"/>
    <col min="7774" max="7774" width="9" style="326"/>
    <col min="7775" max="7775" width="10.75" style="326" bestFit="1" customWidth="1"/>
    <col min="7776" max="7776" width="13.875" style="326" customWidth="1"/>
    <col min="7777" max="7779" width="9" style="326"/>
    <col min="7780" max="7780" width="13.625" style="326" customWidth="1"/>
    <col min="7781" max="7781" width="9" style="326"/>
    <col min="7782" max="7782" width="10.75" style="326" bestFit="1" customWidth="1"/>
    <col min="7783" max="7783" width="13" style="326" customWidth="1"/>
    <col min="7784" max="7930" width="9" style="326"/>
    <col min="7931" max="7932" width="12.125" style="326" customWidth="1"/>
    <col min="7933" max="7935" width="13" style="326" customWidth="1"/>
    <col min="7936" max="7936" width="12.875" style="326" customWidth="1"/>
    <col min="7937" max="7937" width="13" style="326" customWidth="1"/>
    <col min="7938" max="7938" width="13.125" style="326" customWidth="1"/>
    <col min="7939" max="7940" width="12.125" style="326" customWidth="1"/>
    <col min="7941" max="7941" width="14.375" style="326" bestFit="1" customWidth="1"/>
    <col min="7942" max="7942" width="11" style="326" customWidth="1"/>
    <col min="7943" max="7943" width="10" style="326" customWidth="1"/>
    <col min="7944" max="7944" width="10.875" style="326" customWidth="1"/>
    <col min="7945" max="7945" width="13.75" style="326" customWidth="1"/>
    <col min="7946" max="7946" width="10" style="326" customWidth="1"/>
    <col min="7947" max="7947" width="13.25" style="326" customWidth="1"/>
    <col min="7948" max="7948" width="14.375" style="326" customWidth="1"/>
    <col min="7949" max="7949" width="10" style="326" customWidth="1"/>
    <col min="7950" max="7950" width="10.875" style="326" customWidth="1"/>
    <col min="7951" max="7951" width="11.375" style="326" customWidth="1"/>
    <col min="7952" max="7952" width="15.375" style="326" customWidth="1"/>
    <col min="7953" max="7954" width="10.75" style="326" customWidth="1"/>
    <col min="7955" max="7955" width="14.375" style="326" customWidth="1"/>
    <col min="7956" max="7956" width="10.75" style="326" customWidth="1"/>
    <col min="7957" max="7957" width="11.75" style="326" customWidth="1"/>
    <col min="7958" max="7958" width="10" style="326" customWidth="1"/>
    <col min="7959" max="7959" width="15.375" style="326" customWidth="1"/>
    <col min="7960" max="7960" width="10" style="326" customWidth="1"/>
    <col min="7961" max="7961" width="10.75" style="326" customWidth="1"/>
    <col min="7962" max="7962" width="14.875" style="326" customWidth="1"/>
    <col min="7963" max="7963" width="11.5" style="326" customWidth="1"/>
    <col min="7964" max="7964" width="10" style="326" customWidth="1"/>
    <col min="7965" max="7965" width="10.75" style="326" customWidth="1"/>
    <col min="7966" max="7966" width="13.5" style="326" customWidth="1"/>
    <col min="7967" max="7967" width="9" style="326"/>
    <col min="7968" max="7968" width="10.75" style="326" bestFit="1" customWidth="1"/>
    <col min="7969" max="7969" width="13.75" style="326" customWidth="1"/>
    <col min="7970" max="7970" width="9" style="326"/>
    <col min="7971" max="7971" width="10.625" style="326" customWidth="1"/>
    <col min="7972" max="7972" width="9" style="326"/>
    <col min="7973" max="7973" width="14.25" style="326" customWidth="1"/>
    <col min="7974" max="7974" width="10.75" style="326" bestFit="1" customWidth="1"/>
    <col min="7975" max="7975" width="11.625" style="326" customWidth="1"/>
    <col min="7976" max="7976" width="13.75" style="326" customWidth="1"/>
    <col min="7977" max="7977" width="10.625" style="326" customWidth="1"/>
    <col min="7978" max="7979" width="9" style="326"/>
    <col min="7980" max="7980" width="14.125" style="326" customWidth="1"/>
    <col min="7981" max="7981" width="11" style="326" customWidth="1"/>
    <col min="7982" max="7982" width="10.75" style="326" bestFit="1" customWidth="1"/>
    <col min="7983" max="7983" width="13.5" style="326" customWidth="1"/>
    <col min="7984" max="7985" width="9" style="326"/>
    <col min="7986" max="7986" width="10.75" style="326" bestFit="1" customWidth="1"/>
    <col min="7987" max="7987" width="14" style="326" customWidth="1"/>
    <col min="7988" max="7988" width="9" style="326"/>
    <col min="7989" max="7989" width="10.75" style="326" customWidth="1"/>
    <col min="7990" max="7990" width="12.75" style="326" customWidth="1"/>
    <col min="7991" max="7991" width="9" style="326"/>
    <col min="7992" max="7992" width="10.75" style="326" bestFit="1" customWidth="1"/>
    <col min="7993" max="7993" width="11.5" style="326" customWidth="1"/>
    <col min="7994" max="7994" width="13.625" style="326" customWidth="1"/>
    <col min="7995" max="7995" width="10.625" style="326" customWidth="1"/>
    <col min="7996" max="7996" width="10.75" style="326" bestFit="1" customWidth="1"/>
    <col min="7997" max="7997" width="12.375" style="326" customWidth="1"/>
    <col min="7998" max="8000" width="9" style="326"/>
    <col min="8001" max="8001" width="15.75" style="326" customWidth="1"/>
    <col min="8002" max="8002" width="9" style="326"/>
    <col min="8003" max="8003" width="10.75" style="326" bestFit="1" customWidth="1"/>
    <col min="8004" max="8004" width="12.625" style="326" customWidth="1"/>
    <col min="8005" max="8007" width="9" style="326"/>
    <col min="8008" max="8008" width="13.625" style="326" customWidth="1"/>
    <col min="8009" max="8009" width="9" style="326"/>
    <col min="8010" max="8010" width="10.75" style="326" bestFit="1" customWidth="1"/>
    <col min="8011" max="8011" width="12.5" style="326" customWidth="1"/>
    <col min="8012" max="8014" width="9" style="326"/>
    <col min="8015" max="8015" width="12.875" style="326" customWidth="1"/>
    <col min="8016" max="8016" width="9" style="326"/>
    <col min="8017" max="8017" width="10.75" style="326" bestFit="1" customWidth="1"/>
    <col min="8018" max="8018" width="13.875" style="326" customWidth="1"/>
    <col min="8019" max="8021" width="9" style="326"/>
    <col min="8022" max="8022" width="14.125" style="326" customWidth="1"/>
    <col min="8023" max="8023" width="9" style="326"/>
    <col min="8024" max="8024" width="10.75" style="326" bestFit="1" customWidth="1"/>
    <col min="8025" max="8025" width="13.25" style="326" customWidth="1"/>
    <col min="8026" max="8028" width="9" style="326"/>
    <col min="8029" max="8029" width="13.25" style="326" customWidth="1"/>
    <col min="8030" max="8030" width="9" style="326"/>
    <col min="8031" max="8031" width="10.75" style="326" bestFit="1" customWidth="1"/>
    <col min="8032" max="8032" width="13.875" style="326" customWidth="1"/>
    <col min="8033" max="8035" width="9" style="326"/>
    <col min="8036" max="8036" width="13.625" style="326" customWidth="1"/>
    <col min="8037" max="8037" width="9" style="326"/>
    <col min="8038" max="8038" width="10.75" style="326" bestFit="1" customWidth="1"/>
    <col min="8039" max="8039" width="13" style="326" customWidth="1"/>
    <col min="8040" max="8186" width="9" style="326"/>
    <col min="8187" max="8188" width="12.125" style="326" customWidth="1"/>
    <col min="8189" max="8191" width="13" style="326" customWidth="1"/>
    <col min="8192" max="8192" width="12.875" style="326" customWidth="1"/>
    <col min="8193" max="8193" width="13" style="326" customWidth="1"/>
    <col min="8194" max="8194" width="13.125" style="326" customWidth="1"/>
    <col min="8195" max="8196" width="12.125" style="326" customWidth="1"/>
    <col min="8197" max="8197" width="14.375" style="326" bestFit="1" customWidth="1"/>
    <col min="8198" max="8198" width="11" style="326" customWidth="1"/>
    <col min="8199" max="8199" width="10" style="326" customWidth="1"/>
    <col min="8200" max="8200" width="10.875" style="326" customWidth="1"/>
    <col min="8201" max="8201" width="13.75" style="326" customWidth="1"/>
    <col min="8202" max="8202" width="10" style="326" customWidth="1"/>
    <col min="8203" max="8203" width="13.25" style="326" customWidth="1"/>
    <col min="8204" max="8204" width="14.375" style="326" customWidth="1"/>
    <col min="8205" max="8205" width="10" style="326" customWidth="1"/>
    <col min="8206" max="8206" width="10.875" style="326" customWidth="1"/>
    <col min="8207" max="8207" width="11.375" style="326" customWidth="1"/>
    <col min="8208" max="8208" width="15.375" style="326" customWidth="1"/>
    <col min="8209" max="8210" width="10.75" style="326" customWidth="1"/>
    <col min="8211" max="8211" width="14.375" style="326" customWidth="1"/>
    <col min="8212" max="8212" width="10.75" style="326" customWidth="1"/>
    <col min="8213" max="8213" width="11.75" style="326" customWidth="1"/>
    <col min="8214" max="8214" width="10" style="326" customWidth="1"/>
    <col min="8215" max="8215" width="15.375" style="326" customWidth="1"/>
    <col min="8216" max="8216" width="10" style="326" customWidth="1"/>
    <col min="8217" max="8217" width="10.75" style="326" customWidth="1"/>
    <col min="8218" max="8218" width="14.875" style="326" customWidth="1"/>
    <col min="8219" max="8219" width="11.5" style="326" customWidth="1"/>
    <col min="8220" max="8220" width="10" style="326" customWidth="1"/>
    <col min="8221" max="8221" width="10.75" style="326" customWidth="1"/>
    <col min="8222" max="8222" width="13.5" style="326" customWidth="1"/>
    <col min="8223" max="8223" width="9" style="326"/>
    <col min="8224" max="8224" width="10.75" style="326" bestFit="1" customWidth="1"/>
    <col min="8225" max="8225" width="13.75" style="326" customWidth="1"/>
    <col min="8226" max="8226" width="9" style="326"/>
    <col min="8227" max="8227" width="10.625" style="326" customWidth="1"/>
    <col min="8228" max="8228" width="9" style="326"/>
    <col min="8229" max="8229" width="14.25" style="326" customWidth="1"/>
    <col min="8230" max="8230" width="10.75" style="326" bestFit="1" customWidth="1"/>
    <col min="8231" max="8231" width="11.625" style="326" customWidth="1"/>
    <col min="8232" max="8232" width="13.75" style="326" customWidth="1"/>
    <col min="8233" max="8233" width="10.625" style="326" customWidth="1"/>
    <col min="8234" max="8235" width="9" style="326"/>
    <col min="8236" max="8236" width="14.125" style="326" customWidth="1"/>
    <col min="8237" max="8237" width="11" style="326" customWidth="1"/>
    <col min="8238" max="8238" width="10.75" style="326" bestFit="1" customWidth="1"/>
    <col min="8239" max="8239" width="13.5" style="326" customWidth="1"/>
    <col min="8240" max="8241" width="9" style="326"/>
    <col min="8242" max="8242" width="10.75" style="326" bestFit="1" customWidth="1"/>
    <col min="8243" max="8243" width="14" style="326" customWidth="1"/>
    <col min="8244" max="8244" width="9" style="326"/>
    <col min="8245" max="8245" width="10.75" style="326" customWidth="1"/>
    <col min="8246" max="8246" width="12.75" style="326" customWidth="1"/>
    <col min="8247" max="8247" width="9" style="326"/>
    <col min="8248" max="8248" width="10.75" style="326" bestFit="1" customWidth="1"/>
    <col min="8249" max="8249" width="11.5" style="326" customWidth="1"/>
    <col min="8250" max="8250" width="13.625" style="326" customWidth="1"/>
    <col min="8251" max="8251" width="10.625" style="326" customWidth="1"/>
    <col min="8252" max="8252" width="10.75" style="326" bestFit="1" customWidth="1"/>
    <col min="8253" max="8253" width="12.375" style="326" customWidth="1"/>
    <col min="8254" max="8256" width="9" style="326"/>
    <col min="8257" max="8257" width="15.75" style="326" customWidth="1"/>
    <col min="8258" max="8258" width="9" style="326"/>
    <col min="8259" max="8259" width="10.75" style="326" bestFit="1" customWidth="1"/>
    <col min="8260" max="8260" width="12.625" style="326" customWidth="1"/>
    <col min="8261" max="8263" width="9" style="326"/>
    <col min="8264" max="8264" width="13.625" style="326" customWidth="1"/>
    <col min="8265" max="8265" width="9" style="326"/>
    <col min="8266" max="8266" width="10.75" style="326" bestFit="1" customWidth="1"/>
    <col min="8267" max="8267" width="12.5" style="326" customWidth="1"/>
    <col min="8268" max="8270" width="9" style="326"/>
    <col min="8271" max="8271" width="12.875" style="326" customWidth="1"/>
    <col min="8272" max="8272" width="9" style="326"/>
    <col min="8273" max="8273" width="10.75" style="326" bestFit="1" customWidth="1"/>
    <col min="8274" max="8274" width="13.875" style="326" customWidth="1"/>
    <col min="8275" max="8277" width="9" style="326"/>
    <col min="8278" max="8278" width="14.125" style="326" customWidth="1"/>
    <col min="8279" max="8279" width="9" style="326"/>
    <col min="8280" max="8280" width="10.75" style="326" bestFit="1" customWidth="1"/>
    <col min="8281" max="8281" width="13.25" style="326" customWidth="1"/>
    <col min="8282" max="8284" width="9" style="326"/>
    <col min="8285" max="8285" width="13.25" style="326" customWidth="1"/>
    <col min="8286" max="8286" width="9" style="326"/>
    <col min="8287" max="8287" width="10.75" style="326" bestFit="1" customWidth="1"/>
    <col min="8288" max="8288" width="13.875" style="326" customWidth="1"/>
    <col min="8289" max="8291" width="9" style="326"/>
    <col min="8292" max="8292" width="13.625" style="326" customWidth="1"/>
    <col min="8293" max="8293" width="9" style="326"/>
    <col min="8294" max="8294" width="10.75" style="326" bestFit="1" customWidth="1"/>
    <col min="8295" max="8295" width="13" style="326" customWidth="1"/>
    <col min="8296" max="8442" width="9" style="326"/>
    <col min="8443" max="8444" width="12.125" style="326" customWidth="1"/>
    <col min="8445" max="8447" width="13" style="326" customWidth="1"/>
    <col min="8448" max="8448" width="12.875" style="326" customWidth="1"/>
    <col min="8449" max="8449" width="13" style="326" customWidth="1"/>
    <col min="8450" max="8450" width="13.125" style="326" customWidth="1"/>
    <col min="8451" max="8452" width="12.125" style="326" customWidth="1"/>
    <col min="8453" max="8453" width="14.375" style="326" bestFit="1" customWidth="1"/>
    <col min="8454" max="8454" width="11" style="326" customWidth="1"/>
    <col min="8455" max="8455" width="10" style="326" customWidth="1"/>
    <col min="8456" max="8456" width="10.875" style="326" customWidth="1"/>
    <col min="8457" max="8457" width="13.75" style="326" customWidth="1"/>
    <col min="8458" max="8458" width="10" style="326" customWidth="1"/>
    <col min="8459" max="8459" width="13.25" style="326" customWidth="1"/>
    <col min="8460" max="8460" width="14.375" style="326" customWidth="1"/>
    <col min="8461" max="8461" width="10" style="326" customWidth="1"/>
    <col min="8462" max="8462" width="10.875" style="326" customWidth="1"/>
    <col min="8463" max="8463" width="11.375" style="326" customWidth="1"/>
    <col min="8464" max="8464" width="15.375" style="326" customWidth="1"/>
    <col min="8465" max="8466" width="10.75" style="326" customWidth="1"/>
    <col min="8467" max="8467" width="14.375" style="326" customWidth="1"/>
    <col min="8468" max="8468" width="10.75" style="326" customWidth="1"/>
    <col min="8469" max="8469" width="11.75" style="326" customWidth="1"/>
    <col min="8470" max="8470" width="10" style="326" customWidth="1"/>
    <col min="8471" max="8471" width="15.375" style="326" customWidth="1"/>
    <col min="8472" max="8472" width="10" style="326" customWidth="1"/>
    <col min="8473" max="8473" width="10.75" style="326" customWidth="1"/>
    <col min="8474" max="8474" width="14.875" style="326" customWidth="1"/>
    <col min="8475" max="8475" width="11.5" style="326" customWidth="1"/>
    <col min="8476" max="8476" width="10" style="326" customWidth="1"/>
    <col min="8477" max="8477" width="10.75" style="326" customWidth="1"/>
    <col min="8478" max="8478" width="13.5" style="326" customWidth="1"/>
    <col min="8479" max="8479" width="9" style="326"/>
    <col min="8480" max="8480" width="10.75" style="326" bestFit="1" customWidth="1"/>
    <col min="8481" max="8481" width="13.75" style="326" customWidth="1"/>
    <col min="8482" max="8482" width="9" style="326"/>
    <col min="8483" max="8483" width="10.625" style="326" customWidth="1"/>
    <col min="8484" max="8484" width="9" style="326"/>
    <col min="8485" max="8485" width="14.25" style="326" customWidth="1"/>
    <col min="8486" max="8486" width="10.75" style="326" bestFit="1" customWidth="1"/>
    <col min="8487" max="8487" width="11.625" style="326" customWidth="1"/>
    <col min="8488" max="8488" width="13.75" style="326" customWidth="1"/>
    <col min="8489" max="8489" width="10.625" style="326" customWidth="1"/>
    <col min="8490" max="8491" width="9" style="326"/>
    <col min="8492" max="8492" width="14.125" style="326" customWidth="1"/>
    <col min="8493" max="8493" width="11" style="326" customWidth="1"/>
    <col min="8494" max="8494" width="10.75" style="326" bestFit="1" customWidth="1"/>
    <col min="8495" max="8495" width="13.5" style="326" customWidth="1"/>
    <col min="8496" max="8497" width="9" style="326"/>
    <col min="8498" max="8498" width="10.75" style="326" bestFit="1" customWidth="1"/>
    <col min="8499" max="8499" width="14" style="326" customWidth="1"/>
    <col min="8500" max="8500" width="9" style="326"/>
    <col min="8501" max="8501" width="10.75" style="326" customWidth="1"/>
    <col min="8502" max="8502" width="12.75" style="326" customWidth="1"/>
    <col min="8503" max="8503" width="9" style="326"/>
    <col min="8504" max="8504" width="10.75" style="326" bestFit="1" customWidth="1"/>
    <col min="8505" max="8505" width="11.5" style="326" customWidth="1"/>
    <col min="8506" max="8506" width="13.625" style="326" customWidth="1"/>
    <col min="8507" max="8507" width="10.625" style="326" customWidth="1"/>
    <col min="8508" max="8508" width="10.75" style="326" bestFit="1" customWidth="1"/>
    <col min="8509" max="8509" width="12.375" style="326" customWidth="1"/>
    <col min="8510" max="8512" width="9" style="326"/>
    <col min="8513" max="8513" width="15.75" style="326" customWidth="1"/>
    <col min="8514" max="8514" width="9" style="326"/>
    <col min="8515" max="8515" width="10.75" style="326" bestFit="1" customWidth="1"/>
    <col min="8516" max="8516" width="12.625" style="326" customWidth="1"/>
    <col min="8517" max="8519" width="9" style="326"/>
    <col min="8520" max="8520" width="13.625" style="326" customWidth="1"/>
    <col min="8521" max="8521" width="9" style="326"/>
    <col min="8522" max="8522" width="10.75" style="326" bestFit="1" customWidth="1"/>
    <col min="8523" max="8523" width="12.5" style="326" customWidth="1"/>
    <col min="8524" max="8526" width="9" style="326"/>
    <col min="8527" max="8527" width="12.875" style="326" customWidth="1"/>
    <col min="8528" max="8528" width="9" style="326"/>
    <col min="8529" max="8529" width="10.75" style="326" bestFit="1" customWidth="1"/>
    <col min="8530" max="8530" width="13.875" style="326" customWidth="1"/>
    <col min="8531" max="8533" width="9" style="326"/>
    <col min="8534" max="8534" width="14.125" style="326" customWidth="1"/>
    <col min="8535" max="8535" width="9" style="326"/>
    <col min="8536" max="8536" width="10.75" style="326" bestFit="1" customWidth="1"/>
    <col min="8537" max="8537" width="13.25" style="326" customWidth="1"/>
    <col min="8538" max="8540" width="9" style="326"/>
    <col min="8541" max="8541" width="13.25" style="326" customWidth="1"/>
    <col min="8542" max="8542" width="9" style="326"/>
    <col min="8543" max="8543" width="10.75" style="326" bestFit="1" customWidth="1"/>
    <col min="8544" max="8544" width="13.875" style="326" customWidth="1"/>
    <col min="8545" max="8547" width="9" style="326"/>
    <col min="8548" max="8548" width="13.625" style="326" customWidth="1"/>
    <col min="8549" max="8549" width="9" style="326"/>
    <col min="8550" max="8550" width="10.75" style="326" bestFit="1" customWidth="1"/>
    <col min="8551" max="8551" width="13" style="326" customWidth="1"/>
    <col min="8552" max="8698" width="9" style="326"/>
    <col min="8699" max="8700" width="12.125" style="326" customWidth="1"/>
    <col min="8701" max="8703" width="13" style="326" customWidth="1"/>
    <col min="8704" max="8704" width="12.875" style="326" customWidth="1"/>
    <col min="8705" max="8705" width="13" style="326" customWidth="1"/>
    <col min="8706" max="8706" width="13.125" style="326" customWidth="1"/>
    <col min="8707" max="8708" width="12.125" style="326" customWidth="1"/>
    <col min="8709" max="8709" width="14.375" style="326" bestFit="1" customWidth="1"/>
    <col min="8710" max="8710" width="11" style="326" customWidth="1"/>
    <col min="8711" max="8711" width="10" style="326" customWidth="1"/>
    <col min="8712" max="8712" width="10.875" style="326" customWidth="1"/>
    <col min="8713" max="8713" width="13.75" style="326" customWidth="1"/>
    <col min="8714" max="8714" width="10" style="326" customWidth="1"/>
    <col min="8715" max="8715" width="13.25" style="326" customWidth="1"/>
    <col min="8716" max="8716" width="14.375" style="326" customWidth="1"/>
    <col min="8717" max="8717" width="10" style="326" customWidth="1"/>
    <col min="8718" max="8718" width="10.875" style="326" customWidth="1"/>
    <col min="8719" max="8719" width="11.375" style="326" customWidth="1"/>
    <col min="8720" max="8720" width="15.375" style="326" customWidth="1"/>
    <col min="8721" max="8722" width="10.75" style="326" customWidth="1"/>
    <col min="8723" max="8723" width="14.375" style="326" customWidth="1"/>
    <col min="8724" max="8724" width="10.75" style="326" customWidth="1"/>
    <col min="8725" max="8725" width="11.75" style="326" customWidth="1"/>
    <col min="8726" max="8726" width="10" style="326" customWidth="1"/>
    <col min="8727" max="8727" width="15.375" style="326" customWidth="1"/>
    <col min="8728" max="8728" width="10" style="326" customWidth="1"/>
    <col min="8729" max="8729" width="10.75" style="326" customWidth="1"/>
    <col min="8730" max="8730" width="14.875" style="326" customWidth="1"/>
    <col min="8731" max="8731" width="11.5" style="326" customWidth="1"/>
    <col min="8732" max="8732" width="10" style="326" customWidth="1"/>
    <col min="8733" max="8733" width="10.75" style="326" customWidth="1"/>
    <col min="8734" max="8734" width="13.5" style="326" customWidth="1"/>
    <col min="8735" max="8735" width="9" style="326"/>
    <col min="8736" max="8736" width="10.75" style="326" bestFit="1" customWidth="1"/>
    <col min="8737" max="8737" width="13.75" style="326" customWidth="1"/>
    <col min="8738" max="8738" width="9" style="326"/>
    <col min="8739" max="8739" width="10.625" style="326" customWidth="1"/>
    <col min="8740" max="8740" width="9" style="326"/>
    <col min="8741" max="8741" width="14.25" style="326" customWidth="1"/>
    <col min="8742" max="8742" width="10.75" style="326" bestFit="1" customWidth="1"/>
    <col min="8743" max="8743" width="11.625" style="326" customWidth="1"/>
    <col min="8744" max="8744" width="13.75" style="326" customWidth="1"/>
    <col min="8745" max="8745" width="10.625" style="326" customWidth="1"/>
    <col min="8746" max="8747" width="9" style="326"/>
    <col min="8748" max="8748" width="14.125" style="326" customWidth="1"/>
    <col min="8749" max="8749" width="11" style="326" customWidth="1"/>
    <col min="8750" max="8750" width="10.75" style="326" bestFit="1" customWidth="1"/>
    <col min="8751" max="8751" width="13.5" style="326" customWidth="1"/>
    <col min="8752" max="8753" width="9" style="326"/>
    <col min="8754" max="8754" width="10.75" style="326" bestFit="1" customWidth="1"/>
    <col min="8755" max="8755" width="14" style="326" customWidth="1"/>
    <col min="8756" max="8756" width="9" style="326"/>
    <col min="8757" max="8757" width="10.75" style="326" customWidth="1"/>
    <col min="8758" max="8758" width="12.75" style="326" customWidth="1"/>
    <col min="8759" max="8759" width="9" style="326"/>
    <col min="8760" max="8760" width="10.75" style="326" bestFit="1" customWidth="1"/>
    <col min="8761" max="8761" width="11.5" style="326" customWidth="1"/>
    <col min="8762" max="8762" width="13.625" style="326" customWidth="1"/>
    <col min="8763" max="8763" width="10.625" style="326" customWidth="1"/>
    <col min="8764" max="8764" width="10.75" style="326" bestFit="1" customWidth="1"/>
    <col min="8765" max="8765" width="12.375" style="326" customWidth="1"/>
    <col min="8766" max="8768" width="9" style="326"/>
    <col min="8769" max="8769" width="15.75" style="326" customWidth="1"/>
    <col min="8770" max="8770" width="9" style="326"/>
    <col min="8771" max="8771" width="10.75" style="326" bestFit="1" customWidth="1"/>
    <col min="8772" max="8772" width="12.625" style="326" customWidth="1"/>
    <col min="8773" max="8775" width="9" style="326"/>
    <col min="8776" max="8776" width="13.625" style="326" customWidth="1"/>
    <col min="8777" max="8777" width="9" style="326"/>
    <col min="8778" max="8778" width="10.75" style="326" bestFit="1" customWidth="1"/>
    <col min="8779" max="8779" width="12.5" style="326" customWidth="1"/>
    <col min="8780" max="8782" width="9" style="326"/>
    <col min="8783" max="8783" width="12.875" style="326" customWidth="1"/>
    <col min="8784" max="8784" width="9" style="326"/>
    <col min="8785" max="8785" width="10.75" style="326" bestFit="1" customWidth="1"/>
    <col min="8786" max="8786" width="13.875" style="326" customWidth="1"/>
    <col min="8787" max="8789" width="9" style="326"/>
    <col min="8790" max="8790" width="14.125" style="326" customWidth="1"/>
    <col min="8791" max="8791" width="9" style="326"/>
    <col min="8792" max="8792" width="10.75" style="326" bestFit="1" customWidth="1"/>
    <col min="8793" max="8793" width="13.25" style="326" customWidth="1"/>
    <col min="8794" max="8796" width="9" style="326"/>
    <col min="8797" max="8797" width="13.25" style="326" customWidth="1"/>
    <col min="8798" max="8798" width="9" style="326"/>
    <col min="8799" max="8799" width="10.75" style="326" bestFit="1" customWidth="1"/>
    <col min="8800" max="8800" width="13.875" style="326" customWidth="1"/>
    <col min="8801" max="8803" width="9" style="326"/>
    <col min="8804" max="8804" width="13.625" style="326" customWidth="1"/>
    <col min="8805" max="8805" width="9" style="326"/>
    <col min="8806" max="8806" width="10.75" style="326" bestFit="1" customWidth="1"/>
    <col min="8807" max="8807" width="13" style="326" customWidth="1"/>
    <col min="8808" max="8954" width="9" style="326"/>
    <col min="8955" max="8956" width="12.125" style="326" customWidth="1"/>
    <col min="8957" max="8959" width="13" style="326" customWidth="1"/>
    <col min="8960" max="8960" width="12.875" style="326" customWidth="1"/>
    <col min="8961" max="8961" width="13" style="326" customWidth="1"/>
    <col min="8962" max="8962" width="13.125" style="326" customWidth="1"/>
    <col min="8963" max="8964" width="12.125" style="326" customWidth="1"/>
    <col min="8965" max="8965" width="14.375" style="326" bestFit="1" customWidth="1"/>
    <col min="8966" max="8966" width="11" style="326" customWidth="1"/>
    <col min="8967" max="8967" width="10" style="326" customWidth="1"/>
    <col min="8968" max="8968" width="10.875" style="326" customWidth="1"/>
    <col min="8969" max="8969" width="13.75" style="326" customWidth="1"/>
    <col min="8970" max="8970" width="10" style="326" customWidth="1"/>
    <col min="8971" max="8971" width="13.25" style="326" customWidth="1"/>
    <col min="8972" max="8972" width="14.375" style="326" customWidth="1"/>
    <col min="8973" max="8973" width="10" style="326" customWidth="1"/>
    <col min="8974" max="8974" width="10.875" style="326" customWidth="1"/>
    <col min="8975" max="8975" width="11.375" style="326" customWidth="1"/>
    <col min="8976" max="8976" width="15.375" style="326" customWidth="1"/>
    <col min="8977" max="8978" width="10.75" style="326" customWidth="1"/>
    <col min="8979" max="8979" width="14.375" style="326" customWidth="1"/>
    <col min="8980" max="8980" width="10.75" style="326" customWidth="1"/>
    <col min="8981" max="8981" width="11.75" style="326" customWidth="1"/>
    <col min="8982" max="8982" width="10" style="326" customWidth="1"/>
    <col min="8983" max="8983" width="15.375" style="326" customWidth="1"/>
    <col min="8984" max="8984" width="10" style="326" customWidth="1"/>
    <col min="8985" max="8985" width="10.75" style="326" customWidth="1"/>
    <col min="8986" max="8986" width="14.875" style="326" customWidth="1"/>
    <col min="8987" max="8987" width="11.5" style="326" customWidth="1"/>
    <col min="8988" max="8988" width="10" style="326" customWidth="1"/>
    <col min="8989" max="8989" width="10.75" style="326" customWidth="1"/>
    <col min="8990" max="8990" width="13.5" style="326" customWidth="1"/>
    <col min="8991" max="8991" width="9" style="326"/>
    <col min="8992" max="8992" width="10.75" style="326" bestFit="1" customWidth="1"/>
    <col min="8993" max="8993" width="13.75" style="326" customWidth="1"/>
    <col min="8994" max="8994" width="9" style="326"/>
    <col min="8995" max="8995" width="10.625" style="326" customWidth="1"/>
    <col min="8996" max="8996" width="9" style="326"/>
    <col min="8997" max="8997" width="14.25" style="326" customWidth="1"/>
    <col min="8998" max="8998" width="10.75" style="326" bestFit="1" customWidth="1"/>
    <col min="8999" max="8999" width="11.625" style="326" customWidth="1"/>
    <col min="9000" max="9000" width="13.75" style="326" customWidth="1"/>
    <col min="9001" max="9001" width="10.625" style="326" customWidth="1"/>
    <col min="9002" max="9003" width="9" style="326"/>
    <col min="9004" max="9004" width="14.125" style="326" customWidth="1"/>
    <col min="9005" max="9005" width="11" style="326" customWidth="1"/>
    <col min="9006" max="9006" width="10.75" style="326" bestFit="1" customWidth="1"/>
    <col min="9007" max="9007" width="13.5" style="326" customWidth="1"/>
    <col min="9008" max="9009" width="9" style="326"/>
    <col min="9010" max="9010" width="10.75" style="326" bestFit="1" customWidth="1"/>
    <col min="9011" max="9011" width="14" style="326" customWidth="1"/>
    <col min="9012" max="9012" width="9" style="326"/>
    <col min="9013" max="9013" width="10.75" style="326" customWidth="1"/>
    <col min="9014" max="9014" width="12.75" style="326" customWidth="1"/>
    <col min="9015" max="9015" width="9" style="326"/>
    <col min="9016" max="9016" width="10.75" style="326" bestFit="1" customWidth="1"/>
    <col min="9017" max="9017" width="11.5" style="326" customWidth="1"/>
    <col min="9018" max="9018" width="13.625" style="326" customWidth="1"/>
    <col min="9019" max="9019" width="10.625" style="326" customWidth="1"/>
    <col min="9020" max="9020" width="10.75" style="326" bestFit="1" customWidth="1"/>
    <col min="9021" max="9021" width="12.375" style="326" customWidth="1"/>
    <col min="9022" max="9024" width="9" style="326"/>
    <col min="9025" max="9025" width="15.75" style="326" customWidth="1"/>
    <col min="9026" max="9026" width="9" style="326"/>
    <col min="9027" max="9027" width="10.75" style="326" bestFit="1" customWidth="1"/>
    <col min="9028" max="9028" width="12.625" style="326" customWidth="1"/>
    <col min="9029" max="9031" width="9" style="326"/>
    <col min="9032" max="9032" width="13.625" style="326" customWidth="1"/>
    <col min="9033" max="9033" width="9" style="326"/>
    <col min="9034" max="9034" width="10.75" style="326" bestFit="1" customWidth="1"/>
    <col min="9035" max="9035" width="12.5" style="326" customWidth="1"/>
    <col min="9036" max="9038" width="9" style="326"/>
    <col min="9039" max="9039" width="12.875" style="326" customWidth="1"/>
    <col min="9040" max="9040" width="9" style="326"/>
    <col min="9041" max="9041" width="10.75" style="326" bestFit="1" customWidth="1"/>
    <col min="9042" max="9042" width="13.875" style="326" customWidth="1"/>
    <col min="9043" max="9045" width="9" style="326"/>
    <col min="9046" max="9046" width="14.125" style="326" customWidth="1"/>
    <col min="9047" max="9047" width="9" style="326"/>
    <col min="9048" max="9048" width="10.75" style="326" bestFit="1" customWidth="1"/>
    <col min="9049" max="9049" width="13.25" style="326" customWidth="1"/>
    <col min="9050" max="9052" width="9" style="326"/>
    <col min="9053" max="9053" width="13.25" style="326" customWidth="1"/>
    <col min="9054" max="9054" width="9" style="326"/>
    <col min="9055" max="9055" width="10.75" style="326" bestFit="1" customWidth="1"/>
    <col min="9056" max="9056" width="13.875" style="326" customWidth="1"/>
    <col min="9057" max="9059" width="9" style="326"/>
    <col min="9060" max="9060" width="13.625" style="326" customWidth="1"/>
    <col min="9061" max="9061" width="9" style="326"/>
    <col min="9062" max="9062" width="10.75" style="326" bestFit="1" customWidth="1"/>
    <col min="9063" max="9063" width="13" style="326" customWidth="1"/>
    <col min="9064" max="9210" width="9" style="326"/>
    <col min="9211" max="9212" width="12.125" style="326" customWidth="1"/>
    <col min="9213" max="9215" width="13" style="326" customWidth="1"/>
    <col min="9216" max="9216" width="12.875" style="326" customWidth="1"/>
    <col min="9217" max="9217" width="13" style="326" customWidth="1"/>
    <col min="9218" max="9218" width="13.125" style="326" customWidth="1"/>
    <col min="9219" max="9220" width="12.125" style="326" customWidth="1"/>
    <col min="9221" max="9221" width="14.375" style="326" bestFit="1" customWidth="1"/>
    <col min="9222" max="9222" width="11" style="326" customWidth="1"/>
    <col min="9223" max="9223" width="10" style="326" customWidth="1"/>
    <col min="9224" max="9224" width="10.875" style="326" customWidth="1"/>
    <col min="9225" max="9225" width="13.75" style="326" customWidth="1"/>
    <col min="9226" max="9226" width="10" style="326" customWidth="1"/>
    <col min="9227" max="9227" width="13.25" style="326" customWidth="1"/>
    <col min="9228" max="9228" width="14.375" style="326" customWidth="1"/>
    <col min="9229" max="9229" width="10" style="326" customWidth="1"/>
    <col min="9230" max="9230" width="10.875" style="326" customWidth="1"/>
    <col min="9231" max="9231" width="11.375" style="326" customWidth="1"/>
    <col min="9232" max="9232" width="15.375" style="326" customWidth="1"/>
    <col min="9233" max="9234" width="10.75" style="326" customWidth="1"/>
    <col min="9235" max="9235" width="14.375" style="326" customWidth="1"/>
    <col min="9236" max="9236" width="10.75" style="326" customWidth="1"/>
    <col min="9237" max="9237" width="11.75" style="326" customWidth="1"/>
    <col min="9238" max="9238" width="10" style="326" customWidth="1"/>
    <col min="9239" max="9239" width="15.375" style="326" customWidth="1"/>
    <col min="9240" max="9240" width="10" style="326" customWidth="1"/>
    <col min="9241" max="9241" width="10.75" style="326" customWidth="1"/>
    <col min="9242" max="9242" width="14.875" style="326" customWidth="1"/>
    <col min="9243" max="9243" width="11.5" style="326" customWidth="1"/>
    <col min="9244" max="9244" width="10" style="326" customWidth="1"/>
    <col min="9245" max="9245" width="10.75" style="326" customWidth="1"/>
    <col min="9246" max="9246" width="13.5" style="326" customWidth="1"/>
    <col min="9247" max="9247" width="9" style="326"/>
    <col min="9248" max="9248" width="10.75" style="326" bestFit="1" customWidth="1"/>
    <col min="9249" max="9249" width="13.75" style="326" customWidth="1"/>
    <col min="9250" max="9250" width="9" style="326"/>
    <col min="9251" max="9251" width="10.625" style="326" customWidth="1"/>
    <col min="9252" max="9252" width="9" style="326"/>
    <col min="9253" max="9253" width="14.25" style="326" customWidth="1"/>
    <col min="9254" max="9254" width="10.75" style="326" bestFit="1" customWidth="1"/>
    <col min="9255" max="9255" width="11.625" style="326" customWidth="1"/>
    <col min="9256" max="9256" width="13.75" style="326" customWidth="1"/>
    <col min="9257" max="9257" width="10.625" style="326" customWidth="1"/>
    <col min="9258" max="9259" width="9" style="326"/>
    <col min="9260" max="9260" width="14.125" style="326" customWidth="1"/>
    <col min="9261" max="9261" width="11" style="326" customWidth="1"/>
    <col min="9262" max="9262" width="10.75" style="326" bestFit="1" customWidth="1"/>
    <col min="9263" max="9263" width="13.5" style="326" customWidth="1"/>
    <col min="9264" max="9265" width="9" style="326"/>
    <col min="9266" max="9266" width="10.75" style="326" bestFit="1" customWidth="1"/>
    <col min="9267" max="9267" width="14" style="326" customWidth="1"/>
    <col min="9268" max="9268" width="9" style="326"/>
    <col min="9269" max="9269" width="10.75" style="326" customWidth="1"/>
    <col min="9270" max="9270" width="12.75" style="326" customWidth="1"/>
    <col min="9271" max="9271" width="9" style="326"/>
    <col min="9272" max="9272" width="10.75" style="326" bestFit="1" customWidth="1"/>
    <col min="9273" max="9273" width="11.5" style="326" customWidth="1"/>
    <col min="9274" max="9274" width="13.625" style="326" customWidth="1"/>
    <col min="9275" max="9275" width="10.625" style="326" customWidth="1"/>
    <col min="9276" max="9276" width="10.75" style="326" bestFit="1" customWidth="1"/>
    <col min="9277" max="9277" width="12.375" style="326" customWidth="1"/>
    <col min="9278" max="9280" width="9" style="326"/>
    <col min="9281" max="9281" width="15.75" style="326" customWidth="1"/>
    <col min="9282" max="9282" width="9" style="326"/>
    <col min="9283" max="9283" width="10.75" style="326" bestFit="1" customWidth="1"/>
    <col min="9284" max="9284" width="12.625" style="326" customWidth="1"/>
    <col min="9285" max="9287" width="9" style="326"/>
    <col min="9288" max="9288" width="13.625" style="326" customWidth="1"/>
    <col min="9289" max="9289" width="9" style="326"/>
    <col min="9290" max="9290" width="10.75" style="326" bestFit="1" customWidth="1"/>
    <col min="9291" max="9291" width="12.5" style="326" customWidth="1"/>
    <col min="9292" max="9294" width="9" style="326"/>
    <col min="9295" max="9295" width="12.875" style="326" customWidth="1"/>
    <col min="9296" max="9296" width="9" style="326"/>
    <col min="9297" max="9297" width="10.75" style="326" bestFit="1" customWidth="1"/>
    <col min="9298" max="9298" width="13.875" style="326" customWidth="1"/>
    <col min="9299" max="9301" width="9" style="326"/>
    <col min="9302" max="9302" width="14.125" style="326" customWidth="1"/>
    <col min="9303" max="9303" width="9" style="326"/>
    <col min="9304" max="9304" width="10.75" style="326" bestFit="1" customWidth="1"/>
    <col min="9305" max="9305" width="13.25" style="326" customWidth="1"/>
    <col min="9306" max="9308" width="9" style="326"/>
    <col min="9309" max="9309" width="13.25" style="326" customWidth="1"/>
    <col min="9310" max="9310" width="9" style="326"/>
    <col min="9311" max="9311" width="10.75" style="326" bestFit="1" customWidth="1"/>
    <col min="9312" max="9312" width="13.875" style="326" customWidth="1"/>
    <col min="9313" max="9315" width="9" style="326"/>
    <col min="9316" max="9316" width="13.625" style="326" customWidth="1"/>
    <col min="9317" max="9317" width="9" style="326"/>
    <col min="9318" max="9318" width="10.75" style="326" bestFit="1" customWidth="1"/>
    <col min="9319" max="9319" width="13" style="326" customWidth="1"/>
    <col min="9320" max="9466" width="9" style="326"/>
    <col min="9467" max="9468" width="12.125" style="326" customWidth="1"/>
    <col min="9469" max="9471" width="13" style="326" customWidth="1"/>
    <col min="9472" max="9472" width="12.875" style="326" customWidth="1"/>
    <col min="9473" max="9473" width="13" style="326" customWidth="1"/>
    <col min="9474" max="9474" width="13.125" style="326" customWidth="1"/>
    <col min="9475" max="9476" width="12.125" style="326" customWidth="1"/>
    <col min="9477" max="9477" width="14.375" style="326" bestFit="1" customWidth="1"/>
    <col min="9478" max="9478" width="11" style="326" customWidth="1"/>
    <col min="9479" max="9479" width="10" style="326" customWidth="1"/>
    <col min="9480" max="9480" width="10.875" style="326" customWidth="1"/>
    <col min="9481" max="9481" width="13.75" style="326" customWidth="1"/>
    <col min="9482" max="9482" width="10" style="326" customWidth="1"/>
    <col min="9483" max="9483" width="13.25" style="326" customWidth="1"/>
    <col min="9484" max="9484" width="14.375" style="326" customWidth="1"/>
    <col min="9485" max="9485" width="10" style="326" customWidth="1"/>
    <col min="9486" max="9486" width="10.875" style="326" customWidth="1"/>
    <col min="9487" max="9487" width="11.375" style="326" customWidth="1"/>
    <col min="9488" max="9488" width="15.375" style="326" customWidth="1"/>
    <col min="9489" max="9490" width="10.75" style="326" customWidth="1"/>
    <col min="9491" max="9491" width="14.375" style="326" customWidth="1"/>
    <col min="9492" max="9492" width="10.75" style="326" customWidth="1"/>
    <col min="9493" max="9493" width="11.75" style="326" customWidth="1"/>
    <col min="9494" max="9494" width="10" style="326" customWidth="1"/>
    <col min="9495" max="9495" width="15.375" style="326" customWidth="1"/>
    <col min="9496" max="9496" width="10" style="326" customWidth="1"/>
    <col min="9497" max="9497" width="10.75" style="326" customWidth="1"/>
    <col min="9498" max="9498" width="14.875" style="326" customWidth="1"/>
    <col min="9499" max="9499" width="11.5" style="326" customWidth="1"/>
    <col min="9500" max="9500" width="10" style="326" customWidth="1"/>
    <col min="9501" max="9501" width="10.75" style="326" customWidth="1"/>
    <col min="9502" max="9502" width="13.5" style="326" customWidth="1"/>
    <col min="9503" max="9503" width="9" style="326"/>
    <col min="9504" max="9504" width="10.75" style="326" bestFit="1" customWidth="1"/>
    <col min="9505" max="9505" width="13.75" style="326" customWidth="1"/>
    <col min="9506" max="9506" width="9" style="326"/>
    <col min="9507" max="9507" width="10.625" style="326" customWidth="1"/>
    <col min="9508" max="9508" width="9" style="326"/>
    <col min="9509" max="9509" width="14.25" style="326" customWidth="1"/>
    <col min="9510" max="9510" width="10.75" style="326" bestFit="1" customWidth="1"/>
    <col min="9511" max="9511" width="11.625" style="326" customWidth="1"/>
    <col min="9512" max="9512" width="13.75" style="326" customWidth="1"/>
    <col min="9513" max="9513" width="10.625" style="326" customWidth="1"/>
    <col min="9514" max="9515" width="9" style="326"/>
    <col min="9516" max="9516" width="14.125" style="326" customWidth="1"/>
    <col min="9517" max="9517" width="11" style="326" customWidth="1"/>
    <col min="9518" max="9518" width="10.75" style="326" bestFit="1" customWidth="1"/>
    <col min="9519" max="9519" width="13.5" style="326" customWidth="1"/>
    <col min="9520" max="9521" width="9" style="326"/>
    <col min="9522" max="9522" width="10.75" style="326" bestFit="1" customWidth="1"/>
    <col min="9523" max="9523" width="14" style="326" customWidth="1"/>
    <col min="9524" max="9524" width="9" style="326"/>
    <col min="9525" max="9525" width="10.75" style="326" customWidth="1"/>
    <col min="9526" max="9526" width="12.75" style="326" customWidth="1"/>
    <col min="9527" max="9527" width="9" style="326"/>
    <col min="9528" max="9528" width="10.75" style="326" bestFit="1" customWidth="1"/>
    <col min="9529" max="9529" width="11.5" style="326" customWidth="1"/>
    <col min="9530" max="9530" width="13.625" style="326" customWidth="1"/>
    <col min="9531" max="9531" width="10.625" style="326" customWidth="1"/>
    <col min="9532" max="9532" width="10.75" style="326" bestFit="1" customWidth="1"/>
    <col min="9533" max="9533" width="12.375" style="326" customWidth="1"/>
    <col min="9534" max="9536" width="9" style="326"/>
    <col min="9537" max="9537" width="15.75" style="326" customWidth="1"/>
    <col min="9538" max="9538" width="9" style="326"/>
    <col min="9539" max="9539" width="10.75" style="326" bestFit="1" customWidth="1"/>
    <col min="9540" max="9540" width="12.625" style="326" customWidth="1"/>
    <col min="9541" max="9543" width="9" style="326"/>
    <col min="9544" max="9544" width="13.625" style="326" customWidth="1"/>
    <col min="9545" max="9545" width="9" style="326"/>
    <col min="9546" max="9546" width="10.75" style="326" bestFit="1" customWidth="1"/>
    <col min="9547" max="9547" width="12.5" style="326" customWidth="1"/>
    <col min="9548" max="9550" width="9" style="326"/>
    <col min="9551" max="9551" width="12.875" style="326" customWidth="1"/>
    <col min="9552" max="9552" width="9" style="326"/>
    <col min="9553" max="9553" width="10.75" style="326" bestFit="1" customWidth="1"/>
    <col min="9554" max="9554" width="13.875" style="326" customWidth="1"/>
    <col min="9555" max="9557" width="9" style="326"/>
    <col min="9558" max="9558" width="14.125" style="326" customWidth="1"/>
    <col min="9559" max="9559" width="9" style="326"/>
    <col min="9560" max="9560" width="10.75" style="326" bestFit="1" customWidth="1"/>
    <col min="9561" max="9561" width="13.25" style="326" customWidth="1"/>
    <col min="9562" max="9564" width="9" style="326"/>
    <col min="9565" max="9565" width="13.25" style="326" customWidth="1"/>
    <col min="9566" max="9566" width="9" style="326"/>
    <col min="9567" max="9567" width="10.75" style="326" bestFit="1" customWidth="1"/>
    <col min="9568" max="9568" width="13.875" style="326" customWidth="1"/>
    <col min="9569" max="9571" width="9" style="326"/>
    <col min="9572" max="9572" width="13.625" style="326" customWidth="1"/>
    <col min="9573" max="9573" width="9" style="326"/>
    <col min="9574" max="9574" width="10.75" style="326" bestFit="1" customWidth="1"/>
    <col min="9575" max="9575" width="13" style="326" customWidth="1"/>
    <col min="9576" max="9722" width="9" style="326"/>
    <col min="9723" max="9724" width="12.125" style="326" customWidth="1"/>
    <col min="9725" max="9727" width="13" style="326" customWidth="1"/>
    <col min="9728" max="9728" width="12.875" style="326" customWidth="1"/>
    <col min="9729" max="9729" width="13" style="326" customWidth="1"/>
    <col min="9730" max="9730" width="13.125" style="326" customWidth="1"/>
    <col min="9731" max="9732" width="12.125" style="326" customWidth="1"/>
    <col min="9733" max="9733" width="14.375" style="326" bestFit="1" customWidth="1"/>
    <col min="9734" max="9734" width="11" style="326" customWidth="1"/>
    <col min="9735" max="9735" width="10" style="326" customWidth="1"/>
    <col min="9736" max="9736" width="10.875" style="326" customWidth="1"/>
    <col min="9737" max="9737" width="13.75" style="326" customWidth="1"/>
    <col min="9738" max="9738" width="10" style="326" customWidth="1"/>
    <col min="9739" max="9739" width="13.25" style="326" customWidth="1"/>
    <col min="9740" max="9740" width="14.375" style="326" customWidth="1"/>
    <col min="9741" max="9741" width="10" style="326" customWidth="1"/>
    <col min="9742" max="9742" width="10.875" style="326" customWidth="1"/>
    <col min="9743" max="9743" width="11.375" style="326" customWidth="1"/>
    <col min="9744" max="9744" width="15.375" style="326" customWidth="1"/>
    <col min="9745" max="9746" width="10.75" style="326" customWidth="1"/>
    <col min="9747" max="9747" width="14.375" style="326" customWidth="1"/>
    <col min="9748" max="9748" width="10.75" style="326" customWidth="1"/>
    <col min="9749" max="9749" width="11.75" style="326" customWidth="1"/>
    <col min="9750" max="9750" width="10" style="326" customWidth="1"/>
    <col min="9751" max="9751" width="15.375" style="326" customWidth="1"/>
    <col min="9752" max="9752" width="10" style="326" customWidth="1"/>
    <col min="9753" max="9753" width="10.75" style="326" customWidth="1"/>
    <col min="9754" max="9754" width="14.875" style="326" customWidth="1"/>
    <col min="9755" max="9755" width="11.5" style="326" customWidth="1"/>
    <col min="9756" max="9756" width="10" style="326" customWidth="1"/>
    <col min="9757" max="9757" width="10.75" style="326" customWidth="1"/>
    <col min="9758" max="9758" width="13.5" style="326" customWidth="1"/>
    <col min="9759" max="9759" width="9" style="326"/>
    <col min="9760" max="9760" width="10.75" style="326" bestFit="1" customWidth="1"/>
    <col min="9761" max="9761" width="13.75" style="326" customWidth="1"/>
    <col min="9762" max="9762" width="9" style="326"/>
    <col min="9763" max="9763" width="10.625" style="326" customWidth="1"/>
    <col min="9764" max="9764" width="9" style="326"/>
    <col min="9765" max="9765" width="14.25" style="326" customWidth="1"/>
    <col min="9766" max="9766" width="10.75" style="326" bestFit="1" customWidth="1"/>
    <col min="9767" max="9767" width="11.625" style="326" customWidth="1"/>
    <col min="9768" max="9768" width="13.75" style="326" customWidth="1"/>
    <col min="9769" max="9769" width="10.625" style="326" customWidth="1"/>
    <col min="9770" max="9771" width="9" style="326"/>
    <col min="9772" max="9772" width="14.125" style="326" customWidth="1"/>
    <col min="9773" max="9773" width="11" style="326" customWidth="1"/>
    <col min="9774" max="9774" width="10.75" style="326" bestFit="1" customWidth="1"/>
    <col min="9775" max="9775" width="13.5" style="326" customWidth="1"/>
    <col min="9776" max="9777" width="9" style="326"/>
    <col min="9778" max="9778" width="10.75" style="326" bestFit="1" customWidth="1"/>
    <col min="9779" max="9779" width="14" style="326" customWidth="1"/>
    <col min="9780" max="9780" width="9" style="326"/>
    <col min="9781" max="9781" width="10.75" style="326" customWidth="1"/>
    <col min="9782" max="9782" width="12.75" style="326" customWidth="1"/>
    <col min="9783" max="9783" width="9" style="326"/>
    <col min="9784" max="9784" width="10.75" style="326" bestFit="1" customWidth="1"/>
    <col min="9785" max="9785" width="11.5" style="326" customWidth="1"/>
    <col min="9786" max="9786" width="13.625" style="326" customWidth="1"/>
    <col min="9787" max="9787" width="10.625" style="326" customWidth="1"/>
    <col min="9788" max="9788" width="10.75" style="326" bestFit="1" customWidth="1"/>
    <col min="9789" max="9789" width="12.375" style="326" customWidth="1"/>
    <col min="9790" max="9792" width="9" style="326"/>
    <col min="9793" max="9793" width="15.75" style="326" customWidth="1"/>
    <col min="9794" max="9794" width="9" style="326"/>
    <col min="9795" max="9795" width="10.75" style="326" bestFit="1" customWidth="1"/>
    <col min="9796" max="9796" width="12.625" style="326" customWidth="1"/>
    <col min="9797" max="9799" width="9" style="326"/>
    <col min="9800" max="9800" width="13.625" style="326" customWidth="1"/>
    <col min="9801" max="9801" width="9" style="326"/>
    <col min="9802" max="9802" width="10.75" style="326" bestFit="1" customWidth="1"/>
    <col min="9803" max="9803" width="12.5" style="326" customWidth="1"/>
    <col min="9804" max="9806" width="9" style="326"/>
    <col min="9807" max="9807" width="12.875" style="326" customWidth="1"/>
    <col min="9808" max="9808" width="9" style="326"/>
    <col min="9809" max="9809" width="10.75" style="326" bestFit="1" customWidth="1"/>
    <col min="9810" max="9810" width="13.875" style="326" customWidth="1"/>
    <col min="9811" max="9813" width="9" style="326"/>
    <col min="9814" max="9814" width="14.125" style="326" customWidth="1"/>
    <col min="9815" max="9815" width="9" style="326"/>
    <col min="9816" max="9816" width="10.75" style="326" bestFit="1" customWidth="1"/>
    <col min="9817" max="9817" width="13.25" style="326" customWidth="1"/>
    <col min="9818" max="9820" width="9" style="326"/>
    <col min="9821" max="9821" width="13.25" style="326" customWidth="1"/>
    <col min="9822" max="9822" width="9" style="326"/>
    <col min="9823" max="9823" width="10.75" style="326" bestFit="1" customWidth="1"/>
    <col min="9824" max="9824" width="13.875" style="326" customWidth="1"/>
    <col min="9825" max="9827" width="9" style="326"/>
    <col min="9828" max="9828" width="13.625" style="326" customWidth="1"/>
    <col min="9829" max="9829" width="9" style="326"/>
    <col min="9830" max="9830" width="10.75" style="326" bestFit="1" customWidth="1"/>
    <col min="9831" max="9831" width="13" style="326" customWidth="1"/>
    <col min="9832" max="9978" width="9" style="326"/>
    <col min="9979" max="9980" width="12.125" style="326" customWidth="1"/>
    <col min="9981" max="9983" width="13" style="326" customWidth="1"/>
    <col min="9984" max="9984" width="12.875" style="326" customWidth="1"/>
    <col min="9985" max="9985" width="13" style="326" customWidth="1"/>
    <col min="9986" max="9986" width="13.125" style="326" customWidth="1"/>
    <col min="9987" max="9988" width="12.125" style="326" customWidth="1"/>
    <col min="9989" max="9989" width="14.375" style="326" bestFit="1" customWidth="1"/>
    <col min="9990" max="9990" width="11" style="326" customWidth="1"/>
    <col min="9991" max="9991" width="10" style="326" customWidth="1"/>
    <col min="9992" max="9992" width="10.875" style="326" customWidth="1"/>
    <col min="9993" max="9993" width="13.75" style="326" customWidth="1"/>
    <col min="9994" max="9994" width="10" style="326" customWidth="1"/>
    <col min="9995" max="9995" width="13.25" style="326" customWidth="1"/>
    <col min="9996" max="9996" width="14.375" style="326" customWidth="1"/>
    <col min="9997" max="9997" width="10" style="326" customWidth="1"/>
    <col min="9998" max="9998" width="10.875" style="326" customWidth="1"/>
    <col min="9999" max="9999" width="11.375" style="326" customWidth="1"/>
    <col min="10000" max="10000" width="15.375" style="326" customWidth="1"/>
    <col min="10001" max="10002" width="10.75" style="326" customWidth="1"/>
    <col min="10003" max="10003" width="14.375" style="326" customWidth="1"/>
    <col min="10004" max="10004" width="10.75" style="326" customWidth="1"/>
    <col min="10005" max="10005" width="11.75" style="326" customWidth="1"/>
    <col min="10006" max="10006" width="10" style="326" customWidth="1"/>
    <col min="10007" max="10007" width="15.375" style="326" customWidth="1"/>
    <col min="10008" max="10008" width="10" style="326" customWidth="1"/>
    <col min="10009" max="10009" width="10.75" style="326" customWidth="1"/>
    <col min="10010" max="10010" width="14.875" style="326" customWidth="1"/>
    <col min="10011" max="10011" width="11.5" style="326" customWidth="1"/>
    <col min="10012" max="10012" width="10" style="326" customWidth="1"/>
    <col min="10013" max="10013" width="10.75" style="326" customWidth="1"/>
    <col min="10014" max="10014" width="13.5" style="326" customWidth="1"/>
    <col min="10015" max="10015" width="9" style="326"/>
    <col min="10016" max="10016" width="10.75" style="326" bestFit="1" customWidth="1"/>
    <col min="10017" max="10017" width="13.75" style="326" customWidth="1"/>
    <col min="10018" max="10018" width="9" style="326"/>
    <col min="10019" max="10019" width="10.625" style="326" customWidth="1"/>
    <col min="10020" max="10020" width="9" style="326"/>
    <col min="10021" max="10021" width="14.25" style="326" customWidth="1"/>
    <col min="10022" max="10022" width="10.75" style="326" bestFit="1" customWidth="1"/>
    <col min="10023" max="10023" width="11.625" style="326" customWidth="1"/>
    <col min="10024" max="10024" width="13.75" style="326" customWidth="1"/>
    <col min="10025" max="10025" width="10.625" style="326" customWidth="1"/>
    <col min="10026" max="10027" width="9" style="326"/>
    <col min="10028" max="10028" width="14.125" style="326" customWidth="1"/>
    <col min="10029" max="10029" width="11" style="326" customWidth="1"/>
    <col min="10030" max="10030" width="10.75" style="326" bestFit="1" customWidth="1"/>
    <col min="10031" max="10031" width="13.5" style="326" customWidth="1"/>
    <col min="10032" max="10033" width="9" style="326"/>
    <col min="10034" max="10034" width="10.75" style="326" bestFit="1" customWidth="1"/>
    <col min="10035" max="10035" width="14" style="326" customWidth="1"/>
    <col min="10036" max="10036" width="9" style="326"/>
    <col min="10037" max="10037" width="10.75" style="326" customWidth="1"/>
    <col min="10038" max="10038" width="12.75" style="326" customWidth="1"/>
    <col min="10039" max="10039" width="9" style="326"/>
    <col min="10040" max="10040" width="10.75" style="326" bestFit="1" customWidth="1"/>
    <col min="10041" max="10041" width="11.5" style="326" customWidth="1"/>
    <col min="10042" max="10042" width="13.625" style="326" customWidth="1"/>
    <col min="10043" max="10043" width="10.625" style="326" customWidth="1"/>
    <col min="10044" max="10044" width="10.75" style="326" bestFit="1" customWidth="1"/>
    <col min="10045" max="10045" width="12.375" style="326" customWidth="1"/>
    <col min="10046" max="10048" width="9" style="326"/>
    <col min="10049" max="10049" width="15.75" style="326" customWidth="1"/>
    <col min="10050" max="10050" width="9" style="326"/>
    <col min="10051" max="10051" width="10.75" style="326" bestFit="1" customWidth="1"/>
    <col min="10052" max="10052" width="12.625" style="326" customWidth="1"/>
    <col min="10053" max="10055" width="9" style="326"/>
    <col min="10056" max="10056" width="13.625" style="326" customWidth="1"/>
    <col min="10057" max="10057" width="9" style="326"/>
    <col min="10058" max="10058" width="10.75" style="326" bestFit="1" customWidth="1"/>
    <col min="10059" max="10059" width="12.5" style="326" customWidth="1"/>
    <col min="10060" max="10062" width="9" style="326"/>
    <col min="10063" max="10063" width="12.875" style="326" customWidth="1"/>
    <col min="10064" max="10064" width="9" style="326"/>
    <col min="10065" max="10065" width="10.75" style="326" bestFit="1" customWidth="1"/>
    <col min="10066" max="10066" width="13.875" style="326" customWidth="1"/>
    <col min="10067" max="10069" width="9" style="326"/>
    <col min="10070" max="10070" width="14.125" style="326" customWidth="1"/>
    <col min="10071" max="10071" width="9" style="326"/>
    <col min="10072" max="10072" width="10.75" style="326" bestFit="1" customWidth="1"/>
    <col min="10073" max="10073" width="13.25" style="326" customWidth="1"/>
    <col min="10074" max="10076" width="9" style="326"/>
    <col min="10077" max="10077" width="13.25" style="326" customWidth="1"/>
    <col min="10078" max="10078" width="9" style="326"/>
    <col min="10079" max="10079" width="10.75" style="326" bestFit="1" customWidth="1"/>
    <col min="10080" max="10080" width="13.875" style="326" customWidth="1"/>
    <col min="10081" max="10083" width="9" style="326"/>
    <col min="10084" max="10084" width="13.625" style="326" customWidth="1"/>
    <col min="10085" max="10085" width="9" style="326"/>
    <col min="10086" max="10086" width="10.75" style="326" bestFit="1" customWidth="1"/>
    <col min="10087" max="10087" width="13" style="326" customWidth="1"/>
    <col min="10088" max="10234" width="9" style="326"/>
    <col min="10235" max="10236" width="12.125" style="326" customWidth="1"/>
    <col min="10237" max="10239" width="13" style="326" customWidth="1"/>
    <col min="10240" max="10240" width="12.875" style="326" customWidth="1"/>
    <col min="10241" max="10241" width="13" style="326" customWidth="1"/>
    <col min="10242" max="10242" width="13.125" style="326" customWidth="1"/>
    <col min="10243" max="10244" width="12.125" style="326" customWidth="1"/>
    <col min="10245" max="10245" width="14.375" style="326" bestFit="1" customWidth="1"/>
    <col min="10246" max="10246" width="11" style="326" customWidth="1"/>
    <col min="10247" max="10247" width="10" style="326" customWidth="1"/>
    <col min="10248" max="10248" width="10.875" style="326" customWidth="1"/>
    <col min="10249" max="10249" width="13.75" style="326" customWidth="1"/>
    <col min="10250" max="10250" width="10" style="326" customWidth="1"/>
    <col min="10251" max="10251" width="13.25" style="326" customWidth="1"/>
    <col min="10252" max="10252" width="14.375" style="326" customWidth="1"/>
    <col min="10253" max="10253" width="10" style="326" customWidth="1"/>
    <col min="10254" max="10254" width="10.875" style="326" customWidth="1"/>
    <col min="10255" max="10255" width="11.375" style="326" customWidth="1"/>
    <col min="10256" max="10256" width="15.375" style="326" customWidth="1"/>
    <col min="10257" max="10258" width="10.75" style="326" customWidth="1"/>
    <col min="10259" max="10259" width="14.375" style="326" customWidth="1"/>
    <col min="10260" max="10260" width="10.75" style="326" customWidth="1"/>
    <col min="10261" max="10261" width="11.75" style="326" customWidth="1"/>
    <col min="10262" max="10262" width="10" style="326" customWidth="1"/>
    <col min="10263" max="10263" width="15.375" style="326" customWidth="1"/>
    <col min="10264" max="10264" width="10" style="326" customWidth="1"/>
    <col min="10265" max="10265" width="10.75" style="326" customWidth="1"/>
    <col min="10266" max="10266" width="14.875" style="326" customWidth="1"/>
    <col min="10267" max="10267" width="11.5" style="326" customWidth="1"/>
    <col min="10268" max="10268" width="10" style="326" customWidth="1"/>
    <col min="10269" max="10269" width="10.75" style="326" customWidth="1"/>
    <col min="10270" max="10270" width="13.5" style="326" customWidth="1"/>
    <col min="10271" max="10271" width="9" style="326"/>
    <col min="10272" max="10272" width="10.75" style="326" bestFit="1" customWidth="1"/>
    <col min="10273" max="10273" width="13.75" style="326" customWidth="1"/>
    <col min="10274" max="10274" width="9" style="326"/>
    <col min="10275" max="10275" width="10.625" style="326" customWidth="1"/>
    <col min="10276" max="10276" width="9" style="326"/>
    <col min="10277" max="10277" width="14.25" style="326" customWidth="1"/>
    <col min="10278" max="10278" width="10.75" style="326" bestFit="1" customWidth="1"/>
    <col min="10279" max="10279" width="11.625" style="326" customWidth="1"/>
    <col min="10280" max="10280" width="13.75" style="326" customWidth="1"/>
    <col min="10281" max="10281" width="10.625" style="326" customWidth="1"/>
    <col min="10282" max="10283" width="9" style="326"/>
    <col min="10284" max="10284" width="14.125" style="326" customWidth="1"/>
    <col min="10285" max="10285" width="11" style="326" customWidth="1"/>
    <col min="10286" max="10286" width="10.75" style="326" bestFit="1" customWidth="1"/>
    <col min="10287" max="10287" width="13.5" style="326" customWidth="1"/>
    <col min="10288" max="10289" width="9" style="326"/>
    <col min="10290" max="10290" width="10.75" style="326" bestFit="1" customWidth="1"/>
    <col min="10291" max="10291" width="14" style="326" customWidth="1"/>
    <col min="10292" max="10292" width="9" style="326"/>
    <col min="10293" max="10293" width="10.75" style="326" customWidth="1"/>
    <col min="10294" max="10294" width="12.75" style="326" customWidth="1"/>
    <col min="10295" max="10295" width="9" style="326"/>
    <col min="10296" max="10296" width="10.75" style="326" bestFit="1" customWidth="1"/>
    <col min="10297" max="10297" width="11.5" style="326" customWidth="1"/>
    <col min="10298" max="10298" width="13.625" style="326" customWidth="1"/>
    <col min="10299" max="10299" width="10.625" style="326" customWidth="1"/>
    <col min="10300" max="10300" width="10.75" style="326" bestFit="1" customWidth="1"/>
    <col min="10301" max="10301" width="12.375" style="326" customWidth="1"/>
    <col min="10302" max="10304" width="9" style="326"/>
    <col min="10305" max="10305" width="15.75" style="326" customWidth="1"/>
    <col min="10306" max="10306" width="9" style="326"/>
    <col min="10307" max="10307" width="10.75" style="326" bestFit="1" customWidth="1"/>
    <col min="10308" max="10308" width="12.625" style="326" customWidth="1"/>
    <col min="10309" max="10311" width="9" style="326"/>
    <col min="10312" max="10312" width="13.625" style="326" customWidth="1"/>
    <col min="10313" max="10313" width="9" style="326"/>
    <col min="10314" max="10314" width="10.75" style="326" bestFit="1" customWidth="1"/>
    <col min="10315" max="10315" width="12.5" style="326" customWidth="1"/>
    <col min="10316" max="10318" width="9" style="326"/>
    <col min="10319" max="10319" width="12.875" style="326" customWidth="1"/>
    <col min="10320" max="10320" width="9" style="326"/>
    <col min="10321" max="10321" width="10.75" style="326" bestFit="1" customWidth="1"/>
    <col min="10322" max="10322" width="13.875" style="326" customWidth="1"/>
    <col min="10323" max="10325" width="9" style="326"/>
    <col min="10326" max="10326" width="14.125" style="326" customWidth="1"/>
    <col min="10327" max="10327" width="9" style="326"/>
    <col min="10328" max="10328" width="10.75" style="326" bestFit="1" customWidth="1"/>
    <col min="10329" max="10329" width="13.25" style="326" customWidth="1"/>
    <col min="10330" max="10332" width="9" style="326"/>
    <col min="10333" max="10333" width="13.25" style="326" customWidth="1"/>
    <col min="10334" max="10334" width="9" style="326"/>
    <col min="10335" max="10335" width="10.75" style="326" bestFit="1" customWidth="1"/>
    <col min="10336" max="10336" width="13.875" style="326" customWidth="1"/>
    <col min="10337" max="10339" width="9" style="326"/>
    <col min="10340" max="10340" width="13.625" style="326" customWidth="1"/>
    <col min="10341" max="10341" width="9" style="326"/>
    <col min="10342" max="10342" width="10.75" style="326" bestFit="1" customWidth="1"/>
    <col min="10343" max="10343" width="13" style="326" customWidth="1"/>
    <col min="10344" max="10490" width="9" style="326"/>
    <col min="10491" max="10492" width="12.125" style="326" customWidth="1"/>
    <col min="10493" max="10495" width="13" style="326" customWidth="1"/>
    <col min="10496" max="10496" width="12.875" style="326" customWidth="1"/>
    <col min="10497" max="10497" width="13" style="326" customWidth="1"/>
    <col min="10498" max="10498" width="13.125" style="326" customWidth="1"/>
    <col min="10499" max="10500" width="12.125" style="326" customWidth="1"/>
    <col min="10501" max="10501" width="14.375" style="326" bestFit="1" customWidth="1"/>
    <col min="10502" max="10502" width="11" style="326" customWidth="1"/>
    <col min="10503" max="10503" width="10" style="326" customWidth="1"/>
    <col min="10504" max="10504" width="10.875" style="326" customWidth="1"/>
    <col min="10505" max="10505" width="13.75" style="326" customWidth="1"/>
    <col min="10506" max="10506" width="10" style="326" customWidth="1"/>
    <col min="10507" max="10507" width="13.25" style="326" customWidth="1"/>
    <col min="10508" max="10508" width="14.375" style="326" customWidth="1"/>
    <col min="10509" max="10509" width="10" style="326" customWidth="1"/>
    <col min="10510" max="10510" width="10.875" style="326" customWidth="1"/>
    <col min="10511" max="10511" width="11.375" style="326" customWidth="1"/>
    <col min="10512" max="10512" width="15.375" style="326" customWidth="1"/>
    <col min="10513" max="10514" width="10.75" style="326" customWidth="1"/>
    <col min="10515" max="10515" width="14.375" style="326" customWidth="1"/>
    <col min="10516" max="10516" width="10.75" style="326" customWidth="1"/>
    <col min="10517" max="10517" width="11.75" style="326" customWidth="1"/>
    <col min="10518" max="10518" width="10" style="326" customWidth="1"/>
    <col min="10519" max="10519" width="15.375" style="326" customWidth="1"/>
    <col min="10520" max="10520" width="10" style="326" customWidth="1"/>
    <col min="10521" max="10521" width="10.75" style="326" customWidth="1"/>
    <col min="10522" max="10522" width="14.875" style="326" customWidth="1"/>
    <col min="10523" max="10523" width="11.5" style="326" customWidth="1"/>
    <col min="10524" max="10524" width="10" style="326" customWidth="1"/>
    <col min="10525" max="10525" width="10.75" style="326" customWidth="1"/>
    <col min="10526" max="10526" width="13.5" style="326" customWidth="1"/>
    <col min="10527" max="10527" width="9" style="326"/>
    <col min="10528" max="10528" width="10.75" style="326" bestFit="1" customWidth="1"/>
    <col min="10529" max="10529" width="13.75" style="326" customWidth="1"/>
    <col min="10530" max="10530" width="9" style="326"/>
    <col min="10531" max="10531" width="10.625" style="326" customWidth="1"/>
    <col min="10532" max="10532" width="9" style="326"/>
    <col min="10533" max="10533" width="14.25" style="326" customWidth="1"/>
    <col min="10534" max="10534" width="10.75" style="326" bestFit="1" customWidth="1"/>
    <col min="10535" max="10535" width="11.625" style="326" customWidth="1"/>
    <col min="10536" max="10536" width="13.75" style="326" customWidth="1"/>
    <col min="10537" max="10537" width="10.625" style="326" customWidth="1"/>
    <col min="10538" max="10539" width="9" style="326"/>
    <col min="10540" max="10540" width="14.125" style="326" customWidth="1"/>
    <col min="10541" max="10541" width="11" style="326" customWidth="1"/>
    <col min="10542" max="10542" width="10.75" style="326" bestFit="1" customWidth="1"/>
    <col min="10543" max="10543" width="13.5" style="326" customWidth="1"/>
    <col min="10544" max="10545" width="9" style="326"/>
    <col min="10546" max="10546" width="10.75" style="326" bestFit="1" customWidth="1"/>
    <col min="10547" max="10547" width="14" style="326" customWidth="1"/>
    <col min="10548" max="10548" width="9" style="326"/>
    <col min="10549" max="10549" width="10.75" style="326" customWidth="1"/>
    <col min="10550" max="10550" width="12.75" style="326" customWidth="1"/>
    <col min="10551" max="10551" width="9" style="326"/>
    <col min="10552" max="10552" width="10.75" style="326" bestFit="1" customWidth="1"/>
    <col min="10553" max="10553" width="11.5" style="326" customWidth="1"/>
    <col min="10554" max="10554" width="13.625" style="326" customWidth="1"/>
    <col min="10555" max="10555" width="10.625" style="326" customWidth="1"/>
    <col min="10556" max="10556" width="10.75" style="326" bestFit="1" customWidth="1"/>
    <col min="10557" max="10557" width="12.375" style="326" customWidth="1"/>
    <col min="10558" max="10560" width="9" style="326"/>
    <col min="10561" max="10561" width="15.75" style="326" customWidth="1"/>
    <col min="10562" max="10562" width="9" style="326"/>
    <col min="10563" max="10563" width="10.75" style="326" bestFit="1" customWidth="1"/>
    <col min="10564" max="10564" width="12.625" style="326" customWidth="1"/>
    <col min="10565" max="10567" width="9" style="326"/>
    <col min="10568" max="10568" width="13.625" style="326" customWidth="1"/>
    <col min="10569" max="10569" width="9" style="326"/>
    <col min="10570" max="10570" width="10.75" style="326" bestFit="1" customWidth="1"/>
    <col min="10571" max="10571" width="12.5" style="326" customWidth="1"/>
    <col min="10572" max="10574" width="9" style="326"/>
    <col min="10575" max="10575" width="12.875" style="326" customWidth="1"/>
    <col min="10576" max="10576" width="9" style="326"/>
    <col min="10577" max="10577" width="10.75" style="326" bestFit="1" customWidth="1"/>
    <col min="10578" max="10578" width="13.875" style="326" customWidth="1"/>
    <col min="10579" max="10581" width="9" style="326"/>
    <col min="10582" max="10582" width="14.125" style="326" customWidth="1"/>
    <col min="10583" max="10583" width="9" style="326"/>
    <col min="10584" max="10584" width="10.75" style="326" bestFit="1" customWidth="1"/>
    <col min="10585" max="10585" width="13.25" style="326" customWidth="1"/>
    <col min="10586" max="10588" width="9" style="326"/>
    <col min="10589" max="10589" width="13.25" style="326" customWidth="1"/>
    <col min="10590" max="10590" width="9" style="326"/>
    <col min="10591" max="10591" width="10.75" style="326" bestFit="1" customWidth="1"/>
    <col min="10592" max="10592" width="13.875" style="326" customWidth="1"/>
    <col min="10593" max="10595" width="9" style="326"/>
    <col min="10596" max="10596" width="13.625" style="326" customWidth="1"/>
    <col min="10597" max="10597" width="9" style="326"/>
    <col min="10598" max="10598" width="10.75" style="326" bestFit="1" customWidth="1"/>
    <col min="10599" max="10599" width="13" style="326" customWidth="1"/>
    <col min="10600" max="10746" width="9" style="326"/>
    <col min="10747" max="10748" width="12.125" style="326" customWidth="1"/>
    <col min="10749" max="10751" width="13" style="326" customWidth="1"/>
    <col min="10752" max="10752" width="12.875" style="326" customWidth="1"/>
    <col min="10753" max="10753" width="13" style="326" customWidth="1"/>
    <col min="10754" max="10754" width="13.125" style="326" customWidth="1"/>
    <col min="10755" max="10756" width="12.125" style="326" customWidth="1"/>
    <col min="10757" max="10757" width="14.375" style="326" bestFit="1" customWidth="1"/>
    <col min="10758" max="10758" width="11" style="326" customWidth="1"/>
    <col min="10759" max="10759" width="10" style="326" customWidth="1"/>
    <col min="10760" max="10760" width="10.875" style="326" customWidth="1"/>
    <col min="10761" max="10761" width="13.75" style="326" customWidth="1"/>
    <col min="10762" max="10762" width="10" style="326" customWidth="1"/>
    <col min="10763" max="10763" width="13.25" style="326" customWidth="1"/>
    <col min="10764" max="10764" width="14.375" style="326" customWidth="1"/>
    <col min="10765" max="10765" width="10" style="326" customWidth="1"/>
    <col min="10766" max="10766" width="10.875" style="326" customWidth="1"/>
    <col min="10767" max="10767" width="11.375" style="326" customWidth="1"/>
    <col min="10768" max="10768" width="15.375" style="326" customWidth="1"/>
    <col min="10769" max="10770" width="10.75" style="326" customWidth="1"/>
    <col min="10771" max="10771" width="14.375" style="326" customWidth="1"/>
    <col min="10772" max="10772" width="10.75" style="326" customWidth="1"/>
    <col min="10773" max="10773" width="11.75" style="326" customWidth="1"/>
    <col min="10774" max="10774" width="10" style="326" customWidth="1"/>
    <col min="10775" max="10775" width="15.375" style="326" customWidth="1"/>
    <col min="10776" max="10776" width="10" style="326" customWidth="1"/>
    <col min="10777" max="10777" width="10.75" style="326" customWidth="1"/>
    <col min="10778" max="10778" width="14.875" style="326" customWidth="1"/>
    <col min="10779" max="10779" width="11.5" style="326" customWidth="1"/>
    <col min="10780" max="10780" width="10" style="326" customWidth="1"/>
    <col min="10781" max="10781" width="10.75" style="326" customWidth="1"/>
    <col min="10782" max="10782" width="13.5" style="326" customWidth="1"/>
    <col min="10783" max="10783" width="9" style="326"/>
    <col min="10784" max="10784" width="10.75" style="326" bestFit="1" customWidth="1"/>
    <col min="10785" max="10785" width="13.75" style="326" customWidth="1"/>
    <col min="10786" max="10786" width="9" style="326"/>
    <col min="10787" max="10787" width="10.625" style="326" customWidth="1"/>
    <col min="10788" max="10788" width="9" style="326"/>
    <col min="10789" max="10789" width="14.25" style="326" customWidth="1"/>
    <col min="10790" max="10790" width="10.75" style="326" bestFit="1" customWidth="1"/>
    <col min="10791" max="10791" width="11.625" style="326" customWidth="1"/>
    <col min="10792" max="10792" width="13.75" style="326" customWidth="1"/>
    <col min="10793" max="10793" width="10.625" style="326" customWidth="1"/>
    <col min="10794" max="10795" width="9" style="326"/>
    <col min="10796" max="10796" width="14.125" style="326" customWidth="1"/>
    <col min="10797" max="10797" width="11" style="326" customWidth="1"/>
    <col min="10798" max="10798" width="10.75" style="326" bestFit="1" customWidth="1"/>
    <col min="10799" max="10799" width="13.5" style="326" customWidth="1"/>
    <col min="10800" max="10801" width="9" style="326"/>
    <col min="10802" max="10802" width="10.75" style="326" bestFit="1" customWidth="1"/>
    <col min="10803" max="10803" width="14" style="326" customWidth="1"/>
    <col min="10804" max="10804" width="9" style="326"/>
    <col min="10805" max="10805" width="10.75" style="326" customWidth="1"/>
    <col min="10806" max="10806" width="12.75" style="326" customWidth="1"/>
    <col min="10807" max="10807" width="9" style="326"/>
    <col min="10808" max="10808" width="10.75" style="326" bestFit="1" customWidth="1"/>
    <col min="10809" max="10809" width="11.5" style="326" customWidth="1"/>
    <col min="10810" max="10810" width="13.625" style="326" customWidth="1"/>
    <col min="10811" max="10811" width="10.625" style="326" customWidth="1"/>
    <col min="10812" max="10812" width="10.75" style="326" bestFit="1" customWidth="1"/>
    <col min="10813" max="10813" width="12.375" style="326" customWidth="1"/>
    <col min="10814" max="10816" width="9" style="326"/>
    <col min="10817" max="10817" width="15.75" style="326" customWidth="1"/>
    <col min="10818" max="10818" width="9" style="326"/>
    <col min="10819" max="10819" width="10.75" style="326" bestFit="1" customWidth="1"/>
    <col min="10820" max="10820" width="12.625" style="326" customWidth="1"/>
    <col min="10821" max="10823" width="9" style="326"/>
    <col min="10824" max="10824" width="13.625" style="326" customWidth="1"/>
    <col min="10825" max="10825" width="9" style="326"/>
    <col min="10826" max="10826" width="10.75" style="326" bestFit="1" customWidth="1"/>
    <col min="10827" max="10827" width="12.5" style="326" customWidth="1"/>
    <col min="10828" max="10830" width="9" style="326"/>
    <col min="10831" max="10831" width="12.875" style="326" customWidth="1"/>
    <col min="10832" max="10832" width="9" style="326"/>
    <col min="10833" max="10833" width="10.75" style="326" bestFit="1" customWidth="1"/>
    <col min="10834" max="10834" width="13.875" style="326" customWidth="1"/>
    <col min="10835" max="10837" width="9" style="326"/>
    <col min="10838" max="10838" width="14.125" style="326" customWidth="1"/>
    <col min="10839" max="10839" width="9" style="326"/>
    <col min="10840" max="10840" width="10.75" style="326" bestFit="1" customWidth="1"/>
    <col min="10841" max="10841" width="13.25" style="326" customWidth="1"/>
    <col min="10842" max="10844" width="9" style="326"/>
    <col min="10845" max="10845" width="13.25" style="326" customWidth="1"/>
    <col min="10846" max="10846" width="9" style="326"/>
    <col min="10847" max="10847" width="10.75" style="326" bestFit="1" customWidth="1"/>
    <col min="10848" max="10848" width="13.875" style="326" customWidth="1"/>
    <col min="10849" max="10851" width="9" style="326"/>
    <col min="10852" max="10852" width="13.625" style="326" customWidth="1"/>
    <col min="10853" max="10853" width="9" style="326"/>
    <col min="10854" max="10854" width="10.75" style="326" bestFit="1" customWidth="1"/>
    <col min="10855" max="10855" width="13" style="326" customWidth="1"/>
    <col min="10856" max="11002" width="9" style="326"/>
    <col min="11003" max="11004" width="12.125" style="326" customWidth="1"/>
    <col min="11005" max="11007" width="13" style="326" customWidth="1"/>
    <col min="11008" max="11008" width="12.875" style="326" customWidth="1"/>
    <col min="11009" max="11009" width="13" style="326" customWidth="1"/>
    <col min="11010" max="11010" width="13.125" style="326" customWidth="1"/>
    <col min="11011" max="11012" width="12.125" style="326" customWidth="1"/>
    <col min="11013" max="11013" width="14.375" style="326" bestFit="1" customWidth="1"/>
    <col min="11014" max="11014" width="11" style="326" customWidth="1"/>
    <col min="11015" max="11015" width="10" style="326" customWidth="1"/>
    <col min="11016" max="11016" width="10.875" style="326" customWidth="1"/>
    <col min="11017" max="11017" width="13.75" style="326" customWidth="1"/>
    <col min="11018" max="11018" width="10" style="326" customWidth="1"/>
    <col min="11019" max="11019" width="13.25" style="326" customWidth="1"/>
    <col min="11020" max="11020" width="14.375" style="326" customWidth="1"/>
    <col min="11021" max="11021" width="10" style="326" customWidth="1"/>
    <col min="11022" max="11022" width="10.875" style="326" customWidth="1"/>
    <col min="11023" max="11023" width="11.375" style="326" customWidth="1"/>
    <col min="11024" max="11024" width="15.375" style="326" customWidth="1"/>
    <col min="11025" max="11026" width="10.75" style="326" customWidth="1"/>
    <col min="11027" max="11027" width="14.375" style="326" customWidth="1"/>
    <col min="11028" max="11028" width="10.75" style="326" customWidth="1"/>
    <col min="11029" max="11029" width="11.75" style="326" customWidth="1"/>
    <col min="11030" max="11030" width="10" style="326" customWidth="1"/>
    <col min="11031" max="11031" width="15.375" style="326" customWidth="1"/>
    <col min="11032" max="11032" width="10" style="326" customWidth="1"/>
    <col min="11033" max="11033" width="10.75" style="326" customWidth="1"/>
    <col min="11034" max="11034" width="14.875" style="326" customWidth="1"/>
    <col min="11035" max="11035" width="11.5" style="326" customWidth="1"/>
    <col min="11036" max="11036" width="10" style="326" customWidth="1"/>
    <col min="11037" max="11037" width="10.75" style="326" customWidth="1"/>
    <col min="11038" max="11038" width="13.5" style="326" customWidth="1"/>
    <col min="11039" max="11039" width="9" style="326"/>
    <col min="11040" max="11040" width="10.75" style="326" bestFit="1" customWidth="1"/>
    <col min="11041" max="11041" width="13.75" style="326" customWidth="1"/>
    <col min="11042" max="11042" width="9" style="326"/>
    <col min="11043" max="11043" width="10.625" style="326" customWidth="1"/>
    <col min="11044" max="11044" width="9" style="326"/>
    <col min="11045" max="11045" width="14.25" style="326" customWidth="1"/>
    <col min="11046" max="11046" width="10.75" style="326" bestFit="1" customWidth="1"/>
    <col min="11047" max="11047" width="11.625" style="326" customWidth="1"/>
    <col min="11048" max="11048" width="13.75" style="326" customWidth="1"/>
    <col min="11049" max="11049" width="10.625" style="326" customWidth="1"/>
    <col min="11050" max="11051" width="9" style="326"/>
    <col min="11052" max="11052" width="14.125" style="326" customWidth="1"/>
    <col min="11053" max="11053" width="11" style="326" customWidth="1"/>
    <col min="11054" max="11054" width="10.75" style="326" bestFit="1" customWidth="1"/>
    <col min="11055" max="11055" width="13.5" style="326" customWidth="1"/>
    <col min="11056" max="11057" width="9" style="326"/>
    <col min="11058" max="11058" width="10.75" style="326" bestFit="1" customWidth="1"/>
    <col min="11059" max="11059" width="14" style="326" customWidth="1"/>
    <col min="11060" max="11060" width="9" style="326"/>
    <col min="11061" max="11061" width="10.75" style="326" customWidth="1"/>
    <col min="11062" max="11062" width="12.75" style="326" customWidth="1"/>
    <col min="11063" max="11063" width="9" style="326"/>
    <col min="11064" max="11064" width="10.75" style="326" bestFit="1" customWidth="1"/>
    <col min="11065" max="11065" width="11.5" style="326" customWidth="1"/>
    <col min="11066" max="11066" width="13.625" style="326" customWidth="1"/>
    <col min="11067" max="11067" width="10.625" style="326" customWidth="1"/>
    <col min="11068" max="11068" width="10.75" style="326" bestFit="1" customWidth="1"/>
    <col min="11069" max="11069" width="12.375" style="326" customWidth="1"/>
    <col min="11070" max="11072" width="9" style="326"/>
    <col min="11073" max="11073" width="15.75" style="326" customWidth="1"/>
    <col min="11074" max="11074" width="9" style="326"/>
    <col min="11075" max="11075" width="10.75" style="326" bestFit="1" customWidth="1"/>
    <col min="11076" max="11076" width="12.625" style="326" customWidth="1"/>
    <col min="11077" max="11079" width="9" style="326"/>
    <col min="11080" max="11080" width="13.625" style="326" customWidth="1"/>
    <col min="11081" max="11081" width="9" style="326"/>
    <col min="11082" max="11082" width="10.75" style="326" bestFit="1" customWidth="1"/>
    <col min="11083" max="11083" width="12.5" style="326" customWidth="1"/>
    <col min="11084" max="11086" width="9" style="326"/>
    <col min="11087" max="11087" width="12.875" style="326" customWidth="1"/>
    <col min="11088" max="11088" width="9" style="326"/>
    <col min="11089" max="11089" width="10.75" style="326" bestFit="1" customWidth="1"/>
    <col min="11090" max="11090" width="13.875" style="326" customWidth="1"/>
    <col min="11091" max="11093" width="9" style="326"/>
    <col min="11094" max="11094" width="14.125" style="326" customWidth="1"/>
    <col min="11095" max="11095" width="9" style="326"/>
    <col min="11096" max="11096" width="10.75" style="326" bestFit="1" customWidth="1"/>
    <col min="11097" max="11097" width="13.25" style="326" customWidth="1"/>
    <col min="11098" max="11100" width="9" style="326"/>
    <col min="11101" max="11101" width="13.25" style="326" customWidth="1"/>
    <col min="11102" max="11102" width="9" style="326"/>
    <col min="11103" max="11103" width="10.75" style="326" bestFit="1" customWidth="1"/>
    <col min="11104" max="11104" width="13.875" style="326" customWidth="1"/>
    <col min="11105" max="11107" width="9" style="326"/>
    <col min="11108" max="11108" width="13.625" style="326" customWidth="1"/>
    <col min="11109" max="11109" width="9" style="326"/>
    <col min="11110" max="11110" width="10.75" style="326" bestFit="1" customWidth="1"/>
    <col min="11111" max="11111" width="13" style="326" customWidth="1"/>
    <col min="11112" max="11258" width="9" style="326"/>
    <col min="11259" max="11260" width="12.125" style="326" customWidth="1"/>
    <col min="11261" max="11263" width="13" style="326" customWidth="1"/>
    <col min="11264" max="11264" width="12.875" style="326" customWidth="1"/>
    <col min="11265" max="11265" width="13" style="326" customWidth="1"/>
    <col min="11266" max="11266" width="13.125" style="326" customWidth="1"/>
    <col min="11267" max="11268" width="12.125" style="326" customWidth="1"/>
    <col min="11269" max="11269" width="14.375" style="326" bestFit="1" customWidth="1"/>
    <col min="11270" max="11270" width="11" style="326" customWidth="1"/>
    <col min="11271" max="11271" width="10" style="326" customWidth="1"/>
    <col min="11272" max="11272" width="10.875" style="326" customWidth="1"/>
    <col min="11273" max="11273" width="13.75" style="326" customWidth="1"/>
    <col min="11274" max="11274" width="10" style="326" customWidth="1"/>
    <col min="11275" max="11275" width="13.25" style="326" customWidth="1"/>
    <col min="11276" max="11276" width="14.375" style="326" customWidth="1"/>
    <col min="11277" max="11277" width="10" style="326" customWidth="1"/>
    <col min="11278" max="11278" width="10.875" style="326" customWidth="1"/>
    <col min="11279" max="11279" width="11.375" style="326" customWidth="1"/>
    <col min="11280" max="11280" width="15.375" style="326" customWidth="1"/>
    <col min="11281" max="11282" width="10.75" style="326" customWidth="1"/>
    <col min="11283" max="11283" width="14.375" style="326" customWidth="1"/>
    <col min="11284" max="11284" width="10.75" style="326" customWidth="1"/>
    <col min="11285" max="11285" width="11.75" style="326" customWidth="1"/>
    <col min="11286" max="11286" width="10" style="326" customWidth="1"/>
    <col min="11287" max="11287" width="15.375" style="326" customWidth="1"/>
    <col min="11288" max="11288" width="10" style="326" customWidth="1"/>
    <col min="11289" max="11289" width="10.75" style="326" customWidth="1"/>
    <col min="11290" max="11290" width="14.875" style="326" customWidth="1"/>
    <col min="11291" max="11291" width="11.5" style="326" customWidth="1"/>
    <col min="11292" max="11292" width="10" style="326" customWidth="1"/>
    <col min="11293" max="11293" width="10.75" style="326" customWidth="1"/>
    <col min="11294" max="11294" width="13.5" style="326" customWidth="1"/>
    <col min="11295" max="11295" width="9" style="326"/>
    <col min="11296" max="11296" width="10.75" style="326" bestFit="1" customWidth="1"/>
    <col min="11297" max="11297" width="13.75" style="326" customWidth="1"/>
    <col min="11298" max="11298" width="9" style="326"/>
    <col min="11299" max="11299" width="10.625" style="326" customWidth="1"/>
    <col min="11300" max="11300" width="9" style="326"/>
    <col min="11301" max="11301" width="14.25" style="326" customWidth="1"/>
    <col min="11302" max="11302" width="10.75" style="326" bestFit="1" customWidth="1"/>
    <col min="11303" max="11303" width="11.625" style="326" customWidth="1"/>
    <col min="11304" max="11304" width="13.75" style="326" customWidth="1"/>
    <col min="11305" max="11305" width="10.625" style="326" customWidth="1"/>
    <col min="11306" max="11307" width="9" style="326"/>
    <col min="11308" max="11308" width="14.125" style="326" customWidth="1"/>
    <col min="11309" max="11309" width="11" style="326" customWidth="1"/>
    <col min="11310" max="11310" width="10.75" style="326" bestFit="1" customWidth="1"/>
    <col min="11311" max="11311" width="13.5" style="326" customWidth="1"/>
    <col min="11312" max="11313" width="9" style="326"/>
    <col min="11314" max="11314" width="10.75" style="326" bestFit="1" customWidth="1"/>
    <col min="11315" max="11315" width="14" style="326" customWidth="1"/>
    <col min="11316" max="11316" width="9" style="326"/>
    <col min="11317" max="11317" width="10.75" style="326" customWidth="1"/>
    <col min="11318" max="11318" width="12.75" style="326" customWidth="1"/>
    <col min="11319" max="11319" width="9" style="326"/>
    <col min="11320" max="11320" width="10.75" style="326" bestFit="1" customWidth="1"/>
    <col min="11321" max="11321" width="11.5" style="326" customWidth="1"/>
    <col min="11322" max="11322" width="13.625" style="326" customWidth="1"/>
    <col min="11323" max="11323" width="10.625" style="326" customWidth="1"/>
    <col min="11324" max="11324" width="10.75" style="326" bestFit="1" customWidth="1"/>
    <col min="11325" max="11325" width="12.375" style="326" customWidth="1"/>
    <col min="11326" max="11328" width="9" style="326"/>
    <col min="11329" max="11329" width="15.75" style="326" customWidth="1"/>
    <col min="11330" max="11330" width="9" style="326"/>
    <col min="11331" max="11331" width="10.75" style="326" bestFit="1" customWidth="1"/>
    <col min="11332" max="11332" width="12.625" style="326" customWidth="1"/>
    <col min="11333" max="11335" width="9" style="326"/>
    <col min="11336" max="11336" width="13.625" style="326" customWidth="1"/>
    <col min="11337" max="11337" width="9" style="326"/>
    <col min="11338" max="11338" width="10.75" style="326" bestFit="1" customWidth="1"/>
    <col min="11339" max="11339" width="12.5" style="326" customWidth="1"/>
    <col min="11340" max="11342" width="9" style="326"/>
    <col min="11343" max="11343" width="12.875" style="326" customWidth="1"/>
    <col min="11344" max="11344" width="9" style="326"/>
    <col min="11345" max="11345" width="10.75" style="326" bestFit="1" customWidth="1"/>
    <col min="11346" max="11346" width="13.875" style="326" customWidth="1"/>
    <col min="11347" max="11349" width="9" style="326"/>
    <col min="11350" max="11350" width="14.125" style="326" customWidth="1"/>
    <col min="11351" max="11351" width="9" style="326"/>
    <col min="11352" max="11352" width="10.75" style="326" bestFit="1" customWidth="1"/>
    <col min="11353" max="11353" width="13.25" style="326" customWidth="1"/>
    <col min="11354" max="11356" width="9" style="326"/>
    <col min="11357" max="11357" width="13.25" style="326" customWidth="1"/>
    <col min="11358" max="11358" width="9" style="326"/>
    <col min="11359" max="11359" width="10.75" style="326" bestFit="1" customWidth="1"/>
    <col min="11360" max="11360" width="13.875" style="326" customWidth="1"/>
    <col min="11361" max="11363" width="9" style="326"/>
    <col min="11364" max="11364" width="13.625" style="326" customWidth="1"/>
    <col min="11365" max="11365" width="9" style="326"/>
    <col min="11366" max="11366" width="10.75" style="326" bestFit="1" customWidth="1"/>
    <col min="11367" max="11367" width="13" style="326" customWidth="1"/>
    <col min="11368" max="11514" width="9" style="326"/>
    <col min="11515" max="11516" width="12.125" style="326" customWidth="1"/>
    <col min="11517" max="11519" width="13" style="326" customWidth="1"/>
    <col min="11520" max="11520" width="12.875" style="326" customWidth="1"/>
    <col min="11521" max="11521" width="13" style="326" customWidth="1"/>
    <col min="11522" max="11522" width="13.125" style="326" customWidth="1"/>
    <col min="11523" max="11524" width="12.125" style="326" customWidth="1"/>
    <col min="11525" max="11525" width="14.375" style="326" bestFit="1" customWidth="1"/>
    <col min="11526" max="11526" width="11" style="326" customWidth="1"/>
    <col min="11527" max="11527" width="10" style="326" customWidth="1"/>
    <col min="11528" max="11528" width="10.875" style="326" customWidth="1"/>
    <col min="11529" max="11529" width="13.75" style="326" customWidth="1"/>
    <col min="11530" max="11530" width="10" style="326" customWidth="1"/>
    <col min="11531" max="11531" width="13.25" style="326" customWidth="1"/>
    <col min="11532" max="11532" width="14.375" style="326" customWidth="1"/>
    <col min="11533" max="11533" width="10" style="326" customWidth="1"/>
    <col min="11534" max="11534" width="10.875" style="326" customWidth="1"/>
    <col min="11535" max="11535" width="11.375" style="326" customWidth="1"/>
    <col min="11536" max="11536" width="15.375" style="326" customWidth="1"/>
    <col min="11537" max="11538" width="10.75" style="326" customWidth="1"/>
    <col min="11539" max="11539" width="14.375" style="326" customWidth="1"/>
    <col min="11540" max="11540" width="10.75" style="326" customWidth="1"/>
    <col min="11541" max="11541" width="11.75" style="326" customWidth="1"/>
    <col min="11542" max="11542" width="10" style="326" customWidth="1"/>
    <col min="11543" max="11543" width="15.375" style="326" customWidth="1"/>
    <col min="11544" max="11544" width="10" style="326" customWidth="1"/>
    <col min="11545" max="11545" width="10.75" style="326" customWidth="1"/>
    <col min="11546" max="11546" width="14.875" style="326" customWidth="1"/>
    <col min="11547" max="11547" width="11.5" style="326" customWidth="1"/>
    <col min="11548" max="11548" width="10" style="326" customWidth="1"/>
    <col min="11549" max="11549" width="10.75" style="326" customWidth="1"/>
    <col min="11550" max="11550" width="13.5" style="326" customWidth="1"/>
    <col min="11551" max="11551" width="9" style="326"/>
    <col min="11552" max="11552" width="10.75" style="326" bestFit="1" customWidth="1"/>
    <col min="11553" max="11553" width="13.75" style="326" customWidth="1"/>
    <col min="11554" max="11554" width="9" style="326"/>
    <col min="11555" max="11555" width="10.625" style="326" customWidth="1"/>
    <col min="11556" max="11556" width="9" style="326"/>
    <col min="11557" max="11557" width="14.25" style="326" customWidth="1"/>
    <col min="11558" max="11558" width="10.75" style="326" bestFit="1" customWidth="1"/>
    <col min="11559" max="11559" width="11.625" style="326" customWidth="1"/>
    <col min="11560" max="11560" width="13.75" style="326" customWidth="1"/>
    <col min="11561" max="11561" width="10.625" style="326" customWidth="1"/>
    <col min="11562" max="11563" width="9" style="326"/>
    <col min="11564" max="11564" width="14.125" style="326" customWidth="1"/>
    <col min="11565" max="11565" width="11" style="326" customWidth="1"/>
    <col min="11566" max="11566" width="10.75" style="326" bestFit="1" customWidth="1"/>
    <col min="11567" max="11567" width="13.5" style="326" customWidth="1"/>
    <col min="11568" max="11569" width="9" style="326"/>
    <col min="11570" max="11570" width="10.75" style="326" bestFit="1" customWidth="1"/>
    <col min="11571" max="11571" width="14" style="326" customWidth="1"/>
    <col min="11572" max="11572" width="9" style="326"/>
    <col min="11573" max="11573" width="10.75" style="326" customWidth="1"/>
    <col min="11574" max="11574" width="12.75" style="326" customWidth="1"/>
    <col min="11575" max="11575" width="9" style="326"/>
    <col min="11576" max="11576" width="10.75" style="326" bestFit="1" customWidth="1"/>
    <col min="11577" max="11577" width="11.5" style="326" customWidth="1"/>
    <col min="11578" max="11578" width="13.625" style="326" customWidth="1"/>
    <col min="11579" max="11579" width="10.625" style="326" customWidth="1"/>
    <col min="11580" max="11580" width="10.75" style="326" bestFit="1" customWidth="1"/>
    <col min="11581" max="11581" width="12.375" style="326" customWidth="1"/>
    <col min="11582" max="11584" width="9" style="326"/>
    <col min="11585" max="11585" width="15.75" style="326" customWidth="1"/>
    <col min="11586" max="11586" width="9" style="326"/>
    <col min="11587" max="11587" width="10.75" style="326" bestFit="1" customWidth="1"/>
    <col min="11588" max="11588" width="12.625" style="326" customWidth="1"/>
    <col min="11589" max="11591" width="9" style="326"/>
    <col min="11592" max="11592" width="13.625" style="326" customWidth="1"/>
    <col min="11593" max="11593" width="9" style="326"/>
    <col min="11594" max="11594" width="10.75" style="326" bestFit="1" customWidth="1"/>
    <col min="11595" max="11595" width="12.5" style="326" customWidth="1"/>
    <col min="11596" max="11598" width="9" style="326"/>
    <col min="11599" max="11599" width="12.875" style="326" customWidth="1"/>
    <col min="11600" max="11600" width="9" style="326"/>
    <col min="11601" max="11601" width="10.75" style="326" bestFit="1" customWidth="1"/>
    <col min="11602" max="11602" width="13.875" style="326" customWidth="1"/>
    <col min="11603" max="11605" width="9" style="326"/>
    <col min="11606" max="11606" width="14.125" style="326" customWidth="1"/>
    <col min="11607" max="11607" width="9" style="326"/>
    <col min="11608" max="11608" width="10.75" style="326" bestFit="1" customWidth="1"/>
    <col min="11609" max="11609" width="13.25" style="326" customWidth="1"/>
    <col min="11610" max="11612" width="9" style="326"/>
    <col min="11613" max="11613" width="13.25" style="326" customWidth="1"/>
    <col min="11614" max="11614" width="9" style="326"/>
    <col min="11615" max="11615" width="10.75" style="326" bestFit="1" customWidth="1"/>
    <col min="11616" max="11616" width="13.875" style="326" customWidth="1"/>
    <col min="11617" max="11619" width="9" style="326"/>
    <col min="11620" max="11620" width="13.625" style="326" customWidth="1"/>
    <col min="11621" max="11621" width="9" style="326"/>
    <col min="11622" max="11622" width="10.75" style="326" bestFit="1" customWidth="1"/>
    <col min="11623" max="11623" width="13" style="326" customWidth="1"/>
    <col min="11624" max="11770" width="9" style="326"/>
    <col min="11771" max="11772" width="12.125" style="326" customWidth="1"/>
    <col min="11773" max="11775" width="13" style="326" customWidth="1"/>
    <col min="11776" max="11776" width="12.875" style="326" customWidth="1"/>
    <col min="11777" max="11777" width="13" style="326" customWidth="1"/>
    <col min="11778" max="11778" width="13.125" style="326" customWidth="1"/>
    <col min="11779" max="11780" width="12.125" style="326" customWidth="1"/>
    <col min="11781" max="11781" width="14.375" style="326" bestFit="1" customWidth="1"/>
    <col min="11782" max="11782" width="11" style="326" customWidth="1"/>
    <col min="11783" max="11783" width="10" style="326" customWidth="1"/>
    <col min="11784" max="11784" width="10.875" style="326" customWidth="1"/>
    <col min="11785" max="11785" width="13.75" style="326" customWidth="1"/>
    <col min="11786" max="11786" width="10" style="326" customWidth="1"/>
    <col min="11787" max="11787" width="13.25" style="326" customWidth="1"/>
    <col min="11788" max="11788" width="14.375" style="326" customWidth="1"/>
    <col min="11789" max="11789" width="10" style="326" customWidth="1"/>
    <col min="11790" max="11790" width="10.875" style="326" customWidth="1"/>
    <col min="11791" max="11791" width="11.375" style="326" customWidth="1"/>
    <col min="11792" max="11792" width="15.375" style="326" customWidth="1"/>
    <col min="11793" max="11794" width="10.75" style="326" customWidth="1"/>
    <col min="11795" max="11795" width="14.375" style="326" customWidth="1"/>
    <col min="11796" max="11796" width="10.75" style="326" customWidth="1"/>
    <col min="11797" max="11797" width="11.75" style="326" customWidth="1"/>
    <col min="11798" max="11798" width="10" style="326" customWidth="1"/>
    <col min="11799" max="11799" width="15.375" style="326" customWidth="1"/>
    <col min="11800" max="11800" width="10" style="326" customWidth="1"/>
    <col min="11801" max="11801" width="10.75" style="326" customWidth="1"/>
    <col min="11802" max="11802" width="14.875" style="326" customWidth="1"/>
    <col min="11803" max="11803" width="11.5" style="326" customWidth="1"/>
    <col min="11804" max="11804" width="10" style="326" customWidth="1"/>
    <col min="11805" max="11805" width="10.75" style="326" customWidth="1"/>
    <col min="11806" max="11806" width="13.5" style="326" customWidth="1"/>
    <col min="11807" max="11807" width="9" style="326"/>
    <col min="11808" max="11808" width="10.75" style="326" bestFit="1" customWidth="1"/>
    <col min="11809" max="11809" width="13.75" style="326" customWidth="1"/>
    <col min="11810" max="11810" width="9" style="326"/>
    <col min="11811" max="11811" width="10.625" style="326" customWidth="1"/>
    <col min="11812" max="11812" width="9" style="326"/>
    <col min="11813" max="11813" width="14.25" style="326" customWidth="1"/>
    <col min="11814" max="11814" width="10.75" style="326" bestFit="1" customWidth="1"/>
    <col min="11815" max="11815" width="11.625" style="326" customWidth="1"/>
    <col min="11816" max="11816" width="13.75" style="326" customWidth="1"/>
    <col min="11817" max="11817" width="10.625" style="326" customWidth="1"/>
    <col min="11818" max="11819" width="9" style="326"/>
    <col min="11820" max="11820" width="14.125" style="326" customWidth="1"/>
    <col min="11821" max="11821" width="11" style="326" customWidth="1"/>
    <col min="11822" max="11822" width="10.75" style="326" bestFit="1" customWidth="1"/>
    <col min="11823" max="11823" width="13.5" style="326" customWidth="1"/>
    <col min="11824" max="11825" width="9" style="326"/>
    <col min="11826" max="11826" width="10.75" style="326" bestFit="1" customWidth="1"/>
    <col min="11827" max="11827" width="14" style="326" customWidth="1"/>
    <col min="11828" max="11828" width="9" style="326"/>
    <col min="11829" max="11829" width="10.75" style="326" customWidth="1"/>
    <col min="11830" max="11830" width="12.75" style="326" customWidth="1"/>
    <col min="11831" max="11831" width="9" style="326"/>
    <col min="11832" max="11832" width="10.75" style="326" bestFit="1" customWidth="1"/>
    <col min="11833" max="11833" width="11.5" style="326" customWidth="1"/>
    <col min="11834" max="11834" width="13.625" style="326" customWidth="1"/>
    <col min="11835" max="11835" width="10.625" style="326" customWidth="1"/>
    <col min="11836" max="11836" width="10.75" style="326" bestFit="1" customWidth="1"/>
    <col min="11837" max="11837" width="12.375" style="326" customWidth="1"/>
    <col min="11838" max="11840" width="9" style="326"/>
    <col min="11841" max="11841" width="15.75" style="326" customWidth="1"/>
    <col min="11842" max="11842" width="9" style="326"/>
    <col min="11843" max="11843" width="10.75" style="326" bestFit="1" customWidth="1"/>
    <col min="11844" max="11844" width="12.625" style="326" customWidth="1"/>
    <col min="11845" max="11847" width="9" style="326"/>
    <col min="11848" max="11848" width="13.625" style="326" customWidth="1"/>
    <col min="11849" max="11849" width="9" style="326"/>
    <col min="11850" max="11850" width="10.75" style="326" bestFit="1" customWidth="1"/>
    <col min="11851" max="11851" width="12.5" style="326" customWidth="1"/>
    <col min="11852" max="11854" width="9" style="326"/>
    <col min="11855" max="11855" width="12.875" style="326" customWidth="1"/>
    <col min="11856" max="11856" width="9" style="326"/>
    <col min="11857" max="11857" width="10.75" style="326" bestFit="1" customWidth="1"/>
    <col min="11858" max="11858" width="13.875" style="326" customWidth="1"/>
    <col min="11859" max="11861" width="9" style="326"/>
    <col min="11862" max="11862" width="14.125" style="326" customWidth="1"/>
    <col min="11863" max="11863" width="9" style="326"/>
    <col min="11864" max="11864" width="10.75" style="326" bestFit="1" customWidth="1"/>
    <col min="11865" max="11865" width="13.25" style="326" customWidth="1"/>
    <col min="11866" max="11868" width="9" style="326"/>
    <col min="11869" max="11869" width="13.25" style="326" customWidth="1"/>
    <col min="11870" max="11870" width="9" style="326"/>
    <col min="11871" max="11871" width="10.75" style="326" bestFit="1" customWidth="1"/>
    <col min="11872" max="11872" width="13.875" style="326" customWidth="1"/>
    <col min="11873" max="11875" width="9" style="326"/>
    <col min="11876" max="11876" width="13.625" style="326" customWidth="1"/>
    <col min="11877" max="11877" width="9" style="326"/>
    <col min="11878" max="11878" width="10.75" style="326" bestFit="1" customWidth="1"/>
    <col min="11879" max="11879" width="13" style="326" customWidth="1"/>
    <col min="11880" max="12026" width="9" style="326"/>
    <col min="12027" max="12028" width="12.125" style="326" customWidth="1"/>
    <col min="12029" max="12031" width="13" style="326" customWidth="1"/>
    <col min="12032" max="12032" width="12.875" style="326" customWidth="1"/>
    <col min="12033" max="12033" width="13" style="326" customWidth="1"/>
    <col min="12034" max="12034" width="13.125" style="326" customWidth="1"/>
    <col min="12035" max="12036" width="12.125" style="326" customWidth="1"/>
    <col min="12037" max="12037" width="14.375" style="326" bestFit="1" customWidth="1"/>
    <col min="12038" max="12038" width="11" style="326" customWidth="1"/>
    <col min="12039" max="12039" width="10" style="326" customWidth="1"/>
    <col min="12040" max="12040" width="10.875" style="326" customWidth="1"/>
    <col min="12041" max="12041" width="13.75" style="326" customWidth="1"/>
    <col min="12042" max="12042" width="10" style="326" customWidth="1"/>
    <col min="12043" max="12043" width="13.25" style="326" customWidth="1"/>
    <col min="12044" max="12044" width="14.375" style="326" customWidth="1"/>
    <col min="12045" max="12045" width="10" style="326" customWidth="1"/>
    <col min="12046" max="12046" width="10.875" style="326" customWidth="1"/>
    <col min="12047" max="12047" width="11.375" style="326" customWidth="1"/>
    <col min="12048" max="12048" width="15.375" style="326" customWidth="1"/>
    <col min="12049" max="12050" width="10.75" style="326" customWidth="1"/>
    <col min="12051" max="12051" width="14.375" style="326" customWidth="1"/>
    <col min="12052" max="12052" width="10.75" style="326" customWidth="1"/>
    <col min="12053" max="12053" width="11.75" style="326" customWidth="1"/>
    <col min="12054" max="12054" width="10" style="326" customWidth="1"/>
    <col min="12055" max="12055" width="15.375" style="326" customWidth="1"/>
    <col min="12056" max="12056" width="10" style="326" customWidth="1"/>
    <col min="12057" max="12057" width="10.75" style="326" customWidth="1"/>
    <col min="12058" max="12058" width="14.875" style="326" customWidth="1"/>
    <col min="12059" max="12059" width="11.5" style="326" customWidth="1"/>
    <col min="12060" max="12060" width="10" style="326" customWidth="1"/>
    <col min="12061" max="12061" width="10.75" style="326" customWidth="1"/>
    <col min="12062" max="12062" width="13.5" style="326" customWidth="1"/>
    <col min="12063" max="12063" width="9" style="326"/>
    <col min="12064" max="12064" width="10.75" style="326" bestFit="1" customWidth="1"/>
    <col min="12065" max="12065" width="13.75" style="326" customWidth="1"/>
    <col min="12066" max="12066" width="9" style="326"/>
    <col min="12067" max="12067" width="10.625" style="326" customWidth="1"/>
    <col min="12068" max="12068" width="9" style="326"/>
    <col min="12069" max="12069" width="14.25" style="326" customWidth="1"/>
    <col min="12070" max="12070" width="10.75" style="326" bestFit="1" customWidth="1"/>
    <col min="12071" max="12071" width="11.625" style="326" customWidth="1"/>
    <col min="12072" max="12072" width="13.75" style="326" customWidth="1"/>
    <col min="12073" max="12073" width="10.625" style="326" customWidth="1"/>
    <col min="12074" max="12075" width="9" style="326"/>
    <col min="12076" max="12076" width="14.125" style="326" customWidth="1"/>
    <col min="12077" max="12077" width="11" style="326" customWidth="1"/>
    <col min="12078" max="12078" width="10.75" style="326" bestFit="1" customWidth="1"/>
    <col min="12079" max="12079" width="13.5" style="326" customWidth="1"/>
    <col min="12080" max="12081" width="9" style="326"/>
    <col min="12082" max="12082" width="10.75" style="326" bestFit="1" customWidth="1"/>
    <col min="12083" max="12083" width="14" style="326" customWidth="1"/>
    <col min="12084" max="12084" width="9" style="326"/>
    <col min="12085" max="12085" width="10.75" style="326" customWidth="1"/>
    <col min="12086" max="12086" width="12.75" style="326" customWidth="1"/>
    <col min="12087" max="12087" width="9" style="326"/>
    <col min="12088" max="12088" width="10.75" style="326" bestFit="1" customWidth="1"/>
    <col min="12089" max="12089" width="11.5" style="326" customWidth="1"/>
    <col min="12090" max="12090" width="13.625" style="326" customWidth="1"/>
    <col min="12091" max="12091" width="10.625" style="326" customWidth="1"/>
    <col min="12092" max="12092" width="10.75" style="326" bestFit="1" customWidth="1"/>
    <col min="12093" max="12093" width="12.375" style="326" customWidth="1"/>
    <col min="12094" max="12096" width="9" style="326"/>
    <col min="12097" max="12097" width="15.75" style="326" customWidth="1"/>
    <col min="12098" max="12098" width="9" style="326"/>
    <col min="12099" max="12099" width="10.75" style="326" bestFit="1" customWidth="1"/>
    <col min="12100" max="12100" width="12.625" style="326" customWidth="1"/>
    <col min="12101" max="12103" width="9" style="326"/>
    <col min="12104" max="12104" width="13.625" style="326" customWidth="1"/>
    <col min="12105" max="12105" width="9" style="326"/>
    <col min="12106" max="12106" width="10.75" style="326" bestFit="1" customWidth="1"/>
    <col min="12107" max="12107" width="12.5" style="326" customWidth="1"/>
    <col min="12108" max="12110" width="9" style="326"/>
    <col min="12111" max="12111" width="12.875" style="326" customWidth="1"/>
    <col min="12112" max="12112" width="9" style="326"/>
    <col min="12113" max="12113" width="10.75" style="326" bestFit="1" customWidth="1"/>
    <col min="12114" max="12114" width="13.875" style="326" customWidth="1"/>
    <col min="12115" max="12117" width="9" style="326"/>
    <col min="12118" max="12118" width="14.125" style="326" customWidth="1"/>
    <col min="12119" max="12119" width="9" style="326"/>
    <col min="12120" max="12120" width="10.75" style="326" bestFit="1" customWidth="1"/>
    <col min="12121" max="12121" width="13.25" style="326" customWidth="1"/>
    <col min="12122" max="12124" width="9" style="326"/>
    <col min="12125" max="12125" width="13.25" style="326" customWidth="1"/>
    <col min="12126" max="12126" width="9" style="326"/>
    <col min="12127" max="12127" width="10.75" style="326" bestFit="1" customWidth="1"/>
    <col min="12128" max="12128" width="13.875" style="326" customWidth="1"/>
    <col min="12129" max="12131" width="9" style="326"/>
    <col min="12132" max="12132" width="13.625" style="326" customWidth="1"/>
    <col min="12133" max="12133" width="9" style="326"/>
    <col min="12134" max="12134" width="10.75" style="326" bestFit="1" customWidth="1"/>
    <col min="12135" max="12135" width="13" style="326" customWidth="1"/>
    <col min="12136" max="12282" width="9" style="326"/>
    <col min="12283" max="12284" width="12.125" style="326" customWidth="1"/>
    <col min="12285" max="12287" width="13" style="326" customWidth="1"/>
    <col min="12288" max="12288" width="12.875" style="326" customWidth="1"/>
    <col min="12289" max="12289" width="13" style="326" customWidth="1"/>
    <col min="12290" max="12290" width="13.125" style="326" customWidth="1"/>
    <col min="12291" max="12292" width="12.125" style="326" customWidth="1"/>
    <col min="12293" max="12293" width="14.375" style="326" bestFit="1" customWidth="1"/>
    <col min="12294" max="12294" width="11" style="326" customWidth="1"/>
    <col min="12295" max="12295" width="10" style="326" customWidth="1"/>
    <col min="12296" max="12296" width="10.875" style="326" customWidth="1"/>
    <col min="12297" max="12297" width="13.75" style="326" customWidth="1"/>
    <col min="12298" max="12298" width="10" style="326" customWidth="1"/>
    <col min="12299" max="12299" width="13.25" style="326" customWidth="1"/>
    <col min="12300" max="12300" width="14.375" style="326" customWidth="1"/>
    <col min="12301" max="12301" width="10" style="326" customWidth="1"/>
    <col min="12302" max="12302" width="10.875" style="326" customWidth="1"/>
    <col min="12303" max="12303" width="11.375" style="326" customWidth="1"/>
    <col min="12304" max="12304" width="15.375" style="326" customWidth="1"/>
    <col min="12305" max="12306" width="10.75" style="326" customWidth="1"/>
    <col min="12307" max="12307" width="14.375" style="326" customWidth="1"/>
    <col min="12308" max="12308" width="10.75" style="326" customWidth="1"/>
    <col min="12309" max="12309" width="11.75" style="326" customWidth="1"/>
    <col min="12310" max="12310" width="10" style="326" customWidth="1"/>
    <col min="12311" max="12311" width="15.375" style="326" customWidth="1"/>
    <col min="12312" max="12312" width="10" style="326" customWidth="1"/>
    <col min="12313" max="12313" width="10.75" style="326" customWidth="1"/>
    <col min="12314" max="12314" width="14.875" style="326" customWidth="1"/>
    <col min="12315" max="12315" width="11.5" style="326" customWidth="1"/>
    <col min="12316" max="12316" width="10" style="326" customWidth="1"/>
    <col min="12317" max="12317" width="10.75" style="326" customWidth="1"/>
    <col min="12318" max="12318" width="13.5" style="326" customWidth="1"/>
    <col min="12319" max="12319" width="9" style="326"/>
    <col min="12320" max="12320" width="10.75" style="326" bestFit="1" customWidth="1"/>
    <col min="12321" max="12321" width="13.75" style="326" customWidth="1"/>
    <col min="12322" max="12322" width="9" style="326"/>
    <col min="12323" max="12323" width="10.625" style="326" customWidth="1"/>
    <col min="12324" max="12324" width="9" style="326"/>
    <col min="12325" max="12325" width="14.25" style="326" customWidth="1"/>
    <col min="12326" max="12326" width="10.75" style="326" bestFit="1" customWidth="1"/>
    <col min="12327" max="12327" width="11.625" style="326" customWidth="1"/>
    <col min="12328" max="12328" width="13.75" style="326" customWidth="1"/>
    <col min="12329" max="12329" width="10.625" style="326" customWidth="1"/>
    <col min="12330" max="12331" width="9" style="326"/>
    <col min="12332" max="12332" width="14.125" style="326" customWidth="1"/>
    <col min="12333" max="12333" width="11" style="326" customWidth="1"/>
    <col min="12334" max="12334" width="10.75" style="326" bestFit="1" customWidth="1"/>
    <col min="12335" max="12335" width="13.5" style="326" customWidth="1"/>
    <col min="12336" max="12337" width="9" style="326"/>
    <col min="12338" max="12338" width="10.75" style="326" bestFit="1" customWidth="1"/>
    <col min="12339" max="12339" width="14" style="326" customWidth="1"/>
    <col min="12340" max="12340" width="9" style="326"/>
    <col min="12341" max="12341" width="10.75" style="326" customWidth="1"/>
    <col min="12342" max="12342" width="12.75" style="326" customWidth="1"/>
    <col min="12343" max="12343" width="9" style="326"/>
    <col min="12344" max="12344" width="10.75" style="326" bestFit="1" customWidth="1"/>
    <col min="12345" max="12345" width="11.5" style="326" customWidth="1"/>
    <col min="12346" max="12346" width="13.625" style="326" customWidth="1"/>
    <col min="12347" max="12347" width="10.625" style="326" customWidth="1"/>
    <col min="12348" max="12348" width="10.75" style="326" bestFit="1" customWidth="1"/>
    <col min="12349" max="12349" width="12.375" style="326" customWidth="1"/>
    <col min="12350" max="12352" width="9" style="326"/>
    <col min="12353" max="12353" width="15.75" style="326" customWidth="1"/>
    <col min="12354" max="12354" width="9" style="326"/>
    <col min="12355" max="12355" width="10.75" style="326" bestFit="1" customWidth="1"/>
    <col min="12356" max="12356" width="12.625" style="326" customWidth="1"/>
    <col min="12357" max="12359" width="9" style="326"/>
    <col min="12360" max="12360" width="13.625" style="326" customWidth="1"/>
    <col min="12361" max="12361" width="9" style="326"/>
    <col min="12362" max="12362" width="10.75" style="326" bestFit="1" customWidth="1"/>
    <col min="12363" max="12363" width="12.5" style="326" customWidth="1"/>
    <col min="12364" max="12366" width="9" style="326"/>
    <col min="12367" max="12367" width="12.875" style="326" customWidth="1"/>
    <col min="12368" max="12368" width="9" style="326"/>
    <col min="12369" max="12369" width="10.75" style="326" bestFit="1" customWidth="1"/>
    <col min="12370" max="12370" width="13.875" style="326" customWidth="1"/>
    <col min="12371" max="12373" width="9" style="326"/>
    <col min="12374" max="12374" width="14.125" style="326" customWidth="1"/>
    <col min="12375" max="12375" width="9" style="326"/>
    <col min="12376" max="12376" width="10.75" style="326" bestFit="1" customWidth="1"/>
    <col min="12377" max="12377" width="13.25" style="326" customWidth="1"/>
    <col min="12378" max="12380" width="9" style="326"/>
    <col min="12381" max="12381" width="13.25" style="326" customWidth="1"/>
    <col min="12382" max="12382" width="9" style="326"/>
    <col min="12383" max="12383" width="10.75" style="326" bestFit="1" customWidth="1"/>
    <col min="12384" max="12384" width="13.875" style="326" customWidth="1"/>
    <col min="12385" max="12387" width="9" style="326"/>
    <col min="12388" max="12388" width="13.625" style="326" customWidth="1"/>
    <col min="12389" max="12389" width="9" style="326"/>
    <col min="12390" max="12390" width="10.75" style="326" bestFit="1" customWidth="1"/>
    <col min="12391" max="12391" width="13" style="326" customWidth="1"/>
    <col min="12392" max="12538" width="9" style="326"/>
    <col min="12539" max="12540" width="12.125" style="326" customWidth="1"/>
    <col min="12541" max="12543" width="13" style="326" customWidth="1"/>
    <col min="12544" max="12544" width="12.875" style="326" customWidth="1"/>
    <col min="12545" max="12545" width="13" style="326" customWidth="1"/>
    <col min="12546" max="12546" width="13.125" style="326" customWidth="1"/>
    <col min="12547" max="12548" width="12.125" style="326" customWidth="1"/>
    <col min="12549" max="12549" width="14.375" style="326" bestFit="1" customWidth="1"/>
    <col min="12550" max="12550" width="11" style="326" customWidth="1"/>
    <col min="12551" max="12551" width="10" style="326" customWidth="1"/>
    <col min="12552" max="12552" width="10.875" style="326" customWidth="1"/>
    <col min="12553" max="12553" width="13.75" style="326" customWidth="1"/>
    <col min="12554" max="12554" width="10" style="326" customWidth="1"/>
    <col min="12555" max="12555" width="13.25" style="326" customWidth="1"/>
    <col min="12556" max="12556" width="14.375" style="326" customWidth="1"/>
    <col min="12557" max="12557" width="10" style="326" customWidth="1"/>
    <col min="12558" max="12558" width="10.875" style="326" customWidth="1"/>
    <col min="12559" max="12559" width="11.375" style="326" customWidth="1"/>
    <col min="12560" max="12560" width="15.375" style="326" customWidth="1"/>
    <col min="12561" max="12562" width="10.75" style="326" customWidth="1"/>
    <col min="12563" max="12563" width="14.375" style="326" customWidth="1"/>
    <col min="12564" max="12564" width="10.75" style="326" customWidth="1"/>
    <col min="12565" max="12565" width="11.75" style="326" customWidth="1"/>
    <col min="12566" max="12566" width="10" style="326" customWidth="1"/>
    <col min="12567" max="12567" width="15.375" style="326" customWidth="1"/>
    <col min="12568" max="12568" width="10" style="326" customWidth="1"/>
    <col min="12569" max="12569" width="10.75" style="326" customWidth="1"/>
    <col min="12570" max="12570" width="14.875" style="326" customWidth="1"/>
    <col min="12571" max="12571" width="11.5" style="326" customWidth="1"/>
    <col min="12572" max="12572" width="10" style="326" customWidth="1"/>
    <col min="12573" max="12573" width="10.75" style="326" customWidth="1"/>
    <col min="12574" max="12574" width="13.5" style="326" customWidth="1"/>
    <col min="12575" max="12575" width="9" style="326"/>
    <col min="12576" max="12576" width="10.75" style="326" bestFit="1" customWidth="1"/>
    <col min="12577" max="12577" width="13.75" style="326" customWidth="1"/>
    <col min="12578" max="12578" width="9" style="326"/>
    <col min="12579" max="12579" width="10.625" style="326" customWidth="1"/>
    <col min="12580" max="12580" width="9" style="326"/>
    <col min="12581" max="12581" width="14.25" style="326" customWidth="1"/>
    <col min="12582" max="12582" width="10.75" style="326" bestFit="1" customWidth="1"/>
    <col min="12583" max="12583" width="11.625" style="326" customWidth="1"/>
    <col min="12584" max="12584" width="13.75" style="326" customWidth="1"/>
    <col min="12585" max="12585" width="10.625" style="326" customWidth="1"/>
    <col min="12586" max="12587" width="9" style="326"/>
    <col min="12588" max="12588" width="14.125" style="326" customWidth="1"/>
    <col min="12589" max="12589" width="11" style="326" customWidth="1"/>
    <col min="12590" max="12590" width="10.75" style="326" bestFit="1" customWidth="1"/>
    <col min="12591" max="12591" width="13.5" style="326" customWidth="1"/>
    <col min="12592" max="12593" width="9" style="326"/>
    <col min="12594" max="12594" width="10.75" style="326" bestFit="1" customWidth="1"/>
    <col min="12595" max="12595" width="14" style="326" customWidth="1"/>
    <col min="12596" max="12596" width="9" style="326"/>
    <col min="12597" max="12597" width="10.75" style="326" customWidth="1"/>
    <col min="12598" max="12598" width="12.75" style="326" customWidth="1"/>
    <col min="12599" max="12599" width="9" style="326"/>
    <col min="12600" max="12600" width="10.75" style="326" bestFit="1" customWidth="1"/>
    <col min="12601" max="12601" width="11.5" style="326" customWidth="1"/>
    <col min="12602" max="12602" width="13.625" style="326" customWidth="1"/>
    <col min="12603" max="12603" width="10.625" style="326" customWidth="1"/>
    <col min="12604" max="12604" width="10.75" style="326" bestFit="1" customWidth="1"/>
    <col min="12605" max="12605" width="12.375" style="326" customWidth="1"/>
    <col min="12606" max="12608" width="9" style="326"/>
    <col min="12609" max="12609" width="15.75" style="326" customWidth="1"/>
    <col min="12610" max="12610" width="9" style="326"/>
    <col min="12611" max="12611" width="10.75" style="326" bestFit="1" customWidth="1"/>
    <col min="12612" max="12612" width="12.625" style="326" customWidth="1"/>
    <col min="12613" max="12615" width="9" style="326"/>
    <col min="12616" max="12616" width="13.625" style="326" customWidth="1"/>
    <col min="12617" max="12617" width="9" style="326"/>
    <col min="12618" max="12618" width="10.75" style="326" bestFit="1" customWidth="1"/>
    <col min="12619" max="12619" width="12.5" style="326" customWidth="1"/>
    <col min="12620" max="12622" width="9" style="326"/>
    <col min="12623" max="12623" width="12.875" style="326" customWidth="1"/>
    <col min="12624" max="12624" width="9" style="326"/>
    <col min="12625" max="12625" width="10.75" style="326" bestFit="1" customWidth="1"/>
    <col min="12626" max="12626" width="13.875" style="326" customWidth="1"/>
    <col min="12627" max="12629" width="9" style="326"/>
    <col min="12630" max="12630" width="14.125" style="326" customWidth="1"/>
    <col min="12631" max="12631" width="9" style="326"/>
    <col min="12632" max="12632" width="10.75" style="326" bestFit="1" customWidth="1"/>
    <col min="12633" max="12633" width="13.25" style="326" customWidth="1"/>
    <col min="12634" max="12636" width="9" style="326"/>
    <col min="12637" max="12637" width="13.25" style="326" customWidth="1"/>
    <col min="12638" max="12638" width="9" style="326"/>
    <col min="12639" max="12639" width="10.75" style="326" bestFit="1" customWidth="1"/>
    <col min="12640" max="12640" width="13.875" style="326" customWidth="1"/>
    <col min="12641" max="12643" width="9" style="326"/>
    <col min="12644" max="12644" width="13.625" style="326" customWidth="1"/>
    <col min="12645" max="12645" width="9" style="326"/>
    <col min="12646" max="12646" width="10.75" style="326" bestFit="1" customWidth="1"/>
    <col min="12647" max="12647" width="13" style="326" customWidth="1"/>
    <col min="12648" max="12794" width="9" style="326"/>
    <col min="12795" max="12796" width="12.125" style="326" customWidth="1"/>
    <col min="12797" max="12799" width="13" style="326" customWidth="1"/>
    <col min="12800" max="12800" width="12.875" style="326" customWidth="1"/>
    <col min="12801" max="12801" width="13" style="326" customWidth="1"/>
    <col min="12802" max="12802" width="13.125" style="326" customWidth="1"/>
    <col min="12803" max="12804" width="12.125" style="326" customWidth="1"/>
    <col min="12805" max="12805" width="14.375" style="326" bestFit="1" customWidth="1"/>
    <col min="12806" max="12806" width="11" style="326" customWidth="1"/>
    <col min="12807" max="12807" width="10" style="326" customWidth="1"/>
    <col min="12808" max="12808" width="10.875" style="326" customWidth="1"/>
    <col min="12809" max="12809" width="13.75" style="326" customWidth="1"/>
    <col min="12810" max="12810" width="10" style="326" customWidth="1"/>
    <col min="12811" max="12811" width="13.25" style="326" customWidth="1"/>
    <col min="12812" max="12812" width="14.375" style="326" customWidth="1"/>
    <col min="12813" max="12813" width="10" style="326" customWidth="1"/>
    <col min="12814" max="12814" width="10.875" style="326" customWidth="1"/>
    <col min="12815" max="12815" width="11.375" style="326" customWidth="1"/>
    <col min="12816" max="12816" width="15.375" style="326" customWidth="1"/>
    <col min="12817" max="12818" width="10.75" style="326" customWidth="1"/>
    <col min="12819" max="12819" width="14.375" style="326" customWidth="1"/>
    <col min="12820" max="12820" width="10.75" style="326" customWidth="1"/>
    <col min="12821" max="12821" width="11.75" style="326" customWidth="1"/>
    <col min="12822" max="12822" width="10" style="326" customWidth="1"/>
    <col min="12823" max="12823" width="15.375" style="326" customWidth="1"/>
    <col min="12824" max="12824" width="10" style="326" customWidth="1"/>
    <col min="12825" max="12825" width="10.75" style="326" customWidth="1"/>
    <col min="12826" max="12826" width="14.875" style="326" customWidth="1"/>
    <col min="12827" max="12827" width="11.5" style="326" customWidth="1"/>
    <col min="12828" max="12828" width="10" style="326" customWidth="1"/>
    <col min="12829" max="12829" width="10.75" style="326" customWidth="1"/>
    <col min="12830" max="12830" width="13.5" style="326" customWidth="1"/>
    <col min="12831" max="12831" width="9" style="326"/>
    <col min="12832" max="12832" width="10.75" style="326" bestFit="1" customWidth="1"/>
    <col min="12833" max="12833" width="13.75" style="326" customWidth="1"/>
    <col min="12834" max="12834" width="9" style="326"/>
    <col min="12835" max="12835" width="10.625" style="326" customWidth="1"/>
    <col min="12836" max="12836" width="9" style="326"/>
    <col min="12837" max="12837" width="14.25" style="326" customWidth="1"/>
    <col min="12838" max="12838" width="10.75" style="326" bestFit="1" customWidth="1"/>
    <col min="12839" max="12839" width="11.625" style="326" customWidth="1"/>
    <col min="12840" max="12840" width="13.75" style="326" customWidth="1"/>
    <col min="12841" max="12841" width="10.625" style="326" customWidth="1"/>
    <col min="12842" max="12843" width="9" style="326"/>
    <col min="12844" max="12844" width="14.125" style="326" customWidth="1"/>
    <col min="12845" max="12845" width="11" style="326" customWidth="1"/>
    <col min="12846" max="12846" width="10.75" style="326" bestFit="1" customWidth="1"/>
    <col min="12847" max="12847" width="13.5" style="326" customWidth="1"/>
    <col min="12848" max="12849" width="9" style="326"/>
    <col min="12850" max="12850" width="10.75" style="326" bestFit="1" customWidth="1"/>
    <col min="12851" max="12851" width="14" style="326" customWidth="1"/>
    <col min="12852" max="12852" width="9" style="326"/>
    <col min="12853" max="12853" width="10.75" style="326" customWidth="1"/>
    <col min="12854" max="12854" width="12.75" style="326" customWidth="1"/>
    <col min="12855" max="12855" width="9" style="326"/>
    <col min="12856" max="12856" width="10.75" style="326" bestFit="1" customWidth="1"/>
    <col min="12857" max="12857" width="11.5" style="326" customWidth="1"/>
    <col min="12858" max="12858" width="13.625" style="326" customWidth="1"/>
    <col min="12859" max="12859" width="10.625" style="326" customWidth="1"/>
    <col min="12860" max="12860" width="10.75" style="326" bestFit="1" customWidth="1"/>
    <col min="12861" max="12861" width="12.375" style="326" customWidth="1"/>
    <col min="12862" max="12864" width="9" style="326"/>
    <col min="12865" max="12865" width="15.75" style="326" customWidth="1"/>
    <col min="12866" max="12866" width="9" style="326"/>
    <col min="12867" max="12867" width="10.75" style="326" bestFit="1" customWidth="1"/>
    <col min="12868" max="12868" width="12.625" style="326" customWidth="1"/>
    <col min="12869" max="12871" width="9" style="326"/>
    <col min="12872" max="12872" width="13.625" style="326" customWidth="1"/>
    <col min="12873" max="12873" width="9" style="326"/>
    <col min="12874" max="12874" width="10.75" style="326" bestFit="1" customWidth="1"/>
    <col min="12875" max="12875" width="12.5" style="326" customWidth="1"/>
    <col min="12876" max="12878" width="9" style="326"/>
    <col min="12879" max="12879" width="12.875" style="326" customWidth="1"/>
    <col min="12880" max="12880" width="9" style="326"/>
    <col min="12881" max="12881" width="10.75" style="326" bestFit="1" customWidth="1"/>
    <col min="12882" max="12882" width="13.875" style="326" customWidth="1"/>
    <col min="12883" max="12885" width="9" style="326"/>
    <col min="12886" max="12886" width="14.125" style="326" customWidth="1"/>
    <col min="12887" max="12887" width="9" style="326"/>
    <col min="12888" max="12888" width="10.75" style="326" bestFit="1" customWidth="1"/>
    <col min="12889" max="12889" width="13.25" style="326" customWidth="1"/>
    <col min="12890" max="12892" width="9" style="326"/>
    <col min="12893" max="12893" width="13.25" style="326" customWidth="1"/>
    <col min="12894" max="12894" width="9" style="326"/>
    <col min="12895" max="12895" width="10.75" style="326" bestFit="1" customWidth="1"/>
    <col min="12896" max="12896" width="13.875" style="326" customWidth="1"/>
    <col min="12897" max="12899" width="9" style="326"/>
    <col min="12900" max="12900" width="13.625" style="326" customWidth="1"/>
    <col min="12901" max="12901" width="9" style="326"/>
    <col min="12902" max="12902" width="10.75" style="326" bestFit="1" customWidth="1"/>
    <col min="12903" max="12903" width="13" style="326" customWidth="1"/>
    <col min="12904" max="13050" width="9" style="326"/>
    <col min="13051" max="13052" width="12.125" style="326" customWidth="1"/>
    <col min="13053" max="13055" width="13" style="326" customWidth="1"/>
    <col min="13056" max="13056" width="12.875" style="326" customWidth="1"/>
    <col min="13057" max="13057" width="13" style="326" customWidth="1"/>
    <col min="13058" max="13058" width="13.125" style="326" customWidth="1"/>
    <col min="13059" max="13060" width="12.125" style="326" customWidth="1"/>
    <col min="13061" max="13061" width="14.375" style="326" bestFit="1" customWidth="1"/>
    <col min="13062" max="13062" width="11" style="326" customWidth="1"/>
    <col min="13063" max="13063" width="10" style="326" customWidth="1"/>
    <col min="13064" max="13064" width="10.875" style="326" customWidth="1"/>
    <col min="13065" max="13065" width="13.75" style="326" customWidth="1"/>
    <col min="13066" max="13066" width="10" style="326" customWidth="1"/>
    <col min="13067" max="13067" width="13.25" style="326" customWidth="1"/>
    <col min="13068" max="13068" width="14.375" style="326" customWidth="1"/>
    <col min="13069" max="13069" width="10" style="326" customWidth="1"/>
    <col min="13070" max="13070" width="10.875" style="326" customWidth="1"/>
    <col min="13071" max="13071" width="11.375" style="326" customWidth="1"/>
    <col min="13072" max="13072" width="15.375" style="326" customWidth="1"/>
    <col min="13073" max="13074" width="10.75" style="326" customWidth="1"/>
    <col min="13075" max="13075" width="14.375" style="326" customWidth="1"/>
    <col min="13076" max="13076" width="10.75" style="326" customWidth="1"/>
    <col min="13077" max="13077" width="11.75" style="326" customWidth="1"/>
    <col min="13078" max="13078" width="10" style="326" customWidth="1"/>
    <col min="13079" max="13079" width="15.375" style="326" customWidth="1"/>
    <col min="13080" max="13080" width="10" style="326" customWidth="1"/>
    <col min="13081" max="13081" width="10.75" style="326" customWidth="1"/>
    <col min="13082" max="13082" width="14.875" style="326" customWidth="1"/>
    <col min="13083" max="13083" width="11.5" style="326" customWidth="1"/>
    <col min="13084" max="13084" width="10" style="326" customWidth="1"/>
    <col min="13085" max="13085" width="10.75" style="326" customWidth="1"/>
    <col min="13086" max="13086" width="13.5" style="326" customWidth="1"/>
    <col min="13087" max="13087" width="9" style="326"/>
    <col min="13088" max="13088" width="10.75" style="326" bestFit="1" customWidth="1"/>
    <col min="13089" max="13089" width="13.75" style="326" customWidth="1"/>
    <col min="13090" max="13090" width="9" style="326"/>
    <col min="13091" max="13091" width="10.625" style="326" customWidth="1"/>
    <col min="13092" max="13092" width="9" style="326"/>
    <col min="13093" max="13093" width="14.25" style="326" customWidth="1"/>
    <col min="13094" max="13094" width="10.75" style="326" bestFit="1" customWidth="1"/>
    <col min="13095" max="13095" width="11.625" style="326" customWidth="1"/>
    <col min="13096" max="13096" width="13.75" style="326" customWidth="1"/>
    <col min="13097" max="13097" width="10.625" style="326" customWidth="1"/>
    <col min="13098" max="13099" width="9" style="326"/>
    <col min="13100" max="13100" width="14.125" style="326" customWidth="1"/>
    <col min="13101" max="13101" width="11" style="326" customWidth="1"/>
    <col min="13102" max="13102" width="10.75" style="326" bestFit="1" customWidth="1"/>
    <col min="13103" max="13103" width="13.5" style="326" customWidth="1"/>
    <col min="13104" max="13105" width="9" style="326"/>
    <col min="13106" max="13106" width="10.75" style="326" bestFit="1" customWidth="1"/>
    <col min="13107" max="13107" width="14" style="326" customWidth="1"/>
    <col min="13108" max="13108" width="9" style="326"/>
    <col min="13109" max="13109" width="10.75" style="326" customWidth="1"/>
    <col min="13110" max="13110" width="12.75" style="326" customWidth="1"/>
    <col min="13111" max="13111" width="9" style="326"/>
    <col min="13112" max="13112" width="10.75" style="326" bestFit="1" customWidth="1"/>
    <col min="13113" max="13113" width="11.5" style="326" customWidth="1"/>
    <col min="13114" max="13114" width="13.625" style="326" customWidth="1"/>
    <col min="13115" max="13115" width="10.625" style="326" customWidth="1"/>
    <col min="13116" max="13116" width="10.75" style="326" bestFit="1" customWidth="1"/>
    <col min="13117" max="13117" width="12.375" style="326" customWidth="1"/>
    <col min="13118" max="13120" width="9" style="326"/>
    <col min="13121" max="13121" width="15.75" style="326" customWidth="1"/>
    <col min="13122" max="13122" width="9" style="326"/>
    <col min="13123" max="13123" width="10.75" style="326" bestFit="1" customWidth="1"/>
    <col min="13124" max="13124" width="12.625" style="326" customWidth="1"/>
    <col min="13125" max="13127" width="9" style="326"/>
    <col min="13128" max="13128" width="13.625" style="326" customWidth="1"/>
    <col min="13129" max="13129" width="9" style="326"/>
    <col min="13130" max="13130" width="10.75" style="326" bestFit="1" customWidth="1"/>
    <col min="13131" max="13131" width="12.5" style="326" customWidth="1"/>
    <col min="13132" max="13134" width="9" style="326"/>
    <col min="13135" max="13135" width="12.875" style="326" customWidth="1"/>
    <col min="13136" max="13136" width="9" style="326"/>
    <col min="13137" max="13137" width="10.75" style="326" bestFit="1" customWidth="1"/>
    <col min="13138" max="13138" width="13.875" style="326" customWidth="1"/>
    <col min="13139" max="13141" width="9" style="326"/>
    <col min="13142" max="13142" width="14.125" style="326" customWidth="1"/>
    <col min="13143" max="13143" width="9" style="326"/>
    <col min="13144" max="13144" width="10.75" style="326" bestFit="1" customWidth="1"/>
    <col min="13145" max="13145" width="13.25" style="326" customWidth="1"/>
    <col min="13146" max="13148" width="9" style="326"/>
    <col min="13149" max="13149" width="13.25" style="326" customWidth="1"/>
    <col min="13150" max="13150" width="9" style="326"/>
    <col min="13151" max="13151" width="10.75" style="326" bestFit="1" customWidth="1"/>
    <col min="13152" max="13152" width="13.875" style="326" customWidth="1"/>
    <col min="13153" max="13155" width="9" style="326"/>
    <col min="13156" max="13156" width="13.625" style="326" customWidth="1"/>
    <col min="13157" max="13157" width="9" style="326"/>
    <col min="13158" max="13158" width="10.75" style="326" bestFit="1" customWidth="1"/>
    <col min="13159" max="13159" width="13" style="326" customWidth="1"/>
    <col min="13160" max="13306" width="9" style="326"/>
    <col min="13307" max="13308" width="12.125" style="326" customWidth="1"/>
    <col min="13309" max="13311" width="13" style="326" customWidth="1"/>
    <col min="13312" max="13312" width="12.875" style="326" customWidth="1"/>
    <col min="13313" max="13313" width="13" style="326" customWidth="1"/>
    <col min="13314" max="13314" width="13.125" style="326" customWidth="1"/>
    <col min="13315" max="13316" width="12.125" style="326" customWidth="1"/>
    <col min="13317" max="13317" width="14.375" style="326" bestFit="1" customWidth="1"/>
    <col min="13318" max="13318" width="11" style="326" customWidth="1"/>
    <col min="13319" max="13319" width="10" style="326" customWidth="1"/>
    <col min="13320" max="13320" width="10.875" style="326" customWidth="1"/>
    <col min="13321" max="13321" width="13.75" style="326" customWidth="1"/>
    <col min="13322" max="13322" width="10" style="326" customWidth="1"/>
    <col min="13323" max="13323" width="13.25" style="326" customWidth="1"/>
    <col min="13324" max="13324" width="14.375" style="326" customWidth="1"/>
    <col min="13325" max="13325" width="10" style="326" customWidth="1"/>
    <col min="13326" max="13326" width="10.875" style="326" customWidth="1"/>
    <col min="13327" max="13327" width="11.375" style="326" customWidth="1"/>
    <col min="13328" max="13328" width="15.375" style="326" customWidth="1"/>
    <col min="13329" max="13330" width="10.75" style="326" customWidth="1"/>
    <col min="13331" max="13331" width="14.375" style="326" customWidth="1"/>
    <col min="13332" max="13332" width="10.75" style="326" customWidth="1"/>
    <col min="13333" max="13333" width="11.75" style="326" customWidth="1"/>
    <col min="13334" max="13334" width="10" style="326" customWidth="1"/>
    <col min="13335" max="13335" width="15.375" style="326" customWidth="1"/>
    <col min="13336" max="13336" width="10" style="326" customWidth="1"/>
    <col min="13337" max="13337" width="10.75" style="326" customWidth="1"/>
    <col min="13338" max="13338" width="14.875" style="326" customWidth="1"/>
    <col min="13339" max="13339" width="11.5" style="326" customWidth="1"/>
    <col min="13340" max="13340" width="10" style="326" customWidth="1"/>
    <col min="13341" max="13341" width="10.75" style="326" customWidth="1"/>
    <col min="13342" max="13342" width="13.5" style="326" customWidth="1"/>
    <col min="13343" max="13343" width="9" style="326"/>
    <col min="13344" max="13344" width="10.75" style="326" bestFit="1" customWidth="1"/>
    <col min="13345" max="13345" width="13.75" style="326" customWidth="1"/>
    <col min="13346" max="13346" width="9" style="326"/>
    <col min="13347" max="13347" width="10.625" style="326" customWidth="1"/>
    <col min="13348" max="13348" width="9" style="326"/>
    <col min="13349" max="13349" width="14.25" style="326" customWidth="1"/>
    <col min="13350" max="13350" width="10.75" style="326" bestFit="1" customWidth="1"/>
    <col min="13351" max="13351" width="11.625" style="326" customWidth="1"/>
    <col min="13352" max="13352" width="13.75" style="326" customWidth="1"/>
    <col min="13353" max="13353" width="10.625" style="326" customWidth="1"/>
    <col min="13354" max="13355" width="9" style="326"/>
    <col min="13356" max="13356" width="14.125" style="326" customWidth="1"/>
    <col min="13357" max="13357" width="11" style="326" customWidth="1"/>
    <col min="13358" max="13358" width="10.75" style="326" bestFit="1" customWidth="1"/>
    <col min="13359" max="13359" width="13.5" style="326" customWidth="1"/>
    <col min="13360" max="13361" width="9" style="326"/>
    <col min="13362" max="13362" width="10.75" style="326" bestFit="1" customWidth="1"/>
    <col min="13363" max="13363" width="14" style="326" customWidth="1"/>
    <col min="13364" max="13364" width="9" style="326"/>
    <col min="13365" max="13365" width="10.75" style="326" customWidth="1"/>
    <col min="13366" max="13366" width="12.75" style="326" customWidth="1"/>
    <col min="13367" max="13367" width="9" style="326"/>
    <col min="13368" max="13368" width="10.75" style="326" bestFit="1" customWidth="1"/>
    <col min="13369" max="13369" width="11.5" style="326" customWidth="1"/>
    <col min="13370" max="13370" width="13.625" style="326" customWidth="1"/>
    <col min="13371" max="13371" width="10.625" style="326" customWidth="1"/>
    <col min="13372" max="13372" width="10.75" style="326" bestFit="1" customWidth="1"/>
    <col min="13373" max="13373" width="12.375" style="326" customWidth="1"/>
    <col min="13374" max="13376" width="9" style="326"/>
    <col min="13377" max="13377" width="15.75" style="326" customWidth="1"/>
    <col min="13378" max="13378" width="9" style="326"/>
    <col min="13379" max="13379" width="10.75" style="326" bestFit="1" customWidth="1"/>
    <col min="13380" max="13380" width="12.625" style="326" customWidth="1"/>
    <col min="13381" max="13383" width="9" style="326"/>
    <col min="13384" max="13384" width="13.625" style="326" customWidth="1"/>
    <col min="13385" max="13385" width="9" style="326"/>
    <col min="13386" max="13386" width="10.75" style="326" bestFit="1" customWidth="1"/>
    <col min="13387" max="13387" width="12.5" style="326" customWidth="1"/>
    <col min="13388" max="13390" width="9" style="326"/>
    <col min="13391" max="13391" width="12.875" style="326" customWidth="1"/>
    <col min="13392" max="13392" width="9" style="326"/>
    <col min="13393" max="13393" width="10.75" style="326" bestFit="1" customWidth="1"/>
    <col min="13394" max="13394" width="13.875" style="326" customWidth="1"/>
    <col min="13395" max="13397" width="9" style="326"/>
    <col min="13398" max="13398" width="14.125" style="326" customWidth="1"/>
    <col min="13399" max="13399" width="9" style="326"/>
    <col min="13400" max="13400" width="10.75" style="326" bestFit="1" customWidth="1"/>
    <col min="13401" max="13401" width="13.25" style="326" customWidth="1"/>
    <col min="13402" max="13404" width="9" style="326"/>
    <col min="13405" max="13405" width="13.25" style="326" customWidth="1"/>
    <col min="13406" max="13406" width="9" style="326"/>
    <col min="13407" max="13407" width="10.75" style="326" bestFit="1" customWidth="1"/>
    <col min="13408" max="13408" width="13.875" style="326" customWidth="1"/>
    <col min="13409" max="13411" width="9" style="326"/>
    <col min="13412" max="13412" width="13.625" style="326" customWidth="1"/>
    <col min="13413" max="13413" width="9" style="326"/>
    <col min="13414" max="13414" width="10.75" style="326" bestFit="1" customWidth="1"/>
    <col min="13415" max="13415" width="13" style="326" customWidth="1"/>
    <col min="13416" max="13562" width="9" style="326"/>
    <col min="13563" max="13564" width="12.125" style="326" customWidth="1"/>
    <col min="13565" max="13567" width="13" style="326" customWidth="1"/>
    <col min="13568" max="13568" width="12.875" style="326" customWidth="1"/>
    <col min="13569" max="13569" width="13" style="326" customWidth="1"/>
    <col min="13570" max="13570" width="13.125" style="326" customWidth="1"/>
    <col min="13571" max="13572" width="12.125" style="326" customWidth="1"/>
    <col min="13573" max="13573" width="14.375" style="326" bestFit="1" customWidth="1"/>
    <col min="13574" max="13574" width="11" style="326" customWidth="1"/>
    <col min="13575" max="13575" width="10" style="326" customWidth="1"/>
    <col min="13576" max="13576" width="10.875" style="326" customWidth="1"/>
    <col min="13577" max="13577" width="13.75" style="326" customWidth="1"/>
    <col min="13578" max="13578" width="10" style="326" customWidth="1"/>
    <col min="13579" max="13579" width="13.25" style="326" customWidth="1"/>
    <col min="13580" max="13580" width="14.375" style="326" customWidth="1"/>
    <col min="13581" max="13581" width="10" style="326" customWidth="1"/>
    <col min="13582" max="13582" width="10.875" style="326" customWidth="1"/>
    <col min="13583" max="13583" width="11.375" style="326" customWidth="1"/>
    <col min="13584" max="13584" width="15.375" style="326" customWidth="1"/>
    <col min="13585" max="13586" width="10.75" style="326" customWidth="1"/>
    <col min="13587" max="13587" width="14.375" style="326" customWidth="1"/>
    <col min="13588" max="13588" width="10.75" style="326" customWidth="1"/>
    <col min="13589" max="13589" width="11.75" style="326" customWidth="1"/>
    <col min="13590" max="13590" width="10" style="326" customWidth="1"/>
    <col min="13591" max="13591" width="15.375" style="326" customWidth="1"/>
    <col min="13592" max="13592" width="10" style="326" customWidth="1"/>
    <col min="13593" max="13593" width="10.75" style="326" customWidth="1"/>
    <col min="13594" max="13594" width="14.875" style="326" customWidth="1"/>
    <col min="13595" max="13595" width="11.5" style="326" customWidth="1"/>
    <col min="13596" max="13596" width="10" style="326" customWidth="1"/>
    <col min="13597" max="13597" width="10.75" style="326" customWidth="1"/>
    <col min="13598" max="13598" width="13.5" style="326" customWidth="1"/>
    <col min="13599" max="13599" width="9" style="326"/>
    <col min="13600" max="13600" width="10.75" style="326" bestFit="1" customWidth="1"/>
    <col min="13601" max="13601" width="13.75" style="326" customWidth="1"/>
    <col min="13602" max="13602" width="9" style="326"/>
    <col min="13603" max="13603" width="10.625" style="326" customWidth="1"/>
    <col min="13604" max="13604" width="9" style="326"/>
    <col min="13605" max="13605" width="14.25" style="326" customWidth="1"/>
    <col min="13606" max="13606" width="10.75" style="326" bestFit="1" customWidth="1"/>
    <col min="13607" max="13607" width="11.625" style="326" customWidth="1"/>
    <col min="13608" max="13608" width="13.75" style="326" customWidth="1"/>
    <col min="13609" max="13609" width="10.625" style="326" customWidth="1"/>
    <col min="13610" max="13611" width="9" style="326"/>
    <col min="13612" max="13612" width="14.125" style="326" customWidth="1"/>
    <col min="13613" max="13613" width="11" style="326" customWidth="1"/>
    <col min="13614" max="13614" width="10.75" style="326" bestFit="1" customWidth="1"/>
    <col min="13615" max="13615" width="13.5" style="326" customWidth="1"/>
    <col min="13616" max="13617" width="9" style="326"/>
    <col min="13618" max="13618" width="10.75" style="326" bestFit="1" customWidth="1"/>
    <col min="13619" max="13619" width="14" style="326" customWidth="1"/>
    <col min="13620" max="13620" width="9" style="326"/>
    <col min="13621" max="13621" width="10.75" style="326" customWidth="1"/>
    <col min="13622" max="13622" width="12.75" style="326" customWidth="1"/>
    <col min="13623" max="13623" width="9" style="326"/>
    <col min="13624" max="13624" width="10.75" style="326" bestFit="1" customWidth="1"/>
    <col min="13625" max="13625" width="11.5" style="326" customWidth="1"/>
    <col min="13626" max="13626" width="13.625" style="326" customWidth="1"/>
    <col min="13627" max="13627" width="10.625" style="326" customWidth="1"/>
    <col min="13628" max="13628" width="10.75" style="326" bestFit="1" customWidth="1"/>
    <col min="13629" max="13629" width="12.375" style="326" customWidth="1"/>
    <col min="13630" max="13632" width="9" style="326"/>
    <col min="13633" max="13633" width="15.75" style="326" customWidth="1"/>
    <col min="13634" max="13634" width="9" style="326"/>
    <col min="13635" max="13635" width="10.75" style="326" bestFit="1" customWidth="1"/>
    <col min="13636" max="13636" width="12.625" style="326" customWidth="1"/>
    <col min="13637" max="13639" width="9" style="326"/>
    <col min="13640" max="13640" width="13.625" style="326" customWidth="1"/>
    <col min="13641" max="13641" width="9" style="326"/>
    <col min="13642" max="13642" width="10.75" style="326" bestFit="1" customWidth="1"/>
    <col min="13643" max="13643" width="12.5" style="326" customWidth="1"/>
    <col min="13644" max="13646" width="9" style="326"/>
    <col min="13647" max="13647" width="12.875" style="326" customWidth="1"/>
    <col min="13648" max="13648" width="9" style="326"/>
    <col min="13649" max="13649" width="10.75" style="326" bestFit="1" customWidth="1"/>
    <col min="13650" max="13650" width="13.875" style="326" customWidth="1"/>
    <col min="13651" max="13653" width="9" style="326"/>
    <col min="13654" max="13654" width="14.125" style="326" customWidth="1"/>
    <col min="13655" max="13655" width="9" style="326"/>
    <col min="13656" max="13656" width="10.75" style="326" bestFit="1" customWidth="1"/>
    <col min="13657" max="13657" width="13.25" style="326" customWidth="1"/>
    <col min="13658" max="13660" width="9" style="326"/>
    <col min="13661" max="13661" width="13.25" style="326" customWidth="1"/>
    <col min="13662" max="13662" width="9" style="326"/>
    <col min="13663" max="13663" width="10.75" style="326" bestFit="1" customWidth="1"/>
    <col min="13664" max="13664" width="13.875" style="326" customWidth="1"/>
    <col min="13665" max="13667" width="9" style="326"/>
    <col min="13668" max="13668" width="13.625" style="326" customWidth="1"/>
    <col min="13669" max="13669" width="9" style="326"/>
    <col min="13670" max="13670" width="10.75" style="326" bestFit="1" customWidth="1"/>
    <col min="13671" max="13671" width="13" style="326" customWidth="1"/>
    <col min="13672" max="13818" width="9" style="326"/>
    <col min="13819" max="13820" width="12.125" style="326" customWidth="1"/>
    <col min="13821" max="13823" width="13" style="326" customWidth="1"/>
    <col min="13824" max="13824" width="12.875" style="326" customWidth="1"/>
    <col min="13825" max="13825" width="13" style="326" customWidth="1"/>
    <col min="13826" max="13826" width="13.125" style="326" customWidth="1"/>
    <col min="13827" max="13828" width="12.125" style="326" customWidth="1"/>
    <col min="13829" max="13829" width="14.375" style="326" bestFit="1" customWidth="1"/>
    <col min="13830" max="13830" width="11" style="326" customWidth="1"/>
    <col min="13831" max="13831" width="10" style="326" customWidth="1"/>
    <col min="13832" max="13832" width="10.875" style="326" customWidth="1"/>
    <col min="13833" max="13833" width="13.75" style="326" customWidth="1"/>
    <col min="13834" max="13834" width="10" style="326" customWidth="1"/>
    <col min="13835" max="13835" width="13.25" style="326" customWidth="1"/>
    <col min="13836" max="13836" width="14.375" style="326" customWidth="1"/>
    <col min="13837" max="13837" width="10" style="326" customWidth="1"/>
    <col min="13838" max="13838" width="10.875" style="326" customWidth="1"/>
    <col min="13839" max="13839" width="11.375" style="326" customWidth="1"/>
    <col min="13840" max="13840" width="15.375" style="326" customWidth="1"/>
    <col min="13841" max="13842" width="10.75" style="326" customWidth="1"/>
    <col min="13843" max="13843" width="14.375" style="326" customWidth="1"/>
    <col min="13844" max="13844" width="10.75" style="326" customWidth="1"/>
    <col min="13845" max="13845" width="11.75" style="326" customWidth="1"/>
    <col min="13846" max="13846" width="10" style="326" customWidth="1"/>
    <col min="13847" max="13847" width="15.375" style="326" customWidth="1"/>
    <col min="13848" max="13848" width="10" style="326" customWidth="1"/>
    <col min="13849" max="13849" width="10.75" style="326" customWidth="1"/>
    <col min="13850" max="13850" width="14.875" style="326" customWidth="1"/>
    <col min="13851" max="13851" width="11.5" style="326" customWidth="1"/>
    <col min="13852" max="13852" width="10" style="326" customWidth="1"/>
    <col min="13853" max="13853" width="10.75" style="326" customWidth="1"/>
    <col min="13854" max="13854" width="13.5" style="326" customWidth="1"/>
    <col min="13855" max="13855" width="9" style="326"/>
    <col min="13856" max="13856" width="10.75" style="326" bestFit="1" customWidth="1"/>
    <col min="13857" max="13857" width="13.75" style="326" customWidth="1"/>
    <col min="13858" max="13858" width="9" style="326"/>
    <col min="13859" max="13859" width="10.625" style="326" customWidth="1"/>
    <col min="13860" max="13860" width="9" style="326"/>
    <col min="13861" max="13861" width="14.25" style="326" customWidth="1"/>
    <col min="13862" max="13862" width="10.75" style="326" bestFit="1" customWidth="1"/>
    <col min="13863" max="13863" width="11.625" style="326" customWidth="1"/>
    <col min="13864" max="13864" width="13.75" style="326" customWidth="1"/>
    <col min="13865" max="13865" width="10.625" style="326" customWidth="1"/>
    <col min="13866" max="13867" width="9" style="326"/>
    <col min="13868" max="13868" width="14.125" style="326" customWidth="1"/>
    <col min="13869" max="13869" width="11" style="326" customWidth="1"/>
    <col min="13870" max="13870" width="10.75" style="326" bestFit="1" customWidth="1"/>
    <col min="13871" max="13871" width="13.5" style="326" customWidth="1"/>
    <col min="13872" max="13873" width="9" style="326"/>
    <col min="13874" max="13874" width="10.75" style="326" bestFit="1" customWidth="1"/>
    <col min="13875" max="13875" width="14" style="326" customWidth="1"/>
    <col min="13876" max="13876" width="9" style="326"/>
    <col min="13877" max="13877" width="10.75" style="326" customWidth="1"/>
    <col min="13878" max="13878" width="12.75" style="326" customWidth="1"/>
    <col min="13879" max="13879" width="9" style="326"/>
    <col min="13880" max="13880" width="10.75" style="326" bestFit="1" customWidth="1"/>
    <col min="13881" max="13881" width="11.5" style="326" customWidth="1"/>
    <col min="13882" max="13882" width="13.625" style="326" customWidth="1"/>
    <col min="13883" max="13883" width="10.625" style="326" customWidth="1"/>
    <col min="13884" max="13884" width="10.75" style="326" bestFit="1" customWidth="1"/>
    <col min="13885" max="13885" width="12.375" style="326" customWidth="1"/>
    <col min="13886" max="13888" width="9" style="326"/>
    <col min="13889" max="13889" width="15.75" style="326" customWidth="1"/>
    <col min="13890" max="13890" width="9" style="326"/>
    <col min="13891" max="13891" width="10.75" style="326" bestFit="1" customWidth="1"/>
    <col min="13892" max="13892" width="12.625" style="326" customWidth="1"/>
    <col min="13893" max="13895" width="9" style="326"/>
    <col min="13896" max="13896" width="13.625" style="326" customWidth="1"/>
    <col min="13897" max="13897" width="9" style="326"/>
    <col min="13898" max="13898" width="10.75" style="326" bestFit="1" customWidth="1"/>
    <col min="13899" max="13899" width="12.5" style="326" customWidth="1"/>
    <col min="13900" max="13902" width="9" style="326"/>
    <col min="13903" max="13903" width="12.875" style="326" customWidth="1"/>
    <col min="13904" max="13904" width="9" style="326"/>
    <col min="13905" max="13905" width="10.75" style="326" bestFit="1" customWidth="1"/>
    <col min="13906" max="13906" width="13.875" style="326" customWidth="1"/>
    <col min="13907" max="13909" width="9" style="326"/>
    <col min="13910" max="13910" width="14.125" style="326" customWidth="1"/>
    <col min="13911" max="13911" width="9" style="326"/>
    <col min="13912" max="13912" width="10.75" style="326" bestFit="1" customWidth="1"/>
    <col min="13913" max="13913" width="13.25" style="326" customWidth="1"/>
    <col min="13914" max="13916" width="9" style="326"/>
    <col min="13917" max="13917" width="13.25" style="326" customWidth="1"/>
    <col min="13918" max="13918" width="9" style="326"/>
    <col min="13919" max="13919" width="10.75" style="326" bestFit="1" customWidth="1"/>
    <col min="13920" max="13920" width="13.875" style="326" customWidth="1"/>
    <col min="13921" max="13923" width="9" style="326"/>
    <col min="13924" max="13924" width="13.625" style="326" customWidth="1"/>
    <col min="13925" max="13925" width="9" style="326"/>
    <col min="13926" max="13926" width="10.75" style="326" bestFit="1" customWidth="1"/>
    <col min="13927" max="13927" width="13" style="326" customWidth="1"/>
    <col min="13928" max="14074" width="9" style="326"/>
    <col min="14075" max="14076" width="12.125" style="326" customWidth="1"/>
    <col min="14077" max="14079" width="13" style="326" customWidth="1"/>
    <col min="14080" max="14080" width="12.875" style="326" customWidth="1"/>
    <col min="14081" max="14081" width="13" style="326" customWidth="1"/>
    <col min="14082" max="14082" width="13.125" style="326" customWidth="1"/>
    <col min="14083" max="14084" width="12.125" style="326" customWidth="1"/>
    <col min="14085" max="14085" width="14.375" style="326" bestFit="1" customWidth="1"/>
    <col min="14086" max="14086" width="11" style="326" customWidth="1"/>
    <col min="14087" max="14087" width="10" style="326" customWidth="1"/>
    <col min="14088" max="14088" width="10.875" style="326" customWidth="1"/>
    <col min="14089" max="14089" width="13.75" style="326" customWidth="1"/>
    <col min="14090" max="14090" width="10" style="326" customWidth="1"/>
    <col min="14091" max="14091" width="13.25" style="326" customWidth="1"/>
    <col min="14092" max="14092" width="14.375" style="326" customWidth="1"/>
    <col min="14093" max="14093" width="10" style="326" customWidth="1"/>
    <col min="14094" max="14094" width="10.875" style="326" customWidth="1"/>
    <col min="14095" max="14095" width="11.375" style="326" customWidth="1"/>
    <col min="14096" max="14096" width="15.375" style="326" customWidth="1"/>
    <col min="14097" max="14098" width="10.75" style="326" customWidth="1"/>
    <col min="14099" max="14099" width="14.375" style="326" customWidth="1"/>
    <col min="14100" max="14100" width="10.75" style="326" customWidth="1"/>
    <col min="14101" max="14101" width="11.75" style="326" customWidth="1"/>
    <col min="14102" max="14102" width="10" style="326" customWidth="1"/>
    <col min="14103" max="14103" width="15.375" style="326" customWidth="1"/>
    <col min="14104" max="14104" width="10" style="326" customWidth="1"/>
    <col min="14105" max="14105" width="10.75" style="326" customWidth="1"/>
    <col min="14106" max="14106" width="14.875" style="326" customWidth="1"/>
    <col min="14107" max="14107" width="11.5" style="326" customWidth="1"/>
    <col min="14108" max="14108" width="10" style="326" customWidth="1"/>
    <col min="14109" max="14109" width="10.75" style="326" customWidth="1"/>
    <col min="14110" max="14110" width="13.5" style="326" customWidth="1"/>
    <col min="14111" max="14111" width="9" style="326"/>
    <col min="14112" max="14112" width="10.75" style="326" bestFit="1" customWidth="1"/>
    <col min="14113" max="14113" width="13.75" style="326" customWidth="1"/>
    <col min="14114" max="14114" width="9" style="326"/>
    <col min="14115" max="14115" width="10.625" style="326" customWidth="1"/>
    <col min="14116" max="14116" width="9" style="326"/>
    <col min="14117" max="14117" width="14.25" style="326" customWidth="1"/>
    <col min="14118" max="14118" width="10.75" style="326" bestFit="1" customWidth="1"/>
    <col min="14119" max="14119" width="11.625" style="326" customWidth="1"/>
    <col min="14120" max="14120" width="13.75" style="326" customWidth="1"/>
    <col min="14121" max="14121" width="10.625" style="326" customWidth="1"/>
    <col min="14122" max="14123" width="9" style="326"/>
    <col min="14124" max="14124" width="14.125" style="326" customWidth="1"/>
    <col min="14125" max="14125" width="11" style="326" customWidth="1"/>
    <col min="14126" max="14126" width="10.75" style="326" bestFit="1" customWidth="1"/>
    <col min="14127" max="14127" width="13.5" style="326" customWidth="1"/>
    <col min="14128" max="14129" width="9" style="326"/>
    <col min="14130" max="14130" width="10.75" style="326" bestFit="1" customWidth="1"/>
    <col min="14131" max="14131" width="14" style="326" customWidth="1"/>
    <col min="14132" max="14132" width="9" style="326"/>
    <col min="14133" max="14133" width="10.75" style="326" customWidth="1"/>
    <col min="14134" max="14134" width="12.75" style="326" customWidth="1"/>
    <col min="14135" max="14135" width="9" style="326"/>
    <col min="14136" max="14136" width="10.75" style="326" bestFit="1" customWidth="1"/>
    <col min="14137" max="14137" width="11.5" style="326" customWidth="1"/>
    <col min="14138" max="14138" width="13.625" style="326" customWidth="1"/>
    <col min="14139" max="14139" width="10.625" style="326" customWidth="1"/>
    <col min="14140" max="14140" width="10.75" style="326" bestFit="1" customWidth="1"/>
    <col min="14141" max="14141" width="12.375" style="326" customWidth="1"/>
    <col min="14142" max="14144" width="9" style="326"/>
    <col min="14145" max="14145" width="15.75" style="326" customWidth="1"/>
    <col min="14146" max="14146" width="9" style="326"/>
    <col min="14147" max="14147" width="10.75" style="326" bestFit="1" customWidth="1"/>
    <col min="14148" max="14148" width="12.625" style="326" customWidth="1"/>
    <col min="14149" max="14151" width="9" style="326"/>
    <col min="14152" max="14152" width="13.625" style="326" customWidth="1"/>
    <col min="14153" max="14153" width="9" style="326"/>
    <col min="14154" max="14154" width="10.75" style="326" bestFit="1" customWidth="1"/>
    <col min="14155" max="14155" width="12.5" style="326" customWidth="1"/>
    <col min="14156" max="14158" width="9" style="326"/>
    <col min="14159" max="14159" width="12.875" style="326" customWidth="1"/>
    <col min="14160" max="14160" width="9" style="326"/>
    <col min="14161" max="14161" width="10.75" style="326" bestFit="1" customWidth="1"/>
    <col min="14162" max="14162" width="13.875" style="326" customWidth="1"/>
    <col min="14163" max="14165" width="9" style="326"/>
    <col min="14166" max="14166" width="14.125" style="326" customWidth="1"/>
    <col min="14167" max="14167" width="9" style="326"/>
    <col min="14168" max="14168" width="10.75" style="326" bestFit="1" customWidth="1"/>
    <col min="14169" max="14169" width="13.25" style="326" customWidth="1"/>
    <col min="14170" max="14172" width="9" style="326"/>
    <col min="14173" max="14173" width="13.25" style="326" customWidth="1"/>
    <col min="14174" max="14174" width="9" style="326"/>
    <col min="14175" max="14175" width="10.75" style="326" bestFit="1" customWidth="1"/>
    <col min="14176" max="14176" width="13.875" style="326" customWidth="1"/>
    <col min="14177" max="14179" width="9" style="326"/>
    <col min="14180" max="14180" width="13.625" style="326" customWidth="1"/>
    <col min="14181" max="14181" width="9" style="326"/>
    <col min="14182" max="14182" width="10.75" style="326" bestFit="1" customWidth="1"/>
    <col min="14183" max="14183" width="13" style="326" customWidth="1"/>
    <col min="14184" max="14330" width="9" style="326"/>
    <col min="14331" max="14332" width="12.125" style="326" customWidth="1"/>
    <col min="14333" max="14335" width="13" style="326" customWidth="1"/>
    <col min="14336" max="14336" width="12.875" style="326" customWidth="1"/>
    <col min="14337" max="14337" width="13" style="326" customWidth="1"/>
    <col min="14338" max="14338" width="13.125" style="326" customWidth="1"/>
    <col min="14339" max="14340" width="12.125" style="326" customWidth="1"/>
    <col min="14341" max="14341" width="14.375" style="326" bestFit="1" customWidth="1"/>
    <col min="14342" max="14342" width="11" style="326" customWidth="1"/>
    <col min="14343" max="14343" width="10" style="326" customWidth="1"/>
    <col min="14344" max="14344" width="10.875" style="326" customWidth="1"/>
    <col min="14345" max="14345" width="13.75" style="326" customWidth="1"/>
    <col min="14346" max="14346" width="10" style="326" customWidth="1"/>
    <col min="14347" max="14347" width="13.25" style="326" customWidth="1"/>
    <col min="14348" max="14348" width="14.375" style="326" customWidth="1"/>
    <col min="14349" max="14349" width="10" style="326" customWidth="1"/>
    <col min="14350" max="14350" width="10.875" style="326" customWidth="1"/>
    <col min="14351" max="14351" width="11.375" style="326" customWidth="1"/>
    <col min="14352" max="14352" width="15.375" style="326" customWidth="1"/>
    <col min="14353" max="14354" width="10.75" style="326" customWidth="1"/>
    <col min="14355" max="14355" width="14.375" style="326" customWidth="1"/>
    <col min="14356" max="14356" width="10.75" style="326" customWidth="1"/>
    <col min="14357" max="14357" width="11.75" style="326" customWidth="1"/>
    <col min="14358" max="14358" width="10" style="326" customWidth="1"/>
    <col min="14359" max="14359" width="15.375" style="326" customWidth="1"/>
    <col min="14360" max="14360" width="10" style="326" customWidth="1"/>
    <col min="14361" max="14361" width="10.75" style="326" customWidth="1"/>
    <col min="14362" max="14362" width="14.875" style="326" customWidth="1"/>
    <col min="14363" max="14363" width="11.5" style="326" customWidth="1"/>
    <col min="14364" max="14364" width="10" style="326" customWidth="1"/>
    <col min="14365" max="14365" width="10.75" style="326" customWidth="1"/>
    <col min="14366" max="14366" width="13.5" style="326" customWidth="1"/>
    <col min="14367" max="14367" width="9" style="326"/>
    <col min="14368" max="14368" width="10.75" style="326" bestFit="1" customWidth="1"/>
    <col min="14369" max="14369" width="13.75" style="326" customWidth="1"/>
    <col min="14370" max="14370" width="9" style="326"/>
    <col min="14371" max="14371" width="10.625" style="326" customWidth="1"/>
    <col min="14372" max="14372" width="9" style="326"/>
    <col min="14373" max="14373" width="14.25" style="326" customWidth="1"/>
    <col min="14374" max="14374" width="10.75" style="326" bestFit="1" customWidth="1"/>
    <col min="14375" max="14375" width="11.625" style="326" customWidth="1"/>
    <col min="14376" max="14376" width="13.75" style="326" customWidth="1"/>
    <col min="14377" max="14377" width="10.625" style="326" customWidth="1"/>
    <col min="14378" max="14379" width="9" style="326"/>
    <col min="14380" max="14380" width="14.125" style="326" customWidth="1"/>
    <col min="14381" max="14381" width="11" style="326" customWidth="1"/>
    <col min="14382" max="14382" width="10.75" style="326" bestFit="1" customWidth="1"/>
    <col min="14383" max="14383" width="13.5" style="326" customWidth="1"/>
    <col min="14384" max="14385" width="9" style="326"/>
    <col min="14386" max="14386" width="10.75" style="326" bestFit="1" customWidth="1"/>
    <col min="14387" max="14387" width="14" style="326" customWidth="1"/>
    <col min="14388" max="14388" width="9" style="326"/>
    <col min="14389" max="14389" width="10.75" style="326" customWidth="1"/>
    <col min="14390" max="14390" width="12.75" style="326" customWidth="1"/>
    <col min="14391" max="14391" width="9" style="326"/>
    <col min="14392" max="14392" width="10.75" style="326" bestFit="1" customWidth="1"/>
    <col min="14393" max="14393" width="11.5" style="326" customWidth="1"/>
    <col min="14394" max="14394" width="13.625" style="326" customWidth="1"/>
    <col min="14395" max="14395" width="10.625" style="326" customWidth="1"/>
    <col min="14396" max="14396" width="10.75" style="326" bestFit="1" customWidth="1"/>
    <col min="14397" max="14397" width="12.375" style="326" customWidth="1"/>
    <col min="14398" max="14400" width="9" style="326"/>
    <col min="14401" max="14401" width="15.75" style="326" customWidth="1"/>
    <col min="14402" max="14402" width="9" style="326"/>
    <col min="14403" max="14403" width="10.75" style="326" bestFit="1" customWidth="1"/>
    <col min="14404" max="14404" width="12.625" style="326" customWidth="1"/>
    <col min="14405" max="14407" width="9" style="326"/>
    <col min="14408" max="14408" width="13.625" style="326" customWidth="1"/>
    <col min="14409" max="14409" width="9" style="326"/>
    <col min="14410" max="14410" width="10.75" style="326" bestFit="1" customWidth="1"/>
    <col min="14411" max="14411" width="12.5" style="326" customWidth="1"/>
    <col min="14412" max="14414" width="9" style="326"/>
    <col min="14415" max="14415" width="12.875" style="326" customWidth="1"/>
    <col min="14416" max="14416" width="9" style="326"/>
    <col min="14417" max="14417" width="10.75" style="326" bestFit="1" customWidth="1"/>
    <col min="14418" max="14418" width="13.875" style="326" customWidth="1"/>
    <col min="14419" max="14421" width="9" style="326"/>
    <col min="14422" max="14422" width="14.125" style="326" customWidth="1"/>
    <col min="14423" max="14423" width="9" style="326"/>
    <col min="14424" max="14424" width="10.75" style="326" bestFit="1" customWidth="1"/>
    <col min="14425" max="14425" width="13.25" style="326" customWidth="1"/>
    <col min="14426" max="14428" width="9" style="326"/>
    <col min="14429" max="14429" width="13.25" style="326" customWidth="1"/>
    <col min="14430" max="14430" width="9" style="326"/>
    <col min="14431" max="14431" width="10.75" style="326" bestFit="1" customWidth="1"/>
    <col min="14432" max="14432" width="13.875" style="326" customWidth="1"/>
    <col min="14433" max="14435" width="9" style="326"/>
    <col min="14436" max="14436" width="13.625" style="326" customWidth="1"/>
    <col min="14437" max="14437" width="9" style="326"/>
    <col min="14438" max="14438" width="10.75" style="326" bestFit="1" customWidth="1"/>
    <col min="14439" max="14439" width="13" style="326" customWidth="1"/>
    <col min="14440" max="14586" width="9" style="326"/>
    <col min="14587" max="14588" width="12.125" style="326" customWidth="1"/>
    <col min="14589" max="14591" width="13" style="326" customWidth="1"/>
    <col min="14592" max="14592" width="12.875" style="326" customWidth="1"/>
    <col min="14593" max="14593" width="13" style="326" customWidth="1"/>
    <col min="14594" max="14594" width="13.125" style="326" customWidth="1"/>
    <col min="14595" max="14596" width="12.125" style="326" customWidth="1"/>
    <col min="14597" max="14597" width="14.375" style="326" bestFit="1" customWidth="1"/>
    <col min="14598" max="14598" width="11" style="326" customWidth="1"/>
    <col min="14599" max="14599" width="10" style="326" customWidth="1"/>
    <col min="14600" max="14600" width="10.875" style="326" customWidth="1"/>
    <col min="14601" max="14601" width="13.75" style="326" customWidth="1"/>
    <col min="14602" max="14602" width="10" style="326" customWidth="1"/>
    <col min="14603" max="14603" width="13.25" style="326" customWidth="1"/>
    <col min="14604" max="14604" width="14.375" style="326" customWidth="1"/>
    <col min="14605" max="14605" width="10" style="326" customWidth="1"/>
    <col min="14606" max="14606" width="10.875" style="326" customWidth="1"/>
    <col min="14607" max="14607" width="11.375" style="326" customWidth="1"/>
    <col min="14608" max="14608" width="15.375" style="326" customWidth="1"/>
    <col min="14609" max="14610" width="10.75" style="326" customWidth="1"/>
    <col min="14611" max="14611" width="14.375" style="326" customWidth="1"/>
    <col min="14612" max="14612" width="10.75" style="326" customWidth="1"/>
    <col min="14613" max="14613" width="11.75" style="326" customWidth="1"/>
    <col min="14614" max="14614" width="10" style="326" customWidth="1"/>
    <col min="14615" max="14615" width="15.375" style="326" customWidth="1"/>
    <col min="14616" max="14616" width="10" style="326" customWidth="1"/>
    <col min="14617" max="14617" width="10.75" style="326" customWidth="1"/>
    <col min="14618" max="14618" width="14.875" style="326" customWidth="1"/>
    <col min="14619" max="14619" width="11.5" style="326" customWidth="1"/>
    <col min="14620" max="14620" width="10" style="326" customWidth="1"/>
    <col min="14621" max="14621" width="10.75" style="326" customWidth="1"/>
    <col min="14622" max="14622" width="13.5" style="326" customWidth="1"/>
    <col min="14623" max="14623" width="9" style="326"/>
    <col min="14624" max="14624" width="10.75" style="326" bestFit="1" customWidth="1"/>
    <col min="14625" max="14625" width="13.75" style="326" customWidth="1"/>
    <col min="14626" max="14626" width="9" style="326"/>
    <col min="14627" max="14627" width="10.625" style="326" customWidth="1"/>
    <col min="14628" max="14628" width="9" style="326"/>
    <col min="14629" max="14629" width="14.25" style="326" customWidth="1"/>
    <col min="14630" max="14630" width="10.75" style="326" bestFit="1" customWidth="1"/>
    <col min="14631" max="14631" width="11.625" style="326" customWidth="1"/>
    <col min="14632" max="14632" width="13.75" style="326" customWidth="1"/>
    <col min="14633" max="14633" width="10.625" style="326" customWidth="1"/>
    <col min="14634" max="14635" width="9" style="326"/>
    <col min="14636" max="14636" width="14.125" style="326" customWidth="1"/>
    <col min="14637" max="14637" width="11" style="326" customWidth="1"/>
    <col min="14638" max="14638" width="10.75" style="326" bestFit="1" customWidth="1"/>
    <col min="14639" max="14639" width="13.5" style="326" customWidth="1"/>
    <col min="14640" max="14641" width="9" style="326"/>
    <col min="14642" max="14642" width="10.75" style="326" bestFit="1" customWidth="1"/>
    <col min="14643" max="14643" width="14" style="326" customWidth="1"/>
    <col min="14644" max="14644" width="9" style="326"/>
    <col min="14645" max="14645" width="10.75" style="326" customWidth="1"/>
    <col min="14646" max="14646" width="12.75" style="326" customWidth="1"/>
    <col min="14647" max="14647" width="9" style="326"/>
    <col min="14648" max="14648" width="10.75" style="326" bestFit="1" customWidth="1"/>
    <col min="14649" max="14649" width="11.5" style="326" customWidth="1"/>
    <col min="14650" max="14650" width="13.625" style="326" customWidth="1"/>
    <col min="14651" max="14651" width="10.625" style="326" customWidth="1"/>
    <col min="14652" max="14652" width="10.75" style="326" bestFit="1" customWidth="1"/>
    <col min="14653" max="14653" width="12.375" style="326" customWidth="1"/>
    <col min="14654" max="14656" width="9" style="326"/>
    <col min="14657" max="14657" width="15.75" style="326" customWidth="1"/>
    <col min="14658" max="14658" width="9" style="326"/>
    <col min="14659" max="14659" width="10.75" style="326" bestFit="1" customWidth="1"/>
    <col min="14660" max="14660" width="12.625" style="326" customWidth="1"/>
    <col min="14661" max="14663" width="9" style="326"/>
    <col min="14664" max="14664" width="13.625" style="326" customWidth="1"/>
    <col min="14665" max="14665" width="9" style="326"/>
    <col min="14666" max="14666" width="10.75" style="326" bestFit="1" customWidth="1"/>
    <col min="14667" max="14667" width="12.5" style="326" customWidth="1"/>
    <col min="14668" max="14670" width="9" style="326"/>
    <col min="14671" max="14671" width="12.875" style="326" customWidth="1"/>
    <col min="14672" max="14672" width="9" style="326"/>
    <col min="14673" max="14673" width="10.75" style="326" bestFit="1" customWidth="1"/>
    <col min="14674" max="14674" width="13.875" style="326" customWidth="1"/>
    <col min="14675" max="14677" width="9" style="326"/>
    <col min="14678" max="14678" width="14.125" style="326" customWidth="1"/>
    <col min="14679" max="14679" width="9" style="326"/>
    <col min="14680" max="14680" width="10.75" style="326" bestFit="1" customWidth="1"/>
    <col min="14681" max="14681" width="13.25" style="326" customWidth="1"/>
    <col min="14682" max="14684" width="9" style="326"/>
    <col min="14685" max="14685" width="13.25" style="326" customWidth="1"/>
    <col min="14686" max="14686" width="9" style="326"/>
    <col min="14687" max="14687" width="10.75" style="326" bestFit="1" customWidth="1"/>
    <col min="14688" max="14688" width="13.875" style="326" customWidth="1"/>
    <col min="14689" max="14691" width="9" style="326"/>
    <col min="14692" max="14692" width="13.625" style="326" customWidth="1"/>
    <col min="14693" max="14693" width="9" style="326"/>
    <col min="14694" max="14694" width="10.75" style="326" bestFit="1" customWidth="1"/>
    <col min="14695" max="14695" width="13" style="326" customWidth="1"/>
    <col min="14696" max="14842" width="9" style="326"/>
    <col min="14843" max="14844" width="12.125" style="326" customWidth="1"/>
    <col min="14845" max="14847" width="13" style="326" customWidth="1"/>
    <col min="14848" max="14848" width="12.875" style="326" customWidth="1"/>
    <col min="14849" max="14849" width="13" style="326" customWidth="1"/>
    <col min="14850" max="14850" width="13.125" style="326" customWidth="1"/>
    <col min="14851" max="14852" width="12.125" style="326" customWidth="1"/>
    <col min="14853" max="14853" width="14.375" style="326" bestFit="1" customWidth="1"/>
    <col min="14854" max="14854" width="11" style="326" customWidth="1"/>
    <col min="14855" max="14855" width="10" style="326" customWidth="1"/>
    <col min="14856" max="14856" width="10.875" style="326" customWidth="1"/>
    <col min="14857" max="14857" width="13.75" style="326" customWidth="1"/>
    <col min="14858" max="14858" width="10" style="326" customWidth="1"/>
    <col min="14859" max="14859" width="13.25" style="326" customWidth="1"/>
    <col min="14860" max="14860" width="14.375" style="326" customWidth="1"/>
    <col min="14861" max="14861" width="10" style="326" customWidth="1"/>
    <col min="14862" max="14862" width="10.875" style="326" customWidth="1"/>
    <col min="14863" max="14863" width="11.375" style="326" customWidth="1"/>
    <col min="14864" max="14864" width="15.375" style="326" customWidth="1"/>
    <col min="14865" max="14866" width="10.75" style="326" customWidth="1"/>
    <col min="14867" max="14867" width="14.375" style="326" customWidth="1"/>
    <col min="14868" max="14868" width="10.75" style="326" customWidth="1"/>
    <col min="14869" max="14869" width="11.75" style="326" customWidth="1"/>
    <col min="14870" max="14870" width="10" style="326" customWidth="1"/>
    <col min="14871" max="14871" width="15.375" style="326" customWidth="1"/>
    <col min="14872" max="14872" width="10" style="326" customWidth="1"/>
    <col min="14873" max="14873" width="10.75" style="326" customWidth="1"/>
    <col min="14874" max="14874" width="14.875" style="326" customWidth="1"/>
    <col min="14875" max="14875" width="11.5" style="326" customWidth="1"/>
    <col min="14876" max="14876" width="10" style="326" customWidth="1"/>
    <col min="14877" max="14877" width="10.75" style="326" customWidth="1"/>
    <col min="14878" max="14878" width="13.5" style="326" customWidth="1"/>
    <col min="14879" max="14879" width="9" style="326"/>
    <col min="14880" max="14880" width="10.75" style="326" bestFit="1" customWidth="1"/>
    <col min="14881" max="14881" width="13.75" style="326" customWidth="1"/>
    <col min="14882" max="14882" width="9" style="326"/>
    <col min="14883" max="14883" width="10.625" style="326" customWidth="1"/>
    <col min="14884" max="14884" width="9" style="326"/>
    <col min="14885" max="14885" width="14.25" style="326" customWidth="1"/>
    <col min="14886" max="14886" width="10.75" style="326" bestFit="1" customWidth="1"/>
    <col min="14887" max="14887" width="11.625" style="326" customWidth="1"/>
    <col min="14888" max="14888" width="13.75" style="326" customWidth="1"/>
    <col min="14889" max="14889" width="10.625" style="326" customWidth="1"/>
    <col min="14890" max="14891" width="9" style="326"/>
    <col min="14892" max="14892" width="14.125" style="326" customWidth="1"/>
    <col min="14893" max="14893" width="11" style="326" customWidth="1"/>
    <col min="14894" max="14894" width="10.75" style="326" bestFit="1" customWidth="1"/>
    <col min="14895" max="14895" width="13.5" style="326" customWidth="1"/>
    <col min="14896" max="14897" width="9" style="326"/>
    <col min="14898" max="14898" width="10.75" style="326" bestFit="1" customWidth="1"/>
    <col min="14899" max="14899" width="14" style="326" customWidth="1"/>
    <col min="14900" max="14900" width="9" style="326"/>
    <col min="14901" max="14901" width="10.75" style="326" customWidth="1"/>
    <col min="14902" max="14902" width="12.75" style="326" customWidth="1"/>
    <col min="14903" max="14903" width="9" style="326"/>
    <col min="14904" max="14904" width="10.75" style="326" bestFit="1" customWidth="1"/>
    <col min="14905" max="14905" width="11.5" style="326" customWidth="1"/>
    <col min="14906" max="14906" width="13.625" style="326" customWidth="1"/>
    <col min="14907" max="14907" width="10.625" style="326" customWidth="1"/>
    <col min="14908" max="14908" width="10.75" style="326" bestFit="1" customWidth="1"/>
    <col min="14909" max="14909" width="12.375" style="326" customWidth="1"/>
    <col min="14910" max="14912" width="9" style="326"/>
    <col min="14913" max="14913" width="15.75" style="326" customWidth="1"/>
    <col min="14914" max="14914" width="9" style="326"/>
    <col min="14915" max="14915" width="10.75" style="326" bestFit="1" customWidth="1"/>
    <col min="14916" max="14916" width="12.625" style="326" customWidth="1"/>
    <col min="14917" max="14919" width="9" style="326"/>
    <col min="14920" max="14920" width="13.625" style="326" customWidth="1"/>
    <col min="14921" max="14921" width="9" style="326"/>
    <col min="14922" max="14922" width="10.75" style="326" bestFit="1" customWidth="1"/>
    <col min="14923" max="14923" width="12.5" style="326" customWidth="1"/>
    <col min="14924" max="14926" width="9" style="326"/>
    <col min="14927" max="14927" width="12.875" style="326" customWidth="1"/>
    <col min="14928" max="14928" width="9" style="326"/>
    <col min="14929" max="14929" width="10.75" style="326" bestFit="1" customWidth="1"/>
    <col min="14930" max="14930" width="13.875" style="326" customWidth="1"/>
    <col min="14931" max="14933" width="9" style="326"/>
    <col min="14934" max="14934" width="14.125" style="326" customWidth="1"/>
    <col min="14935" max="14935" width="9" style="326"/>
    <col min="14936" max="14936" width="10.75" style="326" bestFit="1" customWidth="1"/>
    <col min="14937" max="14937" width="13.25" style="326" customWidth="1"/>
    <col min="14938" max="14940" width="9" style="326"/>
    <col min="14941" max="14941" width="13.25" style="326" customWidth="1"/>
    <col min="14942" max="14942" width="9" style="326"/>
    <col min="14943" max="14943" width="10.75" style="326" bestFit="1" customWidth="1"/>
    <col min="14944" max="14944" width="13.875" style="326" customWidth="1"/>
    <col min="14945" max="14947" width="9" style="326"/>
    <col min="14948" max="14948" width="13.625" style="326" customWidth="1"/>
    <col min="14949" max="14949" width="9" style="326"/>
    <col min="14950" max="14950" width="10.75" style="326" bestFit="1" customWidth="1"/>
    <col min="14951" max="14951" width="13" style="326" customWidth="1"/>
    <col min="14952" max="15098" width="9" style="326"/>
    <col min="15099" max="15100" width="12.125" style="326" customWidth="1"/>
    <col min="15101" max="15103" width="13" style="326" customWidth="1"/>
    <col min="15104" max="15104" width="12.875" style="326" customWidth="1"/>
    <col min="15105" max="15105" width="13" style="326" customWidth="1"/>
    <col min="15106" max="15106" width="13.125" style="326" customWidth="1"/>
    <col min="15107" max="15108" width="12.125" style="326" customWidth="1"/>
    <col min="15109" max="15109" width="14.375" style="326" bestFit="1" customWidth="1"/>
    <col min="15110" max="15110" width="11" style="326" customWidth="1"/>
    <col min="15111" max="15111" width="10" style="326" customWidth="1"/>
    <col min="15112" max="15112" width="10.875" style="326" customWidth="1"/>
    <col min="15113" max="15113" width="13.75" style="326" customWidth="1"/>
    <col min="15114" max="15114" width="10" style="326" customWidth="1"/>
    <col min="15115" max="15115" width="13.25" style="326" customWidth="1"/>
    <col min="15116" max="15116" width="14.375" style="326" customWidth="1"/>
    <col min="15117" max="15117" width="10" style="326" customWidth="1"/>
    <col min="15118" max="15118" width="10.875" style="326" customWidth="1"/>
    <col min="15119" max="15119" width="11.375" style="326" customWidth="1"/>
    <col min="15120" max="15120" width="15.375" style="326" customWidth="1"/>
    <col min="15121" max="15122" width="10.75" style="326" customWidth="1"/>
    <col min="15123" max="15123" width="14.375" style="326" customWidth="1"/>
    <col min="15124" max="15124" width="10.75" style="326" customWidth="1"/>
    <col min="15125" max="15125" width="11.75" style="326" customWidth="1"/>
    <col min="15126" max="15126" width="10" style="326" customWidth="1"/>
    <col min="15127" max="15127" width="15.375" style="326" customWidth="1"/>
    <col min="15128" max="15128" width="10" style="326" customWidth="1"/>
    <col min="15129" max="15129" width="10.75" style="326" customWidth="1"/>
    <col min="15130" max="15130" width="14.875" style="326" customWidth="1"/>
    <col min="15131" max="15131" width="11.5" style="326" customWidth="1"/>
    <col min="15132" max="15132" width="10" style="326" customWidth="1"/>
    <col min="15133" max="15133" width="10.75" style="326" customWidth="1"/>
    <col min="15134" max="15134" width="13.5" style="326" customWidth="1"/>
    <col min="15135" max="15135" width="9" style="326"/>
    <col min="15136" max="15136" width="10.75" style="326" bestFit="1" customWidth="1"/>
    <col min="15137" max="15137" width="13.75" style="326" customWidth="1"/>
    <col min="15138" max="15138" width="9" style="326"/>
    <col min="15139" max="15139" width="10.625" style="326" customWidth="1"/>
    <col min="15140" max="15140" width="9" style="326"/>
    <col min="15141" max="15141" width="14.25" style="326" customWidth="1"/>
    <col min="15142" max="15142" width="10.75" style="326" bestFit="1" customWidth="1"/>
    <col min="15143" max="15143" width="11.625" style="326" customWidth="1"/>
    <col min="15144" max="15144" width="13.75" style="326" customWidth="1"/>
    <col min="15145" max="15145" width="10.625" style="326" customWidth="1"/>
    <col min="15146" max="15147" width="9" style="326"/>
    <col min="15148" max="15148" width="14.125" style="326" customWidth="1"/>
    <col min="15149" max="15149" width="11" style="326" customWidth="1"/>
    <col min="15150" max="15150" width="10.75" style="326" bestFit="1" customWidth="1"/>
    <col min="15151" max="15151" width="13.5" style="326" customWidth="1"/>
    <col min="15152" max="15153" width="9" style="326"/>
    <col min="15154" max="15154" width="10.75" style="326" bestFit="1" customWidth="1"/>
    <col min="15155" max="15155" width="14" style="326" customWidth="1"/>
    <col min="15156" max="15156" width="9" style="326"/>
    <col min="15157" max="15157" width="10.75" style="326" customWidth="1"/>
    <col min="15158" max="15158" width="12.75" style="326" customWidth="1"/>
    <col min="15159" max="15159" width="9" style="326"/>
    <col min="15160" max="15160" width="10.75" style="326" bestFit="1" customWidth="1"/>
    <col min="15161" max="15161" width="11.5" style="326" customWidth="1"/>
    <col min="15162" max="15162" width="13.625" style="326" customWidth="1"/>
    <col min="15163" max="15163" width="10.625" style="326" customWidth="1"/>
    <col min="15164" max="15164" width="10.75" style="326" bestFit="1" customWidth="1"/>
    <col min="15165" max="15165" width="12.375" style="326" customWidth="1"/>
    <col min="15166" max="15168" width="9" style="326"/>
    <col min="15169" max="15169" width="15.75" style="326" customWidth="1"/>
    <col min="15170" max="15170" width="9" style="326"/>
    <col min="15171" max="15171" width="10.75" style="326" bestFit="1" customWidth="1"/>
    <col min="15172" max="15172" width="12.625" style="326" customWidth="1"/>
    <col min="15173" max="15175" width="9" style="326"/>
    <col min="15176" max="15176" width="13.625" style="326" customWidth="1"/>
    <col min="15177" max="15177" width="9" style="326"/>
    <col min="15178" max="15178" width="10.75" style="326" bestFit="1" customWidth="1"/>
    <col min="15179" max="15179" width="12.5" style="326" customWidth="1"/>
    <col min="15180" max="15182" width="9" style="326"/>
    <col min="15183" max="15183" width="12.875" style="326" customWidth="1"/>
    <col min="15184" max="15184" width="9" style="326"/>
    <col min="15185" max="15185" width="10.75" style="326" bestFit="1" customWidth="1"/>
    <col min="15186" max="15186" width="13.875" style="326" customWidth="1"/>
    <col min="15187" max="15189" width="9" style="326"/>
    <col min="15190" max="15190" width="14.125" style="326" customWidth="1"/>
    <col min="15191" max="15191" width="9" style="326"/>
    <col min="15192" max="15192" width="10.75" style="326" bestFit="1" customWidth="1"/>
    <col min="15193" max="15193" width="13.25" style="326" customWidth="1"/>
    <col min="15194" max="15196" width="9" style="326"/>
    <col min="15197" max="15197" width="13.25" style="326" customWidth="1"/>
    <col min="15198" max="15198" width="9" style="326"/>
    <col min="15199" max="15199" width="10.75" style="326" bestFit="1" customWidth="1"/>
    <col min="15200" max="15200" width="13.875" style="326" customWidth="1"/>
    <col min="15201" max="15203" width="9" style="326"/>
    <col min="15204" max="15204" width="13.625" style="326" customWidth="1"/>
    <col min="15205" max="15205" width="9" style="326"/>
    <col min="15206" max="15206" width="10.75" style="326" bestFit="1" customWidth="1"/>
    <col min="15207" max="15207" width="13" style="326" customWidth="1"/>
    <col min="15208" max="15354" width="9" style="326"/>
    <col min="15355" max="15356" width="12.125" style="326" customWidth="1"/>
    <col min="15357" max="15359" width="13" style="326" customWidth="1"/>
    <col min="15360" max="15360" width="12.875" style="326" customWidth="1"/>
    <col min="15361" max="15361" width="13" style="326" customWidth="1"/>
    <col min="15362" max="15362" width="13.125" style="326" customWidth="1"/>
    <col min="15363" max="15364" width="12.125" style="326" customWidth="1"/>
    <col min="15365" max="15365" width="14.375" style="326" bestFit="1" customWidth="1"/>
    <col min="15366" max="15366" width="11" style="326" customWidth="1"/>
    <col min="15367" max="15367" width="10" style="326" customWidth="1"/>
    <col min="15368" max="15368" width="10.875" style="326" customWidth="1"/>
    <col min="15369" max="15369" width="13.75" style="326" customWidth="1"/>
    <col min="15370" max="15370" width="10" style="326" customWidth="1"/>
    <col min="15371" max="15371" width="13.25" style="326" customWidth="1"/>
    <col min="15372" max="15372" width="14.375" style="326" customWidth="1"/>
    <col min="15373" max="15373" width="10" style="326" customWidth="1"/>
    <col min="15374" max="15374" width="10.875" style="326" customWidth="1"/>
    <col min="15375" max="15375" width="11.375" style="326" customWidth="1"/>
    <col min="15376" max="15376" width="15.375" style="326" customWidth="1"/>
    <col min="15377" max="15378" width="10.75" style="326" customWidth="1"/>
    <col min="15379" max="15379" width="14.375" style="326" customWidth="1"/>
    <col min="15380" max="15380" width="10.75" style="326" customWidth="1"/>
    <col min="15381" max="15381" width="11.75" style="326" customWidth="1"/>
    <col min="15382" max="15382" width="10" style="326" customWidth="1"/>
    <col min="15383" max="15383" width="15.375" style="326" customWidth="1"/>
    <col min="15384" max="15384" width="10" style="326" customWidth="1"/>
    <col min="15385" max="15385" width="10.75" style="326" customWidth="1"/>
    <col min="15386" max="15386" width="14.875" style="326" customWidth="1"/>
    <col min="15387" max="15387" width="11.5" style="326" customWidth="1"/>
    <col min="15388" max="15388" width="10" style="326" customWidth="1"/>
    <col min="15389" max="15389" width="10.75" style="326" customWidth="1"/>
    <col min="15390" max="15390" width="13.5" style="326" customWidth="1"/>
    <col min="15391" max="15391" width="9" style="326"/>
    <col min="15392" max="15392" width="10.75" style="326" bestFit="1" customWidth="1"/>
    <col min="15393" max="15393" width="13.75" style="326" customWidth="1"/>
    <col min="15394" max="15394" width="9" style="326"/>
    <col min="15395" max="15395" width="10.625" style="326" customWidth="1"/>
    <col min="15396" max="15396" width="9" style="326"/>
    <col min="15397" max="15397" width="14.25" style="326" customWidth="1"/>
    <col min="15398" max="15398" width="10.75" style="326" bestFit="1" customWidth="1"/>
    <col min="15399" max="15399" width="11.625" style="326" customWidth="1"/>
    <col min="15400" max="15400" width="13.75" style="326" customWidth="1"/>
    <col min="15401" max="15401" width="10.625" style="326" customWidth="1"/>
    <col min="15402" max="15403" width="9" style="326"/>
    <col min="15404" max="15404" width="14.125" style="326" customWidth="1"/>
    <col min="15405" max="15405" width="11" style="326" customWidth="1"/>
    <col min="15406" max="15406" width="10.75" style="326" bestFit="1" customWidth="1"/>
    <col min="15407" max="15407" width="13.5" style="326" customWidth="1"/>
    <col min="15408" max="15409" width="9" style="326"/>
    <col min="15410" max="15410" width="10.75" style="326" bestFit="1" customWidth="1"/>
    <col min="15411" max="15411" width="14" style="326" customWidth="1"/>
    <col min="15412" max="15412" width="9" style="326"/>
    <col min="15413" max="15413" width="10.75" style="326" customWidth="1"/>
    <col min="15414" max="15414" width="12.75" style="326" customWidth="1"/>
    <col min="15415" max="15415" width="9" style="326"/>
    <col min="15416" max="15416" width="10.75" style="326" bestFit="1" customWidth="1"/>
    <col min="15417" max="15417" width="11.5" style="326" customWidth="1"/>
    <col min="15418" max="15418" width="13.625" style="326" customWidth="1"/>
    <col min="15419" max="15419" width="10.625" style="326" customWidth="1"/>
    <col min="15420" max="15420" width="10.75" style="326" bestFit="1" customWidth="1"/>
    <col min="15421" max="15421" width="12.375" style="326" customWidth="1"/>
    <col min="15422" max="15424" width="9" style="326"/>
    <col min="15425" max="15425" width="15.75" style="326" customWidth="1"/>
    <col min="15426" max="15426" width="9" style="326"/>
    <col min="15427" max="15427" width="10.75" style="326" bestFit="1" customWidth="1"/>
    <col min="15428" max="15428" width="12.625" style="326" customWidth="1"/>
    <col min="15429" max="15431" width="9" style="326"/>
    <col min="15432" max="15432" width="13.625" style="326" customWidth="1"/>
    <col min="15433" max="15433" width="9" style="326"/>
    <col min="15434" max="15434" width="10.75" style="326" bestFit="1" customWidth="1"/>
    <col min="15435" max="15435" width="12.5" style="326" customWidth="1"/>
    <col min="15436" max="15438" width="9" style="326"/>
    <col min="15439" max="15439" width="12.875" style="326" customWidth="1"/>
    <col min="15440" max="15440" width="9" style="326"/>
    <col min="15441" max="15441" width="10.75" style="326" bestFit="1" customWidth="1"/>
    <col min="15442" max="15442" width="13.875" style="326" customWidth="1"/>
    <col min="15443" max="15445" width="9" style="326"/>
    <col min="15446" max="15446" width="14.125" style="326" customWidth="1"/>
    <col min="15447" max="15447" width="9" style="326"/>
    <col min="15448" max="15448" width="10.75" style="326" bestFit="1" customWidth="1"/>
    <col min="15449" max="15449" width="13.25" style="326" customWidth="1"/>
    <col min="15450" max="15452" width="9" style="326"/>
    <col min="15453" max="15453" width="13.25" style="326" customWidth="1"/>
    <col min="15454" max="15454" width="9" style="326"/>
    <col min="15455" max="15455" width="10.75" style="326" bestFit="1" customWidth="1"/>
    <col min="15456" max="15456" width="13.875" style="326" customWidth="1"/>
    <col min="15457" max="15459" width="9" style="326"/>
    <col min="15460" max="15460" width="13.625" style="326" customWidth="1"/>
    <col min="15461" max="15461" width="9" style="326"/>
    <col min="15462" max="15462" width="10.75" style="326" bestFit="1" customWidth="1"/>
    <col min="15463" max="15463" width="13" style="326" customWidth="1"/>
    <col min="15464" max="15610" width="9" style="326"/>
    <col min="15611" max="15612" width="12.125" style="326" customWidth="1"/>
    <col min="15613" max="15615" width="13" style="326" customWidth="1"/>
    <col min="15616" max="15616" width="12.875" style="326" customWidth="1"/>
    <col min="15617" max="15617" width="13" style="326" customWidth="1"/>
    <col min="15618" max="15618" width="13.125" style="326" customWidth="1"/>
    <col min="15619" max="15620" width="12.125" style="326" customWidth="1"/>
    <col min="15621" max="15621" width="14.375" style="326" bestFit="1" customWidth="1"/>
    <col min="15622" max="15622" width="11" style="326" customWidth="1"/>
    <col min="15623" max="15623" width="10" style="326" customWidth="1"/>
    <col min="15624" max="15624" width="10.875" style="326" customWidth="1"/>
    <col min="15625" max="15625" width="13.75" style="326" customWidth="1"/>
    <col min="15626" max="15626" width="10" style="326" customWidth="1"/>
    <col min="15627" max="15627" width="13.25" style="326" customWidth="1"/>
    <col min="15628" max="15628" width="14.375" style="326" customWidth="1"/>
    <col min="15629" max="15629" width="10" style="326" customWidth="1"/>
    <col min="15630" max="15630" width="10.875" style="326" customWidth="1"/>
    <col min="15631" max="15631" width="11.375" style="326" customWidth="1"/>
    <col min="15632" max="15632" width="15.375" style="326" customWidth="1"/>
    <col min="15633" max="15634" width="10.75" style="326" customWidth="1"/>
    <col min="15635" max="15635" width="14.375" style="326" customWidth="1"/>
    <col min="15636" max="15636" width="10.75" style="326" customWidth="1"/>
    <col min="15637" max="15637" width="11.75" style="326" customWidth="1"/>
    <col min="15638" max="15638" width="10" style="326" customWidth="1"/>
    <col min="15639" max="15639" width="15.375" style="326" customWidth="1"/>
    <col min="15640" max="15640" width="10" style="326" customWidth="1"/>
    <col min="15641" max="15641" width="10.75" style="326" customWidth="1"/>
    <col min="15642" max="15642" width="14.875" style="326" customWidth="1"/>
    <col min="15643" max="15643" width="11.5" style="326" customWidth="1"/>
    <col min="15644" max="15644" width="10" style="326" customWidth="1"/>
    <col min="15645" max="15645" width="10.75" style="326" customWidth="1"/>
    <col min="15646" max="15646" width="13.5" style="326" customWidth="1"/>
    <col min="15647" max="15647" width="9" style="326"/>
    <col min="15648" max="15648" width="10.75" style="326" bestFit="1" customWidth="1"/>
    <col min="15649" max="15649" width="13.75" style="326" customWidth="1"/>
    <col min="15650" max="15650" width="9" style="326"/>
    <col min="15651" max="15651" width="10.625" style="326" customWidth="1"/>
    <col min="15652" max="15652" width="9" style="326"/>
    <col min="15653" max="15653" width="14.25" style="326" customWidth="1"/>
    <col min="15654" max="15654" width="10.75" style="326" bestFit="1" customWidth="1"/>
    <col min="15655" max="15655" width="11.625" style="326" customWidth="1"/>
    <col min="15656" max="15656" width="13.75" style="326" customWidth="1"/>
    <col min="15657" max="15657" width="10.625" style="326" customWidth="1"/>
    <col min="15658" max="15659" width="9" style="326"/>
    <col min="15660" max="15660" width="14.125" style="326" customWidth="1"/>
    <col min="15661" max="15661" width="11" style="326" customWidth="1"/>
    <col min="15662" max="15662" width="10.75" style="326" bestFit="1" customWidth="1"/>
    <col min="15663" max="15663" width="13.5" style="326" customWidth="1"/>
    <col min="15664" max="15665" width="9" style="326"/>
    <col min="15666" max="15666" width="10.75" style="326" bestFit="1" customWidth="1"/>
    <col min="15667" max="15667" width="14" style="326" customWidth="1"/>
    <col min="15668" max="15668" width="9" style="326"/>
    <col min="15669" max="15669" width="10.75" style="326" customWidth="1"/>
    <col min="15670" max="15670" width="12.75" style="326" customWidth="1"/>
    <col min="15671" max="15671" width="9" style="326"/>
    <col min="15672" max="15672" width="10.75" style="326" bestFit="1" customWidth="1"/>
    <col min="15673" max="15673" width="11.5" style="326" customWidth="1"/>
    <col min="15674" max="15674" width="13.625" style="326" customWidth="1"/>
    <col min="15675" max="15675" width="10.625" style="326" customWidth="1"/>
    <col min="15676" max="15676" width="10.75" style="326" bestFit="1" customWidth="1"/>
    <col min="15677" max="15677" width="12.375" style="326" customWidth="1"/>
    <col min="15678" max="15680" width="9" style="326"/>
    <col min="15681" max="15681" width="15.75" style="326" customWidth="1"/>
    <col min="15682" max="15682" width="9" style="326"/>
    <col min="15683" max="15683" width="10.75" style="326" bestFit="1" customWidth="1"/>
    <col min="15684" max="15684" width="12.625" style="326" customWidth="1"/>
    <col min="15685" max="15687" width="9" style="326"/>
    <col min="15688" max="15688" width="13.625" style="326" customWidth="1"/>
    <col min="15689" max="15689" width="9" style="326"/>
    <col min="15690" max="15690" width="10.75" style="326" bestFit="1" customWidth="1"/>
    <col min="15691" max="15691" width="12.5" style="326" customWidth="1"/>
    <col min="15692" max="15694" width="9" style="326"/>
    <col min="15695" max="15695" width="12.875" style="326" customWidth="1"/>
    <col min="15696" max="15696" width="9" style="326"/>
    <col min="15697" max="15697" width="10.75" style="326" bestFit="1" customWidth="1"/>
    <col min="15698" max="15698" width="13.875" style="326" customWidth="1"/>
    <col min="15699" max="15701" width="9" style="326"/>
    <col min="15702" max="15702" width="14.125" style="326" customWidth="1"/>
    <col min="15703" max="15703" width="9" style="326"/>
    <col min="15704" max="15704" width="10.75" style="326" bestFit="1" customWidth="1"/>
    <col min="15705" max="15705" width="13.25" style="326" customWidth="1"/>
    <col min="15706" max="15708" width="9" style="326"/>
    <col min="15709" max="15709" width="13.25" style="326" customWidth="1"/>
    <col min="15710" max="15710" width="9" style="326"/>
    <col min="15711" max="15711" width="10.75" style="326" bestFit="1" customWidth="1"/>
    <col min="15712" max="15712" width="13.875" style="326" customWidth="1"/>
    <col min="15713" max="15715" width="9" style="326"/>
    <col min="15716" max="15716" width="13.625" style="326" customWidth="1"/>
    <col min="15717" max="15717" width="9" style="326"/>
    <col min="15718" max="15718" width="10.75" style="326" bestFit="1" customWidth="1"/>
    <col min="15719" max="15719" width="13" style="326" customWidth="1"/>
    <col min="15720" max="15866" width="9" style="326"/>
    <col min="15867" max="15868" width="12.125" style="326" customWidth="1"/>
    <col min="15869" max="15871" width="13" style="326" customWidth="1"/>
    <col min="15872" max="15872" width="12.875" style="326" customWidth="1"/>
    <col min="15873" max="15873" width="13" style="326" customWidth="1"/>
    <col min="15874" max="15874" width="13.125" style="326" customWidth="1"/>
    <col min="15875" max="15876" width="12.125" style="326" customWidth="1"/>
    <col min="15877" max="15877" width="14.375" style="326" bestFit="1" customWidth="1"/>
    <col min="15878" max="15878" width="11" style="326" customWidth="1"/>
    <col min="15879" max="15879" width="10" style="326" customWidth="1"/>
    <col min="15880" max="15880" width="10.875" style="326" customWidth="1"/>
    <col min="15881" max="15881" width="13.75" style="326" customWidth="1"/>
    <col min="15882" max="15882" width="10" style="326" customWidth="1"/>
    <col min="15883" max="15883" width="13.25" style="326" customWidth="1"/>
    <col min="15884" max="15884" width="14.375" style="326" customWidth="1"/>
    <col min="15885" max="15885" width="10" style="326" customWidth="1"/>
    <col min="15886" max="15886" width="10.875" style="326" customWidth="1"/>
    <col min="15887" max="15887" width="11.375" style="326" customWidth="1"/>
    <col min="15888" max="15888" width="15.375" style="326" customWidth="1"/>
    <col min="15889" max="15890" width="10.75" style="326" customWidth="1"/>
    <col min="15891" max="15891" width="14.375" style="326" customWidth="1"/>
    <col min="15892" max="15892" width="10.75" style="326" customWidth="1"/>
    <col min="15893" max="15893" width="11.75" style="326" customWidth="1"/>
    <col min="15894" max="15894" width="10" style="326" customWidth="1"/>
    <col min="15895" max="15895" width="15.375" style="326" customWidth="1"/>
    <col min="15896" max="15896" width="10" style="326" customWidth="1"/>
    <col min="15897" max="15897" width="10.75" style="326" customWidth="1"/>
    <col min="15898" max="15898" width="14.875" style="326" customWidth="1"/>
    <col min="15899" max="15899" width="11.5" style="326" customWidth="1"/>
    <col min="15900" max="15900" width="10" style="326" customWidth="1"/>
    <col min="15901" max="15901" width="10.75" style="326" customWidth="1"/>
    <col min="15902" max="15902" width="13.5" style="326" customWidth="1"/>
    <col min="15903" max="15903" width="9" style="326"/>
    <col min="15904" max="15904" width="10.75" style="326" bestFit="1" customWidth="1"/>
    <col min="15905" max="15905" width="13.75" style="326" customWidth="1"/>
    <col min="15906" max="15906" width="9" style="326"/>
    <col min="15907" max="15907" width="10.625" style="326" customWidth="1"/>
    <col min="15908" max="15908" width="9" style="326"/>
    <col min="15909" max="15909" width="14.25" style="326" customWidth="1"/>
    <col min="15910" max="15910" width="10.75" style="326" bestFit="1" customWidth="1"/>
    <col min="15911" max="15911" width="11.625" style="326" customWidth="1"/>
    <col min="15912" max="15912" width="13.75" style="326" customWidth="1"/>
    <col min="15913" max="15913" width="10.625" style="326" customWidth="1"/>
    <col min="15914" max="15915" width="9" style="326"/>
    <col min="15916" max="15916" width="14.125" style="326" customWidth="1"/>
    <col min="15917" max="15917" width="11" style="326" customWidth="1"/>
    <col min="15918" max="15918" width="10.75" style="326" bestFit="1" customWidth="1"/>
    <col min="15919" max="15919" width="13.5" style="326" customWidth="1"/>
    <col min="15920" max="15921" width="9" style="326"/>
    <col min="15922" max="15922" width="10.75" style="326" bestFit="1" customWidth="1"/>
    <col min="15923" max="15923" width="14" style="326" customWidth="1"/>
    <col min="15924" max="15924" width="9" style="326"/>
    <col min="15925" max="15925" width="10.75" style="326" customWidth="1"/>
    <col min="15926" max="15926" width="12.75" style="326" customWidth="1"/>
    <col min="15927" max="15927" width="9" style="326"/>
    <col min="15928" max="15928" width="10.75" style="326" bestFit="1" customWidth="1"/>
    <col min="15929" max="15929" width="11.5" style="326" customWidth="1"/>
    <col min="15930" max="15930" width="13.625" style="326" customWidth="1"/>
    <col min="15931" max="15931" width="10.625" style="326" customWidth="1"/>
    <col min="15932" max="15932" width="10.75" style="326" bestFit="1" customWidth="1"/>
    <col min="15933" max="15933" width="12.375" style="326" customWidth="1"/>
    <col min="15934" max="15936" width="9" style="326"/>
    <col min="15937" max="15937" width="15.75" style="326" customWidth="1"/>
    <col min="15938" max="15938" width="9" style="326"/>
    <col min="15939" max="15939" width="10.75" style="326" bestFit="1" customWidth="1"/>
    <col min="15940" max="15940" width="12.625" style="326" customWidth="1"/>
    <col min="15941" max="15943" width="9" style="326"/>
    <col min="15944" max="15944" width="13.625" style="326" customWidth="1"/>
    <col min="15945" max="15945" width="9" style="326"/>
    <col min="15946" max="15946" width="10.75" style="326" bestFit="1" customWidth="1"/>
    <col min="15947" max="15947" width="12.5" style="326" customWidth="1"/>
    <col min="15948" max="15950" width="9" style="326"/>
    <col min="15951" max="15951" width="12.875" style="326" customWidth="1"/>
    <col min="15952" max="15952" width="9" style="326"/>
    <col min="15953" max="15953" width="10.75" style="326" bestFit="1" customWidth="1"/>
    <col min="15954" max="15954" width="13.875" style="326" customWidth="1"/>
    <col min="15955" max="15957" width="9" style="326"/>
    <col min="15958" max="15958" width="14.125" style="326" customWidth="1"/>
    <col min="15959" max="15959" width="9" style="326"/>
    <col min="15960" max="15960" width="10.75" style="326" bestFit="1" customWidth="1"/>
    <col min="15961" max="15961" width="13.25" style="326" customWidth="1"/>
    <col min="15962" max="15964" width="9" style="326"/>
    <col min="15965" max="15965" width="13.25" style="326" customWidth="1"/>
    <col min="15966" max="15966" width="9" style="326"/>
    <col min="15967" max="15967" width="10.75" style="326" bestFit="1" customWidth="1"/>
    <col min="15968" max="15968" width="13.875" style="326" customWidth="1"/>
    <col min="15969" max="15971" width="9" style="326"/>
    <col min="15972" max="15972" width="13.625" style="326" customWidth="1"/>
    <col min="15973" max="15973" width="9" style="326"/>
    <col min="15974" max="15974" width="10.75" style="326" bestFit="1" customWidth="1"/>
    <col min="15975" max="15975" width="13" style="326" customWidth="1"/>
    <col min="15976" max="16122" width="9" style="326"/>
    <col min="16123" max="16124" width="12.125" style="326" customWidth="1"/>
    <col min="16125" max="16127" width="13" style="326" customWidth="1"/>
    <col min="16128" max="16128" width="12.875" style="326" customWidth="1"/>
    <col min="16129" max="16129" width="13" style="326" customWidth="1"/>
    <col min="16130" max="16130" width="13.125" style="326" customWidth="1"/>
    <col min="16131" max="16132" width="12.125" style="326" customWidth="1"/>
    <col min="16133" max="16133" width="14.375" style="326" bestFit="1" customWidth="1"/>
    <col min="16134" max="16134" width="11" style="326" customWidth="1"/>
    <col min="16135" max="16135" width="10" style="326" customWidth="1"/>
    <col min="16136" max="16136" width="10.875" style="326" customWidth="1"/>
    <col min="16137" max="16137" width="13.75" style="326" customWidth="1"/>
    <col min="16138" max="16138" width="10" style="326" customWidth="1"/>
    <col min="16139" max="16139" width="13.25" style="326" customWidth="1"/>
    <col min="16140" max="16140" width="14.375" style="326" customWidth="1"/>
    <col min="16141" max="16141" width="10" style="326" customWidth="1"/>
    <col min="16142" max="16142" width="10.875" style="326" customWidth="1"/>
    <col min="16143" max="16143" width="11.375" style="326" customWidth="1"/>
    <col min="16144" max="16144" width="15.375" style="326" customWidth="1"/>
    <col min="16145" max="16146" width="10.75" style="326" customWidth="1"/>
    <col min="16147" max="16147" width="14.375" style="326" customWidth="1"/>
    <col min="16148" max="16148" width="10.75" style="326" customWidth="1"/>
    <col min="16149" max="16149" width="11.75" style="326" customWidth="1"/>
    <col min="16150" max="16150" width="10" style="326" customWidth="1"/>
    <col min="16151" max="16151" width="15.375" style="326" customWidth="1"/>
    <col min="16152" max="16152" width="10" style="326" customWidth="1"/>
    <col min="16153" max="16153" width="10.75" style="326" customWidth="1"/>
    <col min="16154" max="16154" width="14.875" style="326" customWidth="1"/>
    <col min="16155" max="16155" width="11.5" style="326" customWidth="1"/>
    <col min="16156" max="16156" width="10" style="326" customWidth="1"/>
    <col min="16157" max="16157" width="10.75" style="326" customWidth="1"/>
    <col min="16158" max="16158" width="13.5" style="326" customWidth="1"/>
    <col min="16159" max="16159" width="9" style="326"/>
    <col min="16160" max="16160" width="10.75" style="326" bestFit="1" customWidth="1"/>
    <col min="16161" max="16161" width="13.75" style="326" customWidth="1"/>
    <col min="16162" max="16162" width="9" style="326"/>
    <col min="16163" max="16163" width="10.625" style="326" customWidth="1"/>
    <col min="16164" max="16164" width="9" style="326"/>
    <col min="16165" max="16165" width="14.25" style="326" customWidth="1"/>
    <col min="16166" max="16166" width="10.75" style="326" bestFit="1" customWidth="1"/>
    <col min="16167" max="16167" width="11.625" style="326" customWidth="1"/>
    <col min="16168" max="16168" width="13.75" style="326" customWidth="1"/>
    <col min="16169" max="16169" width="10.625" style="326" customWidth="1"/>
    <col min="16170" max="16171" width="9" style="326"/>
    <col min="16172" max="16172" width="14.125" style="326" customWidth="1"/>
    <col min="16173" max="16173" width="11" style="326" customWidth="1"/>
    <col min="16174" max="16174" width="10.75" style="326" bestFit="1" customWidth="1"/>
    <col min="16175" max="16175" width="13.5" style="326" customWidth="1"/>
    <col min="16176" max="16177" width="9" style="326"/>
    <col min="16178" max="16178" width="10.75" style="326" bestFit="1" customWidth="1"/>
    <col min="16179" max="16179" width="14" style="326" customWidth="1"/>
    <col min="16180" max="16180" width="9" style="326"/>
    <col min="16181" max="16181" width="10.75" style="326" customWidth="1"/>
    <col min="16182" max="16182" width="12.75" style="326" customWidth="1"/>
    <col min="16183" max="16183" width="9" style="326"/>
    <col min="16184" max="16184" width="10.75" style="326" bestFit="1" customWidth="1"/>
    <col min="16185" max="16185" width="11.5" style="326" customWidth="1"/>
    <col min="16186" max="16186" width="13.625" style="326" customWidth="1"/>
    <col min="16187" max="16187" width="10.625" style="326" customWidth="1"/>
    <col min="16188" max="16188" width="10.75" style="326" bestFit="1" customWidth="1"/>
    <col min="16189" max="16189" width="12.375" style="326" customWidth="1"/>
    <col min="16190" max="16192" width="9" style="326"/>
    <col min="16193" max="16193" width="15.75" style="326" customWidth="1"/>
    <col min="16194" max="16194" width="9" style="326"/>
    <col min="16195" max="16195" width="10.75" style="326" bestFit="1" customWidth="1"/>
    <col min="16196" max="16196" width="12.625" style="326" customWidth="1"/>
    <col min="16197" max="16199" width="9" style="326"/>
    <col min="16200" max="16200" width="13.625" style="326" customWidth="1"/>
    <col min="16201" max="16201" width="9" style="326"/>
    <col min="16202" max="16202" width="10.75" style="326" bestFit="1" customWidth="1"/>
    <col min="16203" max="16203" width="12.5" style="326" customWidth="1"/>
    <col min="16204" max="16206" width="9" style="326"/>
    <col min="16207" max="16207" width="12.875" style="326" customWidth="1"/>
    <col min="16208" max="16208" width="9" style="326"/>
    <col min="16209" max="16209" width="10.75" style="326" bestFit="1" customWidth="1"/>
    <col min="16210" max="16210" width="13.875" style="326" customWidth="1"/>
    <col min="16211" max="16213" width="9" style="326"/>
    <col min="16214" max="16214" width="14.125" style="326" customWidth="1"/>
    <col min="16215" max="16215" width="9" style="326"/>
    <col min="16216" max="16216" width="10.75" style="326" bestFit="1" customWidth="1"/>
    <col min="16217" max="16217" width="13.25" style="326" customWidth="1"/>
    <col min="16218" max="16220" width="9" style="326"/>
    <col min="16221" max="16221" width="13.25" style="326" customWidth="1"/>
    <col min="16222" max="16222" width="9" style="326"/>
    <col min="16223" max="16223" width="10.75" style="326" bestFit="1" customWidth="1"/>
    <col min="16224" max="16224" width="13.875" style="326" customWidth="1"/>
    <col min="16225" max="16227" width="9" style="326"/>
    <col min="16228" max="16228" width="13.625" style="326" customWidth="1"/>
    <col min="16229" max="16229" width="9" style="326"/>
    <col min="16230" max="16230" width="10.75" style="326" bestFit="1" customWidth="1"/>
    <col min="16231" max="16231" width="13" style="326" customWidth="1"/>
    <col min="16232" max="16384" width="9" style="326"/>
  </cols>
  <sheetData>
    <row r="1" spans="1:41" ht="18.75" customHeight="1">
      <c r="D1" s="325" t="s">
        <v>262</v>
      </c>
      <c r="E1" s="327">
        <f>A5</f>
        <v>2006</v>
      </c>
      <c r="F1" s="326" t="s">
        <v>368</v>
      </c>
      <c r="G1" s="328">
        <v>0</v>
      </c>
      <c r="H1" s="329"/>
      <c r="I1" s="328"/>
    </row>
    <row r="2" spans="1:41" ht="24.95" customHeight="1">
      <c r="A2" s="330" t="s">
        <v>1212</v>
      </c>
      <c r="C2" s="330"/>
    </row>
    <row r="3" spans="1:41" ht="9.9499999999999993" customHeight="1">
      <c r="A3" s="2262"/>
      <c r="B3" s="425"/>
      <c r="C3" s="426"/>
      <c r="D3" s="426"/>
      <c r="E3" s="426"/>
      <c r="F3" s="426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2"/>
      <c r="Z3" s="331"/>
      <c r="AA3" s="332"/>
      <c r="AB3" s="333"/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1"/>
      <c r="AN3" s="331"/>
      <c r="AO3" s="332"/>
    </row>
    <row r="4" spans="1:41" s="344" customFormat="1" ht="14.1" customHeight="1">
      <c r="A4" s="334" t="s">
        <v>264</v>
      </c>
      <c r="B4" s="335" t="s">
        <v>369</v>
      </c>
      <c r="C4" s="336" t="s">
        <v>370</v>
      </c>
      <c r="D4" s="337" t="s">
        <v>371</v>
      </c>
      <c r="E4" s="337" t="s">
        <v>372</v>
      </c>
      <c r="F4" s="338" t="s">
        <v>373</v>
      </c>
      <c r="G4" s="339" t="s">
        <v>374</v>
      </c>
      <c r="H4" s="340" t="s">
        <v>375</v>
      </c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41"/>
      <c r="W4" s="341"/>
      <c r="X4" s="341"/>
      <c r="Y4" s="342"/>
      <c r="Z4" s="341"/>
      <c r="AA4" s="342"/>
      <c r="AB4" s="343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341"/>
      <c r="AN4" s="341"/>
      <c r="AO4" s="342"/>
    </row>
    <row r="5" spans="1:41" s="344" customFormat="1" ht="14.1" customHeight="1">
      <c r="A5" s="345">
        <v>2006</v>
      </c>
      <c r="B5" s="346">
        <f>+'1.1.2 인구분석'!E41</f>
        <v>19788</v>
      </c>
      <c r="C5" s="347">
        <f>I65</f>
        <v>20797</v>
      </c>
      <c r="D5" s="348">
        <f>I104</f>
        <v>20790</v>
      </c>
      <c r="E5" s="349">
        <f>I142</f>
        <v>19980</v>
      </c>
      <c r="F5" s="350">
        <f>I178</f>
        <v>19175</v>
      </c>
      <c r="G5" s="351">
        <f t="shared" ref="G5:G34" si="0">ROUND(SUMIF(C$38:H$38,"○",C5:H5),$G$1)</f>
        <v>39155</v>
      </c>
      <c r="H5" s="352">
        <f>B5</f>
        <v>19788</v>
      </c>
      <c r="I5" s="2316" t="s">
        <v>272</v>
      </c>
      <c r="J5" s="2317"/>
      <c r="K5" s="353"/>
      <c r="L5" s="341"/>
      <c r="M5" s="341"/>
      <c r="N5" s="341"/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2"/>
      <c r="Z5" s="341"/>
      <c r="AA5" s="342"/>
      <c r="AB5" s="343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2"/>
    </row>
    <row r="6" spans="1:41" s="344" customFormat="1" ht="14.1" customHeight="1">
      <c r="A6" s="354">
        <v>2007</v>
      </c>
      <c r="B6" s="355">
        <f>+'1.1.2 인구분석'!E42</f>
        <v>20615</v>
      </c>
      <c r="C6" s="356">
        <f t="shared" ref="C6:C37" si="1">I66</f>
        <v>21105</v>
      </c>
      <c r="D6" s="357">
        <f t="shared" ref="D6:D37" si="2">I105</f>
        <v>21085</v>
      </c>
      <c r="E6" s="358">
        <f t="shared" ref="E6:E37" si="3">I143</f>
        <v>20963</v>
      </c>
      <c r="F6" s="359">
        <f t="shared" ref="F6:F37" si="4">I179</f>
        <v>20523</v>
      </c>
      <c r="G6" s="351">
        <f t="shared" si="0"/>
        <v>41486</v>
      </c>
      <c r="H6" s="352">
        <f>B6</f>
        <v>20615</v>
      </c>
      <c r="I6" s="360" t="s">
        <v>273</v>
      </c>
      <c r="J6" s="361">
        <f>ROUND(((B15/B10)^(1/(A15-A10))-1)*100,2)</f>
        <v>0.72</v>
      </c>
      <c r="K6" s="353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2"/>
      <c r="Z6" s="341"/>
      <c r="AA6" s="342"/>
      <c r="AB6" s="343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2"/>
    </row>
    <row r="7" spans="1:41" s="344" customFormat="1" ht="14.1" customHeight="1">
      <c r="A7" s="354">
        <v>2008</v>
      </c>
      <c r="B7" s="355">
        <f>+'1.1.2 인구분석'!E43</f>
        <v>22162</v>
      </c>
      <c r="C7" s="356">
        <f t="shared" si="1"/>
        <v>21413</v>
      </c>
      <c r="D7" s="357">
        <f t="shared" si="2"/>
        <v>21384</v>
      </c>
      <c r="E7" s="358">
        <f t="shared" si="3"/>
        <v>21560</v>
      </c>
      <c r="F7" s="359">
        <f t="shared" si="4"/>
        <v>21487</v>
      </c>
      <c r="G7" s="351">
        <f t="shared" si="0"/>
        <v>43047</v>
      </c>
      <c r="H7" s="352">
        <f t="shared" ref="H7:H15" si="5">B7</f>
        <v>22162</v>
      </c>
      <c r="I7" s="360" t="s">
        <v>274</v>
      </c>
      <c r="J7" s="360">
        <f>ROUND(((B15/B5)^(1/(A15-A5))-1)*100,2)</f>
        <v>1.69</v>
      </c>
      <c r="K7" s="353"/>
      <c r="L7" s="362"/>
      <c r="M7" s="363"/>
      <c r="N7" s="341"/>
      <c r="O7" s="341"/>
      <c r="P7" s="341"/>
      <c r="Q7" s="341"/>
      <c r="R7" s="341"/>
      <c r="S7" s="341"/>
      <c r="T7" s="341"/>
      <c r="U7" s="341"/>
      <c r="V7" s="341"/>
      <c r="W7" s="341"/>
      <c r="X7" s="341"/>
      <c r="Y7" s="342"/>
      <c r="Z7" s="341"/>
      <c r="AA7" s="342"/>
      <c r="AB7" s="343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2"/>
    </row>
    <row r="8" spans="1:41" s="344" customFormat="1" ht="14.1" customHeight="1">
      <c r="A8" s="354">
        <v>2009</v>
      </c>
      <c r="B8" s="355">
        <f>+'1.1.2 인구분석'!E44</f>
        <v>22357</v>
      </c>
      <c r="C8" s="356">
        <f t="shared" si="1"/>
        <v>21720</v>
      </c>
      <c r="D8" s="357">
        <f t="shared" si="2"/>
        <v>21688</v>
      </c>
      <c r="E8" s="358">
        <f t="shared" si="3"/>
        <v>21993</v>
      </c>
      <c r="F8" s="359">
        <f t="shared" si="4"/>
        <v>22152</v>
      </c>
      <c r="G8" s="351">
        <f t="shared" si="0"/>
        <v>44145</v>
      </c>
      <c r="H8" s="352">
        <f t="shared" si="5"/>
        <v>22357</v>
      </c>
      <c r="I8" s="341"/>
      <c r="J8" s="341"/>
      <c r="K8" s="341"/>
      <c r="L8" s="341"/>
      <c r="M8" s="341"/>
      <c r="N8" s="341"/>
      <c r="O8" s="341"/>
      <c r="P8" s="341"/>
      <c r="Q8" s="341"/>
      <c r="R8" s="341"/>
      <c r="S8" s="341"/>
      <c r="T8" s="341"/>
      <c r="U8" s="341"/>
      <c r="V8" s="341"/>
      <c r="W8" s="341"/>
      <c r="X8" s="341"/>
      <c r="Y8" s="342"/>
      <c r="Z8" s="341"/>
      <c r="AA8" s="342"/>
      <c r="AB8" s="343"/>
      <c r="AC8" s="341"/>
      <c r="AD8" s="341"/>
      <c r="AE8" s="341"/>
      <c r="AF8" s="341"/>
      <c r="AG8" s="341"/>
      <c r="AH8" s="341"/>
      <c r="AI8" s="341"/>
      <c r="AJ8" s="341"/>
      <c r="AK8" s="341"/>
      <c r="AL8" s="341"/>
      <c r="AM8" s="341"/>
      <c r="AN8" s="341"/>
      <c r="AO8" s="342"/>
    </row>
    <row r="9" spans="1:41" s="344" customFormat="1" ht="14.1" customHeight="1">
      <c r="A9" s="354">
        <v>2010</v>
      </c>
      <c r="B9" s="355">
        <f>+'1.1.2 인구분석'!E45</f>
        <v>22538</v>
      </c>
      <c r="C9" s="356">
        <f t="shared" si="1"/>
        <v>22028</v>
      </c>
      <c r="D9" s="357">
        <f t="shared" si="2"/>
        <v>21995</v>
      </c>
      <c r="E9" s="358">
        <f t="shared" si="3"/>
        <v>22336</v>
      </c>
      <c r="F9" s="359">
        <f t="shared" si="4"/>
        <v>22598</v>
      </c>
      <c r="G9" s="351">
        <f t="shared" si="0"/>
        <v>44934</v>
      </c>
      <c r="H9" s="352">
        <f t="shared" si="5"/>
        <v>22538</v>
      </c>
      <c r="I9" s="341"/>
      <c r="J9" s="341"/>
      <c r="K9" s="353"/>
      <c r="L9" s="341"/>
      <c r="M9" s="341"/>
      <c r="N9" s="341"/>
      <c r="O9" s="341"/>
      <c r="P9" s="341"/>
      <c r="Q9" s="341"/>
      <c r="R9" s="341"/>
      <c r="S9" s="341"/>
      <c r="T9" s="341"/>
      <c r="U9" s="341"/>
      <c r="V9" s="341"/>
      <c r="W9" s="341"/>
      <c r="X9" s="341"/>
      <c r="Y9" s="342"/>
      <c r="Z9" s="341"/>
      <c r="AA9" s="342"/>
      <c r="AB9" s="343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2"/>
    </row>
    <row r="10" spans="1:41" s="344" customFormat="1" ht="14.1" customHeight="1">
      <c r="A10" s="354">
        <v>2011</v>
      </c>
      <c r="B10" s="355">
        <f>+'1.1.2 인구분석'!E46</f>
        <v>22572</v>
      </c>
      <c r="C10" s="356">
        <f t="shared" si="1"/>
        <v>22336</v>
      </c>
      <c r="D10" s="357">
        <f t="shared" si="2"/>
        <v>22307</v>
      </c>
      <c r="E10" s="358">
        <f t="shared" si="3"/>
        <v>22619</v>
      </c>
      <c r="F10" s="359">
        <f t="shared" si="4"/>
        <v>22892</v>
      </c>
      <c r="G10" s="351">
        <f t="shared" si="0"/>
        <v>45511</v>
      </c>
      <c r="H10" s="352">
        <f t="shared" si="5"/>
        <v>22572</v>
      </c>
      <c r="I10" s="341"/>
      <c r="J10" s="341"/>
      <c r="K10" s="353"/>
      <c r="L10" s="341"/>
      <c r="M10" s="341"/>
      <c r="N10" s="341"/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2"/>
      <c r="Z10" s="341"/>
      <c r="AA10" s="342"/>
      <c r="AB10" s="343"/>
      <c r="AC10" s="341"/>
      <c r="AD10" s="341"/>
      <c r="AE10" s="341"/>
      <c r="AF10" s="341"/>
      <c r="AG10" s="341"/>
      <c r="AH10" s="341"/>
      <c r="AI10" s="341"/>
      <c r="AJ10" s="341"/>
      <c r="AK10" s="341"/>
      <c r="AL10" s="341"/>
      <c r="AM10" s="341"/>
      <c r="AN10" s="341"/>
      <c r="AO10" s="342"/>
    </row>
    <row r="11" spans="1:41" s="344" customFormat="1" ht="14.1" customHeight="1">
      <c r="A11" s="354">
        <v>2012</v>
      </c>
      <c r="B11" s="355">
        <f>+'1.1.2 인구분석'!E47</f>
        <v>22563</v>
      </c>
      <c r="C11" s="356">
        <f t="shared" si="1"/>
        <v>22643</v>
      </c>
      <c r="D11" s="357">
        <f t="shared" si="2"/>
        <v>22624</v>
      </c>
      <c r="E11" s="358">
        <f t="shared" si="3"/>
        <v>22862</v>
      </c>
      <c r="F11" s="359">
        <f t="shared" si="4"/>
        <v>23084</v>
      </c>
      <c r="G11" s="351">
        <f t="shared" si="0"/>
        <v>45946</v>
      </c>
      <c r="H11" s="352">
        <f t="shared" si="5"/>
        <v>22563</v>
      </c>
      <c r="I11" s="341"/>
      <c r="J11" s="341"/>
      <c r="K11" s="353"/>
      <c r="L11" s="341"/>
      <c r="M11" s="341"/>
      <c r="N11" s="341"/>
      <c r="O11" s="341"/>
      <c r="P11" s="341"/>
      <c r="Q11" s="341"/>
      <c r="R11" s="341"/>
      <c r="S11" s="341"/>
      <c r="T11" s="341"/>
      <c r="U11" s="341"/>
      <c r="V11" s="341"/>
      <c r="W11" s="341"/>
      <c r="X11" s="341"/>
      <c r="Y11" s="342"/>
      <c r="Z11" s="341"/>
      <c r="AA11" s="342"/>
      <c r="AB11" s="343"/>
      <c r="AC11" s="341"/>
      <c r="AD11" s="341"/>
      <c r="AE11" s="341"/>
      <c r="AF11" s="341"/>
      <c r="AG11" s="341"/>
      <c r="AH11" s="341"/>
      <c r="AI11" s="341"/>
      <c r="AJ11" s="341"/>
      <c r="AK11" s="341"/>
      <c r="AL11" s="341"/>
      <c r="AM11" s="341"/>
      <c r="AN11" s="341"/>
      <c r="AO11" s="342"/>
    </row>
    <row r="12" spans="1:41" s="344" customFormat="1" ht="14.1" customHeight="1">
      <c r="A12" s="354">
        <v>2013</v>
      </c>
      <c r="B12" s="355">
        <f>+'1.1.2 인구분석'!E48</f>
        <v>23002</v>
      </c>
      <c r="C12" s="356">
        <f t="shared" si="1"/>
        <v>22951</v>
      </c>
      <c r="D12" s="357">
        <f t="shared" si="2"/>
        <v>22945</v>
      </c>
      <c r="E12" s="358">
        <f t="shared" si="3"/>
        <v>23074</v>
      </c>
      <c r="F12" s="359">
        <f t="shared" si="4"/>
        <v>23208</v>
      </c>
      <c r="G12" s="351">
        <f t="shared" si="0"/>
        <v>46282</v>
      </c>
      <c r="H12" s="352">
        <f t="shared" si="5"/>
        <v>23002</v>
      </c>
      <c r="I12" s="341"/>
      <c r="J12" s="341"/>
      <c r="K12" s="353"/>
      <c r="L12" s="341"/>
      <c r="M12" s="341"/>
      <c r="N12" s="341"/>
      <c r="O12" s="341"/>
      <c r="P12" s="341"/>
      <c r="Q12" s="341"/>
      <c r="R12" s="341"/>
      <c r="S12" s="341"/>
      <c r="T12" s="341"/>
      <c r="U12" s="341"/>
      <c r="V12" s="341"/>
      <c r="W12" s="341"/>
      <c r="X12" s="341"/>
      <c r="Y12" s="342"/>
      <c r="Z12" s="341"/>
      <c r="AA12" s="342"/>
      <c r="AB12" s="343"/>
      <c r="AC12" s="341"/>
      <c r="AD12" s="341"/>
      <c r="AE12" s="341"/>
      <c r="AF12" s="341"/>
      <c r="AG12" s="341"/>
      <c r="AH12" s="341"/>
      <c r="AI12" s="341"/>
      <c r="AJ12" s="341"/>
      <c r="AK12" s="341"/>
      <c r="AL12" s="341"/>
      <c r="AM12" s="341"/>
      <c r="AN12" s="341"/>
      <c r="AO12" s="342"/>
    </row>
    <row r="13" spans="1:41" s="344" customFormat="1" ht="14.1" customHeight="1">
      <c r="A13" s="354">
        <v>2014</v>
      </c>
      <c r="B13" s="355">
        <f>+'1.1.2 인구분석'!E49</f>
        <v>23362</v>
      </c>
      <c r="C13" s="356">
        <f t="shared" si="1"/>
        <v>23258</v>
      </c>
      <c r="D13" s="357">
        <f t="shared" si="2"/>
        <v>23270</v>
      </c>
      <c r="E13" s="358">
        <f t="shared" si="3"/>
        <v>23263</v>
      </c>
      <c r="F13" s="359">
        <f t="shared" si="4"/>
        <v>23288</v>
      </c>
      <c r="G13" s="351">
        <f t="shared" si="0"/>
        <v>46551</v>
      </c>
      <c r="H13" s="352">
        <f t="shared" si="5"/>
        <v>23362</v>
      </c>
      <c r="I13" s="341"/>
      <c r="J13" s="341"/>
      <c r="K13" s="353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2"/>
      <c r="Z13" s="341"/>
      <c r="AA13" s="342"/>
      <c r="AB13" s="343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2"/>
    </row>
    <row r="14" spans="1:41" s="344" customFormat="1" ht="14.1" customHeight="1">
      <c r="A14" s="386">
        <v>2015</v>
      </c>
      <c r="B14" s="2071">
        <f>+'1.1.2 인구분석'!E50</f>
        <v>23334</v>
      </c>
      <c r="C14" s="2072">
        <f t="shared" si="1"/>
        <v>23566</v>
      </c>
      <c r="D14" s="2073">
        <f t="shared" si="2"/>
        <v>23600</v>
      </c>
      <c r="E14" s="2074">
        <f t="shared" si="3"/>
        <v>23434</v>
      </c>
      <c r="F14" s="2075">
        <f t="shared" si="4"/>
        <v>23339</v>
      </c>
      <c r="G14" s="2076">
        <f t="shared" si="0"/>
        <v>46773</v>
      </c>
      <c r="H14" s="2077">
        <f t="shared" si="5"/>
        <v>23334</v>
      </c>
      <c r="I14" s="383"/>
      <c r="J14" s="383"/>
      <c r="K14" s="2078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2079"/>
      <c r="Z14" s="341"/>
      <c r="AA14" s="342"/>
      <c r="AB14" s="343"/>
      <c r="AC14" s="341"/>
      <c r="AD14" s="341"/>
      <c r="AE14" s="341"/>
      <c r="AF14" s="341"/>
      <c r="AG14" s="341"/>
      <c r="AH14" s="341"/>
      <c r="AI14" s="341"/>
      <c r="AJ14" s="341"/>
      <c r="AK14" s="341"/>
      <c r="AL14" s="341"/>
      <c r="AM14" s="341"/>
      <c r="AN14" s="341"/>
      <c r="AO14" s="342"/>
    </row>
    <row r="15" spans="1:41" s="344" customFormat="1" ht="14.1" customHeight="1" thickBot="1">
      <c r="A15" s="2010">
        <v>2016</v>
      </c>
      <c r="B15" s="2014">
        <f>+'1.1.2 인구분석'!E51</f>
        <v>23398</v>
      </c>
      <c r="C15" s="2011">
        <f t="shared" si="1"/>
        <v>23874</v>
      </c>
      <c r="D15" s="2012">
        <f t="shared" si="2"/>
        <v>23935</v>
      </c>
      <c r="E15" s="2011">
        <f t="shared" si="3"/>
        <v>23589</v>
      </c>
      <c r="F15" s="2013">
        <f t="shared" si="4"/>
        <v>23372</v>
      </c>
      <c r="G15" s="351">
        <f t="shared" si="0"/>
        <v>46961</v>
      </c>
      <c r="H15" s="352">
        <f t="shared" si="5"/>
        <v>23398</v>
      </c>
      <c r="I15" s="341"/>
      <c r="J15" s="341"/>
      <c r="K15" s="353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2"/>
      <c r="AB15" s="343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  <c r="AN15" s="341"/>
      <c r="AO15" s="342"/>
    </row>
    <row r="16" spans="1:41" s="344" customFormat="1" ht="14.1" customHeight="1" thickTop="1">
      <c r="A16" s="2114">
        <v>2017</v>
      </c>
      <c r="B16" s="2115"/>
      <c r="C16" s="2116">
        <f t="shared" si="1"/>
        <v>24181</v>
      </c>
      <c r="D16" s="2117">
        <f t="shared" si="2"/>
        <v>24275</v>
      </c>
      <c r="E16" s="2116">
        <f t="shared" si="3"/>
        <v>23731</v>
      </c>
      <c r="F16" s="2118">
        <f t="shared" si="4"/>
        <v>23393</v>
      </c>
      <c r="G16" s="364">
        <f t="shared" si="0"/>
        <v>47124</v>
      </c>
      <c r="H16" s="365"/>
      <c r="I16" s="341"/>
      <c r="J16" s="341"/>
      <c r="K16" s="353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2"/>
      <c r="AB16" s="343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  <c r="AM16" s="341"/>
      <c r="AN16" s="341"/>
      <c r="AO16" s="342"/>
    </row>
    <row r="17" spans="1:41" s="381" customFormat="1" ht="14.1" customHeight="1">
      <c r="A17" s="345">
        <v>2018</v>
      </c>
      <c r="B17" s="346"/>
      <c r="C17" s="347">
        <f t="shared" si="1"/>
        <v>24489</v>
      </c>
      <c r="D17" s="2168">
        <f t="shared" si="2"/>
        <v>24619</v>
      </c>
      <c r="E17" s="347">
        <f t="shared" si="3"/>
        <v>23863</v>
      </c>
      <c r="F17" s="2169">
        <f t="shared" si="4"/>
        <v>23406</v>
      </c>
      <c r="G17" s="2170">
        <f t="shared" si="0"/>
        <v>47269</v>
      </c>
      <c r="H17" s="2171"/>
      <c r="I17" s="2172"/>
      <c r="J17" s="2172"/>
      <c r="K17" s="2173"/>
      <c r="L17" s="2172"/>
      <c r="M17" s="2172"/>
      <c r="N17" s="2172"/>
      <c r="O17" s="2172"/>
      <c r="P17" s="2172"/>
      <c r="Q17" s="2172"/>
      <c r="R17" s="2172"/>
      <c r="S17" s="2172"/>
      <c r="T17" s="2172"/>
      <c r="U17" s="2172"/>
      <c r="V17" s="2172"/>
      <c r="W17" s="2172"/>
      <c r="X17" s="2172"/>
      <c r="Y17" s="2174"/>
      <c r="Z17" s="378"/>
      <c r="AA17" s="379"/>
      <c r="AB17" s="380"/>
      <c r="AC17" s="378"/>
      <c r="AD17" s="378"/>
      <c r="AE17" s="378"/>
      <c r="AF17" s="378"/>
      <c r="AG17" s="378"/>
      <c r="AH17" s="378"/>
      <c r="AI17" s="378"/>
      <c r="AJ17" s="378"/>
      <c r="AK17" s="378"/>
      <c r="AL17" s="378"/>
      <c r="AM17" s="378"/>
      <c r="AN17" s="378"/>
      <c r="AO17" s="379"/>
    </row>
    <row r="18" spans="1:41" s="381" customFormat="1" ht="14.1" customHeight="1">
      <c r="A18" s="354">
        <v>2019</v>
      </c>
      <c r="B18" s="355"/>
      <c r="C18" s="356">
        <f t="shared" si="1"/>
        <v>24797</v>
      </c>
      <c r="D18" s="371">
        <f t="shared" si="2"/>
        <v>24969</v>
      </c>
      <c r="E18" s="356">
        <f t="shared" si="3"/>
        <v>23986</v>
      </c>
      <c r="F18" s="372">
        <f t="shared" si="4"/>
        <v>23415</v>
      </c>
      <c r="G18" s="376">
        <f t="shared" si="0"/>
        <v>47401</v>
      </c>
      <c r="H18" s="377"/>
      <c r="I18" s="378"/>
      <c r="J18" s="378"/>
      <c r="K18" s="1912"/>
      <c r="L18" s="378"/>
      <c r="M18" s="378"/>
      <c r="N18" s="378"/>
      <c r="O18" s="378"/>
      <c r="P18" s="378"/>
      <c r="Q18" s="378"/>
      <c r="R18" s="378"/>
      <c r="S18" s="378"/>
      <c r="T18" s="378"/>
      <c r="U18" s="378"/>
      <c r="V18" s="378"/>
      <c r="W18" s="378"/>
      <c r="X18" s="378"/>
      <c r="Y18" s="379"/>
      <c r="Z18" s="378"/>
      <c r="AA18" s="379"/>
      <c r="AB18" s="380"/>
      <c r="AC18" s="378"/>
      <c r="AD18" s="378"/>
      <c r="AE18" s="378"/>
      <c r="AF18" s="378"/>
      <c r="AG18" s="378"/>
      <c r="AH18" s="378"/>
      <c r="AI18" s="378"/>
      <c r="AJ18" s="378"/>
      <c r="AK18" s="378"/>
      <c r="AL18" s="378"/>
      <c r="AM18" s="378"/>
      <c r="AN18" s="378"/>
      <c r="AO18" s="379"/>
    </row>
    <row r="19" spans="1:41" s="1929" customFormat="1" ht="14.1" customHeight="1">
      <c r="A19" s="366">
        <v>2020</v>
      </c>
      <c r="B19" s="367"/>
      <c r="C19" s="368">
        <f t="shared" si="1"/>
        <v>25104</v>
      </c>
      <c r="D19" s="369">
        <f t="shared" si="2"/>
        <v>25323</v>
      </c>
      <c r="E19" s="368">
        <f t="shared" si="3"/>
        <v>24101</v>
      </c>
      <c r="F19" s="370">
        <f t="shared" si="4"/>
        <v>23420</v>
      </c>
      <c r="G19" s="374">
        <f t="shared" si="0"/>
        <v>47521</v>
      </c>
      <c r="H19" s="373"/>
      <c r="I19" s="1925"/>
      <c r="J19" s="1925"/>
      <c r="K19" s="1926"/>
      <c r="L19" s="1925"/>
      <c r="M19" s="1925"/>
      <c r="N19" s="1925"/>
      <c r="O19" s="1925"/>
      <c r="P19" s="1925"/>
      <c r="Q19" s="1925"/>
      <c r="R19" s="1925"/>
      <c r="S19" s="1925"/>
      <c r="T19" s="1925"/>
      <c r="U19" s="1925"/>
      <c r="V19" s="1925"/>
      <c r="W19" s="1925"/>
      <c r="X19" s="1925"/>
      <c r="Y19" s="1927"/>
      <c r="Z19" s="1925"/>
      <c r="AA19" s="1927"/>
      <c r="AB19" s="1928"/>
      <c r="AC19" s="1925"/>
      <c r="AD19" s="1925"/>
      <c r="AE19" s="1925"/>
      <c r="AF19" s="1925"/>
      <c r="AG19" s="1925"/>
      <c r="AH19" s="1925"/>
      <c r="AI19" s="1925"/>
      <c r="AJ19" s="1925"/>
      <c r="AK19" s="1925"/>
      <c r="AL19" s="1925"/>
      <c r="AM19" s="1925"/>
      <c r="AN19" s="1925"/>
      <c r="AO19" s="1927"/>
    </row>
    <row r="20" spans="1:41" s="381" customFormat="1" ht="14.1" customHeight="1">
      <c r="A20" s="354">
        <v>2021</v>
      </c>
      <c r="B20" s="355"/>
      <c r="C20" s="356">
        <f t="shared" si="1"/>
        <v>25412</v>
      </c>
      <c r="D20" s="371">
        <f t="shared" si="2"/>
        <v>25682</v>
      </c>
      <c r="E20" s="356">
        <f t="shared" si="3"/>
        <v>24209</v>
      </c>
      <c r="F20" s="372">
        <f t="shared" si="4"/>
        <v>23424</v>
      </c>
      <c r="G20" s="376">
        <f t="shared" si="0"/>
        <v>47633</v>
      </c>
      <c r="H20" s="1913"/>
      <c r="I20" s="378"/>
      <c r="J20" s="378"/>
      <c r="K20" s="1912"/>
      <c r="L20" s="378"/>
      <c r="M20" s="378"/>
      <c r="N20" s="378"/>
      <c r="O20" s="378"/>
      <c r="P20" s="378"/>
      <c r="Q20" s="378"/>
      <c r="R20" s="378"/>
      <c r="S20" s="378"/>
      <c r="T20" s="378"/>
      <c r="U20" s="378"/>
      <c r="V20" s="378"/>
      <c r="W20" s="378"/>
      <c r="X20" s="378"/>
      <c r="Y20" s="379"/>
      <c r="Z20" s="378"/>
      <c r="AA20" s="379"/>
      <c r="AB20" s="380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9"/>
    </row>
    <row r="21" spans="1:41" s="381" customFormat="1" ht="14.1" customHeight="1">
      <c r="A21" s="354">
        <v>2022</v>
      </c>
      <c r="B21" s="355"/>
      <c r="C21" s="356">
        <f t="shared" si="1"/>
        <v>25720</v>
      </c>
      <c r="D21" s="371">
        <f t="shared" si="2"/>
        <v>26046</v>
      </c>
      <c r="E21" s="356">
        <f t="shared" si="3"/>
        <v>24311</v>
      </c>
      <c r="F21" s="372">
        <f t="shared" si="4"/>
        <v>23426</v>
      </c>
      <c r="G21" s="376">
        <f t="shared" si="0"/>
        <v>47737</v>
      </c>
      <c r="H21" s="377"/>
      <c r="I21" s="378"/>
      <c r="J21" s="378"/>
      <c r="K21" s="1912"/>
      <c r="L21" s="378"/>
      <c r="M21" s="378"/>
      <c r="N21" s="378"/>
      <c r="O21" s="378"/>
      <c r="P21" s="378"/>
      <c r="Q21" s="378"/>
      <c r="R21" s="378"/>
      <c r="S21" s="378"/>
      <c r="T21" s="378"/>
      <c r="U21" s="378"/>
      <c r="V21" s="378"/>
      <c r="W21" s="378"/>
      <c r="X21" s="378"/>
      <c r="Y21" s="379"/>
      <c r="Z21" s="378"/>
      <c r="AA21" s="379"/>
      <c r="AB21" s="380"/>
      <c r="AC21" s="378"/>
      <c r="AD21" s="378"/>
      <c r="AE21" s="378"/>
      <c r="AF21" s="378"/>
      <c r="AG21" s="378"/>
      <c r="AH21" s="378"/>
      <c r="AI21" s="378"/>
      <c r="AJ21" s="378"/>
      <c r="AK21" s="378"/>
      <c r="AL21" s="378"/>
      <c r="AM21" s="378"/>
      <c r="AN21" s="378"/>
      <c r="AO21" s="379"/>
    </row>
    <row r="22" spans="1:41" s="381" customFormat="1" ht="14.1" customHeight="1">
      <c r="A22" s="354">
        <v>2023</v>
      </c>
      <c r="B22" s="355"/>
      <c r="C22" s="356">
        <f t="shared" si="1"/>
        <v>26027</v>
      </c>
      <c r="D22" s="371">
        <f t="shared" si="2"/>
        <v>26416</v>
      </c>
      <c r="E22" s="356">
        <f t="shared" si="3"/>
        <v>24407</v>
      </c>
      <c r="F22" s="372">
        <f t="shared" si="4"/>
        <v>23427</v>
      </c>
      <c r="G22" s="376">
        <f t="shared" si="0"/>
        <v>47834</v>
      </c>
      <c r="H22" s="377"/>
      <c r="I22" s="378"/>
      <c r="J22" s="378"/>
      <c r="K22" s="1912"/>
      <c r="L22" s="378"/>
      <c r="M22" s="378"/>
      <c r="N22" s="378"/>
      <c r="O22" s="378"/>
      <c r="P22" s="378"/>
      <c r="Q22" s="378"/>
      <c r="R22" s="378"/>
      <c r="S22" s="378"/>
      <c r="T22" s="378"/>
      <c r="U22" s="378"/>
      <c r="V22" s="378"/>
      <c r="W22" s="378"/>
      <c r="X22" s="378"/>
      <c r="Y22" s="379"/>
      <c r="Z22" s="378"/>
      <c r="AA22" s="379"/>
      <c r="AB22" s="380"/>
      <c r="AC22" s="378"/>
      <c r="AD22" s="378"/>
      <c r="AE22" s="378"/>
      <c r="AF22" s="378"/>
      <c r="AG22" s="378"/>
      <c r="AH22" s="378"/>
      <c r="AI22" s="378"/>
      <c r="AJ22" s="378"/>
      <c r="AK22" s="378"/>
      <c r="AL22" s="378"/>
      <c r="AM22" s="378"/>
      <c r="AN22" s="378"/>
      <c r="AO22" s="379"/>
    </row>
    <row r="23" spans="1:41" s="381" customFormat="1" ht="14.1" customHeight="1">
      <c r="A23" s="354">
        <v>2024</v>
      </c>
      <c r="B23" s="355"/>
      <c r="C23" s="356">
        <f t="shared" si="1"/>
        <v>26335</v>
      </c>
      <c r="D23" s="371">
        <f t="shared" si="2"/>
        <v>26791</v>
      </c>
      <c r="E23" s="356">
        <f t="shared" si="3"/>
        <v>24499</v>
      </c>
      <c r="F23" s="372">
        <f t="shared" si="4"/>
        <v>23428</v>
      </c>
      <c r="G23" s="376">
        <f t="shared" si="0"/>
        <v>47927</v>
      </c>
      <c r="H23" s="377"/>
      <c r="I23" s="378"/>
      <c r="J23" s="378"/>
      <c r="K23" s="1912"/>
      <c r="L23" s="378"/>
      <c r="M23" s="378"/>
      <c r="N23" s="378"/>
      <c r="O23" s="378"/>
      <c r="P23" s="378"/>
      <c r="Q23" s="378"/>
      <c r="R23" s="378"/>
      <c r="S23" s="378"/>
      <c r="T23" s="378"/>
      <c r="U23" s="378"/>
      <c r="V23" s="378"/>
      <c r="W23" s="378"/>
      <c r="X23" s="378"/>
      <c r="Y23" s="379"/>
      <c r="Z23" s="378"/>
      <c r="AA23" s="379"/>
      <c r="AB23" s="380"/>
      <c r="AC23" s="378"/>
      <c r="AD23" s="378"/>
      <c r="AE23" s="378"/>
      <c r="AF23" s="378"/>
      <c r="AG23" s="378"/>
      <c r="AH23" s="378"/>
      <c r="AI23" s="378"/>
      <c r="AJ23" s="378"/>
      <c r="AK23" s="378"/>
      <c r="AL23" s="378"/>
      <c r="AM23" s="378"/>
      <c r="AN23" s="378"/>
      <c r="AO23" s="379"/>
    </row>
    <row r="24" spans="1:41" s="1929" customFormat="1" ht="14.1" customHeight="1">
      <c r="A24" s="366">
        <v>2025</v>
      </c>
      <c r="B24" s="367"/>
      <c r="C24" s="368">
        <f t="shared" si="1"/>
        <v>26643</v>
      </c>
      <c r="D24" s="369">
        <f t="shared" si="2"/>
        <v>27171</v>
      </c>
      <c r="E24" s="368">
        <f t="shared" si="3"/>
        <v>24586</v>
      </c>
      <c r="F24" s="370">
        <f t="shared" si="4"/>
        <v>23429</v>
      </c>
      <c r="G24" s="374">
        <f t="shared" si="0"/>
        <v>48015</v>
      </c>
      <c r="H24" s="373"/>
      <c r="I24" s="1925"/>
      <c r="J24" s="1925"/>
      <c r="K24" s="1926"/>
      <c r="L24" s="1925"/>
      <c r="M24" s="1925"/>
      <c r="N24" s="1925"/>
      <c r="O24" s="1925"/>
      <c r="P24" s="1925"/>
      <c r="Q24" s="1925"/>
      <c r="R24" s="1925"/>
      <c r="S24" s="1925"/>
      <c r="T24" s="1925"/>
      <c r="U24" s="1925"/>
      <c r="V24" s="1925"/>
      <c r="W24" s="1925"/>
      <c r="X24" s="1925"/>
      <c r="Y24" s="1927"/>
      <c r="Z24" s="1925"/>
      <c r="AA24" s="1927"/>
      <c r="AB24" s="1928"/>
      <c r="AC24" s="1925"/>
      <c r="AD24" s="1925"/>
      <c r="AE24" s="1925"/>
      <c r="AF24" s="1925"/>
      <c r="AG24" s="1925"/>
      <c r="AH24" s="1925"/>
      <c r="AI24" s="1925"/>
      <c r="AJ24" s="1925"/>
      <c r="AK24" s="1925"/>
      <c r="AL24" s="1925"/>
      <c r="AM24" s="1925"/>
      <c r="AN24" s="1925"/>
      <c r="AO24" s="1927"/>
    </row>
    <row r="25" spans="1:41" s="381" customFormat="1" ht="14.1" customHeight="1">
      <c r="A25" s="354">
        <v>2026</v>
      </c>
      <c r="B25" s="355"/>
      <c r="C25" s="356">
        <f t="shared" si="1"/>
        <v>26950</v>
      </c>
      <c r="D25" s="371">
        <f t="shared" si="2"/>
        <v>27556</v>
      </c>
      <c r="E25" s="356">
        <f t="shared" si="3"/>
        <v>24669</v>
      </c>
      <c r="F25" s="372">
        <f t="shared" si="4"/>
        <v>23429</v>
      </c>
      <c r="G25" s="376">
        <f t="shared" si="0"/>
        <v>48098</v>
      </c>
      <c r="H25" s="1913"/>
      <c r="I25" s="378"/>
      <c r="J25" s="378"/>
      <c r="K25" s="1912"/>
      <c r="L25" s="378"/>
      <c r="M25" s="378"/>
      <c r="N25" s="378"/>
      <c r="O25" s="378"/>
      <c r="P25" s="378"/>
      <c r="Q25" s="378"/>
      <c r="R25" s="378"/>
      <c r="S25" s="378"/>
      <c r="T25" s="378"/>
      <c r="U25" s="378"/>
      <c r="V25" s="378"/>
      <c r="W25" s="378"/>
      <c r="X25" s="378"/>
      <c r="Y25" s="379"/>
      <c r="Z25" s="378"/>
      <c r="AA25" s="379"/>
      <c r="AB25" s="380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9"/>
    </row>
    <row r="26" spans="1:41" s="381" customFormat="1" ht="14.1" customHeight="1">
      <c r="A26" s="354">
        <v>2027</v>
      </c>
      <c r="B26" s="355"/>
      <c r="C26" s="356">
        <f t="shared" si="1"/>
        <v>27258</v>
      </c>
      <c r="D26" s="371">
        <f t="shared" si="2"/>
        <v>27947</v>
      </c>
      <c r="E26" s="356">
        <f t="shared" si="3"/>
        <v>24749</v>
      </c>
      <c r="F26" s="372">
        <f t="shared" si="4"/>
        <v>23430</v>
      </c>
      <c r="G26" s="376">
        <f t="shared" si="0"/>
        <v>48179</v>
      </c>
      <c r="H26" s="375"/>
      <c r="I26" s="378"/>
      <c r="J26" s="378"/>
      <c r="K26" s="1914"/>
      <c r="L26" s="378"/>
      <c r="M26" s="378"/>
      <c r="N26" s="378"/>
      <c r="O26" s="378"/>
      <c r="P26" s="378"/>
      <c r="Q26" s="378"/>
      <c r="R26" s="378"/>
      <c r="S26" s="378"/>
      <c r="T26" s="378"/>
      <c r="U26" s="378"/>
      <c r="V26" s="378"/>
      <c r="W26" s="378"/>
      <c r="X26" s="378"/>
      <c r="Y26" s="379"/>
      <c r="Z26" s="378"/>
      <c r="AA26" s="379"/>
      <c r="AB26" s="380"/>
      <c r="AC26" s="378"/>
      <c r="AD26" s="378"/>
      <c r="AE26" s="378"/>
      <c r="AF26" s="378"/>
      <c r="AG26" s="378"/>
      <c r="AH26" s="378"/>
      <c r="AI26" s="378"/>
      <c r="AJ26" s="378"/>
      <c r="AK26" s="378"/>
      <c r="AL26" s="378"/>
      <c r="AM26" s="378"/>
      <c r="AN26" s="378"/>
      <c r="AO26" s="379"/>
    </row>
    <row r="27" spans="1:41" s="381" customFormat="1" ht="14.1" customHeight="1">
      <c r="A27" s="354">
        <v>2028</v>
      </c>
      <c r="B27" s="382"/>
      <c r="C27" s="356">
        <f t="shared" si="1"/>
        <v>27566</v>
      </c>
      <c r="D27" s="371">
        <f t="shared" si="2"/>
        <v>28344</v>
      </c>
      <c r="E27" s="356">
        <f t="shared" si="3"/>
        <v>24825</v>
      </c>
      <c r="F27" s="372">
        <f t="shared" si="4"/>
        <v>23430</v>
      </c>
      <c r="G27" s="376">
        <f t="shared" si="0"/>
        <v>48255</v>
      </c>
      <c r="H27" s="377"/>
      <c r="I27" s="378"/>
      <c r="J27" s="378"/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9"/>
      <c r="Z27" s="378"/>
      <c r="AA27" s="379"/>
      <c r="AB27" s="380"/>
      <c r="AC27" s="378"/>
      <c r="AD27" s="378"/>
      <c r="AE27" s="378"/>
      <c r="AF27" s="378"/>
      <c r="AG27" s="378"/>
      <c r="AH27" s="378"/>
      <c r="AI27" s="378"/>
      <c r="AJ27" s="378"/>
      <c r="AK27" s="378"/>
      <c r="AL27" s="378"/>
      <c r="AM27" s="378"/>
      <c r="AN27" s="378"/>
      <c r="AO27" s="379"/>
    </row>
    <row r="28" spans="1:41" s="381" customFormat="1" ht="14.1" customHeight="1">
      <c r="A28" s="386">
        <v>2029</v>
      </c>
      <c r="B28" s="387"/>
      <c r="C28" s="2072">
        <f t="shared" si="1"/>
        <v>27873</v>
      </c>
      <c r="D28" s="2175">
        <f t="shared" si="2"/>
        <v>28746</v>
      </c>
      <c r="E28" s="2072">
        <f t="shared" si="3"/>
        <v>24898</v>
      </c>
      <c r="F28" s="2176">
        <f t="shared" si="4"/>
        <v>23430</v>
      </c>
      <c r="G28" s="2177">
        <f t="shared" si="0"/>
        <v>48328</v>
      </c>
      <c r="H28" s="2178"/>
      <c r="I28" s="1916"/>
      <c r="J28" s="1916"/>
      <c r="K28" s="1916"/>
      <c r="L28" s="1916"/>
      <c r="M28" s="1916"/>
      <c r="N28" s="1916"/>
      <c r="O28" s="1916"/>
      <c r="P28" s="1916"/>
      <c r="Q28" s="1916"/>
      <c r="R28" s="1916"/>
      <c r="S28" s="1916"/>
      <c r="T28" s="1916"/>
      <c r="U28" s="1916"/>
      <c r="V28" s="1916"/>
      <c r="W28" s="1916"/>
      <c r="X28" s="1916"/>
      <c r="Y28" s="1917"/>
      <c r="Z28" s="378"/>
      <c r="AA28" s="379"/>
      <c r="AB28" s="1915"/>
      <c r="AC28" s="1916"/>
      <c r="AD28" s="1916"/>
      <c r="AE28" s="1916"/>
      <c r="AF28" s="1916"/>
      <c r="AG28" s="1916"/>
      <c r="AH28" s="1916"/>
      <c r="AI28" s="1916"/>
      <c r="AJ28" s="1916"/>
      <c r="AK28" s="1916"/>
      <c r="AL28" s="1916"/>
      <c r="AM28" s="1916"/>
      <c r="AN28" s="1916"/>
      <c r="AO28" s="1917"/>
    </row>
    <row r="29" spans="1:41" s="1929" customFormat="1" ht="14.1" customHeight="1">
      <c r="A29" s="2135">
        <v>2030</v>
      </c>
      <c r="B29" s="1911"/>
      <c r="C29" s="2136">
        <f t="shared" si="1"/>
        <v>28181</v>
      </c>
      <c r="D29" s="2137">
        <f t="shared" si="2"/>
        <v>29154</v>
      </c>
      <c r="E29" s="2136">
        <f t="shared" si="3"/>
        <v>24969</v>
      </c>
      <c r="F29" s="2138">
        <f t="shared" si="4"/>
        <v>23430</v>
      </c>
      <c r="G29" s="374">
        <f t="shared" si="0"/>
        <v>48399</v>
      </c>
      <c r="H29" s="373"/>
      <c r="I29" s="1925"/>
      <c r="J29" s="1925"/>
      <c r="K29" s="1925"/>
      <c r="L29" s="1925"/>
      <c r="M29" s="1925"/>
      <c r="N29" s="1925"/>
      <c r="O29" s="1925"/>
      <c r="P29" s="1925"/>
      <c r="Q29" s="1925"/>
      <c r="R29" s="1925"/>
      <c r="S29" s="1925"/>
      <c r="T29" s="1925"/>
      <c r="U29" s="1925"/>
      <c r="V29" s="1925"/>
      <c r="W29" s="1925"/>
      <c r="X29" s="1925"/>
      <c r="Y29" s="1925"/>
      <c r="Z29" s="1925"/>
      <c r="AA29" s="1927"/>
    </row>
    <row r="30" spans="1:41" s="381" customFormat="1" ht="14.1" customHeight="1">
      <c r="A30" s="354">
        <v>2031</v>
      </c>
      <c r="B30" s="355"/>
      <c r="C30" s="356">
        <f t="shared" si="1"/>
        <v>28488</v>
      </c>
      <c r="D30" s="371">
        <f t="shared" si="2"/>
        <v>29567</v>
      </c>
      <c r="E30" s="356">
        <f t="shared" si="3"/>
        <v>25037</v>
      </c>
      <c r="F30" s="372">
        <f t="shared" si="4"/>
        <v>23430</v>
      </c>
      <c r="G30" s="376">
        <f t="shared" si="0"/>
        <v>48467</v>
      </c>
      <c r="H30" s="1913"/>
      <c r="I30" s="378"/>
      <c r="J30" s="378"/>
      <c r="K30" s="378"/>
      <c r="L30" s="378"/>
      <c r="M30" s="378"/>
      <c r="N30" s="378"/>
      <c r="O30" s="378"/>
      <c r="P30" s="378"/>
      <c r="Q30" s="378"/>
      <c r="R30" s="378"/>
      <c r="S30" s="378"/>
      <c r="T30" s="378"/>
      <c r="U30" s="378"/>
      <c r="V30" s="378"/>
      <c r="W30" s="378"/>
      <c r="X30" s="378"/>
      <c r="Y30" s="378"/>
      <c r="Z30" s="378"/>
      <c r="AA30" s="379"/>
    </row>
    <row r="31" spans="1:41" s="381" customFormat="1" ht="14.1" customHeight="1">
      <c r="A31" s="354">
        <v>2032</v>
      </c>
      <c r="B31" s="382"/>
      <c r="C31" s="356">
        <f t="shared" si="1"/>
        <v>28796</v>
      </c>
      <c r="D31" s="371">
        <f t="shared" si="2"/>
        <v>29987</v>
      </c>
      <c r="E31" s="356">
        <f t="shared" si="3"/>
        <v>25102</v>
      </c>
      <c r="F31" s="372">
        <f t="shared" si="4"/>
        <v>23430</v>
      </c>
      <c r="G31" s="376">
        <f t="shared" si="0"/>
        <v>48532</v>
      </c>
      <c r="H31" s="377"/>
      <c r="I31" s="378"/>
      <c r="J31" s="378"/>
      <c r="K31" s="378"/>
      <c r="L31" s="378"/>
      <c r="M31" s="378"/>
      <c r="N31" s="378"/>
      <c r="O31" s="378"/>
      <c r="P31" s="378"/>
      <c r="Q31" s="378"/>
      <c r="R31" s="378"/>
      <c r="S31" s="378"/>
      <c r="T31" s="378"/>
      <c r="U31" s="378"/>
      <c r="V31" s="378"/>
      <c r="W31" s="378"/>
      <c r="X31" s="378"/>
      <c r="Y31" s="378"/>
      <c r="Z31" s="378"/>
      <c r="AA31" s="379"/>
    </row>
    <row r="32" spans="1:41" s="381" customFormat="1" ht="14.1" customHeight="1">
      <c r="A32" s="354">
        <v>2033</v>
      </c>
      <c r="B32" s="382"/>
      <c r="C32" s="356">
        <f t="shared" si="1"/>
        <v>29104</v>
      </c>
      <c r="D32" s="371">
        <f t="shared" si="2"/>
        <v>30412</v>
      </c>
      <c r="E32" s="356">
        <f t="shared" si="3"/>
        <v>25165</v>
      </c>
      <c r="F32" s="372">
        <f t="shared" si="4"/>
        <v>23430</v>
      </c>
      <c r="G32" s="376">
        <f t="shared" si="0"/>
        <v>48595</v>
      </c>
      <c r="H32" s="377"/>
      <c r="I32" s="378"/>
      <c r="J32" s="378"/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  <c r="Y32" s="378"/>
      <c r="Z32" s="378"/>
      <c r="AA32" s="379"/>
    </row>
    <row r="33" spans="1:40" s="381" customFormat="1" ht="14.1" customHeight="1">
      <c r="A33" s="354">
        <v>2034</v>
      </c>
      <c r="B33" s="382"/>
      <c r="C33" s="356">
        <f t="shared" si="1"/>
        <v>29411</v>
      </c>
      <c r="D33" s="371">
        <f t="shared" si="2"/>
        <v>30844</v>
      </c>
      <c r="E33" s="356">
        <f t="shared" si="3"/>
        <v>25227</v>
      </c>
      <c r="F33" s="372">
        <f t="shared" si="4"/>
        <v>23430</v>
      </c>
      <c r="G33" s="376">
        <f t="shared" si="0"/>
        <v>48657</v>
      </c>
      <c r="H33" s="377"/>
      <c r="I33" s="378"/>
      <c r="J33" s="378"/>
      <c r="K33" s="378"/>
      <c r="L33" s="378"/>
      <c r="M33" s="378"/>
      <c r="N33" s="378"/>
      <c r="O33" s="378"/>
      <c r="P33" s="378"/>
      <c r="Q33" s="378"/>
      <c r="R33" s="378"/>
      <c r="S33" s="378"/>
      <c r="T33" s="378"/>
      <c r="U33" s="378"/>
      <c r="V33" s="378"/>
      <c r="W33" s="378"/>
      <c r="X33" s="378"/>
      <c r="Y33" s="378"/>
      <c r="Z33" s="378"/>
      <c r="AA33" s="379"/>
    </row>
    <row r="34" spans="1:40" s="1929" customFormat="1" ht="14.1" customHeight="1">
      <c r="A34" s="366">
        <v>2035</v>
      </c>
      <c r="B34" s="367"/>
      <c r="C34" s="368">
        <f t="shared" si="1"/>
        <v>29719</v>
      </c>
      <c r="D34" s="369">
        <f t="shared" si="2"/>
        <v>31281</v>
      </c>
      <c r="E34" s="368">
        <f t="shared" si="3"/>
        <v>25286</v>
      </c>
      <c r="F34" s="370">
        <f t="shared" si="4"/>
        <v>23430</v>
      </c>
      <c r="G34" s="374">
        <f t="shared" si="0"/>
        <v>48716</v>
      </c>
      <c r="H34" s="384"/>
      <c r="I34" s="1925"/>
      <c r="J34" s="1925"/>
      <c r="K34" s="1925"/>
      <c r="L34" s="1930"/>
      <c r="M34" s="1925"/>
      <c r="N34" s="1925"/>
      <c r="O34" s="1925"/>
      <c r="P34" s="1925"/>
      <c r="Q34" s="1925"/>
      <c r="R34" s="1925"/>
      <c r="S34" s="1925"/>
      <c r="T34" s="1925"/>
      <c r="U34" s="1925"/>
      <c r="V34" s="1925"/>
      <c r="W34" s="1925"/>
      <c r="X34" s="1925"/>
      <c r="Y34" s="1925"/>
      <c r="Z34" s="1925"/>
      <c r="AA34" s="1927"/>
    </row>
    <row r="35" spans="1:40" s="381" customFormat="1" ht="14.1" customHeight="1">
      <c r="A35" s="354">
        <v>2036</v>
      </c>
      <c r="B35" s="385"/>
      <c r="C35" s="356">
        <f t="shared" si="1"/>
        <v>30027</v>
      </c>
      <c r="D35" s="371">
        <f t="shared" si="2"/>
        <v>31725</v>
      </c>
      <c r="E35" s="356">
        <f t="shared" si="3"/>
        <v>25343</v>
      </c>
      <c r="F35" s="372">
        <f t="shared" si="4"/>
        <v>23430</v>
      </c>
      <c r="G35" s="376"/>
      <c r="H35" s="377"/>
      <c r="I35" s="378"/>
      <c r="J35" s="378"/>
      <c r="K35" s="378"/>
      <c r="L35" s="410"/>
      <c r="M35" s="378"/>
      <c r="N35" s="378"/>
      <c r="O35" s="378"/>
      <c r="P35" s="378"/>
      <c r="Q35" s="378"/>
      <c r="R35" s="378"/>
      <c r="S35" s="378"/>
      <c r="T35" s="378"/>
      <c r="U35" s="378"/>
      <c r="V35" s="378"/>
      <c r="W35" s="378"/>
      <c r="X35" s="378"/>
      <c r="Y35" s="378"/>
      <c r="Z35" s="378"/>
      <c r="AA35" s="379"/>
    </row>
    <row r="36" spans="1:40" s="381" customFormat="1" ht="14.1" customHeight="1">
      <c r="A36" s="354">
        <v>2037</v>
      </c>
      <c r="B36" s="385"/>
      <c r="C36" s="356">
        <f t="shared" si="1"/>
        <v>30334</v>
      </c>
      <c r="D36" s="371">
        <f t="shared" si="2"/>
        <v>32175</v>
      </c>
      <c r="E36" s="356">
        <f t="shared" si="3"/>
        <v>25399</v>
      </c>
      <c r="F36" s="372">
        <f t="shared" si="4"/>
        <v>23430</v>
      </c>
      <c r="G36" s="376"/>
      <c r="H36" s="377"/>
      <c r="I36" s="378"/>
      <c r="J36" s="378"/>
      <c r="K36" s="378"/>
      <c r="L36" s="410"/>
      <c r="M36" s="378"/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9"/>
    </row>
    <row r="37" spans="1:40" s="381" customFormat="1" ht="14.1" customHeight="1">
      <c r="A37" s="354">
        <f t="shared" ref="A37" si="6">A36+1</f>
        <v>2038</v>
      </c>
      <c r="B37" s="385"/>
      <c r="C37" s="356">
        <f t="shared" si="1"/>
        <v>30642</v>
      </c>
      <c r="D37" s="371">
        <f t="shared" si="2"/>
        <v>32632</v>
      </c>
      <c r="E37" s="356">
        <f t="shared" si="3"/>
        <v>25453</v>
      </c>
      <c r="F37" s="372">
        <f t="shared" si="4"/>
        <v>23430</v>
      </c>
      <c r="G37" s="376"/>
      <c r="H37" s="377"/>
      <c r="I37" s="378"/>
      <c r="J37" s="378"/>
      <c r="K37" s="378"/>
      <c r="L37" s="410"/>
      <c r="M37" s="378"/>
      <c r="N37" s="378"/>
      <c r="O37" s="378"/>
      <c r="P37" s="378"/>
      <c r="Q37" s="378"/>
      <c r="R37" s="378"/>
      <c r="S37" s="378"/>
      <c r="T37" s="378"/>
      <c r="U37" s="378"/>
      <c r="V37" s="378"/>
      <c r="W37" s="378"/>
      <c r="X37" s="378"/>
      <c r="Y37" s="378"/>
      <c r="Z37" s="378"/>
      <c r="AA37" s="379"/>
    </row>
    <row r="38" spans="1:40" s="381" customFormat="1" ht="14.1" customHeight="1">
      <c r="A38" s="386" t="s">
        <v>275</v>
      </c>
      <c r="B38" s="387"/>
      <c r="C38" s="387" t="str">
        <f>IF(OR(C42=1,C42=2),"○","")</f>
        <v/>
      </c>
      <c r="D38" s="387" t="str">
        <f>IF(OR(D42=1,D42=2),"○","")</f>
        <v/>
      </c>
      <c r="E38" s="387" t="str">
        <f>IF(OR(E42=1,E42=2),"○","")</f>
        <v>○</v>
      </c>
      <c r="F38" s="1918" t="str">
        <f>IF(OR(F42=1,F42=2),"○","")</f>
        <v>○</v>
      </c>
      <c r="G38" s="1919"/>
      <c r="H38" s="1920"/>
      <c r="I38" s="378"/>
      <c r="J38" s="378"/>
      <c r="K38" s="1921"/>
      <c r="L38" s="1921"/>
      <c r="M38" s="1921"/>
      <c r="N38" s="1921"/>
      <c r="O38" s="1921"/>
      <c r="P38" s="1921"/>
      <c r="Q38" s="1921"/>
      <c r="R38" s="1921"/>
      <c r="S38" s="1921"/>
      <c r="T38" s="1922"/>
      <c r="U38" s="1922"/>
      <c r="V38" s="410"/>
      <c r="W38" s="410"/>
      <c r="X38" s="410"/>
      <c r="Y38" s="410"/>
      <c r="Z38" s="410"/>
      <c r="AA38" s="1923"/>
      <c r="AB38" s="1924"/>
      <c r="AC38" s="1924"/>
      <c r="AD38" s="1924"/>
      <c r="AE38" s="1924"/>
      <c r="AF38" s="1924"/>
      <c r="AG38" s="1924"/>
      <c r="AH38" s="1924"/>
      <c r="AI38" s="1924"/>
      <c r="AJ38" s="1924"/>
      <c r="AK38" s="1924"/>
      <c r="AL38" s="1924"/>
      <c r="AM38" s="1924"/>
      <c r="AN38" s="1924"/>
    </row>
    <row r="39" spans="1:40" s="344" customFormat="1" ht="14.1" customHeight="1">
      <c r="A39" s="2318" t="s">
        <v>276</v>
      </c>
      <c r="B39" s="2319"/>
      <c r="C39" s="392">
        <f>F70</f>
        <v>0.78563565374049749</v>
      </c>
      <c r="D39" s="393">
        <f>G115</f>
        <v>0.7730718955274779</v>
      </c>
      <c r="E39" s="393">
        <f>H153</f>
        <v>0.93623238031208744</v>
      </c>
      <c r="F39" s="394">
        <f>G190</f>
        <v>0.9490345421701174</v>
      </c>
      <c r="G39" s="395"/>
      <c r="H39" s="396"/>
      <c r="I39" s="341"/>
      <c r="J39" s="341"/>
      <c r="K39" s="362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90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</row>
    <row r="40" spans="1:40" s="344" customFormat="1" ht="14.1" customHeight="1">
      <c r="A40" s="2318" t="s">
        <v>294</v>
      </c>
      <c r="B40" s="2319"/>
      <c r="C40" s="397">
        <f>F71</f>
        <v>2840.9639999999999</v>
      </c>
      <c r="D40" s="398">
        <f>G116</f>
        <v>3017.3820000000001</v>
      </c>
      <c r="E40" s="398">
        <f>H154</f>
        <v>846.74799999999982</v>
      </c>
      <c r="F40" s="399">
        <f>G191</f>
        <v>1307.9369999999999</v>
      </c>
      <c r="G40" s="400"/>
      <c r="H40" s="401"/>
      <c r="I40" s="341"/>
      <c r="J40" s="341"/>
      <c r="K40" s="388"/>
      <c r="L40" s="388"/>
      <c r="M40" s="388"/>
      <c r="N40" s="388"/>
      <c r="O40" s="388"/>
      <c r="P40" s="388"/>
      <c r="Q40" s="388"/>
      <c r="R40" s="388"/>
      <c r="S40" s="388"/>
      <c r="T40" s="389"/>
      <c r="U40" s="389"/>
      <c r="V40" s="362"/>
      <c r="W40" s="362"/>
      <c r="X40" s="362"/>
      <c r="Y40" s="362"/>
      <c r="Z40" s="362"/>
      <c r="AA40" s="390"/>
      <c r="AB40" s="391"/>
      <c r="AC40" s="391"/>
      <c r="AD40" s="391"/>
      <c r="AE40" s="391"/>
      <c r="AF40" s="391"/>
      <c r="AG40" s="391"/>
      <c r="AH40" s="391"/>
      <c r="AI40" s="391"/>
      <c r="AJ40" s="391"/>
      <c r="AK40" s="391"/>
      <c r="AL40" s="391"/>
      <c r="AM40" s="391"/>
      <c r="AN40" s="391"/>
    </row>
    <row r="41" spans="1:40" s="344" customFormat="1" ht="14.1" customHeight="1">
      <c r="A41" s="2318" t="s">
        <v>278</v>
      </c>
      <c r="B41" s="2319"/>
      <c r="C41" s="402">
        <f>F72</f>
        <v>1.9148450585080425</v>
      </c>
      <c r="D41" s="403">
        <f>G117</f>
        <v>1.9797013021599499</v>
      </c>
      <c r="E41" s="403">
        <f>H155</f>
        <v>1.0376525133827126</v>
      </c>
      <c r="F41" s="404">
        <f>G192</f>
        <v>0.58384891685708418</v>
      </c>
      <c r="G41" s="405"/>
      <c r="H41" s="401"/>
      <c r="I41" s="383"/>
      <c r="J41" s="383"/>
      <c r="K41" s="406"/>
      <c r="L41" s="406"/>
      <c r="M41" s="406"/>
      <c r="N41" s="406"/>
      <c r="O41" s="406"/>
      <c r="P41" s="406"/>
      <c r="Q41" s="406"/>
      <c r="R41" s="406"/>
      <c r="S41" s="406"/>
      <c r="T41" s="407"/>
      <c r="U41" s="407"/>
      <c r="V41" s="408"/>
      <c r="W41" s="408"/>
      <c r="X41" s="408"/>
      <c r="Y41" s="408"/>
      <c r="Z41" s="408"/>
      <c r="AA41" s="409"/>
      <c r="AB41" s="391"/>
      <c r="AC41" s="391"/>
      <c r="AD41" s="391"/>
      <c r="AE41" s="391"/>
      <c r="AF41" s="391"/>
      <c r="AG41" s="391"/>
      <c r="AH41" s="391"/>
      <c r="AI41" s="391"/>
      <c r="AJ41" s="391"/>
      <c r="AK41" s="391"/>
      <c r="AL41" s="391"/>
      <c r="AM41" s="391"/>
      <c r="AN41" s="391"/>
    </row>
    <row r="42" spans="1:40" s="344" customFormat="1" ht="20.100000000000001" customHeight="1">
      <c r="A42" s="410"/>
      <c r="B42" s="411"/>
      <c r="C42" s="1007">
        <f>RANK(C39,$C$39:$F$39)</f>
        <v>3</v>
      </c>
      <c r="D42" s="1007">
        <f>RANK(D39,$C$39:$F$39)</f>
        <v>4</v>
      </c>
      <c r="E42" s="1007">
        <f>RANK(E39,$C$39:$F$39)</f>
        <v>2</v>
      </c>
      <c r="F42" s="1007">
        <f>RANK(F39,$C$39:$F$39)</f>
        <v>1</v>
      </c>
      <c r="G42" s="341"/>
      <c r="H42" s="341"/>
      <c r="I42" s="341"/>
      <c r="J42" s="413"/>
      <c r="K42" s="391"/>
      <c r="L42" s="391"/>
      <c r="M42" s="391"/>
      <c r="N42" s="391"/>
      <c r="O42" s="391"/>
      <c r="P42" s="391"/>
      <c r="Q42" s="391"/>
      <c r="R42" s="391"/>
      <c r="S42" s="391"/>
      <c r="T42" s="391"/>
      <c r="U42" s="391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391"/>
      <c r="AG42" s="391"/>
      <c r="AH42" s="391"/>
      <c r="AI42" s="391"/>
      <c r="AJ42" s="391"/>
      <c r="AK42" s="391"/>
      <c r="AL42" s="391"/>
      <c r="AM42" s="391"/>
    </row>
    <row r="43" spans="1:40" s="344" customFormat="1" ht="18.95" customHeight="1">
      <c r="A43" s="414" t="s">
        <v>85</v>
      </c>
      <c r="B43" s="415" t="s">
        <v>279</v>
      </c>
      <c r="C43" s="415" t="s">
        <v>280</v>
      </c>
      <c r="D43" s="415" t="s">
        <v>281</v>
      </c>
      <c r="E43" s="415" t="s">
        <v>282</v>
      </c>
      <c r="F43" s="360" t="s">
        <v>5</v>
      </c>
      <c r="G43" s="341"/>
      <c r="H43" s="341"/>
      <c r="I43" s="341"/>
      <c r="J43" s="413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  <c r="AM43" s="391"/>
    </row>
    <row r="44" spans="1:40" s="344" customFormat="1" ht="18.95" customHeight="1">
      <c r="A44" s="416" t="s">
        <v>251</v>
      </c>
      <c r="B44" s="417">
        <f>+C19</f>
        <v>25104</v>
      </c>
      <c r="C44" s="417">
        <f>+C24</f>
        <v>26643</v>
      </c>
      <c r="D44" s="417">
        <f>+C29</f>
        <v>28181</v>
      </c>
      <c r="E44" s="418">
        <f>+C34</f>
        <v>29719</v>
      </c>
      <c r="F44" s="419" t="str">
        <f>IF(C38="","제외","")</f>
        <v>제외</v>
      </c>
      <c r="G44" s="341"/>
      <c r="H44" s="341"/>
      <c r="I44" s="341"/>
      <c r="J44" s="413"/>
      <c r="K44" s="391"/>
      <c r="L44" s="391"/>
      <c r="M44" s="391"/>
      <c r="N44" s="391"/>
      <c r="O44" s="391"/>
      <c r="P44" s="391"/>
      <c r="Q44" s="391"/>
      <c r="R44" s="391"/>
      <c r="S44" s="391"/>
      <c r="T44" s="391"/>
      <c r="U44" s="391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391"/>
      <c r="AG44" s="391"/>
      <c r="AH44" s="391"/>
      <c r="AI44" s="391"/>
      <c r="AJ44" s="391"/>
      <c r="AK44" s="391"/>
      <c r="AL44" s="391"/>
      <c r="AM44" s="391"/>
    </row>
    <row r="45" spans="1:40" s="344" customFormat="1" ht="18.95" customHeight="1">
      <c r="A45" s="416" t="s">
        <v>253</v>
      </c>
      <c r="B45" s="417">
        <f>+D19</f>
        <v>25323</v>
      </c>
      <c r="C45" s="417">
        <f>+D24</f>
        <v>27171</v>
      </c>
      <c r="D45" s="417">
        <f>+D29</f>
        <v>29154</v>
      </c>
      <c r="E45" s="418">
        <f>+D34</f>
        <v>31281</v>
      </c>
      <c r="F45" s="419" t="str">
        <f>IF(D38="","제외","")</f>
        <v>제외</v>
      </c>
      <c r="G45" s="341"/>
      <c r="H45" s="341"/>
      <c r="I45" s="341"/>
      <c r="J45" s="413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1"/>
    </row>
    <row r="46" spans="1:40" s="344" customFormat="1" ht="18.95" customHeight="1">
      <c r="A46" s="416" t="s">
        <v>254</v>
      </c>
      <c r="B46" s="417">
        <f>+E19</f>
        <v>24101</v>
      </c>
      <c r="C46" s="417">
        <f>+E24</f>
        <v>24586</v>
      </c>
      <c r="D46" s="417">
        <f>+E29</f>
        <v>24969</v>
      </c>
      <c r="E46" s="418">
        <f>+E34</f>
        <v>25286</v>
      </c>
      <c r="F46" s="419" t="str">
        <f>IF(E38="","제외","")</f>
        <v/>
      </c>
      <c r="G46" s="341"/>
      <c r="H46" s="341"/>
      <c r="I46" s="341"/>
      <c r="J46" s="413"/>
      <c r="K46" s="391"/>
      <c r="L46" s="391"/>
      <c r="M46" s="391"/>
      <c r="N46" s="391"/>
      <c r="O46" s="391"/>
      <c r="P46" s="391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  <c r="AM46" s="391"/>
    </row>
    <row r="47" spans="1:40" s="344" customFormat="1" ht="18.95" customHeight="1">
      <c r="A47" s="416" t="s">
        <v>256</v>
      </c>
      <c r="B47" s="417">
        <f>+F19</f>
        <v>23420</v>
      </c>
      <c r="C47" s="417">
        <f>+F24</f>
        <v>23429</v>
      </c>
      <c r="D47" s="417">
        <f>+F29</f>
        <v>23430</v>
      </c>
      <c r="E47" s="418">
        <f>+F34</f>
        <v>23430</v>
      </c>
      <c r="F47" s="419" t="str">
        <f>IF(F38="","제외","")</f>
        <v/>
      </c>
      <c r="G47" s="341"/>
      <c r="H47" s="341"/>
      <c r="I47" s="341"/>
      <c r="J47" s="413"/>
      <c r="K47" s="391"/>
      <c r="L47" s="391"/>
      <c r="M47" s="391"/>
      <c r="N47" s="391"/>
      <c r="O47" s="391"/>
      <c r="P47" s="391"/>
      <c r="Q47" s="391"/>
      <c r="R47" s="391"/>
      <c r="S47" s="391"/>
      <c r="T47" s="391"/>
      <c r="U47" s="391"/>
      <c r="V47" s="391"/>
      <c r="W47" s="391"/>
      <c r="X47" s="391"/>
      <c r="Y47" s="391"/>
      <c r="Z47" s="391"/>
      <c r="AA47" s="391"/>
      <c r="AB47" s="391"/>
      <c r="AC47" s="391"/>
      <c r="AD47" s="391"/>
      <c r="AE47" s="391"/>
      <c r="AF47" s="391"/>
      <c r="AG47" s="391"/>
      <c r="AH47" s="391"/>
      <c r="AI47" s="391"/>
      <c r="AJ47" s="391"/>
      <c r="AK47" s="391"/>
      <c r="AL47" s="391"/>
      <c r="AM47" s="391"/>
    </row>
    <row r="48" spans="1:40" s="344" customFormat="1" ht="18.95" customHeight="1">
      <c r="A48" s="416" t="s">
        <v>283</v>
      </c>
      <c r="B48" s="420">
        <f>ROUND(AVERAGE(B44,B47),0)</f>
        <v>24262</v>
      </c>
      <c r="C48" s="420">
        <f t="shared" ref="C48:E48" si="7">ROUND(AVERAGE(C44,C47),0)</f>
        <v>25036</v>
      </c>
      <c r="D48" s="420">
        <f t="shared" si="7"/>
        <v>25806</v>
      </c>
      <c r="E48" s="420">
        <f t="shared" si="7"/>
        <v>26575</v>
      </c>
      <c r="F48" s="419"/>
      <c r="G48" s="341"/>
      <c r="H48" s="341"/>
      <c r="I48" s="341"/>
      <c r="J48" s="413"/>
      <c r="K48" s="391"/>
      <c r="L48" s="391"/>
      <c r="M48" s="391"/>
      <c r="N48" s="391"/>
      <c r="O48" s="391"/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  <c r="AM48" s="391"/>
    </row>
    <row r="49" spans="1:40" s="344" customFormat="1" ht="18.95" customHeight="1">
      <c r="A49" s="416" t="s">
        <v>284</v>
      </c>
      <c r="B49" s="420">
        <f>B48</f>
        <v>24262</v>
      </c>
      <c r="C49" s="420">
        <f>C48</f>
        <v>25036</v>
      </c>
      <c r="D49" s="420">
        <f>D48</f>
        <v>25806</v>
      </c>
      <c r="E49" s="420">
        <f>E48</f>
        <v>26575</v>
      </c>
      <c r="F49" s="419"/>
      <c r="G49" s="341"/>
      <c r="H49" s="341"/>
      <c r="I49" s="341"/>
      <c r="J49" s="413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391"/>
      <c r="AG49" s="391"/>
      <c r="AH49" s="391"/>
      <c r="AI49" s="391"/>
      <c r="AJ49" s="391"/>
      <c r="AK49" s="391"/>
      <c r="AL49" s="391"/>
      <c r="AM49" s="391"/>
    </row>
    <row r="50" spans="1:40" s="344" customFormat="1" ht="20.100000000000001" customHeight="1">
      <c r="A50" s="410"/>
      <c r="B50" s="411"/>
      <c r="C50" s="421">
        <f>C48-B48</f>
        <v>774</v>
      </c>
      <c r="D50" s="421">
        <f>D48-C48</f>
        <v>770</v>
      </c>
      <c r="E50" s="421">
        <f>E48-D48</f>
        <v>769</v>
      </c>
      <c r="F50" s="341"/>
      <c r="G50" s="341"/>
      <c r="H50" s="341"/>
      <c r="I50" s="341"/>
      <c r="J50" s="413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391"/>
      <c r="AG50" s="391"/>
      <c r="AH50" s="391"/>
      <c r="AI50" s="391"/>
      <c r="AJ50" s="391"/>
      <c r="AK50" s="391"/>
      <c r="AL50" s="391"/>
      <c r="AM50" s="391"/>
    </row>
    <row r="51" spans="1:40" s="344" customFormat="1" ht="20.100000000000001" customHeight="1">
      <c r="A51" s="410"/>
      <c r="B51" s="422"/>
      <c r="C51" s="423">
        <f>ROUND((C48/B48)^(1/5)-1,4)</f>
        <v>6.3E-3</v>
      </c>
      <c r="D51" s="423">
        <f>ROUND((D48/C48)^(1/5)-1,4)</f>
        <v>6.1000000000000004E-3</v>
      </c>
      <c r="E51" s="423">
        <f>ROUND((E48/D48)^(1/5)-1,4)</f>
        <v>5.8999999999999999E-3</v>
      </c>
      <c r="F51" s="341"/>
      <c r="G51" s="341"/>
      <c r="H51" s="341"/>
      <c r="I51" s="341"/>
      <c r="J51" s="413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391"/>
      <c r="AG51" s="391"/>
      <c r="AH51" s="391"/>
      <c r="AI51" s="391"/>
      <c r="AJ51" s="391"/>
      <c r="AK51" s="391"/>
      <c r="AL51" s="391"/>
      <c r="AM51" s="391"/>
    </row>
    <row r="52" spans="1:40" s="344" customFormat="1" ht="20.100000000000001" customHeight="1">
      <c r="A52" s="410"/>
      <c r="B52" s="411"/>
      <c r="C52" s="423"/>
      <c r="D52" s="423"/>
      <c r="E52" s="423"/>
      <c r="F52" s="341"/>
      <c r="G52" s="341"/>
      <c r="H52" s="341"/>
      <c r="I52" s="341"/>
      <c r="J52" s="413"/>
      <c r="K52" s="391"/>
      <c r="L52" s="391"/>
      <c r="M52" s="391"/>
      <c r="N52" s="391"/>
      <c r="O52" s="391"/>
      <c r="P52" s="391"/>
      <c r="Q52" s="391"/>
      <c r="R52" s="391"/>
      <c r="S52" s="391"/>
      <c r="T52" s="391"/>
      <c r="U52" s="391"/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391"/>
      <c r="AG52" s="391"/>
      <c r="AH52" s="391"/>
      <c r="AI52" s="391"/>
      <c r="AJ52" s="391"/>
      <c r="AK52" s="391"/>
      <c r="AL52" s="391"/>
      <c r="AM52" s="391"/>
    </row>
    <row r="53" spans="1:40" s="344" customFormat="1" ht="20.100000000000001" customHeight="1">
      <c r="A53" s="410"/>
      <c r="B53" s="411"/>
      <c r="C53" s="412"/>
      <c r="D53" s="412"/>
      <c r="E53" s="412"/>
      <c r="F53" s="341"/>
      <c r="G53" s="341"/>
      <c r="H53" s="341"/>
      <c r="I53" s="341"/>
      <c r="J53" s="413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  <c r="AF53" s="391"/>
      <c r="AG53" s="391"/>
      <c r="AH53" s="391"/>
      <c r="AI53" s="391"/>
      <c r="AJ53" s="391"/>
      <c r="AK53" s="391"/>
      <c r="AL53" s="391"/>
      <c r="AM53" s="391"/>
    </row>
    <row r="54" spans="1:40" s="344" customFormat="1" ht="20.100000000000001" customHeight="1">
      <c r="A54" s="410"/>
      <c r="B54" s="411"/>
      <c r="C54" s="412"/>
      <c r="D54" s="412"/>
      <c r="E54" s="412"/>
      <c r="F54" s="341"/>
      <c r="G54" s="341"/>
      <c r="H54" s="341"/>
      <c r="I54" s="341"/>
      <c r="J54" s="413"/>
      <c r="K54" s="391"/>
      <c r="L54" s="391"/>
      <c r="M54" s="391"/>
      <c r="N54" s="391"/>
      <c r="O54" s="391"/>
      <c r="P54" s="391"/>
      <c r="Q54" s="391"/>
      <c r="R54" s="391"/>
      <c r="S54" s="391"/>
      <c r="T54" s="391"/>
      <c r="U54" s="391"/>
      <c r="V54" s="391"/>
      <c r="W54" s="391"/>
      <c r="X54" s="391"/>
      <c r="Y54" s="391"/>
      <c r="Z54" s="391"/>
      <c r="AA54" s="391"/>
      <c r="AB54" s="391"/>
      <c r="AC54" s="391"/>
      <c r="AD54" s="391"/>
      <c r="AE54" s="391"/>
      <c r="AF54" s="391"/>
      <c r="AG54" s="391"/>
      <c r="AH54" s="391"/>
      <c r="AI54" s="391"/>
      <c r="AJ54" s="391"/>
      <c r="AK54" s="391"/>
      <c r="AL54" s="391"/>
      <c r="AM54" s="391"/>
    </row>
    <row r="55" spans="1:40" s="344" customFormat="1" ht="20.100000000000001" customHeight="1">
      <c r="A55" s="410"/>
      <c r="B55" s="411"/>
      <c r="C55" s="412"/>
      <c r="D55" s="412"/>
      <c r="E55" s="412"/>
      <c r="F55" s="341"/>
      <c r="G55" s="341"/>
      <c r="H55" s="341"/>
      <c r="I55" s="341"/>
      <c r="J55" s="413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1"/>
    </row>
    <row r="56" spans="1:40" s="344" customFormat="1" ht="20.100000000000001" customHeight="1">
      <c r="A56" s="410"/>
      <c r="B56" s="411"/>
      <c r="C56" s="412"/>
      <c r="D56" s="412"/>
      <c r="E56" s="412"/>
      <c r="F56" s="341"/>
      <c r="G56" s="341"/>
      <c r="H56" s="341"/>
      <c r="I56" s="341"/>
      <c r="J56" s="413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  <c r="AF56" s="391"/>
      <c r="AG56" s="391"/>
      <c r="AH56" s="391"/>
      <c r="AI56" s="391"/>
      <c r="AJ56" s="391"/>
      <c r="AK56" s="391"/>
      <c r="AL56" s="391"/>
      <c r="AM56" s="391"/>
    </row>
    <row r="57" spans="1:40" s="344" customFormat="1" ht="20.100000000000001" customHeight="1">
      <c r="A57" s="410"/>
      <c r="B57" s="411"/>
      <c r="C57" s="412"/>
      <c r="D57" s="412"/>
      <c r="E57" s="412"/>
      <c r="F57" s="341"/>
      <c r="G57" s="341"/>
      <c r="H57" s="341"/>
      <c r="I57" s="341"/>
      <c r="J57" s="413"/>
      <c r="K57" s="391"/>
      <c r="L57" s="391"/>
      <c r="M57" s="391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91"/>
      <c r="Y57" s="391"/>
      <c r="Z57" s="391"/>
      <c r="AA57" s="391"/>
      <c r="AB57" s="391"/>
      <c r="AC57" s="391"/>
      <c r="AD57" s="391"/>
      <c r="AE57" s="391"/>
      <c r="AF57" s="391"/>
      <c r="AG57" s="391"/>
      <c r="AH57" s="391"/>
      <c r="AI57" s="391"/>
      <c r="AJ57" s="391"/>
      <c r="AK57" s="391"/>
      <c r="AL57" s="391"/>
      <c r="AM57" s="391"/>
    </row>
    <row r="58" spans="1:40" s="344" customFormat="1" ht="20.100000000000001" customHeight="1">
      <c r="A58" s="410"/>
      <c r="B58" s="411"/>
      <c r="C58" s="412"/>
      <c r="D58" s="412"/>
      <c r="E58" s="412"/>
      <c r="F58" s="341"/>
      <c r="G58" s="341"/>
      <c r="H58" s="341"/>
      <c r="I58" s="341"/>
      <c r="J58" s="413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1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  <c r="AF58" s="391"/>
      <c r="AG58" s="391"/>
      <c r="AH58" s="391"/>
      <c r="AI58" s="391"/>
      <c r="AJ58" s="391"/>
      <c r="AK58" s="391"/>
      <c r="AL58" s="391"/>
      <c r="AM58" s="391"/>
    </row>
    <row r="59" spans="1:40" s="344" customFormat="1" ht="20.100000000000001" customHeight="1">
      <c r="A59" s="410"/>
      <c r="B59" s="411"/>
      <c r="C59" s="412"/>
      <c r="D59" s="412"/>
      <c r="E59" s="412"/>
      <c r="F59" s="341"/>
      <c r="G59" s="341"/>
      <c r="H59" s="341"/>
      <c r="I59" s="341"/>
      <c r="J59" s="413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  <c r="AF59" s="391"/>
      <c r="AG59" s="391"/>
      <c r="AH59" s="391"/>
      <c r="AI59" s="391"/>
      <c r="AJ59" s="391"/>
      <c r="AK59" s="391"/>
      <c r="AL59" s="391"/>
      <c r="AM59" s="391"/>
    </row>
    <row r="60" spans="1:40" s="344" customFormat="1" ht="20.100000000000001" customHeight="1">
      <c r="A60" s="410"/>
      <c r="B60" s="411"/>
      <c r="C60" s="412"/>
      <c r="D60" s="412"/>
      <c r="E60" s="412"/>
      <c r="F60" s="341"/>
      <c r="G60" s="341"/>
      <c r="H60" s="341"/>
      <c r="I60" s="341"/>
      <c r="J60" s="413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  <c r="Z60" s="391"/>
      <c r="AA60" s="391"/>
      <c r="AB60" s="391"/>
      <c r="AC60" s="391"/>
      <c r="AD60" s="391"/>
      <c r="AE60" s="391"/>
      <c r="AF60" s="391"/>
      <c r="AG60" s="391"/>
      <c r="AH60" s="391"/>
      <c r="AI60" s="391"/>
      <c r="AJ60" s="391"/>
      <c r="AK60" s="391"/>
      <c r="AL60" s="391"/>
      <c r="AM60" s="391"/>
    </row>
    <row r="61" spans="1:40" s="344" customFormat="1" ht="20.100000000000001" customHeight="1">
      <c r="A61" s="410"/>
      <c r="B61" s="411"/>
      <c r="C61" s="412"/>
      <c r="D61" s="412"/>
      <c r="E61" s="412"/>
      <c r="F61" s="341"/>
      <c r="G61" s="341"/>
      <c r="H61" s="341"/>
      <c r="I61" s="341"/>
      <c r="J61" s="413"/>
      <c r="K61" s="391"/>
      <c r="L61" s="391"/>
      <c r="M61" s="391"/>
      <c r="N61" s="391"/>
      <c r="O61" s="391"/>
      <c r="P61" s="391"/>
      <c r="Q61" s="391"/>
      <c r="R61" s="391"/>
      <c r="S61" s="391"/>
      <c r="T61" s="391"/>
      <c r="U61" s="391"/>
      <c r="V61" s="391"/>
      <c r="W61" s="391"/>
      <c r="X61" s="391"/>
      <c r="Y61" s="391"/>
      <c r="Z61" s="391"/>
      <c r="AA61" s="391"/>
      <c r="AB61" s="391"/>
      <c r="AC61" s="391"/>
      <c r="AD61" s="391"/>
      <c r="AE61" s="391"/>
      <c r="AF61" s="391"/>
      <c r="AG61" s="391"/>
      <c r="AH61" s="391"/>
      <c r="AI61" s="391"/>
      <c r="AJ61" s="391"/>
      <c r="AK61" s="391"/>
      <c r="AL61" s="391"/>
      <c r="AM61" s="391"/>
    </row>
    <row r="62" spans="1:40" s="344" customFormat="1" ht="20.100000000000001" customHeight="1">
      <c r="A62" s="410"/>
      <c r="B62" s="411"/>
      <c r="C62" s="412"/>
      <c r="D62" s="412"/>
      <c r="E62" s="412"/>
      <c r="F62" s="341"/>
      <c r="G62" s="341"/>
      <c r="H62" s="341"/>
      <c r="I62" s="341"/>
      <c r="J62" s="413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  <c r="Z62" s="391"/>
      <c r="AA62" s="391"/>
      <c r="AB62" s="391"/>
      <c r="AC62" s="391"/>
      <c r="AD62" s="391"/>
      <c r="AE62" s="391"/>
      <c r="AF62" s="391"/>
      <c r="AG62" s="391"/>
      <c r="AH62" s="391"/>
      <c r="AI62" s="391"/>
      <c r="AJ62" s="391"/>
      <c r="AK62" s="391"/>
      <c r="AL62" s="391"/>
      <c r="AM62" s="391"/>
      <c r="AN62" s="391"/>
    </row>
    <row r="63" spans="1:40" ht="15" customHeight="1">
      <c r="A63" s="424" t="s">
        <v>285</v>
      </c>
      <c r="B63" s="425"/>
      <c r="I63" s="426"/>
    </row>
    <row r="64" spans="1:40" ht="15" customHeight="1">
      <c r="A64" s="427" t="s">
        <v>264</v>
      </c>
      <c r="B64" s="428" t="s">
        <v>286</v>
      </c>
      <c r="C64" s="429" t="s">
        <v>287</v>
      </c>
      <c r="D64" s="430"/>
      <c r="E64" s="430"/>
      <c r="F64" s="431"/>
      <c r="G64" s="432"/>
      <c r="H64" s="432" t="s">
        <v>288</v>
      </c>
      <c r="I64" s="433">
        <f>RSQ(I65:I75,B65:B75)</f>
        <v>0.78563565374049749</v>
      </c>
      <c r="J64" s="434" t="s">
        <v>289</v>
      </c>
      <c r="K64" s="435" t="s">
        <v>290</v>
      </c>
    </row>
    <row r="65" spans="1:14" ht="15" customHeight="1">
      <c r="A65" s="436">
        <f>A5</f>
        <v>2006</v>
      </c>
      <c r="B65" s="437">
        <f>B5</f>
        <v>19788</v>
      </c>
      <c r="C65" s="438">
        <v>1</v>
      </c>
      <c r="D65" s="439" t="s">
        <v>291</v>
      </c>
      <c r="E65" s="440"/>
      <c r="F65" s="440"/>
      <c r="G65" s="441"/>
      <c r="H65" s="442"/>
      <c r="I65" s="443">
        <f t="shared" ref="I65:I97" si="8">ROUND($E$66*C65+$E$67,$G$1)</f>
        <v>20797</v>
      </c>
      <c r="J65" s="444">
        <f t="shared" ref="J65:J75" si="9">ABS(B65-I65)/B65*100</f>
        <v>5.0990499292500502</v>
      </c>
      <c r="K65" s="443">
        <f t="shared" ref="K65:K75" si="10">(B65-I65)^2/1000</f>
        <v>1018.081</v>
      </c>
      <c r="L65" s="445"/>
    </row>
    <row r="66" spans="1:14" ht="15" customHeight="1">
      <c r="A66" s="436">
        <f t="shared" ref="A66:A97" si="11">A65+1</f>
        <v>2007</v>
      </c>
      <c r="B66" s="437">
        <f t="shared" ref="B66:B75" si="12">B6</f>
        <v>20615</v>
      </c>
      <c r="C66" s="438">
        <f t="shared" ref="C66:C75" si="13">C65+1</f>
        <v>2</v>
      </c>
      <c r="D66" s="439" t="s">
        <v>292</v>
      </c>
      <c r="E66" s="363">
        <f>INDEX(LINEST(B65:B75,C65:C75),1)</f>
        <v>307.64545454545458</v>
      </c>
      <c r="F66" s="440"/>
      <c r="G66" s="441"/>
      <c r="H66" s="442"/>
      <c r="I66" s="443">
        <f t="shared" si="8"/>
        <v>21105</v>
      </c>
      <c r="J66" s="446">
        <f t="shared" si="9"/>
        <v>2.3769100169779285</v>
      </c>
      <c r="K66" s="443">
        <f>(B66-I66)^2/1000</f>
        <v>240.1</v>
      </c>
      <c r="L66" s="445">
        <f t="shared" ref="L66:L97" si="14">+I66-I65</f>
        <v>308</v>
      </c>
      <c r="M66" s="445"/>
    </row>
    <row r="67" spans="1:14" ht="15" customHeight="1">
      <c r="A67" s="436">
        <f t="shared" si="11"/>
        <v>2008</v>
      </c>
      <c r="B67" s="437">
        <f t="shared" si="12"/>
        <v>22162</v>
      </c>
      <c r="C67" s="438">
        <f t="shared" si="13"/>
        <v>3</v>
      </c>
      <c r="D67" s="439" t="s">
        <v>293</v>
      </c>
      <c r="E67" s="363">
        <f>INDEX(LINEST(B65:B75,C65:C75),2)</f>
        <v>20489.672727272729</v>
      </c>
      <c r="G67" s="441"/>
      <c r="H67" s="442"/>
      <c r="I67" s="443">
        <f t="shared" si="8"/>
        <v>21413</v>
      </c>
      <c r="J67" s="446">
        <f t="shared" si="9"/>
        <v>3.3796588755527477</v>
      </c>
      <c r="K67" s="443">
        <f>(B67-I67)^2/1000</f>
        <v>561.00099999999998</v>
      </c>
      <c r="L67" s="445">
        <f t="shared" si="14"/>
        <v>308</v>
      </c>
      <c r="M67" s="445"/>
    </row>
    <row r="68" spans="1:14" ht="15" customHeight="1">
      <c r="A68" s="436">
        <f t="shared" si="11"/>
        <v>2009</v>
      </c>
      <c r="B68" s="437">
        <f t="shared" si="12"/>
        <v>22357</v>
      </c>
      <c r="C68" s="438">
        <f t="shared" si="13"/>
        <v>4</v>
      </c>
      <c r="G68" s="442"/>
      <c r="H68" s="442"/>
      <c r="I68" s="443">
        <f t="shared" si="8"/>
        <v>21720</v>
      </c>
      <c r="J68" s="446">
        <f t="shared" si="9"/>
        <v>2.8492194838305678</v>
      </c>
      <c r="K68" s="443">
        <f t="shared" si="10"/>
        <v>405.76900000000001</v>
      </c>
      <c r="L68" s="445">
        <f t="shared" si="14"/>
        <v>307</v>
      </c>
      <c r="M68" s="445"/>
    </row>
    <row r="69" spans="1:14" ht="15" customHeight="1">
      <c r="A69" s="436">
        <f t="shared" si="11"/>
        <v>2010</v>
      </c>
      <c r="B69" s="437">
        <f t="shared" si="12"/>
        <v>22538</v>
      </c>
      <c r="C69" s="438">
        <f t="shared" si="13"/>
        <v>5</v>
      </c>
      <c r="G69" s="442"/>
      <c r="H69" s="442"/>
      <c r="I69" s="443">
        <f t="shared" si="8"/>
        <v>22028</v>
      </c>
      <c r="J69" s="446">
        <f t="shared" si="9"/>
        <v>2.262844972934599</v>
      </c>
      <c r="K69" s="443">
        <f t="shared" si="10"/>
        <v>260.10000000000002</v>
      </c>
      <c r="L69" s="445">
        <f t="shared" si="14"/>
        <v>308</v>
      </c>
      <c r="M69" s="445"/>
    </row>
    <row r="70" spans="1:14" ht="15" customHeight="1">
      <c r="A70" s="436">
        <f t="shared" si="11"/>
        <v>2011</v>
      </c>
      <c r="B70" s="437">
        <f t="shared" si="12"/>
        <v>22572</v>
      </c>
      <c r="C70" s="438">
        <f t="shared" si="13"/>
        <v>6</v>
      </c>
      <c r="D70" s="2318" t="s">
        <v>276</v>
      </c>
      <c r="E70" s="2320"/>
      <c r="F70" s="447">
        <f>I64</f>
        <v>0.78563565374049749</v>
      </c>
      <c r="G70" s="442"/>
      <c r="H70" s="442"/>
      <c r="I70" s="443">
        <f t="shared" si="8"/>
        <v>22336</v>
      </c>
      <c r="J70" s="446">
        <f t="shared" si="9"/>
        <v>1.0455431508063087</v>
      </c>
      <c r="K70" s="443">
        <f t="shared" si="10"/>
        <v>55.695999999999998</v>
      </c>
      <c r="L70" s="445">
        <f t="shared" si="14"/>
        <v>308</v>
      </c>
      <c r="M70" s="445"/>
    </row>
    <row r="71" spans="1:14" ht="15" customHeight="1">
      <c r="A71" s="436">
        <f t="shared" si="11"/>
        <v>2012</v>
      </c>
      <c r="B71" s="437">
        <f t="shared" si="12"/>
        <v>22563</v>
      </c>
      <c r="C71" s="438">
        <f t="shared" si="13"/>
        <v>7</v>
      </c>
      <c r="D71" s="2318" t="s">
        <v>376</v>
      </c>
      <c r="E71" s="2320"/>
      <c r="F71" s="448">
        <f>SUM(K65:K75)</f>
        <v>2840.9639999999999</v>
      </c>
      <c r="G71" s="442"/>
      <c r="H71" s="442"/>
      <c r="I71" s="443">
        <f t="shared" si="8"/>
        <v>22643</v>
      </c>
      <c r="J71" s="446">
        <f t="shared" si="9"/>
        <v>0.35456277977219341</v>
      </c>
      <c r="K71" s="443">
        <f t="shared" si="10"/>
        <v>6.4</v>
      </c>
      <c r="L71" s="445">
        <f t="shared" si="14"/>
        <v>307</v>
      </c>
      <c r="M71" s="445"/>
    </row>
    <row r="72" spans="1:14" ht="15" customHeight="1">
      <c r="A72" s="436">
        <f t="shared" si="11"/>
        <v>2013</v>
      </c>
      <c r="B72" s="437">
        <f t="shared" si="12"/>
        <v>23002</v>
      </c>
      <c r="C72" s="438">
        <f t="shared" si="13"/>
        <v>8</v>
      </c>
      <c r="D72" s="2318" t="s">
        <v>377</v>
      </c>
      <c r="E72" s="2321"/>
      <c r="F72" s="449">
        <f>SUM(J65:J75)/C75</f>
        <v>1.9148450585080425</v>
      </c>
      <c r="G72" s="442"/>
      <c r="H72" s="442"/>
      <c r="I72" s="443">
        <f t="shared" si="8"/>
        <v>22951</v>
      </c>
      <c r="J72" s="446">
        <f t="shared" si="9"/>
        <v>0.22171985044778714</v>
      </c>
      <c r="K72" s="443">
        <f t="shared" si="10"/>
        <v>2.601</v>
      </c>
      <c r="L72" s="445">
        <f t="shared" si="14"/>
        <v>308</v>
      </c>
      <c r="M72" s="445"/>
    </row>
    <row r="73" spans="1:14" ht="15" customHeight="1">
      <c r="A73" s="436">
        <f t="shared" si="11"/>
        <v>2014</v>
      </c>
      <c r="B73" s="437">
        <f t="shared" si="12"/>
        <v>23362</v>
      </c>
      <c r="C73" s="438">
        <f t="shared" si="13"/>
        <v>9</v>
      </c>
      <c r="D73" s="2322"/>
      <c r="E73" s="2322"/>
      <c r="F73" s="450"/>
      <c r="G73" s="442"/>
      <c r="H73" s="442"/>
      <c r="I73" s="443">
        <f t="shared" si="8"/>
        <v>23258</v>
      </c>
      <c r="J73" s="446">
        <f t="shared" si="9"/>
        <v>0.44516736580772193</v>
      </c>
      <c r="K73" s="443">
        <f t="shared" si="10"/>
        <v>10.816000000000001</v>
      </c>
      <c r="L73" s="445">
        <f t="shared" si="14"/>
        <v>307</v>
      </c>
      <c r="M73" s="445"/>
    </row>
    <row r="74" spans="1:14" ht="15" customHeight="1">
      <c r="A74" s="436">
        <f t="shared" si="11"/>
        <v>2015</v>
      </c>
      <c r="B74" s="437">
        <f t="shared" si="12"/>
        <v>23334</v>
      </c>
      <c r="C74" s="438">
        <f t="shared" si="13"/>
        <v>10</v>
      </c>
      <c r="G74" s="439"/>
      <c r="H74" s="451"/>
      <c r="I74" s="443">
        <f t="shared" si="8"/>
        <v>23566</v>
      </c>
      <c r="J74" s="446">
        <f t="shared" si="9"/>
        <v>0.99425730693408765</v>
      </c>
      <c r="K74" s="443">
        <f t="shared" si="10"/>
        <v>53.823999999999998</v>
      </c>
      <c r="L74" s="445">
        <f t="shared" si="14"/>
        <v>308</v>
      </c>
      <c r="M74" s="445"/>
    </row>
    <row r="75" spans="1:14" ht="15" customHeight="1" thickBot="1">
      <c r="A75" s="452">
        <f t="shared" si="11"/>
        <v>2016</v>
      </c>
      <c r="B75" s="453">
        <f t="shared" si="12"/>
        <v>23398</v>
      </c>
      <c r="C75" s="438">
        <f t="shared" si="13"/>
        <v>11</v>
      </c>
      <c r="D75" s="454"/>
      <c r="E75" s="454"/>
      <c r="F75" s="454"/>
      <c r="G75" s="455"/>
      <c r="H75" s="454"/>
      <c r="I75" s="456">
        <f t="shared" si="8"/>
        <v>23874</v>
      </c>
      <c r="J75" s="457">
        <f t="shared" si="9"/>
        <v>2.034361911274468</v>
      </c>
      <c r="K75" s="456">
        <f t="shared" si="10"/>
        <v>226.57599999999999</v>
      </c>
      <c r="L75" s="445">
        <f t="shared" si="14"/>
        <v>308</v>
      </c>
      <c r="M75" s="445"/>
    </row>
    <row r="76" spans="1:14" ht="15" customHeight="1" thickTop="1">
      <c r="A76" s="458">
        <f t="shared" si="11"/>
        <v>2017</v>
      </c>
      <c r="B76" s="459">
        <f t="shared" ref="B76:B97" si="15">ROUND($E$66*C76+$E$67,$G$1)</f>
        <v>24181</v>
      </c>
      <c r="C76" s="460">
        <f>C75+1</f>
        <v>12</v>
      </c>
      <c r="D76" s="461"/>
      <c r="E76" s="461"/>
      <c r="F76" s="461"/>
      <c r="G76" s="462"/>
      <c r="H76" s="461"/>
      <c r="I76" s="443">
        <f t="shared" si="8"/>
        <v>24181</v>
      </c>
      <c r="J76" s="463"/>
      <c r="K76" s="464"/>
      <c r="L76" s="445">
        <f t="shared" si="14"/>
        <v>307</v>
      </c>
    </row>
    <row r="77" spans="1:14" ht="15" customHeight="1">
      <c r="A77" s="465">
        <f t="shared" si="11"/>
        <v>2018</v>
      </c>
      <c r="B77" s="437">
        <f t="shared" si="15"/>
        <v>24489</v>
      </c>
      <c r="C77" s="466">
        <f>C76+1</f>
        <v>13</v>
      </c>
      <c r="F77" s="451"/>
      <c r="G77" s="439"/>
      <c r="H77" s="451"/>
      <c r="I77" s="443">
        <f t="shared" si="8"/>
        <v>24489</v>
      </c>
      <c r="J77" s="467"/>
      <c r="K77" s="443"/>
      <c r="L77" s="445">
        <f t="shared" si="14"/>
        <v>308</v>
      </c>
    </row>
    <row r="78" spans="1:14" ht="15" customHeight="1">
      <c r="A78" s="465">
        <f t="shared" si="11"/>
        <v>2019</v>
      </c>
      <c r="B78" s="437">
        <f t="shared" si="15"/>
        <v>24797</v>
      </c>
      <c r="C78" s="466">
        <f t="shared" ref="C78:C94" si="16">C77+1</f>
        <v>14</v>
      </c>
      <c r="F78" s="451"/>
      <c r="G78" s="439"/>
      <c r="H78" s="451"/>
      <c r="I78" s="443">
        <f t="shared" si="8"/>
        <v>24797</v>
      </c>
      <c r="J78" s="467"/>
      <c r="K78" s="443"/>
      <c r="L78" s="445">
        <f t="shared" si="14"/>
        <v>308</v>
      </c>
    </row>
    <row r="79" spans="1:14" ht="15" customHeight="1">
      <c r="A79" s="465">
        <f t="shared" si="11"/>
        <v>2020</v>
      </c>
      <c r="B79" s="437">
        <f t="shared" si="15"/>
        <v>25104</v>
      </c>
      <c r="C79" s="466">
        <f t="shared" si="16"/>
        <v>15</v>
      </c>
      <c r="F79" s="451"/>
      <c r="G79" s="439"/>
      <c r="H79" s="451"/>
      <c r="I79" s="443">
        <f t="shared" si="8"/>
        <v>25104</v>
      </c>
      <c r="J79" s="467"/>
      <c r="K79" s="443"/>
      <c r="L79" s="445">
        <f t="shared" si="14"/>
        <v>307</v>
      </c>
      <c r="N79" s="326">
        <f>1/0.75</f>
        <v>1.3333333333333333</v>
      </c>
    </row>
    <row r="80" spans="1:14" ht="15" customHeight="1">
      <c r="A80" s="465">
        <f t="shared" si="11"/>
        <v>2021</v>
      </c>
      <c r="B80" s="437">
        <f t="shared" si="15"/>
        <v>25412</v>
      </c>
      <c r="C80" s="466">
        <f t="shared" si="16"/>
        <v>16</v>
      </c>
      <c r="F80" s="451"/>
      <c r="G80" s="439"/>
      <c r="H80" s="451"/>
      <c r="I80" s="443">
        <f t="shared" si="8"/>
        <v>25412</v>
      </c>
      <c r="J80" s="467"/>
      <c r="K80" s="443"/>
      <c r="L80" s="445">
        <f t="shared" si="14"/>
        <v>308</v>
      </c>
    </row>
    <row r="81" spans="1:12" ht="15" customHeight="1">
      <c r="A81" s="465">
        <f t="shared" si="11"/>
        <v>2022</v>
      </c>
      <c r="B81" s="437">
        <f t="shared" si="15"/>
        <v>25720</v>
      </c>
      <c r="C81" s="466">
        <f t="shared" si="16"/>
        <v>17</v>
      </c>
      <c r="D81" s="439"/>
      <c r="E81" s="439"/>
      <c r="F81" s="451"/>
      <c r="G81" s="439"/>
      <c r="H81" s="451"/>
      <c r="I81" s="443">
        <f t="shared" si="8"/>
        <v>25720</v>
      </c>
      <c r="J81" s="467"/>
      <c r="K81" s="443"/>
      <c r="L81" s="445">
        <f t="shared" si="14"/>
        <v>308</v>
      </c>
    </row>
    <row r="82" spans="1:12" ht="15" customHeight="1">
      <c r="A82" s="465">
        <f t="shared" si="11"/>
        <v>2023</v>
      </c>
      <c r="B82" s="437">
        <f t="shared" si="15"/>
        <v>26027</v>
      </c>
      <c r="C82" s="466">
        <f t="shared" si="16"/>
        <v>18</v>
      </c>
      <c r="D82" s="439"/>
      <c r="E82" s="439"/>
      <c r="F82" s="451"/>
      <c r="G82" s="439"/>
      <c r="H82" s="451"/>
      <c r="I82" s="443">
        <f t="shared" si="8"/>
        <v>26027</v>
      </c>
      <c r="J82" s="467"/>
      <c r="K82" s="443"/>
      <c r="L82" s="445">
        <f t="shared" si="14"/>
        <v>307</v>
      </c>
    </row>
    <row r="83" spans="1:12" s="451" customFormat="1" ht="15" customHeight="1">
      <c r="A83" s="465">
        <f t="shared" si="11"/>
        <v>2024</v>
      </c>
      <c r="B83" s="437">
        <f t="shared" si="15"/>
        <v>26335</v>
      </c>
      <c r="C83" s="466">
        <f t="shared" si="16"/>
        <v>19</v>
      </c>
      <c r="G83" s="439"/>
      <c r="H83" s="439"/>
      <c r="I83" s="443">
        <f t="shared" si="8"/>
        <v>26335</v>
      </c>
      <c r="J83" s="467"/>
      <c r="K83" s="443"/>
      <c r="L83" s="445">
        <f t="shared" si="14"/>
        <v>308</v>
      </c>
    </row>
    <row r="84" spans="1:12" ht="15" customHeight="1">
      <c r="A84" s="465">
        <f t="shared" si="11"/>
        <v>2025</v>
      </c>
      <c r="B84" s="437">
        <f t="shared" si="15"/>
        <v>26643</v>
      </c>
      <c r="C84" s="466">
        <f t="shared" si="16"/>
        <v>20</v>
      </c>
      <c r="D84" s="451"/>
      <c r="E84" s="451"/>
      <c r="F84" s="451"/>
      <c r="G84" s="439"/>
      <c r="H84" s="451"/>
      <c r="I84" s="443">
        <f t="shared" si="8"/>
        <v>26643</v>
      </c>
      <c r="J84" s="467"/>
      <c r="K84" s="443"/>
      <c r="L84" s="445">
        <f t="shared" si="14"/>
        <v>308</v>
      </c>
    </row>
    <row r="85" spans="1:12" s="451" customFormat="1" ht="15" customHeight="1">
      <c r="A85" s="465">
        <f t="shared" si="11"/>
        <v>2026</v>
      </c>
      <c r="B85" s="437">
        <f t="shared" si="15"/>
        <v>26950</v>
      </c>
      <c r="C85" s="466">
        <f t="shared" si="16"/>
        <v>21</v>
      </c>
      <c r="G85" s="439"/>
      <c r="I85" s="443">
        <f t="shared" si="8"/>
        <v>26950</v>
      </c>
      <c r="J85" s="467"/>
      <c r="K85" s="443"/>
      <c r="L85" s="445">
        <f t="shared" si="14"/>
        <v>307</v>
      </c>
    </row>
    <row r="86" spans="1:12" s="451" customFormat="1" ht="15" customHeight="1">
      <c r="A86" s="465">
        <f t="shared" si="11"/>
        <v>2027</v>
      </c>
      <c r="B86" s="437">
        <f t="shared" si="15"/>
        <v>27258</v>
      </c>
      <c r="C86" s="466">
        <f t="shared" si="16"/>
        <v>22</v>
      </c>
      <c r="G86" s="439"/>
      <c r="I86" s="443">
        <f t="shared" si="8"/>
        <v>27258</v>
      </c>
      <c r="J86" s="467"/>
      <c r="K86" s="443"/>
      <c r="L86" s="445">
        <f t="shared" si="14"/>
        <v>308</v>
      </c>
    </row>
    <row r="87" spans="1:12" s="451" customFormat="1" ht="15" customHeight="1">
      <c r="A87" s="465">
        <f t="shared" si="11"/>
        <v>2028</v>
      </c>
      <c r="B87" s="437">
        <f t="shared" si="15"/>
        <v>27566</v>
      </c>
      <c r="C87" s="466">
        <f t="shared" si="16"/>
        <v>23</v>
      </c>
      <c r="D87" s="468"/>
      <c r="E87" s="468"/>
      <c r="I87" s="443">
        <f t="shared" si="8"/>
        <v>27566</v>
      </c>
      <c r="J87" s="469"/>
      <c r="K87" s="469"/>
      <c r="L87" s="445">
        <f t="shared" si="14"/>
        <v>308</v>
      </c>
    </row>
    <row r="88" spans="1:12" ht="15" customHeight="1">
      <c r="A88" s="465">
        <f t="shared" si="11"/>
        <v>2029</v>
      </c>
      <c r="B88" s="437">
        <f t="shared" si="15"/>
        <v>27873</v>
      </c>
      <c r="C88" s="466">
        <f t="shared" si="16"/>
        <v>24</v>
      </c>
      <c r="D88" s="468"/>
      <c r="E88" s="468"/>
      <c r="F88" s="451"/>
      <c r="G88" s="451"/>
      <c r="H88" s="451"/>
      <c r="I88" s="443">
        <f t="shared" si="8"/>
        <v>27873</v>
      </c>
      <c r="J88" s="469"/>
      <c r="K88" s="469"/>
      <c r="L88" s="445">
        <f t="shared" si="14"/>
        <v>307</v>
      </c>
    </row>
    <row r="89" spans="1:12" ht="15" customHeight="1">
      <c r="A89" s="465">
        <f t="shared" si="11"/>
        <v>2030</v>
      </c>
      <c r="B89" s="437">
        <f t="shared" si="15"/>
        <v>28181</v>
      </c>
      <c r="C89" s="466">
        <f t="shared" si="16"/>
        <v>25</v>
      </c>
      <c r="D89" s="468"/>
      <c r="E89" s="468"/>
      <c r="F89" s="451"/>
      <c r="G89" s="451"/>
      <c r="H89" s="451"/>
      <c r="I89" s="443">
        <f t="shared" si="8"/>
        <v>28181</v>
      </c>
      <c r="J89" s="469"/>
      <c r="K89" s="469"/>
      <c r="L89" s="445">
        <f t="shared" si="14"/>
        <v>308</v>
      </c>
    </row>
    <row r="90" spans="1:12" ht="15" customHeight="1">
      <c r="A90" s="465">
        <f t="shared" si="11"/>
        <v>2031</v>
      </c>
      <c r="B90" s="437">
        <f t="shared" si="15"/>
        <v>28488</v>
      </c>
      <c r="C90" s="466">
        <f t="shared" si="16"/>
        <v>26</v>
      </c>
      <c r="D90" s="468"/>
      <c r="E90" s="468"/>
      <c r="F90" s="451"/>
      <c r="G90" s="451"/>
      <c r="H90" s="451"/>
      <c r="I90" s="443">
        <f t="shared" si="8"/>
        <v>28488</v>
      </c>
      <c r="J90" s="469"/>
      <c r="K90" s="469"/>
      <c r="L90" s="445">
        <f t="shared" si="14"/>
        <v>307</v>
      </c>
    </row>
    <row r="91" spans="1:12" ht="15" customHeight="1">
      <c r="A91" s="465">
        <f t="shared" si="11"/>
        <v>2032</v>
      </c>
      <c r="B91" s="437">
        <f t="shared" si="15"/>
        <v>28796</v>
      </c>
      <c r="C91" s="466">
        <f t="shared" si="16"/>
        <v>27</v>
      </c>
      <c r="D91" s="468"/>
      <c r="E91" s="468"/>
      <c r="F91" s="451"/>
      <c r="G91" s="451"/>
      <c r="H91" s="451"/>
      <c r="I91" s="443">
        <f t="shared" si="8"/>
        <v>28796</v>
      </c>
      <c r="J91" s="469"/>
      <c r="K91" s="469"/>
      <c r="L91" s="445">
        <f t="shared" si="14"/>
        <v>308</v>
      </c>
    </row>
    <row r="92" spans="1:12" ht="15" customHeight="1">
      <c r="A92" s="465">
        <f t="shared" si="11"/>
        <v>2033</v>
      </c>
      <c r="B92" s="437">
        <f t="shared" si="15"/>
        <v>29104</v>
      </c>
      <c r="C92" s="466">
        <f t="shared" si="16"/>
        <v>28</v>
      </c>
      <c r="D92" s="468"/>
      <c r="E92" s="468"/>
      <c r="F92" s="451"/>
      <c r="G92" s="451"/>
      <c r="H92" s="451"/>
      <c r="I92" s="443">
        <f t="shared" si="8"/>
        <v>29104</v>
      </c>
      <c r="J92" s="469"/>
      <c r="K92" s="469"/>
      <c r="L92" s="445">
        <f t="shared" si="14"/>
        <v>308</v>
      </c>
    </row>
    <row r="93" spans="1:12" ht="15" customHeight="1">
      <c r="A93" s="465">
        <f t="shared" si="11"/>
        <v>2034</v>
      </c>
      <c r="B93" s="437">
        <f t="shared" si="15"/>
        <v>29411</v>
      </c>
      <c r="C93" s="466">
        <f t="shared" si="16"/>
        <v>29</v>
      </c>
      <c r="D93" s="468"/>
      <c r="E93" s="468"/>
      <c r="F93" s="451"/>
      <c r="G93" s="451"/>
      <c r="H93" s="451"/>
      <c r="I93" s="443">
        <f t="shared" si="8"/>
        <v>29411</v>
      </c>
      <c r="J93" s="469"/>
      <c r="K93" s="469"/>
      <c r="L93" s="445">
        <f t="shared" si="14"/>
        <v>307</v>
      </c>
    </row>
    <row r="94" spans="1:12" ht="15" customHeight="1">
      <c r="A94" s="470">
        <f t="shared" si="11"/>
        <v>2035</v>
      </c>
      <c r="B94" s="471">
        <f t="shared" si="15"/>
        <v>29719</v>
      </c>
      <c r="C94" s="472">
        <f t="shared" si="16"/>
        <v>30</v>
      </c>
      <c r="D94" s="473"/>
      <c r="E94" s="473"/>
      <c r="F94" s="474"/>
      <c r="G94" s="474"/>
      <c r="H94" s="474"/>
      <c r="I94" s="471">
        <f t="shared" si="8"/>
        <v>29719</v>
      </c>
      <c r="J94" s="475"/>
      <c r="K94" s="476"/>
      <c r="L94" s="445">
        <f t="shared" si="14"/>
        <v>308</v>
      </c>
    </row>
    <row r="95" spans="1:12" ht="15" customHeight="1">
      <c r="A95" s="477">
        <f t="shared" si="11"/>
        <v>2036</v>
      </c>
      <c r="B95" s="478">
        <f t="shared" si="15"/>
        <v>30027</v>
      </c>
      <c r="C95" s="479">
        <v>31</v>
      </c>
      <c r="D95" s="480"/>
      <c r="E95" s="480"/>
      <c r="F95" s="481"/>
      <c r="G95" s="481"/>
      <c r="H95" s="481"/>
      <c r="I95" s="478">
        <f t="shared" si="8"/>
        <v>30027</v>
      </c>
      <c r="J95" s="482"/>
      <c r="K95" s="483"/>
      <c r="L95" s="445">
        <f t="shared" si="14"/>
        <v>308</v>
      </c>
    </row>
    <row r="96" spans="1:12" ht="15" customHeight="1">
      <c r="A96" s="477">
        <f t="shared" si="11"/>
        <v>2037</v>
      </c>
      <c r="B96" s="478">
        <f t="shared" si="15"/>
        <v>30334</v>
      </c>
      <c r="C96" s="479">
        <v>32</v>
      </c>
      <c r="D96" s="480"/>
      <c r="E96" s="480"/>
      <c r="F96" s="481"/>
      <c r="G96" s="481"/>
      <c r="H96" s="481"/>
      <c r="I96" s="478">
        <f t="shared" si="8"/>
        <v>30334</v>
      </c>
      <c r="J96" s="482"/>
      <c r="K96" s="483"/>
      <c r="L96" s="445">
        <f t="shared" si="14"/>
        <v>307</v>
      </c>
    </row>
    <row r="97" spans="1:13" ht="15" customHeight="1">
      <c r="A97" s="484">
        <f t="shared" si="11"/>
        <v>2038</v>
      </c>
      <c r="B97" s="485">
        <f t="shared" si="15"/>
        <v>30642</v>
      </c>
      <c r="C97" s="486">
        <v>33</v>
      </c>
      <c r="D97" s="487"/>
      <c r="E97" s="487"/>
      <c r="F97" s="488"/>
      <c r="G97" s="488"/>
      <c r="H97" s="488"/>
      <c r="I97" s="485">
        <f t="shared" si="8"/>
        <v>30642</v>
      </c>
      <c r="J97" s="489"/>
      <c r="K97" s="490"/>
      <c r="L97" s="445">
        <f t="shared" si="14"/>
        <v>308</v>
      </c>
    </row>
    <row r="98" spans="1:13" ht="15" customHeight="1">
      <c r="A98" s="491"/>
      <c r="B98" s="492"/>
      <c r="C98" s="439"/>
      <c r="D98" s="468"/>
      <c r="E98" s="468"/>
      <c r="F98" s="451"/>
      <c r="G98" s="451"/>
      <c r="H98" s="451"/>
      <c r="I98" s="492"/>
      <c r="J98" s="493"/>
      <c r="K98" s="493"/>
      <c r="L98" s="445"/>
    </row>
    <row r="99" spans="1:13" ht="15" customHeight="1">
      <c r="A99" s="491"/>
      <c r="B99" s="492"/>
      <c r="C99" s="439"/>
      <c r="D99" s="468"/>
      <c r="E99" s="468"/>
      <c r="F99" s="451"/>
      <c r="G99" s="451"/>
      <c r="H99" s="451"/>
      <c r="I99" s="492"/>
      <c r="J99" s="493"/>
      <c r="K99" s="493"/>
      <c r="L99" s="445"/>
    </row>
    <row r="100" spans="1:13" ht="15" customHeight="1">
      <c r="A100" s="491"/>
      <c r="B100" s="492"/>
      <c r="C100" s="439"/>
      <c r="D100" s="468"/>
      <c r="E100" s="468"/>
      <c r="F100" s="451"/>
      <c r="G100" s="451"/>
      <c r="H100" s="451"/>
      <c r="I100" s="492"/>
      <c r="J100" s="493"/>
      <c r="K100" s="493"/>
      <c r="L100" s="445"/>
    </row>
    <row r="101" spans="1:13" ht="15" customHeight="1">
      <c r="A101" s="491"/>
      <c r="B101" s="494"/>
      <c r="C101" s="439"/>
      <c r="D101" s="468"/>
      <c r="E101" s="468"/>
      <c r="F101" s="451"/>
      <c r="G101" s="451"/>
      <c r="H101" s="451"/>
      <c r="I101" s="495"/>
      <c r="J101" s="495"/>
    </row>
    <row r="102" spans="1:13" ht="15" customHeight="1">
      <c r="A102" s="424" t="s">
        <v>296</v>
      </c>
    </row>
    <row r="103" spans="1:13" ht="15" customHeight="1">
      <c r="A103" s="427" t="s">
        <v>264</v>
      </c>
      <c r="B103" s="428" t="s">
        <v>286</v>
      </c>
      <c r="C103" s="429" t="s">
        <v>297</v>
      </c>
      <c r="D103" s="429" t="s">
        <v>287</v>
      </c>
      <c r="E103" s="496"/>
      <c r="F103" s="430"/>
      <c r="G103" s="431"/>
      <c r="H103" s="432" t="s">
        <v>288</v>
      </c>
      <c r="I103" s="433">
        <f>RSQ(I104:I114,B104:B114)</f>
        <v>0.7730718955274779</v>
      </c>
      <c r="J103" s="434" t="s">
        <v>289</v>
      </c>
      <c r="K103" s="435" t="s">
        <v>290</v>
      </c>
    </row>
    <row r="104" spans="1:13" ht="15" customHeight="1">
      <c r="A104" s="436">
        <f t="shared" ref="A104:B119" si="17">A65</f>
        <v>2006</v>
      </c>
      <c r="B104" s="437">
        <f t="shared" si="17"/>
        <v>19788</v>
      </c>
      <c r="C104" s="497">
        <f t="shared" ref="C104:C114" si="18">LN(B104)</f>
        <v>9.8928309723475998</v>
      </c>
      <c r="D104" s="438">
        <f>C65</f>
        <v>1</v>
      </c>
      <c r="E104" s="498" t="s">
        <v>298</v>
      </c>
      <c r="F104" s="499"/>
      <c r="G104" s="500"/>
      <c r="H104" s="501"/>
      <c r="I104" s="502">
        <f t="shared" ref="I104:I136" si="19">ROUND($F$111*(1+$F$112)^D104,$G$1)</f>
        <v>20790</v>
      </c>
      <c r="J104" s="444">
        <f t="shared" ref="J104:J114" si="20">ABS(B104-I104)/B104*100</f>
        <v>5.0636749545178894</v>
      </c>
      <c r="K104" s="443">
        <f t="shared" ref="K104:K114" si="21">(B104-I104)^2/1000</f>
        <v>1004.004</v>
      </c>
      <c r="L104" s="503"/>
    </row>
    <row r="105" spans="1:13" ht="15" customHeight="1">
      <c r="A105" s="436">
        <f t="shared" si="17"/>
        <v>2007</v>
      </c>
      <c r="B105" s="437">
        <f t="shared" si="17"/>
        <v>20615</v>
      </c>
      <c r="C105" s="497">
        <f>LN(B105)</f>
        <v>9.9337742451410005</v>
      </c>
      <c r="D105" s="438">
        <f t="shared" ref="D105:D136" si="22">D104+1</f>
        <v>2</v>
      </c>
      <c r="E105" s="498" t="s">
        <v>299</v>
      </c>
      <c r="F105" s="439"/>
      <c r="G105" s="500"/>
      <c r="H105" s="501"/>
      <c r="I105" s="443">
        <f t="shared" si="19"/>
        <v>21085</v>
      </c>
      <c r="J105" s="446">
        <f t="shared" si="20"/>
        <v>2.2798932815910744</v>
      </c>
      <c r="K105" s="443">
        <f t="shared" si="21"/>
        <v>220.9</v>
      </c>
      <c r="L105" s="503">
        <f>ROUND((I105/I104)^(1/1)-1,4)</f>
        <v>1.4200000000000001E-2</v>
      </c>
    </row>
    <row r="106" spans="1:13" ht="15" customHeight="1">
      <c r="A106" s="436">
        <f t="shared" si="17"/>
        <v>2008</v>
      </c>
      <c r="B106" s="437">
        <f t="shared" si="17"/>
        <v>22162</v>
      </c>
      <c r="C106" s="497">
        <f>LN(B106)</f>
        <v>10.006134389496271</v>
      </c>
      <c r="D106" s="438">
        <f t="shared" si="22"/>
        <v>3</v>
      </c>
      <c r="E106" s="326" t="s">
        <v>300</v>
      </c>
      <c r="G106" s="451"/>
      <c r="H106" s="442"/>
      <c r="I106" s="443">
        <f t="shared" si="19"/>
        <v>21384</v>
      </c>
      <c r="J106" s="446">
        <f t="shared" si="20"/>
        <v>3.5105134915621332</v>
      </c>
      <c r="K106" s="443">
        <f t="shared" si="21"/>
        <v>605.28399999999999</v>
      </c>
      <c r="L106" s="503">
        <f t="shared" ref="L106:L136" si="23">ROUND((I106/I105)^(1/1)-1,4)</f>
        <v>1.4200000000000001E-2</v>
      </c>
      <c r="M106" s="503"/>
    </row>
    <row r="107" spans="1:13" ht="15" customHeight="1">
      <c r="A107" s="436">
        <f t="shared" si="17"/>
        <v>2009</v>
      </c>
      <c r="B107" s="437">
        <f t="shared" si="17"/>
        <v>22357</v>
      </c>
      <c r="C107" s="497">
        <f t="shared" si="18"/>
        <v>10.014894750110258</v>
      </c>
      <c r="D107" s="438">
        <f t="shared" si="22"/>
        <v>4</v>
      </c>
      <c r="G107" s="451"/>
      <c r="H107" s="442"/>
      <c r="I107" s="443">
        <f t="shared" si="19"/>
        <v>21688</v>
      </c>
      <c r="J107" s="446">
        <f t="shared" si="20"/>
        <v>2.9923513888267657</v>
      </c>
      <c r="K107" s="443">
        <f t="shared" si="21"/>
        <v>447.56099999999998</v>
      </c>
      <c r="L107" s="503">
        <f t="shared" si="23"/>
        <v>1.4200000000000001E-2</v>
      </c>
      <c r="M107" s="503"/>
    </row>
    <row r="108" spans="1:13" ht="15" customHeight="1">
      <c r="A108" s="436">
        <f t="shared" si="17"/>
        <v>2010</v>
      </c>
      <c r="B108" s="437">
        <f t="shared" si="17"/>
        <v>22538</v>
      </c>
      <c r="C108" s="497">
        <f t="shared" si="18"/>
        <v>10.022958052512294</v>
      </c>
      <c r="D108" s="438">
        <f t="shared" si="22"/>
        <v>5</v>
      </c>
      <c r="E108" s="329" t="s">
        <v>301</v>
      </c>
      <c r="F108" s="442" t="s">
        <v>302</v>
      </c>
      <c r="G108" s="504">
        <f>INDEX(LINEST(C104:C114,D104:D114),2)</f>
        <v>9.9281473443411805</v>
      </c>
      <c r="H108" s="442"/>
      <c r="I108" s="443">
        <f t="shared" si="19"/>
        <v>21995</v>
      </c>
      <c r="J108" s="446">
        <f t="shared" si="20"/>
        <v>2.4092643535362499</v>
      </c>
      <c r="K108" s="443">
        <f t="shared" si="21"/>
        <v>294.84899999999999</v>
      </c>
      <c r="L108" s="503">
        <f t="shared" si="23"/>
        <v>1.4200000000000001E-2</v>
      </c>
      <c r="M108" s="503"/>
    </row>
    <row r="109" spans="1:13" ht="15" customHeight="1">
      <c r="A109" s="436">
        <f t="shared" si="17"/>
        <v>2011</v>
      </c>
      <c r="B109" s="437">
        <f t="shared" si="17"/>
        <v>22572</v>
      </c>
      <c r="C109" s="497">
        <f t="shared" si="18"/>
        <v>10.024465479089031</v>
      </c>
      <c r="D109" s="438">
        <f t="shared" si="22"/>
        <v>6</v>
      </c>
      <c r="E109" s="329" t="s">
        <v>303</v>
      </c>
      <c r="F109" s="442" t="s">
        <v>304</v>
      </c>
      <c r="G109" s="504">
        <f>INDEX(LINEST(C104:C114,D104:D114),1)</f>
        <v>1.4087559163598211E-2</v>
      </c>
      <c r="H109" s="442"/>
      <c r="I109" s="443">
        <f t="shared" si="19"/>
        <v>22307</v>
      </c>
      <c r="J109" s="446">
        <f t="shared" si="20"/>
        <v>1.1740209108630162</v>
      </c>
      <c r="K109" s="443">
        <f t="shared" si="21"/>
        <v>70.224999999999994</v>
      </c>
      <c r="L109" s="503">
        <f t="shared" si="23"/>
        <v>1.4200000000000001E-2</v>
      </c>
      <c r="M109" s="503"/>
    </row>
    <row r="110" spans="1:13" ht="15" customHeight="1">
      <c r="A110" s="436">
        <f t="shared" si="17"/>
        <v>2012</v>
      </c>
      <c r="B110" s="437">
        <f t="shared" si="17"/>
        <v>22563</v>
      </c>
      <c r="C110" s="497">
        <f t="shared" si="18"/>
        <v>10.024066675494513</v>
      </c>
      <c r="D110" s="438">
        <f t="shared" si="22"/>
        <v>7</v>
      </c>
      <c r="H110" s="442"/>
      <c r="I110" s="443">
        <f t="shared" si="19"/>
        <v>22624</v>
      </c>
      <c r="J110" s="446">
        <f t="shared" si="20"/>
        <v>0.27035411957629746</v>
      </c>
      <c r="K110" s="443">
        <f t="shared" si="21"/>
        <v>3.7210000000000001</v>
      </c>
      <c r="L110" s="503">
        <f t="shared" si="23"/>
        <v>1.4200000000000001E-2</v>
      </c>
      <c r="M110" s="503"/>
    </row>
    <row r="111" spans="1:13" ht="15" customHeight="1">
      <c r="A111" s="436">
        <f t="shared" si="17"/>
        <v>2013</v>
      </c>
      <c r="B111" s="437">
        <f t="shared" si="17"/>
        <v>23002</v>
      </c>
      <c r="C111" s="497">
        <f t="shared" si="18"/>
        <v>10.043336447652527</v>
      </c>
      <c r="D111" s="438">
        <f t="shared" si="22"/>
        <v>8</v>
      </c>
      <c r="E111" s="329" t="s">
        <v>305</v>
      </c>
      <c r="F111" s="505">
        <f>EXP(G108)</f>
        <v>20499.32718494218</v>
      </c>
      <c r="G111" s="451"/>
      <c r="H111" s="442"/>
      <c r="I111" s="443">
        <f t="shared" si="19"/>
        <v>22945</v>
      </c>
      <c r="J111" s="446">
        <f t="shared" si="20"/>
        <v>0.24780453873576211</v>
      </c>
      <c r="K111" s="443">
        <f t="shared" si="21"/>
        <v>3.2490000000000001</v>
      </c>
      <c r="L111" s="503">
        <f t="shared" si="23"/>
        <v>1.4200000000000001E-2</v>
      </c>
      <c r="M111" s="503"/>
    </row>
    <row r="112" spans="1:13" ht="15" customHeight="1">
      <c r="A112" s="436">
        <f t="shared" si="17"/>
        <v>2014</v>
      </c>
      <c r="B112" s="437">
        <f t="shared" si="17"/>
        <v>23362</v>
      </c>
      <c r="C112" s="506">
        <f t="shared" si="18"/>
        <v>10.058866049715641</v>
      </c>
      <c r="D112" s="438">
        <f t="shared" si="22"/>
        <v>9</v>
      </c>
      <c r="E112" s="329" t="s">
        <v>306</v>
      </c>
      <c r="F112" s="507">
        <f>EXP(G109)-1</f>
        <v>1.4187256438823903E-2</v>
      </c>
      <c r="G112" s="451"/>
      <c r="H112" s="442"/>
      <c r="I112" s="443">
        <f t="shared" si="19"/>
        <v>23270</v>
      </c>
      <c r="J112" s="467">
        <f t="shared" si="20"/>
        <v>0.39380190052221553</v>
      </c>
      <c r="K112" s="443">
        <f t="shared" si="21"/>
        <v>8.4640000000000004</v>
      </c>
      <c r="L112" s="503">
        <f t="shared" si="23"/>
        <v>1.4200000000000001E-2</v>
      </c>
      <c r="M112" s="503"/>
    </row>
    <row r="113" spans="1:13" ht="15" customHeight="1">
      <c r="A113" s="436">
        <f t="shared" si="17"/>
        <v>2015</v>
      </c>
      <c r="B113" s="437">
        <f t="shared" si="17"/>
        <v>23334</v>
      </c>
      <c r="C113" s="506">
        <f t="shared" si="18"/>
        <v>10.057666803383801</v>
      </c>
      <c r="D113" s="508">
        <f t="shared" si="22"/>
        <v>10</v>
      </c>
      <c r="H113" s="509"/>
      <c r="I113" s="443">
        <f t="shared" si="19"/>
        <v>23600</v>
      </c>
      <c r="J113" s="467">
        <f t="shared" si="20"/>
        <v>1.1399674295020141</v>
      </c>
      <c r="K113" s="443">
        <f t="shared" si="21"/>
        <v>70.756</v>
      </c>
      <c r="L113" s="503">
        <f t="shared" si="23"/>
        <v>1.4200000000000001E-2</v>
      </c>
      <c r="M113" s="503"/>
    </row>
    <row r="114" spans="1:13" ht="15" customHeight="1" thickBot="1">
      <c r="A114" s="436">
        <f t="shared" si="17"/>
        <v>2016</v>
      </c>
      <c r="B114" s="437">
        <f t="shared" si="17"/>
        <v>23398</v>
      </c>
      <c r="C114" s="506">
        <f t="shared" si="18"/>
        <v>10.060405827607546</v>
      </c>
      <c r="D114" s="508">
        <f t="shared" si="22"/>
        <v>11</v>
      </c>
      <c r="G114" s="510"/>
      <c r="H114" s="509"/>
      <c r="I114" s="443">
        <f t="shared" si="19"/>
        <v>23935</v>
      </c>
      <c r="J114" s="467">
        <f t="shared" si="20"/>
        <v>2.295067954526028</v>
      </c>
      <c r="K114" s="443">
        <f t="shared" si="21"/>
        <v>288.36900000000003</v>
      </c>
      <c r="L114" s="503">
        <f t="shared" si="23"/>
        <v>1.4200000000000001E-2</v>
      </c>
      <c r="M114" s="503"/>
    </row>
    <row r="115" spans="1:13" ht="15" customHeight="1" thickTop="1">
      <c r="A115" s="511">
        <f t="shared" si="17"/>
        <v>2017</v>
      </c>
      <c r="B115" s="459">
        <f t="shared" ref="B115:B136" si="24">ROUND($F$111*(1+$F$112)^D115,$G$1)</f>
        <v>24275</v>
      </c>
      <c r="C115" s="512"/>
      <c r="D115" s="513">
        <f t="shared" si="22"/>
        <v>12</v>
      </c>
      <c r="E115" s="2314" t="s">
        <v>276</v>
      </c>
      <c r="F115" s="2315"/>
      <c r="G115" s="514">
        <f>I103</f>
        <v>0.7730718955274779</v>
      </c>
      <c r="H115" s="515"/>
      <c r="I115" s="464">
        <f t="shared" si="19"/>
        <v>24275</v>
      </c>
      <c r="J115" s="463"/>
      <c r="K115" s="464"/>
      <c r="L115" s="503">
        <f t="shared" si="23"/>
        <v>1.4200000000000001E-2</v>
      </c>
      <c r="M115" s="503"/>
    </row>
    <row r="116" spans="1:13" ht="15" customHeight="1">
      <c r="A116" s="436">
        <f t="shared" si="17"/>
        <v>2018</v>
      </c>
      <c r="B116" s="437">
        <f t="shared" si="24"/>
        <v>24619</v>
      </c>
      <c r="C116" s="506"/>
      <c r="D116" s="508">
        <f t="shared" si="22"/>
        <v>13</v>
      </c>
      <c r="E116" s="2318" t="s">
        <v>294</v>
      </c>
      <c r="F116" s="2320"/>
      <c r="G116" s="448">
        <f>SUM(K104:K114)</f>
        <v>3017.3820000000001</v>
      </c>
      <c r="H116" s="509"/>
      <c r="I116" s="443">
        <f t="shared" si="19"/>
        <v>24619</v>
      </c>
      <c r="J116" s="467"/>
      <c r="K116" s="443"/>
      <c r="L116" s="503">
        <f t="shared" si="23"/>
        <v>1.4200000000000001E-2</v>
      </c>
      <c r="M116" s="503"/>
    </row>
    <row r="117" spans="1:13" ht="15" customHeight="1">
      <c r="A117" s="436">
        <f t="shared" si="17"/>
        <v>2019</v>
      </c>
      <c r="B117" s="437">
        <f t="shared" si="24"/>
        <v>24969</v>
      </c>
      <c r="C117" s="506"/>
      <c r="D117" s="508">
        <f t="shared" si="22"/>
        <v>14</v>
      </c>
      <c r="E117" s="2318" t="s">
        <v>278</v>
      </c>
      <c r="F117" s="2320"/>
      <c r="G117" s="449">
        <f>SUM(J104:J114)/D114</f>
        <v>1.9797013021599499</v>
      </c>
      <c r="H117" s="509"/>
      <c r="I117" s="443">
        <f t="shared" si="19"/>
        <v>24969</v>
      </c>
      <c r="J117" s="467"/>
      <c r="K117" s="443"/>
      <c r="L117" s="503">
        <f t="shared" si="23"/>
        <v>1.4200000000000001E-2</v>
      </c>
      <c r="M117" s="503"/>
    </row>
    <row r="118" spans="1:13" ht="15" customHeight="1">
      <c r="A118" s="436">
        <f t="shared" si="17"/>
        <v>2020</v>
      </c>
      <c r="B118" s="437">
        <f t="shared" si="24"/>
        <v>25323</v>
      </c>
      <c r="C118" s="506"/>
      <c r="D118" s="508">
        <f t="shared" si="22"/>
        <v>15</v>
      </c>
      <c r="H118" s="509"/>
      <c r="I118" s="443">
        <f t="shared" si="19"/>
        <v>25323</v>
      </c>
      <c r="J118" s="467"/>
      <c r="K118" s="443"/>
      <c r="L118" s="503">
        <f t="shared" si="23"/>
        <v>1.4200000000000001E-2</v>
      </c>
      <c r="M118" s="503"/>
    </row>
    <row r="119" spans="1:13" ht="15" customHeight="1">
      <c r="A119" s="436">
        <f t="shared" si="17"/>
        <v>2021</v>
      </c>
      <c r="B119" s="437">
        <f t="shared" si="24"/>
        <v>25682</v>
      </c>
      <c r="C119" s="506"/>
      <c r="D119" s="508">
        <f t="shared" si="22"/>
        <v>16</v>
      </c>
      <c r="E119" s="451"/>
      <c r="F119" s="451"/>
      <c r="G119" s="451"/>
      <c r="H119" s="509"/>
      <c r="I119" s="443">
        <f t="shared" si="19"/>
        <v>25682</v>
      </c>
      <c r="J119" s="467"/>
      <c r="K119" s="443"/>
      <c r="L119" s="503">
        <f t="shared" si="23"/>
        <v>1.4200000000000001E-2</v>
      </c>
      <c r="M119" s="503"/>
    </row>
    <row r="120" spans="1:13" ht="15" customHeight="1">
      <c r="A120" s="436">
        <f t="shared" ref="A120:A136" si="25">A81</f>
        <v>2022</v>
      </c>
      <c r="B120" s="437">
        <f t="shared" si="24"/>
        <v>26046</v>
      </c>
      <c r="C120" s="506"/>
      <c r="D120" s="508">
        <f t="shared" si="22"/>
        <v>17</v>
      </c>
      <c r="E120" s="516"/>
      <c r="F120" s="517"/>
      <c r="G120" s="509"/>
      <c r="H120" s="509"/>
      <c r="I120" s="443">
        <f t="shared" si="19"/>
        <v>26046</v>
      </c>
      <c r="J120" s="467"/>
      <c r="K120" s="443"/>
      <c r="L120" s="503">
        <f t="shared" si="23"/>
        <v>1.4200000000000001E-2</v>
      </c>
      <c r="M120" s="503"/>
    </row>
    <row r="121" spans="1:13" ht="15" customHeight="1">
      <c r="A121" s="436">
        <f t="shared" si="25"/>
        <v>2023</v>
      </c>
      <c r="B121" s="437">
        <f t="shared" si="24"/>
        <v>26416</v>
      </c>
      <c r="C121" s="506"/>
      <c r="D121" s="508">
        <f t="shared" si="22"/>
        <v>18</v>
      </c>
      <c r="E121" s="509"/>
      <c r="F121" s="509"/>
      <c r="G121" s="518"/>
      <c r="H121" s="509"/>
      <c r="I121" s="443">
        <f t="shared" si="19"/>
        <v>26416</v>
      </c>
      <c r="J121" s="467"/>
      <c r="K121" s="443"/>
      <c r="L121" s="503">
        <f t="shared" si="23"/>
        <v>1.4200000000000001E-2</v>
      </c>
      <c r="M121" s="503"/>
    </row>
    <row r="122" spans="1:13" s="451" customFormat="1" ht="15" customHeight="1">
      <c r="A122" s="436">
        <f t="shared" si="25"/>
        <v>2024</v>
      </c>
      <c r="B122" s="437">
        <f t="shared" si="24"/>
        <v>26791</v>
      </c>
      <c r="C122" s="506"/>
      <c r="D122" s="508">
        <f t="shared" si="22"/>
        <v>19</v>
      </c>
      <c r="G122" s="518"/>
      <c r="H122" s="509"/>
      <c r="I122" s="443">
        <f t="shared" si="19"/>
        <v>26791</v>
      </c>
      <c r="J122" s="467"/>
      <c r="K122" s="443"/>
      <c r="L122" s="503">
        <f t="shared" si="23"/>
        <v>1.4200000000000001E-2</v>
      </c>
      <c r="M122" s="503"/>
    </row>
    <row r="123" spans="1:13" ht="15" customHeight="1">
      <c r="A123" s="436">
        <f t="shared" si="25"/>
        <v>2025</v>
      </c>
      <c r="B123" s="437">
        <f t="shared" si="24"/>
        <v>27171</v>
      </c>
      <c r="C123" s="506"/>
      <c r="D123" s="508">
        <f t="shared" si="22"/>
        <v>20</v>
      </c>
      <c r="E123" s="519"/>
      <c r="F123" s="451"/>
      <c r="G123" s="451"/>
      <c r="H123" s="451"/>
      <c r="I123" s="443">
        <f t="shared" si="19"/>
        <v>27171</v>
      </c>
      <c r="J123" s="467"/>
      <c r="K123" s="443"/>
      <c r="L123" s="503">
        <f t="shared" si="23"/>
        <v>1.4200000000000001E-2</v>
      </c>
      <c r="M123" s="503"/>
    </row>
    <row r="124" spans="1:13" s="451" customFormat="1" ht="15" customHeight="1">
      <c r="A124" s="436">
        <f t="shared" si="25"/>
        <v>2026</v>
      </c>
      <c r="B124" s="437">
        <f t="shared" si="24"/>
        <v>27556</v>
      </c>
      <c r="C124" s="506"/>
      <c r="D124" s="508">
        <f t="shared" si="22"/>
        <v>21</v>
      </c>
      <c r="E124" s="519"/>
      <c r="I124" s="443">
        <f t="shared" si="19"/>
        <v>27556</v>
      </c>
      <c r="J124" s="467"/>
      <c r="K124" s="443"/>
      <c r="L124" s="503">
        <f t="shared" si="23"/>
        <v>1.4200000000000001E-2</v>
      </c>
      <c r="M124" s="503"/>
    </row>
    <row r="125" spans="1:13" s="451" customFormat="1" ht="15" customHeight="1">
      <c r="A125" s="436">
        <f t="shared" si="25"/>
        <v>2027</v>
      </c>
      <c r="B125" s="437">
        <f t="shared" si="24"/>
        <v>27947</v>
      </c>
      <c r="C125" s="506"/>
      <c r="D125" s="508">
        <f t="shared" si="22"/>
        <v>22</v>
      </c>
      <c r="E125" s="519"/>
      <c r="I125" s="443">
        <f t="shared" si="19"/>
        <v>27947</v>
      </c>
      <c r="J125" s="467"/>
      <c r="K125" s="443"/>
      <c r="L125" s="503">
        <f t="shared" si="23"/>
        <v>1.4200000000000001E-2</v>
      </c>
      <c r="M125" s="503"/>
    </row>
    <row r="126" spans="1:13" ht="15" customHeight="1">
      <c r="A126" s="436">
        <f t="shared" si="25"/>
        <v>2028</v>
      </c>
      <c r="B126" s="437">
        <f t="shared" si="24"/>
        <v>28344</v>
      </c>
      <c r="C126" s="520"/>
      <c r="D126" s="508">
        <f t="shared" si="22"/>
        <v>23</v>
      </c>
      <c r="E126" s="521"/>
      <c r="F126" s="468"/>
      <c r="G126" s="451"/>
      <c r="H126" s="451"/>
      <c r="I126" s="443">
        <f t="shared" si="19"/>
        <v>28344</v>
      </c>
      <c r="J126" s="469"/>
      <c r="K126" s="469"/>
      <c r="L126" s="503">
        <f t="shared" si="23"/>
        <v>1.4200000000000001E-2</v>
      </c>
      <c r="M126" s="503"/>
    </row>
    <row r="127" spans="1:13" ht="15" customHeight="1">
      <c r="A127" s="436">
        <f t="shared" si="25"/>
        <v>2029</v>
      </c>
      <c r="B127" s="437">
        <f t="shared" si="24"/>
        <v>28746</v>
      </c>
      <c r="C127" s="520"/>
      <c r="D127" s="508">
        <f t="shared" si="22"/>
        <v>24</v>
      </c>
      <c r="E127" s="521"/>
      <c r="F127" s="468"/>
      <c r="G127" s="451"/>
      <c r="H127" s="451"/>
      <c r="I127" s="443">
        <f t="shared" si="19"/>
        <v>28746</v>
      </c>
      <c r="J127" s="469"/>
      <c r="K127" s="469"/>
      <c r="L127" s="503">
        <f t="shared" si="23"/>
        <v>1.4200000000000001E-2</v>
      </c>
      <c r="M127" s="503"/>
    </row>
    <row r="128" spans="1:13" ht="15" customHeight="1">
      <c r="A128" s="436">
        <f t="shared" si="25"/>
        <v>2030</v>
      </c>
      <c r="B128" s="437">
        <f t="shared" si="24"/>
        <v>29154</v>
      </c>
      <c r="C128" s="520"/>
      <c r="D128" s="508">
        <f t="shared" si="22"/>
        <v>25</v>
      </c>
      <c r="E128" s="521"/>
      <c r="F128" s="468"/>
      <c r="G128" s="451"/>
      <c r="H128" s="451"/>
      <c r="I128" s="443">
        <f t="shared" si="19"/>
        <v>29154</v>
      </c>
      <c r="J128" s="469"/>
      <c r="K128" s="469"/>
      <c r="L128" s="503">
        <f t="shared" si="23"/>
        <v>1.4200000000000001E-2</v>
      </c>
      <c r="M128" s="503"/>
    </row>
    <row r="129" spans="1:102" ht="15" customHeight="1">
      <c r="A129" s="436">
        <f t="shared" si="25"/>
        <v>2031</v>
      </c>
      <c r="B129" s="437">
        <f t="shared" si="24"/>
        <v>29567</v>
      </c>
      <c r="C129" s="520"/>
      <c r="D129" s="508">
        <f t="shared" si="22"/>
        <v>26</v>
      </c>
      <c r="E129" s="521"/>
      <c r="F129" s="468"/>
      <c r="G129" s="451"/>
      <c r="H129" s="451"/>
      <c r="I129" s="443">
        <f t="shared" si="19"/>
        <v>29567</v>
      </c>
      <c r="J129" s="469"/>
      <c r="K129" s="469"/>
      <c r="L129" s="503">
        <f t="shared" si="23"/>
        <v>1.4200000000000001E-2</v>
      </c>
      <c r="M129" s="503"/>
    </row>
    <row r="130" spans="1:102" ht="15" customHeight="1">
      <c r="A130" s="436">
        <f t="shared" si="25"/>
        <v>2032</v>
      </c>
      <c r="B130" s="437">
        <f t="shared" si="24"/>
        <v>29987</v>
      </c>
      <c r="C130" s="520"/>
      <c r="D130" s="508">
        <f t="shared" si="22"/>
        <v>27</v>
      </c>
      <c r="E130" s="521"/>
      <c r="F130" s="468"/>
      <c r="G130" s="451"/>
      <c r="H130" s="451"/>
      <c r="I130" s="443">
        <f t="shared" si="19"/>
        <v>29987</v>
      </c>
      <c r="J130" s="469"/>
      <c r="K130" s="469"/>
      <c r="L130" s="503">
        <f t="shared" si="23"/>
        <v>1.4200000000000001E-2</v>
      </c>
      <c r="M130" s="503"/>
    </row>
    <row r="131" spans="1:102" ht="15" customHeight="1">
      <c r="A131" s="436">
        <f t="shared" si="25"/>
        <v>2033</v>
      </c>
      <c r="B131" s="437">
        <f t="shared" si="24"/>
        <v>30412</v>
      </c>
      <c r="C131" s="520"/>
      <c r="D131" s="508">
        <f t="shared" si="22"/>
        <v>28</v>
      </c>
      <c r="E131" s="521"/>
      <c r="F131" s="468"/>
      <c r="G131" s="451"/>
      <c r="H131" s="451"/>
      <c r="I131" s="443">
        <f t="shared" si="19"/>
        <v>30412</v>
      </c>
      <c r="J131" s="469"/>
      <c r="K131" s="469"/>
      <c r="L131" s="503">
        <f t="shared" si="23"/>
        <v>1.4200000000000001E-2</v>
      </c>
      <c r="M131" s="503"/>
    </row>
    <row r="132" spans="1:102" ht="15" customHeight="1">
      <c r="A132" s="436">
        <f t="shared" si="25"/>
        <v>2034</v>
      </c>
      <c r="B132" s="437">
        <f t="shared" si="24"/>
        <v>30844</v>
      </c>
      <c r="C132" s="520"/>
      <c r="D132" s="508">
        <f t="shared" si="22"/>
        <v>29</v>
      </c>
      <c r="E132" s="521"/>
      <c r="F132" s="468"/>
      <c r="G132" s="451"/>
      <c r="H132" s="451"/>
      <c r="I132" s="443">
        <f t="shared" si="19"/>
        <v>30844</v>
      </c>
      <c r="J132" s="469"/>
      <c r="K132" s="469"/>
      <c r="L132" s="503">
        <f t="shared" si="23"/>
        <v>1.4200000000000001E-2</v>
      </c>
      <c r="M132" s="503"/>
    </row>
    <row r="133" spans="1:102" ht="15" customHeight="1">
      <c r="A133" s="522">
        <f t="shared" si="25"/>
        <v>2035</v>
      </c>
      <c r="B133" s="523">
        <f t="shared" si="24"/>
        <v>31281</v>
      </c>
      <c r="C133" s="524"/>
      <c r="D133" s="525">
        <f t="shared" si="22"/>
        <v>30</v>
      </c>
      <c r="E133" s="526"/>
      <c r="F133" s="527"/>
      <c r="G133" s="426"/>
      <c r="H133" s="426"/>
      <c r="I133" s="528">
        <f t="shared" si="19"/>
        <v>31281</v>
      </c>
      <c r="J133" s="529"/>
      <c r="K133" s="529"/>
      <c r="L133" s="503">
        <f t="shared" si="23"/>
        <v>1.4200000000000001E-2</v>
      </c>
      <c r="M133" s="503"/>
    </row>
    <row r="134" spans="1:102" ht="15" customHeight="1">
      <c r="A134" s="522">
        <f t="shared" si="25"/>
        <v>2036</v>
      </c>
      <c r="B134" s="523">
        <f t="shared" si="24"/>
        <v>31725</v>
      </c>
      <c r="C134" s="524"/>
      <c r="D134" s="525">
        <f t="shared" si="22"/>
        <v>31</v>
      </c>
      <c r="E134" s="526"/>
      <c r="F134" s="527"/>
      <c r="G134" s="426"/>
      <c r="H134" s="426"/>
      <c r="I134" s="528">
        <f t="shared" si="19"/>
        <v>31725</v>
      </c>
      <c r="J134" s="529"/>
      <c r="K134" s="529"/>
      <c r="L134" s="503">
        <f t="shared" si="23"/>
        <v>1.4200000000000001E-2</v>
      </c>
      <c r="M134" s="503"/>
    </row>
    <row r="135" spans="1:102" ht="15" customHeight="1">
      <c r="A135" s="522">
        <f t="shared" si="25"/>
        <v>2037</v>
      </c>
      <c r="B135" s="523">
        <f t="shared" si="24"/>
        <v>32175</v>
      </c>
      <c r="C135" s="524"/>
      <c r="D135" s="525">
        <f t="shared" si="22"/>
        <v>32</v>
      </c>
      <c r="E135" s="526"/>
      <c r="F135" s="527"/>
      <c r="G135" s="426"/>
      <c r="H135" s="426"/>
      <c r="I135" s="528">
        <f t="shared" si="19"/>
        <v>32175</v>
      </c>
      <c r="J135" s="529"/>
      <c r="K135" s="529"/>
      <c r="L135" s="503">
        <f t="shared" si="23"/>
        <v>1.4200000000000001E-2</v>
      </c>
      <c r="M135" s="503"/>
    </row>
    <row r="136" spans="1:102" ht="15" customHeight="1">
      <c r="A136" s="522">
        <f t="shared" si="25"/>
        <v>2038</v>
      </c>
      <c r="B136" s="523">
        <f t="shared" si="24"/>
        <v>32632</v>
      </c>
      <c r="C136" s="524"/>
      <c r="D136" s="525">
        <f t="shared" si="22"/>
        <v>33</v>
      </c>
      <c r="E136" s="526"/>
      <c r="F136" s="527"/>
      <c r="G136" s="426"/>
      <c r="H136" s="426"/>
      <c r="I136" s="528">
        <f t="shared" si="19"/>
        <v>32632</v>
      </c>
      <c r="J136" s="529"/>
      <c r="K136" s="529"/>
      <c r="L136" s="503">
        <f t="shared" si="23"/>
        <v>1.4200000000000001E-2</v>
      </c>
      <c r="M136" s="503"/>
    </row>
    <row r="137" spans="1:102" ht="15" customHeight="1">
      <c r="A137" s="491"/>
      <c r="B137" s="492"/>
      <c r="C137" s="451"/>
      <c r="D137" s="439"/>
      <c r="E137" s="530"/>
      <c r="F137" s="468"/>
      <c r="G137" s="451"/>
      <c r="H137" s="451"/>
      <c r="I137" s="492"/>
      <c r="J137" s="493"/>
      <c r="K137" s="493"/>
      <c r="L137" s="503"/>
      <c r="M137" s="503"/>
    </row>
    <row r="138" spans="1:102" ht="15" customHeight="1">
      <c r="A138" s="491"/>
      <c r="B138" s="492"/>
      <c r="C138" s="451"/>
      <c r="D138" s="439"/>
      <c r="E138" s="530"/>
      <c r="F138" s="468"/>
      <c r="G138" s="451"/>
      <c r="H138" s="451"/>
      <c r="I138" s="492"/>
      <c r="J138" s="493"/>
      <c r="K138" s="493"/>
      <c r="L138" s="503"/>
      <c r="M138" s="503"/>
    </row>
    <row r="139" spans="1:102" ht="15" customHeight="1">
      <c r="A139" s="491"/>
      <c r="B139" s="493"/>
      <c r="C139" s="451"/>
      <c r="D139" s="439"/>
      <c r="E139" s="530"/>
      <c r="F139" s="468"/>
      <c r="G139" s="451"/>
      <c r="H139" s="451"/>
      <c r="I139" s="531"/>
      <c r="J139" s="531"/>
    </row>
    <row r="140" spans="1:102" ht="15" customHeight="1">
      <c r="A140" s="424" t="s">
        <v>307</v>
      </c>
    </row>
    <row r="141" spans="1:102" ht="15" customHeight="1">
      <c r="A141" s="427" t="s">
        <v>264</v>
      </c>
      <c r="B141" s="428" t="s">
        <v>286</v>
      </c>
      <c r="C141" s="429" t="s">
        <v>308</v>
      </c>
      <c r="D141" s="429" t="s">
        <v>287</v>
      </c>
      <c r="E141" s="429" t="s">
        <v>309</v>
      </c>
      <c r="F141" s="496"/>
      <c r="G141" s="430"/>
      <c r="H141" s="432" t="s">
        <v>288</v>
      </c>
      <c r="I141" s="433">
        <f>RSQ(I142:I152,B142:B152)</f>
        <v>0.93623238031208744</v>
      </c>
      <c r="J141" s="434" t="s">
        <v>289</v>
      </c>
      <c r="K141" s="435" t="s">
        <v>290</v>
      </c>
      <c r="M141" s="532" t="s">
        <v>308</v>
      </c>
      <c r="N141" s="431"/>
      <c r="O141" s="432" t="s">
        <v>288</v>
      </c>
      <c r="P141" s="433">
        <f>RSQ($B142:$B152,Q142:Q152)</f>
        <v>0.93623238031208744</v>
      </c>
      <c r="Q141" s="434" t="s">
        <v>310</v>
      </c>
      <c r="R141" s="435" t="s">
        <v>290</v>
      </c>
      <c r="T141" s="532" t="s">
        <v>308</v>
      </c>
      <c r="U141" s="431"/>
      <c r="V141" s="432" t="s">
        <v>288</v>
      </c>
      <c r="W141" s="433">
        <f>RSQ($B142:$B152,X142:X152)</f>
        <v>0.93619949328303098</v>
      </c>
      <c r="X141" s="434" t="s">
        <v>310</v>
      </c>
      <c r="Y141" s="435" t="s">
        <v>290</v>
      </c>
      <c r="AA141" s="532" t="s">
        <v>308</v>
      </c>
      <c r="AB141" s="431"/>
      <c r="AC141" s="432" t="s">
        <v>288</v>
      </c>
      <c r="AD141" s="433">
        <f>RSQ($B142:$B152,AE142:AE152)</f>
        <v>0.9361111088900651</v>
      </c>
      <c r="AE141" s="434" t="s">
        <v>310</v>
      </c>
      <c r="AF141" s="435" t="s">
        <v>290</v>
      </c>
      <c r="AH141" s="532" t="s">
        <v>308</v>
      </c>
      <c r="AI141" s="431"/>
      <c r="AJ141" s="432" t="s">
        <v>288</v>
      </c>
      <c r="AK141" s="433">
        <f>RSQ($B142:$B152,AL142:AL152)</f>
        <v>0.9361111088900651</v>
      </c>
      <c r="AL141" s="434" t="s">
        <v>310</v>
      </c>
      <c r="AM141" s="435" t="s">
        <v>290</v>
      </c>
      <c r="AO141" s="532" t="s">
        <v>308</v>
      </c>
      <c r="AP141" s="431"/>
      <c r="AQ141" s="432" t="s">
        <v>288</v>
      </c>
      <c r="AR141" s="433">
        <f>RSQ($B142:$B152,AS142:AS152)</f>
        <v>0.9361111088900651</v>
      </c>
      <c r="AS141" s="434" t="s">
        <v>310</v>
      </c>
      <c r="AT141" s="435" t="s">
        <v>290</v>
      </c>
      <c r="AV141" s="532" t="s">
        <v>308</v>
      </c>
      <c r="AW141" s="431"/>
      <c r="AX141" s="432" t="s">
        <v>288</v>
      </c>
      <c r="AY141" s="433">
        <f>RSQ($B142:$B152,AZ142:AZ152)</f>
        <v>0.9361111088900651</v>
      </c>
      <c r="AZ141" s="434" t="s">
        <v>310</v>
      </c>
      <c r="BA141" s="435" t="s">
        <v>290</v>
      </c>
      <c r="BC141" s="532" t="s">
        <v>308</v>
      </c>
      <c r="BD141" s="431"/>
      <c r="BE141" s="432" t="s">
        <v>288</v>
      </c>
      <c r="BF141" s="433">
        <f>RSQ($B142:$B152,BG142:BG152)</f>
        <v>0.93614175173913294</v>
      </c>
      <c r="BG141" s="434" t="s">
        <v>310</v>
      </c>
      <c r="BH141" s="435" t="s">
        <v>290</v>
      </c>
      <c r="BJ141" s="532" t="s">
        <v>308</v>
      </c>
      <c r="BK141" s="431"/>
      <c r="BL141" s="432" t="s">
        <v>288</v>
      </c>
      <c r="BM141" s="433">
        <f>RSQ($B142:$B152,BN142:BN152)</f>
        <v>0.93611509597321629</v>
      </c>
      <c r="BN141" s="434" t="s">
        <v>310</v>
      </c>
      <c r="BO141" s="435" t="s">
        <v>290</v>
      </c>
      <c r="BQ141" s="532" t="s">
        <v>308</v>
      </c>
      <c r="BR141" s="431"/>
      <c r="BS141" s="432" t="s">
        <v>288</v>
      </c>
      <c r="BT141" s="433">
        <f>RSQ($B142:$B152,BU142:BU152)</f>
        <v>0.93611509597321629</v>
      </c>
      <c r="BU141" s="434" t="s">
        <v>310</v>
      </c>
      <c r="BV141" s="435" t="s">
        <v>290</v>
      </c>
      <c r="BX141" s="532" t="s">
        <v>308</v>
      </c>
      <c r="BY141" s="431"/>
      <c r="BZ141" s="432" t="s">
        <v>288</v>
      </c>
      <c r="CA141" s="433">
        <f>RSQ($B142:$B152,CB142:CB152)</f>
        <v>0.9360615511598509</v>
      </c>
      <c r="CB141" s="434" t="s">
        <v>310</v>
      </c>
      <c r="CC141" s="435" t="s">
        <v>290</v>
      </c>
      <c r="CE141" s="532" t="s">
        <v>308</v>
      </c>
      <c r="CF141" s="431"/>
      <c r="CG141" s="432" t="s">
        <v>288</v>
      </c>
      <c r="CH141" s="433">
        <f>RSQ($B142:$B152,CI142:CI152)</f>
        <v>0.93592406943187956</v>
      </c>
      <c r="CI141" s="434" t="s">
        <v>310</v>
      </c>
      <c r="CJ141" s="435" t="s">
        <v>290</v>
      </c>
      <c r="CL141" s="532" t="s">
        <v>308</v>
      </c>
      <c r="CM141" s="431"/>
      <c r="CN141" s="432" t="s">
        <v>288</v>
      </c>
      <c r="CO141" s="433">
        <f>RSQ($B142:$B152,CP142:CP152)</f>
        <v>0.93554507273387588</v>
      </c>
      <c r="CP141" s="434" t="s">
        <v>310</v>
      </c>
      <c r="CQ141" s="435" t="s">
        <v>290</v>
      </c>
      <c r="CS141" s="532" t="s">
        <v>308</v>
      </c>
      <c r="CT141" s="431"/>
      <c r="CU141" s="432" t="s">
        <v>288</v>
      </c>
      <c r="CV141" s="433">
        <f>RSQ($B142:$B152,CW142:CW152)</f>
        <v>0.93514123862451048</v>
      </c>
      <c r="CW141" s="434" t="s">
        <v>310</v>
      </c>
      <c r="CX141" s="435" t="s">
        <v>290</v>
      </c>
    </row>
    <row r="142" spans="1:102" ht="15" customHeight="1">
      <c r="A142" s="436">
        <f t="shared" ref="A142:B157" si="26">A104</f>
        <v>2006</v>
      </c>
      <c r="B142" s="437">
        <f t="shared" si="26"/>
        <v>19788</v>
      </c>
      <c r="C142" s="533">
        <f>LN(B142-$G$147)</f>
        <v>9.892325487829936</v>
      </c>
      <c r="D142" s="438">
        <f t="shared" ref="D142:D174" si="27">C65</f>
        <v>1</v>
      </c>
      <c r="E142" s="534">
        <f>LN(D142)</f>
        <v>0</v>
      </c>
      <c r="F142" s="498" t="s">
        <v>311</v>
      </c>
      <c r="I142" s="502">
        <f t="shared" ref="I142:I174" si="28">ROUND($G$147+$G$150*D142^$G$148,$G$1)</f>
        <v>19980</v>
      </c>
      <c r="J142" s="444">
        <f t="shared" ref="J142:J152" si="29">ABS(B142-I142)/B142*100</f>
        <v>0.97028502122498483</v>
      </c>
      <c r="K142" s="535">
        <f>(B142-I142)^2/1000</f>
        <v>36.863999999999997</v>
      </c>
      <c r="M142" s="536">
        <f>LN($B142-$O$144)</f>
        <v>9.892325487829936</v>
      </c>
      <c r="N142" s="331"/>
      <c r="O142" s="331"/>
      <c r="P142" s="331"/>
      <c r="Q142" s="443">
        <f t="shared" ref="Q142:Q152" si="30">ROUND($O$147*D142^$O$145+$O$144,$G$1)</f>
        <v>19980</v>
      </c>
      <c r="R142" s="502">
        <f t="shared" ref="R142:R152" si="31">($B142-Q142)^2/1000</f>
        <v>36.863999999999997</v>
      </c>
      <c r="T142" s="536">
        <f>LN($B142-$V$144)</f>
        <v>9.8918197476684462</v>
      </c>
      <c r="U142" s="331"/>
      <c r="V142" s="331"/>
      <c r="W142" s="331"/>
      <c r="X142" s="443">
        <f t="shared" ref="X142:X152" si="32">ROUND($V$147*D142^$V$145+$V$144,$G$1)</f>
        <v>19981</v>
      </c>
      <c r="Y142" s="502">
        <f t="shared" ref="Y142:Y152" si="33">($B142-X142)^2/1000</f>
        <v>37.249000000000002</v>
      </c>
      <c r="AA142" s="536">
        <f>LN($B142-$AC$144)</f>
        <v>9.8913137516044198</v>
      </c>
      <c r="AB142" s="331"/>
      <c r="AC142" s="331"/>
      <c r="AD142" s="331"/>
      <c r="AE142" s="443">
        <f t="shared" ref="AE142:AE152" si="34">ROUND($AC$147*$D142^$AC$145+$AC$144,$G$1)</f>
        <v>19981</v>
      </c>
      <c r="AF142" s="502">
        <f t="shared" ref="AF142:AF152" si="35">($B142-AE142)^2/1000</f>
        <v>37.249000000000002</v>
      </c>
      <c r="AH142" s="536">
        <f>LN($B142-$AJ$144)</f>
        <v>9.890807499378754</v>
      </c>
      <c r="AI142" s="331"/>
      <c r="AJ142" s="331"/>
      <c r="AK142" s="331"/>
      <c r="AL142" s="443">
        <f t="shared" ref="AL142:AL152" si="36">ROUND($AJ$147*$D142^$AJ$145+$AJ$144,$G$1)</f>
        <v>19981</v>
      </c>
      <c r="AM142" s="502">
        <f t="shared" ref="AM142:AM152" si="37">($B142-AL142)^2/1000</f>
        <v>37.249000000000002</v>
      </c>
      <c r="AO142" s="536">
        <f>LN($B142-$AQ$144)</f>
        <v>9.8903009907319532</v>
      </c>
      <c r="AP142" s="331"/>
      <c r="AQ142" s="331"/>
      <c r="AR142" s="331"/>
      <c r="AS142" s="443">
        <f t="shared" ref="AS142:AS152" si="38">ROUND($AQ$147*$D142^$AQ$145+$AQ$144,$G$1)</f>
        <v>19981</v>
      </c>
      <c r="AT142" s="502">
        <f t="shared" ref="AT142:AT152" si="39">($B142-AS142)^2/1000</f>
        <v>37.249000000000002</v>
      </c>
      <c r="AV142" s="536">
        <f>LN($B142-$AX$144)</f>
        <v>9.8877645920708925</v>
      </c>
      <c r="AW142" s="331"/>
      <c r="AX142" s="331"/>
      <c r="AY142" s="331"/>
      <c r="AZ142" s="443">
        <f t="shared" ref="AZ142:AZ152" si="40">ROUND($AX$147*$D142^$AX$145+$AX$144,$G$1)</f>
        <v>19981</v>
      </c>
      <c r="BA142" s="502">
        <f t="shared" ref="BA142:BA152" si="41">($B142-AZ142)^2/1000</f>
        <v>37.249000000000002</v>
      </c>
      <c r="BC142" s="536">
        <f>LN($B142-$BE$144)</f>
        <v>9.8826724128222079</v>
      </c>
      <c r="BD142" s="331"/>
      <c r="BE142" s="331"/>
      <c r="BF142" s="331"/>
      <c r="BG142" s="443">
        <f t="shared" ref="BG142:BG152" si="42">ROUND($BE$147*$D142^$BE$145+$BE$144,$G$1)</f>
        <v>19981</v>
      </c>
      <c r="BH142" s="502">
        <f t="shared" ref="BH142:BH152" si="43">($B142-BG142)^2/1000</f>
        <v>37.249000000000002</v>
      </c>
      <c r="BJ142" s="536">
        <f>LN($B142-$BL$144)</f>
        <v>9.8775541705096241</v>
      </c>
      <c r="BK142" s="331"/>
      <c r="BL142" s="331"/>
      <c r="BM142" s="331"/>
      <c r="BN142" s="443">
        <f t="shared" ref="BN142:BN152" si="44">ROUND($BL$147*$D142^$BL$145+$BL$144,$G$1)</f>
        <v>19981</v>
      </c>
      <c r="BO142" s="502">
        <f t="shared" ref="BO142:BO152" si="45">($B142-BN142)^2/1000</f>
        <v>37.249000000000002</v>
      </c>
      <c r="BQ142" s="536">
        <f>LN($B142-$BS$144)</f>
        <v>9.8724095969652659</v>
      </c>
      <c r="BR142" s="331"/>
      <c r="BS142" s="331"/>
      <c r="BT142" s="331"/>
      <c r="BU142" s="443">
        <f t="shared" ref="BU142:BU152" si="46">ROUND($BS$147*$D142^$BS$145+$BS$144,$G$1)</f>
        <v>19981</v>
      </c>
      <c r="BV142" s="502">
        <f t="shared" ref="BV142:BV152" si="47">($B142-BU142)^2/1000</f>
        <v>37.249000000000002</v>
      </c>
      <c r="BX142" s="536">
        <f>LN($B142-$BZ$144)</f>
        <v>9.8672384198610068</v>
      </c>
      <c r="BY142" s="331"/>
      <c r="BZ142" s="331"/>
      <c r="CA142" s="331"/>
      <c r="CB142" s="443">
        <f t="shared" ref="CB142:CB152" si="48">ROUND($BZ$147*$D142^$BZ$145+$BZ$144,$G$1)</f>
        <v>19981</v>
      </c>
      <c r="CC142" s="502">
        <f t="shared" ref="CC142:CC152" si="49">($B142-CB142)^2/1000</f>
        <v>37.249000000000002</v>
      </c>
      <c r="CE142" s="536">
        <f>LN($B142-$CG$144)</f>
        <v>9.8409736471468854</v>
      </c>
      <c r="CF142" s="331"/>
      <c r="CG142" s="331"/>
      <c r="CH142" s="331"/>
      <c r="CI142" s="443">
        <f t="shared" ref="CI142:CI152" si="50">ROUND($CG$147*$D142^$CG$145+$CG$144,$G$1)</f>
        <v>19982</v>
      </c>
      <c r="CJ142" s="502">
        <f t="shared" ref="CJ142:CJ152" si="51">($B142-CI142)^2/1000</f>
        <v>37.636000000000003</v>
      </c>
      <c r="CL142" s="536">
        <f>LN($B142-$CN$144)</f>
        <v>9.7862793516305864</v>
      </c>
      <c r="CM142" s="331"/>
      <c r="CN142" s="331"/>
      <c r="CO142" s="331"/>
      <c r="CP142" s="443">
        <f t="shared" ref="CP142:CP152" si="52">ROUND($CN$147*$D142^$CN$145+$CN$144,$G$1)</f>
        <v>19983</v>
      </c>
      <c r="CQ142" s="502">
        <f t="shared" ref="CQ142:CQ152" si="53">($B142-CP142)^2/1000</f>
        <v>38.024999999999999</v>
      </c>
      <c r="CS142" s="536">
        <f>LN($B142-$CU$144)</f>
        <v>9.7284196244534815</v>
      </c>
      <c r="CT142" s="331"/>
      <c r="CU142" s="331"/>
      <c r="CV142" s="331"/>
      <c r="CW142" s="443">
        <f t="shared" ref="CW142:CW152" si="54">ROUND($CU$147*$D142^$CU$145+$CU$144,$G$1)</f>
        <v>19985</v>
      </c>
      <c r="CX142" s="502">
        <f t="shared" ref="CX142:CX152" si="55">($B142-CW142)^2/1000</f>
        <v>38.808999999999997</v>
      </c>
    </row>
    <row r="143" spans="1:102" ht="15" customHeight="1">
      <c r="A143" s="436">
        <f t="shared" si="26"/>
        <v>2007</v>
      </c>
      <c r="B143" s="437">
        <f t="shared" si="26"/>
        <v>20615</v>
      </c>
      <c r="C143" s="533">
        <f>LN(B143-$G$147)</f>
        <v>9.933289043772918</v>
      </c>
      <c r="D143" s="438">
        <f t="shared" si="27"/>
        <v>2</v>
      </c>
      <c r="E143" s="534">
        <f>LN(D143)</f>
        <v>0.69314718055994529</v>
      </c>
      <c r="F143" s="498"/>
      <c r="I143" s="443">
        <f t="shared" si="28"/>
        <v>20963</v>
      </c>
      <c r="J143" s="446">
        <f>ABS(B143-I143)/B143*100</f>
        <v>1.6880911957312636</v>
      </c>
      <c r="K143" s="535">
        <f>(B143-I143)^2/1000</f>
        <v>121.104</v>
      </c>
      <c r="M143" s="536">
        <f t="shared" ref="M143:M152" si="56">LN($B143-$O$144)</f>
        <v>9.933289043772918</v>
      </c>
      <c r="N143" s="451"/>
      <c r="O143" s="451"/>
      <c r="P143" s="451"/>
      <c r="Q143" s="443">
        <f t="shared" si="30"/>
        <v>20963</v>
      </c>
      <c r="R143" s="443">
        <f t="shared" si="31"/>
        <v>121.104</v>
      </c>
      <c r="T143" s="536">
        <f t="shared" ref="T143:T152" si="57">LN($B143-$V$144)</f>
        <v>9.9328036068701806</v>
      </c>
      <c r="U143" s="451"/>
      <c r="V143" s="451"/>
      <c r="W143" s="451"/>
      <c r="X143" s="443">
        <f t="shared" si="32"/>
        <v>20963</v>
      </c>
      <c r="Y143" s="443">
        <f t="shared" si="33"/>
        <v>121.104</v>
      </c>
      <c r="AA143" s="536">
        <f t="shared" ref="AA143:AA152" si="58">LN($B143-$AC$144)</f>
        <v>9.9323179342040042</v>
      </c>
      <c r="AB143" s="451"/>
      <c r="AC143" s="451"/>
      <c r="AD143" s="451"/>
      <c r="AE143" s="443">
        <f t="shared" si="34"/>
        <v>20963</v>
      </c>
      <c r="AF143" s="443">
        <f t="shared" si="35"/>
        <v>121.104</v>
      </c>
      <c r="AH143" s="536">
        <f t="shared" ref="AH143:AH152" si="59">LN($B143-$AJ$144)</f>
        <v>9.9318320255452708</v>
      </c>
      <c r="AI143" s="451"/>
      <c r="AJ143" s="451"/>
      <c r="AK143" s="451"/>
      <c r="AL143" s="443">
        <f t="shared" si="36"/>
        <v>20963</v>
      </c>
      <c r="AM143" s="443">
        <f t="shared" si="37"/>
        <v>121.104</v>
      </c>
      <c r="AO143" s="536">
        <f t="shared" ref="AO143:AO152" si="60">LN($B143-$AQ$144)</f>
        <v>9.9313458806645247</v>
      </c>
      <c r="AP143" s="451"/>
      <c r="AQ143" s="451"/>
      <c r="AR143" s="451"/>
      <c r="AS143" s="443">
        <f t="shared" si="38"/>
        <v>20963</v>
      </c>
      <c r="AT143" s="443">
        <f t="shared" si="39"/>
        <v>121.104</v>
      </c>
      <c r="AV143" s="536">
        <f t="shared" ref="AV143:AV152" si="61">LN($B143-$AX$144)</f>
        <v>9.9289116048762871</v>
      </c>
      <c r="AW143" s="451"/>
      <c r="AX143" s="451"/>
      <c r="AY143" s="451"/>
      <c r="AZ143" s="443">
        <f t="shared" si="40"/>
        <v>20963</v>
      </c>
      <c r="BA143" s="443">
        <f t="shared" si="41"/>
        <v>121.104</v>
      </c>
      <c r="BC143" s="536">
        <f t="shared" ref="BC143:BC152" si="62">LN($B143-$BE$144)</f>
        <v>9.9240252037536756</v>
      </c>
      <c r="BD143" s="451"/>
      <c r="BE143" s="451"/>
      <c r="BF143" s="451"/>
      <c r="BG143" s="443">
        <f t="shared" si="42"/>
        <v>20962</v>
      </c>
      <c r="BH143" s="443">
        <f t="shared" si="43"/>
        <v>120.40900000000001</v>
      </c>
      <c r="BJ143" s="536">
        <f t="shared" ref="BJ143:BJ152" si="63">LN($B143-$BL$144)</f>
        <v>9.9191148084218277</v>
      </c>
      <c r="BK143" s="451"/>
      <c r="BL143" s="451"/>
      <c r="BM143" s="451"/>
      <c r="BN143" s="443">
        <f t="shared" si="44"/>
        <v>20962</v>
      </c>
      <c r="BO143" s="443">
        <f t="shared" si="45"/>
        <v>120.40900000000001</v>
      </c>
      <c r="BQ143" s="536">
        <f t="shared" ref="BQ143:BQ152" si="64">LN($B143-$BS$144)</f>
        <v>9.9141801820748707</v>
      </c>
      <c r="BR143" s="451"/>
      <c r="BS143" s="451"/>
      <c r="BT143" s="451"/>
      <c r="BU143" s="443">
        <f t="shared" si="46"/>
        <v>20962</v>
      </c>
      <c r="BV143" s="443">
        <f t="shared" si="47"/>
        <v>120.40900000000001</v>
      </c>
      <c r="BX143" s="536">
        <f t="shared" ref="BX143:BX152" si="65">LN($B143-$BZ$144)</f>
        <v>9.9092210843838888</v>
      </c>
      <c r="BY143" s="451"/>
      <c r="BZ143" s="451"/>
      <c r="CA143" s="451"/>
      <c r="CB143" s="443">
        <f t="shared" si="48"/>
        <v>20962</v>
      </c>
      <c r="CC143" s="443">
        <f t="shared" si="49"/>
        <v>120.40900000000001</v>
      </c>
      <c r="CE143" s="536">
        <f t="shared" ref="CE143:CE152" si="66">LN($B143-$CG$144)</f>
        <v>9.8840498586436532</v>
      </c>
      <c r="CF143" s="451"/>
      <c r="CG143" s="451"/>
      <c r="CH143" s="451"/>
      <c r="CI143" s="443">
        <f t="shared" si="50"/>
        <v>20961</v>
      </c>
      <c r="CJ143" s="443">
        <f t="shared" si="51"/>
        <v>119.71599999999999</v>
      </c>
      <c r="CL143" s="536">
        <f t="shared" ref="CL143:CL152" si="67">LN($B143-$CN$144)</f>
        <v>9.8317229863068167</v>
      </c>
      <c r="CM143" s="451"/>
      <c r="CN143" s="451"/>
      <c r="CO143" s="451"/>
      <c r="CP143" s="443">
        <f t="shared" si="52"/>
        <v>20960</v>
      </c>
      <c r="CQ143" s="443">
        <f t="shared" si="53"/>
        <v>119.02500000000001</v>
      </c>
      <c r="CS143" s="536">
        <f t="shared" ref="CS143:CS152" si="68">LN($B143-$CU$144)</f>
        <v>9.7765060907753387</v>
      </c>
      <c r="CT143" s="451"/>
      <c r="CU143" s="451"/>
      <c r="CV143" s="451"/>
      <c r="CW143" s="443">
        <f t="shared" si="54"/>
        <v>20958</v>
      </c>
      <c r="CX143" s="443">
        <f t="shared" si="55"/>
        <v>117.649</v>
      </c>
    </row>
    <row r="144" spans="1:102" ht="15" customHeight="1">
      <c r="A144" s="436">
        <f t="shared" si="26"/>
        <v>2008</v>
      </c>
      <c r="B144" s="437">
        <f t="shared" si="26"/>
        <v>22162</v>
      </c>
      <c r="C144" s="533">
        <f>LN(B144-$G$147)</f>
        <v>10.005683064850798</v>
      </c>
      <c r="D144" s="438">
        <f t="shared" si="27"/>
        <v>3</v>
      </c>
      <c r="E144" s="534">
        <f>LN(D144)</f>
        <v>1.0986122886681098</v>
      </c>
      <c r="F144" s="498" t="s">
        <v>312</v>
      </c>
      <c r="I144" s="443">
        <f t="shared" si="28"/>
        <v>21560</v>
      </c>
      <c r="J144" s="446">
        <f>ABS(B144-I144)/B144*100</f>
        <v>2.7163613392293113</v>
      </c>
      <c r="K144" s="535">
        <f>(B144-I144)^2/1000</f>
        <v>362.404</v>
      </c>
      <c r="M144" s="536">
        <f t="shared" si="56"/>
        <v>10.005683064850798</v>
      </c>
      <c r="N144" s="442" t="s">
        <v>313</v>
      </c>
      <c r="O144" s="537">
        <f>F159</f>
        <v>10</v>
      </c>
      <c r="P144" s="451"/>
      <c r="Q144" s="443">
        <f t="shared" si="30"/>
        <v>21560</v>
      </c>
      <c r="R144" s="443">
        <f t="shared" si="31"/>
        <v>362.404</v>
      </c>
      <c r="T144" s="536">
        <f t="shared" si="57"/>
        <v>10.005231536419412</v>
      </c>
      <c r="U144" s="442" t="s">
        <v>313</v>
      </c>
      <c r="V144" s="538">
        <f>F160</f>
        <v>20</v>
      </c>
      <c r="W144" s="451"/>
      <c r="X144" s="443">
        <f t="shared" si="32"/>
        <v>21560</v>
      </c>
      <c r="Y144" s="443">
        <f t="shared" si="33"/>
        <v>362.404</v>
      </c>
      <c r="AA144" s="536">
        <f t="shared" si="58"/>
        <v>10.004779804018</v>
      </c>
      <c r="AB144" s="442" t="s">
        <v>378</v>
      </c>
      <c r="AC144" s="538">
        <f>F161</f>
        <v>30</v>
      </c>
      <c r="AD144" s="451"/>
      <c r="AE144" s="443">
        <f t="shared" si="34"/>
        <v>21559</v>
      </c>
      <c r="AF144" s="443">
        <f t="shared" si="35"/>
        <v>363.60899999999998</v>
      </c>
      <c r="AH144" s="536">
        <f t="shared" si="59"/>
        <v>10.0043278674622</v>
      </c>
      <c r="AI144" s="442" t="s">
        <v>379</v>
      </c>
      <c r="AJ144" s="538">
        <f>F162</f>
        <v>40</v>
      </c>
      <c r="AK144" s="451"/>
      <c r="AL144" s="443">
        <f t="shared" si="36"/>
        <v>21559</v>
      </c>
      <c r="AM144" s="443">
        <f t="shared" si="37"/>
        <v>363.60899999999998</v>
      </c>
      <c r="AO144" s="536">
        <f t="shared" si="60"/>
        <v>10.003875726567397</v>
      </c>
      <c r="AP144" s="442" t="s">
        <v>379</v>
      </c>
      <c r="AQ144" s="538">
        <f>F163</f>
        <v>50</v>
      </c>
      <c r="AR144" s="451"/>
      <c r="AS144" s="443">
        <f t="shared" si="38"/>
        <v>21559</v>
      </c>
      <c r="AT144" s="443">
        <f t="shared" si="39"/>
        <v>363.60899999999998</v>
      </c>
      <c r="AV144" s="536">
        <f t="shared" si="61"/>
        <v>10.001611950529327</v>
      </c>
      <c r="AW144" s="442" t="s">
        <v>379</v>
      </c>
      <c r="AX144" s="538">
        <f>F164</f>
        <v>100</v>
      </c>
      <c r="AY144" s="538"/>
      <c r="AZ144" s="443">
        <f t="shared" si="40"/>
        <v>21559</v>
      </c>
      <c r="BA144" s="443">
        <f t="shared" si="41"/>
        <v>363.60899999999998</v>
      </c>
      <c r="BC144" s="536">
        <f t="shared" si="62"/>
        <v>9.9970689661576593</v>
      </c>
      <c r="BD144" s="442" t="s">
        <v>379</v>
      </c>
      <c r="BE144" s="538">
        <f>F165</f>
        <v>200</v>
      </c>
      <c r="BF144" s="451"/>
      <c r="BG144" s="443">
        <f t="shared" si="42"/>
        <v>21559</v>
      </c>
      <c r="BH144" s="443">
        <f t="shared" si="43"/>
        <v>363.60899999999998</v>
      </c>
      <c r="BJ144" s="536">
        <f t="shared" si="63"/>
        <v>9.9925052488537816</v>
      </c>
      <c r="BK144" s="442" t="s">
        <v>313</v>
      </c>
      <c r="BL144" s="538">
        <f>F166</f>
        <v>300</v>
      </c>
      <c r="BM144" s="451"/>
      <c r="BN144" s="443">
        <f t="shared" si="44"/>
        <v>21559</v>
      </c>
      <c r="BO144" s="443">
        <f t="shared" si="45"/>
        <v>363.60899999999998</v>
      </c>
      <c r="BQ144" s="536">
        <f t="shared" si="64"/>
        <v>9.987920608510958</v>
      </c>
      <c r="BR144" s="442" t="s">
        <v>313</v>
      </c>
      <c r="BS144" s="538">
        <f>F167</f>
        <v>400</v>
      </c>
      <c r="BT144" s="451"/>
      <c r="BU144" s="443">
        <f t="shared" si="46"/>
        <v>21559</v>
      </c>
      <c r="BV144" s="443">
        <f t="shared" si="47"/>
        <v>363.60899999999998</v>
      </c>
      <c r="BX144" s="536">
        <f t="shared" si="65"/>
        <v>9.9833148523956829</v>
      </c>
      <c r="BY144" s="442" t="s">
        <v>313</v>
      </c>
      <c r="BZ144" s="538">
        <f>F168</f>
        <v>500</v>
      </c>
      <c r="CA144" s="451"/>
      <c r="CB144" s="443">
        <f t="shared" si="48"/>
        <v>21559</v>
      </c>
      <c r="CC144" s="443">
        <f t="shared" si="49"/>
        <v>363.60899999999998</v>
      </c>
      <c r="CE144" s="536">
        <f t="shared" si="66"/>
        <v>9.9599623994641071</v>
      </c>
      <c r="CF144" s="442" t="s">
        <v>313</v>
      </c>
      <c r="CG144" s="538">
        <f>F169</f>
        <v>1000</v>
      </c>
      <c r="CH144" s="451"/>
      <c r="CI144" s="443">
        <f t="shared" si="50"/>
        <v>21558</v>
      </c>
      <c r="CJ144" s="443">
        <f t="shared" si="51"/>
        <v>364.81599999999997</v>
      </c>
      <c r="CL144" s="536">
        <f t="shared" si="67"/>
        <v>9.9115549236138865</v>
      </c>
      <c r="CM144" s="442" t="s">
        <v>379</v>
      </c>
      <c r="CN144" s="538">
        <f>F170</f>
        <v>2000</v>
      </c>
      <c r="CO144" s="451"/>
      <c r="CP144" s="443">
        <f t="shared" si="52"/>
        <v>21556</v>
      </c>
      <c r="CQ144" s="443">
        <f t="shared" si="53"/>
        <v>367.23599999999999</v>
      </c>
      <c r="CS144" s="536">
        <f t="shared" si="68"/>
        <v>9.860684430210819</v>
      </c>
      <c r="CT144" s="442" t="s">
        <v>313</v>
      </c>
      <c r="CU144" s="538">
        <f>F171</f>
        <v>3000</v>
      </c>
      <c r="CV144" s="451"/>
      <c r="CW144" s="443">
        <f t="shared" si="54"/>
        <v>21553</v>
      </c>
      <c r="CX144" s="443">
        <f t="shared" si="55"/>
        <v>370.88099999999997</v>
      </c>
    </row>
    <row r="145" spans="1:102" ht="15" customHeight="1">
      <c r="A145" s="436">
        <f t="shared" si="26"/>
        <v>2009</v>
      </c>
      <c r="B145" s="437">
        <f t="shared" si="26"/>
        <v>22357</v>
      </c>
      <c r="C145" s="533">
        <f t="shared" ref="C145:C152" si="69">LN(B145-$G$147)</f>
        <v>10.014447362844386</v>
      </c>
      <c r="D145" s="438">
        <f t="shared" si="27"/>
        <v>4</v>
      </c>
      <c r="E145" s="534">
        <f t="shared" ref="E145:E152" si="70">LN(D145)</f>
        <v>1.3862943611198906</v>
      </c>
      <c r="F145" s="451" t="s">
        <v>380</v>
      </c>
      <c r="G145" s="539"/>
      <c r="H145" s="439"/>
      <c r="I145" s="443">
        <f t="shared" si="28"/>
        <v>21993</v>
      </c>
      <c r="J145" s="446">
        <f>ABS(B145-I145)/B145*100</f>
        <v>1.6281254193317531</v>
      </c>
      <c r="K145" s="535">
        <f t="shared" ref="K145:K152" si="71">(B145-I145)^2/1000</f>
        <v>132.49600000000001</v>
      </c>
      <c r="M145" s="536">
        <f t="shared" si="56"/>
        <v>10.014447362844386</v>
      </c>
      <c r="N145" s="442" t="s">
        <v>381</v>
      </c>
      <c r="O145" s="504">
        <f>INDEX(LINEST(M142:M152,$E142:$E152),1)</f>
        <v>6.9267286227042923E-2</v>
      </c>
      <c r="Q145" s="443">
        <f t="shared" si="30"/>
        <v>21993</v>
      </c>
      <c r="R145" s="443">
        <f t="shared" si="31"/>
        <v>132.49600000000001</v>
      </c>
      <c r="T145" s="536">
        <f t="shared" si="57"/>
        <v>10.013999775333557</v>
      </c>
      <c r="U145" s="442" t="s">
        <v>381</v>
      </c>
      <c r="V145" s="504">
        <f>INDEX(LINEST(T142:T152,$E142:$E152),1)</f>
        <v>6.929935776149676E-2</v>
      </c>
      <c r="X145" s="443">
        <f t="shared" si="32"/>
        <v>21993</v>
      </c>
      <c r="Y145" s="443">
        <f t="shared" si="33"/>
        <v>132.49600000000001</v>
      </c>
      <c r="AA145" s="536">
        <f t="shared" si="58"/>
        <v>10.013551987398436</v>
      </c>
      <c r="AB145" s="442" t="s">
        <v>381</v>
      </c>
      <c r="AC145" s="504">
        <f>INDEX(LINEST(AA142:AA152,$E142:$E152),1)</f>
        <v>6.9331459069668866E-2</v>
      </c>
      <c r="AE145" s="443">
        <f t="shared" si="34"/>
        <v>21993</v>
      </c>
      <c r="AF145" s="443">
        <f t="shared" si="35"/>
        <v>132.49600000000001</v>
      </c>
      <c r="AH145" s="536">
        <f t="shared" si="59"/>
        <v>10.013103998859451</v>
      </c>
      <c r="AI145" s="442" t="s">
        <v>381</v>
      </c>
      <c r="AJ145" s="504">
        <f>INDEX(LINEST(AH142:AH152,$E142:$E152),1)</f>
        <v>6.9363590193125393E-2</v>
      </c>
      <c r="AL145" s="443">
        <f t="shared" si="36"/>
        <v>21993</v>
      </c>
      <c r="AM145" s="443">
        <f t="shared" si="37"/>
        <v>132.49600000000001</v>
      </c>
      <c r="AO145" s="536">
        <f t="shared" si="60"/>
        <v>10.012655809536781</v>
      </c>
      <c r="AP145" s="442" t="s">
        <v>381</v>
      </c>
      <c r="AQ145" s="504">
        <f>INDEX(LINEST(AO142:AO152,$E142:$E152),1)</f>
        <v>6.9395751173510045E-2</v>
      </c>
      <c r="AS145" s="443">
        <f t="shared" si="38"/>
        <v>21993</v>
      </c>
      <c r="AT145" s="443">
        <f t="shared" si="39"/>
        <v>132.49600000000001</v>
      </c>
      <c r="AV145" s="536">
        <f t="shared" si="61"/>
        <v>10.010411844857636</v>
      </c>
      <c r="AW145" s="442" t="s">
        <v>381</v>
      </c>
      <c r="AX145" s="504">
        <f>INDEX(LINEST(AV142:AV152,$E142:$E152),1)</f>
        <v>6.9557005392314519E-2</v>
      </c>
      <c r="AZ145" s="443">
        <f t="shared" si="40"/>
        <v>21993</v>
      </c>
      <c r="BA145" s="443">
        <f t="shared" si="41"/>
        <v>132.49600000000001</v>
      </c>
      <c r="BC145" s="536">
        <f t="shared" si="62"/>
        <v>10.005908752635277</v>
      </c>
      <c r="BD145" s="442" t="s">
        <v>381</v>
      </c>
      <c r="BE145" s="504">
        <f>INDEX(LINEST(BC142:BC152,$E142:$E152),1)</f>
        <v>6.9881777267494019E-2</v>
      </c>
      <c r="BG145" s="443">
        <f t="shared" si="42"/>
        <v>21993</v>
      </c>
      <c r="BH145" s="443">
        <f t="shared" si="43"/>
        <v>132.49600000000001</v>
      </c>
      <c r="BJ145" s="536">
        <f t="shared" si="63"/>
        <v>10.001385290812587</v>
      </c>
      <c r="BK145" s="442" t="s">
        <v>381</v>
      </c>
      <c r="BL145" s="504">
        <f>INDEX(LINEST(BJ142:BJ152,$E142:$E152),1)</f>
        <v>7.0209602601116305E-2</v>
      </c>
      <c r="BN145" s="443">
        <f t="shared" si="44"/>
        <v>21993</v>
      </c>
      <c r="BO145" s="443">
        <f t="shared" si="45"/>
        <v>132.49600000000001</v>
      </c>
      <c r="BQ145" s="536">
        <f t="shared" si="64"/>
        <v>9.996841274269336</v>
      </c>
      <c r="BR145" s="442" t="s">
        <v>381</v>
      </c>
      <c r="BS145" s="504">
        <f>INDEX(LINEST(BQ142:BQ152,$E142:$E152),1)</f>
        <v>7.0540524751243991E-2</v>
      </c>
      <c r="BU145" s="443">
        <f t="shared" si="46"/>
        <v>21993</v>
      </c>
      <c r="BV145" s="443">
        <f t="shared" si="47"/>
        <v>132.49600000000001</v>
      </c>
      <c r="BX145" s="536">
        <f t="shared" si="65"/>
        <v>9.9922765153501878</v>
      </c>
      <c r="BY145" s="442" t="s">
        <v>381</v>
      </c>
      <c r="BZ145" s="504">
        <f>INDEX(LINEST(BX142:BX152,$E142:$E152),1)</f>
        <v>7.0874587902513941E-2</v>
      </c>
      <c r="CB145" s="443">
        <f t="shared" si="48"/>
        <v>21992</v>
      </c>
      <c r="CC145" s="443">
        <f t="shared" si="49"/>
        <v>133.22499999999999</v>
      </c>
      <c r="CE145" s="536">
        <f t="shared" si="66"/>
        <v>9.9691348337719834</v>
      </c>
      <c r="CF145" s="442" t="s">
        <v>381</v>
      </c>
      <c r="CG145" s="504">
        <f>INDEX(LINEST(CE142:CE152,$E142:$E152),1)</f>
        <v>7.2593625547200197E-2</v>
      </c>
      <c r="CI145" s="443">
        <f t="shared" si="50"/>
        <v>21992</v>
      </c>
      <c r="CJ145" s="443">
        <f t="shared" si="51"/>
        <v>133.22499999999999</v>
      </c>
      <c r="CL145" s="536">
        <f t="shared" si="67"/>
        <v>9.9211801120670469</v>
      </c>
      <c r="CM145" s="442" t="s">
        <v>381</v>
      </c>
      <c r="CN145" s="504">
        <f>INDEX(LINEST(CL142:CL152,$E142:$E152),1)</f>
        <v>7.6295277492192767E-2</v>
      </c>
      <c r="CP145" s="443">
        <f t="shared" si="52"/>
        <v>21990</v>
      </c>
      <c r="CQ145" s="443">
        <f t="shared" si="53"/>
        <v>134.68899999999999</v>
      </c>
      <c r="CS145" s="536">
        <f t="shared" si="68"/>
        <v>9.8708093901455456</v>
      </c>
      <c r="CT145" s="442" t="s">
        <v>381</v>
      </c>
      <c r="CU145" s="504">
        <f>INDEX(LINEST(CS142:CS152,$E142:$E152),1)</f>
        <v>8.0395819325051007E-2</v>
      </c>
      <c r="CW145" s="443">
        <f t="shared" si="54"/>
        <v>21988</v>
      </c>
      <c r="CX145" s="443">
        <f t="shared" si="55"/>
        <v>136.161</v>
      </c>
    </row>
    <row r="146" spans="1:102" ht="15" customHeight="1">
      <c r="A146" s="436">
        <f t="shared" si="26"/>
        <v>2010</v>
      </c>
      <c r="B146" s="437">
        <f t="shared" si="26"/>
        <v>22538</v>
      </c>
      <c r="C146" s="533">
        <f t="shared" si="69"/>
        <v>10.022514258957768</v>
      </c>
      <c r="D146" s="438">
        <f t="shared" si="27"/>
        <v>5</v>
      </c>
      <c r="E146" s="534">
        <f t="shared" si="70"/>
        <v>1.6094379124341003</v>
      </c>
      <c r="I146" s="443">
        <f t="shared" si="28"/>
        <v>22336</v>
      </c>
      <c r="J146" s="446">
        <f>ABS(B146-I146)/B146*100</f>
        <v>0.89626408731919427</v>
      </c>
      <c r="K146" s="443">
        <f t="shared" si="71"/>
        <v>40.804000000000002</v>
      </c>
      <c r="M146" s="536">
        <f t="shared" si="56"/>
        <v>10.022514258957768</v>
      </c>
      <c r="N146" s="442" t="s">
        <v>382</v>
      </c>
      <c r="O146" s="442" t="s">
        <v>383</v>
      </c>
      <c r="P146" s="504">
        <f>INDEX(LINEST(M142:M152,$E142:$E152),2)</f>
        <v>9.90201123649938</v>
      </c>
      <c r="Q146" s="443">
        <f t="shared" si="30"/>
        <v>22336</v>
      </c>
      <c r="R146" s="443">
        <f t="shared" si="31"/>
        <v>40.804000000000002</v>
      </c>
      <c r="T146" s="536">
        <f t="shared" si="57"/>
        <v>10.022070268363075</v>
      </c>
      <c r="U146" s="442" t="s">
        <v>382</v>
      </c>
      <c r="V146" s="442" t="s">
        <v>383</v>
      </c>
      <c r="W146" s="504">
        <f>INDEX(LINEST(T142:T152,$E142:$E152),2)</f>
        <v>9.9015110297524593</v>
      </c>
      <c r="X146" s="443">
        <f t="shared" si="32"/>
        <v>22336</v>
      </c>
      <c r="Y146" s="443">
        <f t="shared" si="33"/>
        <v>40.804000000000002</v>
      </c>
      <c r="AA146" s="536">
        <f t="shared" si="58"/>
        <v>10.021626080553169</v>
      </c>
      <c r="AB146" s="442" t="s">
        <v>382</v>
      </c>
      <c r="AC146" s="442" t="s">
        <v>383</v>
      </c>
      <c r="AD146" s="504">
        <f>INDEX(LINEST(AA142:AA152,$E142:$E152),2)</f>
        <v>9.9010105732234344</v>
      </c>
      <c r="AE146" s="443">
        <f t="shared" si="34"/>
        <v>22336</v>
      </c>
      <c r="AF146" s="443">
        <f t="shared" si="35"/>
        <v>40.804000000000002</v>
      </c>
      <c r="AH146" s="536">
        <f t="shared" si="59"/>
        <v>10.021181695352771</v>
      </c>
      <c r="AI146" s="442" t="s">
        <v>382</v>
      </c>
      <c r="AJ146" s="442" t="s">
        <v>383</v>
      </c>
      <c r="AK146" s="504">
        <f>INDEX(LINEST(AH142:AH152,$E142:$E152),2)</f>
        <v>9.9005098666631319</v>
      </c>
      <c r="AL146" s="443">
        <f t="shared" si="36"/>
        <v>22336</v>
      </c>
      <c r="AM146" s="443">
        <f t="shared" si="37"/>
        <v>40.804000000000002</v>
      </c>
      <c r="AO146" s="536">
        <f t="shared" si="60"/>
        <v>10.020737112586367</v>
      </c>
      <c r="AP146" s="442" t="s">
        <v>382</v>
      </c>
      <c r="AQ146" s="442" t="s">
        <v>383</v>
      </c>
      <c r="AR146" s="504">
        <f>INDEX(LINEST(AO142:AO152,$E142:$E152),2)</f>
        <v>9.9000089098220023</v>
      </c>
      <c r="AS146" s="443">
        <f t="shared" si="38"/>
        <v>22336</v>
      </c>
      <c r="AT146" s="443">
        <f t="shared" si="39"/>
        <v>40.804000000000002</v>
      </c>
      <c r="AV146" s="536">
        <f t="shared" si="61"/>
        <v>10.018511229104909</v>
      </c>
      <c r="AW146" s="442" t="s">
        <v>382</v>
      </c>
      <c r="AX146" s="442" t="s">
        <v>383</v>
      </c>
      <c r="AY146" s="504">
        <f>INDEX(LINEST(AV142:AV152,$E142:$E152),2)</f>
        <v>9.8975003626436653</v>
      </c>
      <c r="AZ146" s="443">
        <f t="shared" si="40"/>
        <v>22336</v>
      </c>
      <c r="BA146" s="443">
        <f t="shared" si="41"/>
        <v>40.804000000000002</v>
      </c>
      <c r="BC146" s="536">
        <f t="shared" si="62"/>
        <v>10.014044543100772</v>
      </c>
      <c r="BD146" s="442" t="s">
        <v>382</v>
      </c>
      <c r="BE146" s="442" t="s">
        <v>383</v>
      </c>
      <c r="BF146" s="504">
        <f>INDEX(LINEST(BC142:BC152,$E142:$E152),2)</f>
        <v>9.892464352665499</v>
      </c>
      <c r="BG146" s="443">
        <f t="shared" si="42"/>
        <v>22335</v>
      </c>
      <c r="BH146" s="443">
        <f t="shared" si="43"/>
        <v>41.209000000000003</v>
      </c>
      <c r="BJ146" s="536">
        <f t="shared" si="63"/>
        <v>10.009557816263195</v>
      </c>
      <c r="BK146" s="442" t="s">
        <v>382</v>
      </c>
      <c r="BL146" s="442" t="s">
        <v>383</v>
      </c>
      <c r="BM146" s="504">
        <f>INDEX(LINEST(BJ142:BJ152,$E142:$E152),2)</f>
        <v>9.8874029098838552</v>
      </c>
      <c r="BN146" s="443">
        <f t="shared" si="44"/>
        <v>22335</v>
      </c>
      <c r="BO146" s="443">
        <f t="shared" si="45"/>
        <v>41.209000000000003</v>
      </c>
      <c r="BQ146" s="536">
        <f t="shared" si="64"/>
        <v>10.005050867945569</v>
      </c>
      <c r="BR146" s="442" t="s">
        <v>382</v>
      </c>
      <c r="BS146" s="442" t="s">
        <v>383</v>
      </c>
      <c r="BT146" s="504">
        <f>INDEX(LINEST(BQ142:BQ152,$E142:$E152),2)</f>
        <v>9.8823157765491203</v>
      </c>
      <c r="BU146" s="443">
        <f t="shared" si="46"/>
        <v>22335</v>
      </c>
      <c r="BV146" s="443">
        <f t="shared" si="47"/>
        <v>41.209000000000003</v>
      </c>
      <c r="BX146" s="536">
        <f t="shared" si="65"/>
        <v>10.000523515047723</v>
      </c>
      <c r="BY146" s="442" t="s">
        <v>382</v>
      </c>
      <c r="BZ146" s="442" t="s">
        <v>383</v>
      </c>
      <c r="CA146" s="504">
        <f>INDEX(LINEST(BX142:BX152,$E142:$E152),2)</f>
        <v>9.8772026909783186</v>
      </c>
      <c r="CB146" s="443">
        <f t="shared" si="48"/>
        <v>22335</v>
      </c>
      <c r="CC146" s="443">
        <f t="shared" si="49"/>
        <v>41.209000000000003</v>
      </c>
      <c r="CE146" s="536">
        <f t="shared" si="66"/>
        <v>9.9775740958888264</v>
      </c>
      <c r="CF146" s="442" t="s">
        <v>382</v>
      </c>
      <c r="CG146" s="442" t="s">
        <v>383</v>
      </c>
      <c r="CH146" s="504">
        <f>INDEX(LINEST(CE142:CE152,$E142:$E152),2)</f>
        <v>9.8512385350420999</v>
      </c>
      <c r="CI146" s="443">
        <f t="shared" si="50"/>
        <v>22334</v>
      </c>
      <c r="CJ146" s="443">
        <f t="shared" si="51"/>
        <v>41.616</v>
      </c>
      <c r="CL146" s="536">
        <f t="shared" si="67"/>
        <v>9.9300321077582403</v>
      </c>
      <c r="CM146" s="442" t="s">
        <v>382</v>
      </c>
      <c r="CN146" s="442" t="s">
        <v>383</v>
      </c>
      <c r="CO146" s="504">
        <f>INDEX(LINEST(CL142:CL152,$E142:$E152),2)</f>
        <v>9.7972011646852497</v>
      </c>
      <c r="CP146" s="443">
        <f t="shared" si="52"/>
        <v>22333</v>
      </c>
      <c r="CQ146" s="443">
        <f t="shared" si="53"/>
        <v>42.024999999999999</v>
      </c>
      <c r="CS146" s="536">
        <f t="shared" si="68"/>
        <v>9.8801165662128874</v>
      </c>
      <c r="CT146" s="442" t="s">
        <v>382</v>
      </c>
      <c r="CU146" s="442" t="s">
        <v>383</v>
      </c>
      <c r="CV146" s="504">
        <f>INDEX(LINEST(CS142:CS152,$E142:$E152),2)</f>
        <v>9.7400844820699337</v>
      </c>
      <c r="CW146" s="443">
        <f t="shared" si="54"/>
        <v>22331</v>
      </c>
      <c r="CX146" s="443">
        <f t="shared" si="55"/>
        <v>42.848999999999997</v>
      </c>
    </row>
    <row r="147" spans="1:102" ht="15" customHeight="1">
      <c r="A147" s="436">
        <f t="shared" si="26"/>
        <v>2011</v>
      </c>
      <c r="B147" s="437">
        <f t="shared" si="26"/>
        <v>22572</v>
      </c>
      <c r="C147" s="533">
        <f t="shared" si="69"/>
        <v>10.024022354164865</v>
      </c>
      <c r="D147" s="438">
        <f t="shared" si="27"/>
        <v>6</v>
      </c>
      <c r="E147" s="534">
        <f t="shared" si="70"/>
        <v>1.791759469228055</v>
      </c>
      <c r="F147" s="540" t="s">
        <v>384</v>
      </c>
      <c r="G147" s="541">
        <f>INDEX(F159:L171,MATCH(1,L159:L171,0),1)</f>
        <v>10</v>
      </c>
      <c r="H147" s="439"/>
      <c r="I147" s="443">
        <f t="shared" si="28"/>
        <v>22619</v>
      </c>
      <c r="J147" s="446">
        <f t="shared" si="29"/>
        <v>0.20822257664362931</v>
      </c>
      <c r="K147" s="443">
        <f t="shared" si="71"/>
        <v>2.2090000000000001</v>
      </c>
      <c r="M147" s="536">
        <f t="shared" si="56"/>
        <v>10.024022354164865</v>
      </c>
      <c r="N147" s="442" t="s">
        <v>385</v>
      </c>
      <c r="O147" s="542">
        <f>EXP(P146)</f>
        <v>19970.495463633921</v>
      </c>
      <c r="P147" s="451"/>
      <c r="Q147" s="443">
        <f t="shared" si="30"/>
        <v>22619</v>
      </c>
      <c r="R147" s="443">
        <f t="shared" si="31"/>
        <v>2.2090000000000001</v>
      </c>
      <c r="T147" s="536">
        <f t="shared" si="57"/>
        <v>10.023579032793949</v>
      </c>
      <c r="U147" s="442" t="s">
        <v>305</v>
      </c>
      <c r="V147" s="542">
        <f>EXP(W146)</f>
        <v>19960.508585023923</v>
      </c>
      <c r="W147" s="504"/>
      <c r="X147" s="443">
        <f t="shared" si="32"/>
        <v>22619</v>
      </c>
      <c r="Y147" s="443">
        <f t="shared" si="33"/>
        <v>2.2090000000000001</v>
      </c>
      <c r="AA147" s="536">
        <f t="shared" si="58"/>
        <v>10.023135514802023</v>
      </c>
      <c r="AB147" s="442" t="s">
        <v>305</v>
      </c>
      <c r="AC147" s="542">
        <f>EXP(AD146)</f>
        <v>19950.521717384887</v>
      </c>
      <c r="AD147" s="451"/>
      <c r="AE147" s="443">
        <f t="shared" si="34"/>
        <v>22619</v>
      </c>
      <c r="AF147" s="443">
        <f t="shared" si="35"/>
        <v>2.2090000000000001</v>
      </c>
      <c r="AH147" s="536">
        <f t="shared" si="59"/>
        <v>10.022691800014604</v>
      </c>
      <c r="AI147" s="442" t="s">
        <v>305</v>
      </c>
      <c r="AJ147" s="542">
        <f>EXP(AK146)</f>
        <v>19940.534860730506</v>
      </c>
      <c r="AK147" s="451"/>
      <c r="AL147" s="443">
        <f t="shared" si="36"/>
        <v>22619</v>
      </c>
      <c r="AM147" s="443">
        <f t="shared" si="37"/>
        <v>2.2090000000000001</v>
      </c>
      <c r="AO147" s="536">
        <f t="shared" si="60"/>
        <v>10.02224788825697</v>
      </c>
      <c r="AP147" s="442" t="s">
        <v>305</v>
      </c>
      <c r="AQ147" s="542">
        <f>EXP(AR146)</f>
        <v>19930.548015074422</v>
      </c>
      <c r="AR147" s="451"/>
      <c r="AS147" s="443">
        <f t="shared" si="38"/>
        <v>22619</v>
      </c>
      <c r="AT147" s="443">
        <f t="shared" si="39"/>
        <v>2.2090000000000001</v>
      </c>
      <c r="AV147" s="536">
        <f t="shared" si="61"/>
        <v>10.020025368784079</v>
      </c>
      <c r="AW147" s="442" t="s">
        <v>305</v>
      </c>
      <c r="AX147" s="542">
        <f>EXP(AY146)</f>
        <v>19880.613952250154</v>
      </c>
      <c r="AY147" s="451"/>
      <c r="AZ147" s="443">
        <f t="shared" si="40"/>
        <v>22619</v>
      </c>
      <c r="BA147" s="443">
        <f t="shared" si="41"/>
        <v>2.2090000000000001</v>
      </c>
      <c r="BC147" s="536">
        <f t="shared" si="62"/>
        <v>10.015565455941479</v>
      </c>
      <c r="BD147" s="442" t="s">
        <v>305</v>
      </c>
      <c r="BE147" s="542">
        <f>EXP(BF146)</f>
        <v>19780.746659420551</v>
      </c>
      <c r="BF147" s="451"/>
      <c r="BG147" s="443">
        <f t="shared" si="42"/>
        <v>22619</v>
      </c>
      <c r="BH147" s="443">
        <f t="shared" si="43"/>
        <v>2.2090000000000001</v>
      </c>
      <c r="BJ147" s="536">
        <f t="shared" si="63"/>
        <v>10.011085563134147</v>
      </c>
      <c r="BK147" s="442" t="s">
        <v>305</v>
      </c>
      <c r="BL147" s="542">
        <f>EXP(BM146)</f>
        <v>19680.880488679446</v>
      </c>
      <c r="BM147" s="451"/>
      <c r="BN147" s="443">
        <f t="shared" si="44"/>
        <v>22619</v>
      </c>
      <c r="BO147" s="443">
        <f t="shared" si="45"/>
        <v>2.2090000000000001</v>
      </c>
      <c r="BQ147" s="536">
        <f t="shared" si="64"/>
        <v>10.006585510539695</v>
      </c>
      <c r="BR147" s="442" t="s">
        <v>305</v>
      </c>
      <c r="BS147" s="542">
        <f>EXP(BT146)</f>
        <v>19581.015454227974</v>
      </c>
      <c r="BT147" s="451"/>
      <c r="BU147" s="443">
        <f t="shared" si="46"/>
        <v>22619</v>
      </c>
      <c r="BV147" s="443">
        <f t="shared" si="47"/>
        <v>2.2090000000000001</v>
      </c>
      <c r="BX147" s="536">
        <f t="shared" si="65"/>
        <v>10.002065115897121</v>
      </c>
      <c r="BY147" s="442" t="s">
        <v>305</v>
      </c>
      <c r="BZ147" s="542">
        <f>EXP(CA146)</f>
        <v>19481.151570505826</v>
      </c>
      <c r="CA147" s="451"/>
      <c r="CB147" s="443">
        <f t="shared" si="48"/>
        <v>22619</v>
      </c>
      <c r="CC147" s="443">
        <f t="shared" si="49"/>
        <v>2.2090000000000001</v>
      </c>
      <c r="CE147" s="536">
        <f t="shared" si="66"/>
        <v>9.9791514564571173</v>
      </c>
      <c r="CF147" s="442" t="s">
        <v>305</v>
      </c>
      <c r="CG147" s="542">
        <f>EXP(CH146)</f>
        <v>18981.849935576436</v>
      </c>
      <c r="CH147" s="451"/>
      <c r="CI147" s="443">
        <f t="shared" si="50"/>
        <v>22619</v>
      </c>
      <c r="CJ147" s="443">
        <f t="shared" si="51"/>
        <v>2.2090000000000001</v>
      </c>
      <c r="CL147" s="536">
        <f t="shared" si="67"/>
        <v>9.9316862068948062</v>
      </c>
      <c r="CM147" s="442" t="s">
        <v>305</v>
      </c>
      <c r="CN147" s="542">
        <f>EXP(CO146)</f>
        <v>17983.342013298392</v>
      </c>
      <c r="CO147" s="451"/>
      <c r="CP147" s="443">
        <f t="shared" si="52"/>
        <v>22618</v>
      </c>
      <c r="CQ147" s="443">
        <f t="shared" si="53"/>
        <v>2.1160000000000001</v>
      </c>
      <c r="CS147" s="536">
        <f t="shared" si="68"/>
        <v>9.8818552524090144</v>
      </c>
      <c r="CT147" s="442" t="s">
        <v>305</v>
      </c>
      <c r="CU147" s="542">
        <f>EXP(CV146)</f>
        <v>16984.976246073722</v>
      </c>
      <c r="CV147" s="451"/>
      <c r="CW147" s="443">
        <f t="shared" si="54"/>
        <v>22617</v>
      </c>
      <c r="CX147" s="443">
        <f t="shared" si="55"/>
        <v>2.0249999999999999</v>
      </c>
    </row>
    <row r="148" spans="1:102" ht="15" customHeight="1">
      <c r="A148" s="436">
        <f t="shared" si="26"/>
        <v>2012</v>
      </c>
      <c r="B148" s="437">
        <f t="shared" si="26"/>
        <v>22563</v>
      </c>
      <c r="C148" s="533">
        <f t="shared" si="69"/>
        <v>10.023623373776109</v>
      </c>
      <c r="D148" s="438">
        <f t="shared" si="27"/>
        <v>7</v>
      </c>
      <c r="E148" s="534">
        <f t="shared" si="70"/>
        <v>1.9459101490553132</v>
      </c>
      <c r="F148" s="540" t="s">
        <v>306</v>
      </c>
      <c r="G148" s="504">
        <f>INDEX(LINEST(C142:C152,E142:E152),1)</f>
        <v>6.9267286227042923E-2</v>
      </c>
      <c r="H148" s="439"/>
      <c r="I148" s="443">
        <f t="shared" si="28"/>
        <v>22862</v>
      </c>
      <c r="J148" s="446">
        <f t="shared" si="29"/>
        <v>1.3251783893985729</v>
      </c>
      <c r="K148" s="443">
        <f t="shared" si="71"/>
        <v>89.400999999999996</v>
      </c>
      <c r="M148" s="536">
        <f t="shared" si="56"/>
        <v>10.023623373776109</v>
      </c>
      <c r="Q148" s="443">
        <f t="shared" si="30"/>
        <v>22862</v>
      </c>
      <c r="R148" s="443">
        <f t="shared" si="31"/>
        <v>89.400999999999996</v>
      </c>
      <c r="T148" s="536">
        <f t="shared" si="57"/>
        <v>10.023179875454133</v>
      </c>
      <c r="W148" s="451"/>
      <c r="X148" s="443">
        <f t="shared" si="32"/>
        <v>22862</v>
      </c>
      <c r="Y148" s="443">
        <f t="shared" si="33"/>
        <v>89.400999999999996</v>
      </c>
      <c r="AA148" s="536">
        <f t="shared" si="58"/>
        <v>10.022736180354121</v>
      </c>
      <c r="AD148" s="451"/>
      <c r="AE148" s="443">
        <f t="shared" si="34"/>
        <v>22862</v>
      </c>
      <c r="AF148" s="443">
        <f t="shared" si="35"/>
        <v>89.400999999999996</v>
      </c>
      <c r="AH148" s="536">
        <f t="shared" si="59"/>
        <v>10.022292288301378</v>
      </c>
      <c r="AK148" s="451"/>
      <c r="AL148" s="443">
        <f t="shared" si="36"/>
        <v>22862</v>
      </c>
      <c r="AM148" s="443">
        <f t="shared" si="37"/>
        <v>89.400999999999996</v>
      </c>
      <c r="AO148" s="536">
        <f t="shared" si="60"/>
        <v>10.021848199120974</v>
      </c>
      <c r="AR148" s="451"/>
      <c r="AS148" s="443">
        <f t="shared" si="38"/>
        <v>22862</v>
      </c>
      <c r="AT148" s="443">
        <f t="shared" si="39"/>
        <v>89.400999999999996</v>
      </c>
      <c r="AV148" s="536">
        <f t="shared" si="61"/>
        <v>10.019624790165171</v>
      </c>
      <c r="AY148" s="451"/>
      <c r="AZ148" s="443">
        <f t="shared" si="40"/>
        <v>22862</v>
      </c>
      <c r="BA148" s="443">
        <f t="shared" si="41"/>
        <v>89.400999999999996</v>
      </c>
      <c r="BC148" s="536">
        <f t="shared" si="62"/>
        <v>10.015163086426718</v>
      </c>
      <c r="BF148" s="451"/>
      <c r="BG148" s="443">
        <f t="shared" si="42"/>
        <v>22862</v>
      </c>
      <c r="BH148" s="443">
        <f t="shared" si="43"/>
        <v>89.400999999999996</v>
      </c>
      <c r="BJ148" s="536">
        <f t="shared" si="63"/>
        <v>10.010681386638243</v>
      </c>
      <c r="BM148" s="451"/>
      <c r="BN148" s="443">
        <f t="shared" si="44"/>
        <v>22862</v>
      </c>
      <c r="BO148" s="443">
        <f t="shared" si="45"/>
        <v>89.400999999999996</v>
      </c>
      <c r="BQ148" s="536">
        <f t="shared" si="64"/>
        <v>10.006179510759674</v>
      </c>
      <c r="BT148" s="451"/>
      <c r="BU148" s="443">
        <f t="shared" si="46"/>
        <v>22862</v>
      </c>
      <c r="BV148" s="443">
        <f t="shared" si="47"/>
        <v>89.400999999999996</v>
      </c>
      <c r="BX148" s="536">
        <f t="shared" si="65"/>
        <v>10.001657276308372</v>
      </c>
      <c r="CA148" s="451"/>
      <c r="CB148" s="443">
        <f t="shared" si="48"/>
        <v>22862</v>
      </c>
      <c r="CC148" s="443">
        <f t="shared" si="49"/>
        <v>89.400999999999996</v>
      </c>
      <c r="CE148" s="536">
        <f t="shared" si="66"/>
        <v>9.9787341619106655</v>
      </c>
      <c r="CH148" s="451"/>
      <c r="CI148" s="443">
        <f t="shared" si="50"/>
        <v>22862</v>
      </c>
      <c r="CJ148" s="443">
        <f t="shared" si="51"/>
        <v>89.400999999999996</v>
      </c>
      <c r="CL148" s="536">
        <f t="shared" si="67"/>
        <v>9.9312486233215189</v>
      </c>
      <c r="CO148" s="451"/>
      <c r="CP148" s="443">
        <f t="shared" si="52"/>
        <v>22862</v>
      </c>
      <c r="CQ148" s="443">
        <f t="shared" si="53"/>
        <v>89.400999999999996</v>
      </c>
      <c r="CS148" s="536">
        <f t="shared" si="68"/>
        <v>9.8813953060613127</v>
      </c>
      <c r="CV148" s="451"/>
      <c r="CW148" s="443">
        <f t="shared" si="54"/>
        <v>22861</v>
      </c>
      <c r="CX148" s="443">
        <f t="shared" si="55"/>
        <v>88.804000000000002</v>
      </c>
    </row>
    <row r="149" spans="1:102" ht="15" customHeight="1">
      <c r="A149" s="436">
        <f t="shared" si="26"/>
        <v>2013</v>
      </c>
      <c r="B149" s="437">
        <f t="shared" si="26"/>
        <v>23002</v>
      </c>
      <c r="C149" s="533">
        <f t="shared" si="69"/>
        <v>10.042901608318806</v>
      </c>
      <c r="D149" s="438">
        <f t="shared" si="27"/>
        <v>8</v>
      </c>
      <c r="E149" s="543">
        <f t="shared" si="70"/>
        <v>2.0794415416798357</v>
      </c>
      <c r="F149" s="540" t="s">
        <v>301</v>
      </c>
      <c r="G149" s="504">
        <f>INDEX(LINEST(C142:C152,E142:E152),2)</f>
        <v>9.90201123649938</v>
      </c>
      <c r="H149" s="544" t="s">
        <v>320</v>
      </c>
      <c r="I149" s="443">
        <f t="shared" si="28"/>
        <v>23074</v>
      </c>
      <c r="J149" s="446">
        <f t="shared" si="29"/>
        <v>0.3130162594556995</v>
      </c>
      <c r="K149" s="443">
        <f t="shared" si="71"/>
        <v>5.1840000000000002</v>
      </c>
      <c r="M149" s="536">
        <f t="shared" si="56"/>
        <v>10.042901608318806</v>
      </c>
      <c r="P149" s="451"/>
      <c r="Q149" s="443">
        <f t="shared" si="30"/>
        <v>23074</v>
      </c>
      <c r="R149" s="443">
        <f t="shared" si="31"/>
        <v>5.1840000000000002</v>
      </c>
      <c r="T149" s="536">
        <f t="shared" si="57"/>
        <v>10.04246657981758</v>
      </c>
      <c r="W149" s="451"/>
      <c r="X149" s="443">
        <f t="shared" si="32"/>
        <v>23074</v>
      </c>
      <c r="Y149" s="443">
        <f t="shared" si="33"/>
        <v>5.1840000000000002</v>
      </c>
      <c r="AA149" s="536">
        <f t="shared" si="58"/>
        <v>10.042031361984186</v>
      </c>
      <c r="AD149" s="451"/>
      <c r="AE149" s="443">
        <f t="shared" si="34"/>
        <v>23074</v>
      </c>
      <c r="AF149" s="443">
        <f t="shared" si="35"/>
        <v>5.1840000000000002</v>
      </c>
      <c r="AH149" s="536">
        <f t="shared" si="59"/>
        <v>10.041595954653758</v>
      </c>
      <c r="AK149" s="451"/>
      <c r="AL149" s="443">
        <f t="shared" si="36"/>
        <v>23074</v>
      </c>
      <c r="AM149" s="443">
        <f t="shared" si="37"/>
        <v>5.1840000000000002</v>
      </c>
      <c r="AO149" s="536">
        <f t="shared" si="60"/>
        <v>10.0411603576612</v>
      </c>
      <c r="AR149" s="451"/>
      <c r="AS149" s="443">
        <f t="shared" si="38"/>
        <v>23074</v>
      </c>
      <c r="AT149" s="443">
        <f t="shared" si="39"/>
        <v>5.1840000000000002</v>
      </c>
      <c r="AV149" s="536">
        <f t="shared" si="61"/>
        <v>10.038979521973285</v>
      </c>
      <c r="AY149" s="451"/>
      <c r="AZ149" s="443">
        <f t="shared" si="40"/>
        <v>23074</v>
      </c>
      <c r="BA149" s="443">
        <f t="shared" si="41"/>
        <v>5.1840000000000002</v>
      </c>
      <c r="BC149" s="536">
        <f t="shared" si="62"/>
        <v>10.034603530393666</v>
      </c>
      <c r="BF149" s="451"/>
      <c r="BG149" s="443">
        <f t="shared" si="42"/>
        <v>23075</v>
      </c>
      <c r="BH149" s="443">
        <f t="shared" si="43"/>
        <v>5.3289999999999997</v>
      </c>
      <c r="BJ149" s="536">
        <f t="shared" si="63"/>
        <v>10.030208305315284</v>
      </c>
      <c r="BM149" s="451"/>
      <c r="BN149" s="443">
        <f t="shared" si="44"/>
        <v>23075</v>
      </c>
      <c r="BO149" s="443">
        <f t="shared" si="45"/>
        <v>5.3289999999999997</v>
      </c>
      <c r="BQ149" s="536">
        <f t="shared" si="64"/>
        <v>10.025793676920095</v>
      </c>
      <c r="BT149" s="451"/>
      <c r="BU149" s="443">
        <f t="shared" si="46"/>
        <v>23075</v>
      </c>
      <c r="BV149" s="443">
        <f t="shared" si="47"/>
        <v>5.3289999999999997</v>
      </c>
      <c r="BX149" s="536">
        <f t="shared" si="65"/>
        <v>10.021359473131017</v>
      </c>
      <c r="CA149" s="451"/>
      <c r="CB149" s="443">
        <f t="shared" si="48"/>
        <v>23075</v>
      </c>
      <c r="CC149" s="443">
        <f t="shared" si="49"/>
        <v>5.3289999999999997</v>
      </c>
      <c r="CE149" s="536">
        <f t="shared" si="66"/>
        <v>9.9988886372993804</v>
      </c>
      <c r="CH149" s="451"/>
      <c r="CI149" s="443">
        <f t="shared" si="50"/>
        <v>23075</v>
      </c>
      <c r="CJ149" s="443">
        <f t="shared" si="51"/>
        <v>5.3289999999999997</v>
      </c>
      <c r="CL149" s="536">
        <f t="shared" si="67"/>
        <v>9.9523729502659393</v>
      </c>
      <c r="CO149" s="451"/>
      <c r="CP149" s="443">
        <f t="shared" si="52"/>
        <v>23075</v>
      </c>
      <c r="CQ149" s="443">
        <f t="shared" si="53"/>
        <v>5.3289999999999997</v>
      </c>
      <c r="CS149" s="536">
        <f t="shared" si="68"/>
        <v>9.9035875475364605</v>
      </c>
      <c r="CV149" s="451"/>
      <c r="CW149" s="443">
        <f t="shared" si="54"/>
        <v>23076</v>
      </c>
      <c r="CX149" s="443">
        <f t="shared" si="55"/>
        <v>5.476</v>
      </c>
    </row>
    <row r="150" spans="1:102" ht="15" customHeight="1">
      <c r="A150" s="436">
        <f t="shared" si="26"/>
        <v>2014</v>
      </c>
      <c r="B150" s="437">
        <f t="shared" si="26"/>
        <v>23362</v>
      </c>
      <c r="C150" s="545">
        <f t="shared" si="69"/>
        <v>10.05843791253395</v>
      </c>
      <c r="D150" s="438">
        <f t="shared" si="27"/>
        <v>9</v>
      </c>
      <c r="E150" s="546">
        <f t="shared" si="70"/>
        <v>2.1972245773362196</v>
      </c>
      <c r="F150" s="540" t="s">
        <v>305</v>
      </c>
      <c r="G150" s="547">
        <f>EXP(G149)</f>
        <v>19970.495463633921</v>
      </c>
      <c r="I150" s="443">
        <f t="shared" si="28"/>
        <v>23263</v>
      </c>
      <c r="J150" s="467">
        <f t="shared" si="29"/>
        <v>0.42376508860542761</v>
      </c>
      <c r="K150" s="443">
        <f t="shared" si="71"/>
        <v>9.8010000000000002</v>
      </c>
      <c r="M150" s="536">
        <f t="shared" si="56"/>
        <v>10.05843791253395</v>
      </c>
      <c r="N150" s="451"/>
      <c r="O150" s="451"/>
      <c r="P150" s="510"/>
      <c r="Q150" s="443">
        <f t="shared" si="30"/>
        <v>23263</v>
      </c>
      <c r="R150" s="443">
        <f t="shared" si="31"/>
        <v>9.8010000000000002</v>
      </c>
      <c r="T150" s="536">
        <f t="shared" si="57"/>
        <v>10.058009591972299</v>
      </c>
      <c r="U150" s="451"/>
      <c r="V150" s="451"/>
      <c r="W150" s="510"/>
      <c r="X150" s="443">
        <f t="shared" si="32"/>
        <v>23263</v>
      </c>
      <c r="Y150" s="443">
        <f t="shared" si="33"/>
        <v>9.8010000000000002</v>
      </c>
      <c r="AA150" s="536">
        <f t="shared" si="58"/>
        <v>10.057581087873528</v>
      </c>
      <c r="AB150" s="451"/>
      <c r="AC150" s="451"/>
      <c r="AD150" s="510"/>
      <c r="AE150" s="443">
        <f t="shared" si="34"/>
        <v>23263</v>
      </c>
      <c r="AF150" s="443">
        <f t="shared" si="35"/>
        <v>9.8010000000000002</v>
      </c>
      <c r="AH150" s="536">
        <f t="shared" si="59"/>
        <v>10.057152400080279</v>
      </c>
      <c r="AI150" s="451"/>
      <c r="AJ150" s="451"/>
      <c r="AK150" s="510"/>
      <c r="AL150" s="443">
        <f t="shared" si="36"/>
        <v>23263</v>
      </c>
      <c r="AM150" s="443">
        <f t="shared" si="37"/>
        <v>9.8010000000000002</v>
      </c>
      <c r="AO150" s="536">
        <f t="shared" si="60"/>
        <v>10.056723528434986</v>
      </c>
      <c r="AP150" s="451"/>
      <c r="AQ150" s="451"/>
      <c r="AR150" s="510"/>
      <c r="AS150" s="443">
        <f t="shared" si="38"/>
        <v>23263</v>
      </c>
      <c r="AT150" s="443">
        <f t="shared" si="39"/>
        <v>9.8010000000000002</v>
      </c>
      <c r="AV150" s="536">
        <f t="shared" si="61"/>
        <v>10.054576406898985</v>
      </c>
      <c r="AW150" s="451"/>
      <c r="AX150" s="451"/>
      <c r="AY150" s="510"/>
      <c r="AZ150" s="443">
        <f t="shared" si="40"/>
        <v>23263</v>
      </c>
      <c r="BA150" s="443">
        <f t="shared" si="41"/>
        <v>9.8010000000000002</v>
      </c>
      <c r="BC150" s="536">
        <f t="shared" si="62"/>
        <v>10.050268283744323</v>
      </c>
      <c r="BD150" s="451"/>
      <c r="BE150" s="451"/>
      <c r="BF150" s="510"/>
      <c r="BG150" s="443">
        <f t="shared" si="42"/>
        <v>23264</v>
      </c>
      <c r="BH150" s="443">
        <f t="shared" si="43"/>
        <v>9.6039999999999992</v>
      </c>
      <c r="BJ150" s="536">
        <f t="shared" si="63"/>
        <v>10.045941520331061</v>
      </c>
      <c r="BK150" s="451"/>
      <c r="BL150" s="451"/>
      <c r="BM150" s="510"/>
      <c r="BN150" s="443">
        <f t="shared" si="44"/>
        <v>23264</v>
      </c>
      <c r="BO150" s="443">
        <f t="shared" si="45"/>
        <v>9.6039999999999992</v>
      </c>
      <c r="BQ150" s="536">
        <f t="shared" si="64"/>
        <v>10.041595954653758</v>
      </c>
      <c r="BR150" s="451"/>
      <c r="BS150" s="451"/>
      <c r="BT150" s="510"/>
      <c r="BU150" s="443">
        <f t="shared" si="46"/>
        <v>23264</v>
      </c>
      <c r="BV150" s="443">
        <f t="shared" si="47"/>
        <v>9.6039999999999992</v>
      </c>
      <c r="BX150" s="536">
        <f t="shared" si="65"/>
        <v>10.037231422585723</v>
      </c>
      <c r="BY150" s="451"/>
      <c r="BZ150" s="451"/>
      <c r="CA150" s="510"/>
      <c r="CB150" s="443">
        <f t="shared" si="48"/>
        <v>23264</v>
      </c>
      <c r="CC150" s="443">
        <f t="shared" si="49"/>
        <v>9.6039999999999992</v>
      </c>
      <c r="CE150" s="536">
        <f t="shared" si="66"/>
        <v>10.015118368707313</v>
      </c>
      <c r="CF150" s="451"/>
      <c r="CG150" s="451"/>
      <c r="CH150" s="510"/>
      <c r="CI150" s="443">
        <f t="shared" si="50"/>
        <v>23264</v>
      </c>
      <c r="CJ150" s="443">
        <f t="shared" si="51"/>
        <v>9.6039999999999992</v>
      </c>
      <c r="CL150" s="536">
        <f t="shared" si="67"/>
        <v>9.9693689216496413</v>
      </c>
      <c r="CM150" s="451"/>
      <c r="CN150" s="451"/>
      <c r="CO150" s="510"/>
      <c r="CP150" s="443">
        <f t="shared" si="52"/>
        <v>23265</v>
      </c>
      <c r="CQ150" s="443">
        <f t="shared" si="53"/>
        <v>9.4090000000000007</v>
      </c>
      <c r="CS150" s="536">
        <f t="shared" si="68"/>
        <v>9.9214256976671411</v>
      </c>
      <c r="CT150" s="451"/>
      <c r="CU150" s="451"/>
      <c r="CV150" s="510"/>
      <c r="CW150" s="443">
        <f t="shared" si="54"/>
        <v>23267</v>
      </c>
      <c r="CX150" s="443">
        <f t="shared" si="55"/>
        <v>9.0250000000000004</v>
      </c>
    </row>
    <row r="151" spans="1:102" ht="15" customHeight="1">
      <c r="A151" s="436">
        <f t="shared" si="26"/>
        <v>2015</v>
      </c>
      <c r="B151" s="437">
        <f t="shared" si="26"/>
        <v>23334</v>
      </c>
      <c r="C151" s="545">
        <f t="shared" si="69"/>
        <v>10.057238152342046</v>
      </c>
      <c r="D151" s="438">
        <f t="shared" si="27"/>
        <v>10</v>
      </c>
      <c r="E151" s="546">
        <f t="shared" si="70"/>
        <v>2.3025850929940459</v>
      </c>
      <c r="H151" s="439"/>
      <c r="I151" s="443">
        <f t="shared" si="28"/>
        <v>23434</v>
      </c>
      <c r="J151" s="467">
        <f t="shared" si="29"/>
        <v>0.42855918402331367</v>
      </c>
      <c r="K151" s="443">
        <f t="shared" si="71"/>
        <v>10</v>
      </c>
      <c r="M151" s="536">
        <f t="shared" si="56"/>
        <v>10.057238152342046</v>
      </c>
      <c r="N151" s="439" t="s">
        <v>386</v>
      </c>
      <c r="O151" s="504">
        <f>P141</f>
        <v>0.93623238031208744</v>
      </c>
      <c r="P151" s="510"/>
      <c r="Q151" s="443">
        <f t="shared" si="30"/>
        <v>23434</v>
      </c>
      <c r="R151" s="443">
        <f t="shared" si="31"/>
        <v>10</v>
      </c>
      <c r="T151" s="536">
        <f t="shared" si="57"/>
        <v>10.056809317479777</v>
      </c>
      <c r="U151" s="439" t="s">
        <v>321</v>
      </c>
      <c r="V151" s="504">
        <f>W141</f>
        <v>0.93619949328303098</v>
      </c>
      <c r="W151" s="510"/>
      <c r="X151" s="443">
        <f t="shared" si="32"/>
        <v>23434</v>
      </c>
      <c r="Y151" s="443">
        <f t="shared" si="33"/>
        <v>10</v>
      </c>
      <c r="AA151" s="536">
        <f t="shared" si="58"/>
        <v>10.056380298639271</v>
      </c>
      <c r="AB151" s="439" t="s">
        <v>321</v>
      </c>
      <c r="AC151" s="504">
        <f>AD141</f>
        <v>0.9361111088900651</v>
      </c>
      <c r="AD151" s="510"/>
      <c r="AE151" s="443">
        <f t="shared" si="34"/>
        <v>23434</v>
      </c>
      <c r="AF151" s="443">
        <f t="shared" si="35"/>
        <v>10</v>
      </c>
      <c r="AH151" s="536">
        <f t="shared" si="59"/>
        <v>10.055951095662596</v>
      </c>
      <c r="AI151" s="439" t="s">
        <v>321</v>
      </c>
      <c r="AJ151" s="504">
        <f>AK141</f>
        <v>0.9361111088900651</v>
      </c>
      <c r="AK151" s="510"/>
      <c r="AL151" s="443">
        <f t="shared" si="36"/>
        <v>23434</v>
      </c>
      <c r="AM151" s="443">
        <f t="shared" si="37"/>
        <v>10</v>
      </c>
      <c r="AO151" s="536">
        <f t="shared" si="60"/>
        <v>10.055521708391627</v>
      </c>
      <c r="AP151" s="439" t="s">
        <v>321</v>
      </c>
      <c r="AQ151" s="504">
        <f>AR141</f>
        <v>0.9361111088900651</v>
      </c>
      <c r="AR151" s="510"/>
      <c r="AS151" s="443">
        <f t="shared" si="38"/>
        <v>23434</v>
      </c>
      <c r="AT151" s="443">
        <f t="shared" si="39"/>
        <v>10</v>
      </c>
      <c r="AV151" s="536">
        <f t="shared" si="61"/>
        <v>10.05337200207342</v>
      </c>
      <c r="AW151" s="439" t="s">
        <v>321</v>
      </c>
      <c r="AX151" s="504">
        <f>AY141</f>
        <v>0.9361111088900651</v>
      </c>
      <c r="AY151" s="510"/>
      <c r="AZ151" s="443">
        <f t="shared" si="40"/>
        <v>23434</v>
      </c>
      <c r="BA151" s="443">
        <f t="shared" si="41"/>
        <v>10</v>
      </c>
      <c r="BC151" s="536">
        <f t="shared" si="62"/>
        <v>10.049058675855347</v>
      </c>
      <c r="BD151" s="439" t="s">
        <v>321</v>
      </c>
      <c r="BE151" s="504">
        <f>BF141</f>
        <v>0.93614175173913294</v>
      </c>
      <c r="BF151" s="510"/>
      <c r="BG151" s="443">
        <f t="shared" si="42"/>
        <v>23434</v>
      </c>
      <c r="BH151" s="443">
        <f t="shared" si="43"/>
        <v>10</v>
      </c>
      <c r="BJ151" s="536">
        <f t="shared" si="63"/>
        <v>10.044726664228852</v>
      </c>
      <c r="BK151" s="439" t="s">
        <v>321</v>
      </c>
      <c r="BL151" s="504">
        <f>BM141</f>
        <v>0.93611509597321629</v>
      </c>
      <c r="BM151" s="510"/>
      <c r="BN151" s="443">
        <f t="shared" si="44"/>
        <v>23434</v>
      </c>
      <c r="BO151" s="443">
        <f t="shared" si="45"/>
        <v>10</v>
      </c>
      <c r="BQ151" s="536">
        <f t="shared" si="64"/>
        <v>10.04037580459825</v>
      </c>
      <c r="BR151" s="439" t="s">
        <v>321</v>
      </c>
      <c r="BS151" s="504">
        <f>BT141</f>
        <v>0.93611509597321629</v>
      </c>
      <c r="BT151" s="510"/>
      <c r="BU151" s="443">
        <f t="shared" si="46"/>
        <v>23434</v>
      </c>
      <c r="BV151" s="443">
        <f t="shared" si="47"/>
        <v>10</v>
      </c>
      <c r="BX151" s="536">
        <f t="shared" si="65"/>
        <v>10.036005932236273</v>
      </c>
      <c r="BY151" s="439" t="s">
        <v>321</v>
      </c>
      <c r="BZ151" s="504">
        <f>CA141</f>
        <v>0.9360615511598509</v>
      </c>
      <c r="CA151" s="510"/>
      <c r="CB151" s="443">
        <f t="shared" si="48"/>
        <v>23434</v>
      </c>
      <c r="CC151" s="443">
        <f t="shared" si="49"/>
        <v>10</v>
      </c>
      <c r="CE151" s="536">
        <f t="shared" si="66"/>
        <v>10.013865460005738</v>
      </c>
      <c r="CF151" s="439" t="s">
        <v>321</v>
      </c>
      <c r="CG151" s="504">
        <f>CH141</f>
        <v>0.93592406943187956</v>
      </c>
      <c r="CH151" s="510"/>
      <c r="CI151" s="443">
        <f t="shared" si="50"/>
        <v>23435</v>
      </c>
      <c r="CJ151" s="443">
        <f t="shared" si="51"/>
        <v>10.201000000000001</v>
      </c>
      <c r="CL151" s="536">
        <f t="shared" si="67"/>
        <v>9.9680573231854286</v>
      </c>
      <c r="CM151" s="439" t="s">
        <v>321</v>
      </c>
      <c r="CN151" s="504">
        <f>CO141</f>
        <v>0.93554507273387588</v>
      </c>
      <c r="CO151" s="510"/>
      <c r="CP151" s="443">
        <f t="shared" si="52"/>
        <v>23437</v>
      </c>
      <c r="CQ151" s="443">
        <f t="shared" si="53"/>
        <v>10.609</v>
      </c>
      <c r="CS151" s="536">
        <f t="shared" si="68"/>
        <v>9.9200496408351064</v>
      </c>
      <c r="CT151" s="439" t="s">
        <v>386</v>
      </c>
      <c r="CU151" s="504">
        <f>CV141</f>
        <v>0.93514123862451048</v>
      </c>
      <c r="CV151" s="510"/>
      <c r="CW151" s="443">
        <f t="shared" si="54"/>
        <v>23439</v>
      </c>
      <c r="CX151" s="443">
        <f t="shared" si="55"/>
        <v>11.025</v>
      </c>
    </row>
    <row r="152" spans="1:102" ht="15" customHeight="1" thickBot="1">
      <c r="A152" s="436">
        <f t="shared" si="26"/>
        <v>2016</v>
      </c>
      <c r="B152" s="437">
        <f t="shared" si="26"/>
        <v>23398</v>
      </c>
      <c r="C152" s="545">
        <f t="shared" si="69"/>
        <v>10.059978349295561</v>
      </c>
      <c r="D152" s="438">
        <f t="shared" si="27"/>
        <v>11</v>
      </c>
      <c r="E152" s="546">
        <f t="shared" si="70"/>
        <v>2.3978952727983707</v>
      </c>
      <c r="I152" s="443">
        <f t="shared" si="28"/>
        <v>23589</v>
      </c>
      <c r="J152" s="467">
        <f t="shared" si="29"/>
        <v>0.81630908624668774</v>
      </c>
      <c r="K152" s="443">
        <f t="shared" si="71"/>
        <v>36.481000000000002</v>
      </c>
      <c r="M152" s="536">
        <f t="shared" si="56"/>
        <v>10.059978349295561</v>
      </c>
      <c r="N152" s="439" t="s">
        <v>387</v>
      </c>
      <c r="O152" s="548">
        <f>SUM(R142:R152)</f>
        <v>846.74799999999982</v>
      </c>
      <c r="P152" s="509"/>
      <c r="Q152" s="443">
        <f t="shared" si="30"/>
        <v>23589</v>
      </c>
      <c r="R152" s="443">
        <f t="shared" si="31"/>
        <v>36.481000000000002</v>
      </c>
      <c r="T152" s="536">
        <f t="shared" si="57"/>
        <v>10.059550688167716</v>
      </c>
      <c r="U152" s="439" t="s">
        <v>387</v>
      </c>
      <c r="V152" s="548">
        <f>SUM(Y142:Y152)</f>
        <v>847.13299999999992</v>
      </c>
      <c r="W152" s="509"/>
      <c r="X152" s="443">
        <f t="shared" si="32"/>
        <v>23589</v>
      </c>
      <c r="Y152" s="443">
        <f t="shared" si="33"/>
        <v>36.481000000000002</v>
      </c>
      <c r="AA152" s="536">
        <f t="shared" si="58"/>
        <v>10.059122844067577</v>
      </c>
      <c r="AB152" s="439" t="s">
        <v>387</v>
      </c>
      <c r="AC152" s="548">
        <f>SUM(AF142:AF152)</f>
        <v>848.33799999999985</v>
      </c>
      <c r="AD152" s="509"/>
      <c r="AE152" s="443">
        <f t="shared" si="34"/>
        <v>23589</v>
      </c>
      <c r="AF152" s="443">
        <f t="shared" si="35"/>
        <v>36.481000000000002</v>
      </c>
      <c r="AH152" s="536">
        <f t="shared" si="59"/>
        <v>10.058694816838511</v>
      </c>
      <c r="AI152" s="439" t="s">
        <v>387</v>
      </c>
      <c r="AJ152" s="548">
        <f>SUM(AM142:AM152)</f>
        <v>848.33799999999985</v>
      </c>
      <c r="AK152" s="509"/>
      <c r="AL152" s="443">
        <f t="shared" si="36"/>
        <v>23589</v>
      </c>
      <c r="AM152" s="443">
        <f t="shared" si="37"/>
        <v>36.481000000000002</v>
      </c>
      <c r="AO152" s="536">
        <f t="shared" si="60"/>
        <v>10.058266606323683</v>
      </c>
      <c r="AP152" s="439" t="s">
        <v>387</v>
      </c>
      <c r="AQ152" s="548">
        <f>SUM(AT142:AT152)</f>
        <v>848.33799999999985</v>
      </c>
      <c r="AR152" s="509"/>
      <c r="AS152" s="443">
        <f t="shared" si="38"/>
        <v>23589</v>
      </c>
      <c r="AT152" s="443">
        <f t="shared" si="39"/>
        <v>36.481000000000002</v>
      </c>
      <c r="AV152" s="536">
        <f t="shared" si="61"/>
        <v>10.056122798959722</v>
      </c>
      <c r="AW152" s="439" t="s">
        <v>387</v>
      </c>
      <c r="AX152" s="548">
        <f>SUM(BA142:BA152)</f>
        <v>848.33799999999985</v>
      </c>
      <c r="AY152" s="509"/>
      <c r="AZ152" s="443">
        <f t="shared" si="40"/>
        <v>23589</v>
      </c>
      <c r="BA152" s="443">
        <f t="shared" si="41"/>
        <v>36.481000000000002</v>
      </c>
      <c r="BC152" s="536">
        <f t="shared" si="62"/>
        <v>10.051821347041821</v>
      </c>
      <c r="BD152" s="439" t="s">
        <v>387</v>
      </c>
      <c r="BE152" s="548">
        <f>SUM(BH142:BH152)</f>
        <v>847.99599999999987</v>
      </c>
      <c r="BF152" s="509"/>
      <c r="BG152" s="443">
        <f t="shared" si="42"/>
        <v>23589</v>
      </c>
      <c r="BH152" s="443">
        <f t="shared" si="43"/>
        <v>36.481000000000002</v>
      </c>
      <c r="BJ152" s="536">
        <f t="shared" si="63"/>
        <v>10.047501312675033</v>
      </c>
      <c r="BK152" s="439" t="s">
        <v>387</v>
      </c>
      <c r="BL152" s="548">
        <f>SUM(BO142:BO152)</f>
        <v>848.37899999999991</v>
      </c>
      <c r="BM152" s="509"/>
      <c r="BN152" s="443">
        <f t="shared" si="44"/>
        <v>23590</v>
      </c>
      <c r="BO152" s="443">
        <f t="shared" si="45"/>
        <v>36.863999999999997</v>
      </c>
      <c r="BQ152" s="536">
        <f t="shared" si="64"/>
        <v>10.04316253460861</v>
      </c>
      <c r="BR152" s="439" t="s">
        <v>387</v>
      </c>
      <c r="BS152" s="548">
        <f>SUM(BV142:BV152)</f>
        <v>848.37899999999991</v>
      </c>
      <c r="BT152" s="509"/>
      <c r="BU152" s="443">
        <f t="shared" si="46"/>
        <v>23590</v>
      </c>
      <c r="BV152" s="443">
        <f t="shared" si="47"/>
        <v>36.863999999999997</v>
      </c>
      <c r="BX152" s="536">
        <f t="shared" si="65"/>
        <v>10.038804849483757</v>
      </c>
      <c r="BY152" s="439" t="s">
        <v>387</v>
      </c>
      <c r="BZ152" s="548">
        <f>SUM(CC142:CC152)</f>
        <v>849.10799999999995</v>
      </c>
      <c r="CA152" s="509"/>
      <c r="CB152" s="443">
        <f t="shared" si="48"/>
        <v>23590</v>
      </c>
      <c r="CC152" s="443">
        <f t="shared" si="49"/>
        <v>36.863999999999997</v>
      </c>
      <c r="CE152" s="536">
        <f t="shared" si="66"/>
        <v>10.016726948142638</v>
      </c>
      <c r="CF152" s="439" t="s">
        <v>387</v>
      </c>
      <c r="CG152" s="548">
        <f>SUM(CJ142:CJ152)</f>
        <v>851.00199999999995</v>
      </c>
      <c r="CH152" s="509"/>
      <c r="CI152" s="443">
        <f t="shared" si="50"/>
        <v>23591</v>
      </c>
      <c r="CJ152" s="443">
        <f t="shared" si="51"/>
        <v>37.249000000000002</v>
      </c>
      <c r="CL152" s="536">
        <f t="shared" si="67"/>
        <v>9.9710527386985515</v>
      </c>
      <c r="CM152" s="439" t="s">
        <v>387</v>
      </c>
      <c r="CN152" s="548">
        <f>SUM(CQ142:CQ152)</f>
        <v>856.28</v>
      </c>
      <c r="CO152" s="509"/>
      <c r="CP152" s="443">
        <f t="shared" si="52"/>
        <v>23594</v>
      </c>
      <c r="CQ152" s="443">
        <f t="shared" si="53"/>
        <v>38.415999999999997</v>
      </c>
      <c r="CS152" s="536">
        <f t="shared" si="68"/>
        <v>9.9231921358104636</v>
      </c>
      <c r="CT152" s="439" t="s">
        <v>387</v>
      </c>
      <c r="CU152" s="548">
        <f>SUM(CX142:CX152)</f>
        <v>861.9079999999999</v>
      </c>
      <c r="CV152" s="509"/>
      <c r="CW152" s="443">
        <f t="shared" si="54"/>
        <v>23596</v>
      </c>
      <c r="CX152" s="443">
        <f t="shared" si="55"/>
        <v>39.204000000000001</v>
      </c>
    </row>
    <row r="153" spans="1:102" ht="15" customHeight="1" thickTop="1">
      <c r="A153" s="458">
        <f t="shared" si="26"/>
        <v>2017</v>
      </c>
      <c r="B153" s="459">
        <f>ROUND($G$147+$G$150*D153^$G$148,$G$1)</f>
        <v>23731</v>
      </c>
      <c r="C153" s="549"/>
      <c r="D153" s="550">
        <f t="shared" si="27"/>
        <v>12</v>
      </c>
      <c r="E153" s="551"/>
      <c r="F153" s="2314" t="s">
        <v>388</v>
      </c>
      <c r="G153" s="2315"/>
      <c r="H153" s="514">
        <f>I141</f>
        <v>0.93623238031208744</v>
      </c>
      <c r="I153" s="464">
        <f t="shared" si="28"/>
        <v>23731</v>
      </c>
      <c r="J153" s="463"/>
      <c r="K153" s="464"/>
      <c r="M153" s="552"/>
      <c r="N153" s="553"/>
      <c r="O153" s="554"/>
      <c r="P153" s="331"/>
      <c r="Q153" s="555"/>
      <c r="R153" s="556"/>
      <c r="T153" s="552"/>
      <c r="U153" s="553"/>
      <c r="V153" s="554"/>
      <c r="W153" s="331"/>
      <c r="X153" s="555"/>
      <c r="Y153" s="556"/>
      <c r="AA153" s="552"/>
      <c r="AB153" s="553"/>
      <c r="AC153" s="554"/>
      <c r="AD153" s="331"/>
      <c r="AE153" s="555"/>
      <c r="AF153" s="556"/>
      <c r="AH153" s="552"/>
      <c r="AI153" s="553"/>
      <c r="AJ153" s="554"/>
      <c r="AK153" s="331"/>
      <c r="AL153" s="555"/>
      <c r="AM153" s="556"/>
      <c r="AO153" s="552"/>
      <c r="AP153" s="553"/>
      <c r="AQ153" s="554"/>
      <c r="AR153" s="331"/>
      <c r="AS153" s="555"/>
      <c r="AT153" s="556"/>
      <c r="AV153" s="552"/>
      <c r="AW153" s="553"/>
      <c r="AX153" s="554"/>
      <c r="AY153" s="331"/>
      <c r="AZ153" s="555"/>
      <c r="BA153" s="556"/>
      <c r="BC153" s="552"/>
      <c r="BD153" s="553"/>
      <c r="BE153" s="554"/>
      <c r="BF153" s="331"/>
      <c r="BG153" s="555"/>
      <c r="BH153" s="556"/>
      <c r="BJ153" s="552"/>
      <c r="BK153" s="553"/>
      <c r="BL153" s="554"/>
      <c r="BM153" s="331"/>
      <c r="BN153" s="555"/>
      <c r="BO153" s="556"/>
      <c r="BQ153" s="552"/>
      <c r="BR153" s="553"/>
      <c r="BS153" s="554"/>
      <c r="BT153" s="331"/>
      <c r="BU153" s="555"/>
      <c r="BV153" s="556"/>
      <c r="BX153" s="552"/>
      <c r="BY153" s="553"/>
      <c r="BZ153" s="554"/>
      <c r="CA153" s="331"/>
      <c r="CB153" s="555"/>
      <c r="CC153" s="556"/>
      <c r="CE153" s="552"/>
      <c r="CF153" s="553"/>
      <c r="CG153" s="554"/>
      <c r="CH153" s="331"/>
      <c r="CI153" s="555"/>
      <c r="CJ153" s="556"/>
      <c r="CL153" s="552"/>
      <c r="CM153" s="553"/>
      <c r="CN153" s="554"/>
      <c r="CO153" s="331"/>
      <c r="CP153" s="555"/>
      <c r="CQ153" s="556"/>
      <c r="CS153" s="552"/>
      <c r="CT153" s="553"/>
      <c r="CU153" s="554"/>
      <c r="CV153" s="331"/>
      <c r="CW153" s="555"/>
      <c r="CX153" s="556"/>
    </row>
    <row r="154" spans="1:102" ht="15" customHeight="1">
      <c r="A154" s="436">
        <f t="shared" si="26"/>
        <v>2018</v>
      </c>
      <c r="B154" s="437">
        <f>ROUND($G$147+$G$150*D154^$G$148,$G$1)</f>
        <v>23863</v>
      </c>
      <c r="C154" s="545"/>
      <c r="D154" s="438">
        <f t="shared" si="27"/>
        <v>13</v>
      </c>
      <c r="E154" s="546"/>
      <c r="F154" s="2318" t="s">
        <v>323</v>
      </c>
      <c r="G154" s="2320"/>
      <c r="H154" s="448">
        <f>SUM(K142:K152)</f>
        <v>846.74799999999982</v>
      </c>
      <c r="I154" s="443">
        <f t="shared" si="28"/>
        <v>23863</v>
      </c>
      <c r="J154" s="467"/>
      <c r="K154" s="443"/>
      <c r="M154" s="557"/>
      <c r="N154" s="439"/>
      <c r="O154" s="548"/>
      <c r="P154" s="451"/>
      <c r="Q154" s="493"/>
      <c r="R154" s="492"/>
      <c r="T154" s="557"/>
      <c r="U154" s="439"/>
      <c r="V154" s="548"/>
      <c r="W154" s="451"/>
      <c r="X154" s="493"/>
      <c r="Y154" s="492"/>
      <c r="AA154" s="557"/>
      <c r="AB154" s="439"/>
      <c r="AC154" s="548"/>
      <c r="AD154" s="451"/>
      <c r="AE154" s="493"/>
      <c r="AF154" s="492"/>
      <c r="AH154" s="557"/>
      <c r="AI154" s="439"/>
      <c r="AJ154" s="548"/>
      <c r="AK154" s="451"/>
      <c r="AL154" s="493"/>
      <c r="AM154" s="492"/>
      <c r="AO154" s="557"/>
      <c r="AP154" s="439"/>
      <c r="AQ154" s="548"/>
      <c r="AR154" s="451"/>
      <c r="AS154" s="493"/>
      <c r="AT154" s="492"/>
      <c r="AV154" s="557"/>
      <c r="AW154" s="439"/>
      <c r="AX154" s="548"/>
      <c r="AY154" s="451"/>
      <c r="AZ154" s="493"/>
      <c r="BA154" s="492"/>
      <c r="BC154" s="557"/>
      <c r="BD154" s="439"/>
      <c r="BE154" s="548"/>
      <c r="BF154" s="451"/>
      <c r="BG154" s="493"/>
      <c r="BH154" s="492"/>
      <c r="BJ154" s="557"/>
      <c r="BK154" s="439"/>
      <c r="BL154" s="548"/>
      <c r="BM154" s="451"/>
      <c r="BN154" s="493"/>
      <c r="BO154" s="492"/>
      <c r="BQ154" s="557"/>
      <c r="BR154" s="439"/>
      <c r="BS154" s="548"/>
      <c r="BT154" s="451"/>
      <c r="BU154" s="493"/>
      <c r="BV154" s="492"/>
      <c r="BX154" s="557"/>
      <c r="BY154" s="439"/>
      <c r="BZ154" s="548"/>
      <c r="CA154" s="451"/>
      <c r="CB154" s="493"/>
      <c r="CC154" s="492"/>
      <c r="CE154" s="557"/>
      <c r="CF154" s="439"/>
      <c r="CG154" s="548"/>
      <c r="CH154" s="451"/>
      <c r="CI154" s="493"/>
      <c r="CJ154" s="492"/>
      <c r="CL154" s="557"/>
      <c r="CM154" s="439"/>
      <c r="CN154" s="548"/>
      <c r="CO154" s="451"/>
      <c r="CP154" s="493"/>
      <c r="CQ154" s="492"/>
      <c r="CS154" s="557"/>
      <c r="CT154" s="439"/>
      <c r="CU154" s="548"/>
      <c r="CV154" s="451"/>
      <c r="CW154" s="493"/>
      <c r="CX154" s="492"/>
    </row>
    <row r="155" spans="1:102" ht="15" customHeight="1">
      <c r="A155" s="436">
        <f t="shared" si="26"/>
        <v>2019</v>
      </c>
      <c r="B155" s="437">
        <f t="shared" ref="B155:B174" si="72">ROUND($G$147+$G$150*D155^$G$148,$G$1)</f>
        <v>23986</v>
      </c>
      <c r="C155" s="545"/>
      <c r="D155" s="438">
        <f t="shared" si="27"/>
        <v>14</v>
      </c>
      <c r="E155" s="546"/>
      <c r="F155" s="2318" t="s">
        <v>324</v>
      </c>
      <c r="G155" s="2320"/>
      <c r="H155" s="449">
        <f>SUM(J142:J152)/D152</f>
        <v>1.0376525133827126</v>
      </c>
      <c r="I155" s="443">
        <f t="shared" si="28"/>
        <v>23986</v>
      </c>
      <c r="J155" s="467"/>
      <c r="K155" s="443"/>
      <c r="M155" s="505" t="s">
        <v>325</v>
      </c>
      <c r="N155" s="505">
        <f>MIN(B142:B152)</f>
        <v>19788</v>
      </c>
      <c r="O155" s="505"/>
      <c r="P155" s="505"/>
      <c r="Q155" s="505"/>
      <c r="R155" s="505"/>
      <c r="S155" s="505"/>
      <c r="T155" s="505" t="s">
        <v>325</v>
      </c>
      <c r="U155" s="505">
        <f>N155</f>
        <v>19788</v>
      </c>
      <c r="V155" s="505"/>
      <c r="W155" s="505"/>
      <c r="X155" s="505"/>
      <c r="Y155" s="505"/>
      <c r="Z155" s="505"/>
      <c r="AA155" s="505" t="s">
        <v>325</v>
      </c>
      <c r="AB155" s="505">
        <f>U155</f>
        <v>19788</v>
      </c>
      <c r="AH155" s="505" t="s">
        <v>325</v>
      </c>
      <c r="AI155" s="505">
        <f>AB155</f>
        <v>19788</v>
      </c>
      <c r="AO155" s="505" t="s">
        <v>325</v>
      </c>
      <c r="AP155" s="505">
        <f>AI155</f>
        <v>19788</v>
      </c>
      <c r="AV155" s="505" t="s">
        <v>325</v>
      </c>
      <c r="AW155" s="505">
        <f>AP155</f>
        <v>19788</v>
      </c>
      <c r="BC155" s="505" t="s">
        <v>325</v>
      </c>
      <c r="BD155" s="505">
        <f>AW155</f>
        <v>19788</v>
      </c>
      <c r="BJ155" s="505" t="s">
        <v>325</v>
      </c>
      <c r="BK155" s="505">
        <f>BD155</f>
        <v>19788</v>
      </c>
      <c r="BQ155" s="505" t="s">
        <v>325</v>
      </c>
      <c r="BR155" s="505">
        <f>BK155</f>
        <v>19788</v>
      </c>
      <c r="BX155" s="505" t="s">
        <v>325</v>
      </c>
      <c r="BY155" s="505">
        <f>BR155</f>
        <v>19788</v>
      </c>
      <c r="CE155" s="505" t="s">
        <v>325</v>
      </c>
      <c r="CF155" s="505">
        <f>BY155</f>
        <v>19788</v>
      </c>
      <c r="CL155" s="505" t="s">
        <v>325</v>
      </c>
      <c r="CM155" s="505">
        <f>CF155</f>
        <v>19788</v>
      </c>
      <c r="CS155" s="505" t="s">
        <v>325</v>
      </c>
      <c r="CT155" s="505">
        <f>CM155</f>
        <v>19788</v>
      </c>
    </row>
    <row r="156" spans="1:102" ht="15" customHeight="1">
      <c r="A156" s="436">
        <f t="shared" si="26"/>
        <v>2020</v>
      </c>
      <c r="B156" s="437">
        <f t="shared" si="72"/>
        <v>24101</v>
      </c>
      <c r="C156" s="545"/>
      <c r="D156" s="438">
        <f t="shared" si="27"/>
        <v>15</v>
      </c>
      <c r="E156" s="546"/>
      <c r="I156" s="443">
        <f t="shared" si="28"/>
        <v>24101</v>
      </c>
      <c r="J156" s="467"/>
      <c r="K156" s="443"/>
      <c r="M156" s="505" t="s">
        <v>326</v>
      </c>
      <c r="N156" s="505">
        <v>3</v>
      </c>
      <c r="O156" s="505"/>
      <c r="P156" s="505"/>
      <c r="Q156" s="505"/>
      <c r="R156" s="505"/>
      <c r="S156" s="505"/>
      <c r="T156" s="505" t="s">
        <v>326</v>
      </c>
      <c r="U156" s="505">
        <f>N156</f>
        <v>3</v>
      </c>
      <c r="V156" s="505"/>
      <c r="W156" s="505"/>
      <c r="X156" s="505"/>
      <c r="Y156" s="505"/>
      <c r="Z156" s="505"/>
      <c r="AA156" s="505" t="s">
        <v>326</v>
      </c>
      <c r="AB156" s="505">
        <f>U156</f>
        <v>3</v>
      </c>
      <c r="AH156" s="505" t="s">
        <v>326</v>
      </c>
      <c r="AI156" s="505">
        <f>AB156</f>
        <v>3</v>
      </c>
      <c r="AO156" s="505" t="s">
        <v>326</v>
      </c>
      <c r="AP156" s="505">
        <f>AI156</f>
        <v>3</v>
      </c>
      <c r="AV156" s="505" t="s">
        <v>326</v>
      </c>
      <c r="AW156" s="505">
        <f>AP156</f>
        <v>3</v>
      </c>
      <c r="BC156" s="505" t="s">
        <v>326</v>
      </c>
      <c r="BD156" s="505">
        <f>AW156</f>
        <v>3</v>
      </c>
      <c r="BJ156" s="505" t="s">
        <v>326</v>
      </c>
      <c r="BK156" s="505">
        <f>BD156</f>
        <v>3</v>
      </c>
      <c r="BQ156" s="505" t="s">
        <v>326</v>
      </c>
      <c r="BR156" s="505">
        <f>BK156</f>
        <v>3</v>
      </c>
      <c r="BX156" s="505" t="s">
        <v>326</v>
      </c>
      <c r="BY156" s="505">
        <f>BR156</f>
        <v>3</v>
      </c>
      <c r="CE156" s="505" t="s">
        <v>326</v>
      </c>
      <c r="CF156" s="505">
        <f>BY156</f>
        <v>3</v>
      </c>
      <c r="CL156" s="505" t="s">
        <v>326</v>
      </c>
      <c r="CM156" s="505">
        <f>CF156</f>
        <v>3</v>
      </c>
      <c r="CS156" s="505" t="s">
        <v>326</v>
      </c>
      <c r="CT156" s="505">
        <f>CM156</f>
        <v>3</v>
      </c>
    </row>
    <row r="157" spans="1:102" ht="15" customHeight="1">
      <c r="A157" s="436">
        <f t="shared" si="26"/>
        <v>2021</v>
      </c>
      <c r="B157" s="437">
        <f t="shared" si="72"/>
        <v>24209</v>
      </c>
      <c r="C157" s="545"/>
      <c r="D157" s="438">
        <f t="shared" si="27"/>
        <v>16</v>
      </c>
      <c r="E157" s="546"/>
      <c r="F157" s="519"/>
      <c r="G157" s="451"/>
      <c r="H157" s="558"/>
      <c r="I157" s="443">
        <f t="shared" si="28"/>
        <v>24209</v>
      </c>
      <c r="J157" s="467"/>
      <c r="K157" s="443"/>
      <c r="M157" s="505" t="s">
        <v>329</v>
      </c>
      <c r="N157" s="559">
        <v>150</v>
      </c>
      <c r="O157" s="505"/>
      <c r="P157" s="505"/>
      <c r="Q157" s="505"/>
      <c r="R157" s="505"/>
      <c r="S157" s="505"/>
      <c r="T157" s="505" t="s">
        <v>329</v>
      </c>
      <c r="U157" s="505">
        <f>N157</f>
        <v>150</v>
      </c>
      <c r="V157" s="505"/>
      <c r="W157" s="505"/>
      <c r="X157" s="505"/>
      <c r="Y157" s="505"/>
      <c r="Z157" s="505"/>
      <c r="AA157" s="505" t="s">
        <v>329</v>
      </c>
      <c r="AB157" s="505">
        <f>U157</f>
        <v>150</v>
      </c>
      <c r="AH157" s="505" t="s">
        <v>329</v>
      </c>
      <c r="AI157" s="505">
        <v>500</v>
      </c>
      <c r="AO157" s="505" t="s">
        <v>329</v>
      </c>
      <c r="AP157" s="505">
        <f>AI157</f>
        <v>500</v>
      </c>
      <c r="AV157" s="505" t="s">
        <v>329</v>
      </c>
      <c r="AW157" s="505">
        <f>AP157</f>
        <v>500</v>
      </c>
      <c r="BC157" s="505" t="s">
        <v>329</v>
      </c>
      <c r="BD157" s="505">
        <f>AW157</f>
        <v>500</v>
      </c>
      <c r="BJ157" s="505" t="s">
        <v>329</v>
      </c>
      <c r="BK157" s="505">
        <f>BD157</f>
        <v>500</v>
      </c>
      <c r="BQ157" s="505" t="s">
        <v>329</v>
      </c>
      <c r="BR157" s="505">
        <f>BK157</f>
        <v>500</v>
      </c>
      <c r="BX157" s="505" t="s">
        <v>329</v>
      </c>
      <c r="BY157" s="505">
        <f>BR157</f>
        <v>500</v>
      </c>
      <c r="CE157" s="505" t="s">
        <v>329</v>
      </c>
      <c r="CF157" s="505">
        <f>BY157</f>
        <v>500</v>
      </c>
      <c r="CL157" s="505" t="s">
        <v>329</v>
      </c>
      <c r="CM157" s="505">
        <f>CF157</f>
        <v>500</v>
      </c>
      <c r="CS157" s="505" t="s">
        <v>389</v>
      </c>
      <c r="CT157" s="505">
        <f>CM157</f>
        <v>500</v>
      </c>
    </row>
    <row r="158" spans="1:102" ht="15" customHeight="1" thickBot="1">
      <c r="A158" s="436">
        <f t="shared" ref="A158:A174" si="73">A120</f>
        <v>2022</v>
      </c>
      <c r="B158" s="437">
        <f t="shared" si="72"/>
        <v>24311</v>
      </c>
      <c r="C158" s="545"/>
      <c r="D158" s="438">
        <f t="shared" si="27"/>
        <v>17</v>
      </c>
      <c r="E158" s="546"/>
      <c r="F158" s="560" t="s">
        <v>331</v>
      </c>
      <c r="G158" s="561" t="s">
        <v>332</v>
      </c>
      <c r="H158" s="562" t="s">
        <v>294</v>
      </c>
      <c r="I158" s="443">
        <f t="shared" si="28"/>
        <v>24311</v>
      </c>
      <c r="J158" s="467"/>
      <c r="K158" s="443"/>
      <c r="M158" s="557"/>
      <c r="N158" s="451"/>
      <c r="O158" s="451"/>
      <c r="P158" s="451"/>
      <c r="Q158" s="493"/>
      <c r="R158" s="492"/>
      <c r="T158" s="557"/>
      <c r="U158" s="451"/>
      <c r="V158" s="451"/>
      <c r="W158" s="451"/>
      <c r="X158" s="493"/>
      <c r="Y158" s="492"/>
      <c r="AA158" s="557"/>
      <c r="AB158" s="451"/>
      <c r="AC158" s="451"/>
      <c r="AD158" s="451"/>
      <c r="AE158" s="493"/>
      <c r="AF158" s="492"/>
      <c r="AH158" s="557"/>
      <c r="AI158" s="451"/>
      <c r="AJ158" s="451"/>
      <c r="AK158" s="451"/>
      <c r="AL158" s="493"/>
      <c r="AM158" s="492"/>
      <c r="AO158" s="557"/>
      <c r="AP158" s="451"/>
      <c r="AQ158" s="451"/>
      <c r="AR158" s="451"/>
      <c r="AS158" s="493"/>
      <c r="AT158" s="492"/>
      <c r="AV158" s="557"/>
      <c r="AW158" s="451"/>
      <c r="AX158" s="451"/>
      <c r="AY158" s="451"/>
      <c r="AZ158" s="493"/>
      <c r="BA158" s="492"/>
      <c r="BC158" s="557"/>
      <c r="BD158" s="451"/>
      <c r="BE158" s="451"/>
      <c r="BF158" s="451"/>
      <c r="BG158" s="493"/>
      <c r="BH158" s="492"/>
      <c r="BJ158" s="557"/>
      <c r="BK158" s="451"/>
      <c r="BL158" s="451"/>
      <c r="BM158" s="451"/>
      <c r="BN158" s="493"/>
      <c r="BO158" s="492"/>
      <c r="BQ158" s="557"/>
      <c r="BR158" s="451"/>
      <c r="BS158" s="451"/>
      <c r="BT158" s="451"/>
      <c r="BU158" s="493"/>
      <c r="BV158" s="492"/>
      <c r="BX158" s="557"/>
      <c r="BY158" s="451"/>
      <c r="BZ158" s="451"/>
      <c r="CA158" s="451"/>
      <c r="CB158" s="493"/>
      <c r="CC158" s="492"/>
      <c r="CE158" s="557"/>
      <c r="CF158" s="451"/>
      <c r="CG158" s="451"/>
      <c r="CH158" s="451"/>
      <c r="CI158" s="493"/>
      <c r="CJ158" s="492"/>
      <c r="CL158" s="557"/>
      <c r="CM158" s="451"/>
      <c r="CN158" s="451"/>
      <c r="CO158" s="451"/>
      <c r="CP158" s="493"/>
      <c r="CQ158" s="492"/>
      <c r="CS158" s="557"/>
      <c r="CT158" s="451"/>
      <c r="CU158" s="451"/>
      <c r="CV158" s="451"/>
      <c r="CW158" s="493"/>
      <c r="CX158" s="492"/>
    </row>
    <row r="159" spans="1:102" ht="15" customHeight="1" thickTop="1">
      <c r="A159" s="436">
        <f t="shared" si="73"/>
        <v>2023</v>
      </c>
      <c r="B159" s="437">
        <f t="shared" si="72"/>
        <v>24407</v>
      </c>
      <c r="C159" s="545"/>
      <c r="D159" s="438">
        <f t="shared" si="27"/>
        <v>18</v>
      </c>
      <c r="E159" s="546"/>
      <c r="F159" s="505">
        <v>10</v>
      </c>
      <c r="G159" s="563">
        <f>IFERROR(O151,0)</f>
        <v>0.93623238031208744</v>
      </c>
      <c r="H159" s="564">
        <f>O152</f>
        <v>846.74799999999982</v>
      </c>
      <c r="I159" s="443">
        <f t="shared" si="28"/>
        <v>24407</v>
      </c>
      <c r="J159" s="467"/>
      <c r="K159" s="443"/>
      <c r="L159" s="326">
        <f>RANK(G159,$G$159:$G$171)</f>
        <v>1</v>
      </c>
      <c r="M159" s="557"/>
      <c r="N159" s="451"/>
      <c r="O159" s="451"/>
      <c r="P159" s="451"/>
      <c r="Q159" s="493"/>
      <c r="R159" s="492"/>
      <c r="T159" s="557"/>
      <c r="U159" s="451"/>
      <c r="V159" s="451"/>
      <c r="W159" s="451"/>
      <c r="X159" s="493"/>
      <c r="Y159" s="492"/>
      <c r="AA159" s="557"/>
      <c r="AB159" s="451"/>
      <c r="AC159" s="451"/>
      <c r="AD159" s="451"/>
      <c r="AE159" s="493"/>
      <c r="AF159" s="492"/>
      <c r="AH159" s="557"/>
      <c r="AI159" s="451"/>
      <c r="AJ159" s="451"/>
      <c r="AK159" s="451"/>
      <c r="AL159" s="493"/>
      <c r="AM159" s="492"/>
      <c r="AO159" s="557"/>
      <c r="AP159" s="451"/>
      <c r="AQ159" s="451"/>
      <c r="AR159" s="451"/>
      <c r="AS159" s="493"/>
      <c r="AT159" s="492"/>
      <c r="AV159" s="557"/>
      <c r="AW159" s="451"/>
      <c r="AX159" s="451"/>
      <c r="AY159" s="451"/>
      <c r="AZ159" s="493"/>
      <c r="BA159" s="492"/>
      <c r="BC159" s="557"/>
      <c r="BD159" s="451"/>
      <c r="BE159" s="451"/>
      <c r="BF159" s="451"/>
      <c r="BG159" s="493"/>
      <c r="BH159" s="492"/>
      <c r="BJ159" s="557"/>
      <c r="BK159" s="451"/>
      <c r="BL159" s="451"/>
      <c r="BM159" s="451"/>
      <c r="BN159" s="493"/>
      <c r="BO159" s="492"/>
      <c r="BQ159" s="557"/>
      <c r="BR159" s="451"/>
      <c r="BS159" s="451"/>
      <c r="BT159" s="451"/>
      <c r="BU159" s="493"/>
      <c r="BV159" s="492"/>
      <c r="BX159" s="557"/>
      <c r="BY159" s="451"/>
      <c r="BZ159" s="451"/>
      <c r="CA159" s="451"/>
      <c r="CB159" s="493"/>
      <c r="CC159" s="492"/>
      <c r="CE159" s="557"/>
      <c r="CF159" s="451"/>
      <c r="CG159" s="451"/>
      <c r="CH159" s="451"/>
      <c r="CI159" s="493"/>
      <c r="CJ159" s="492"/>
      <c r="CL159" s="557"/>
      <c r="CM159" s="451"/>
      <c r="CN159" s="451"/>
      <c r="CO159" s="451"/>
      <c r="CP159" s="493"/>
      <c r="CQ159" s="492"/>
      <c r="CS159" s="557"/>
      <c r="CT159" s="451"/>
      <c r="CU159" s="451"/>
      <c r="CV159" s="451"/>
      <c r="CW159" s="493"/>
      <c r="CX159" s="492"/>
    </row>
    <row r="160" spans="1:102" s="451" customFormat="1" ht="15" customHeight="1">
      <c r="A160" s="436">
        <f t="shared" si="73"/>
        <v>2024</v>
      </c>
      <c r="B160" s="437">
        <f t="shared" si="72"/>
        <v>24499</v>
      </c>
      <c r="C160" s="545"/>
      <c r="D160" s="438">
        <f t="shared" si="27"/>
        <v>19</v>
      </c>
      <c r="E160" s="546"/>
      <c r="F160" s="505">
        <v>20</v>
      </c>
      <c r="G160" s="565">
        <f>IFERROR(V151,0)</f>
        <v>0.93619949328303098</v>
      </c>
      <c r="H160" s="564">
        <f>V152</f>
        <v>847.13299999999992</v>
      </c>
      <c r="I160" s="443">
        <f t="shared" si="28"/>
        <v>24499</v>
      </c>
      <c r="J160" s="467"/>
      <c r="K160" s="443"/>
      <c r="L160" s="326">
        <f t="shared" ref="L160:L171" si="74">RANK(G160,$G$159:$G$171)</f>
        <v>2</v>
      </c>
      <c r="M160" s="557"/>
      <c r="P160" s="439"/>
      <c r="Q160" s="493"/>
      <c r="R160" s="492"/>
      <c r="T160" s="557"/>
      <c r="W160" s="439"/>
      <c r="X160" s="493"/>
      <c r="Y160" s="492"/>
      <c r="AA160" s="557"/>
      <c r="AD160" s="439"/>
      <c r="AE160" s="493"/>
      <c r="AF160" s="492"/>
      <c r="AH160" s="557"/>
      <c r="AK160" s="439"/>
      <c r="AL160" s="493"/>
      <c r="AM160" s="492"/>
      <c r="AO160" s="557"/>
      <c r="AR160" s="439"/>
      <c r="AS160" s="493"/>
      <c r="AT160" s="492"/>
      <c r="AV160" s="557"/>
      <c r="AY160" s="439"/>
      <c r="AZ160" s="493"/>
      <c r="BA160" s="492"/>
      <c r="BC160" s="557"/>
      <c r="BF160" s="439"/>
      <c r="BG160" s="493"/>
      <c r="BH160" s="492"/>
      <c r="BJ160" s="557"/>
      <c r="BM160" s="439"/>
      <c r="BN160" s="493"/>
      <c r="BO160" s="492"/>
      <c r="BQ160" s="557"/>
      <c r="BT160" s="439"/>
      <c r="BU160" s="493"/>
      <c r="BV160" s="492"/>
      <c r="BX160" s="557"/>
      <c r="CA160" s="439"/>
      <c r="CB160" s="493"/>
      <c r="CC160" s="492"/>
      <c r="CE160" s="557"/>
      <c r="CH160" s="439"/>
      <c r="CI160" s="493"/>
      <c r="CJ160" s="492"/>
      <c r="CL160" s="557"/>
      <c r="CO160" s="439"/>
      <c r="CP160" s="493"/>
      <c r="CQ160" s="492"/>
      <c r="CS160" s="557"/>
      <c r="CV160" s="439"/>
      <c r="CW160" s="493"/>
      <c r="CX160" s="492"/>
    </row>
    <row r="161" spans="1:102" ht="15" customHeight="1">
      <c r="A161" s="436">
        <f t="shared" si="73"/>
        <v>2025</v>
      </c>
      <c r="B161" s="437">
        <f t="shared" si="72"/>
        <v>24586</v>
      </c>
      <c r="C161" s="545"/>
      <c r="D161" s="438">
        <f t="shared" si="27"/>
        <v>20</v>
      </c>
      <c r="E161" s="546"/>
      <c r="F161" s="505">
        <v>30</v>
      </c>
      <c r="G161" s="565">
        <f>IFERROR(AC151,0)</f>
        <v>0.9361111088900651</v>
      </c>
      <c r="H161" s="505">
        <f>AC152</f>
        <v>848.33799999999985</v>
      </c>
      <c r="I161" s="443">
        <f t="shared" si="28"/>
        <v>24586</v>
      </c>
      <c r="J161" s="467"/>
      <c r="K161" s="443"/>
      <c r="L161" s="326">
        <f t="shared" si="74"/>
        <v>6</v>
      </c>
      <c r="M161" s="557"/>
      <c r="N161" s="451"/>
      <c r="O161" s="451"/>
      <c r="P161" s="439"/>
      <c r="Q161" s="493"/>
      <c r="R161" s="492"/>
      <c r="T161" s="557"/>
      <c r="U161" s="451"/>
      <c r="V161" s="451"/>
      <c r="W161" s="439"/>
      <c r="X161" s="493"/>
      <c r="Y161" s="492"/>
      <c r="AA161" s="557"/>
      <c r="AB161" s="451"/>
      <c r="AC161" s="451"/>
      <c r="AD161" s="439"/>
      <c r="AE161" s="493"/>
      <c r="AF161" s="492"/>
      <c r="AH161" s="557"/>
      <c r="AI161" s="451"/>
      <c r="AJ161" s="451"/>
      <c r="AK161" s="439"/>
      <c r="AL161" s="493"/>
      <c r="AM161" s="492"/>
      <c r="AO161" s="557"/>
      <c r="AP161" s="451"/>
      <c r="AQ161" s="451"/>
      <c r="AR161" s="439"/>
      <c r="AS161" s="493"/>
      <c r="AT161" s="492"/>
      <c r="AV161" s="557"/>
      <c r="AW161" s="451"/>
      <c r="AX161" s="451"/>
      <c r="AY161" s="439"/>
      <c r="AZ161" s="493"/>
      <c r="BA161" s="492"/>
      <c r="BC161" s="557"/>
      <c r="BD161" s="451"/>
      <c r="BE161" s="451"/>
      <c r="BF161" s="439"/>
      <c r="BG161" s="493"/>
      <c r="BH161" s="492"/>
      <c r="BJ161" s="557"/>
      <c r="BK161" s="451"/>
      <c r="BL161" s="451"/>
      <c r="BM161" s="439"/>
      <c r="BN161" s="493"/>
      <c r="BO161" s="492"/>
      <c r="BQ161" s="557"/>
      <c r="BR161" s="451"/>
      <c r="BS161" s="451"/>
      <c r="BT161" s="439"/>
      <c r="BU161" s="493"/>
      <c r="BV161" s="492"/>
      <c r="BX161" s="557"/>
      <c r="BY161" s="451"/>
      <c r="BZ161" s="451"/>
      <c r="CA161" s="439"/>
      <c r="CB161" s="493"/>
      <c r="CC161" s="492"/>
      <c r="CE161" s="557"/>
      <c r="CF161" s="451"/>
      <c r="CG161" s="451"/>
      <c r="CH161" s="439"/>
      <c r="CI161" s="493"/>
      <c r="CJ161" s="492"/>
      <c r="CL161" s="557"/>
      <c r="CM161" s="451"/>
      <c r="CN161" s="451"/>
      <c r="CO161" s="439"/>
      <c r="CP161" s="493"/>
      <c r="CQ161" s="492"/>
      <c r="CS161" s="557"/>
      <c r="CT161" s="451"/>
      <c r="CU161" s="451"/>
      <c r="CV161" s="439"/>
      <c r="CW161" s="493"/>
      <c r="CX161" s="492"/>
    </row>
    <row r="162" spans="1:102" s="451" customFormat="1" ht="15" customHeight="1">
      <c r="A162" s="436">
        <f t="shared" si="73"/>
        <v>2026</v>
      </c>
      <c r="B162" s="437">
        <f t="shared" si="72"/>
        <v>24669</v>
      </c>
      <c r="C162" s="545"/>
      <c r="D162" s="438">
        <f t="shared" si="27"/>
        <v>21</v>
      </c>
      <c r="E162" s="546"/>
      <c r="F162" s="505">
        <v>40</v>
      </c>
      <c r="G162" s="565">
        <f>IFERROR(AJ151,0)</f>
        <v>0.9361111088900651</v>
      </c>
      <c r="H162" s="505">
        <f>AJ152</f>
        <v>848.33799999999985</v>
      </c>
      <c r="I162" s="443">
        <f t="shared" si="28"/>
        <v>24669</v>
      </c>
      <c r="J162" s="467"/>
      <c r="K162" s="443"/>
      <c r="L162" s="326">
        <f t="shared" si="74"/>
        <v>6</v>
      </c>
      <c r="M162" s="557"/>
      <c r="Q162" s="493"/>
      <c r="R162" s="492"/>
      <c r="T162" s="557"/>
      <c r="X162" s="493"/>
      <c r="Y162" s="492"/>
      <c r="AA162" s="557"/>
      <c r="AE162" s="493"/>
      <c r="AF162" s="492"/>
      <c r="AH162" s="557"/>
      <c r="AL162" s="493"/>
      <c r="AM162" s="492"/>
      <c r="AO162" s="557"/>
      <c r="AS162" s="493"/>
      <c r="AT162" s="492"/>
      <c r="AV162" s="557"/>
      <c r="AZ162" s="493"/>
      <c r="BA162" s="492"/>
      <c r="BC162" s="557"/>
      <c r="BG162" s="493"/>
      <c r="BH162" s="492"/>
      <c r="BJ162" s="557"/>
      <c r="BN162" s="493"/>
      <c r="BO162" s="492"/>
      <c r="BQ162" s="557"/>
      <c r="BU162" s="493"/>
      <c r="BV162" s="492"/>
      <c r="BX162" s="557"/>
      <c r="CB162" s="493"/>
      <c r="CC162" s="492"/>
      <c r="CE162" s="557"/>
      <c r="CI162" s="493"/>
      <c r="CJ162" s="492"/>
      <c r="CL162" s="557"/>
      <c r="CP162" s="493"/>
      <c r="CQ162" s="492"/>
      <c r="CS162" s="557"/>
      <c r="CW162" s="493"/>
      <c r="CX162" s="492"/>
    </row>
    <row r="163" spans="1:102" s="451" customFormat="1" ht="15" customHeight="1">
      <c r="A163" s="436">
        <f t="shared" si="73"/>
        <v>2027</v>
      </c>
      <c r="B163" s="437">
        <f t="shared" si="72"/>
        <v>24749</v>
      </c>
      <c r="C163" s="545"/>
      <c r="D163" s="438">
        <f t="shared" si="27"/>
        <v>22</v>
      </c>
      <c r="E163" s="546"/>
      <c r="F163" s="505">
        <v>50</v>
      </c>
      <c r="G163" s="565">
        <f>IFERROR(AQ151,0)</f>
        <v>0.9361111088900651</v>
      </c>
      <c r="H163" s="505">
        <f>AQ152</f>
        <v>848.33799999999985</v>
      </c>
      <c r="I163" s="443">
        <f t="shared" si="28"/>
        <v>24749</v>
      </c>
      <c r="J163" s="467"/>
      <c r="K163" s="443"/>
      <c r="L163" s="326">
        <f t="shared" si="74"/>
        <v>6</v>
      </c>
      <c r="M163" s="557"/>
      <c r="N163" s="538"/>
      <c r="O163" s="538"/>
      <c r="P163" s="566"/>
      <c r="Q163" s="493"/>
      <c r="R163" s="492"/>
      <c r="T163" s="557"/>
      <c r="X163" s="493"/>
      <c r="Y163" s="492"/>
      <c r="AA163" s="557"/>
      <c r="AE163" s="493"/>
      <c r="AF163" s="492"/>
      <c r="AH163" s="557"/>
      <c r="AL163" s="493"/>
      <c r="AM163" s="492"/>
      <c r="AO163" s="557"/>
      <c r="AS163" s="493"/>
      <c r="AT163" s="492"/>
      <c r="AV163" s="557"/>
      <c r="AZ163" s="493"/>
      <c r="BA163" s="492"/>
      <c r="BC163" s="557"/>
      <c r="BG163" s="493"/>
      <c r="BH163" s="492"/>
      <c r="BJ163" s="557"/>
      <c r="BN163" s="493"/>
      <c r="BO163" s="492"/>
      <c r="BQ163" s="557"/>
      <c r="BU163" s="493"/>
      <c r="BV163" s="492"/>
      <c r="BX163" s="557"/>
      <c r="CB163" s="493"/>
      <c r="CC163" s="492"/>
      <c r="CE163" s="557"/>
      <c r="CI163" s="493"/>
      <c r="CJ163" s="492"/>
      <c r="CL163" s="557"/>
      <c r="CP163" s="493"/>
      <c r="CQ163" s="492"/>
      <c r="CS163" s="557"/>
      <c r="CW163" s="493"/>
      <c r="CX163" s="492"/>
    </row>
    <row r="164" spans="1:102" ht="15" customHeight="1">
      <c r="A164" s="436">
        <f t="shared" si="73"/>
        <v>2028</v>
      </c>
      <c r="B164" s="437">
        <f t="shared" si="72"/>
        <v>24825</v>
      </c>
      <c r="C164" s="520"/>
      <c r="D164" s="438">
        <f t="shared" si="27"/>
        <v>23</v>
      </c>
      <c r="E164" s="508"/>
      <c r="F164" s="548">
        <v>100</v>
      </c>
      <c r="G164" s="565">
        <f>IFERROR(AX151,0)</f>
        <v>0.9361111088900651</v>
      </c>
      <c r="H164" s="548">
        <f>AX152</f>
        <v>848.33799999999985</v>
      </c>
      <c r="I164" s="443">
        <f t="shared" si="28"/>
        <v>24825</v>
      </c>
      <c r="J164" s="469"/>
      <c r="K164" s="469"/>
      <c r="L164" s="326">
        <f t="shared" si="74"/>
        <v>6</v>
      </c>
    </row>
    <row r="165" spans="1:102" ht="15" customHeight="1">
      <c r="A165" s="436">
        <f t="shared" si="73"/>
        <v>2029</v>
      </c>
      <c r="B165" s="437">
        <f t="shared" si="72"/>
        <v>24898</v>
      </c>
      <c r="C165" s="520"/>
      <c r="D165" s="438">
        <f t="shared" si="27"/>
        <v>24</v>
      </c>
      <c r="E165" s="508"/>
      <c r="F165" s="548">
        <v>200</v>
      </c>
      <c r="G165" s="565">
        <f>IFERROR(BE151,0)</f>
        <v>0.93614175173913294</v>
      </c>
      <c r="H165" s="548">
        <f>BE152</f>
        <v>847.99599999999987</v>
      </c>
      <c r="I165" s="443">
        <f t="shared" si="28"/>
        <v>24898</v>
      </c>
      <c r="J165" s="469"/>
      <c r="K165" s="469"/>
      <c r="L165" s="326">
        <f t="shared" si="74"/>
        <v>3</v>
      </c>
    </row>
    <row r="166" spans="1:102" ht="15" customHeight="1">
      <c r="A166" s="436">
        <f t="shared" si="73"/>
        <v>2030</v>
      </c>
      <c r="B166" s="437">
        <f t="shared" si="72"/>
        <v>24969</v>
      </c>
      <c r="C166" s="520"/>
      <c r="D166" s="438">
        <f t="shared" si="27"/>
        <v>25</v>
      </c>
      <c r="E166" s="508"/>
      <c r="F166" s="567">
        <v>300</v>
      </c>
      <c r="G166" s="568">
        <f>IFERROR(BL151,0)</f>
        <v>0.93611509597321629</v>
      </c>
      <c r="H166" s="567">
        <f>BL152</f>
        <v>848.37899999999991</v>
      </c>
      <c r="I166" s="443">
        <f t="shared" si="28"/>
        <v>24969</v>
      </c>
      <c r="J166" s="469"/>
      <c r="K166" s="469"/>
      <c r="L166" s="326">
        <f t="shared" si="74"/>
        <v>4</v>
      </c>
    </row>
    <row r="167" spans="1:102" ht="15" customHeight="1">
      <c r="A167" s="436">
        <f t="shared" si="73"/>
        <v>2031</v>
      </c>
      <c r="B167" s="437">
        <f t="shared" si="72"/>
        <v>25037</v>
      </c>
      <c r="C167" s="520"/>
      <c r="D167" s="438">
        <f t="shared" si="27"/>
        <v>26</v>
      </c>
      <c r="E167" s="508"/>
      <c r="F167" s="567">
        <v>400</v>
      </c>
      <c r="G167" s="568">
        <f>IFERROR(BS151,0)</f>
        <v>0.93611509597321629</v>
      </c>
      <c r="H167" s="567">
        <f>BS152</f>
        <v>848.37899999999991</v>
      </c>
      <c r="I167" s="443">
        <f t="shared" si="28"/>
        <v>25037</v>
      </c>
      <c r="J167" s="469"/>
      <c r="K167" s="469"/>
      <c r="L167" s="326">
        <f t="shared" si="74"/>
        <v>4</v>
      </c>
    </row>
    <row r="168" spans="1:102" ht="15" customHeight="1">
      <c r="A168" s="436">
        <f t="shared" si="73"/>
        <v>2032</v>
      </c>
      <c r="B168" s="437">
        <f t="shared" si="72"/>
        <v>25102</v>
      </c>
      <c r="C168" s="520"/>
      <c r="D168" s="438">
        <f t="shared" si="27"/>
        <v>27</v>
      </c>
      <c r="E168" s="508"/>
      <c r="F168" s="567">
        <v>500</v>
      </c>
      <c r="G168" s="568">
        <f>IFERROR(BZ151,0)</f>
        <v>0.9360615511598509</v>
      </c>
      <c r="H168" s="567">
        <f>BZ152</f>
        <v>849.10799999999995</v>
      </c>
      <c r="I168" s="443">
        <f t="shared" si="28"/>
        <v>25102</v>
      </c>
      <c r="J168" s="469"/>
      <c r="K168" s="469"/>
      <c r="L168" s="326">
        <f t="shared" si="74"/>
        <v>10</v>
      </c>
    </row>
    <row r="169" spans="1:102" ht="15" customHeight="1">
      <c r="A169" s="436">
        <f t="shared" si="73"/>
        <v>2033</v>
      </c>
      <c r="B169" s="437">
        <f t="shared" si="72"/>
        <v>25165</v>
      </c>
      <c r="C169" s="520"/>
      <c r="D169" s="438">
        <f t="shared" si="27"/>
        <v>28</v>
      </c>
      <c r="E169" s="508"/>
      <c r="F169" s="567">
        <v>1000</v>
      </c>
      <c r="G169" s="568">
        <f>IFERROR(CG151,0)</f>
        <v>0.93592406943187956</v>
      </c>
      <c r="H169" s="567">
        <f>CG152</f>
        <v>851.00199999999995</v>
      </c>
      <c r="I169" s="443">
        <f t="shared" si="28"/>
        <v>25165</v>
      </c>
      <c r="J169" s="469"/>
      <c r="K169" s="469"/>
      <c r="L169" s="326">
        <f t="shared" si="74"/>
        <v>11</v>
      </c>
    </row>
    <row r="170" spans="1:102" ht="15" customHeight="1">
      <c r="A170" s="436">
        <f t="shared" si="73"/>
        <v>2034</v>
      </c>
      <c r="B170" s="437">
        <f t="shared" si="72"/>
        <v>25227</v>
      </c>
      <c r="C170" s="520"/>
      <c r="D170" s="438">
        <f t="shared" si="27"/>
        <v>29</v>
      </c>
      <c r="E170" s="508"/>
      <c r="F170" s="567">
        <v>2000</v>
      </c>
      <c r="G170" s="568">
        <f>IFERROR(CN151,0)</f>
        <v>0.93554507273387588</v>
      </c>
      <c r="H170" s="567">
        <f>CN152</f>
        <v>856.28</v>
      </c>
      <c r="I170" s="443">
        <f t="shared" si="28"/>
        <v>25227</v>
      </c>
      <c r="J170" s="469"/>
      <c r="K170" s="469"/>
      <c r="L170" s="326">
        <f t="shared" si="74"/>
        <v>12</v>
      </c>
    </row>
    <row r="171" spans="1:102" ht="15" customHeight="1">
      <c r="A171" s="522">
        <f t="shared" si="73"/>
        <v>2035</v>
      </c>
      <c r="B171" s="523">
        <f t="shared" si="72"/>
        <v>25286</v>
      </c>
      <c r="C171" s="524"/>
      <c r="D171" s="569">
        <f t="shared" si="27"/>
        <v>30</v>
      </c>
      <c r="E171" s="525"/>
      <c r="F171" s="570">
        <v>3000</v>
      </c>
      <c r="G171" s="571">
        <f>IFERROR(CU151,0)</f>
        <v>0.93514123862451048</v>
      </c>
      <c r="H171" s="570">
        <f>CU152</f>
        <v>861.9079999999999</v>
      </c>
      <c r="I171" s="528">
        <f t="shared" si="28"/>
        <v>25286</v>
      </c>
      <c r="J171" s="529"/>
      <c r="K171" s="529"/>
      <c r="L171" s="326">
        <f t="shared" si="74"/>
        <v>13</v>
      </c>
    </row>
    <row r="172" spans="1:102" ht="15" customHeight="1">
      <c r="A172" s="522">
        <f t="shared" si="73"/>
        <v>2036</v>
      </c>
      <c r="B172" s="523">
        <f t="shared" si="72"/>
        <v>25343</v>
      </c>
      <c r="C172" s="524"/>
      <c r="D172" s="569">
        <f t="shared" si="27"/>
        <v>31</v>
      </c>
      <c r="E172" s="525"/>
      <c r="F172" s="570"/>
      <c r="G172" s="571"/>
      <c r="H172" s="570"/>
      <c r="I172" s="528">
        <f t="shared" si="28"/>
        <v>25343</v>
      </c>
      <c r="J172" s="529"/>
      <c r="K172" s="529"/>
    </row>
    <row r="173" spans="1:102" ht="15" customHeight="1">
      <c r="A173" s="522">
        <f t="shared" si="73"/>
        <v>2037</v>
      </c>
      <c r="B173" s="523">
        <f t="shared" si="72"/>
        <v>25399</v>
      </c>
      <c r="C173" s="524"/>
      <c r="D173" s="569">
        <f t="shared" si="27"/>
        <v>32</v>
      </c>
      <c r="E173" s="525"/>
      <c r="F173" s="570"/>
      <c r="G173" s="571"/>
      <c r="H173" s="570"/>
      <c r="I173" s="528">
        <f t="shared" si="28"/>
        <v>25399</v>
      </c>
      <c r="J173" s="529"/>
      <c r="K173" s="529"/>
    </row>
    <row r="174" spans="1:102" ht="15" customHeight="1">
      <c r="A174" s="522">
        <f t="shared" si="73"/>
        <v>2038</v>
      </c>
      <c r="B174" s="523">
        <f t="shared" si="72"/>
        <v>25453</v>
      </c>
      <c r="C174" s="524"/>
      <c r="D174" s="569">
        <f t="shared" si="27"/>
        <v>33</v>
      </c>
      <c r="E174" s="525"/>
      <c r="F174" s="570"/>
      <c r="G174" s="571"/>
      <c r="H174" s="570"/>
      <c r="I174" s="528">
        <f t="shared" si="28"/>
        <v>25453</v>
      </c>
      <c r="J174" s="529"/>
      <c r="K174" s="529"/>
    </row>
    <row r="175" spans="1:102" ht="15" customHeight="1">
      <c r="A175" s="491"/>
      <c r="B175" s="494"/>
      <c r="C175" s="451"/>
      <c r="D175" s="439"/>
      <c r="E175" s="439"/>
      <c r="F175" s="530"/>
      <c r="G175" s="572"/>
      <c r="H175" s="451"/>
      <c r="I175" s="538"/>
      <c r="J175" s="538"/>
      <c r="O175" s="573"/>
    </row>
    <row r="176" spans="1:102" ht="15" customHeight="1">
      <c r="A176" s="424" t="s">
        <v>333</v>
      </c>
    </row>
    <row r="177" spans="1:60" ht="15" customHeight="1">
      <c r="A177" s="427" t="s">
        <v>264</v>
      </c>
      <c r="B177" s="428" t="s">
        <v>286</v>
      </c>
      <c r="C177" s="429" t="s">
        <v>334</v>
      </c>
      <c r="D177" s="429" t="s">
        <v>287</v>
      </c>
      <c r="E177" s="496"/>
      <c r="F177" s="430"/>
      <c r="G177" s="431"/>
      <c r="H177" s="432" t="s">
        <v>288</v>
      </c>
      <c r="I177" s="433">
        <f>RSQ(I178:I188,B178:B188)</f>
        <v>0.9490345421701174</v>
      </c>
      <c r="J177" s="434" t="s">
        <v>289</v>
      </c>
      <c r="K177" s="435" t="s">
        <v>290</v>
      </c>
      <c r="M177" s="532" t="s">
        <v>334</v>
      </c>
      <c r="N177" s="430"/>
      <c r="O177" s="432" t="s">
        <v>288</v>
      </c>
      <c r="P177" s="433">
        <f>RSQ($B178:$B188,P178:P188)</f>
        <v>0.94460608162593329</v>
      </c>
      <c r="Q177" s="435" t="s">
        <v>290</v>
      </c>
      <c r="S177" s="532" t="s">
        <v>334</v>
      </c>
      <c r="T177" s="430"/>
      <c r="U177" s="432" t="s">
        <v>288</v>
      </c>
      <c r="V177" s="433">
        <f>RSQ($B178:$B188,V178:V188)</f>
        <v>0.94058401990159868</v>
      </c>
      <c r="W177" s="435" t="s">
        <v>290</v>
      </c>
      <c r="Y177" s="532" t="s">
        <v>334</v>
      </c>
      <c r="Z177" s="430"/>
      <c r="AA177" s="432" t="s">
        <v>288</v>
      </c>
      <c r="AB177" s="433">
        <f>RSQ($B178:$B188,AB178:AB188)</f>
        <v>0.94853915892629437</v>
      </c>
      <c r="AC177" s="435" t="s">
        <v>290</v>
      </c>
      <c r="AE177" s="532" t="s">
        <v>334</v>
      </c>
      <c r="AF177" s="430"/>
      <c r="AG177" s="432" t="s">
        <v>288</v>
      </c>
      <c r="AH177" s="433">
        <f>RSQ($B178:$B188,AH178:AH188)</f>
        <v>0.94885488056456735</v>
      </c>
      <c r="AI177" s="435" t="s">
        <v>290</v>
      </c>
      <c r="AK177" s="532" t="s">
        <v>334</v>
      </c>
      <c r="AL177" s="430"/>
      <c r="AM177" s="432" t="s">
        <v>288</v>
      </c>
      <c r="AN177" s="433">
        <f>RSQ($B178:$B188,AN178:AN188)</f>
        <v>0.9490345421701174</v>
      </c>
      <c r="AO177" s="435" t="s">
        <v>290</v>
      </c>
      <c r="AQ177" s="532" t="s">
        <v>334</v>
      </c>
      <c r="AR177" s="430"/>
      <c r="AS177" s="432" t="s">
        <v>288</v>
      </c>
      <c r="AT177" s="433">
        <f>RSQ($B178:$B188,AT178:AT188)</f>
        <v>0.94870749428530465</v>
      </c>
      <c r="AU177" s="435" t="s">
        <v>290</v>
      </c>
      <c r="AW177" s="532" t="s">
        <v>334</v>
      </c>
      <c r="AX177" s="430"/>
      <c r="AY177" s="432" t="s">
        <v>288</v>
      </c>
      <c r="AZ177" s="433">
        <f>RSQ($B178:$B188,AZ178:AZ188)</f>
        <v>0.94730804271020219</v>
      </c>
      <c r="BA177" s="435" t="s">
        <v>290</v>
      </c>
      <c r="BC177" s="532" t="s">
        <v>334</v>
      </c>
      <c r="BD177" s="430"/>
      <c r="BE177" s="432" t="s">
        <v>288</v>
      </c>
      <c r="BF177" s="433">
        <f>RSQ($B178:$B188,BF178:BF188)</f>
        <v>0.77336832941870126</v>
      </c>
      <c r="BG177" s="435" t="s">
        <v>290</v>
      </c>
    </row>
    <row r="178" spans="1:60" ht="15" customHeight="1">
      <c r="A178" s="436">
        <f t="shared" ref="A178:B189" si="75">A142</f>
        <v>2006</v>
      </c>
      <c r="B178" s="437">
        <f t="shared" si="75"/>
        <v>19788</v>
      </c>
      <c r="C178" s="533">
        <f t="shared" ref="C178:C188" si="76">LN(F$182/B178-1)</f>
        <v>-1.6925427120600458</v>
      </c>
      <c r="D178" s="438">
        <f t="shared" ref="D178:D184" si="77">D142</f>
        <v>1</v>
      </c>
      <c r="E178" s="498" t="s">
        <v>335</v>
      </c>
      <c r="F178" s="439"/>
      <c r="H178" s="574"/>
      <c r="I178" s="502">
        <f t="shared" ref="I178:I210" si="78">ROUND($F$182/(1+EXP($F$187+$F$186*D178)),$G$1)</f>
        <v>19175</v>
      </c>
      <c r="J178" s="444">
        <f t="shared" ref="J178:J188" si="79">ABS(B178-I178)/B178*100</f>
        <v>3.0978370729735194</v>
      </c>
      <c r="K178" s="443">
        <f t="shared" ref="K178:K188" si="80">(B178-I178)^2/1000</f>
        <v>375.76900000000001</v>
      </c>
      <c r="M178" s="575">
        <f t="shared" ref="M178:M188" si="81">LN($O$181/B178-1)</f>
        <v>-1.6735048784415081</v>
      </c>
      <c r="N178" s="539" t="s">
        <v>335</v>
      </c>
      <c r="O178" s="439"/>
      <c r="P178" s="469">
        <f t="shared" ref="P178:P188" si="82">ROUND(O$181/(1+EXP(O$185+O$184*$D178)),$G$1)</f>
        <v>19834</v>
      </c>
      <c r="Q178" s="502">
        <f t="shared" ref="Q178:Q183" si="83">($B178-P178)^2/1000</f>
        <v>2.1160000000000001</v>
      </c>
      <c r="S178" s="575">
        <f>LN($U$181/$B178-1)</f>
        <v>-1.7008140578107231</v>
      </c>
      <c r="T178" s="539" t="s">
        <v>335</v>
      </c>
      <c r="U178" s="439"/>
      <c r="V178" s="469">
        <f t="shared" ref="V178:V188" si="84">ROUND(U$181/(1+EXP(U$185+U$184*$D178)),$G$1)</f>
        <v>17524</v>
      </c>
      <c r="W178" s="502">
        <f t="shared" ref="W178:W183" si="85">($B178-V178)^2/1000</f>
        <v>5125.6959999999999</v>
      </c>
      <c r="Y178" s="575">
        <f>LN($AA$181/$B178-1)</f>
        <v>-1.6870662471131432</v>
      </c>
      <c r="Z178" s="539" t="s">
        <v>335</v>
      </c>
      <c r="AA178" s="439"/>
      <c r="AB178" s="469">
        <f t="shared" ref="AB178:AB188" si="86">ROUND(AA$181/(1+EXP(AA$185+AA$184*$D178)),$G$1)</f>
        <v>19458</v>
      </c>
      <c r="AC178" s="502">
        <f t="shared" ref="AC178:AC185" si="87">($B178-AB178)^2/1000</f>
        <v>108.9</v>
      </c>
      <c r="AE178" s="575">
        <f>LN($AG$181/$B178-1)</f>
        <v>-1.6898007306327401</v>
      </c>
      <c r="AF178" s="539" t="s">
        <v>335</v>
      </c>
      <c r="AG178" s="439"/>
      <c r="AH178" s="469">
        <f t="shared" ref="AH178:AH188" si="88">ROUND(AG$181/(1+EXP(AG$185+AG$184*$D178)),$G$1)</f>
        <v>19334</v>
      </c>
      <c r="AI178" s="502">
        <f t="shared" ref="AI178:AI185" si="89">($B178-AH178)^2/1000</f>
        <v>206.11600000000001</v>
      </c>
      <c r="AK178" s="575">
        <f>LN($AM$181/$B178-1)</f>
        <v>-1.6925427120600458</v>
      </c>
      <c r="AL178" s="539" t="s">
        <v>335</v>
      </c>
      <c r="AM178" s="439"/>
      <c r="AN178" s="469">
        <f t="shared" ref="AN178:AN188" si="90">ROUND(AM$181/(1+EXP(AM$185+AM$184*$D178)),$G$1)</f>
        <v>19175</v>
      </c>
      <c r="AO178" s="502">
        <f t="shared" ref="AO178:AO187" si="91">($B178-AN178)^2/1000</f>
        <v>375.76900000000001</v>
      </c>
      <c r="AQ178" s="575">
        <f>LN($AS$181/$B178-1)</f>
        <v>-1.6952922326264153</v>
      </c>
      <c r="AR178" s="539" t="s">
        <v>335</v>
      </c>
      <c r="AS178" s="439"/>
      <c r="AT178" s="469">
        <f t="shared" ref="AT178:AT188" si="92">ROUND(AS$181/(1+EXP(AS$185+AS$184*$D178)),$G$1)</f>
        <v>18955</v>
      </c>
      <c r="AU178" s="502">
        <f t="shared" ref="AU178:AU185" si="93">($B178-AT178)^2/1000</f>
        <v>693.88900000000001</v>
      </c>
      <c r="AW178" s="575">
        <f>LN($AY$181/$B178-1)</f>
        <v>-1.6980493339042404</v>
      </c>
      <c r="AX178" s="539" t="s">
        <v>335</v>
      </c>
      <c r="AY178" s="439"/>
      <c r="AZ178" s="469">
        <f t="shared" ref="AZ178:AZ188" si="94">ROUND(AY$181/(1+EXP(AY$185+AY$184*$D178)),$G$1)</f>
        <v>18597</v>
      </c>
      <c r="BA178" s="502">
        <f t="shared" ref="BA178:BA185" si="95">($B178-AZ178)^2/1000</f>
        <v>1418.481</v>
      </c>
      <c r="BC178" s="575">
        <f>LN($BE$181/$B178-1)</f>
        <v>4.3148649063776077</v>
      </c>
      <c r="BD178" s="539" t="s">
        <v>335</v>
      </c>
      <c r="BE178" s="439"/>
      <c r="BF178" s="469">
        <f t="shared" ref="BF178:BF188" si="96">ROUND(BE$181/(1+EXP(BE$185+BE$184*$D178)),$G$1)</f>
        <v>20790</v>
      </c>
      <c r="BG178" s="502">
        <f t="shared" ref="BG178:BG185" si="97">($B178-BF178)^2/1000</f>
        <v>1004.004</v>
      </c>
    </row>
    <row r="179" spans="1:60" ht="15" customHeight="1">
      <c r="A179" s="436">
        <f t="shared" si="75"/>
        <v>2007</v>
      </c>
      <c r="B179" s="437">
        <f t="shared" si="75"/>
        <v>20615</v>
      </c>
      <c r="C179" s="533">
        <f t="shared" si="76"/>
        <v>-1.9910567045672101</v>
      </c>
      <c r="D179" s="438">
        <f t="shared" si="77"/>
        <v>2</v>
      </c>
      <c r="E179" s="498" t="s">
        <v>336</v>
      </c>
      <c r="F179" s="439"/>
      <c r="H179" s="574"/>
      <c r="I179" s="443">
        <f t="shared" si="78"/>
        <v>20523</v>
      </c>
      <c r="J179" s="446">
        <f t="shared" si="79"/>
        <v>0.44627698277952949</v>
      </c>
      <c r="K179" s="443">
        <f t="shared" si="80"/>
        <v>8.4640000000000004</v>
      </c>
      <c r="M179" s="576">
        <f t="shared" si="81"/>
        <v>-1.9664940661988006</v>
      </c>
      <c r="N179" s="539"/>
      <c r="O179" s="439"/>
      <c r="P179" s="469">
        <f t="shared" si="82"/>
        <v>20812</v>
      </c>
      <c r="Q179" s="443">
        <f t="shared" si="83"/>
        <v>38.808999999999997</v>
      </c>
      <c r="S179" s="576">
        <f t="shared" ref="S179:S188" si="98">LN($U$181/$B179-1)</f>
        <v>-2.0017710927796162</v>
      </c>
      <c r="T179" s="539"/>
      <c r="U179" s="439"/>
      <c r="V179" s="469">
        <f t="shared" si="84"/>
        <v>19775</v>
      </c>
      <c r="W179" s="443">
        <f t="shared" si="85"/>
        <v>705.6</v>
      </c>
      <c r="Y179" s="576">
        <f t="shared" ref="Y179:Y188" si="99">LN($AA$181/$B179-1)</f>
        <v>-1.9839770289791474</v>
      </c>
      <c r="Z179" s="539"/>
      <c r="AA179" s="439"/>
      <c r="AB179" s="469">
        <f t="shared" si="86"/>
        <v>20648</v>
      </c>
      <c r="AC179" s="443">
        <f t="shared" si="87"/>
        <v>1.089</v>
      </c>
      <c r="AE179" s="576">
        <f t="shared" ref="AE179:AE188" si="100">LN($AG$181/$B179-1)</f>
        <v>-1.9875106015604591</v>
      </c>
      <c r="AF179" s="539"/>
      <c r="AG179" s="439"/>
      <c r="AH179" s="469">
        <f t="shared" si="88"/>
        <v>20594</v>
      </c>
      <c r="AI179" s="443">
        <f t="shared" si="89"/>
        <v>0.441</v>
      </c>
      <c r="AK179" s="576">
        <f t="shared" ref="AK179:AK188" si="101">LN($AM$181/$B179-1)</f>
        <v>-1.9910567045672101</v>
      </c>
      <c r="AL179" s="539"/>
      <c r="AM179" s="439"/>
      <c r="AN179" s="469">
        <f t="shared" si="90"/>
        <v>20523</v>
      </c>
      <c r="AO179" s="443">
        <f t="shared" si="91"/>
        <v>8.4640000000000004</v>
      </c>
      <c r="AQ179" s="576">
        <f t="shared" ref="AQ179:AQ188" si="102">LN($AS$181/$B179-1)</f>
        <v>-1.9946154271842029</v>
      </c>
      <c r="AR179" s="539"/>
      <c r="AS179" s="439"/>
      <c r="AT179" s="469">
        <f t="shared" si="92"/>
        <v>20425</v>
      </c>
      <c r="AU179" s="443">
        <f t="shared" si="93"/>
        <v>36.1</v>
      </c>
      <c r="AW179" s="576">
        <f t="shared" ref="AW179:AW188" si="103">LN($AY$181/$B179-1)</f>
        <v>-1.9981868595518006</v>
      </c>
      <c r="AX179" s="539"/>
      <c r="AY179" s="439"/>
      <c r="AZ179" s="469">
        <f t="shared" si="94"/>
        <v>20264</v>
      </c>
      <c r="BA179" s="443">
        <f t="shared" si="95"/>
        <v>123.20099999999999</v>
      </c>
      <c r="BC179" s="576">
        <f t="shared" ref="BC179:BC188" si="104">LN($BE$181/$B179-1)</f>
        <v>4.273362773697861</v>
      </c>
      <c r="BD179" s="539"/>
      <c r="BE179" s="439"/>
      <c r="BF179" s="469">
        <f t="shared" si="96"/>
        <v>21085</v>
      </c>
      <c r="BG179" s="443">
        <f t="shared" si="97"/>
        <v>220.9</v>
      </c>
    </row>
    <row r="180" spans="1:60" ht="15" customHeight="1">
      <c r="A180" s="436">
        <f t="shared" si="75"/>
        <v>2008</v>
      </c>
      <c r="B180" s="437">
        <f t="shared" si="75"/>
        <v>22162</v>
      </c>
      <c r="C180" s="533">
        <f t="shared" si="76"/>
        <v>-2.8609382544990987</v>
      </c>
      <c r="D180" s="438">
        <f t="shared" si="77"/>
        <v>3</v>
      </c>
      <c r="H180" s="574"/>
      <c r="I180" s="443">
        <f t="shared" si="78"/>
        <v>21487</v>
      </c>
      <c r="J180" s="446">
        <f t="shared" si="79"/>
        <v>3.0457539933219024</v>
      </c>
      <c r="K180" s="443">
        <f t="shared" si="80"/>
        <v>455.625</v>
      </c>
      <c r="M180" s="576">
        <f t="shared" si="81"/>
        <v>-2.8072031488080964</v>
      </c>
      <c r="N180" s="539" t="s">
        <v>336</v>
      </c>
      <c r="O180" s="439"/>
      <c r="P180" s="469">
        <f t="shared" si="82"/>
        <v>21555</v>
      </c>
      <c r="Q180" s="443">
        <f t="shared" si="83"/>
        <v>368.44900000000001</v>
      </c>
      <c r="S180" s="576">
        <f t="shared" si="98"/>
        <v>-2.8848819362517313</v>
      </c>
      <c r="T180" s="539" t="s">
        <v>336</v>
      </c>
      <c r="U180" s="439"/>
      <c r="V180" s="469">
        <f t="shared" si="84"/>
        <v>21268</v>
      </c>
      <c r="W180" s="443">
        <f t="shared" si="85"/>
        <v>799.23599999999999</v>
      </c>
      <c r="Y180" s="576">
        <f t="shared" si="99"/>
        <v>-2.8452884828319704</v>
      </c>
      <c r="Z180" s="539" t="s">
        <v>336</v>
      </c>
      <c r="AA180" s="439"/>
      <c r="AB180" s="469">
        <f t="shared" si="86"/>
        <v>21519</v>
      </c>
      <c r="AC180" s="443">
        <f t="shared" si="87"/>
        <v>413.44900000000001</v>
      </c>
      <c r="AE180" s="576">
        <f t="shared" si="100"/>
        <v>-2.8530827545587916</v>
      </c>
      <c r="AF180" s="539" t="s">
        <v>336</v>
      </c>
      <c r="AG180" s="439"/>
      <c r="AH180" s="469">
        <f t="shared" si="88"/>
        <v>21505</v>
      </c>
      <c r="AI180" s="443">
        <f t="shared" si="89"/>
        <v>431.649</v>
      </c>
      <c r="AK180" s="576">
        <f t="shared" si="101"/>
        <v>-2.8609382544990987</v>
      </c>
      <c r="AL180" s="539" t="s">
        <v>336</v>
      </c>
      <c r="AM180" s="439"/>
      <c r="AN180" s="469">
        <f t="shared" si="90"/>
        <v>21487</v>
      </c>
      <c r="AO180" s="443">
        <f t="shared" si="91"/>
        <v>455.625</v>
      </c>
      <c r="AQ180" s="576">
        <f t="shared" si="102"/>
        <v>-2.8688559522358861</v>
      </c>
      <c r="AR180" s="539" t="s">
        <v>336</v>
      </c>
      <c r="AS180" s="439"/>
      <c r="AT180" s="469">
        <f t="shared" si="92"/>
        <v>21461</v>
      </c>
      <c r="AU180" s="443">
        <f t="shared" si="93"/>
        <v>491.40100000000001</v>
      </c>
      <c r="AW180" s="576">
        <f t="shared" si="103"/>
        <v>-2.8768368405668974</v>
      </c>
      <c r="AX180" s="539" t="s">
        <v>336</v>
      </c>
      <c r="AY180" s="439"/>
      <c r="AZ180" s="469">
        <f t="shared" si="94"/>
        <v>21416</v>
      </c>
      <c r="BA180" s="443">
        <f t="shared" si="95"/>
        <v>556.51599999999996</v>
      </c>
      <c r="BC180" s="576">
        <f t="shared" si="104"/>
        <v>4.1999563774088564</v>
      </c>
      <c r="BD180" s="539" t="s">
        <v>336</v>
      </c>
      <c r="BE180" s="439"/>
      <c r="BF180" s="469">
        <f t="shared" si="96"/>
        <v>21385</v>
      </c>
      <c r="BG180" s="443">
        <f t="shared" si="97"/>
        <v>603.72900000000004</v>
      </c>
    </row>
    <row r="181" spans="1:60" ht="15" customHeight="1">
      <c r="A181" s="436">
        <f t="shared" si="75"/>
        <v>2009</v>
      </c>
      <c r="B181" s="437">
        <f t="shared" si="75"/>
        <v>22357</v>
      </c>
      <c r="C181" s="533">
        <f t="shared" si="76"/>
        <v>-3.0366810074795585</v>
      </c>
      <c r="D181" s="438">
        <f t="shared" si="77"/>
        <v>4</v>
      </c>
      <c r="E181" s="540"/>
      <c r="G181" s="451"/>
      <c r="H181" s="442"/>
      <c r="I181" s="443">
        <f t="shared" si="78"/>
        <v>22152</v>
      </c>
      <c r="J181" s="446">
        <f t="shared" si="79"/>
        <v>0.91693876638189387</v>
      </c>
      <c r="K181" s="443">
        <f t="shared" si="80"/>
        <v>42.024999999999999</v>
      </c>
      <c r="M181" s="576">
        <f t="shared" si="81"/>
        <v>-2.9734830863154502</v>
      </c>
      <c r="N181" s="439" t="s">
        <v>337</v>
      </c>
      <c r="O181" s="577">
        <f>E200</f>
        <v>23500</v>
      </c>
      <c r="P181" s="469">
        <f t="shared" si="82"/>
        <v>22106</v>
      </c>
      <c r="Q181" s="443">
        <f t="shared" si="83"/>
        <v>63.000999999999998</v>
      </c>
      <c r="S181" s="576">
        <f t="shared" si="98"/>
        <v>-3.065038295109487</v>
      </c>
      <c r="T181" s="439" t="s">
        <v>337</v>
      </c>
      <c r="U181" s="363">
        <f>E201</f>
        <v>23400</v>
      </c>
      <c r="V181" s="469">
        <f t="shared" si="84"/>
        <v>22184</v>
      </c>
      <c r="W181" s="443">
        <f t="shared" si="85"/>
        <v>29.928999999999998</v>
      </c>
      <c r="Y181" s="576">
        <f t="shared" si="99"/>
        <v>-3.0182132619337216</v>
      </c>
      <c r="Z181" s="439" t="s">
        <v>337</v>
      </c>
      <c r="AA181" s="363">
        <f>E202</f>
        <v>23450</v>
      </c>
      <c r="AB181" s="469">
        <f t="shared" si="86"/>
        <v>22136</v>
      </c>
      <c r="AC181" s="443">
        <f t="shared" si="87"/>
        <v>48.841000000000001</v>
      </c>
      <c r="AE181" s="576">
        <f t="shared" si="100"/>
        <v>-3.0274045031092705</v>
      </c>
      <c r="AF181" s="439" t="s">
        <v>337</v>
      </c>
      <c r="AG181" s="363">
        <f>E203</f>
        <v>23440</v>
      </c>
      <c r="AH181" s="469">
        <f t="shared" si="88"/>
        <v>22143</v>
      </c>
      <c r="AI181" s="443">
        <f t="shared" si="89"/>
        <v>45.795999999999999</v>
      </c>
      <c r="AK181" s="576">
        <f t="shared" si="101"/>
        <v>-3.0366810074795585</v>
      </c>
      <c r="AL181" s="439" t="s">
        <v>337</v>
      </c>
      <c r="AM181" s="363">
        <f>E204</f>
        <v>23430</v>
      </c>
      <c r="AN181" s="469">
        <f t="shared" si="90"/>
        <v>22152</v>
      </c>
      <c r="AO181" s="443">
        <f t="shared" si="91"/>
        <v>42.024999999999999</v>
      </c>
      <c r="AQ181" s="576">
        <f t="shared" si="102"/>
        <v>-3.0460443717683101</v>
      </c>
      <c r="AR181" s="439" t="s">
        <v>337</v>
      </c>
      <c r="AS181" s="363">
        <f>E205</f>
        <v>23420</v>
      </c>
      <c r="AT181" s="469">
        <f t="shared" si="92"/>
        <v>22161</v>
      </c>
      <c r="AU181" s="443">
        <f t="shared" si="93"/>
        <v>38.415999999999997</v>
      </c>
      <c r="AW181" s="576">
        <f t="shared" si="103"/>
        <v>-3.0554962379762833</v>
      </c>
      <c r="AX181" s="439" t="s">
        <v>337</v>
      </c>
      <c r="AY181" s="363">
        <f>E206</f>
        <v>23410</v>
      </c>
      <c r="AZ181" s="469">
        <f t="shared" si="94"/>
        <v>22172</v>
      </c>
      <c r="BA181" s="443">
        <f t="shared" si="95"/>
        <v>34.225000000000001</v>
      </c>
      <c r="BC181" s="576">
        <f t="shared" si="104"/>
        <v>4.1910640585787373</v>
      </c>
      <c r="BD181" s="439" t="s">
        <v>337</v>
      </c>
      <c r="BE181" s="363">
        <f>E207</f>
        <v>1500000</v>
      </c>
      <c r="BF181" s="469">
        <f t="shared" si="96"/>
        <v>21688</v>
      </c>
      <c r="BG181" s="443">
        <f t="shared" si="97"/>
        <v>447.56099999999998</v>
      </c>
    </row>
    <row r="182" spans="1:60" ht="15" customHeight="1">
      <c r="A182" s="436">
        <f t="shared" si="75"/>
        <v>2010</v>
      </c>
      <c r="B182" s="437">
        <f t="shared" si="75"/>
        <v>22538</v>
      </c>
      <c r="C182" s="533">
        <f t="shared" si="76"/>
        <v>-3.2294919199322845</v>
      </c>
      <c r="D182" s="438">
        <f t="shared" si="77"/>
        <v>5</v>
      </c>
      <c r="E182" s="540" t="s">
        <v>337</v>
      </c>
      <c r="F182" s="577">
        <f>INDEX(E200:L207,MATCH(1,L200:L207,0),1)</f>
        <v>23430</v>
      </c>
      <c r="G182" s="451"/>
      <c r="I182" s="443">
        <f t="shared" si="78"/>
        <v>22598</v>
      </c>
      <c r="J182" s="446">
        <f t="shared" si="79"/>
        <v>0.2662170556393646</v>
      </c>
      <c r="K182" s="443">
        <f t="shared" si="80"/>
        <v>3.6</v>
      </c>
      <c r="M182" s="576">
        <f t="shared" si="81"/>
        <v>-3.153943601846589</v>
      </c>
      <c r="N182" s="578" t="s">
        <v>338</v>
      </c>
      <c r="O182" s="505">
        <f>MAX($B178:$B188)</f>
        <v>23398</v>
      </c>
      <c r="P182" s="469">
        <f t="shared" si="82"/>
        <v>22509</v>
      </c>
      <c r="Q182" s="443">
        <f t="shared" si="83"/>
        <v>0.84099999999999997</v>
      </c>
      <c r="S182" s="576">
        <f t="shared" si="98"/>
        <v>-3.2637027818486031</v>
      </c>
      <c r="T182" s="578" t="s">
        <v>338</v>
      </c>
      <c r="U182" s="505">
        <f>MAX($B178:$B188)</f>
        <v>23398</v>
      </c>
      <c r="V182" s="469">
        <f t="shared" si="84"/>
        <v>22719</v>
      </c>
      <c r="W182" s="443">
        <f t="shared" si="85"/>
        <v>32.761000000000003</v>
      </c>
      <c r="Y182" s="576">
        <f t="shared" si="99"/>
        <v>-3.2073180624379645</v>
      </c>
      <c r="Z182" s="578" t="s">
        <v>338</v>
      </c>
      <c r="AA182" s="505">
        <f>MAX($B178:$B188)</f>
        <v>23398</v>
      </c>
      <c r="AB182" s="469">
        <f t="shared" si="86"/>
        <v>22564</v>
      </c>
      <c r="AC182" s="443">
        <f t="shared" si="87"/>
        <v>0.67600000000000005</v>
      </c>
      <c r="AE182" s="576">
        <f t="shared" si="100"/>
        <v>-3.218343532449671</v>
      </c>
      <c r="AF182" s="578" t="s">
        <v>338</v>
      </c>
      <c r="AG182" s="505">
        <f>MAX($B178:$B188)</f>
        <v>23398</v>
      </c>
      <c r="AH182" s="469">
        <f t="shared" si="88"/>
        <v>22579</v>
      </c>
      <c r="AI182" s="443">
        <f t="shared" si="89"/>
        <v>1.681</v>
      </c>
      <c r="AK182" s="576">
        <f t="shared" si="101"/>
        <v>-3.2294919199322845</v>
      </c>
      <c r="AL182" s="578" t="s">
        <v>338</v>
      </c>
      <c r="AM182" s="505">
        <f>MAX($B178:$B188)</f>
        <v>23398</v>
      </c>
      <c r="AN182" s="469">
        <f t="shared" si="90"/>
        <v>22598</v>
      </c>
      <c r="AO182" s="443">
        <f t="shared" si="91"/>
        <v>3.6</v>
      </c>
      <c r="AQ182" s="576">
        <f t="shared" si="102"/>
        <v>-3.2407659965055013</v>
      </c>
      <c r="AR182" s="578" t="s">
        <v>338</v>
      </c>
      <c r="AS182" s="505">
        <f>MAX($B178:$B188)</f>
        <v>23398</v>
      </c>
      <c r="AT182" s="469">
        <f t="shared" si="92"/>
        <v>22620</v>
      </c>
      <c r="AU182" s="443">
        <f t="shared" si="93"/>
        <v>6.7240000000000002</v>
      </c>
      <c r="AW182" s="576">
        <f t="shared" si="103"/>
        <v>-3.2521686286033176</v>
      </c>
      <c r="AX182" s="578" t="s">
        <v>338</v>
      </c>
      <c r="AY182" s="505">
        <f>MAX($B178:$B188)</f>
        <v>23398</v>
      </c>
      <c r="AZ182" s="469">
        <f t="shared" si="94"/>
        <v>22651</v>
      </c>
      <c r="BA182" s="443">
        <f t="shared" si="95"/>
        <v>12.769</v>
      </c>
      <c r="BC182" s="576">
        <f t="shared" si="104"/>
        <v>4.1828782562992179</v>
      </c>
      <c r="BD182" s="578" t="s">
        <v>338</v>
      </c>
      <c r="BE182" s="505">
        <f>MAX($B178:$B188)</f>
        <v>23398</v>
      </c>
      <c r="BF182" s="469">
        <f t="shared" si="96"/>
        <v>21996</v>
      </c>
      <c r="BG182" s="443">
        <f t="shared" si="97"/>
        <v>293.76400000000001</v>
      </c>
    </row>
    <row r="183" spans="1:60" ht="15" customHeight="1">
      <c r="A183" s="436">
        <f t="shared" si="75"/>
        <v>2011</v>
      </c>
      <c r="B183" s="437">
        <f t="shared" si="75"/>
        <v>22572</v>
      </c>
      <c r="C183" s="533">
        <f t="shared" si="76"/>
        <v>-3.2698613796010694</v>
      </c>
      <c r="D183" s="438">
        <f t="shared" si="77"/>
        <v>6</v>
      </c>
      <c r="E183" s="578" t="s">
        <v>338</v>
      </c>
      <c r="F183" s="505">
        <f>MAX(B178:B188)</f>
        <v>23398</v>
      </c>
      <c r="G183" s="451"/>
      <c r="H183" s="442"/>
      <c r="I183" s="443">
        <f t="shared" si="78"/>
        <v>22892</v>
      </c>
      <c r="J183" s="446">
        <f t="shared" si="79"/>
        <v>1.4176856282119441</v>
      </c>
      <c r="K183" s="443">
        <f t="shared" si="80"/>
        <v>102.4</v>
      </c>
      <c r="M183" s="576">
        <f t="shared" si="81"/>
        <v>-3.1914337463028288</v>
      </c>
      <c r="N183" s="578" t="s">
        <v>339</v>
      </c>
      <c r="O183" s="505">
        <f>AVERAGE($B184:$B188)</f>
        <v>23131.8</v>
      </c>
      <c r="P183" s="469">
        <f t="shared" si="82"/>
        <v>22798</v>
      </c>
      <c r="Q183" s="443">
        <f t="shared" si="83"/>
        <v>51.076000000000001</v>
      </c>
      <c r="S183" s="576">
        <f t="shared" si="98"/>
        <v>-3.305452324703773</v>
      </c>
      <c r="T183" s="578" t="s">
        <v>339</v>
      </c>
      <c r="U183" s="505">
        <f>AVERAGE($B184:$B188)</f>
        <v>23131.8</v>
      </c>
      <c r="V183" s="469">
        <f t="shared" si="84"/>
        <v>23023</v>
      </c>
      <c r="W183" s="443">
        <f t="shared" si="85"/>
        <v>203.40100000000001</v>
      </c>
      <c r="Y183" s="576">
        <f t="shared" si="99"/>
        <v>-3.2468188854539139</v>
      </c>
      <c r="Z183" s="578" t="s">
        <v>339</v>
      </c>
      <c r="AA183" s="505">
        <f>AVERAGE($B184:$B188)</f>
        <v>23131.8</v>
      </c>
      <c r="AB183" s="469">
        <f t="shared" si="86"/>
        <v>22856</v>
      </c>
      <c r="AC183" s="443">
        <f t="shared" si="87"/>
        <v>80.656000000000006</v>
      </c>
      <c r="AE183" s="576">
        <f t="shared" si="100"/>
        <v>-3.2582737644286808</v>
      </c>
      <c r="AF183" s="578" t="s">
        <v>339</v>
      </c>
      <c r="AG183" s="505">
        <f>AVERAGE($B184:$B188)</f>
        <v>23131.8</v>
      </c>
      <c r="AH183" s="469">
        <f t="shared" si="88"/>
        <v>22873</v>
      </c>
      <c r="AI183" s="443">
        <f t="shared" si="89"/>
        <v>90.600999999999999</v>
      </c>
      <c r="AK183" s="576">
        <f t="shared" si="101"/>
        <v>-3.2698613796010694</v>
      </c>
      <c r="AL183" s="578" t="s">
        <v>339</v>
      </c>
      <c r="AM183" s="505">
        <f>AVERAGE($B184:$B188)</f>
        <v>23131.8</v>
      </c>
      <c r="AN183" s="469">
        <f t="shared" si="90"/>
        <v>22892</v>
      </c>
      <c r="AO183" s="443">
        <f t="shared" si="91"/>
        <v>102.4</v>
      </c>
      <c r="AQ183" s="576">
        <f t="shared" si="102"/>
        <v>-3.2815848432971286</v>
      </c>
      <c r="AR183" s="578" t="s">
        <v>339</v>
      </c>
      <c r="AS183" s="505">
        <f>AVERAGE($B184:$B188)</f>
        <v>23131.8</v>
      </c>
      <c r="AT183" s="469">
        <f t="shared" si="92"/>
        <v>22916</v>
      </c>
      <c r="AU183" s="443">
        <f t="shared" si="93"/>
        <v>118.336</v>
      </c>
      <c r="AW183" s="576">
        <f t="shared" si="103"/>
        <v>-3.2934473786069494</v>
      </c>
      <c r="AX183" s="578" t="s">
        <v>339</v>
      </c>
      <c r="AY183" s="505">
        <f>AVERAGE($B184:$B188)</f>
        <v>23131.8</v>
      </c>
      <c r="AZ183" s="469">
        <f t="shared" si="94"/>
        <v>22949</v>
      </c>
      <c r="BA183" s="443">
        <f t="shared" si="95"/>
        <v>142.12899999999999</v>
      </c>
      <c r="BC183" s="576">
        <f t="shared" si="104"/>
        <v>4.1813478170215008</v>
      </c>
      <c r="BD183" s="578" t="s">
        <v>339</v>
      </c>
      <c r="BE183" s="505">
        <f>AVERAGE($B184:$B188)</f>
        <v>23131.8</v>
      </c>
      <c r="BF183" s="469">
        <f t="shared" si="96"/>
        <v>22308</v>
      </c>
      <c r="BG183" s="443">
        <f t="shared" si="97"/>
        <v>69.695999999999998</v>
      </c>
    </row>
    <row r="184" spans="1:60" ht="15" customHeight="1">
      <c r="A184" s="436">
        <f t="shared" si="75"/>
        <v>2012</v>
      </c>
      <c r="B184" s="437">
        <f t="shared" si="75"/>
        <v>22563</v>
      </c>
      <c r="C184" s="533">
        <f t="shared" si="76"/>
        <v>-3.2590276987139699</v>
      </c>
      <c r="D184" s="438">
        <f t="shared" si="77"/>
        <v>7</v>
      </c>
      <c r="E184" s="578" t="s">
        <v>339</v>
      </c>
      <c r="F184" s="505">
        <f>AVERAGE(B184:B188)</f>
        <v>23131.8</v>
      </c>
      <c r="G184" s="451"/>
      <c r="H184" s="442"/>
      <c r="I184" s="443">
        <f t="shared" si="78"/>
        <v>23084</v>
      </c>
      <c r="J184" s="446">
        <f t="shared" si="79"/>
        <v>2.30909010326641</v>
      </c>
      <c r="K184" s="443">
        <f t="shared" si="80"/>
        <v>271.44099999999997</v>
      </c>
      <c r="M184" s="576">
        <f t="shared" si="81"/>
        <v>-3.1813833932560902</v>
      </c>
      <c r="N184" s="579" t="s">
        <v>340</v>
      </c>
      <c r="O184" s="504">
        <f>INDEX(LINEST(M178:M188,$D178:$D188),1)</f>
        <v>-0.35859594983643611</v>
      </c>
      <c r="P184" s="469">
        <f t="shared" si="82"/>
        <v>23005</v>
      </c>
      <c r="Q184" s="443">
        <f>($B184-P184)^2/1000</f>
        <v>195.364</v>
      </c>
      <c r="S184" s="576">
        <f t="shared" si="98"/>
        <v>-3.2942426050050386</v>
      </c>
      <c r="T184" s="579" t="s">
        <v>340</v>
      </c>
      <c r="U184" s="504">
        <f>INDEX(LINEST(S178:S188,$D178:$D188),1)</f>
        <v>-0.60382375272166511</v>
      </c>
      <c r="V184" s="469">
        <f t="shared" si="84"/>
        <v>23192</v>
      </c>
      <c r="W184" s="443">
        <f>($B184-V184)^2/1000</f>
        <v>395.64100000000002</v>
      </c>
      <c r="Y184" s="576">
        <f t="shared" si="99"/>
        <v>-3.2362216931849308</v>
      </c>
      <c r="Z184" s="579" t="s">
        <v>340</v>
      </c>
      <c r="AA184" s="504">
        <f>INDEX(LINEST(Y178:Y188,$D178:$D188),1)</f>
        <v>-0.41335603124844644</v>
      </c>
      <c r="AB184" s="469">
        <f t="shared" si="86"/>
        <v>23054</v>
      </c>
      <c r="AC184" s="443">
        <f t="shared" si="87"/>
        <v>241.08099999999999</v>
      </c>
      <c r="AE184" s="576">
        <f t="shared" si="100"/>
        <v>-3.2475596831223279</v>
      </c>
      <c r="AF184" s="579" t="s">
        <v>340</v>
      </c>
      <c r="AG184" s="504">
        <f>INDEX(LINEST(AE178:AE188,$D178:$D188),1)</f>
        <v>-0.42941283135191466</v>
      </c>
      <c r="AH184" s="469">
        <f t="shared" si="88"/>
        <v>23068</v>
      </c>
      <c r="AI184" s="443">
        <f t="shared" si="89"/>
        <v>255.02500000000001</v>
      </c>
      <c r="AK184" s="576">
        <f t="shared" si="101"/>
        <v>-3.2590276987139699</v>
      </c>
      <c r="AL184" s="579" t="s">
        <v>340</v>
      </c>
      <c r="AM184" s="504">
        <f>INDEX(LINEST(AK178:AK188,$D178:$D188),1)</f>
        <v>-0.44890494755653704</v>
      </c>
      <c r="AN184" s="469">
        <f t="shared" si="90"/>
        <v>23084</v>
      </c>
      <c r="AO184" s="443">
        <f t="shared" si="91"/>
        <v>271.44099999999997</v>
      </c>
      <c r="AQ184" s="576">
        <f t="shared" si="102"/>
        <v>-3.2706287568967327</v>
      </c>
      <c r="AR184" s="579" t="s">
        <v>340</v>
      </c>
      <c r="AS184" s="504">
        <f>INDEX(LINEST(AQ178:AQ188,$D178:$D188),1)</f>
        <v>-0.47406688487099147</v>
      </c>
      <c r="AT184" s="469">
        <f t="shared" si="92"/>
        <v>23103</v>
      </c>
      <c r="AU184" s="443">
        <f t="shared" si="93"/>
        <v>291.60000000000002</v>
      </c>
      <c r="AW184" s="576">
        <f t="shared" si="103"/>
        <v>-3.2823659808424588</v>
      </c>
      <c r="AX184" s="579" t="s">
        <v>340</v>
      </c>
      <c r="AY184" s="504">
        <f>INDEX(LINEST(AW178:AW188,$D178:$D188),1)</f>
        <v>-0.51107330592058609</v>
      </c>
      <c r="AZ184" s="469">
        <f t="shared" si="94"/>
        <v>23131</v>
      </c>
      <c r="BA184" s="443">
        <f t="shared" si="95"/>
        <v>322.62400000000002</v>
      </c>
      <c r="BC184" s="576">
        <f t="shared" si="104"/>
        <v>4.1817527122648759</v>
      </c>
      <c r="BD184" s="579" t="s">
        <v>340</v>
      </c>
      <c r="BE184" s="504">
        <f>INDEX(LINEST(BC178:BC188,$D178:$D188),1)</f>
        <v>-1.4295692483487771E-2</v>
      </c>
      <c r="BF184" s="469">
        <f t="shared" si="96"/>
        <v>22624</v>
      </c>
      <c r="BG184" s="443">
        <f t="shared" si="97"/>
        <v>3.7210000000000001</v>
      </c>
    </row>
    <row r="185" spans="1:60" ht="15" customHeight="1">
      <c r="A185" s="436">
        <f t="shared" si="75"/>
        <v>2013</v>
      </c>
      <c r="B185" s="437">
        <f t="shared" si="75"/>
        <v>23002</v>
      </c>
      <c r="C185" s="533">
        <f t="shared" si="76"/>
        <v>-3.9842132520707301</v>
      </c>
      <c r="D185" s="438">
        <f t="shared" ref="D185:D210" si="105">D184+1</f>
        <v>8</v>
      </c>
      <c r="G185" s="451"/>
      <c r="H185" s="442"/>
      <c r="I185" s="443">
        <f t="shared" si="78"/>
        <v>23208</v>
      </c>
      <c r="J185" s="446">
        <f t="shared" si="79"/>
        <v>0.89557429788714038</v>
      </c>
      <c r="K185" s="443">
        <f t="shared" si="80"/>
        <v>42.436</v>
      </c>
      <c r="M185" s="576">
        <f t="shared" si="81"/>
        <v>-3.8327363706278699</v>
      </c>
      <c r="N185" s="439" t="s">
        <v>305</v>
      </c>
      <c r="O185" s="504">
        <f>INDEX(LINEST(M178:M188,$D178:$D188),2)</f>
        <v>-1.3295976360455826</v>
      </c>
      <c r="P185" s="469">
        <f t="shared" si="82"/>
        <v>23152</v>
      </c>
      <c r="Q185" s="443">
        <f>($B185-P185)^2/1000</f>
        <v>22.5</v>
      </c>
      <c r="S185" s="576">
        <f t="shared" si="98"/>
        <v>-4.0568844423680899</v>
      </c>
      <c r="T185" s="439" t="s">
        <v>305</v>
      </c>
      <c r="U185" s="504">
        <f>INDEX(LINEST(S178:S188,$D178:$D188),2)</f>
        <v>-0.48881549587651829</v>
      </c>
      <c r="V185" s="469">
        <f t="shared" si="84"/>
        <v>23286</v>
      </c>
      <c r="W185" s="443">
        <f>($B185-V185)^2/1000</f>
        <v>80.656000000000006</v>
      </c>
      <c r="Y185" s="576">
        <f t="shared" si="99"/>
        <v>-3.9385432152375452</v>
      </c>
      <c r="Z185" s="439" t="s">
        <v>305</v>
      </c>
      <c r="AA185" s="504">
        <f>INDEX(LINEST(Y178:Y188,$D178:$D188),2)</f>
        <v>-1.1706106155741711</v>
      </c>
      <c r="AB185" s="469">
        <f t="shared" si="86"/>
        <v>23187</v>
      </c>
      <c r="AC185" s="443">
        <f t="shared" si="87"/>
        <v>34.225000000000001</v>
      </c>
      <c r="AE185" s="576">
        <f t="shared" si="100"/>
        <v>-3.9611175372760767</v>
      </c>
      <c r="AF185" s="439" t="s">
        <v>305</v>
      </c>
      <c r="AG185" s="504">
        <f>INDEX(LINEST(AE178:AE188,$D178:$D188),2)</f>
        <v>-1.120087943593969</v>
      </c>
      <c r="AH185" s="469">
        <f t="shared" si="88"/>
        <v>23196</v>
      </c>
      <c r="AI185" s="443">
        <f t="shared" si="89"/>
        <v>37.636000000000003</v>
      </c>
      <c r="AK185" s="576">
        <f t="shared" si="101"/>
        <v>-3.9842132520707301</v>
      </c>
      <c r="AL185" s="439" t="s">
        <v>305</v>
      </c>
      <c r="AM185" s="504">
        <f>INDEX(LINEST(AK178:AK188,$D178:$D188),2)</f>
        <v>-1.0566757519505279</v>
      </c>
      <c r="AN185" s="469">
        <f t="shared" si="90"/>
        <v>23208</v>
      </c>
      <c r="AO185" s="443">
        <f t="shared" si="91"/>
        <v>42.436</v>
      </c>
      <c r="AQ185" s="576">
        <f t="shared" si="102"/>
        <v>-4.0078550151277748</v>
      </c>
      <c r="AR185" s="439" t="s">
        <v>305</v>
      </c>
      <c r="AS185" s="504">
        <f>INDEX(LINEST(AQ178:AQ188,$D178:$D188),2)</f>
        <v>-0.97166673770048861</v>
      </c>
      <c r="AT185" s="469">
        <f t="shared" si="92"/>
        <v>23222</v>
      </c>
      <c r="AU185" s="443">
        <f t="shared" si="93"/>
        <v>48.4</v>
      </c>
      <c r="AW185" s="576">
        <f t="shared" si="103"/>
        <v>-4.0320692732483616</v>
      </c>
      <c r="AX185" s="439" t="s">
        <v>305</v>
      </c>
      <c r="AY185" s="504">
        <f>INDEX(LINEST(AW178:AW188,$D178:$D188),2)</f>
        <v>-0.84071636566056984</v>
      </c>
      <c r="AZ185" s="469">
        <f t="shared" si="94"/>
        <v>23242</v>
      </c>
      <c r="BA185" s="443">
        <f t="shared" si="95"/>
        <v>57.6</v>
      </c>
      <c r="BC185" s="576">
        <f t="shared" si="104"/>
        <v>4.1621857597639327</v>
      </c>
      <c r="BD185" s="439" t="s">
        <v>305</v>
      </c>
      <c r="BE185" s="504">
        <f>INDEX(LINEST(BC178:BC188,$D178:$D188),2)</f>
        <v>4.2790745078766443</v>
      </c>
      <c r="BF185" s="469">
        <f t="shared" si="96"/>
        <v>22945</v>
      </c>
      <c r="BG185" s="443">
        <f t="shared" si="97"/>
        <v>3.2490000000000001</v>
      </c>
    </row>
    <row r="186" spans="1:60" ht="15" customHeight="1">
      <c r="A186" s="436">
        <f t="shared" si="75"/>
        <v>2014</v>
      </c>
      <c r="B186" s="437">
        <f t="shared" si="75"/>
        <v>23362</v>
      </c>
      <c r="C186" s="580">
        <f t="shared" si="76"/>
        <v>-5.8393583445395389</v>
      </c>
      <c r="D186" s="508">
        <f t="shared" si="105"/>
        <v>9</v>
      </c>
      <c r="E186" s="581" t="s">
        <v>340</v>
      </c>
      <c r="F186" s="504">
        <f>INDEX(LINEST(C178:C188,D178:D188),1)</f>
        <v>-0.44890494755653704</v>
      </c>
      <c r="G186" s="582"/>
      <c r="H186" s="442"/>
      <c r="I186" s="443">
        <f t="shared" si="78"/>
        <v>23288</v>
      </c>
      <c r="J186" s="467">
        <f t="shared" si="79"/>
        <v>0.31675370259395602</v>
      </c>
      <c r="K186" s="443">
        <f t="shared" si="80"/>
        <v>5.476</v>
      </c>
      <c r="M186" s="576">
        <f t="shared" si="81"/>
        <v>-5.1316123645584231</v>
      </c>
      <c r="N186" s="578" t="s">
        <v>306</v>
      </c>
      <c r="O186" s="583">
        <f>O184*-1</f>
        <v>0.35859594983643611</v>
      </c>
      <c r="P186" s="469">
        <f t="shared" si="82"/>
        <v>23256</v>
      </c>
      <c r="Q186" s="443">
        <f>($B186-P186)^2/1000</f>
        <v>11.236000000000001</v>
      </c>
      <c r="S186" s="576">
        <f t="shared" si="98"/>
        <v>-6.4212798899892682</v>
      </c>
      <c r="T186" s="578" t="s">
        <v>306</v>
      </c>
      <c r="U186" s="583">
        <f>U184*-1</f>
        <v>0.60382375272166511</v>
      </c>
      <c r="V186" s="469">
        <f t="shared" si="84"/>
        <v>23338</v>
      </c>
      <c r="W186" s="443">
        <f>($B186-V186)^2/1000</f>
        <v>0.57599999999999996</v>
      </c>
      <c r="Y186" s="576">
        <f t="shared" si="99"/>
        <v>-5.5815292352374568</v>
      </c>
      <c r="Z186" s="578" t="s">
        <v>306</v>
      </c>
      <c r="AA186" s="583">
        <f>AA184*-1</f>
        <v>0.41335603124844644</v>
      </c>
      <c r="AB186" s="469">
        <f t="shared" si="86"/>
        <v>23275</v>
      </c>
      <c r="AC186" s="443">
        <f>($B186-AB186)^2/1000</f>
        <v>7.569</v>
      </c>
      <c r="AE186" s="576">
        <f t="shared" si="100"/>
        <v>-5.7021572230260302</v>
      </c>
      <c r="AF186" s="578" t="s">
        <v>306</v>
      </c>
      <c r="AG186" s="583">
        <f>AG184*-1</f>
        <v>0.42941283135191466</v>
      </c>
      <c r="AH186" s="469">
        <f t="shared" si="88"/>
        <v>23281</v>
      </c>
      <c r="AI186" s="443">
        <f>($B186-AH186)^2/1000</f>
        <v>6.5609999999999999</v>
      </c>
      <c r="AK186" s="576">
        <f t="shared" si="101"/>
        <v>-5.8393583445395389</v>
      </c>
      <c r="AL186" s="578" t="s">
        <v>306</v>
      </c>
      <c r="AM186" s="583">
        <f>AM184*-1</f>
        <v>0.44890494755653704</v>
      </c>
      <c r="AN186" s="469">
        <f t="shared" si="90"/>
        <v>23288</v>
      </c>
      <c r="AO186" s="443">
        <f t="shared" si="91"/>
        <v>5.476</v>
      </c>
      <c r="AQ186" s="576">
        <f t="shared" si="102"/>
        <v>-5.9984230391692579</v>
      </c>
      <c r="AR186" s="578" t="s">
        <v>306</v>
      </c>
      <c r="AS186" s="583">
        <f>AS184*-1</f>
        <v>0.47406688487099147</v>
      </c>
      <c r="AT186" s="469">
        <f t="shared" si="92"/>
        <v>23296</v>
      </c>
      <c r="AU186" s="443">
        <f>($B186-AT186)^2/1000</f>
        <v>4.3559999999999999</v>
      </c>
      <c r="AW186" s="576">
        <f t="shared" si="103"/>
        <v>-6.1876650388077232</v>
      </c>
      <c r="AX186" s="578" t="s">
        <v>306</v>
      </c>
      <c r="AY186" s="583">
        <f>AY184*-1</f>
        <v>0.51107330592058609</v>
      </c>
      <c r="AZ186" s="469">
        <f t="shared" si="94"/>
        <v>23309</v>
      </c>
      <c r="BA186" s="443">
        <f>($B186-AZ186)^2/1000</f>
        <v>2.8090000000000002</v>
      </c>
      <c r="BC186" s="576">
        <f t="shared" si="104"/>
        <v>4.1464123903565797</v>
      </c>
      <c r="BD186" s="578" t="s">
        <v>306</v>
      </c>
      <c r="BE186" s="583">
        <f>BE184*-1</f>
        <v>1.4295692483487771E-2</v>
      </c>
      <c r="BF186" s="469">
        <f t="shared" si="96"/>
        <v>23270</v>
      </c>
      <c r="BG186" s="443">
        <f>($B186-BF186)^2/1000</f>
        <v>8.4640000000000004</v>
      </c>
    </row>
    <row r="187" spans="1:60" ht="15" customHeight="1">
      <c r="A187" s="436">
        <f t="shared" si="75"/>
        <v>2015</v>
      </c>
      <c r="B187" s="437">
        <f t="shared" si="75"/>
        <v>23334</v>
      </c>
      <c r="C187" s="580">
        <f t="shared" si="76"/>
        <v>-5.4933186119159414</v>
      </c>
      <c r="D187" s="508">
        <f t="shared" si="105"/>
        <v>10</v>
      </c>
      <c r="E187" s="540" t="s">
        <v>305</v>
      </c>
      <c r="F187" s="504">
        <f>INDEX(LINEST(C178:C188,D178:D188),2)</f>
        <v>-1.0566757519505279</v>
      </c>
      <c r="G187" s="451"/>
      <c r="H187" s="439"/>
      <c r="I187" s="443">
        <f t="shared" si="78"/>
        <v>23339</v>
      </c>
      <c r="J187" s="467">
        <f t="shared" si="79"/>
        <v>2.1427959201165681E-2</v>
      </c>
      <c r="K187" s="443">
        <f t="shared" si="80"/>
        <v>2.5000000000000001E-2</v>
      </c>
      <c r="M187" s="576">
        <f t="shared" si="81"/>
        <v>-4.9456790150272507</v>
      </c>
      <c r="N187" s="439" t="s">
        <v>321</v>
      </c>
      <c r="O187" s="504">
        <f>P177</f>
        <v>0.94460608162593329</v>
      </c>
      <c r="P187" s="469">
        <f t="shared" si="82"/>
        <v>23329</v>
      </c>
      <c r="Q187" s="443">
        <f>($B187-P187)^2/1000</f>
        <v>2.5000000000000001E-2</v>
      </c>
      <c r="S187" s="576">
        <f t="shared" si="98"/>
        <v>-5.8680120613573576</v>
      </c>
      <c r="T187" s="439" t="s">
        <v>321</v>
      </c>
      <c r="U187" s="504">
        <f>V177</f>
        <v>0.94058401990159868</v>
      </c>
      <c r="V187" s="469">
        <f t="shared" si="84"/>
        <v>23366</v>
      </c>
      <c r="W187" s="443">
        <f>($B187-V187)^2/1000</f>
        <v>1.024</v>
      </c>
      <c r="Y187" s="576">
        <f t="shared" si="99"/>
        <v>-5.3040766122774263</v>
      </c>
      <c r="Z187" s="439" t="s">
        <v>386</v>
      </c>
      <c r="AA187" s="504">
        <f>AB177</f>
        <v>0.94853915892629437</v>
      </c>
      <c r="AB187" s="469">
        <f t="shared" si="86"/>
        <v>23334</v>
      </c>
      <c r="AC187" s="443">
        <f>($B187-AB187)^2/1000</f>
        <v>0</v>
      </c>
      <c r="AE187" s="576">
        <f t="shared" si="100"/>
        <v>-5.3942277092717426</v>
      </c>
      <c r="AF187" s="439" t="s">
        <v>321</v>
      </c>
      <c r="AG187" s="504">
        <f>AH177</f>
        <v>0.94885488056456735</v>
      </c>
      <c r="AH187" s="469">
        <f t="shared" si="88"/>
        <v>23336</v>
      </c>
      <c r="AI187" s="443">
        <f>($B187-AH187)^2/1000</f>
        <v>4.0000000000000001E-3</v>
      </c>
      <c r="AK187" s="576">
        <f t="shared" si="101"/>
        <v>-5.4933186119159414</v>
      </c>
      <c r="AL187" s="439" t="s">
        <v>321</v>
      </c>
      <c r="AM187" s="504">
        <f>AN177</f>
        <v>0.9490345421701174</v>
      </c>
      <c r="AN187" s="469">
        <f t="shared" si="90"/>
        <v>23339</v>
      </c>
      <c r="AO187" s="443">
        <f t="shared" si="91"/>
        <v>2.5000000000000001E-2</v>
      </c>
      <c r="AQ187" s="576">
        <f t="shared" si="102"/>
        <v>-5.6033195071302915</v>
      </c>
      <c r="AR187" s="439" t="s">
        <v>321</v>
      </c>
      <c r="AS187" s="504">
        <f>AT177</f>
        <v>0.94870749428530465</v>
      </c>
      <c r="AT187" s="469">
        <f t="shared" si="92"/>
        <v>23343</v>
      </c>
      <c r="AU187" s="443">
        <f>($B187-AT187)^2/1000</f>
        <v>8.1000000000000003E-2</v>
      </c>
      <c r="AW187" s="576">
        <f t="shared" si="103"/>
        <v>-5.7269334630974953</v>
      </c>
      <c r="AX187" s="439" t="s">
        <v>321</v>
      </c>
      <c r="AY187" s="504">
        <f>AZ177</f>
        <v>0.94730804271020219</v>
      </c>
      <c r="AZ187" s="469">
        <f t="shared" si="94"/>
        <v>23349</v>
      </c>
      <c r="BA187" s="443">
        <f>($B187-AZ187)^2/1000</f>
        <v>0.22500000000000001</v>
      </c>
      <c r="BC187" s="576">
        <f t="shared" si="104"/>
        <v>4.1476305985020359</v>
      </c>
      <c r="BD187" s="439" t="s">
        <v>321</v>
      </c>
      <c r="BE187" s="504">
        <f>BF177</f>
        <v>0.77336832941870126</v>
      </c>
      <c r="BF187" s="469">
        <f t="shared" si="96"/>
        <v>23600</v>
      </c>
      <c r="BG187" s="443">
        <f>($B187-BF187)^2/1000</f>
        <v>70.756</v>
      </c>
    </row>
    <row r="188" spans="1:60" ht="15" customHeight="1" thickBot="1">
      <c r="A188" s="436">
        <f t="shared" si="75"/>
        <v>2016</v>
      </c>
      <c r="B188" s="437">
        <f t="shared" si="75"/>
        <v>23398</v>
      </c>
      <c r="C188" s="580">
        <f t="shared" si="76"/>
        <v>-6.5946699248078033</v>
      </c>
      <c r="D188" s="508">
        <f t="shared" si="105"/>
        <v>11</v>
      </c>
      <c r="E188" s="578" t="s">
        <v>306</v>
      </c>
      <c r="F188" s="583">
        <f>F186*-1</f>
        <v>0.44890494755653704</v>
      </c>
      <c r="H188" s="558"/>
      <c r="I188" s="443">
        <f t="shared" si="78"/>
        <v>23372</v>
      </c>
      <c r="J188" s="467">
        <f t="shared" si="79"/>
        <v>0.11112060859902555</v>
      </c>
      <c r="K188" s="443">
        <f t="shared" si="80"/>
        <v>0.67600000000000005</v>
      </c>
      <c r="M188" s="576">
        <f t="shared" si="81"/>
        <v>-5.4354330143232783</v>
      </c>
      <c r="N188" s="439" t="s">
        <v>322</v>
      </c>
      <c r="O188" s="363">
        <f>SUM(Q178:Q188)</f>
        <v>753.74099999999999</v>
      </c>
      <c r="P188" s="469">
        <f t="shared" si="82"/>
        <v>23380</v>
      </c>
      <c r="Q188" s="443">
        <f>($B188-P188)^2/1000</f>
        <v>0.32400000000000001</v>
      </c>
      <c r="S188" s="584">
        <f t="shared" si="98"/>
        <v>-9.36725864704791</v>
      </c>
      <c r="T188" s="439" t="s">
        <v>322</v>
      </c>
      <c r="U188" s="363">
        <f>SUM(W178:W188)</f>
        <v>7374.8090000000002</v>
      </c>
      <c r="V188" s="469">
        <f t="shared" si="84"/>
        <v>23381</v>
      </c>
      <c r="W188" s="443">
        <f>($B188-V188)^2/1000</f>
        <v>0.28899999999999998</v>
      </c>
      <c r="Y188" s="584">
        <f t="shared" si="99"/>
        <v>-6.1091621090261281</v>
      </c>
      <c r="Z188" s="439" t="s">
        <v>322</v>
      </c>
      <c r="AA188" s="363">
        <f>SUM(AC178:AC188)</f>
        <v>937.1110000000001</v>
      </c>
      <c r="AB188" s="469">
        <f t="shared" si="86"/>
        <v>23373</v>
      </c>
      <c r="AC188" s="443">
        <f>($B188-AB188)^2/1000</f>
        <v>0.625</v>
      </c>
      <c r="AE188" s="584">
        <f t="shared" si="100"/>
        <v>-6.3227362093242396</v>
      </c>
      <c r="AF188" s="439" t="s">
        <v>322</v>
      </c>
      <c r="AG188" s="363">
        <f>SUM(AI178:AI188)</f>
        <v>1076.1859999999999</v>
      </c>
      <c r="AH188" s="469">
        <f t="shared" si="88"/>
        <v>23372</v>
      </c>
      <c r="AI188" s="443">
        <f>($B188-AH188)^2/1000</f>
        <v>0.67600000000000005</v>
      </c>
      <c r="AK188" s="584">
        <f t="shared" si="101"/>
        <v>-6.5946699248078033</v>
      </c>
      <c r="AL188" s="439" t="s">
        <v>322</v>
      </c>
      <c r="AM188" s="363">
        <f>SUM(AO178:AO188)</f>
        <v>1307.9369999999999</v>
      </c>
      <c r="AN188" s="469">
        <f t="shared" si="90"/>
        <v>23372</v>
      </c>
      <c r="AO188" s="443">
        <f>($B188-AN188)^2/1000</f>
        <v>0.67600000000000005</v>
      </c>
      <c r="AQ188" s="584">
        <f t="shared" si="102"/>
        <v>-6.9693633742493031</v>
      </c>
      <c r="AR188" s="439" t="s">
        <v>322</v>
      </c>
      <c r="AS188" s="363">
        <f>SUM(AU178:AU188)</f>
        <v>1729.9789999999998</v>
      </c>
      <c r="AT188" s="469">
        <f t="shared" si="92"/>
        <v>23372</v>
      </c>
      <c r="AU188" s="443">
        <f>($B188-AT188)^2/1000</f>
        <v>0.67600000000000005</v>
      </c>
      <c r="AW188" s="584">
        <f t="shared" si="103"/>
        <v>-7.5754991778194221</v>
      </c>
      <c r="AX188" s="439" t="s">
        <v>322</v>
      </c>
      <c r="AY188" s="363">
        <f>SUM(BA178:BA188)</f>
        <v>2671.1549999999997</v>
      </c>
      <c r="AZ188" s="469">
        <f t="shared" si="94"/>
        <v>23374</v>
      </c>
      <c r="BA188" s="443">
        <f>($B188-AZ188)^2/1000</f>
        <v>0.57599999999999996</v>
      </c>
      <c r="BC188" s="584">
        <f t="shared" si="104"/>
        <v>4.1448482324616931</v>
      </c>
      <c r="BD188" s="439" t="s">
        <v>322</v>
      </c>
      <c r="BE188" s="363">
        <f>SUM(BG178:BG188)</f>
        <v>3013.1399999999994</v>
      </c>
      <c r="BF188" s="469">
        <f t="shared" si="96"/>
        <v>23934</v>
      </c>
      <c r="BG188" s="443">
        <f>($B188-BF188)^2/1000</f>
        <v>287.29599999999999</v>
      </c>
    </row>
    <row r="189" spans="1:60" ht="15" customHeight="1" thickTop="1">
      <c r="A189" s="511">
        <f t="shared" si="75"/>
        <v>2017</v>
      </c>
      <c r="B189" s="459">
        <f t="shared" si="75"/>
        <v>23731</v>
      </c>
      <c r="C189" s="585"/>
      <c r="D189" s="513">
        <f t="shared" si="105"/>
        <v>12</v>
      </c>
      <c r="E189" s="462"/>
      <c r="F189" s="461"/>
      <c r="G189" s="461"/>
      <c r="H189" s="586"/>
      <c r="I189" s="464">
        <f t="shared" si="78"/>
        <v>23393</v>
      </c>
      <c r="J189" s="463"/>
      <c r="K189" s="464"/>
      <c r="M189" s="587"/>
      <c r="N189" s="461"/>
      <c r="O189" s="461"/>
      <c r="P189" s="588"/>
      <c r="Q189" s="589"/>
      <c r="S189" s="587"/>
      <c r="T189" s="461"/>
      <c r="U189" s="461"/>
      <c r="V189" s="588"/>
      <c r="W189" s="589"/>
      <c r="Y189" s="587"/>
      <c r="Z189" s="461"/>
      <c r="AA189" s="461"/>
      <c r="AB189" s="588"/>
      <c r="AC189" s="589"/>
      <c r="AE189" s="587"/>
      <c r="AF189" s="461"/>
      <c r="AG189" s="461"/>
      <c r="AH189" s="588"/>
      <c r="AI189" s="589"/>
      <c r="AK189" s="587"/>
      <c r="AL189" s="461"/>
      <c r="AM189" s="461"/>
      <c r="AN189" s="588"/>
      <c r="AO189" s="589"/>
      <c r="AQ189" s="587"/>
      <c r="AR189" s="461"/>
      <c r="AS189" s="461"/>
      <c r="AT189" s="588"/>
      <c r="AU189" s="589"/>
      <c r="AW189" s="587"/>
      <c r="AX189" s="461"/>
      <c r="AY189" s="461"/>
      <c r="AZ189" s="588"/>
      <c r="BA189" s="589"/>
      <c r="BC189" s="587"/>
      <c r="BD189" s="461"/>
      <c r="BE189" s="461"/>
      <c r="BF189" s="588"/>
      <c r="BG189" s="589"/>
    </row>
    <row r="190" spans="1:60" ht="15" customHeight="1">
      <c r="A190" s="436">
        <f>A154</f>
        <v>2018</v>
      </c>
      <c r="B190" s="437">
        <f t="shared" ref="B190:B210" si="106">ROUND(F$182/(1+EXP(F$187+F$186*D190)),$G$1)</f>
        <v>23406</v>
      </c>
      <c r="C190" s="580"/>
      <c r="D190" s="508">
        <f t="shared" si="105"/>
        <v>13</v>
      </c>
      <c r="E190" s="2318" t="s">
        <v>276</v>
      </c>
      <c r="F190" s="2320"/>
      <c r="G190" s="447">
        <f>I177</f>
        <v>0.9490345421701174</v>
      </c>
      <c r="H190" s="558"/>
      <c r="I190" s="443">
        <f t="shared" si="78"/>
        <v>23406</v>
      </c>
      <c r="J190" s="467"/>
      <c r="K190" s="443"/>
      <c r="M190" s="590"/>
      <c r="N190" s="451"/>
      <c r="O190" s="451"/>
      <c r="P190" s="493"/>
      <c r="Q190" s="492"/>
      <c r="S190" s="590"/>
      <c r="T190" s="451"/>
      <c r="U190" s="451"/>
      <c r="V190" s="493"/>
      <c r="W190" s="492"/>
      <c r="Y190" s="590"/>
      <c r="Z190" s="451"/>
      <c r="AA190" s="451"/>
      <c r="AB190" s="493"/>
      <c r="AC190" s="492"/>
      <c r="AE190" s="590"/>
      <c r="AF190" s="451"/>
      <c r="AG190" s="451"/>
      <c r="AH190" s="493"/>
      <c r="AI190" s="492"/>
      <c r="AK190" s="590"/>
      <c r="AL190" s="451"/>
      <c r="AM190" s="451"/>
      <c r="AN190" s="493"/>
      <c r="AO190" s="492"/>
      <c r="AQ190" s="590"/>
      <c r="AR190" s="451"/>
      <c r="AS190" s="451"/>
      <c r="AT190" s="493"/>
      <c r="AU190" s="492"/>
      <c r="AW190" s="590"/>
      <c r="AX190" s="451"/>
      <c r="AY190" s="451"/>
      <c r="AZ190" s="493"/>
      <c r="BA190" s="492"/>
      <c r="BC190" s="590"/>
      <c r="BD190" s="451"/>
      <c r="BE190" s="451"/>
      <c r="BF190" s="493"/>
      <c r="BG190" s="492"/>
    </row>
    <row r="191" spans="1:60" ht="15" customHeight="1">
      <c r="A191" s="436">
        <f>A155</f>
        <v>2019</v>
      </c>
      <c r="B191" s="437">
        <f t="shared" si="106"/>
        <v>23415</v>
      </c>
      <c r="C191" s="580"/>
      <c r="D191" s="508">
        <f t="shared" si="105"/>
        <v>14</v>
      </c>
      <c r="E191" s="2318" t="s">
        <v>323</v>
      </c>
      <c r="F191" s="2320"/>
      <c r="G191" s="448">
        <f>SUM(K178:K188)</f>
        <v>1307.9369999999999</v>
      </c>
      <c r="H191" s="558"/>
      <c r="I191" s="443">
        <f t="shared" si="78"/>
        <v>23415</v>
      </c>
      <c r="J191" s="467"/>
      <c r="K191" s="443"/>
      <c r="M191" s="505" t="str">
        <f>E183</f>
        <v>max(y) =</v>
      </c>
      <c r="N191" s="505">
        <f>F183</f>
        <v>23398</v>
      </c>
      <c r="O191" s="505"/>
      <c r="P191" s="505"/>
      <c r="Q191" s="505"/>
      <c r="R191" s="505"/>
      <c r="S191" s="505" t="str">
        <f>M191</f>
        <v>max(y) =</v>
      </c>
      <c r="T191" s="505">
        <f>N191</f>
        <v>23398</v>
      </c>
      <c r="U191" s="505"/>
      <c r="V191" s="505"/>
      <c r="W191" s="505"/>
      <c r="X191" s="505"/>
      <c r="Y191" s="505" t="str">
        <f>S191</f>
        <v>max(y) =</v>
      </c>
      <c r="Z191" s="505">
        <f>T191</f>
        <v>23398</v>
      </c>
      <c r="AA191" s="505"/>
      <c r="AB191" s="505"/>
      <c r="AC191" s="505"/>
      <c r="AD191" s="505"/>
      <c r="AE191" s="505" t="str">
        <f>Y191</f>
        <v>max(y) =</v>
      </c>
      <c r="AF191" s="505">
        <f>Z191</f>
        <v>23398</v>
      </c>
      <c r="AG191" s="505"/>
      <c r="AH191" s="505"/>
      <c r="AI191" s="505"/>
      <c r="AJ191" s="505"/>
      <c r="AK191" s="505" t="str">
        <f>AE191</f>
        <v>max(y) =</v>
      </c>
      <c r="AL191" s="505">
        <f>AF191</f>
        <v>23398</v>
      </c>
      <c r="AM191" s="505"/>
      <c r="AN191" s="505"/>
      <c r="AO191" s="505"/>
      <c r="AP191" s="505"/>
      <c r="AQ191" s="505" t="str">
        <f>AK191</f>
        <v>max(y) =</v>
      </c>
      <c r="AR191" s="505">
        <f>AL191</f>
        <v>23398</v>
      </c>
      <c r="AS191" s="505"/>
      <c r="AT191" s="505"/>
      <c r="AU191" s="505"/>
      <c r="AV191" s="505"/>
      <c r="AW191" s="505" t="str">
        <f>AQ191</f>
        <v>max(y) =</v>
      </c>
      <c r="AX191" s="505">
        <f>AR191</f>
        <v>23398</v>
      </c>
      <c r="AY191" s="505"/>
      <c r="AZ191" s="505"/>
      <c r="BA191" s="505"/>
      <c r="BB191" s="505"/>
      <c r="BC191" s="505" t="str">
        <f>AW191</f>
        <v>max(y) =</v>
      </c>
      <c r="BD191" s="505">
        <f>AX191</f>
        <v>23398</v>
      </c>
      <c r="BE191" s="505"/>
      <c r="BF191" s="505"/>
      <c r="BG191" s="505"/>
      <c r="BH191" s="505"/>
    </row>
    <row r="192" spans="1:60" ht="15" customHeight="1">
      <c r="A192" s="436">
        <f>A156</f>
        <v>2020</v>
      </c>
      <c r="B192" s="437">
        <f t="shared" si="106"/>
        <v>23420</v>
      </c>
      <c r="C192" s="580"/>
      <c r="D192" s="508">
        <f t="shared" si="105"/>
        <v>15</v>
      </c>
      <c r="E192" s="2318" t="s">
        <v>324</v>
      </c>
      <c r="F192" s="2320"/>
      <c r="G192" s="449">
        <f>SUM(J178:J188)/D199</f>
        <v>0.58384891685708418</v>
      </c>
      <c r="H192" s="558"/>
      <c r="I192" s="443">
        <f t="shared" si="78"/>
        <v>23420</v>
      </c>
      <c r="J192" s="467"/>
      <c r="K192" s="443"/>
      <c r="M192" s="505" t="s">
        <v>326</v>
      </c>
      <c r="N192" s="505">
        <v>3</v>
      </c>
      <c r="O192" s="505"/>
      <c r="P192" s="505"/>
      <c r="Q192" s="505"/>
      <c r="R192" s="505"/>
      <c r="S192" s="505" t="s">
        <v>326</v>
      </c>
      <c r="T192" s="505">
        <f>N192</f>
        <v>3</v>
      </c>
      <c r="U192" s="505"/>
      <c r="V192" s="505"/>
      <c r="W192" s="505"/>
      <c r="X192" s="505"/>
      <c r="Y192" s="505" t="s">
        <v>326</v>
      </c>
      <c r="Z192" s="505">
        <f>T192</f>
        <v>3</v>
      </c>
      <c r="AA192" s="505"/>
      <c r="AB192" s="505"/>
      <c r="AC192" s="505"/>
      <c r="AD192" s="505"/>
      <c r="AE192" s="505" t="s">
        <v>326</v>
      </c>
      <c r="AF192" s="505">
        <f>Z192</f>
        <v>3</v>
      </c>
      <c r="AG192" s="505"/>
      <c r="AH192" s="505"/>
      <c r="AI192" s="505"/>
      <c r="AJ192" s="505"/>
      <c r="AK192" s="505" t="s">
        <v>326</v>
      </c>
      <c r="AL192" s="505">
        <f>AF192</f>
        <v>3</v>
      </c>
      <c r="AM192" s="505"/>
      <c r="AN192" s="505"/>
      <c r="AO192" s="505"/>
      <c r="AP192" s="505"/>
      <c r="AQ192" s="505" t="s">
        <v>326</v>
      </c>
      <c r="AR192" s="505">
        <f>AL192</f>
        <v>3</v>
      </c>
      <c r="AS192" s="505"/>
      <c r="AT192" s="505"/>
      <c r="AU192" s="505"/>
      <c r="AV192" s="505"/>
      <c r="AW192" s="505" t="s">
        <v>326</v>
      </c>
      <c r="AX192" s="505">
        <f>AR192</f>
        <v>3</v>
      </c>
      <c r="AY192" s="505"/>
      <c r="AZ192" s="505"/>
      <c r="BA192" s="505"/>
      <c r="BB192" s="505"/>
      <c r="BC192" s="505" t="s">
        <v>326</v>
      </c>
      <c r="BD192" s="505">
        <f>AX192</f>
        <v>3</v>
      </c>
      <c r="BE192" s="505"/>
      <c r="BF192" s="505"/>
      <c r="BG192" s="505"/>
      <c r="BH192" s="505"/>
    </row>
    <row r="193" spans="1:70" ht="15" customHeight="1">
      <c r="A193" s="436">
        <f>A157</f>
        <v>2021</v>
      </c>
      <c r="B193" s="437">
        <f t="shared" si="106"/>
        <v>23424</v>
      </c>
      <c r="C193" s="580"/>
      <c r="D193" s="508">
        <f t="shared" si="105"/>
        <v>16</v>
      </c>
      <c r="H193" s="558"/>
      <c r="I193" s="443">
        <f t="shared" si="78"/>
        <v>23424</v>
      </c>
      <c r="J193" s="467"/>
      <c r="K193" s="443"/>
      <c r="M193" s="505" t="s">
        <v>343</v>
      </c>
      <c r="N193" s="559">
        <v>100000</v>
      </c>
      <c r="O193" s="505"/>
      <c r="P193" s="505"/>
      <c r="Q193" s="505"/>
      <c r="R193" s="505"/>
      <c r="S193" s="505" t="s">
        <v>343</v>
      </c>
      <c r="T193" s="505">
        <f>N193</f>
        <v>100000</v>
      </c>
      <c r="U193" s="505"/>
      <c r="V193" s="505"/>
      <c r="W193" s="505"/>
      <c r="X193" s="505"/>
      <c r="Y193" s="505" t="s">
        <v>390</v>
      </c>
      <c r="Z193" s="505">
        <f>T193</f>
        <v>100000</v>
      </c>
      <c r="AA193" s="505"/>
      <c r="AB193" s="505"/>
      <c r="AC193" s="505"/>
      <c r="AD193" s="505"/>
      <c r="AE193" s="505" t="s">
        <v>343</v>
      </c>
      <c r="AF193" s="505">
        <f>Z193</f>
        <v>100000</v>
      </c>
      <c r="AG193" s="505"/>
      <c r="AH193" s="505"/>
      <c r="AI193" s="505"/>
      <c r="AJ193" s="505"/>
      <c r="AK193" s="505" t="s">
        <v>343</v>
      </c>
      <c r="AL193" s="505">
        <f>AF193</f>
        <v>100000</v>
      </c>
      <c r="AM193" s="505"/>
      <c r="AN193" s="505"/>
      <c r="AO193" s="505"/>
      <c r="AP193" s="505"/>
      <c r="AQ193" s="505" t="s">
        <v>343</v>
      </c>
      <c r="AR193" s="505">
        <f>AL193</f>
        <v>100000</v>
      </c>
      <c r="AS193" s="505"/>
      <c r="AT193" s="505"/>
      <c r="AU193" s="505"/>
      <c r="AV193" s="505"/>
      <c r="AW193" s="505" t="s">
        <v>343</v>
      </c>
      <c r="AX193" s="505">
        <f>AR193</f>
        <v>100000</v>
      </c>
      <c r="AY193" s="505"/>
      <c r="AZ193" s="505"/>
      <c r="BA193" s="505"/>
      <c r="BB193" s="505"/>
      <c r="BC193" s="505" t="s">
        <v>343</v>
      </c>
      <c r="BD193" s="505">
        <f>AX193</f>
        <v>100000</v>
      </c>
      <c r="BE193" s="505"/>
      <c r="BF193" s="505"/>
      <c r="BG193" s="505"/>
      <c r="BH193" s="505"/>
    </row>
    <row r="194" spans="1:70" ht="15" customHeight="1">
      <c r="A194" s="436">
        <f>A158</f>
        <v>2022</v>
      </c>
      <c r="B194" s="437">
        <f t="shared" si="106"/>
        <v>23426</v>
      </c>
      <c r="C194" s="580"/>
      <c r="D194" s="508">
        <f t="shared" si="105"/>
        <v>17</v>
      </c>
      <c r="E194" s="451"/>
      <c r="F194" s="451"/>
      <c r="G194" s="451"/>
      <c r="H194" s="558"/>
      <c r="I194" s="443">
        <f t="shared" si="78"/>
        <v>23426</v>
      </c>
      <c r="J194" s="467"/>
      <c r="K194" s="443"/>
      <c r="M194" s="590"/>
      <c r="N194" s="451"/>
      <c r="O194" s="451"/>
      <c r="P194" s="493"/>
      <c r="Q194" s="492"/>
      <c r="S194" s="590"/>
      <c r="T194" s="451"/>
      <c r="U194" s="451"/>
      <c r="V194" s="493"/>
      <c r="W194" s="492"/>
      <c r="Y194" s="590"/>
      <c r="Z194" s="451"/>
      <c r="AA194" s="451"/>
      <c r="AB194" s="493"/>
      <c r="AC194" s="492"/>
      <c r="AE194" s="590"/>
      <c r="AF194" s="451"/>
      <c r="AG194" s="451"/>
      <c r="AH194" s="493"/>
      <c r="AI194" s="492"/>
      <c r="AK194" s="590"/>
      <c r="AL194" s="451"/>
      <c r="AM194" s="451"/>
      <c r="AN194" s="493"/>
      <c r="AO194" s="492"/>
      <c r="AQ194" s="590"/>
      <c r="AR194" s="451"/>
      <c r="AS194" s="451"/>
      <c r="AT194" s="493"/>
      <c r="AU194" s="492"/>
      <c r="AW194" s="590"/>
      <c r="AX194" s="451"/>
      <c r="AY194" s="451"/>
      <c r="AZ194" s="493"/>
      <c r="BA194" s="492"/>
      <c r="BC194" s="590"/>
      <c r="BD194" s="451"/>
      <c r="BE194" s="451"/>
      <c r="BF194" s="493"/>
      <c r="BG194" s="492"/>
    </row>
    <row r="195" spans="1:70" ht="15" customHeight="1">
      <c r="A195" s="436">
        <f t="shared" ref="A195:A210" si="107">A159</f>
        <v>2023</v>
      </c>
      <c r="B195" s="437">
        <f t="shared" si="106"/>
        <v>23427</v>
      </c>
      <c r="C195" s="580"/>
      <c r="D195" s="508">
        <f t="shared" si="105"/>
        <v>18</v>
      </c>
      <c r="E195" s="451"/>
      <c r="F195" s="451"/>
      <c r="G195" s="451"/>
      <c r="H195" s="558"/>
      <c r="I195" s="443">
        <f t="shared" si="78"/>
        <v>23427</v>
      </c>
      <c r="J195" s="467"/>
      <c r="K195" s="443"/>
      <c r="M195" s="590"/>
      <c r="N195" s="451"/>
      <c r="O195" s="451"/>
      <c r="P195" s="493"/>
      <c r="Q195" s="492"/>
      <c r="S195" s="590"/>
      <c r="T195" s="451"/>
      <c r="U195" s="451"/>
      <c r="V195" s="493"/>
      <c r="W195" s="492"/>
      <c r="Y195" s="590"/>
      <c r="Z195" s="451"/>
      <c r="AA195" s="451"/>
      <c r="AB195" s="493"/>
      <c r="AC195" s="492"/>
      <c r="AE195" s="590"/>
      <c r="AF195" s="451"/>
      <c r="AG195" s="451"/>
      <c r="AH195" s="493"/>
      <c r="AI195" s="492"/>
      <c r="AK195" s="590"/>
      <c r="AL195" s="451"/>
      <c r="AM195" s="451"/>
      <c r="AN195" s="493"/>
      <c r="AO195" s="492"/>
      <c r="AQ195" s="590"/>
      <c r="AR195" s="451"/>
      <c r="AS195" s="451"/>
      <c r="AT195" s="493"/>
      <c r="AU195" s="492"/>
      <c r="AW195" s="590"/>
      <c r="AX195" s="451"/>
      <c r="AY195" s="451"/>
      <c r="AZ195" s="493"/>
      <c r="BA195" s="492"/>
      <c r="BC195" s="590"/>
      <c r="BD195" s="451"/>
      <c r="BE195" s="451"/>
      <c r="BF195" s="493"/>
      <c r="BG195" s="492"/>
    </row>
    <row r="196" spans="1:70" s="451" customFormat="1" ht="15" customHeight="1">
      <c r="A196" s="436">
        <f t="shared" si="107"/>
        <v>2024</v>
      </c>
      <c r="B196" s="437">
        <f t="shared" si="106"/>
        <v>23428</v>
      </c>
      <c r="C196" s="580"/>
      <c r="D196" s="508">
        <f t="shared" si="105"/>
        <v>19</v>
      </c>
      <c r="H196" s="558"/>
      <c r="I196" s="443">
        <f t="shared" si="78"/>
        <v>23428</v>
      </c>
      <c r="J196" s="467"/>
      <c r="K196" s="443"/>
      <c r="M196" s="590"/>
      <c r="P196" s="493"/>
      <c r="Q196" s="492"/>
      <c r="S196" s="590"/>
      <c r="V196" s="493"/>
      <c r="W196" s="492"/>
      <c r="Y196" s="590"/>
      <c r="AB196" s="493"/>
      <c r="AC196" s="492"/>
      <c r="AE196" s="590"/>
      <c r="AH196" s="493"/>
      <c r="AI196" s="492"/>
      <c r="AK196" s="590"/>
      <c r="AN196" s="493"/>
      <c r="AO196" s="492"/>
      <c r="AQ196" s="590"/>
      <c r="AT196" s="493"/>
      <c r="AU196" s="492"/>
      <c r="AW196" s="590"/>
      <c r="AZ196" s="493"/>
      <c r="BA196" s="492"/>
      <c r="BC196" s="590"/>
      <c r="BF196" s="493"/>
      <c r="BG196" s="492"/>
    </row>
    <row r="197" spans="1:70" ht="15" customHeight="1">
      <c r="A197" s="436">
        <f t="shared" si="107"/>
        <v>2025</v>
      </c>
      <c r="B197" s="437">
        <f t="shared" si="106"/>
        <v>23429</v>
      </c>
      <c r="C197" s="580"/>
      <c r="D197" s="508">
        <f t="shared" si="105"/>
        <v>20</v>
      </c>
      <c r="E197" s="519"/>
      <c r="F197" s="451"/>
      <c r="G197" s="451"/>
      <c r="H197" s="558"/>
      <c r="I197" s="443">
        <f t="shared" si="78"/>
        <v>23429</v>
      </c>
      <c r="J197" s="467"/>
      <c r="K197" s="443"/>
      <c r="M197" s="590"/>
      <c r="N197" s="451"/>
      <c r="O197" s="451"/>
      <c r="P197" s="493"/>
      <c r="Q197" s="492"/>
      <c r="S197" s="590"/>
      <c r="T197" s="451"/>
      <c r="U197" s="451"/>
      <c r="V197" s="493"/>
      <c r="W197" s="492"/>
      <c r="Y197" s="590"/>
      <c r="Z197" s="451"/>
      <c r="AA197" s="451"/>
      <c r="AB197" s="493"/>
      <c r="AC197" s="492"/>
      <c r="AE197" s="590"/>
      <c r="AF197" s="451"/>
      <c r="AG197" s="451"/>
      <c r="AH197" s="493"/>
      <c r="AI197" s="492"/>
      <c r="AK197" s="590"/>
      <c r="AL197" s="451"/>
      <c r="AM197" s="451"/>
      <c r="AN197" s="493"/>
      <c r="AO197" s="492"/>
      <c r="AQ197" s="590"/>
      <c r="AR197" s="451"/>
      <c r="AS197" s="451"/>
      <c r="AT197" s="493"/>
      <c r="AU197" s="492"/>
      <c r="AW197" s="590"/>
      <c r="AX197" s="451"/>
      <c r="AY197" s="451"/>
      <c r="AZ197" s="493"/>
      <c r="BA197" s="492"/>
      <c r="BC197" s="590"/>
      <c r="BD197" s="451"/>
      <c r="BE197" s="451"/>
      <c r="BF197" s="493"/>
      <c r="BG197" s="492"/>
      <c r="BI197" s="590"/>
      <c r="BJ197" s="451"/>
      <c r="BK197" s="451"/>
      <c r="BL197" s="493"/>
      <c r="BM197" s="492"/>
    </row>
    <row r="198" spans="1:70" s="451" customFormat="1" ht="15" customHeight="1">
      <c r="A198" s="436">
        <f t="shared" si="107"/>
        <v>2026</v>
      </c>
      <c r="B198" s="437">
        <f t="shared" si="106"/>
        <v>23429</v>
      </c>
      <c r="C198" s="580"/>
      <c r="D198" s="508">
        <f t="shared" si="105"/>
        <v>21</v>
      </c>
      <c r="E198" s="519"/>
      <c r="H198" s="591"/>
      <c r="I198" s="443">
        <f t="shared" si="78"/>
        <v>23429</v>
      </c>
      <c r="J198" s="467"/>
      <c r="K198" s="443"/>
      <c r="M198" s="590"/>
      <c r="P198" s="493"/>
      <c r="Q198" s="492"/>
      <c r="S198" s="590"/>
      <c r="V198" s="493"/>
      <c r="W198" s="492"/>
      <c r="Y198" s="590"/>
      <c r="AB198" s="493"/>
      <c r="AC198" s="492"/>
      <c r="AE198" s="590"/>
      <c r="AH198" s="493"/>
      <c r="AI198" s="492"/>
      <c r="AK198" s="590"/>
      <c r="AN198" s="493"/>
      <c r="AO198" s="492"/>
      <c r="AQ198" s="590"/>
      <c r="AT198" s="493"/>
      <c r="AU198" s="492"/>
      <c r="AW198" s="590"/>
      <c r="AZ198" s="493"/>
      <c r="BA198" s="492"/>
      <c r="BC198" s="590"/>
      <c r="BF198" s="493"/>
      <c r="BG198" s="492"/>
      <c r="BI198" s="590"/>
      <c r="BL198" s="493"/>
      <c r="BM198" s="492"/>
    </row>
    <row r="199" spans="1:70" s="451" customFormat="1" ht="15" customHeight="1" thickBot="1">
      <c r="A199" s="436">
        <f t="shared" si="107"/>
        <v>2027</v>
      </c>
      <c r="B199" s="437">
        <f t="shared" si="106"/>
        <v>23430</v>
      </c>
      <c r="C199" s="580"/>
      <c r="D199" s="508">
        <f t="shared" si="105"/>
        <v>22</v>
      </c>
      <c r="E199" s="560" t="s">
        <v>344</v>
      </c>
      <c r="F199" s="561" t="s">
        <v>332</v>
      </c>
      <c r="G199" s="561" t="s">
        <v>294</v>
      </c>
      <c r="H199" s="591"/>
      <c r="I199" s="443">
        <f t="shared" si="78"/>
        <v>23430</v>
      </c>
      <c r="J199" s="467"/>
      <c r="K199" s="443"/>
      <c r="M199" s="590"/>
      <c r="P199" s="493"/>
      <c r="Q199" s="492"/>
      <c r="S199" s="590"/>
      <c r="V199" s="493"/>
      <c r="W199" s="492"/>
      <c r="Y199" s="590"/>
      <c r="AB199" s="493"/>
      <c r="AC199" s="492"/>
      <c r="AE199" s="590"/>
      <c r="AH199" s="493"/>
      <c r="AI199" s="492"/>
      <c r="AK199" s="590"/>
      <c r="AN199" s="493"/>
      <c r="AO199" s="492"/>
      <c r="AQ199" s="590"/>
      <c r="AT199" s="493"/>
      <c r="AU199" s="492"/>
      <c r="AW199" s="590"/>
      <c r="AZ199" s="493"/>
      <c r="BA199" s="492"/>
      <c r="BC199" s="590"/>
      <c r="BF199" s="493"/>
      <c r="BG199" s="492"/>
      <c r="BI199" s="590"/>
      <c r="BL199" s="493"/>
      <c r="BM199" s="492"/>
    </row>
    <row r="200" spans="1:70" ht="15" customHeight="1" thickTop="1">
      <c r="A200" s="436">
        <f t="shared" si="107"/>
        <v>2028</v>
      </c>
      <c r="B200" s="437">
        <f t="shared" si="106"/>
        <v>23430</v>
      </c>
      <c r="C200" s="520"/>
      <c r="D200" s="508">
        <f t="shared" si="105"/>
        <v>23</v>
      </c>
      <c r="E200" s="592">
        <v>23500</v>
      </c>
      <c r="F200" s="563">
        <f>IFERROR(O187,0)</f>
        <v>0.94460608162593329</v>
      </c>
      <c r="G200" s="564">
        <f>O188</f>
        <v>753.74099999999999</v>
      </c>
      <c r="H200" s="591"/>
      <c r="I200" s="443">
        <f t="shared" si="78"/>
        <v>23430</v>
      </c>
      <c r="J200" s="469"/>
      <c r="K200" s="469"/>
      <c r="L200" s="326">
        <f>RANK(F200,$F$200:$F$207)</f>
        <v>6</v>
      </c>
    </row>
    <row r="201" spans="1:70" ht="15" customHeight="1">
      <c r="A201" s="436">
        <f t="shared" si="107"/>
        <v>2029</v>
      </c>
      <c r="B201" s="437">
        <f t="shared" si="106"/>
        <v>23430</v>
      </c>
      <c r="C201" s="520"/>
      <c r="D201" s="508">
        <f t="shared" si="105"/>
        <v>24</v>
      </c>
      <c r="E201" s="593">
        <v>23400</v>
      </c>
      <c r="F201" s="565">
        <f>IFERROR(V177,0)</f>
        <v>0.94058401990159868</v>
      </c>
      <c r="G201" s="564">
        <f>U188</f>
        <v>7374.8090000000002</v>
      </c>
      <c r="H201" s="591"/>
      <c r="I201" s="443">
        <f t="shared" si="78"/>
        <v>23430</v>
      </c>
      <c r="J201" s="469"/>
      <c r="K201" s="469"/>
      <c r="L201" s="326">
        <f t="shared" ref="L201:L207" si="108">RANK(F201,$F$200:$F$207)</f>
        <v>7</v>
      </c>
    </row>
    <row r="202" spans="1:70" ht="15" customHeight="1">
      <c r="A202" s="436">
        <f t="shared" si="107"/>
        <v>2030</v>
      </c>
      <c r="B202" s="437">
        <f t="shared" si="106"/>
        <v>23430</v>
      </c>
      <c r="C202" s="520"/>
      <c r="D202" s="508">
        <f t="shared" si="105"/>
        <v>25</v>
      </c>
      <c r="E202" s="593">
        <v>23450</v>
      </c>
      <c r="F202" s="565">
        <f>IFERROR(AB177,0)</f>
        <v>0.94853915892629437</v>
      </c>
      <c r="G202" s="564">
        <f>AA188</f>
        <v>937.1110000000001</v>
      </c>
      <c r="H202" s="591"/>
      <c r="I202" s="443">
        <f t="shared" si="78"/>
        <v>23430</v>
      </c>
      <c r="J202" s="469"/>
      <c r="K202" s="469"/>
      <c r="L202" s="326">
        <f t="shared" si="108"/>
        <v>4</v>
      </c>
      <c r="BK202" s="505"/>
      <c r="BL202" s="505"/>
      <c r="BM202" s="505"/>
      <c r="BN202" s="505"/>
      <c r="BO202" s="505"/>
      <c r="BP202" s="505"/>
      <c r="BQ202" s="505"/>
      <c r="BR202" s="505"/>
    </row>
    <row r="203" spans="1:70" ht="15" customHeight="1">
      <c r="A203" s="436">
        <f t="shared" si="107"/>
        <v>2031</v>
      </c>
      <c r="B203" s="437">
        <f t="shared" si="106"/>
        <v>23430</v>
      </c>
      <c r="C203" s="520"/>
      <c r="D203" s="508">
        <f t="shared" si="105"/>
        <v>26</v>
      </c>
      <c r="E203" s="593">
        <v>23440</v>
      </c>
      <c r="F203" s="565">
        <f>IFERROR(AH177,0)</f>
        <v>0.94885488056456735</v>
      </c>
      <c r="G203" s="564">
        <f>AG188</f>
        <v>1076.1859999999999</v>
      </c>
      <c r="H203" s="591"/>
      <c r="I203" s="443">
        <f t="shared" si="78"/>
        <v>23430</v>
      </c>
      <c r="J203" s="469"/>
      <c r="K203" s="469"/>
      <c r="L203" s="326">
        <f t="shared" si="108"/>
        <v>2</v>
      </c>
    </row>
    <row r="204" spans="1:70" ht="15" customHeight="1">
      <c r="A204" s="436">
        <f t="shared" si="107"/>
        <v>2032</v>
      </c>
      <c r="B204" s="437">
        <f t="shared" si="106"/>
        <v>23430</v>
      </c>
      <c r="C204" s="520"/>
      <c r="D204" s="508">
        <f t="shared" si="105"/>
        <v>27</v>
      </c>
      <c r="E204" s="593">
        <v>23430</v>
      </c>
      <c r="F204" s="565">
        <f>IFERROR(AN177,0)</f>
        <v>0.9490345421701174</v>
      </c>
      <c r="G204" s="564">
        <f>AM188</f>
        <v>1307.9369999999999</v>
      </c>
      <c r="H204" s="591"/>
      <c r="I204" s="443">
        <f t="shared" si="78"/>
        <v>23430</v>
      </c>
      <c r="J204" s="469"/>
      <c r="K204" s="469"/>
      <c r="L204" s="326">
        <f t="shared" si="108"/>
        <v>1</v>
      </c>
    </row>
    <row r="205" spans="1:70" ht="15" customHeight="1">
      <c r="A205" s="436">
        <f t="shared" si="107"/>
        <v>2033</v>
      </c>
      <c r="B205" s="437">
        <f t="shared" si="106"/>
        <v>23430</v>
      </c>
      <c r="C205" s="520"/>
      <c r="D205" s="508">
        <f t="shared" si="105"/>
        <v>28</v>
      </c>
      <c r="E205" s="593">
        <v>23420</v>
      </c>
      <c r="F205" s="565">
        <f>IFERROR(AT177,0)</f>
        <v>0.94870749428530465</v>
      </c>
      <c r="G205" s="564">
        <f>AS188</f>
        <v>1729.9789999999998</v>
      </c>
      <c r="H205" s="591"/>
      <c r="I205" s="443">
        <f t="shared" si="78"/>
        <v>23430</v>
      </c>
      <c r="J205" s="469"/>
      <c r="K205" s="469"/>
      <c r="L205" s="326">
        <f t="shared" si="108"/>
        <v>3</v>
      </c>
    </row>
    <row r="206" spans="1:70" ht="15" customHeight="1">
      <c r="A206" s="436">
        <f t="shared" si="107"/>
        <v>2034</v>
      </c>
      <c r="B206" s="437">
        <f t="shared" si="106"/>
        <v>23430</v>
      </c>
      <c r="C206" s="520"/>
      <c r="D206" s="508">
        <f t="shared" si="105"/>
        <v>29</v>
      </c>
      <c r="E206" s="593">
        <v>23410</v>
      </c>
      <c r="F206" s="565">
        <f>IFERROR(AZ177,0)</f>
        <v>0.94730804271020219</v>
      </c>
      <c r="G206" s="594">
        <f>AY188</f>
        <v>2671.1549999999997</v>
      </c>
      <c r="H206" s="591"/>
      <c r="I206" s="443">
        <f t="shared" si="78"/>
        <v>23430</v>
      </c>
      <c r="J206" s="469"/>
      <c r="K206" s="469"/>
      <c r="L206" s="326">
        <f t="shared" si="108"/>
        <v>5</v>
      </c>
    </row>
    <row r="207" spans="1:70" ht="15" customHeight="1">
      <c r="A207" s="522">
        <f t="shared" si="107"/>
        <v>2035</v>
      </c>
      <c r="B207" s="523">
        <f t="shared" si="106"/>
        <v>23430</v>
      </c>
      <c r="C207" s="524"/>
      <c r="D207" s="525">
        <f t="shared" si="105"/>
        <v>30</v>
      </c>
      <c r="E207" s="570">
        <v>1500000</v>
      </c>
      <c r="F207" s="571">
        <f>IFERROR(BF177,0)</f>
        <v>0.77336832941870126</v>
      </c>
      <c r="G207" s="595">
        <f>BE188</f>
        <v>3013.1399999999994</v>
      </c>
      <c r="H207" s="596"/>
      <c r="I207" s="528">
        <f t="shared" si="78"/>
        <v>23430</v>
      </c>
      <c r="J207" s="529"/>
      <c r="K207" s="529"/>
      <c r="L207" s="326">
        <f t="shared" si="108"/>
        <v>8</v>
      </c>
    </row>
    <row r="208" spans="1:70" ht="15" customHeight="1">
      <c r="A208" s="522">
        <f t="shared" si="107"/>
        <v>2036</v>
      </c>
      <c r="B208" s="523">
        <f t="shared" si="106"/>
        <v>23430</v>
      </c>
      <c r="C208" s="524"/>
      <c r="D208" s="525">
        <f t="shared" si="105"/>
        <v>31</v>
      </c>
      <c r="E208" s="570"/>
      <c r="F208" s="571"/>
      <c r="G208" s="595"/>
      <c r="H208" s="596"/>
      <c r="I208" s="528">
        <f t="shared" si="78"/>
        <v>23430</v>
      </c>
      <c r="J208" s="529"/>
      <c r="K208" s="529"/>
    </row>
    <row r="209" spans="1:41" ht="20.100000000000001" customHeight="1">
      <c r="A209" s="522">
        <f t="shared" si="107"/>
        <v>2037</v>
      </c>
      <c r="B209" s="523">
        <f t="shared" si="106"/>
        <v>23430</v>
      </c>
      <c r="C209" s="524"/>
      <c r="D209" s="525">
        <f t="shared" si="105"/>
        <v>32</v>
      </c>
      <c r="E209" s="570"/>
      <c r="F209" s="571"/>
      <c r="G209" s="595"/>
      <c r="H209" s="596"/>
      <c r="I209" s="528">
        <f t="shared" si="78"/>
        <v>23430</v>
      </c>
      <c r="J209" s="529"/>
      <c r="K209" s="529"/>
      <c r="L209" s="578"/>
      <c r="M209" s="578"/>
      <c r="N209" s="578"/>
      <c r="O209" s="578"/>
      <c r="P209" s="578"/>
      <c r="Q209" s="578"/>
      <c r="R209" s="578"/>
      <c r="S209" s="578"/>
      <c r="T209" s="578"/>
      <c r="U209" s="578"/>
      <c r="V209" s="578"/>
      <c r="W209" s="578"/>
      <c r="X209" s="578"/>
      <c r="Y209" s="578"/>
      <c r="Z209" s="578"/>
      <c r="AA209" s="578"/>
      <c r="AB209" s="578"/>
      <c r="AC209" s="578"/>
      <c r="AD209" s="578"/>
      <c r="AE209" s="578"/>
      <c r="AF209" s="578"/>
      <c r="AG209" s="578"/>
      <c r="AH209" s="578"/>
      <c r="AI209" s="578"/>
      <c r="AJ209" s="578"/>
      <c r="AK209" s="578"/>
      <c r="AL209" s="578"/>
      <c r="AM209" s="578"/>
      <c r="AN209" s="578"/>
      <c r="AO209" s="578"/>
    </row>
    <row r="210" spans="1:41" ht="20.100000000000001" customHeight="1">
      <c r="A210" s="522">
        <f t="shared" si="107"/>
        <v>2038</v>
      </c>
      <c r="B210" s="523">
        <f t="shared" si="106"/>
        <v>23430</v>
      </c>
      <c r="C210" s="524"/>
      <c r="D210" s="525">
        <f t="shared" si="105"/>
        <v>33</v>
      </c>
      <c r="E210" s="570"/>
      <c r="F210" s="571"/>
      <c r="G210" s="595"/>
      <c r="H210" s="596"/>
      <c r="I210" s="528">
        <f t="shared" si="78"/>
        <v>23430</v>
      </c>
      <c r="J210" s="529"/>
      <c r="K210" s="529"/>
      <c r="L210" s="578"/>
      <c r="M210" s="578"/>
      <c r="N210" s="578"/>
      <c r="O210" s="578"/>
      <c r="P210" s="578"/>
      <c r="Q210" s="578"/>
      <c r="R210" s="578"/>
      <c r="S210" s="578"/>
      <c r="T210" s="578"/>
      <c r="U210" s="578"/>
      <c r="V210" s="578"/>
      <c r="W210" s="578"/>
      <c r="X210" s="578"/>
      <c r="Y210" s="578"/>
      <c r="Z210" s="578"/>
      <c r="AA210" s="578"/>
      <c r="AB210" s="578"/>
      <c r="AC210" s="578"/>
      <c r="AD210" s="578"/>
      <c r="AE210" s="578"/>
      <c r="AF210" s="578"/>
      <c r="AG210" s="578"/>
      <c r="AH210" s="578"/>
      <c r="AI210" s="578"/>
      <c r="AJ210" s="578"/>
      <c r="AK210" s="578"/>
      <c r="AL210" s="578"/>
      <c r="AM210" s="578"/>
      <c r="AN210" s="578"/>
      <c r="AO210" s="578"/>
    </row>
    <row r="211" spans="1:41" ht="20.100000000000001" customHeight="1">
      <c r="K211" s="578"/>
      <c r="L211" s="578"/>
      <c r="M211" s="578"/>
      <c r="N211" s="578"/>
      <c r="O211" s="578"/>
      <c r="P211" s="578"/>
      <c r="Q211" s="578"/>
      <c r="R211" s="578"/>
      <c r="S211" s="578"/>
      <c r="T211" s="578"/>
      <c r="U211" s="578"/>
      <c r="V211" s="578"/>
      <c r="W211" s="578"/>
      <c r="X211" s="578"/>
      <c r="Y211" s="578"/>
      <c r="Z211" s="578"/>
      <c r="AA211" s="578"/>
      <c r="AB211" s="578"/>
      <c r="AC211" s="578"/>
      <c r="AD211" s="578"/>
      <c r="AE211" s="578"/>
      <c r="AF211" s="578"/>
      <c r="AG211" s="578"/>
      <c r="AH211" s="578"/>
      <c r="AI211" s="578"/>
      <c r="AJ211" s="578"/>
      <c r="AK211" s="578"/>
      <c r="AL211" s="578"/>
      <c r="AM211" s="578"/>
      <c r="AN211" s="578"/>
      <c r="AO211" s="578"/>
    </row>
    <row r="212" spans="1:41" ht="20.100000000000001" customHeight="1">
      <c r="K212" s="578"/>
      <c r="L212" s="578"/>
      <c r="M212" s="578"/>
      <c r="N212" s="578"/>
      <c r="O212" s="578"/>
      <c r="P212" s="578"/>
      <c r="Q212" s="578"/>
      <c r="R212" s="578"/>
      <c r="S212" s="578"/>
      <c r="T212" s="578"/>
      <c r="U212" s="578"/>
      <c r="V212" s="578"/>
      <c r="W212" s="578"/>
      <c r="X212" s="578"/>
      <c r="Y212" s="578"/>
      <c r="Z212" s="578"/>
      <c r="AA212" s="578"/>
      <c r="AB212" s="578"/>
      <c r="AC212" s="578"/>
      <c r="AD212" s="578"/>
      <c r="AE212" s="578"/>
      <c r="AF212" s="578"/>
      <c r="AG212" s="578"/>
      <c r="AH212" s="578"/>
      <c r="AI212" s="578"/>
      <c r="AJ212" s="578"/>
      <c r="AK212" s="578"/>
      <c r="AL212" s="578"/>
      <c r="AM212" s="578"/>
      <c r="AN212" s="578"/>
      <c r="AO212" s="578"/>
    </row>
    <row r="213" spans="1:41" ht="20.100000000000001" customHeight="1">
      <c r="K213" s="578"/>
      <c r="L213" s="578"/>
      <c r="M213" s="578"/>
      <c r="N213" s="578"/>
      <c r="O213" s="578"/>
      <c r="P213" s="578"/>
      <c r="Q213" s="578"/>
      <c r="R213" s="578"/>
      <c r="S213" s="578"/>
      <c r="T213" s="578"/>
      <c r="U213" s="578"/>
      <c r="V213" s="578"/>
      <c r="W213" s="578"/>
      <c r="X213" s="578"/>
      <c r="Y213" s="578"/>
      <c r="Z213" s="578"/>
      <c r="AA213" s="578"/>
      <c r="AB213" s="578"/>
      <c r="AC213" s="578"/>
      <c r="AD213" s="578"/>
      <c r="AE213" s="578"/>
      <c r="AF213" s="578"/>
      <c r="AG213" s="578"/>
      <c r="AH213" s="578"/>
      <c r="AI213" s="578"/>
      <c r="AJ213" s="578"/>
      <c r="AK213" s="578"/>
      <c r="AL213" s="578"/>
      <c r="AM213" s="578"/>
      <c r="AN213" s="578"/>
      <c r="AO213" s="578"/>
    </row>
    <row r="214" spans="1:41" ht="20.100000000000001" customHeight="1"/>
    <row r="215" spans="1:41" ht="20.100000000000001" customHeight="1"/>
    <row r="216" spans="1:41" ht="20.100000000000001" customHeight="1"/>
    <row r="217" spans="1:41" ht="20.100000000000001" customHeight="1"/>
    <row r="218" spans="1:41" ht="20.100000000000001" customHeight="1"/>
    <row r="219" spans="1:41" ht="20.100000000000001" customHeight="1"/>
    <row r="220" spans="1:41" ht="20.100000000000001" customHeight="1"/>
    <row r="221" spans="1:41" ht="20.100000000000001" customHeight="1"/>
    <row r="222" spans="1:41" ht="20.100000000000001" customHeight="1"/>
    <row r="223" spans="1:41" ht="20.100000000000001" customHeight="1"/>
    <row r="224" spans="1:41" ht="20.100000000000001" customHeight="1"/>
    <row r="225" ht="20.100000000000001" customHeight="1"/>
    <row r="226" s="325" customFormat="1" ht="20.100000000000001" customHeight="1"/>
    <row r="227" s="325" customFormat="1" ht="20.100000000000001" customHeight="1"/>
    <row r="228" s="325" customFormat="1" ht="20.100000000000001" customHeight="1"/>
    <row r="229" s="325" customFormat="1" ht="20.100000000000001" customHeight="1"/>
    <row r="230" s="325" customFormat="1" ht="20.100000000000001" customHeight="1"/>
  </sheetData>
  <mergeCells count="17">
    <mergeCell ref="F154:G154"/>
    <mergeCell ref="F155:G155"/>
    <mergeCell ref="E190:F190"/>
    <mergeCell ref="E191:F191"/>
    <mergeCell ref="E192:F192"/>
    <mergeCell ref="F153:G153"/>
    <mergeCell ref="I5:J5"/>
    <mergeCell ref="A39:B39"/>
    <mergeCell ref="A40:B40"/>
    <mergeCell ref="A41:B41"/>
    <mergeCell ref="D70:E70"/>
    <mergeCell ref="D71:E71"/>
    <mergeCell ref="D72:E72"/>
    <mergeCell ref="D73:E73"/>
    <mergeCell ref="E115:F115"/>
    <mergeCell ref="E116:F116"/>
    <mergeCell ref="E117:F117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CX230"/>
  <sheetViews>
    <sheetView view="pageBreakPreview" zoomScaleNormal="100" zoomScaleSheetLayoutView="100" workbookViewId="0">
      <selection activeCell="A3" sqref="A3:F3"/>
    </sheetView>
  </sheetViews>
  <sheetFormatPr defaultRowHeight="14.85" customHeight="1"/>
  <cols>
    <col min="1" max="2" width="12.125" style="325" customWidth="1"/>
    <col min="3" max="5" width="13" style="326" customWidth="1"/>
    <col min="6" max="6" width="12.875" style="326" customWidth="1"/>
    <col min="7" max="7" width="13" style="326" customWidth="1"/>
    <col min="8" max="8" width="13.125" style="326" customWidth="1"/>
    <col min="9" max="10" width="12.125" style="326" customWidth="1"/>
    <col min="11" max="11" width="14.375" style="326" bestFit="1" customWidth="1"/>
    <col min="12" max="12" width="11" style="326" customWidth="1"/>
    <col min="13" max="13" width="10" style="326" customWidth="1"/>
    <col min="14" max="14" width="10.875" style="326" customWidth="1"/>
    <col min="15" max="15" width="13.75" style="326" customWidth="1"/>
    <col min="16" max="16" width="10" style="326" customWidth="1"/>
    <col min="17" max="17" width="13.25" style="326" customWidth="1"/>
    <col min="18" max="18" width="14.375" style="326" customWidth="1"/>
    <col min="19" max="19" width="10" style="326" customWidth="1"/>
    <col min="20" max="20" width="10.875" style="326" customWidth="1"/>
    <col min="21" max="21" width="11.375" style="326" customWidth="1"/>
    <col min="22" max="22" width="15.375" style="326" customWidth="1"/>
    <col min="23" max="24" width="10.75" style="326" customWidth="1"/>
    <col min="25" max="25" width="14.375" style="326" customWidth="1"/>
    <col min="26" max="26" width="10.75" style="326" customWidth="1"/>
    <col min="27" max="27" width="11.75" style="326" customWidth="1"/>
    <col min="28" max="28" width="10" style="326" customWidth="1"/>
    <col min="29" max="29" width="15.375" style="326" customWidth="1"/>
    <col min="30" max="30" width="10" style="326" customWidth="1"/>
    <col min="31" max="31" width="10.75" style="326" customWidth="1"/>
    <col min="32" max="32" width="14.875" style="326" customWidth="1"/>
    <col min="33" max="33" width="11.5" style="326" customWidth="1"/>
    <col min="34" max="34" width="10" style="326" customWidth="1"/>
    <col min="35" max="35" width="10.75" style="326" customWidth="1"/>
    <col min="36" max="36" width="13.5" style="326" customWidth="1"/>
    <col min="37" max="37" width="9" style="326"/>
    <col min="38" max="38" width="10.75" style="326" bestFit="1" customWidth="1"/>
    <col min="39" max="39" width="13.75" style="326" customWidth="1"/>
    <col min="40" max="40" width="9" style="326"/>
    <col min="41" max="41" width="10.625" style="326" customWidth="1"/>
    <col min="42" max="42" width="9" style="326"/>
    <col min="43" max="43" width="14.25" style="326" customWidth="1"/>
    <col min="44" max="44" width="10.75" style="326" bestFit="1" customWidth="1"/>
    <col min="45" max="45" width="11.625" style="326" customWidth="1"/>
    <col min="46" max="46" width="13.75" style="326" customWidth="1"/>
    <col min="47" max="47" width="10.625" style="326" customWidth="1"/>
    <col min="48" max="49" width="9" style="326"/>
    <col min="50" max="50" width="14.125" style="326" customWidth="1"/>
    <col min="51" max="51" width="11" style="326" customWidth="1"/>
    <col min="52" max="52" width="10.75" style="326" bestFit="1" customWidth="1"/>
    <col min="53" max="53" width="13.5" style="326" customWidth="1"/>
    <col min="54" max="55" width="9" style="326"/>
    <col min="56" max="56" width="10.75" style="326" bestFit="1" customWidth="1"/>
    <col min="57" max="57" width="14" style="326" customWidth="1"/>
    <col min="58" max="58" width="9" style="326"/>
    <col min="59" max="59" width="10.75" style="326" customWidth="1"/>
    <col min="60" max="60" width="12.75" style="326" customWidth="1"/>
    <col min="61" max="61" width="9" style="326"/>
    <col min="62" max="62" width="10.75" style="326" bestFit="1" customWidth="1"/>
    <col min="63" max="63" width="11.5" style="326" customWidth="1"/>
    <col min="64" max="64" width="13.625" style="326" customWidth="1"/>
    <col min="65" max="65" width="10.625" style="326" customWidth="1"/>
    <col min="66" max="66" width="10.75" style="326" bestFit="1" customWidth="1"/>
    <col min="67" max="67" width="12.375" style="326" customWidth="1"/>
    <col min="68" max="70" width="9" style="326"/>
    <col min="71" max="71" width="15.75" style="326" customWidth="1"/>
    <col min="72" max="72" width="9" style="326"/>
    <col min="73" max="73" width="10.75" style="326" bestFit="1" customWidth="1"/>
    <col min="74" max="74" width="12.625" style="326" customWidth="1"/>
    <col min="75" max="77" width="9" style="326"/>
    <col min="78" max="78" width="13.625" style="326" customWidth="1"/>
    <col min="79" max="79" width="9" style="326"/>
    <col min="80" max="80" width="10.75" style="326" bestFit="1" customWidth="1"/>
    <col min="81" max="81" width="12.5" style="326" customWidth="1"/>
    <col min="82" max="84" width="9" style="326"/>
    <col min="85" max="85" width="12.875" style="326" customWidth="1"/>
    <col min="86" max="86" width="9" style="326"/>
    <col min="87" max="87" width="10.75" style="326" bestFit="1" customWidth="1"/>
    <col min="88" max="88" width="13.875" style="326" customWidth="1"/>
    <col min="89" max="91" width="9" style="326"/>
    <col min="92" max="92" width="14.125" style="326" customWidth="1"/>
    <col min="93" max="93" width="9" style="326"/>
    <col min="94" max="94" width="10.75" style="326" bestFit="1" customWidth="1"/>
    <col min="95" max="95" width="13.25" style="326" customWidth="1"/>
    <col min="96" max="98" width="9" style="326"/>
    <col min="99" max="99" width="13.25" style="326" customWidth="1"/>
    <col min="100" max="100" width="9" style="326"/>
    <col min="101" max="101" width="10.75" style="326" bestFit="1" customWidth="1"/>
    <col min="102" max="102" width="13.875" style="326" customWidth="1"/>
    <col min="103" max="250" width="9" style="326"/>
    <col min="251" max="252" width="12.125" style="326" customWidth="1"/>
    <col min="253" max="255" width="13" style="326" customWidth="1"/>
    <col min="256" max="256" width="12.875" style="326" customWidth="1"/>
    <col min="257" max="257" width="13" style="326" customWidth="1"/>
    <col min="258" max="258" width="13.125" style="326" customWidth="1"/>
    <col min="259" max="260" width="12.125" style="326" customWidth="1"/>
    <col min="261" max="261" width="14.375" style="326" bestFit="1" customWidth="1"/>
    <col min="262" max="262" width="11" style="326" customWidth="1"/>
    <col min="263" max="263" width="10" style="326" customWidth="1"/>
    <col min="264" max="264" width="10.875" style="326" customWidth="1"/>
    <col min="265" max="265" width="13.75" style="326" customWidth="1"/>
    <col min="266" max="266" width="10" style="326" customWidth="1"/>
    <col min="267" max="267" width="13.25" style="326" customWidth="1"/>
    <col min="268" max="268" width="14.375" style="326" customWidth="1"/>
    <col min="269" max="269" width="10" style="326" customWidth="1"/>
    <col min="270" max="270" width="10.875" style="326" customWidth="1"/>
    <col min="271" max="271" width="11.375" style="326" customWidth="1"/>
    <col min="272" max="272" width="15.375" style="326" customWidth="1"/>
    <col min="273" max="274" width="10.75" style="326" customWidth="1"/>
    <col min="275" max="275" width="14.375" style="326" customWidth="1"/>
    <col min="276" max="276" width="10.75" style="326" customWidth="1"/>
    <col min="277" max="277" width="11.75" style="326" customWidth="1"/>
    <col min="278" max="278" width="10" style="326" customWidth="1"/>
    <col min="279" max="279" width="15.375" style="326" customWidth="1"/>
    <col min="280" max="280" width="10" style="326" customWidth="1"/>
    <col min="281" max="281" width="10.75" style="326" customWidth="1"/>
    <col min="282" max="282" width="14.875" style="326" customWidth="1"/>
    <col min="283" max="283" width="11.5" style="326" customWidth="1"/>
    <col min="284" max="284" width="10" style="326" customWidth="1"/>
    <col min="285" max="285" width="10.75" style="326" customWidth="1"/>
    <col min="286" max="286" width="13.5" style="326" customWidth="1"/>
    <col min="287" max="287" width="9" style="326"/>
    <col min="288" max="288" width="10.75" style="326" bestFit="1" customWidth="1"/>
    <col min="289" max="289" width="13.75" style="326" customWidth="1"/>
    <col min="290" max="290" width="9" style="326"/>
    <col min="291" max="291" width="10.625" style="326" customWidth="1"/>
    <col min="292" max="292" width="9" style="326"/>
    <col min="293" max="293" width="14.25" style="326" customWidth="1"/>
    <col min="294" max="294" width="10.75" style="326" bestFit="1" customWidth="1"/>
    <col min="295" max="295" width="11.625" style="326" customWidth="1"/>
    <col min="296" max="296" width="13.75" style="326" customWidth="1"/>
    <col min="297" max="297" width="10.625" style="326" customWidth="1"/>
    <col min="298" max="299" width="9" style="326"/>
    <col min="300" max="300" width="14.125" style="326" customWidth="1"/>
    <col min="301" max="301" width="11" style="326" customWidth="1"/>
    <col min="302" max="302" width="10.75" style="326" bestFit="1" customWidth="1"/>
    <col min="303" max="303" width="13.5" style="326" customWidth="1"/>
    <col min="304" max="305" width="9" style="326"/>
    <col min="306" max="306" width="10.75" style="326" bestFit="1" customWidth="1"/>
    <col min="307" max="307" width="14" style="326" customWidth="1"/>
    <col min="308" max="308" width="9" style="326"/>
    <col min="309" max="309" width="10.75" style="326" customWidth="1"/>
    <col min="310" max="310" width="12.75" style="326" customWidth="1"/>
    <col min="311" max="311" width="9" style="326"/>
    <col min="312" max="312" width="10.75" style="326" bestFit="1" customWidth="1"/>
    <col min="313" max="313" width="11.5" style="326" customWidth="1"/>
    <col min="314" max="314" width="13.625" style="326" customWidth="1"/>
    <col min="315" max="315" width="10.625" style="326" customWidth="1"/>
    <col min="316" max="316" width="10.75" style="326" bestFit="1" customWidth="1"/>
    <col min="317" max="317" width="12.375" style="326" customWidth="1"/>
    <col min="318" max="320" width="9" style="326"/>
    <col min="321" max="321" width="15.75" style="326" customWidth="1"/>
    <col min="322" max="322" width="9" style="326"/>
    <col min="323" max="323" width="10.75" style="326" bestFit="1" customWidth="1"/>
    <col min="324" max="324" width="12.625" style="326" customWidth="1"/>
    <col min="325" max="327" width="9" style="326"/>
    <col min="328" max="328" width="13.625" style="326" customWidth="1"/>
    <col min="329" max="329" width="9" style="326"/>
    <col min="330" max="330" width="10.75" style="326" bestFit="1" customWidth="1"/>
    <col min="331" max="331" width="12.5" style="326" customWidth="1"/>
    <col min="332" max="334" width="9" style="326"/>
    <col min="335" max="335" width="12.875" style="326" customWidth="1"/>
    <col min="336" max="336" width="9" style="326"/>
    <col min="337" max="337" width="10.75" style="326" bestFit="1" customWidth="1"/>
    <col min="338" max="338" width="13.875" style="326" customWidth="1"/>
    <col min="339" max="341" width="9" style="326"/>
    <col min="342" max="342" width="14.125" style="326" customWidth="1"/>
    <col min="343" max="343" width="9" style="326"/>
    <col min="344" max="344" width="10.75" style="326" bestFit="1" customWidth="1"/>
    <col min="345" max="345" width="13.25" style="326" customWidth="1"/>
    <col min="346" max="348" width="9" style="326"/>
    <col min="349" max="349" width="13.25" style="326" customWidth="1"/>
    <col min="350" max="350" width="9" style="326"/>
    <col min="351" max="351" width="10.75" style="326" bestFit="1" customWidth="1"/>
    <col min="352" max="352" width="13.875" style="326" customWidth="1"/>
    <col min="353" max="355" width="9" style="326"/>
    <col min="356" max="356" width="13.625" style="326" customWidth="1"/>
    <col min="357" max="357" width="9" style="326"/>
    <col min="358" max="358" width="10.75" style="326" bestFit="1" customWidth="1"/>
    <col min="359" max="359" width="13" style="326" customWidth="1"/>
    <col min="360" max="506" width="9" style="326"/>
    <col min="507" max="508" width="12.125" style="326" customWidth="1"/>
    <col min="509" max="511" width="13" style="326" customWidth="1"/>
    <col min="512" max="512" width="12.875" style="326" customWidth="1"/>
    <col min="513" max="513" width="13" style="326" customWidth="1"/>
    <col min="514" max="514" width="13.125" style="326" customWidth="1"/>
    <col min="515" max="516" width="12.125" style="326" customWidth="1"/>
    <col min="517" max="517" width="14.375" style="326" bestFit="1" customWidth="1"/>
    <col min="518" max="518" width="11" style="326" customWidth="1"/>
    <col min="519" max="519" width="10" style="326" customWidth="1"/>
    <col min="520" max="520" width="10.875" style="326" customWidth="1"/>
    <col min="521" max="521" width="13.75" style="326" customWidth="1"/>
    <col min="522" max="522" width="10" style="326" customWidth="1"/>
    <col min="523" max="523" width="13.25" style="326" customWidth="1"/>
    <col min="524" max="524" width="14.375" style="326" customWidth="1"/>
    <col min="525" max="525" width="10" style="326" customWidth="1"/>
    <col min="526" max="526" width="10.875" style="326" customWidth="1"/>
    <col min="527" max="527" width="11.375" style="326" customWidth="1"/>
    <col min="528" max="528" width="15.375" style="326" customWidth="1"/>
    <col min="529" max="530" width="10.75" style="326" customWidth="1"/>
    <col min="531" max="531" width="14.375" style="326" customWidth="1"/>
    <col min="532" max="532" width="10.75" style="326" customWidth="1"/>
    <col min="533" max="533" width="11.75" style="326" customWidth="1"/>
    <col min="534" max="534" width="10" style="326" customWidth="1"/>
    <col min="535" max="535" width="15.375" style="326" customWidth="1"/>
    <col min="536" max="536" width="10" style="326" customWidth="1"/>
    <col min="537" max="537" width="10.75" style="326" customWidth="1"/>
    <col min="538" max="538" width="14.875" style="326" customWidth="1"/>
    <col min="539" max="539" width="11.5" style="326" customWidth="1"/>
    <col min="540" max="540" width="10" style="326" customWidth="1"/>
    <col min="541" max="541" width="10.75" style="326" customWidth="1"/>
    <col min="542" max="542" width="13.5" style="326" customWidth="1"/>
    <col min="543" max="543" width="9" style="326"/>
    <col min="544" max="544" width="10.75" style="326" bestFit="1" customWidth="1"/>
    <col min="545" max="545" width="13.75" style="326" customWidth="1"/>
    <col min="546" max="546" width="9" style="326"/>
    <col min="547" max="547" width="10.625" style="326" customWidth="1"/>
    <col min="548" max="548" width="9" style="326"/>
    <col min="549" max="549" width="14.25" style="326" customWidth="1"/>
    <col min="550" max="550" width="10.75" style="326" bestFit="1" customWidth="1"/>
    <col min="551" max="551" width="11.625" style="326" customWidth="1"/>
    <col min="552" max="552" width="13.75" style="326" customWidth="1"/>
    <col min="553" max="553" width="10.625" style="326" customWidth="1"/>
    <col min="554" max="555" width="9" style="326"/>
    <col min="556" max="556" width="14.125" style="326" customWidth="1"/>
    <col min="557" max="557" width="11" style="326" customWidth="1"/>
    <col min="558" max="558" width="10.75" style="326" bestFit="1" customWidth="1"/>
    <col min="559" max="559" width="13.5" style="326" customWidth="1"/>
    <col min="560" max="561" width="9" style="326"/>
    <col min="562" max="562" width="10.75" style="326" bestFit="1" customWidth="1"/>
    <col min="563" max="563" width="14" style="326" customWidth="1"/>
    <col min="564" max="564" width="9" style="326"/>
    <col min="565" max="565" width="10.75" style="326" customWidth="1"/>
    <col min="566" max="566" width="12.75" style="326" customWidth="1"/>
    <col min="567" max="567" width="9" style="326"/>
    <col min="568" max="568" width="10.75" style="326" bestFit="1" customWidth="1"/>
    <col min="569" max="569" width="11.5" style="326" customWidth="1"/>
    <col min="570" max="570" width="13.625" style="326" customWidth="1"/>
    <col min="571" max="571" width="10.625" style="326" customWidth="1"/>
    <col min="572" max="572" width="10.75" style="326" bestFit="1" customWidth="1"/>
    <col min="573" max="573" width="12.375" style="326" customWidth="1"/>
    <col min="574" max="576" width="9" style="326"/>
    <col min="577" max="577" width="15.75" style="326" customWidth="1"/>
    <col min="578" max="578" width="9" style="326"/>
    <col min="579" max="579" width="10.75" style="326" bestFit="1" customWidth="1"/>
    <col min="580" max="580" width="12.625" style="326" customWidth="1"/>
    <col min="581" max="583" width="9" style="326"/>
    <col min="584" max="584" width="13.625" style="326" customWidth="1"/>
    <col min="585" max="585" width="9" style="326"/>
    <col min="586" max="586" width="10.75" style="326" bestFit="1" customWidth="1"/>
    <col min="587" max="587" width="12.5" style="326" customWidth="1"/>
    <col min="588" max="590" width="9" style="326"/>
    <col min="591" max="591" width="12.875" style="326" customWidth="1"/>
    <col min="592" max="592" width="9" style="326"/>
    <col min="593" max="593" width="10.75" style="326" bestFit="1" customWidth="1"/>
    <col min="594" max="594" width="13.875" style="326" customWidth="1"/>
    <col min="595" max="597" width="9" style="326"/>
    <col min="598" max="598" width="14.125" style="326" customWidth="1"/>
    <col min="599" max="599" width="9" style="326"/>
    <col min="600" max="600" width="10.75" style="326" bestFit="1" customWidth="1"/>
    <col min="601" max="601" width="13.25" style="326" customWidth="1"/>
    <col min="602" max="604" width="9" style="326"/>
    <col min="605" max="605" width="13.25" style="326" customWidth="1"/>
    <col min="606" max="606" width="9" style="326"/>
    <col min="607" max="607" width="10.75" style="326" bestFit="1" customWidth="1"/>
    <col min="608" max="608" width="13.875" style="326" customWidth="1"/>
    <col min="609" max="611" width="9" style="326"/>
    <col min="612" max="612" width="13.625" style="326" customWidth="1"/>
    <col min="613" max="613" width="9" style="326"/>
    <col min="614" max="614" width="10.75" style="326" bestFit="1" customWidth="1"/>
    <col min="615" max="615" width="13" style="326" customWidth="1"/>
    <col min="616" max="762" width="9" style="326"/>
    <col min="763" max="764" width="12.125" style="326" customWidth="1"/>
    <col min="765" max="767" width="13" style="326" customWidth="1"/>
    <col min="768" max="768" width="12.875" style="326" customWidth="1"/>
    <col min="769" max="769" width="13" style="326" customWidth="1"/>
    <col min="770" max="770" width="13.125" style="326" customWidth="1"/>
    <col min="771" max="772" width="12.125" style="326" customWidth="1"/>
    <col min="773" max="773" width="14.375" style="326" bestFit="1" customWidth="1"/>
    <col min="774" max="774" width="11" style="326" customWidth="1"/>
    <col min="775" max="775" width="10" style="326" customWidth="1"/>
    <col min="776" max="776" width="10.875" style="326" customWidth="1"/>
    <col min="777" max="777" width="13.75" style="326" customWidth="1"/>
    <col min="778" max="778" width="10" style="326" customWidth="1"/>
    <col min="779" max="779" width="13.25" style="326" customWidth="1"/>
    <col min="780" max="780" width="14.375" style="326" customWidth="1"/>
    <col min="781" max="781" width="10" style="326" customWidth="1"/>
    <col min="782" max="782" width="10.875" style="326" customWidth="1"/>
    <col min="783" max="783" width="11.375" style="326" customWidth="1"/>
    <col min="784" max="784" width="15.375" style="326" customWidth="1"/>
    <col min="785" max="786" width="10.75" style="326" customWidth="1"/>
    <col min="787" max="787" width="14.375" style="326" customWidth="1"/>
    <col min="788" max="788" width="10.75" style="326" customWidth="1"/>
    <col min="789" max="789" width="11.75" style="326" customWidth="1"/>
    <col min="790" max="790" width="10" style="326" customWidth="1"/>
    <col min="791" max="791" width="15.375" style="326" customWidth="1"/>
    <col min="792" max="792" width="10" style="326" customWidth="1"/>
    <col min="793" max="793" width="10.75" style="326" customWidth="1"/>
    <col min="794" max="794" width="14.875" style="326" customWidth="1"/>
    <col min="795" max="795" width="11.5" style="326" customWidth="1"/>
    <col min="796" max="796" width="10" style="326" customWidth="1"/>
    <col min="797" max="797" width="10.75" style="326" customWidth="1"/>
    <col min="798" max="798" width="13.5" style="326" customWidth="1"/>
    <col min="799" max="799" width="9" style="326"/>
    <col min="800" max="800" width="10.75" style="326" bestFit="1" customWidth="1"/>
    <col min="801" max="801" width="13.75" style="326" customWidth="1"/>
    <col min="802" max="802" width="9" style="326"/>
    <col min="803" max="803" width="10.625" style="326" customWidth="1"/>
    <col min="804" max="804" width="9" style="326"/>
    <col min="805" max="805" width="14.25" style="326" customWidth="1"/>
    <col min="806" max="806" width="10.75" style="326" bestFit="1" customWidth="1"/>
    <col min="807" max="807" width="11.625" style="326" customWidth="1"/>
    <col min="808" max="808" width="13.75" style="326" customWidth="1"/>
    <col min="809" max="809" width="10.625" style="326" customWidth="1"/>
    <col min="810" max="811" width="9" style="326"/>
    <col min="812" max="812" width="14.125" style="326" customWidth="1"/>
    <col min="813" max="813" width="11" style="326" customWidth="1"/>
    <col min="814" max="814" width="10.75" style="326" bestFit="1" customWidth="1"/>
    <col min="815" max="815" width="13.5" style="326" customWidth="1"/>
    <col min="816" max="817" width="9" style="326"/>
    <col min="818" max="818" width="10.75" style="326" bestFit="1" customWidth="1"/>
    <col min="819" max="819" width="14" style="326" customWidth="1"/>
    <col min="820" max="820" width="9" style="326"/>
    <col min="821" max="821" width="10.75" style="326" customWidth="1"/>
    <col min="822" max="822" width="12.75" style="326" customWidth="1"/>
    <col min="823" max="823" width="9" style="326"/>
    <col min="824" max="824" width="10.75" style="326" bestFit="1" customWidth="1"/>
    <col min="825" max="825" width="11.5" style="326" customWidth="1"/>
    <col min="826" max="826" width="13.625" style="326" customWidth="1"/>
    <col min="827" max="827" width="10.625" style="326" customWidth="1"/>
    <col min="828" max="828" width="10.75" style="326" bestFit="1" customWidth="1"/>
    <col min="829" max="829" width="12.375" style="326" customWidth="1"/>
    <col min="830" max="832" width="9" style="326"/>
    <col min="833" max="833" width="15.75" style="326" customWidth="1"/>
    <col min="834" max="834" width="9" style="326"/>
    <col min="835" max="835" width="10.75" style="326" bestFit="1" customWidth="1"/>
    <col min="836" max="836" width="12.625" style="326" customWidth="1"/>
    <col min="837" max="839" width="9" style="326"/>
    <col min="840" max="840" width="13.625" style="326" customWidth="1"/>
    <col min="841" max="841" width="9" style="326"/>
    <col min="842" max="842" width="10.75" style="326" bestFit="1" customWidth="1"/>
    <col min="843" max="843" width="12.5" style="326" customWidth="1"/>
    <col min="844" max="846" width="9" style="326"/>
    <col min="847" max="847" width="12.875" style="326" customWidth="1"/>
    <col min="848" max="848" width="9" style="326"/>
    <col min="849" max="849" width="10.75" style="326" bestFit="1" customWidth="1"/>
    <col min="850" max="850" width="13.875" style="326" customWidth="1"/>
    <col min="851" max="853" width="9" style="326"/>
    <col min="854" max="854" width="14.125" style="326" customWidth="1"/>
    <col min="855" max="855" width="9" style="326"/>
    <col min="856" max="856" width="10.75" style="326" bestFit="1" customWidth="1"/>
    <col min="857" max="857" width="13.25" style="326" customWidth="1"/>
    <col min="858" max="860" width="9" style="326"/>
    <col min="861" max="861" width="13.25" style="326" customWidth="1"/>
    <col min="862" max="862" width="9" style="326"/>
    <col min="863" max="863" width="10.75" style="326" bestFit="1" customWidth="1"/>
    <col min="864" max="864" width="13.875" style="326" customWidth="1"/>
    <col min="865" max="867" width="9" style="326"/>
    <col min="868" max="868" width="13.625" style="326" customWidth="1"/>
    <col min="869" max="869" width="9" style="326"/>
    <col min="870" max="870" width="10.75" style="326" bestFit="1" customWidth="1"/>
    <col min="871" max="871" width="13" style="326" customWidth="1"/>
    <col min="872" max="1018" width="9" style="326"/>
    <col min="1019" max="1020" width="12.125" style="326" customWidth="1"/>
    <col min="1021" max="1023" width="13" style="326" customWidth="1"/>
    <col min="1024" max="1024" width="12.875" style="326" customWidth="1"/>
    <col min="1025" max="1025" width="13" style="326" customWidth="1"/>
    <col min="1026" max="1026" width="13.125" style="326" customWidth="1"/>
    <col min="1027" max="1028" width="12.125" style="326" customWidth="1"/>
    <col min="1029" max="1029" width="14.375" style="326" bestFit="1" customWidth="1"/>
    <col min="1030" max="1030" width="11" style="326" customWidth="1"/>
    <col min="1031" max="1031" width="10" style="326" customWidth="1"/>
    <col min="1032" max="1032" width="10.875" style="326" customWidth="1"/>
    <col min="1033" max="1033" width="13.75" style="326" customWidth="1"/>
    <col min="1034" max="1034" width="10" style="326" customWidth="1"/>
    <col min="1035" max="1035" width="13.25" style="326" customWidth="1"/>
    <col min="1036" max="1036" width="14.375" style="326" customWidth="1"/>
    <col min="1037" max="1037" width="10" style="326" customWidth="1"/>
    <col min="1038" max="1038" width="10.875" style="326" customWidth="1"/>
    <col min="1039" max="1039" width="11.375" style="326" customWidth="1"/>
    <col min="1040" max="1040" width="15.375" style="326" customWidth="1"/>
    <col min="1041" max="1042" width="10.75" style="326" customWidth="1"/>
    <col min="1043" max="1043" width="14.375" style="326" customWidth="1"/>
    <col min="1044" max="1044" width="10.75" style="326" customWidth="1"/>
    <col min="1045" max="1045" width="11.75" style="326" customWidth="1"/>
    <col min="1046" max="1046" width="10" style="326" customWidth="1"/>
    <col min="1047" max="1047" width="15.375" style="326" customWidth="1"/>
    <col min="1048" max="1048" width="10" style="326" customWidth="1"/>
    <col min="1049" max="1049" width="10.75" style="326" customWidth="1"/>
    <col min="1050" max="1050" width="14.875" style="326" customWidth="1"/>
    <col min="1051" max="1051" width="11.5" style="326" customWidth="1"/>
    <col min="1052" max="1052" width="10" style="326" customWidth="1"/>
    <col min="1053" max="1053" width="10.75" style="326" customWidth="1"/>
    <col min="1054" max="1054" width="13.5" style="326" customWidth="1"/>
    <col min="1055" max="1055" width="9" style="326"/>
    <col min="1056" max="1056" width="10.75" style="326" bestFit="1" customWidth="1"/>
    <col min="1057" max="1057" width="13.75" style="326" customWidth="1"/>
    <col min="1058" max="1058" width="9" style="326"/>
    <col min="1059" max="1059" width="10.625" style="326" customWidth="1"/>
    <col min="1060" max="1060" width="9" style="326"/>
    <col min="1061" max="1061" width="14.25" style="326" customWidth="1"/>
    <col min="1062" max="1062" width="10.75" style="326" bestFit="1" customWidth="1"/>
    <col min="1063" max="1063" width="11.625" style="326" customWidth="1"/>
    <col min="1064" max="1064" width="13.75" style="326" customWidth="1"/>
    <col min="1065" max="1065" width="10.625" style="326" customWidth="1"/>
    <col min="1066" max="1067" width="9" style="326"/>
    <col min="1068" max="1068" width="14.125" style="326" customWidth="1"/>
    <col min="1069" max="1069" width="11" style="326" customWidth="1"/>
    <col min="1070" max="1070" width="10.75" style="326" bestFit="1" customWidth="1"/>
    <col min="1071" max="1071" width="13.5" style="326" customWidth="1"/>
    <col min="1072" max="1073" width="9" style="326"/>
    <col min="1074" max="1074" width="10.75" style="326" bestFit="1" customWidth="1"/>
    <col min="1075" max="1075" width="14" style="326" customWidth="1"/>
    <col min="1076" max="1076" width="9" style="326"/>
    <col min="1077" max="1077" width="10.75" style="326" customWidth="1"/>
    <col min="1078" max="1078" width="12.75" style="326" customWidth="1"/>
    <col min="1079" max="1079" width="9" style="326"/>
    <col min="1080" max="1080" width="10.75" style="326" bestFit="1" customWidth="1"/>
    <col min="1081" max="1081" width="11.5" style="326" customWidth="1"/>
    <col min="1082" max="1082" width="13.625" style="326" customWidth="1"/>
    <col min="1083" max="1083" width="10.625" style="326" customWidth="1"/>
    <col min="1084" max="1084" width="10.75" style="326" bestFit="1" customWidth="1"/>
    <col min="1085" max="1085" width="12.375" style="326" customWidth="1"/>
    <col min="1086" max="1088" width="9" style="326"/>
    <col min="1089" max="1089" width="15.75" style="326" customWidth="1"/>
    <col min="1090" max="1090" width="9" style="326"/>
    <col min="1091" max="1091" width="10.75" style="326" bestFit="1" customWidth="1"/>
    <col min="1092" max="1092" width="12.625" style="326" customWidth="1"/>
    <col min="1093" max="1095" width="9" style="326"/>
    <col min="1096" max="1096" width="13.625" style="326" customWidth="1"/>
    <col min="1097" max="1097" width="9" style="326"/>
    <col min="1098" max="1098" width="10.75" style="326" bestFit="1" customWidth="1"/>
    <col min="1099" max="1099" width="12.5" style="326" customWidth="1"/>
    <col min="1100" max="1102" width="9" style="326"/>
    <col min="1103" max="1103" width="12.875" style="326" customWidth="1"/>
    <col min="1104" max="1104" width="9" style="326"/>
    <col min="1105" max="1105" width="10.75" style="326" bestFit="1" customWidth="1"/>
    <col min="1106" max="1106" width="13.875" style="326" customWidth="1"/>
    <col min="1107" max="1109" width="9" style="326"/>
    <col min="1110" max="1110" width="14.125" style="326" customWidth="1"/>
    <col min="1111" max="1111" width="9" style="326"/>
    <col min="1112" max="1112" width="10.75" style="326" bestFit="1" customWidth="1"/>
    <col min="1113" max="1113" width="13.25" style="326" customWidth="1"/>
    <col min="1114" max="1116" width="9" style="326"/>
    <col min="1117" max="1117" width="13.25" style="326" customWidth="1"/>
    <col min="1118" max="1118" width="9" style="326"/>
    <col min="1119" max="1119" width="10.75" style="326" bestFit="1" customWidth="1"/>
    <col min="1120" max="1120" width="13.875" style="326" customWidth="1"/>
    <col min="1121" max="1123" width="9" style="326"/>
    <col min="1124" max="1124" width="13.625" style="326" customWidth="1"/>
    <col min="1125" max="1125" width="9" style="326"/>
    <col min="1126" max="1126" width="10.75" style="326" bestFit="1" customWidth="1"/>
    <col min="1127" max="1127" width="13" style="326" customWidth="1"/>
    <col min="1128" max="1274" width="9" style="326"/>
    <col min="1275" max="1276" width="12.125" style="326" customWidth="1"/>
    <col min="1277" max="1279" width="13" style="326" customWidth="1"/>
    <col min="1280" max="1280" width="12.875" style="326" customWidth="1"/>
    <col min="1281" max="1281" width="13" style="326" customWidth="1"/>
    <col min="1282" max="1282" width="13.125" style="326" customWidth="1"/>
    <col min="1283" max="1284" width="12.125" style="326" customWidth="1"/>
    <col min="1285" max="1285" width="14.375" style="326" bestFit="1" customWidth="1"/>
    <col min="1286" max="1286" width="11" style="326" customWidth="1"/>
    <col min="1287" max="1287" width="10" style="326" customWidth="1"/>
    <col min="1288" max="1288" width="10.875" style="326" customWidth="1"/>
    <col min="1289" max="1289" width="13.75" style="326" customWidth="1"/>
    <col min="1290" max="1290" width="10" style="326" customWidth="1"/>
    <col min="1291" max="1291" width="13.25" style="326" customWidth="1"/>
    <col min="1292" max="1292" width="14.375" style="326" customWidth="1"/>
    <col min="1293" max="1293" width="10" style="326" customWidth="1"/>
    <col min="1294" max="1294" width="10.875" style="326" customWidth="1"/>
    <col min="1295" max="1295" width="11.375" style="326" customWidth="1"/>
    <col min="1296" max="1296" width="15.375" style="326" customWidth="1"/>
    <col min="1297" max="1298" width="10.75" style="326" customWidth="1"/>
    <col min="1299" max="1299" width="14.375" style="326" customWidth="1"/>
    <col min="1300" max="1300" width="10.75" style="326" customWidth="1"/>
    <col min="1301" max="1301" width="11.75" style="326" customWidth="1"/>
    <col min="1302" max="1302" width="10" style="326" customWidth="1"/>
    <col min="1303" max="1303" width="15.375" style="326" customWidth="1"/>
    <col min="1304" max="1304" width="10" style="326" customWidth="1"/>
    <col min="1305" max="1305" width="10.75" style="326" customWidth="1"/>
    <col min="1306" max="1306" width="14.875" style="326" customWidth="1"/>
    <col min="1307" max="1307" width="11.5" style="326" customWidth="1"/>
    <col min="1308" max="1308" width="10" style="326" customWidth="1"/>
    <col min="1309" max="1309" width="10.75" style="326" customWidth="1"/>
    <col min="1310" max="1310" width="13.5" style="326" customWidth="1"/>
    <col min="1311" max="1311" width="9" style="326"/>
    <col min="1312" max="1312" width="10.75" style="326" bestFit="1" customWidth="1"/>
    <col min="1313" max="1313" width="13.75" style="326" customWidth="1"/>
    <col min="1314" max="1314" width="9" style="326"/>
    <col min="1315" max="1315" width="10.625" style="326" customWidth="1"/>
    <col min="1316" max="1316" width="9" style="326"/>
    <col min="1317" max="1317" width="14.25" style="326" customWidth="1"/>
    <col min="1318" max="1318" width="10.75" style="326" bestFit="1" customWidth="1"/>
    <col min="1319" max="1319" width="11.625" style="326" customWidth="1"/>
    <col min="1320" max="1320" width="13.75" style="326" customWidth="1"/>
    <col min="1321" max="1321" width="10.625" style="326" customWidth="1"/>
    <col min="1322" max="1323" width="9" style="326"/>
    <col min="1324" max="1324" width="14.125" style="326" customWidth="1"/>
    <col min="1325" max="1325" width="11" style="326" customWidth="1"/>
    <col min="1326" max="1326" width="10.75" style="326" bestFit="1" customWidth="1"/>
    <col min="1327" max="1327" width="13.5" style="326" customWidth="1"/>
    <col min="1328" max="1329" width="9" style="326"/>
    <col min="1330" max="1330" width="10.75" style="326" bestFit="1" customWidth="1"/>
    <col min="1331" max="1331" width="14" style="326" customWidth="1"/>
    <col min="1332" max="1332" width="9" style="326"/>
    <col min="1333" max="1333" width="10.75" style="326" customWidth="1"/>
    <col min="1334" max="1334" width="12.75" style="326" customWidth="1"/>
    <col min="1335" max="1335" width="9" style="326"/>
    <col min="1336" max="1336" width="10.75" style="326" bestFit="1" customWidth="1"/>
    <col min="1337" max="1337" width="11.5" style="326" customWidth="1"/>
    <col min="1338" max="1338" width="13.625" style="326" customWidth="1"/>
    <col min="1339" max="1339" width="10.625" style="326" customWidth="1"/>
    <col min="1340" max="1340" width="10.75" style="326" bestFit="1" customWidth="1"/>
    <col min="1341" max="1341" width="12.375" style="326" customWidth="1"/>
    <col min="1342" max="1344" width="9" style="326"/>
    <col min="1345" max="1345" width="15.75" style="326" customWidth="1"/>
    <col min="1346" max="1346" width="9" style="326"/>
    <col min="1347" max="1347" width="10.75" style="326" bestFit="1" customWidth="1"/>
    <col min="1348" max="1348" width="12.625" style="326" customWidth="1"/>
    <col min="1349" max="1351" width="9" style="326"/>
    <col min="1352" max="1352" width="13.625" style="326" customWidth="1"/>
    <col min="1353" max="1353" width="9" style="326"/>
    <col min="1354" max="1354" width="10.75" style="326" bestFit="1" customWidth="1"/>
    <col min="1355" max="1355" width="12.5" style="326" customWidth="1"/>
    <col min="1356" max="1358" width="9" style="326"/>
    <col min="1359" max="1359" width="12.875" style="326" customWidth="1"/>
    <col min="1360" max="1360" width="9" style="326"/>
    <col min="1361" max="1361" width="10.75" style="326" bestFit="1" customWidth="1"/>
    <col min="1362" max="1362" width="13.875" style="326" customWidth="1"/>
    <col min="1363" max="1365" width="9" style="326"/>
    <col min="1366" max="1366" width="14.125" style="326" customWidth="1"/>
    <col min="1367" max="1367" width="9" style="326"/>
    <col min="1368" max="1368" width="10.75" style="326" bestFit="1" customWidth="1"/>
    <col min="1369" max="1369" width="13.25" style="326" customWidth="1"/>
    <col min="1370" max="1372" width="9" style="326"/>
    <col min="1373" max="1373" width="13.25" style="326" customWidth="1"/>
    <col min="1374" max="1374" width="9" style="326"/>
    <col min="1375" max="1375" width="10.75" style="326" bestFit="1" customWidth="1"/>
    <col min="1376" max="1376" width="13.875" style="326" customWidth="1"/>
    <col min="1377" max="1379" width="9" style="326"/>
    <col min="1380" max="1380" width="13.625" style="326" customWidth="1"/>
    <col min="1381" max="1381" width="9" style="326"/>
    <col min="1382" max="1382" width="10.75" style="326" bestFit="1" customWidth="1"/>
    <col min="1383" max="1383" width="13" style="326" customWidth="1"/>
    <col min="1384" max="1530" width="9" style="326"/>
    <col min="1531" max="1532" width="12.125" style="326" customWidth="1"/>
    <col min="1533" max="1535" width="13" style="326" customWidth="1"/>
    <col min="1536" max="1536" width="12.875" style="326" customWidth="1"/>
    <col min="1537" max="1537" width="13" style="326" customWidth="1"/>
    <col min="1538" max="1538" width="13.125" style="326" customWidth="1"/>
    <col min="1539" max="1540" width="12.125" style="326" customWidth="1"/>
    <col min="1541" max="1541" width="14.375" style="326" bestFit="1" customWidth="1"/>
    <col min="1542" max="1542" width="11" style="326" customWidth="1"/>
    <col min="1543" max="1543" width="10" style="326" customWidth="1"/>
    <col min="1544" max="1544" width="10.875" style="326" customWidth="1"/>
    <col min="1545" max="1545" width="13.75" style="326" customWidth="1"/>
    <col min="1546" max="1546" width="10" style="326" customWidth="1"/>
    <col min="1547" max="1547" width="13.25" style="326" customWidth="1"/>
    <col min="1548" max="1548" width="14.375" style="326" customWidth="1"/>
    <col min="1549" max="1549" width="10" style="326" customWidth="1"/>
    <col min="1550" max="1550" width="10.875" style="326" customWidth="1"/>
    <col min="1551" max="1551" width="11.375" style="326" customWidth="1"/>
    <col min="1552" max="1552" width="15.375" style="326" customWidth="1"/>
    <col min="1553" max="1554" width="10.75" style="326" customWidth="1"/>
    <col min="1555" max="1555" width="14.375" style="326" customWidth="1"/>
    <col min="1556" max="1556" width="10.75" style="326" customWidth="1"/>
    <col min="1557" max="1557" width="11.75" style="326" customWidth="1"/>
    <col min="1558" max="1558" width="10" style="326" customWidth="1"/>
    <col min="1559" max="1559" width="15.375" style="326" customWidth="1"/>
    <col min="1560" max="1560" width="10" style="326" customWidth="1"/>
    <col min="1561" max="1561" width="10.75" style="326" customWidth="1"/>
    <col min="1562" max="1562" width="14.875" style="326" customWidth="1"/>
    <col min="1563" max="1563" width="11.5" style="326" customWidth="1"/>
    <col min="1564" max="1564" width="10" style="326" customWidth="1"/>
    <col min="1565" max="1565" width="10.75" style="326" customWidth="1"/>
    <col min="1566" max="1566" width="13.5" style="326" customWidth="1"/>
    <col min="1567" max="1567" width="9" style="326"/>
    <col min="1568" max="1568" width="10.75" style="326" bestFit="1" customWidth="1"/>
    <col min="1569" max="1569" width="13.75" style="326" customWidth="1"/>
    <col min="1570" max="1570" width="9" style="326"/>
    <col min="1571" max="1571" width="10.625" style="326" customWidth="1"/>
    <col min="1572" max="1572" width="9" style="326"/>
    <col min="1573" max="1573" width="14.25" style="326" customWidth="1"/>
    <col min="1574" max="1574" width="10.75" style="326" bestFit="1" customWidth="1"/>
    <col min="1575" max="1575" width="11.625" style="326" customWidth="1"/>
    <col min="1576" max="1576" width="13.75" style="326" customWidth="1"/>
    <col min="1577" max="1577" width="10.625" style="326" customWidth="1"/>
    <col min="1578" max="1579" width="9" style="326"/>
    <col min="1580" max="1580" width="14.125" style="326" customWidth="1"/>
    <col min="1581" max="1581" width="11" style="326" customWidth="1"/>
    <col min="1582" max="1582" width="10.75" style="326" bestFit="1" customWidth="1"/>
    <col min="1583" max="1583" width="13.5" style="326" customWidth="1"/>
    <col min="1584" max="1585" width="9" style="326"/>
    <col min="1586" max="1586" width="10.75" style="326" bestFit="1" customWidth="1"/>
    <col min="1587" max="1587" width="14" style="326" customWidth="1"/>
    <col min="1588" max="1588" width="9" style="326"/>
    <col min="1589" max="1589" width="10.75" style="326" customWidth="1"/>
    <col min="1590" max="1590" width="12.75" style="326" customWidth="1"/>
    <col min="1591" max="1591" width="9" style="326"/>
    <col min="1592" max="1592" width="10.75" style="326" bestFit="1" customWidth="1"/>
    <col min="1593" max="1593" width="11.5" style="326" customWidth="1"/>
    <col min="1594" max="1594" width="13.625" style="326" customWidth="1"/>
    <col min="1595" max="1595" width="10.625" style="326" customWidth="1"/>
    <col min="1596" max="1596" width="10.75" style="326" bestFit="1" customWidth="1"/>
    <col min="1597" max="1597" width="12.375" style="326" customWidth="1"/>
    <col min="1598" max="1600" width="9" style="326"/>
    <col min="1601" max="1601" width="15.75" style="326" customWidth="1"/>
    <col min="1602" max="1602" width="9" style="326"/>
    <col min="1603" max="1603" width="10.75" style="326" bestFit="1" customWidth="1"/>
    <col min="1604" max="1604" width="12.625" style="326" customWidth="1"/>
    <col min="1605" max="1607" width="9" style="326"/>
    <col min="1608" max="1608" width="13.625" style="326" customWidth="1"/>
    <col min="1609" max="1609" width="9" style="326"/>
    <col min="1610" max="1610" width="10.75" style="326" bestFit="1" customWidth="1"/>
    <col min="1611" max="1611" width="12.5" style="326" customWidth="1"/>
    <col min="1612" max="1614" width="9" style="326"/>
    <col min="1615" max="1615" width="12.875" style="326" customWidth="1"/>
    <col min="1616" max="1616" width="9" style="326"/>
    <col min="1617" max="1617" width="10.75" style="326" bestFit="1" customWidth="1"/>
    <col min="1618" max="1618" width="13.875" style="326" customWidth="1"/>
    <col min="1619" max="1621" width="9" style="326"/>
    <col min="1622" max="1622" width="14.125" style="326" customWidth="1"/>
    <col min="1623" max="1623" width="9" style="326"/>
    <col min="1624" max="1624" width="10.75" style="326" bestFit="1" customWidth="1"/>
    <col min="1625" max="1625" width="13.25" style="326" customWidth="1"/>
    <col min="1626" max="1628" width="9" style="326"/>
    <col min="1629" max="1629" width="13.25" style="326" customWidth="1"/>
    <col min="1630" max="1630" width="9" style="326"/>
    <col min="1631" max="1631" width="10.75" style="326" bestFit="1" customWidth="1"/>
    <col min="1632" max="1632" width="13.875" style="326" customWidth="1"/>
    <col min="1633" max="1635" width="9" style="326"/>
    <col min="1636" max="1636" width="13.625" style="326" customWidth="1"/>
    <col min="1637" max="1637" width="9" style="326"/>
    <col min="1638" max="1638" width="10.75" style="326" bestFit="1" customWidth="1"/>
    <col min="1639" max="1639" width="13" style="326" customWidth="1"/>
    <col min="1640" max="1786" width="9" style="326"/>
    <col min="1787" max="1788" width="12.125" style="326" customWidth="1"/>
    <col min="1789" max="1791" width="13" style="326" customWidth="1"/>
    <col min="1792" max="1792" width="12.875" style="326" customWidth="1"/>
    <col min="1793" max="1793" width="13" style="326" customWidth="1"/>
    <col min="1794" max="1794" width="13.125" style="326" customWidth="1"/>
    <col min="1795" max="1796" width="12.125" style="326" customWidth="1"/>
    <col min="1797" max="1797" width="14.375" style="326" bestFit="1" customWidth="1"/>
    <col min="1798" max="1798" width="11" style="326" customWidth="1"/>
    <col min="1799" max="1799" width="10" style="326" customWidth="1"/>
    <col min="1800" max="1800" width="10.875" style="326" customWidth="1"/>
    <col min="1801" max="1801" width="13.75" style="326" customWidth="1"/>
    <col min="1802" max="1802" width="10" style="326" customWidth="1"/>
    <col min="1803" max="1803" width="13.25" style="326" customWidth="1"/>
    <col min="1804" max="1804" width="14.375" style="326" customWidth="1"/>
    <col min="1805" max="1805" width="10" style="326" customWidth="1"/>
    <col min="1806" max="1806" width="10.875" style="326" customWidth="1"/>
    <col min="1807" max="1807" width="11.375" style="326" customWidth="1"/>
    <col min="1808" max="1808" width="15.375" style="326" customWidth="1"/>
    <col min="1809" max="1810" width="10.75" style="326" customWidth="1"/>
    <col min="1811" max="1811" width="14.375" style="326" customWidth="1"/>
    <col min="1812" max="1812" width="10.75" style="326" customWidth="1"/>
    <col min="1813" max="1813" width="11.75" style="326" customWidth="1"/>
    <col min="1814" max="1814" width="10" style="326" customWidth="1"/>
    <col min="1815" max="1815" width="15.375" style="326" customWidth="1"/>
    <col min="1816" max="1816" width="10" style="326" customWidth="1"/>
    <col min="1817" max="1817" width="10.75" style="326" customWidth="1"/>
    <col min="1818" max="1818" width="14.875" style="326" customWidth="1"/>
    <col min="1819" max="1819" width="11.5" style="326" customWidth="1"/>
    <col min="1820" max="1820" width="10" style="326" customWidth="1"/>
    <col min="1821" max="1821" width="10.75" style="326" customWidth="1"/>
    <col min="1822" max="1822" width="13.5" style="326" customWidth="1"/>
    <col min="1823" max="1823" width="9" style="326"/>
    <col min="1824" max="1824" width="10.75" style="326" bestFit="1" customWidth="1"/>
    <col min="1825" max="1825" width="13.75" style="326" customWidth="1"/>
    <col min="1826" max="1826" width="9" style="326"/>
    <col min="1827" max="1827" width="10.625" style="326" customWidth="1"/>
    <col min="1828" max="1828" width="9" style="326"/>
    <col min="1829" max="1829" width="14.25" style="326" customWidth="1"/>
    <col min="1830" max="1830" width="10.75" style="326" bestFit="1" customWidth="1"/>
    <col min="1831" max="1831" width="11.625" style="326" customWidth="1"/>
    <col min="1832" max="1832" width="13.75" style="326" customWidth="1"/>
    <col min="1833" max="1833" width="10.625" style="326" customWidth="1"/>
    <col min="1834" max="1835" width="9" style="326"/>
    <col min="1836" max="1836" width="14.125" style="326" customWidth="1"/>
    <col min="1837" max="1837" width="11" style="326" customWidth="1"/>
    <col min="1838" max="1838" width="10.75" style="326" bestFit="1" customWidth="1"/>
    <col min="1839" max="1839" width="13.5" style="326" customWidth="1"/>
    <col min="1840" max="1841" width="9" style="326"/>
    <col min="1842" max="1842" width="10.75" style="326" bestFit="1" customWidth="1"/>
    <col min="1843" max="1843" width="14" style="326" customWidth="1"/>
    <col min="1844" max="1844" width="9" style="326"/>
    <col min="1845" max="1845" width="10.75" style="326" customWidth="1"/>
    <col min="1846" max="1846" width="12.75" style="326" customWidth="1"/>
    <col min="1847" max="1847" width="9" style="326"/>
    <col min="1848" max="1848" width="10.75" style="326" bestFit="1" customWidth="1"/>
    <col min="1849" max="1849" width="11.5" style="326" customWidth="1"/>
    <col min="1850" max="1850" width="13.625" style="326" customWidth="1"/>
    <col min="1851" max="1851" width="10.625" style="326" customWidth="1"/>
    <col min="1852" max="1852" width="10.75" style="326" bestFit="1" customWidth="1"/>
    <col min="1853" max="1853" width="12.375" style="326" customWidth="1"/>
    <col min="1854" max="1856" width="9" style="326"/>
    <col min="1857" max="1857" width="15.75" style="326" customWidth="1"/>
    <col min="1858" max="1858" width="9" style="326"/>
    <col min="1859" max="1859" width="10.75" style="326" bestFit="1" customWidth="1"/>
    <col min="1860" max="1860" width="12.625" style="326" customWidth="1"/>
    <col min="1861" max="1863" width="9" style="326"/>
    <col min="1864" max="1864" width="13.625" style="326" customWidth="1"/>
    <col min="1865" max="1865" width="9" style="326"/>
    <col min="1866" max="1866" width="10.75" style="326" bestFit="1" customWidth="1"/>
    <col min="1867" max="1867" width="12.5" style="326" customWidth="1"/>
    <col min="1868" max="1870" width="9" style="326"/>
    <col min="1871" max="1871" width="12.875" style="326" customWidth="1"/>
    <col min="1872" max="1872" width="9" style="326"/>
    <col min="1873" max="1873" width="10.75" style="326" bestFit="1" customWidth="1"/>
    <col min="1874" max="1874" width="13.875" style="326" customWidth="1"/>
    <col min="1875" max="1877" width="9" style="326"/>
    <col min="1878" max="1878" width="14.125" style="326" customWidth="1"/>
    <col min="1879" max="1879" width="9" style="326"/>
    <col min="1880" max="1880" width="10.75" style="326" bestFit="1" customWidth="1"/>
    <col min="1881" max="1881" width="13.25" style="326" customWidth="1"/>
    <col min="1882" max="1884" width="9" style="326"/>
    <col min="1885" max="1885" width="13.25" style="326" customWidth="1"/>
    <col min="1886" max="1886" width="9" style="326"/>
    <col min="1887" max="1887" width="10.75" style="326" bestFit="1" customWidth="1"/>
    <col min="1888" max="1888" width="13.875" style="326" customWidth="1"/>
    <col min="1889" max="1891" width="9" style="326"/>
    <col min="1892" max="1892" width="13.625" style="326" customWidth="1"/>
    <col min="1893" max="1893" width="9" style="326"/>
    <col min="1894" max="1894" width="10.75" style="326" bestFit="1" customWidth="1"/>
    <col min="1895" max="1895" width="13" style="326" customWidth="1"/>
    <col min="1896" max="2042" width="9" style="326"/>
    <col min="2043" max="2044" width="12.125" style="326" customWidth="1"/>
    <col min="2045" max="2047" width="13" style="326" customWidth="1"/>
    <col min="2048" max="2048" width="12.875" style="326" customWidth="1"/>
    <col min="2049" max="2049" width="13" style="326" customWidth="1"/>
    <col min="2050" max="2050" width="13.125" style="326" customWidth="1"/>
    <col min="2051" max="2052" width="12.125" style="326" customWidth="1"/>
    <col min="2053" max="2053" width="14.375" style="326" bestFit="1" customWidth="1"/>
    <col min="2054" max="2054" width="11" style="326" customWidth="1"/>
    <col min="2055" max="2055" width="10" style="326" customWidth="1"/>
    <col min="2056" max="2056" width="10.875" style="326" customWidth="1"/>
    <col min="2057" max="2057" width="13.75" style="326" customWidth="1"/>
    <col min="2058" max="2058" width="10" style="326" customWidth="1"/>
    <col min="2059" max="2059" width="13.25" style="326" customWidth="1"/>
    <col min="2060" max="2060" width="14.375" style="326" customWidth="1"/>
    <col min="2061" max="2061" width="10" style="326" customWidth="1"/>
    <col min="2062" max="2062" width="10.875" style="326" customWidth="1"/>
    <col min="2063" max="2063" width="11.375" style="326" customWidth="1"/>
    <col min="2064" max="2064" width="15.375" style="326" customWidth="1"/>
    <col min="2065" max="2066" width="10.75" style="326" customWidth="1"/>
    <col min="2067" max="2067" width="14.375" style="326" customWidth="1"/>
    <col min="2068" max="2068" width="10.75" style="326" customWidth="1"/>
    <col min="2069" max="2069" width="11.75" style="326" customWidth="1"/>
    <col min="2070" max="2070" width="10" style="326" customWidth="1"/>
    <col min="2071" max="2071" width="15.375" style="326" customWidth="1"/>
    <col min="2072" max="2072" width="10" style="326" customWidth="1"/>
    <col min="2073" max="2073" width="10.75" style="326" customWidth="1"/>
    <col min="2074" max="2074" width="14.875" style="326" customWidth="1"/>
    <col min="2075" max="2075" width="11.5" style="326" customWidth="1"/>
    <col min="2076" max="2076" width="10" style="326" customWidth="1"/>
    <col min="2077" max="2077" width="10.75" style="326" customWidth="1"/>
    <col min="2078" max="2078" width="13.5" style="326" customWidth="1"/>
    <col min="2079" max="2079" width="9" style="326"/>
    <col min="2080" max="2080" width="10.75" style="326" bestFit="1" customWidth="1"/>
    <col min="2081" max="2081" width="13.75" style="326" customWidth="1"/>
    <col min="2082" max="2082" width="9" style="326"/>
    <col min="2083" max="2083" width="10.625" style="326" customWidth="1"/>
    <col min="2084" max="2084" width="9" style="326"/>
    <col min="2085" max="2085" width="14.25" style="326" customWidth="1"/>
    <col min="2086" max="2086" width="10.75" style="326" bestFit="1" customWidth="1"/>
    <col min="2087" max="2087" width="11.625" style="326" customWidth="1"/>
    <col min="2088" max="2088" width="13.75" style="326" customWidth="1"/>
    <col min="2089" max="2089" width="10.625" style="326" customWidth="1"/>
    <col min="2090" max="2091" width="9" style="326"/>
    <col min="2092" max="2092" width="14.125" style="326" customWidth="1"/>
    <col min="2093" max="2093" width="11" style="326" customWidth="1"/>
    <col min="2094" max="2094" width="10.75" style="326" bestFit="1" customWidth="1"/>
    <col min="2095" max="2095" width="13.5" style="326" customWidth="1"/>
    <col min="2096" max="2097" width="9" style="326"/>
    <col min="2098" max="2098" width="10.75" style="326" bestFit="1" customWidth="1"/>
    <col min="2099" max="2099" width="14" style="326" customWidth="1"/>
    <col min="2100" max="2100" width="9" style="326"/>
    <col min="2101" max="2101" width="10.75" style="326" customWidth="1"/>
    <col min="2102" max="2102" width="12.75" style="326" customWidth="1"/>
    <col min="2103" max="2103" width="9" style="326"/>
    <col min="2104" max="2104" width="10.75" style="326" bestFit="1" customWidth="1"/>
    <col min="2105" max="2105" width="11.5" style="326" customWidth="1"/>
    <col min="2106" max="2106" width="13.625" style="326" customWidth="1"/>
    <col min="2107" max="2107" width="10.625" style="326" customWidth="1"/>
    <col min="2108" max="2108" width="10.75" style="326" bestFit="1" customWidth="1"/>
    <col min="2109" max="2109" width="12.375" style="326" customWidth="1"/>
    <col min="2110" max="2112" width="9" style="326"/>
    <col min="2113" max="2113" width="15.75" style="326" customWidth="1"/>
    <col min="2114" max="2114" width="9" style="326"/>
    <col min="2115" max="2115" width="10.75" style="326" bestFit="1" customWidth="1"/>
    <col min="2116" max="2116" width="12.625" style="326" customWidth="1"/>
    <col min="2117" max="2119" width="9" style="326"/>
    <col min="2120" max="2120" width="13.625" style="326" customWidth="1"/>
    <col min="2121" max="2121" width="9" style="326"/>
    <col min="2122" max="2122" width="10.75" style="326" bestFit="1" customWidth="1"/>
    <col min="2123" max="2123" width="12.5" style="326" customWidth="1"/>
    <col min="2124" max="2126" width="9" style="326"/>
    <col min="2127" max="2127" width="12.875" style="326" customWidth="1"/>
    <col min="2128" max="2128" width="9" style="326"/>
    <col min="2129" max="2129" width="10.75" style="326" bestFit="1" customWidth="1"/>
    <col min="2130" max="2130" width="13.875" style="326" customWidth="1"/>
    <col min="2131" max="2133" width="9" style="326"/>
    <col min="2134" max="2134" width="14.125" style="326" customWidth="1"/>
    <col min="2135" max="2135" width="9" style="326"/>
    <col min="2136" max="2136" width="10.75" style="326" bestFit="1" customWidth="1"/>
    <col min="2137" max="2137" width="13.25" style="326" customWidth="1"/>
    <col min="2138" max="2140" width="9" style="326"/>
    <col min="2141" max="2141" width="13.25" style="326" customWidth="1"/>
    <col min="2142" max="2142" width="9" style="326"/>
    <col min="2143" max="2143" width="10.75" style="326" bestFit="1" customWidth="1"/>
    <col min="2144" max="2144" width="13.875" style="326" customWidth="1"/>
    <col min="2145" max="2147" width="9" style="326"/>
    <col min="2148" max="2148" width="13.625" style="326" customWidth="1"/>
    <col min="2149" max="2149" width="9" style="326"/>
    <col min="2150" max="2150" width="10.75" style="326" bestFit="1" customWidth="1"/>
    <col min="2151" max="2151" width="13" style="326" customWidth="1"/>
    <col min="2152" max="2298" width="9" style="326"/>
    <col min="2299" max="2300" width="12.125" style="326" customWidth="1"/>
    <col min="2301" max="2303" width="13" style="326" customWidth="1"/>
    <col min="2304" max="2304" width="12.875" style="326" customWidth="1"/>
    <col min="2305" max="2305" width="13" style="326" customWidth="1"/>
    <col min="2306" max="2306" width="13.125" style="326" customWidth="1"/>
    <col min="2307" max="2308" width="12.125" style="326" customWidth="1"/>
    <col min="2309" max="2309" width="14.375" style="326" bestFit="1" customWidth="1"/>
    <col min="2310" max="2310" width="11" style="326" customWidth="1"/>
    <col min="2311" max="2311" width="10" style="326" customWidth="1"/>
    <col min="2312" max="2312" width="10.875" style="326" customWidth="1"/>
    <col min="2313" max="2313" width="13.75" style="326" customWidth="1"/>
    <col min="2314" max="2314" width="10" style="326" customWidth="1"/>
    <col min="2315" max="2315" width="13.25" style="326" customWidth="1"/>
    <col min="2316" max="2316" width="14.375" style="326" customWidth="1"/>
    <col min="2317" max="2317" width="10" style="326" customWidth="1"/>
    <col min="2318" max="2318" width="10.875" style="326" customWidth="1"/>
    <col min="2319" max="2319" width="11.375" style="326" customWidth="1"/>
    <col min="2320" max="2320" width="15.375" style="326" customWidth="1"/>
    <col min="2321" max="2322" width="10.75" style="326" customWidth="1"/>
    <col min="2323" max="2323" width="14.375" style="326" customWidth="1"/>
    <col min="2324" max="2324" width="10.75" style="326" customWidth="1"/>
    <col min="2325" max="2325" width="11.75" style="326" customWidth="1"/>
    <col min="2326" max="2326" width="10" style="326" customWidth="1"/>
    <col min="2327" max="2327" width="15.375" style="326" customWidth="1"/>
    <col min="2328" max="2328" width="10" style="326" customWidth="1"/>
    <col min="2329" max="2329" width="10.75" style="326" customWidth="1"/>
    <col min="2330" max="2330" width="14.875" style="326" customWidth="1"/>
    <col min="2331" max="2331" width="11.5" style="326" customWidth="1"/>
    <col min="2332" max="2332" width="10" style="326" customWidth="1"/>
    <col min="2333" max="2333" width="10.75" style="326" customWidth="1"/>
    <col min="2334" max="2334" width="13.5" style="326" customWidth="1"/>
    <col min="2335" max="2335" width="9" style="326"/>
    <col min="2336" max="2336" width="10.75" style="326" bestFit="1" customWidth="1"/>
    <col min="2337" max="2337" width="13.75" style="326" customWidth="1"/>
    <col min="2338" max="2338" width="9" style="326"/>
    <col min="2339" max="2339" width="10.625" style="326" customWidth="1"/>
    <col min="2340" max="2340" width="9" style="326"/>
    <col min="2341" max="2341" width="14.25" style="326" customWidth="1"/>
    <col min="2342" max="2342" width="10.75" style="326" bestFit="1" customWidth="1"/>
    <col min="2343" max="2343" width="11.625" style="326" customWidth="1"/>
    <col min="2344" max="2344" width="13.75" style="326" customWidth="1"/>
    <col min="2345" max="2345" width="10.625" style="326" customWidth="1"/>
    <col min="2346" max="2347" width="9" style="326"/>
    <col min="2348" max="2348" width="14.125" style="326" customWidth="1"/>
    <col min="2349" max="2349" width="11" style="326" customWidth="1"/>
    <col min="2350" max="2350" width="10.75" style="326" bestFit="1" customWidth="1"/>
    <col min="2351" max="2351" width="13.5" style="326" customWidth="1"/>
    <col min="2352" max="2353" width="9" style="326"/>
    <col min="2354" max="2354" width="10.75" style="326" bestFit="1" customWidth="1"/>
    <col min="2355" max="2355" width="14" style="326" customWidth="1"/>
    <col min="2356" max="2356" width="9" style="326"/>
    <col min="2357" max="2357" width="10.75" style="326" customWidth="1"/>
    <col min="2358" max="2358" width="12.75" style="326" customWidth="1"/>
    <col min="2359" max="2359" width="9" style="326"/>
    <col min="2360" max="2360" width="10.75" style="326" bestFit="1" customWidth="1"/>
    <col min="2361" max="2361" width="11.5" style="326" customWidth="1"/>
    <col min="2362" max="2362" width="13.625" style="326" customWidth="1"/>
    <col min="2363" max="2363" width="10.625" style="326" customWidth="1"/>
    <col min="2364" max="2364" width="10.75" style="326" bestFit="1" customWidth="1"/>
    <col min="2365" max="2365" width="12.375" style="326" customWidth="1"/>
    <col min="2366" max="2368" width="9" style="326"/>
    <col min="2369" max="2369" width="15.75" style="326" customWidth="1"/>
    <col min="2370" max="2370" width="9" style="326"/>
    <col min="2371" max="2371" width="10.75" style="326" bestFit="1" customWidth="1"/>
    <col min="2372" max="2372" width="12.625" style="326" customWidth="1"/>
    <col min="2373" max="2375" width="9" style="326"/>
    <col min="2376" max="2376" width="13.625" style="326" customWidth="1"/>
    <col min="2377" max="2377" width="9" style="326"/>
    <col min="2378" max="2378" width="10.75" style="326" bestFit="1" customWidth="1"/>
    <col min="2379" max="2379" width="12.5" style="326" customWidth="1"/>
    <col min="2380" max="2382" width="9" style="326"/>
    <col min="2383" max="2383" width="12.875" style="326" customWidth="1"/>
    <col min="2384" max="2384" width="9" style="326"/>
    <col min="2385" max="2385" width="10.75" style="326" bestFit="1" customWidth="1"/>
    <col min="2386" max="2386" width="13.875" style="326" customWidth="1"/>
    <col min="2387" max="2389" width="9" style="326"/>
    <col min="2390" max="2390" width="14.125" style="326" customWidth="1"/>
    <col min="2391" max="2391" width="9" style="326"/>
    <col min="2392" max="2392" width="10.75" style="326" bestFit="1" customWidth="1"/>
    <col min="2393" max="2393" width="13.25" style="326" customWidth="1"/>
    <col min="2394" max="2396" width="9" style="326"/>
    <col min="2397" max="2397" width="13.25" style="326" customWidth="1"/>
    <col min="2398" max="2398" width="9" style="326"/>
    <col min="2399" max="2399" width="10.75" style="326" bestFit="1" customWidth="1"/>
    <col min="2400" max="2400" width="13.875" style="326" customWidth="1"/>
    <col min="2401" max="2403" width="9" style="326"/>
    <col min="2404" max="2404" width="13.625" style="326" customWidth="1"/>
    <col min="2405" max="2405" width="9" style="326"/>
    <col min="2406" max="2406" width="10.75" style="326" bestFit="1" customWidth="1"/>
    <col min="2407" max="2407" width="13" style="326" customWidth="1"/>
    <col min="2408" max="2554" width="9" style="326"/>
    <col min="2555" max="2556" width="12.125" style="326" customWidth="1"/>
    <col min="2557" max="2559" width="13" style="326" customWidth="1"/>
    <col min="2560" max="2560" width="12.875" style="326" customWidth="1"/>
    <col min="2561" max="2561" width="13" style="326" customWidth="1"/>
    <col min="2562" max="2562" width="13.125" style="326" customWidth="1"/>
    <col min="2563" max="2564" width="12.125" style="326" customWidth="1"/>
    <col min="2565" max="2565" width="14.375" style="326" bestFit="1" customWidth="1"/>
    <col min="2566" max="2566" width="11" style="326" customWidth="1"/>
    <col min="2567" max="2567" width="10" style="326" customWidth="1"/>
    <col min="2568" max="2568" width="10.875" style="326" customWidth="1"/>
    <col min="2569" max="2569" width="13.75" style="326" customWidth="1"/>
    <col min="2570" max="2570" width="10" style="326" customWidth="1"/>
    <col min="2571" max="2571" width="13.25" style="326" customWidth="1"/>
    <col min="2572" max="2572" width="14.375" style="326" customWidth="1"/>
    <col min="2573" max="2573" width="10" style="326" customWidth="1"/>
    <col min="2574" max="2574" width="10.875" style="326" customWidth="1"/>
    <col min="2575" max="2575" width="11.375" style="326" customWidth="1"/>
    <col min="2576" max="2576" width="15.375" style="326" customWidth="1"/>
    <col min="2577" max="2578" width="10.75" style="326" customWidth="1"/>
    <col min="2579" max="2579" width="14.375" style="326" customWidth="1"/>
    <col min="2580" max="2580" width="10.75" style="326" customWidth="1"/>
    <col min="2581" max="2581" width="11.75" style="326" customWidth="1"/>
    <col min="2582" max="2582" width="10" style="326" customWidth="1"/>
    <col min="2583" max="2583" width="15.375" style="326" customWidth="1"/>
    <col min="2584" max="2584" width="10" style="326" customWidth="1"/>
    <col min="2585" max="2585" width="10.75" style="326" customWidth="1"/>
    <col min="2586" max="2586" width="14.875" style="326" customWidth="1"/>
    <col min="2587" max="2587" width="11.5" style="326" customWidth="1"/>
    <col min="2588" max="2588" width="10" style="326" customWidth="1"/>
    <col min="2589" max="2589" width="10.75" style="326" customWidth="1"/>
    <col min="2590" max="2590" width="13.5" style="326" customWidth="1"/>
    <col min="2591" max="2591" width="9" style="326"/>
    <col min="2592" max="2592" width="10.75" style="326" bestFit="1" customWidth="1"/>
    <col min="2593" max="2593" width="13.75" style="326" customWidth="1"/>
    <col min="2594" max="2594" width="9" style="326"/>
    <col min="2595" max="2595" width="10.625" style="326" customWidth="1"/>
    <col min="2596" max="2596" width="9" style="326"/>
    <col min="2597" max="2597" width="14.25" style="326" customWidth="1"/>
    <col min="2598" max="2598" width="10.75" style="326" bestFit="1" customWidth="1"/>
    <col min="2599" max="2599" width="11.625" style="326" customWidth="1"/>
    <col min="2600" max="2600" width="13.75" style="326" customWidth="1"/>
    <col min="2601" max="2601" width="10.625" style="326" customWidth="1"/>
    <col min="2602" max="2603" width="9" style="326"/>
    <col min="2604" max="2604" width="14.125" style="326" customWidth="1"/>
    <col min="2605" max="2605" width="11" style="326" customWidth="1"/>
    <col min="2606" max="2606" width="10.75" style="326" bestFit="1" customWidth="1"/>
    <col min="2607" max="2607" width="13.5" style="326" customWidth="1"/>
    <col min="2608" max="2609" width="9" style="326"/>
    <col min="2610" max="2610" width="10.75" style="326" bestFit="1" customWidth="1"/>
    <col min="2611" max="2611" width="14" style="326" customWidth="1"/>
    <col min="2612" max="2612" width="9" style="326"/>
    <col min="2613" max="2613" width="10.75" style="326" customWidth="1"/>
    <col min="2614" max="2614" width="12.75" style="326" customWidth="1"/>
    <col min="2615" max="2615" width="9" style="326"/>
    <col min="2616" max="2616" width="10.75" style="326" bestFit="1" customWidth="1"/>
    <col min="2617" max="2617" width="11.5" style="326" customWidth="1"/>
    <col min="2618" max="2618" width="13.625" style="326" customWidth="1"/>
    <col min="2619" max="2619" width="10.625" style="326" customWidth="1"/>
    <col min="2620" max="2620" width="10.75" style="326" bestFit="1" customWidth="1"/>
    <col min="2621" max="2621" width="12.375" style="326" customWidth="1"/>
    <col min="2622" max="2624" width="9" style="326"/>
    <col min="2625" max="2625" width="15.75" style="326" customWidth="1"/>
    <col min="2626" max="2626" width="9" style="326"/>
    <col min="2627" max="2627" width="10.75" style="326" bestFit="1" customWidth="1"/>
    <col min="2628" max="2628" width="12.625" style="326" customWidth="1"/>
    <col min="2629" max="2631" width="9" style="326"/>
    <col min="2632" max="2632" width="13.625" style="326" customWidth="1"/>
    <col min="2633" max="2633" width="9" style="326"/>
    <col min="2634" max="2634" width="10.75" style="326" bestFit="1" customWidth="1"/>
    <col min="2635" max="2635" width="12.5" style="326" customWidth="1"/>
    <col min="2636" max="2638" width="9" style="326"/>
    <col min="2639" max="2639" width="12.875" style="326" customWidth="1"/>
    <col min="2640" max="2640" width="9" style="326"/>
    <col min="2641" max="2641" width="10.75" style="326" bestFit="1" customWidth="1"/>
    <col min="2642" max="2642" width="13.875" style="326" customWidth="1"/>
    <col min="2643" max="2645" width="9" style="326"/>
    <col min="2646" max="2646" width="14.125" style="326" customWidth="1"/>
    <col min="2647" max="2647" width="9" style="326"/>
    <col min="2648" max="2648" width="10.75" style="326" bestFit="1" customWidth="1"/>
    <col min="2649" max="2649" width="13.25" style="326" customWidth="1"/>
    <col min="2650" max="2652" width="9" style="326"/>
    <col min="2653" max="2653" width="13.25" style="326" customWidth="1"/>
    <col min="2654" max="2654" width="9" style="326"/>
    <col min="2655" max="2655" width="10.75" style="326" bestFit="1" customWidth="1"/>
    <col min="2656" max="2656" width="13.875" style="326" customWidth="1"/>
    <col min="2657" max="2659" width="9" style="326"/>
    <col min="2660" max="2660" width="13.625" style="326" customWidth="1"/>
    <col min="2661" max="2661" width="9" style="326"/>
    <col min="2662" max="2662" width="10.75" style="326" bestFit="1" customWidth="1"/>
    <col min="2663" max="2663" width="13" style="326" customWidth="1"/>
    <col min="2664" max="2810" width="9" style="326"/>
    <col min="2811" max="2812" width="12.125" style="326" customWidth="1"/>
    <col min="2813" max="2815" width="13" style="326" customWidth="1"/>
    <col min="2816" max="2816" width="12.875" style="326" customWidth="1"/>
    <col min="2817" max="2817" width="13" style="326" customWidth="1"/>
    <col min="2818" max="2818" width="13.125" style="326" customWidth="1"/>
    <col min="2819" max="2820" width="12.125" style="326" customWidth="1"/>
    <col min="2821" max="2821" width="14.375" style="326" bestFit="1" customWidth="1"/>
    <col min="2822" max="2822" width="11" style="326" customWidth="1"/>
    <col min="2823" max="2823" width="10" style="326" customWidth="1"/>
    <col min="2824" max="2824" width="10.875" style="326" customWidth="1"/>
    <col min="2825" max="2825" width="13.75" style="326" customWidth="1"/>
    <col min="2826" max="2826" width="10" style="326" customWidth="1"/>
    <col min="2827" max="2827" width="13.25" style="326" customWidth="1"/>
    <col min="2828" max="2828" width="14.375" style="326" customWidth="1"/>
    <col min="2829" max="2829" width="10" style="326" customWidth="1"/>
    <col min="2830" max="2830" width="10.875" style="326" customWidth="1"/>
    <col min="2831" max="2831" width="11.375" style="326" customWidth="1"/>
    <col min="2832" max="2832" width="15.375" style="326" customWidth="1"/>
    <col min="2833" max="2834" width="10.75" style="326" customWidth="1"/>
    <col min="2835" max="2835" width="14.375" style="326" customWidth="1"/>
    <col min="2836" max="2836" width="10.75" style="326" customWidth="1"/>
    <col min="2837" max="2837" width="11.75" style="326" customWidth="1"/>
    <col min="2838" max="2838" width="10" style="326" customWidth="1"/>
    <col min="2839" max="2839" width="15.375" style="326" customWidth="1"/>
    <col min="2840" max="2840" width="10" style="326" customWidth="1"/>
    <col min="2841" max="2841" width="10.75" style="326" customWidth="1"/>
    <col min="2842" max="2842" width="14.875" style="326" customWidth="1"/>
    <col min="2843" max="2843" width="11.5" style="326" customWidth="1"/>
    <col min="2844" max="2844" width="10" style="326" customWidth="1"/>
    <col min="2845" max="2845" width="10.75" style="326" customWidth="1"/>
    <col min="2846" max="2846" width="13.5" style="326" customWidth="1"/>
    <col min="2847" max="2847" width="9" style="326"/>
    <col min="2848" max="2848" width="10.75" style="326" bestFit="1" customWidth="1"/>
    <col min="2849" max="2849" width="13.75" style="326" customWidth="1"/>
    <col min="2850" max="2850" width="9" style="326"/>
    <col min="2851" max="2851" width="10.625" style="326" customWidth="1"/>
    <col min="2852" max="2852" width="9" style="326"/>
    <col min="2853" max="2853" width="14.25" style="326" customWidth="1"/>
    <col min="2854" max="2854" width="10.75" style="326" bestFit="1" customWidth="1"/>
    <col min="2855" max="2855" width="11.625" style="326" customWidth="1"/>
    <col min="2856" max="2856" width="13.75" style="326" customWidth="1"/>
    <col min="2857" max="2857" width="10.625" style="326" customWidth="1"/>
    <col min="2858" max="2859" width="9" style="326"/>
    <col min="2860" max="2860" width="14.125" style="326" customWidth="1"/>
    <col min="2861" max="2861" width="11" style="326" customWidth="1"/>
    <col min="2862" max="2862" width="10.75" style="326" bestFit="1" customWidth="1"/>
    <col min="2863" max="2863" width="13.5" style="326" customWidth="1"/>
    <col min="2864" max="2865" width="9" style="326"/>
    <col min="2866" max="2866" width="10.75" style="326" bestFit="1" customWidth="1"/>
    <col min="2867" max="2867" width="14" style="326" customWidth="1"/>
    <col min="2868" max="2868" width="9" style="326"/>
    <col min="2869" max="2869" width="10.75" style="326" customWidth="1"/>
    <col min="2870" max="2870" width="12.75" style="326" customWidth="1"/>
    <col min="2871" max="2871" width="9" style="326"/>
    <col min="2872" max="2872" width="10.75" style="326" bestFit="1" customWidth="1"/>
    <col min="2873" max="2873" width="11.5" style="326" customWidth="1"/>
    <col min="2874" max="2874" width="13.625" style="326" customWidth="1"/>
    <col min="2875" max="2875" width="10.625" style="326" customWidth="1"/>
    <col min="2876" max="2876" width="10.75" style="326" bestFit="1" customWidth="1"/>
    <col min="2877" max="2877" width="12.375" style="326" customWidth="1"/>
    <col min="2878" max="2880" width="9" style="326"/>
    <col min="2881" max="2881" width="15.75" style="326" customWidth="1"/>
    <col min="2882" max="2882" width="9" style="326"/>
    <col min="2883" max="2883" width="10.75" style="326" bestFit="1" customWidth="1"/>
    <col min="2884" max="2884" width="12.625" style="326" customWidth="1"/>
    <col min="2885" max="2887" width="9" style="326"/>
    <col min="2888" max="2888" width="13.625" style="326" customWidth="1"/>
    <col min="2889" max="2889" width="9" style="326"/>
    <col min="2890" max="2890" width="10.75" style="326" bestFit="1" customWidth="1"/>
    <col min="2891" max="2891" width="12.5" style="326" customWidth="1"/>
    <col min="2892" max="2894" width="9" style="326"/>
    <col min="2895" max="2895" width="12.875" style="326" customWidth="1"/>
    <col min="2896" max="2896" width="9" style="326"/>
    <col min="2897" max="2897" width="10.75" style="326" bestFit="1" customWidth="1"/>
    <col min="2898" max="2898" width="13.875" style="326" customWidth="1"/>
    <col min="2899" max="2901" width="9" style="326"/>
    <col min="2902" max="2902" width="14.125" style="326" customWidth="1"/>
    <col min="2903" max="2903" width="9" style="326"/>
    <col min="2904" max="2904" width="10.75" style="326" bestFit="1" customWidth="1"/>
    <col min="2905" max="2905" width="13.25" style="326" customWidth="1"/>
    <col min="2906" max="2908" width="9" style="326"/>
    <col min="2909" max="2909" width="13.25" style="326" customWidth="1"/>
    <col min="2910" max="2910" width="9" style="326"/>
    <col min="2911" max="2911" width="10.75" style="326" bestFit="1" customWidth="1"/>
    <col min="2912" max="2912" width="13.875" style="326" customWidth="1"/>
    <col min="2913" max="2915" width="9" style="326"/>
    <col min="2916" max="2916" width="13.625" style="326" customWidth="1"/>
    <col min="2917" max="2917" width="9" style="326"/>
    <col min="2918" max="2918" width="10.75" style="326" bestFit="1" customWidth="1"/>
    <col min="2919" max="2919" width="13" style="326" customWidth="1"/>
    <col min="2920" max="3066" width="9" style="326"/>
    <col min="3067" max="3068" width="12.125" style="326" customWidth="1"/>
    <col min="3069" max="3071" width="13" style="326" customWidth="1"/>
    <col min="3072" max="3072" width="12.875" style="326" customWidth="1"/>
    <col min="3073" max="3073" width="13" style="326" customWidth="1"/>
    <col min="3074" max="3074" width="13.125" style="326" customWidth="1"/>
    <col min="3075" max="3076" width="12.125" style="326" customWidth="1"/>
    <col min="3077" max="3077" width="14.375" style="326" bestFit="1" customWidth="1"/>
    <col min="3078" max="3078" width="11" style="326" customWidth="1"/>
    <col min="3079" max="3079" width="10" style="326" customWidth="1"/>
    <col min="3080" max="3080" width="10.875" style="326" customWidth="1"/>
    <col min="3081" max="3081" width="13.75" style="326" customWidth="1"/>
    <col min="3082" max="3082" width="10" style="326" customWidth="1"/>
    <col min="3083" max="3083" width="13.25" style="326" customWidth="1"/>
    <col min="3084" max="3084" width="14.375" style="326" customWidth="1"/>
    <col min="3085" max="3085" width="10" style="326" customWidth="1"/>
    <col min="3086" max="3086" width="10.875" style="326" customWidth="1"/>
    <col min="3087" max="3087" width="11.375" style="326" customWidth="1"/>
    <col min="3088" max="3088" width="15.375" style="326" customWidth="1"/>
    <col min="3089" max="3090" width="10.75" style="326" customWidth="1"/>
    <col min="3091" max="3091" width="14.375" style="326" customWidth="1"/>
    <col min="3092" max="3092" width="10.75" style="326" customWidth="1"/>
    <col min="3093" max="3093" width="11.75" style="326" customWidth="1"/>
    <col min="3094" max="3094" width="10" style="326" customWidth="1"/>
    <col min="3095" max="3095" width="15.375" style="326" customWidth="1"/>
    <col min="3096" max="3096" width="10" style="326" customWidth="1"/>
    <col min="3097" max="3097" width="10.75" style="326" customWidth="1"/>
    <col min="3098" max="3098" width="14.875" style="326" customWidth="1"/>
    <col min="3099" max="3099" width="11.5" style="326" customWidth="1"/>
    <col min="3100" max="3100" width="10" style="326" customWidth="1"/>
    <col min="3101" max="3101" width="10.75" style="326" customWidth="1"/>
    <col min="3102" max="3102" width="13.5" style="326" customWidth="1"/>
    <col min="3103" max="3103" width="9" style="326"/>
    <col min="3104" max="3104" width="10.75" style="326" bestFit="1" customWidth="1"/>
    <col min="3105" max="3105" width="13.75" style="326" customWidth="1"/>
    <col min="3106" max="3106" width="9" style="326"/>
    <col min="3107" max="3107" width="10.625" style="326" customWidth="1"/>
    <col min="3108" max="3108" width="9" style="326"/>
    <col min="3109" max="3109" width="14.25" style="326" customWidth="1"/>
    <col min="3110" max="3110" width="10.75" style="326" bestFit="1" customWidth="1"/>
    <col min="3111" max="3111" width="11.625" style="326" customWidth="1"/>
    <col min="3112" max="3112" width="13.75" style="326" customWidth="1"/>
    <col min="3113" max="3113" width="10.625" style="326" customWidth="1"/>
    <col min="3114" max="3115" width="9" style="326"/>
    <col min="3116" max="3116" width="14.125" style="326" customWidth="1"/>
    <col min="3117" max="3117" width="11" style="326" customWidth="1"/>
    <col min="3118" max="3118" width="10.75" style="326" bestFit="1" customWidth="1"/>
    <col min="3119" max="3119" width="13.5" style="326" customWidth="1"/>
    <col min="3120" max="3121" width="9" style="326"/>
    <col min="3122" max="3122" width="10.75" style="326" bestFit="1" customWidth="1"/>
    <col min="3123" max="3123" width="14" style="326" customWidth="1"/>
    <col min="3124" max="3124" width="9" style="326"/>
    <col min="3125" max="3125" width="10.75" style="326" customWidth="1"/>
    <col min="3126" max="3126" width="12.75" style="326" customWidth="1"/>
    <col min="3127" max="3127" width="9" style="326"/>
    <col min="3128" max="3128" width="10.75" style="326" bestFit="1" customWidth="1"/>
    <col min="3129" max="3129" width="11.5" style="326" customWidth="1"/>
    <col min="3130" max="3130" width="13.625" style="326" customWidth="1"/>
    <col min="3131" max="3131" width="10.625" style="326" customWidth="1"/>
    <col min="3132" max="3132" width="10.75" style="326" bestFit="1" customWidth="1"/>
    <col min="3133" max="3133" width="12.375" style="326" customWidth="1"/>
    <col min="3134" max="3136" width="9" style="326"/>
    <col min="3137" max="3137" width="15.75" style="326" customWidth="1"/>
    <col min="3138" max="3138" width="9" style="326"/>
    <col min="3139" max="3139" width="10.75" style="326" bestFit="1" customWidth="1"/>
    <col min="3140" max="3140" width="12.625" style="326" customWidth="1"/>
    <col min="3141" max="3143" width="9" style="326"/>
    <col min="3144" max="3144" width="13.625" style="326" customWidth="1"/>
    <col min="3145" max="3145" width="9" style="326"/>
    <col min="3146" max="3146" width="10.75" style="326" bestFit="1" customWidth="1"/>
    <col min="3147" max="3147" width="12.5" style="326" customWidth="1"/>
    <col min="3148" max="3150" width="9" style="326"/>
    <col min="3151" max="3151" width="12.875" style="326" customWidth="1"/>
    <col min="3152" max="3152" width="9" style="326"/>
    <col min="3153" max="3153" width="10.75" style="326" bestFit="1" customWidth="1"/>
    <col min="3154" max="3154" width="13.875" style="326" customWidth="1"/>
    <col min="3155" max="3157" width="9" style="326"/>
    <col min="3158" max="3158" width="14.125" style="326" customWidth="1"/>
    <col min="3159" max="3159" width="9" style="326"/>
    <col min="3160" max="3160" width="10.75" style="326" bestFit="1" customWidth="1"/>
    <col min="3161" max="3161" width="13.25" style="326" customWidth="1"/>
    <col min="3162" max="3164" width="9" style="326"/>
    <col min="3165" max="3165" width="13.25" style="326" customWidth="1"/>
    <col min="3166" max="3166" width="9" style="326"/>
    <col min="3167" max="3167" width="10.75" style="326" bestFit="1" customWidth="1"/>
    <col min="3168" max="3168" width="13.875" style="326" customWidth="1"/>
    <col min="3169" max="3171" width="9" style="326"/>
    <col min="3172" max="3172" width="13.625" style="326" customWidth="1"/>
    <col min="3173" max="3173" width="9" style="326"/>
    <col min="3174" max="3174" width="10.75" style="326" bestFit="1" customWidth="1"/>
    <col min="3175" max="3175" width="13" style="326" customWidth="1"/>
    <col min="3176" max="3322" width="9" style="326"/>
    <col min="3323" max="3324" width="12.125" style="326" customWidth="1"/>
    <col min="3325" max="3327" width="13" style="326" customWidth="1"/>
    <col min="3328" max="3328" width="12.875" style="326" customWidth="1"/>
    <col min="3329" max="3329" width="13" style="326" customWidth="1"/>
    <col min="3330" max="3330" width="13.125" style="326" customWidth="1"/>
    <col min="3331" max="3332" width="12.125" style="326" customWidth="1"/>
    <col min="3333" max="3333" width="14.375" style="326" bestFit="1" customWidth="1"/>
    <col min="3334" max="3334" width="11" style="326" customWidth="1"/>
    <col min="3335" max="3335" width="10" style="326" customWidth="1"/>
    <col min="3336" max="3336" width="10.875" style="326" customWidth="1"/>
    <col min="3337" max="3337" width="13.75" style="326" customWidth="1"/>
    <col min="3338" max="3338" width="10" style="326" customWidth="1"/>
    <col min="3339" max="3339" width="13.25" style="326" customWidth="1"/>
    <col min="3340" max="3340" width="14.375" style="326" customWidth="1"/>
    <col min="3341" max="3341" width="10" style="326" customWidth="1"/>
    <col min="3342" max="3342" width="10.875" style="326" customWidth="1"/>
    <col min="3343" max="3343" width="11.375" style="326" customWidth="1"/>
    <col min="3344" max="3344" width="15.375" style="326" customWidth="1"/>
    <col min="3345" max="3346" width="10.75" style="326" customWidth="1"/>
    <col min="3347" max="3347" width="14.375" style="326" customWidth="1"/>
    <col min="3348" max="3348" width="10.75" style="326" customWidth="1"/>
    <col min="3349" max="3349" width="11.75" style="326" customWidth="1"/>
    <col min="3350" max="3350" width="10" style="326" customWidth="1"/>
    <col min="3351" max="3351" width="15.375" style="326" customWidth="1"/>
    <col min="3352" max="3352" width="10" style="326" customWidth="1"/>
    <col min="3353" max="3353" width="10.75" style="326" customWidth="1"/>
    <col min="3354" max="3354" width="14.875" style="326" customWidth="1"/>
    <col min="3355" max="3355" width="11.5" style="326" customWidth="1"/>
    <col min="3356" max="3356" width="10" style="326" customWidth="1"/>
    <col min="3357" max="3357" width="10.75" style="326" customWidth="1"/>
    <col min="3358" max="3358" width="13.5" style="326" customWidth="1"/>
    <col min="3359" max="3359" width="9" style="326"/>
    <col min="3360" max="3360" width="10.75" style="326" bestFit="1" customWidth="1"/>
    <col min="3361" max="3361" width="13.75" style="326" customWidth="1"/>
    <col min="3362" max="3362" width="9" style="326"/>
    <col min="3363" max="3363" width="10.625" style="326" customWidth="1"/>
    <col min="3364" max="3364" width="9" style="326"/>
    <col min="3365" max="3365" width="14.25" style="326" customWidth="1"/>
    <col min="3366" max="3366" width="10.75" style="326" bestFit="1" customWidth="1"/>
    <col min="3367" max="3367" width="11.625" style="326" customWidth="1"/>
    <col min="3368" max="3368" width="13.75" style="326" customWidth="1"/>
    <col min="3369" max="3369" width="10.625" style="326" customWidth="1"/>
    <col min="3370" max="3371" width="9" style="326"/>
    <col min="3372" max="3372" width="14.125" style="326" customWidth="1"/>
    <col min="3373" max="3373" width="11" style="326" customWidth="1"/>
    <col min="3374" max="3374" width="10.75" style="326" bestFit="1" customWidth="1"/>
    <col min="3375" max="3375" width="13.5" style="326" customWidth="1"/>
    <col min="3376" max="3377" width="9" style="326"/>
    <col min="3378" max="3378" width="10.75" style="326" bestFit="1" customWidth="1"/>
    <col min="3379" max="3379" width="14" style="326" customWidth="1"/>
    <col min="3380" max="3380" width="9" style="326"/>
    <col min="3381" max="3381" width="10.75" style="326" customWidth="1"/>
    <col min="3382" max="3382" width="12.75" style="326" customWidth="1"/>
    <col min="3383" max="3383" width="9" style="326"/>
    <col min="3384" max="3384" width="10.75" style="326" bestFit="1" customWidth="1"/>
    <col min="3385" max="3385" width="11.5" style="326" customWidth="1"/>
    <col min="3386" max="3386" width="13.625" style="326" customWidth="1"/>
    <col min="3387" max="3387" width="10.625" style="326" customWidth="1"/>
    <col min="3388" max="3388" width="10.75" style="326" bestFit="1" customWidth="1"/>
    <col min="3389" max="3389" width="12.375" style="326" customWidth="1"/>
    <col min="3390" max="3392" width="9" style="326"/>
    <col min="3393" max="3393" width="15.75" style="326" customWidth="1"/>
    <col min="3394" max="3394" width="9" style="326"/>
    <col min="3395" max="3395" width="10.75" style="326" bestFit="1" customWidth="1"/>
    <col min="3396" max="3396" width="12.625" style="326" customWidth="1"/>
    <col min="3397" max="3399" width="9" style="326"/>
    <col min="3400" max="3400" width="13.625" style="326" customWidth="1"/>
    <col min="3401" max="3401" width="9" style="326"/>
    <col min="3402" max="3402" width="10.75" style="326" bestFit="1" customWidth="1"/>
    <col min="3403" max="3403" width="12.5" style="326" customWidth="1"/>
    <col min="3404" max="3406" width="9" style="326"/>
    <col min="3407" max="3407" width="12.875" style="326" customWidth="1"/>
    <col min="3408" max="3408" width="9" style="326"/>
    <col min="3409" max="3409" width="10.75" style="326" bestFit="1" customWidth="1"/>
    <col min="3410" max="3410" width="13.875" style="326" customWidth="1"/>
    <col min="3411" max="3413" width="9" style="326"/>
    <col min="3414" max="3414" width="14.125" style="326" customWidth="1"/>
    <col min="3415" max="3415" width="9" style="326"/>
    <col min="3416" max="3416" width="10.75" style="326" bestFit="1" customWidth="1"/>
    <col min="3417" max="3417" width="13.25" style="326" customWidth="1"/>
    <col min="3418" max="3420" width="9" style="326"/>
    <col min="3421" max="3421" width="13.25" style="326" customWidth="1"/>
    <col min="3422" max="3422" width="9" style="326"/>
    <col min="3423" max="3423" width="10.75" style="326" bestFit="1" customWidth="1"/>
    <col min="3424" max="3424" width="13.875" style="326" customWidth="1"/>
    <col min="3425" max="3427" width="9" style="326"/>
    <col min="3428" max="3428" width="13.625" style="326" customWidth="1"/>
    <col min="3429" max="3429" width="9" style="326"/>
    <col min="3430" max="3430" width="10.75" style="326" bestFit="1" customWidth="1"/>
    <col min="3431" max="3431" width="13" style="326" customWidth="1"/>
    <col min="3432" max="3578" width="9" style="326"/>
    <col min="3579" max="3580" width="12.125" style="326" customWidth="1"/>
    <col min="3581" max="3583" width="13" style="326" customWidth="1"/>
    <col min="3584" max="3584" width="12.875" style="326" customWidth="1"/>
    <col min="3585" max="3585" width="13" style="326" customWidth="1"/>
    <col min="3586" max="3586" width="13.125" style="326" customWidth="1"/>
    <col min="3587" max="3588" width="12.125" style="326" customWidth="1"/>
    <col min="3589" max="3589" width="14.375" style="326" bestFit="1" customWidth="1"/>
    <col min="3590" max="3590" width="11" style="326" customWidth="1"/>
    <col min="3591" max="3591" width="10" style="326" customWidth="1"/>
    <col min="3592" max="3592" width="10.875" style="326" customWidth="1"/>
    <col min="3593" max="3593" width="13.75" style="326" customWidth="1"/>
    <col min="3594" max="3594" width="10" style="326" customWidth="1"/>
    <col min="3595" max="3595" width="13.25" style="326" customWidth="1"/>
    <col min="3596" max="3596" width="14.375" style="326" customWidth="1"/>
    <col min="3597" max="3597" width="10" style="326" customWidth="1"/>
    <col min="3598" max="3598" width="10.875" style="326" customWidth="1"/>
    <col min="3599" max="3599" width="11.375" style="326" customWidth="1"/>
    <col min="3600" max="3600" width="15.375" style="326" customWidth="1"/>
    <col min="3601" max="3602" width="10.75" style="326" customWidth="1"/>
    <col min="3603" max="3603" width="14.375" style="326" customWidth="1"/>
    <col min="3604" max="3604" width="10.75" style="326" customWidth="1"/>
    <col min="3605" max="3605" width="11.75" style="326" customWidth="1"/>
    <col min="3606" max="3606" width="10" style="326" customWidth="1"/>
    <col min="3607" max="3607" width="15.375" style="326" customWidth="1"/>
    <col min="3608" max="3608" width="10" style="326" customWidth="1"/>
    <col min="3609" max="3609" width="10.75" style="326" customWidth="1"/>
    <col min="3610" max="3610" width="14.875" style="326" customWidth="1"/>
    <col min="3611" max="3611" width="11.5" style="326" customWidth="1"/>
    <col min="3612" max="3612" width="10" style="326" customWidth="1"/>
    <col min="3613" max="3613" width="10.75" style="326" customWidth="1"/>
    <col min="3614" max="3614" width="13.5" style="326" customWidth="1"/>
    <col min="3615" max="3615" width="9" style="326"/>
    <col min="3616" max="3616" width="10.75" style="326" bestFit="1" customWidth="1"/>
    <col min="3617" max="3617" width="13.75" style="326" customWidth="1"/>
    <col min="3618" max="3618" width="9" style="326"/>
    <col min="3619" max="3619" width="10.625" style="326" customWidth="1"/>
    <col min="3620" max="3620" width="9" style="326"/>
    <col min="3621" max="3621" width="14.25" style="326" customWidth="1"/>
    <col min="3622" max="3622" width="10.75" style="326" bestFit="1" customWidth="1"/>
    <col min="3623" max="3623" width="11.625" style="326" customWidth="1"/>
    <col min="3624" max="3624" width="13.75" style="326" customWidth="1"/>
    <col min="3625" max="3625" width="10.625" style="326" customWidth="1"/>
    <col min="3626" max="3627" width="9" style="326"/>
    <col min="3628" max="3628" width="14.125" style="326" customWidth="1"/>
    <col min="3629" max="3629" width="11" style="326" customWidth="1"/>
    <col min="3630" max="3630" width="10.75" style="326" bestFit="1" customWidth="1"/>
    <col min="3631" max="3631" width="13.5" style="326" customWidth="1"/>
    <col min="3632" max="3633" width="9" style="326"/>
    <col min="3634" max="3634" width="10.75" style="326" bestFit="1" customWidth="1"/>
    <col min="3635" max="3635" width="14" style="326" customWidth="1"/>
    <col min="3636" max="3636" width="9" style="326"/>
    <col min="3637" max="3637" width="10.75" style="326" customWidth="1"/>
    <col min="3638" max="3638" width="12.75" style="326" customWidth="1"/>
    <col min="3639" max="3639" width="9" style="326"/>
    <col min="3640" max="3640" width="10.75" style="326" bestFit="1" customWidth="1"/>
    <col min="3641" max="3641" width="11.5" style="326" customWidth="1"/>
    <col min="3642" max="3642" width="13.625" style="326" customWidth="1"/>
    <col min="3643" max="3643" width="10.625" style="326" customWidth="1"/>
    <col min="3644" max="3644" width="10.75" style="326" bestFit="1" customWidth="1"/>
    <col min="3645" max="3645" width="12.375" style="326" customWidth="1"/>
    <col min="3646" max="3648" width="9" style="326"/>
    <col min="3649" max="3649" width="15.75" style="326" customWidth="1"/>
    <col min="3650" max="3650" width="9" style="326"/>
    <col min="3651" max="3651" width="10.75" style="326" bestFit="1" customWidth="1"/>
    <col min="3652" max="3652" width="12.625" style="326" customWidth="1"/>
    <col min="3653" max="3655" width="9" style="326"/>
    <col min="3656" max="3656" width="13.625" style="326" customWidth="1"/>
    <col min="3657" max="3657" width="9" style="326"/>
    <col min="3658" max="3658" width="10.75" style="326" bestFit="1" customWidth="1"/>
    <col min="3659" max="3659" width="12.5" style="326" customWidth="1"/>
    <col min="3660" max="3662" width="9" style="326"/>
    <col min="3663" max="3663" width="12.875" style="326" customWidth="1"/>
    <col min="3664" max="3664" width="9" style="326"/>
    <col min="3665" max="3665" width="10.75" style="326" bestFit="1" customWidth="1"/>
    <col min="3666" max="3666" width="13.875" style="326" customWidth="1"/>
    <col min="3667" max="3669" width="9" style="326"/>
    <col min="3670" max="3670" width="14.125" style="326" customWidth="1"/>
    <col min="3671" max="3671" width="9" style="326"/>
    <col min="3672" max="3672" width="10.75" style="326" bestFit="1" customWidth="1"/>
    <col min="3673" max="3673" width="13.25" style="326" customWidth="1"/>
    <col min="3674" max="3676" width="9" style="326"/>
    <col min="3677" max="3677" width="13.25" style="326" customWidth="1"/>
    <col min="3678" max="3678" width="9" style="326"/>
    <col min="3679" max="3679" width="10.75" style="326" bestFit="1" customWidth="1"/>
    <col min="3680" max="3680" width="13.875" style="326" customWidth="1"/>
    <col min="3681" max="3683" width="9" style="326"/>
    <col min="3684" max="3684" width="13.625" style="326" customWidth="1"/>
    <col min="3685" max="3685" width="9" style="326"/>
    <col min="3686" max="3686" width="10.75" style="326" bestFit="1" customWidth="1"/>
    <col min="3687" max="3687" width="13" style="326" customWidth="1"/>
    <col min="3688" max="3834" width="9" style="326"/>
    <col min="3835" max="3836" width="12.125" style="326" customWidth="1"/>
    <col min="3837" max="3839" width="13" style="326" customWidth="1"/>
    <col min="3840" max="3840" width="12.875" style="326" customWidth="1"/>
    <col min="3841" max="3841" width="13" style="326" customWidth="1"/>
    <col min="3842" max="3842" width="13.125" style="326" customWidth="1"/>
    <col min="3843" max="3844" width="12.125" style="326" customWidth="1"/>
    <col min="3845" max="3845" width="14.375" style="326" bestFit="1" customWidth="1"/>
    <col min="3846" max="3846" width="11" style="326" customWidth="1"/>
    <col min="3847" max="3847" width="10" style="326" customWidth="1"/>
    <col min="3848" max="3848" width="10.875" style="326" customWidth="1"/>
    <col min="3849" max="3849" width="13.75" style="326" customWidth="1"/>
    <col min="3850" max="3850" width="10" style="326" customWidth="1"/>
    <col min="3851" max="3851" width="13.25" style="326" customWidth="1"/>
    <col min="3852" max="3852" width="14.375" style="326" customWidth="1"/>
    <col min="3853" max="3853" width="10" style="326" customWidth="1"/>
    <col min="3854" max="3854" width="10.875" style="326" customWidth="1"/>
    <col min="3855" max="3855" width="11.375" style="326" customWidth="1"/>
    <col min="3856" max="3856" width="15.375" style="326" customWidth="1"/>
    <col min="3857" max="3858" width="10.75" style="326" customWidth="1"/>
    <col min="3859" max="3859" width="14.375" style="326" customWidth="1"/>
    <col min="3860" max="3860" width="10.75" style="326" customWidth="1"/>
    <col min="3861" max="3861" width="11.75" style="326" customWidth="1"/>
    <col min="3862" max="3862" width="10" style="326" customWidth="1"/>
    <col min="3863" max="3863" width="15.375" style="326" customWidth="1"/>
    <col min="3864" max="3864" width="10" style="326" customWidth="1"/>
    <col min="3865" max="3865" width="10.75" style="326" customWidth="1"/>
    <col min="3866" max="3866" width="14.875" style="326" customWidth="1"/>
    <col min="3867" max="3867" width="11.5" style="326" customWidth="1"/>
    <col min="3868" max="3868" width="10" style="326" customWidth="1"/>
    <col min="3869" max="3869" width="10.75" style="326" customWidth="1"/>
    <col min="3870" max="3870" width="13.5" style="326" customWidth="1"/>
    <col min="3871" max="3871" width="9" style="326"/>
    <col min="3872" max="3872" width="10.75" style="326" bestFit="1" customWidth="1"/>
    <col min="3873" max="3873" width="13.75" style="326" customWidth="1"/>
    <col min="3874" max="3874" width="9" style="326"/>
    <col min="3875" max="3875" width="10.625" style="326" customWidth="1"/>
    <col min="3876" max="3876" width="9" style="326"/>
    <col min="3877" max="3877" width="14.25" style="326" customWidth="1"/>
    <col min="3878" max="3878" width="10.75" style="326" bestFit="1" customWidth="1"/>
    <col min="3879" max="3879" width="11.625" style="326" customWidth="1"/>
    <col min="3880" max="3880" width="13.75" style="326" customWidth="1"/>
    <col min="3881" max="3881" width="10.625" style="326" customWidth="1"/>
    <col min="3882" max="3883" width="9" style="326"/>
    <col min="3884" max="3884" width="14.125" style="326" customWidth="1"/>
    <col min="3885" max="3885" width="11" style="326" customWidth="1"/>
    <col min="3886" max="3886" width="10.75" style="326" bestFit="1" customWidth="1"/>
    <col min="3887" max="3887" width="13.5" style="326" customWidth="1"/>
    <col min="3888" max="3889" width="9" style="326"/>
    <col min="3890" max="3890" width="10.75" style="326" bestFit="1" customWidth="1"/>
    <col min="3891" max="3891" width="14" style="326" customWidth="1"/>
    <col min="3892" max="3892" width="9" style="326"/>
    <col min="3893" max="3893" width="10.75" style="326" customWidth="1"/>
    <col min="3894" max="3894" width="12.75" style="326" customWidth="1"/>
    <col min="3895" max="3895" width="9" style="326"/>
    <col min="3896" max="3896" width="10.75" style="326" bestFit="1" customWidth="1"/>
    <col min="3897" max="3897" width="11.5" style="326" customWidth="1"/>
    <col min="3898" max="3898" width="13.625" style="326" customWidth="1"/>
    <col min="3899" max="3899" width="10.625" style="326" customWidth="1"/>
    <col min="3900" max="3900" width="10.75" style="326" bestFit="1" customWidth="1"/>
    <col min="3901" max="3901" width="12.375" style="326" customWidth="1"/>
    <col min="3902" max="3904" width="9" style="326"/>
    <col min="3905" max="3905" width="15.75" style="326" customWidth="1"/>
    <col min="3906" max="3906" width="9" style="326"/>
    <col min="3907" max="3907" width="10.75" style="326" bestFit="1" customWidth="1"/>
    <col min="3908" max="3908" width="12.625" style="326" customWidth="1"/>
    <col min="3909" max="3911" width="9" style="326"/>
    <col min="3912" max="3912" width="13.625" style="326" customWidth="1"/>
    <col min="3913" max="3913" width="9" style="326"/>
    <col min="3914" max="3914" width="10.75" style="326" bestFit="1" customWidth="1"/>
    <col min="3915" max="3915" width="12.5" style="326" customWidth="1"/>
    <col min="3916" max="3918" width="9" style="326"/>
    <col min="3919" max="3919" width="12.875" style="326" customWidth="1"/>
    <col min="3920" max="3920" width="9" style="326"/>
    <col min="3921" max="3921" width="10.75" style="326" bestFit="1" customWidth="1"/>
    <col min="3922" max="3922" width="13.875" style="326" customWidth="1"/>
    <col min="3923" max="3925" width="9" style="326"/>
    <col min="3926" max="3926" width="14.125" style="326" customWidth="1"/>
    <col min="3927" max="3927" width="9" style="326"/>
    <col min="3928" max="3928" width="10.75" style="326" bestFit="1" customWidth="1"/>
    <col min="3929" max="3929" width="13.25" style="326" customWidth="1"/>
    <col min="3930" max="3932" width="9" style="326"/>
    <col min="3933" max="3933" width="13.25" style="326" customWidth="1"/>
    <col min="3934" max="3934" width="9" style="326"/>
    <col min="3935" max="3935" width="10.75" style="326" bestFit="1" customWidth="1"/>
    <col min="3936" max="3936" width="13.875" style="326" customWidth="1"/>
    <col min="3937" max="3939" width="9" style="326"/>
    <col min="3940" max="3940" width="13.625" style="326" customWidth="1"/>
    <col min="3941" max="3941" width="9" style="326"/>
    <col min="3942" max="3942" width="10.75" style="326" bestFit="1" customWidth="1"/>
    <col min="3943" max="3943" width="13" style="326" customWidth="1"/>
    <col min="3944" max="4090" width="9" style="326"/>
    <col min="4091" max="4092" width="12.125" style="326" customWidth="1"/>
    <col min="4093" max="4095" width="13" style="326" customWidth="1"/>
    <col min="4096" max="4096" width="12.875" style="326" customWidth="1"/>
    <col min="4097" max="4097" width="13" style="326" customWidth="1"/>
    <col min="4098" max="4098" width="13.125" style="326" customWidth="1"/>
    <col min="4099" max="4100" width="12.125" style="326" customWidth="1"/>
    <col min="4101" max="4101" width="14.375" style="326" bestFit="1" customWidth="1"/>
    <col min="4102" max="4102" width="11" style="326" customWidth="1"/>
    <col min="4103" max="4103" width="10" style="326" customWidth="1"/>
    <col min="4104" max="4104" width="10.875" style="326" customWidth="1"/>
    <col min="4105" max="4105" width="13.75" style="326" customWidth="1"/>
    <col min="4106" max="4106" width="10" style="326" customWidth="1"/>
    <col min="4107" max="4107" width="13.25" style="326" customWidth="1"/>
    <col min="4108" max="4108" width="14.375" style="326" customWidth="1"/>
    <col min="4109" max="4109" width="10" style="326" customWidth="1"/>
    <col min="4110" max="4110" width="10.875" style="326" customWidth="1"/>
    <col min="4111" max="4111" width="11.375" style="326" customWidth="1"/>
    <col min="4112" max="4112" width="15.375" style="326" customWidth="1"/>
    <col min="4113" max="4114" width="10.75" style="326" customWidth="1"/>
    <col min="4115" max="4115" width="14.375" style="326" customWidth="1"/>
    <col min="4116" max="4116" width="10.75" style="326" customWidth="1"/>
    <col min="4117" max="4117" width="11.75" style="326" customWidth="1"/>
    <col min="4118" max="4118" width="10" style="326" customWidth="1"/>
    <col min="4119" max="4119" width="15.375" style="326" customWidth="1"/>
    <col min="4120" max="4120" width="10" style="326" customWidth="1"/>
    <col min="4121" max="4121" width="10.75" style="326" customWidth="1"/>
    <col min="4122" max="4122" width="14.875" style="326" customWidth="1"/>
    <col min="4123" max="4123" width="11.5" style="326" customWidth="1"/>
    <col min="4124" max="4124" width="10" style="326" customWidth="1"/>
    <col min="4125" max="4125" width="10.75" style="326" customWidth="1"/>
    <col min="4126" max="4126" width="13.5" style="326" customWidth="1"/>
    <col min="4127" max="4127" width="9" style="326"/>
    <col min="4128" max="4128" width="10.75" style="326" bestFit="1" customWidth="1"/>
    <col min="4129" max="4129" width="13.75" style="326" customWidth="1"/>
    <col min="4130" max="4130" width="9" style="326"/>
    <col min="4131" max="4131" width="10.625" style="326" customWidth="1"/>
    <col min="4132" max="4132" width="9" style="326"/>
    <col min="4133" max="4133" width="14.25" style="326" customWidth="1"/>
    <col min="4134" max="4134" width="10.75" style="326" bestFit="1" customWidth="1"/>
    <col min="4135" max="4135" width="11.625" style="326" customWidth="1"/>
    <col min="4136" max="4136" width="13.75" style="326" customWidth="1"/>
    <col min="4137" max="4137" width="10.625" style="326" customWidth="1"/>
    <col min="4138" max="4139" width="9" style="326"/>
    <col min="4140" max="4140" width="14.125" style="326" customWidth="1"/>
    <col min="4141" max="4141" width="11" style="326" customWidth="1"/>
    <col min="4142" max="4142" width="10.75" style="326" bestFit="1" customWidth="1"/>
    <col min="4143" max="4143" width="13.5" style="326" customWidth="1"/>
    <col min="4144" max="4145" width="9" style="326"/>
    <col min="4146" max="4146" width="10.75" style="326" bestFit="1" customWidth="1"/>
    <col min="4147" max="4147" width="14" style="326" customWidth="1"/>
    <col min="4148" max="4148" width="9" style="326"/>
    <col min="4149" max="4149" width="10.75" style="326" customWidth="1"/>
    <col min="4150" max="4150" width="12.75" style="326" customWidth="1"/>
    <col min="4151" max="4151" width="9" style="326"/>
    <col min="4152" max="4152" width="10.75" style="326" bestFit="1" customWidth="1"/>
    <col min="4153" max="4153" width="11.5" style="326" customWidth="1"/>
    <col min="4154" max="4154" width="13.625" style="326" customWidth="1"/>
    <col min="4155" max="4155" width="10.625" style="326" customWidth="1"/>
    <col min="4156" max="4156" width="10.75" style="326" bestFit="1" customWidth="1"/>
    <col min="4157" max="4157" width="12.375" style="326" customWidth="1"/>
    <col min="4158" max="4160" width="9" style="326"/>
    <col min="4161" max="4161" width="15.75" style="326" customWidth="1"/>
    <col min="4162" max="4162" width="9" style="326"/>
    <col min="4163" max="4163" width="10.75" style="326" bestFit="1" customWidth="1"/>
    <col min="4164" max="4164" width="12.625" style="326" customWidth="1"/>
    <col min="4165" max="4167" width="9" style="326"/>
    <col min="4168" max="4168" width="13.625" style="326" customWidth="1"/>
    <col min="4169" max="4169" width="9" style="326"/>
    <col min="4170" max="4170" width="10.75" style="326" bestFit="1" customWidth="1"/>
    <col min="4171" max="4171" width="12.5" style="326" customWidth="1"/>
    <col min="4172" max="4174" width="9" style="326"/>
    <col min="4175" max="4175" width="12.875" style="326" customWidth="1"/>
    <col min="4176" max="4176" width="9" style="326"/>
    <col min="4177" max="4177" width="10.75" style="326" bestFit="1" customWidth="1"/>
    <col min="4178" max="4178" width="13.875" style="326" customWidth="1"/>
    <col min="4179" max="4181" width="9" style="326"/>
    <col min="4182" max="4182" width="14.125" style="326" customWidth="1"/>
    <col min="4183" max="4183" width="9" style="326"/>
    <col min="4184" max="4184" width="10.75" style="326" bestFit="1" customWidth="1"/>
    <col min="4185" max="4185" width="13.25" style="326" customWidth="1"/>
    <col min="4186" max="4188" width="9" style="326"/>
    <col min="4189" max="4189" width="13.25" style="326" customWidth="1"/>
    <col min="4190" max="4190" width="9" style="326"/>
    <col min="4191" max="4191" width="10.75" style="326" bestFit="1" customWidth="1"/>
    <col min="4192" max="4192" width="13.875" style="326" customWidth="1"/>
    <col min="4193" max="4195" width="9" style="326"/>
    <col min="4196" max="4196" width="13.625" style="326" customWidth="1"/>
    <col min="4197" max="4197" width="9" style="326"/>
    <col min="4198" max="4198" width="10.75" style="326" bestFit="1" customWidth="1"/>
    <col min="4199" max="4199" width="13" style="326" customWidth="1"/>
    <col min="4200" max="4346" width="9" style="326"/>
    <col min="4347" max="4348" width="12.125" style="326" customWidth="1"/>
    <col min="4349" max="4351" width="13" style="326" customWidth="1"/>
    <col min="4352" max="4352" width="12.875" style="326" customWidth="1"/>
    <col min="4353" max="4353" width="13" style="326" customWidth="1"/>
    <col min="4354" max="4354" width="13.125" style="326" customWidth="1"/>
    <col min="4355" max="4356" width="12.125" style="326" customWidth="1"/>
    <col min="4357" max="4357" width="14.375" style="326" bestFit="1" customWidth="1"/>
    <col min="4358" max="4358" width="11" style="326" customWidth="1"/>
    <col min="4359" max="4359" width="10" style="326" customWidth="1"/>
    <col min="4360" max="4360" width="10.875" style="326" customWidth="1"/>
    <col min="4361" max="4361" width="13.75" style="326" customWidth="1"/>
    <col min="4362" max="4362" width="10" style="326" customWidth="1"/>
    <col min="4363" max="4363" width="13.25" style="326" customWidth="1"/>
    <col min="4364" max="4364" width="14.375" style="326" customWidth="1"/>
    <col min="4365" max="4365" width="10" style="326" customWidth="1"/>
    <col min="4366" max="4366" width="10.875" style="326" customWidth="1"/>
    <col min="4367" max="4367" width="11.375" style="326" customWidth="1"/>
    <col min="4368" max="4368" width="15.375" style="326" customWidth="1"/>
    <col min="4369" max="4370" width="10.75" style="326" customWidth="1"/>
    <col min="4371" max="4371" width="14.375" style="326" customWidth="1"/>
    <col min="4372" max="4372" width="10.75" style="326" customWidth="1"/>
    <col min="4373" max="4373" width="11.75" style="326" customWidth="1"/>
    <col min="4374" max="4374" width="10" style="326" customWidth="1"/>
    <col min="4375" max="4375" width="15.375" style="326" customWidth="1"/>
    <col min="4376" max="4376" width="10" style="326" customWidth="1"/>
    <col min="4377" max="4377" width="10.75" style="326" customWidth="1"/>
    <col min="4378" max="4378" width="14.875" style="326" customWidth="1"/>
    <col min="4379" max="4379" width="11.5" style="326" customWidth="1"/>
    <col min="4380" max="4380" width="10" style="326" customWidth="1"/>
    <col min="4381" max="4381" width="10.75" style="326" customWidth="1"/>
    <col min="4382" max="4382" width="13.5" style="326" customWidth="1"/>
    <col min="4383" max="4383" width="9" style="326"/>
    <col min="4384" max="4384" width="10.75" style="326" bestFit="1" customWidth="1"/>
    <col min="4385" max="4385" width="13.75" style="326" customWidth="1"/>
    <col min="4386" max="4386" width="9" style="326"/>
    <col min="4387" max="4387" width="10.625" style="326" customWidth="1"/>
    <col min="4388" max="4388" width="9" style="326"/>
    <col min="4389" max="4389" width="14.25" style="326" customWidth="1"/>
    <col min="4390" max="4390" width="10.75" style="326" bestFit="1" customWidth="1"/>
    <col min="4391" max="4391" width="11.625" style="326" customWidth="1"/>
    <col min="4392" max="4392" width="13.75" style="326" customWidth="1"/>
    <col min="4393" max="4393" width="10.625" style="326" customWidth="1"/>
    <col min="4394" max="4395" width="9" style="326"/>
    <col min="4396" max="4396" width="14.125" style="326" customWidth="1"/>
    <col min="4397" max="4397" width="11" style="326" customWidth="1"/>
    <col min="4398" max="4398" width="10.75" style="326" bestFit="1" customWidth="1"/>
    <col min="4399" max="4399" width="13.5" style="326" customWidth="1"/>
    <col min="4400" max="4401" width="9" style="326"/>
    <col min="4402" max="4402" width="10.75" style="326" bestFit="1" customWidth="1"/>
    <col min="4403" max="4403" width="14" style="326" customWidth="1"/>
    <col min="4404" max="4404" width="9" style="326"/>
    <col min="4405" max="4405" width="10.75" style="326" customWidth="1"/>
    <col min="4406" max="4406" width="12.75" style="326" customWidth="1"/>
    <col min="4407" max="4407" width="9" style="326"/>
    <col min="4408" max="4408" width="10.75" style="326" bestFit="1" customWidth="1"/>
    <col min="4409" max="4409" width="11.5" style="326" customWidth="1"/>
    <col min="4410" max="4410" width="13.625" style="326" customWidth="1"/>
    <col min="4411" max="4411" width="10.625" style="326" customWidth="1"/>
    <col min="4412" max="4412" width="10.75" style="326" bestFit="1" customWidth="1"/>
    <col min="4413" max="4413" width="12.375" style="326" customWidth="1"/>
    <col min="4414" max="4416" width="9" style="326"/>
    <col min="4417" max="4417" width="15.75" style="326" customWidth="1"/>
    <col min="4418" max="4418" width="9" style="326"/>
    <col min="4419" max="4419" width="10.75" style="326" bestFit="1" customWidth="1"/>
    <col min="4420" max="4420" width="12.625" style="326" customWidth="1"/>
    <col min="4421" max="4423" width="9" style="326"/>
    <col min="4424" max="4424" width="13.625" style="326" customWidth="1"/>
    <col min="4425" max="4425" width="9" style="326"/>
    <col min="4426" max="4426" width="10.75" style="326" bestFit="1" customWidth="1"/>
    <col min="4427" max="4427" width="12.5" style="326" customWidth="1"/>
    <col min="4428" max="4430" width="9" style="326"/>
    <col min="4431" max="4431" width="12.875" style="326" customWidth="1"/>
    <col min="4432" max="4432" width="9" style="326"/>
    <col min="4433" max="4433" width="10.75" style="326" bestFit="1" customWidth="1"/>
    <col min="4434" max="4434" width="13.875" style="326" customWidth="1"/>
    <col min="4435" max="4437" width="9" style="326"/>
    <col min="4438" max="4438" width="14.125" style="326" customWidth="1"/>
    <col min="4439" max="4439" width="9" style="326"/>
    <col min="4440" max="4440" width="10.75" style="326" bestFit="1" customWidth="1"/>
    <col min="4441" max="4441" width="13.25" style="326" customWidth="1"/>
    <col min="4442" max="4444" width="9" style="326"/>
    <col min="4445" max="4445" width="13.25" style="326" customWidth="1"/>
    <col min="4446" max="4446" width="9" style="326"/>
    <col min="4447" max="4447" width="10.75" style="326" bestFit="1" customWidth="1"/>
    <col min="4448" max="4448" width="13.875" style="326" customWidth="1"/>
    <col min="4449" max="4451" width="9" style="326"/>
    <col min="4452" max="4452" width="13.625" style="326" customWidth="1"/>
    <col min="4453" max="4453" width="9" style="326"/>
    <col min="4454" max="4454" width="10.75" style="326" bestFit="1" customWidth="1"/>
    <col min="4455" max="4455" width="13" style="326" customWidth="1"/>
    <col min="4456" max="4602" width="9" style="326"/>
    <col min="4603" max="4604" width="12.125" style="326" customWidth="1"/>
    <col min="4605" max="4607" width="13" style="326" customWidth="1"/>
    <col min="4608" max="4608" width="12.875" style="326" customWidth="1"/>
    <col min="4609" max="4609" width="13" style="326" customWidth="1"/>
    <col min="4610" max="4610" width="13.125" style="326" customWidth="1"/>
    <col min="4611" max="4612" width="12.125" style="326" customWidth="1"/>
    <col min="4613" max="4613" width="14.375" style="326" bestFit="1" customWidth="1"/>
    <col min="4614" max="4614" width="11" style="326" customWidth="1"/>
    <col min="4615" max="4615" width="10" style="326" customWidth="1"/>
    <col min="4616" max="4616" width="10.875" style="326" customWidth="1"/>
    <col min="4617" max="4617" width="13.75" style="326" customWidth="1"/>
    <col min="4618" max="4618" width="10" style="326" customWidth="1"/>
    <col min="4619" max="4619" width="13.25" style="326" customWidth="1"/>
    <col min="4620" max="4620" width="14.375" style="326" customWidth="1"/>
    <col min="4621" max="4621" width="10" style="326" customWidth="1"/>
    <col min="4622" max="4622" width="10.875" style="326" customWidth="1"/>
    <col min="4623" max="4623" width="11.375" style="326" customWidth="1"/>
    <col min="4624" max="4624" width="15.375" style="326" customWidth="1"/>
    <col min="4625" max="4626" width="10.75" style="326" customWidth="1"/>
    <col min="4627" max="4627" width="14.375" style="326" customWidth="1"/>
    <col min="4628" max="4628" width="10.75" style="326" customWidth="1"/>
    <col min="4629" max="4629" width="11.75" style="326" customWidth="1"/>
    <col min="4630" max="4630" width="10" style="326" customWidth="1"/>
    <col min="4631" max="4631" width="15.375" style="326" customWidth="1"/>
    <col min="4632" max="4632" width="10" style="326" customWidth="1"/>
    <col min="4633" max="4633" width="10.75" style="326" customWidth="1"/>
    <col min="4634" max="4634" width="14.875" style="326" customWidth="1"/>
    <col min="4635" max="4635" width="11.5" style="326" customWidth="1"/>
    <col min="4636" max="4636" width="10" style="326" customWidth="1"/>
    <col min="4637" max="4637" width="10.75" style="326" customWidth="1"/>
    <col min="4638" max="4638" width="13.5" style="326" customWidth="1"/>
    <col min="4639" max="4639" width="9" style="326"/>
    <col min="4640" max="4640" width="10.75" style="326" bestFit="1" customWidth="1"/>
    <col min="4641" max="4641" width="13.75" style="326" customWidth="1"/>
    <col min="4642" max="4642" width="9" style="326"/>
    <col min="4643" max="4643" width="10.625" style="326" customWidth="1"/>
    <col min="4644" max="4644" width="9" style="326"/>
    <col min="4645" max="4645" width="14.25" style="326" customWidth="1"/>
    <col min="4646" max="4646" width="10.75" style="326" bestFit="1" customWidth="1"/>
    <col min="4647" max="4647" width="11.625" style="326" customWidth="1"/>
    <col min="4648" max="4648" width="13.75" style="326" customWidth="1"/>
    <col min="4649" max="4649" width="10.625" style="326" customWidth="1"/>
    <col min="4650" max="4651" width="9" style="326"/>
    <col min="4652" max="4652" width="14.125" style="326" customWidth="1"/>
    <col min="4653" max="4653" width="11" style="326" customWidth="1"/>
    <col min="4654" max="4654" width="10.75" style="326" bestFit="1" customWidth="1"/>
    <col min="4655" max="4655" width="13.5" style="326" customWidth="1"/>
    <col min="4656" max="4657" width="9" style="326"/>
    <col min="4658" max="4658" width="10.75" style="326" bestFit="1" customWidth="1"/>
    <col min="4659" max="4659" width="14" style="326" customWidth="1"/>
    <col min="4660" max="4660" width="9" style="326"/>
    <col min="4661" max="4661" width="10.75" style="326" customWidth="1"/>
    <col min="4662" max="4662" width="12.75" style="326" customWidth="1"/>
    <col min="4663" max="4663" width="9" style="326"/>
    <col min="4664" max="4664" width="10.75" style="326" bestFit="1" customWidth="1"/>
    <col min="4665" max="4665" width="11.5" style="326" customWidth="1"/>
    <col min="4666" max="4666" width="13.625" style="326" customWidth="1"/>
    <col min="4667" max="4667" width="10.625" style="326" customWidth="1"/>
    <col min="4668" max="4668" width="10.75" style="326" bestFit="1" customWidth="1"/>
    <col min="4669" max="4669" width="12.375" style="326" customWidth="1"/>
    <col min="4670" max="4672" width="9" style="326"/>
    <col min="4673" max="4673" width="15.75" style="326" customWidth="1"/>
    <col min="4674" max="4674" width="9" style="326"/>
    <col min="4675" max="4675" width="10.75" style="326" bestFit="1" customWidth="1"/>
    <col min="4676" max="4676" width="12.625" style="326" customWidth="1"/>
    <col min="4677" max="4679" width="9" style="326"/>
    <col min="4680" max="4680" width="13.625" style="326" customWidth="1"/>
    <col min="4681" max="4681" width="9" style="326"/>
    <col min="4682" max="4682" width="10.75" style="326" bestFit="1" customWidth="1"/>
    <col min="4683" max="4683" width="12.5" style="326" customWidth="1"/>
    <col min="4684" max="4686" width="9" style="326"/>
    <col min="4687" max="4687" width="12.875" style="326" customWidth="1"/>
    <col min="4688" max="4688" width="9" style="326"/>
    <col min="4689" max="4689" width="10.75" style="326" bestFit="1" customWidth="1"/>
    <col min="4690" max="4690" width="13.875" style="326" customWidth="1"/>
    <col min="4691" max="4693" width="9" style="326"/>
    <col min="4694" max="4694" width="14.125" style="326" customWidth="1"/>
    <col min="4695" max="4695" width="9" style="326"/>
    <col min="4696" max="4696" width="10.75" style="326" bestFit="1" customWidth="1"/>
    <col min="4697" max="4697" width="13.25" style="326" customWidth="1"/>
    <col min="4698" max="4700" width="9" style="326"/>
    <col min="4701" max="4701" width="13.25" style="326" customWidth="1"/>
    <col min="4702" max="4702" width="9" style="326"/>
    <col min="4703" max="4703" width="10.75" style="326" bestFit="1" customWidth="1"/>
    <col min="4704" max="4704" width="13.875" style="326" customWidth="1"/>
    <col min="4705" max="4707" width="9" style="326"/>
    <col min="4708" max="4708" width="13.625" style="326" customWidth="1"/>
    <col min="4709" max="4709" width="9" style="326"/>
    <col min="4710" max="4710" width="10.75" style="326" bestFit="1" customWidth="1"/>
    <col min="4711" max="4711" width="13" style="326" customWidth="1"/>
    <col min="4712" max="4858" width="9" style="326"/>
    <col min="4859" max="4860" width="12.125" style="326" customWidth="1"/>
    <col min="4861" max="4863" width="13" style="326" customWidth="1"/>
    <col min="4864" max="4864" width="12.875" style="326" customWidth="1"/>
    <col min="4865" max="4865" width="13" style="326" customWidth="1"/>
    <col min="4866" max="4866" width="13.125" style="326" customWidth="1"/>
    <col min="4867" max="4868" width="12.125" style="326" customWidth="1"/>
    <col min="4869" max="4869" width="14.375" style="326" bestFit="1" customWidth="1"/>
    <col min="4870" max="4870" width="11" style="326" customWidth="1"/>
    <col min="4871" max="4871" width="10" style="326" customWidth="1"/>
    <col min="4872" max="4872" width="10.875" style="326" customWidth="1"/>
    <col min="4873" max="4873" width="13.75" style="326" customWidth="1"/>
    <col min="4874" max="4874" width="10" style="326" customWidth="1"/>
    <col min="4875" max="4875" width="13.25" style="326" customWidth="1"/>
    <col min="4876" max="4876" width="14.375" style="326" customWidth="1"/>
    <col min="4877" max="4877" width="10" style="326" customWidth="1"/>
    <col min="4878" max="4878" width="10.875" style="326" customWidth="1"/>
    <col min="4879" max="4879" width="11.375" style="326" customWidth="1"/>
    <col min="4880" max="4880" width="15.375" style="326" customWidth="1"/>
    <col min="4881" max="4882" width="10.75" style="326" customWidth="1"/>
    <col min="4883" max="4883" width="14.375" style="326" customWidth="1"/>
    <col min="4884" max="4884" width="10.75" style="326" customWidth="1"/>
    <col min="4885" max="4885" width="11.75" style="326" customWidth="1"/>
    <col min="4886" max="4886" width="10" style="326" customWidth="1"/>
    <col min="4887" max="4887" width="15.375" style="326" customWidth="1"/>
    <col min="4888" max="4888" width="10" style="326" customWidth="1"/>
    <col min="4889" max="4889" width="10.75" style="326" customWidth="1"/>
    <col min="4890" max="4890" width="14.875" style="326" customWidth="1"/>
    <col min="4891" max="4891" width="11.5" style="326" customWidth="1"/>
    <col min="4892" max="4892" width="10" style="326" customWidth="1"/>
    <col min="4893" max="4893" width="10.75" style="326" customWidth="1"/>
    <col min="4894" max="4894" width="13.5" style="326" customWidth="1"/>
    <col min="4895" max="4895" width="9" style="326"/>
    <col min="4896" max="4896" width="10.75" style="326" bestFit="1" customWidth="1"/>
    <col min="4897" max="4897" width="13.75" style="326" customWidth="1"/>
    <col min="4898" max="4898" width="9" style="326"/>
    <col min="4899" max="4899" width="10.625" style="326" customWidth="1"/>
    <col min="4900" max="4900" width="9" style="326"/>
    <col min="4901" max="4901" width="14.25" style="326" customWidth="1"/>
    <col min="4902" max="4902" width="10.75" style="326" bestFit="1" customWidth="1"/>
    <col min="4903" max="4903" width="11.625" style="326" customWidth="1"/>
    <col min="4904" max="4904" width="13.75" style="326" customWidth="1"/>
    <col min="4905" max="4905" width="10.625" style="326" customWidth="1"/>
    <col min="4906" max="4907" width="9" style="326"/>
    <col min="4908" max="4908" width="14.125" style="326" customWidth="1"/>
    <col min="4909" max="4909" width="11" style="326" customWidth="1"/>
    <col min="4910" max="4910" width="10.75" style="326" bestFit="1" customWidth="1"/>
    <col min="4911" max="4911" width="13.5" style="326" customWidth="1"/>
    <col min="4912" max="4913" width="9" style="326"/>
    <col min="4914" max="4914" width="10.75" style="326" bestFit="1" customWidth="1"/>
    <col min="4915" max="4915" width="14" style="326" customWidth="1"/>
    <col min="4916" max="4916" width="9" style="326"/>
    <col min="4917" max="4917" width="10.75" style="326" customWidth="1"/>
    <col min="4918" max="4918" width="12.75" style="326" customWidth="1"/>
    <col min="4919" max="4919" width="9" style="326"/>
    <col min="4920" max="4920" width="10.75" style="326" bestFit="1" customWidth="1"/>
    <col min="4921" max="4921" width="11.5" style="326" customWidth="1"/>
    <col min="4922" max="4922" width="13.625" style="326" customWidth="1"/>
    <col min="4923" max="4923" width="10.625" style="326" customWidth="1"/>
    <col min="4924" max="4924" width="10.75" style="326" bestFit="1" customWidth="1"/>
    <col min="4925" max="4925" width="12.375" style="326" customWidth="1"/>
    <col min="4926" max="4928" width="9" style="326"/>
    <col min="4929" max="4929" width="15.75" style="326" customWidth="1"/>
    <col min="4930" max="4930" width="9" style="326"/>
    <col min="4931" max="4931" width="10.75" style="326" bestFit="1" customWidth="1"/>
    <col min="4932" max="4932" width="12.625" style="326" customWidth="1"/>
    <col min="4933" max="4935" width="9" style="326"/>
    <col min="4936" max="4936" width="13.625" style="326" customWidth="1"/>
    <col min="4937" max="4937" width="9" style="326"/>
    <col min="4938" max="4938" width="10.75" style="326" bestFit="1" customWidth="1"/>
    <col min="4939" max="4939" width="12.5" style="326" customWidth="1"/>
    <col min="4940" max="4942" width="9" style="326"/>
    <col min="4943" max="4943" width="12.875" style="326" customWidth="1"/>
    <col min="4944" max="4944" width="9" style="326"/>
    <col min="4945" max="4945" width="10.75" style="326" bestFit="1" customWidth="1"/>
    <col min="4946" max="4946" width="13.875" style="326" customWidth="1"/>
    <col min="4947" max="4949" width="9" style="326"/>
    <col min="4950" max="4950" width="14.125" style="326" customWidth="1"/>
    <col min="4951" max="4951" width="9" style="326"/>
    <col min="4952" max="4952" width="10.75" style="326" bestFit="1" customWidth="1"/>
    <col min="4953" max="4953" width="13.25" style="326" customWidth="1"/>
    <col min="4954" max="4956" width="9" style="326"/>
    <col min="4957" max="4957" width="13.25" style="326" customWidth="1"/>
    <col min="4958" max="4958" width="9" style="326"/>
    <col min="4959" max="4959" width="10.75" style="326" bestFit="1" customWidth="1"/>
    <col min="4960" max="4960" width="13.875" style="326" customWidth="1"/>
    <col min="4961" max="4963" width="9" style="326"/>
    <col min="4964" max="4964" width="13.625" style="326" customWidth="1"/>
    <col min="4965" max="4965" width="9" style="326"/>
    <col min="4966" max="4966" width="10.75" style="326" bestFit="1" customWidth="1"/>
    <col min="4967" max="4967" width="13" style="326" customWidth="1"/>
    <col min="4968" max="5114" width="9" style="326"/>
    <col min="5115" max="5116" width="12.125" style="326" customWidth="1"/>
    <col min="5117" max="5119" width="13" style="326" customWidth="1"/>
    <col min="5120" max="5120" width="12.875" style="326" customWidth="1"/>
    <col min="5121" max="5121" width="13" style="326" customWidth="1"/>
    <col min="5122" max="5122" width="13.125" style="326" customWidth="1"/>
    <col min="5123" max="5124" width="12.125" style="326" customWidth="1"/>
    <col min="5125" max="5125" width="14.375" style="326" bestFit="1" customWidth="1"/>
    <col min="5126" max="5126" width="11" style="326" customWidth="1"/>
    <col min="5127" max="5127" width="10" style="326" customWidth="1"/>
    <col min="5128" max="5128" width="10.875" style="326" customWidth="1"/>
    <col min="5129" max="5129" width="13.75" style="326" customWidth="1"/>
    <col min="5130" max="5130" width="10" style="326" customWidth="1"/>
    <col min="5131" max="5131" width="13.25" style="326" customWidth="1"/>
    <col min="5132" max="5132" width="14.375" style="326" customWidth="1"/>
    <col min="5133" max="5133" width="10" style="326" customWidth="1"/>
    <col min="5134" max="5134" width="10.875" style="326" customWidth="1"/>
    <col min="5135" max="5135" width="11.375" style="326" customWidth="1"/>
    <col min="5136" max="5136" width="15.375" style="326" customWidth="1"/>
    <col min="5137" max="5138" width="10.75" style="326" customWidth="1"/>
    <col min="5139" max="5139" width="14.375" style="326" customWidth="1"/>
    <col min="5140" max="5140" width="10.75" style="326" customWidth="1"/>
    <col min="5141" max="5141" width="11.75" style="326" customWidth="1"/>
    <col min="5142" max="5142" width="10" style="326" customWidth="1"/>
    <col min="5143" max="5143" width="15.375" style="326" customWidth="1"/>
    <col min="5144" max="5144" width="10" style="326" customWidth="1"/>
    <col min="5145" max="5145" width="10.75" style="326" customWidth="1"/>
    <col min="5146" max="5146" width="14.875" style="326" customWidth="1"/>
    <col min="5147" max="5147" width="11.5" style="326" customWidth="1"/>
    <col min="5148" max="5148" width="10" style="326" customWidth="1"/>
    <col min="5149" max="5149" width="10.75" style="326" customWidth="1"/>
    <col min="5150" max="5150" width="13.5" style="326" customWidth="1"/>
    <col min="5151" max="5151" width="9" style="326"/>
    <col min="5152" max="5152" width="10.75" style="326" bestFit="1" customWidth="1"/>
    <col min="5153" max="5153" width="13.75" style="326" customWidth="1"/>
    <col min="5154" max="5154" width="9" style="326"/>
    <col min="5155" max="5155" width="10.625" style="326" customWidth="1"/>
    <col min="5156" max="5156" width="9" style="326"/>
    <col min="5157" max="5157" width="14.25" style="326" customWidth="1"/>
    <col min="5158" max="5158" width="10.75" style="326" bestFit="1" customWidth="1"/>
    <col min="5159" max="5159" width="11.625" style="326" customWidth="1"/>
    <col min="5160" max="5160" width="13.75" style="326" customWidth="1"/>
    <col min="5161" max="5161" width="10.625" style="326" customWidth="1"/>
    <col min="5162" max="5163" width="9" style="326"/>
    <col min="5164" max="5164" width="14.125" style="326" customWidth="1"/>
    <col min="5165" max="5165" width="11" style="326" customWidth="1"/>
    <col min="5166" max="5166" width="10.75" style="326" bestFit="1" customWidth="1"/>
    <col min="5167" max="5167" width="13.5" style="326" customWidth="1"/>
    <col min="5168" max="5169" width="9" style="326"/>
    <col min="5170" max="5170" width="10.75" style="326" bestFit="1" customWidth="1"/>
    <col min="5171" max="5171" width="14" style="326" customWidth="1"/>
    <col min="5172" max="5172" width="9" style="326"/>
    <col min="5173" max="5173" width="10.75" style="326" customWidth="1"/>
    <col min="5174" max="5174" width="12.75" style="326" customWidth="1"/>
    <col min="5175" max="5175" width="9" style="326"/>
    <col min="5176" max="5176" width="10.75" style="326" bestFit="1" customWidth="1"/>
    <col min="5177" max="5177" width="11.5" style="326" customWidth="1"/>
    <col min="5178" max="5178" width="13.625" style="326" customWidth="1"/>
    <col min="5179" max="5179" width="10.625" style="326" customWidth="1"/>
    <col min="5180" max="5180" width="10.75" style="326" bestFit="1" customWidth="1"/>
    <col min="5181" max="5181" width="12.375" style="326" customWidth="1"/>
    <col min="5182" max="5184" width="9" style="326"/>
    <col min="5185" max="5185" width="15.75" style="326" customWidth="1"/>
    <col min="5186" max="5186" width="9" style="326"/>
    <col min="5187" max="5187" width="10.75" style="326" bestFit="1" customWidth="1"/>
    <col min="5188" max="5188" width="12.625" style="326" customWidth="1"/>
    <col min="5189" max="5191" width="9" style="326"/>
    <col min="5192" max="5192" width="13.625" style="326" customWidth="1"/>
    <col min="5193" max="5193" width="9" style="326"/>
    <col min="5194" max="5194" width="10.75" style="326" bestFit="1" customWidth="1"/>
    <col min="5195" max="5195" width="12.5" style="326" customWidth="1"/>
    <col min="5196" max="5198" width="9" style="326"/>
    <col min="5199" max="5199" width="12.875" style="326" customWidth="1"/>
    <col min="5200" max="5200" width="9" style="326"/>
    <col min="5201" max="5201" width="10.75" style="326" bestFit="1" customWidth="1"/>
    <col min="5202" max="5202" width="13.875" style="326" customWidth="1"/>
    <col min="5203" max="5205" width="9" style="326"/>
    <col min="5206" max="5206" width="14.125" style="326" customWidth="1"/>
    <col min="5207" max="5207" width="9" style="326"/>
    <col min="5208" max="5208" width="10.75" style="326" bestFit="1" customWidth="1"/>
    <col min="5209" max="5209" width="13.25" style="326" customWidth="1"/>
    <col min="5210" max="5212" width="9" style="326"/>
    <col min="5213" max="5213" width="13.25" style="326" customWidth="1"/>
    <col min="5214" max="5214" width="9" style="326"/>
    <col min="5215" max="5215" width="10.75" style="326" bestFit="1" customWidth="1"/>
    <col min="5216" max="5216" width="13.875" style="326" customWidth="1"/>
    <col min="5217" max="5219" width="9" style="326"/>
    <col min="5220" max="5220" width="13.625" style="326" customWidth="1"/>
    <col min="5221" max="5221" width="9" style="326"/>
    <col min="5222" max="5222" width="10.75" style="326" bestFit="1" customWidth="1"/>
    <col min="5223" max="5223" width="13" style="326" customWidth="1"/>
    <col min="5224" max="5370" width="9" style="326"/>
    <col min="5371" max="5372" width="12.125" style="326" customWidth="1"/>
    <col min="5373" max="5375" width="13" style="326" customWidth="1"/>
    <col min="5376" max="5376" width="12.875" style="326" customWidth="1"/>
    <col min="5377" max="5377" width="13" style="326" customWidth="1"/>
    <col min="5378" max="5378" width="13.125" style="326" customWidth="1"/>
    <col min="5379" max="5380" width="12.125" style="326" customWidth="1"/>
    <col min="5381" max="5381" width="14.375" style="326" bestFit="1" customWidth="1"/>
    <col min="5382" max="5382" width="11" style="326" customWidth="1"/>
    <col min="5383" max="5383" width="10" style="326" customWidth="1"/>
    <col min="5384" max="5384" width="10.875" style="326" customWidth="1"/>
    <col min="5385" max="5385" width="13.75" style="326" customWidth="1"/>
    <col min="5386" max="5386" width="10" style="326" customWidth="1"/>
    <col min="5387" max="5387" width="13.25" style="326" customWidth="1"/>
    <col min="5388" max="5388" width="14.375" style="326" customWidth="1"/>
    <col min="5389" max="5389" width="10" style="326" customWidth="1"/>
    <col min="5390" max="5390" width="10.875" style="326" customWidth="1"/>
    <col min="5391" max="5391" width="11.375" style="326" customWidth="1"/>
    <col min="5392" max="5392" width="15.375" style="326" customWidth="1"/>
    <col min="5393" max="5394" width="10.75" style="326" customWidth="1"/>
    <col min="5395" max="5395" width="14.375" style="326" customWidth="1"/>
    <col min="5396" max="5396" width="10.75" style="326" customWidth="1"/>
    <col min="5397" max="5397" width="11.75" style="326" customWidth="1"/>
    <col min="5398" max="5398" width="10" style="326" customWidth="1"/>
    <col min="5399" max="5399" width="15.375" style="326" customWidth="1"/>
    <col min="5400" max="5400" width="10" style="326" customWidth="1"/>
    <col min="5401" max="5401" width="10.75" style="326" customWidth="1"/>
    <col min="5402" max="5402" width="14.875" style="326" customWidth="1"/>
    <col min="5403" max="5403" width="11.5" style="326" customWidth="1"/>
    <col min="5404" max="5404" width="10" style="326" customWidth="1"/>
    <col min="5405" max="5405" width="10.75" style="326" customWidth="1"/>
    <col min="5406" max="5406" width="13.5" style="326" customWidth="1"/>
    <col min="5407" max="5407" width="9" style="326"/>
    <col min="5408" max="5408" width="10.75" style="326" bestFit="1" customWidth="1"/>
    <col min="5409" max="5409" width="13.75" style="326" customWidth="1"/>
    <col min="5410" max="5410" width="9" style="326"/>
    <col min="5411" max="5411" width="10.625" style="326" customWidth="1"/>
    <col min="5412" max="5412" width="9" style="326"/>
    <col min="5413" max="5413" width="14.25" style="326" customWidth="1"/>
    <col min="5414" max="5414" width="10.75" style="326" bestFit="1" customWidth="1"/>
    <col min="5415" max="5415" width="11.625" style="326" customWidth="1"/>
    <col min="5416" max="5416" width="13.75" style="326" customWidth="1"/>
    <col min="5417" max="5417" width="10.625" style="326" customWidth="1"/>
    <col min="5418" max="5419" width="9" style="326"/>
    <col min="5420" max="5420" width="14.125" style="326" customWidth="1"/>
    <col min="5421" max="5421" width="11" style="326" customWidth="1"/>
    <col min="5422" max="5422" width="10.75" style="326" bestFit="1" customWidth="1"/>
    <col min="5423" max="5423" width="13.5" style="326" customWidth="1"/>
    <col min="5424" max="5425" width="9" style="326"/>
    <col min="5426" max="5426" width="10.75" style="326" bestFit="1" customWidth="1"/>
    <col min="5427" max="5427" width="14" style="326" customWidth="1"/>
    <col min="5428" max="5428" width="9" style="326"/>
    <col min="5429" max="5429" width="10.75" style="326" customWidth="1"/>
    <col min="5430" max="5430" width="12.75" style="326" customWidth="1"/>
    <col min="5431" max="5431" width="9" style="326"/>
    <col min="5432" max="5432" width="10.75" style="326" bestFit="1" customWidth="1"/>
    <col min="5433" max="5433" width="11.5" style="326" customWidth="1"/>
    <col min="5434" max="5434" width="13.625" style="326" customWidth="1"/>
    <col min="5435" max="5435" width="10.625" style="326" customWidth="1"/>
    <col min="5436" max="5436" width="10.75" style="326" bestFit="1" customWidth="1"/>
    <col min="5437" max="5437" width="12.375" style="326" customWidth="1"/>
    <col min="5438" max="5440" width="9" style="326"/>
    <col min="5441" max="5441" width="15.75" style="326" customWidth="1"/>
    <col min="5442" max="5442" width="9" style="326"/>
    <col min="5443" max="5443" width="10.75" style="326" bestFit="1" customWidth="1"/>
    <col min="5444" max="5444" width="12.625" style="326" customWidth="1"/>
    <col min="5445" max="5447" width="9" style="326"/>
    <col min="5448" max="5448" width="13.625" style="326" customWidth="1"/>
    <col min="5449" max="5449" width="9" style="326"/>
    <col min="5450" max="5450" width="10.75" style="326" bestFit="1" customWidth="1"/>
    <col min="5451" max="5451" width="12.5" style="326" customWidth="1"/>
    <col min="5452" max="5454" width="9" style="326"/>
    <col min="5455" max="5455" width="12.875" style="326" customWidth="1"/>
    <col min="5456" max="5456" width="9" style="326"/>
    <col min="5457" max="5457" width="10.75" style="326" bestFit="1" customWidth="1"/>
    <col min="5458" max="5458" width="13.875" style="326" customWidth="1"/>
    <col min="5459" max="5461" width="9" style="326"/>
    <col min="5462" max="5462" width="14.125" style="326" customWidth="1"/>
    <col min="5463" max="5463" width="9" style="326"/>
    <col min="5464" max="5464" width="10.75" style="326" bestFit="1" customWidth="1"/>
    <col min="5465" max="5465" width="13.25" style="326" customWidth="1"/>
    <col min="5466" max="5468" width="9" style="326"/>
    <col min="5469" max="5469" width="13.25" style="326" customWidth="1"/>
    <col min="5470" max="5470" width="9" style="326"/>
    <col min="5471" max="5471" width="10.75" style="326" bestFit="1" customWidth="1"/>
    <col min="5472" max="5472" width="13.875" style="326" customWidth="1"/>
    <col min="5473" max="5475" width="9" style="326"/>
    <col min="5476" max="5476" width="13.625" style="326" customWidth="1"/>
    <col min="5477" max="5477" width="9" style="326"/>
    <col min="5478" max="5478" width="10.75" style="326" bestFit="1" customWidth="1"/>
    <col min="5479" max="5479" width="13" style="326" customWidth="1"/>
    <col min="5480" max="5626" width="9" style="326"/>
    <col min="5627" max="5628" width="12.125" style="326" customWidth="1"/>
    <col min="5629" max="5631" width="13" style="326" customWidth="1"/>
    <col min="5632" max="5632" width="12.875" style="326" customWidth="1"/>
    <col min="5633" max="5633" width="13" style="326" customWidth="1"/>
    <col min="5634" max="5634" width="13.125" style="326" customWidth="1"/>
    <col min="5635" max="5636" width="12.125" style="326" customWidth="1"/>
    <col min="5637" max="5637" width="14.375" style="326" bestFit="1" customWidth="1"/>
    <col min="5638" max="5638" width="11" style="326" customWidth="1"/>
    <col min="5639" max="5639" width="10" style="326" customWidth="1"/>
    <col min="5640" max="5640" width="10.875" style="326" customWidth="1"/>
    <col min="5641" max="5641" width="13.75" style="326" customWidth="1"/>
    <col min="5642" max="5642" width="10" style="326" customWidth="1"/>
    <col min="5643" max="5643" width="13.25" style="326" customWidth="1"/>
    <col min="5644" max="5644" width="14.375" style="326" customWidth="1"/>
    <col min="5645" max="5645" width="10" style="326" customWidth="1"/>
    <col min="5646" max="5646" width="10.875" style="326" customWidth="1"/>
    <col min="5647" max="5647" width="11.375" style="326" customWidth="1"/>
    <col min="5648" max="5648" width="15.375" style="326" customWidth="1"/>
    <col min="5649" max="5650" width="10.75" style="326" customWidth="1"/>
    <col min="5651" max="5651" width="14.375" style="326" customWidth="1"/>
    <col min="5652" max="5652" width="10.75" style="326" customWidth="1"/>
    <col min="5653" max="5653" width="11.75" style="326" customWidth="1"/>
    <col min="5654" max="5654" width="10" style="326" customWidth="1"/>
    <col min="5655" max="5655" width="15.375" style="326" customWidth="1"/>
    <col min="5656" max="5656" width="10" style="326" customWidth="1"/>
    <col min="5657" max="5657" width="10.75" style="326" customWidth="1"/>
    <col min="5658" max="5658" width="14.875" style="326" customWidth="1"/>
    <col min="5659" max="5659" width="11.5" style="326" customWidth="1"/>
    <col min="5660" max="5660" width="10" style="326" customWidth="1"/>
    <col min="5661" max="5661" width="10.75" style="326" customWidth="1"/>
    <col min="5662" max="5662" width="13.5" style="326" customWidth="1"/>
    <col min="5663" max="5663" width="9" style="326"/>
    <col min="5664" max="5664" width="10.75" style="326" bestFit="1" customWidth="1"/>
    <col min="5665" max="5665" width="13.75" style="326" customWidth="1"/>
    <col min="5666" max="5666" width="9" style="326"/>
    <col min="5667" max="5667" width="10.625" style="326" customWidth="1"/>
    <col min="5668" max="5668" width="9" style="326"/>
    <col min="5669" max="5669" width="14.25" style="326" customWidth="1"/>
    <col min="5670" max="5670" width="10.75" style="326" bestFit="1" customWidth="1"/>
    <col min="5671" max="5671" width="11.625" style="326" customWidth="1"/>
    <col min="5672" max="5672" width="13.75" style="326" customWidth="1"/>
    <col min="5673" max="5673" width="10.625" style="326" customWidth="1"/>
    <col min="5674" max="5675" width="9" style="326"/>
    <col min="5676" max="5676" width="14.125" style="326" customWidth="1"/>
    <col min="5677" max="5677" width="11" style="326" customWidth="1"/>
    <col min="5678" max="5678" width="10.75" style="326" bestFit="1" customWidth="1"/>
    <col min="5679" max="5679" width="13.5" style="326" customWidth="1"/>
    <col min="5680" max="5681" width="9" style="326"/>
    <col min="5682" max="5682" width="10.75" style="326" bestFit="1" customWidth="1"/>
    <col min="5683" max="5683" width="14" style="326" customWidth="1"/>
    <col min="5684" max="5684" width="9" style="326"/>
    <col min="5685" max="5685" width="10.75" style="326" customWidth="1"/>
    <col min="5686" max="5686" width="12.75" style="326" customWidth="1"/>
    <col min="5687" max="5687" width="9" style="326"/>
    <col min="5688" max="5688" width="10.75" style="326" bestFit="1" customWidth="1"/>
    <col min="5689" max="5689" width="11.5" style="326" customWidth="1"/>
    <col min="5690" max="5690" width="13.625" style="326" customWidth="1"/>
    <col min="5691" max="5691" width="10.625" style="326" customWidth="1"/>
    <col min="5692" max="5692" width="10.75" style="326" bestFit="1" customWidth="1"/>
    <col min="5693" max="5693" width="12.375" style="326" customWidth="1"/>
    <col min="5694" max="5696" width="9" style="326"/>
    <col min="5697" max="5697" width="15.75" style="326" customWidth="1"/>
    <col min="5698" max="5698" width="9" style="326"/>
    <col min="5699" max="5699" width="10.75" style="326" bestFit="1" customWidth="1"/>
    <col min="5700" max="5700" width="12.625" style="326" customWidth="1"/>
    <col min="5701" max="5703" width="9" style="326"/>
    <col min="5704" max="5704" width="13.625" style="326" customWidth="1"/>
    <col min="5705" max="5705" width="9" style="326"/>
    <col min="5706" max="5706" width="10.75" style="326" bestFit="1" customWidth="1"/>
    <col min="5707" max="5707" width="12.5" style="326" customWidth="1"/>
    <col min="5708" max="5710" width="9" style="326"/>
    <col min="5711" max="5711" width="12.875" style="326" customWidth="1"/>
    <col min="5712" max="5712" width="9" style="326"/>
    <col min="5713" max="5713" width="10.75" style="326" bestFit="1" customWidth="1"/>
    <col min="5714" max="5714" width="13.875" style="326" customWidth="1"/>
    <col min="5715" max="5717" width="9" style="326"/>
    <col min="5718" max="5718" width="14.125" style="326" customWidth="1"/>
    <col min="5719" max="5719" width="9" style="326"/>
    <col min="5720" max="5720" width="10.75" style="326" bestFit="1" customWidth="1"/>
    <col min="5721" max="5721" width="13.25" style="326" customWidth="1"/>
    <col min="5722" max="5724" width="9" style="326"/>
    <col min="5725" max="5725" width="13.25" style="326" customWidth="1"/>
    <col min="5726" max="5726" width="9" style="326"/>
    <col min="5727" max="5727" width="10.75" style="326" bestFit="1" customWidth="1"/>
    <col min="5728" max="5728" width="13.875" style="326" customWidth="1"/>
    <col min="5729" max="5731" width="9" style="326"/>
    <col min="5732" max="5732" width="13.625" style="326" customWidth="1"/>
    <col min="5733" max="5733" width="9" style="326"/>
    <col min="5734" max="5734" width="10.75" style="326" bestFit="1" customWidth="1"/>
    <col min="5735" max="5735" width="13" style="326" customWidth="1"/>
    <col min="5736" max="5882" width="9" style="326"/>
    <col min="5883" max="5884" width="12.125" style="326" customWidth="1"/>
    <col min="5885" max="5887" width="13" style="326" customWidth="1"/>
    <col min="5888" max="5888" width="12.875" style="326" customWidth="1"/>
    <col min="5889" max="5889" width="13" style="326" customWidth="1"/>
    <col min="5890" max="5890" width="13.125" style="326" customWidth="1"/>
    <col min="5891" max="5892" width="12.125" style="326" customWidth="1"/>
    <col min="5893" max="5893" width="14.375" style="326" bestFit="1" customWidth="1"/>
    <col min="5894" max="5894" width="11" style="326" customWidth="1"/>
    <col min="5895" max="5895" width="10" style="326" customWidth="1"/>
    <col min="5896" max="5896" width="10.875" style="326" customWidth="1"/>
    <col min="5897" max="5897" width="13.75" style="326" customWidth="1"/>
    <col min="5898" max="5898" width="10" style="326" customWidth="1"/>
    <col min="5899" max="5899" width="13.25" style="326" customWidth="1"/>
    <col min="5900" max="5900" width="14.375" style="326" customWidth="1"/>
    <col min="5901" max="5901" width="10" style="326" customWidth="1"/>
    <col min="5902" max="5902" width="10.875" style="326" customWidth="1"/>
    <col min="5903" max="5903" width="11.375" style="326" customWidth="1"/>
    <col min="5904" max="5904" width="15.375" style="326" customWidth="1"/>
    <col min="5905" max="5906" width="10.75" style="326" customWidth="1"/>
    <col min="5907" max="5907" width="14.375" style="326" customWidth="1"/>
    <col min="5908" max="5908" width="10.75" style="326" customWidth="1"/>
    <col min="5909" max="5909" width="11.75" style="326" customWidth="1"/>
    <col min="5910" max="5910" width="10" style="326" customWidth="1"/>
    <col min="5911" max="5911" width="15.375" style="326" customWidth="1"/>
    <col min="5912" max="5912" width="10" style="326" customWidth="1"/>
    <col min="5913" max="5913" width="10.75" style="326" customWidth="1"/>
    <col min="5914" max="5914" width="14.875" style="326" customWidth="1"/>
    <col min="5915" max="5915" width="11.5" style="326" customWidth="1"/>
    <col min="5916" max="5916" width="10" style="326" customWidth="1"/>
    <col min="5917" max="5917" width="10.75" style="326" customWidth="1"/>
    <col min="5918" max="5918" width="13.5" style="326" customWidth="1"/>
    <col min="5919" max="5919" width="9" style="326"/>
    <col min="5920" max="5920" width="10.75" style="326" bestFit="1" customWidth="1"/>
    <col min="5921" max="5921" width="13.75" style="326" customWidth="1"/>
    <col min="5922" max="5922" width="9" style="326"/>
    <col min="5923" max="5923" width="10.625" style="326" customWidth="1"/>
    <col min="5924" max="5924" width="9" style="326"/>
    <col min="5925" max="5925" width="14.25" style="326" customWidth="1"/>
    <col min="5926" max="5926" width="10.75" style="326" bestFit="1" customWidth="1"/>
    <col min="5927" max="5927" width="11.625" style="326" customWidth="1"/>
    <col min="5928" max="5928" width="13.75" style="326" customWidth="1"/>
    <col min="5929" max="5929" width="10.625" style="326" customWidth="1"/>
    <col min="5930" max="5931" width="9" style="326"/>
    <col min="5932" max="5932" width="14.125" style="326" customWidth="1"/>
    <col min="5933" max="5933" width="11" style="326" customWidth="1"/>
    <col min="5934" max="5934" width="10.75" style="326" bestFit="1" customWidth="1"/>
    <col min="5935" max="5935" width="13.5" style="326" customWidth="1"/>
    <col min="5936" max="5937" width="9" style="326"/>
    <col min="5938" max="5938" width="10.75" style="326" bestFit="1" customWidth="1"/>
    <col min="5939" max="5939" width="14" style="326" customWidth="1"/>
    <col min="5940" max="5940" width="9" style="326"/>
    <col min="5941" max="5941" width="10.75" style="326" customWidth="1"/>
    <col min="5942" max="5942" width="12.75" style="326" customWidth="1"/>
    <col min="5943" max="5943" width="9" style="326"/>
    <col min="5944" max="5944" width="10.75" style="326" bestFit="1" customWidth="1"/>
    <col min="5945" max="5945" width="11.5" style="326" customWidth="1"/>
    <col min="5946" max="5946" width="13.625" style="326" customWidth="1"/>
    <col min="5947" max="5947" width="10.625" style="326" customWidth="1"/>
    <col min="5948" max="5948" width="10.75" style="326" bestFit="1" customWidth="1"/>
    <col min="5949" max="5949" width="12.375" style="326" customWidth="1"/>
    <col min="5950" max="5952" width="9" style="326"/>
    <col min="5953" max="5953" width="15.75" style="326" customWidth="1"/>
    <col min="5954" max="5954" width="9" style="326"/>
    <col min="5955" max="5955" width="10.75" style="326" bestFit="1" customWidth="1"/>
    <col min="5956" max="5956" width="12.625" style="326" customWidth="1"/>
    <col min="5957" max="5959" width="9" style="326"/>
    <col min="5960" max="5960" width="13.625" style="326" customWidth="1"/>
    <col min="5961" max="5961" width="9" style="326"/>
    <col min="5962" max="5962" width="10.75" style="326" bestFit="1" customWidth="1"/>
    <col min="5963" max="5963" width="12.5" style="326" customWidth="1"/>
    <col min="5964" max="5966" width="9" style="326"/>
    <col min="5967" max="5967" width="12.875" style="326" customWidth="1"/>
    <col min="5968" max="5968" width="9" style="326"/>
    <col min="5969" max="5969" width="10.75" style="326" bestFit="1" customWidth="1"/>
    <col min="5970" max="5970" width="13.875" style="326" customWidth="1"/>
    <col min="5971" max="5973" width="9" style="326"/>
    <col min="5974" max="5974" width="14.125" style="326" customWidth="1"/>
    <col min="5975" max="5975" width="9" style="326"/>
    <col min="5976" max="5976" width="10.75" style="326" bestFit="1" customWidth="1"/>
    <col min="5977" max="5977" width="13.25" style="326" customWidth="1"/>
    <col min="5978" max="5980" width="9" style="326"/>
    <col min="5981" max="5981" width="13.25" style="326" customWidth="1"/>
    <col min="5982" max="5982" width="9" style="326"/>
    <col min="5983" max="5983" width="10.75" style="326" bestFit="1" customWidth="1"/>
    <col min="5984" max="5984" width="13.875" style="326" customWidth="1"/>
    <col min="5985" max="5987" width="9" style="326"/>
    <col min="5988" max="5988" width="13.625" style="326" customWidth="1"/>
    <col min="5989" max="5989" width="9" style="326"/>
    <col min="5990" max="5990" width="10.75" style="326" bestFit="1" customWidth="1"/>
    <col min="5991" max="5991" width="13" style="326" customWidth="1"/>
    <col min="5992" max="6138" width="9" style="326"/>
    <col min="6139" max="6140" width="12.125" style="326" customWidth="1"/>
    <col min="6141" max="6143" width="13" style="326" customWidth="1"/>
    <col min="6144" max="6144" width="12.875" style="326" customWidth="1"/>
    <col min="6145" max="6145" width="13" style="326" customWidth="1"/>
    <col min="6146" max="6146" width="13.125" style="326" customWidth="1"/>
    <col min="6147" max="6148" width="12.125" style="326" customWidth="1"/>
    <col min="6149" max="6149" width="14.375" style="326" bestFit="1" customWidth="1"/>
    <col min="6150" max="6150" width="11" style="326" customWidth="1"/>
    <col min="6151" max="6151" width="10" style="326" customWidth="1"/>
    <col min="6152" max="6152" width="10.875" style="326" customWidth="1"/>
    <col min="6153" max="6153" width="13.75" style="326" customWidth="1"/>
    <col min="6154" max="6154" width="10" style="326" customWidth="1"/>
    <col min="6155" max="6155" width="13.25" style="326" customWidth="1"/>
    <col min="6156" max="6156" width="14.375" style="326" customWidth="1"/>
    <col min="6157" max="6157" width="10" style="326" customWidth="1"/>
    <col min="6158" max="6158" width="10.875" style="326" customWidth="1"/>
    <col min="6159" max="6159" width="11.375" style="326" customWidth="1"/>
    <col min="6160" max="6160" width="15.375" style="326" customWidth="1"/>
    <col min="6161" max="6162" width="10.75" style="326" customWidth="1"/>
    <col min="6163" max="6163" width="14.375" style="326" customWidth="1"/>
    <col min="6164" max="6164" width="10.75" style="326" customWidth="1"/>
    <col min="6165" max="6165" width="11.75" style="326" customWidth="1"/>
    <col min="6166" max="6166" width="10" style="326" customWidth="1"/>
    <col min="6167" max="6167" width="15.375" style="326" customWidth="1"/>
    <col min="6168" max="6168" width="10" style="326" customWidth="1"/>
    <col min="6169" max="6169" width="10.75" style="326" customWidth="1"/>
    <col min="6170" max="6170" width="14.875" style="326" customWidth="1"/>
    <col min="6171" max="6171" width="11.5" style="326" customWidth="1"/>
    <col min="6172" max="6172" width="10" style="326" customWidth="1"/>
    <col min="6173" max="6173" width="10.75" style="326" customWidth="1"/>
    <col min="6174" max="6174" width="13.5" style="326" customWidth="1"/>
    <col min="6175" max="6175" width="9" style="326"/>
    <col min="6176" max="6176" width="10.75" style="326" bestFit="1" customWidth="1"/>
    <col min="6177" max="6177" width="13.75" style="326" customWidth="1"/>
    <col min="6178" max="6178" width="9" style="326"/>
    <col min="6179" max="6179" width="10.625" style="326" customWidth="1"/>
    <col min="6180" max="6180" width="9" style="326"/>
    <col min="6181" max="6181" width="14.25" style="326" customWidth="1"/>
    <col min="6182" max="6182" width="10.75" style="326" bestFit="1" customWidth="1"/>
    <col min="6183" max="6183" width="11.625" style="326" customWidth="1"/>
    <col min="6184" max="6184" width="13.75" style="326" customWidth="1"/>
    <col min="6185" max="6185" width="10.625" style="326" customWidth="1"/>
    <col min="6186" max="6187" width="9" style="326"/>
    <col min="6188" max="6188" width="14.125" style="326" customWidth="1"/>
    <col min="6189" max="6189" width="11" style="326" customWidth="1"/>
    <col min="6190" max="6190" width="10.75" style="326" bestFit="1" customWidth="1"/>
    <col min="6191" max="6191" width="13.5" style="326" customWidth="1"/>
    <col min="6192" max="6193" width="9" style="326"/>
    <col min="6194" max="6194" width="10.75" style="326" bestFit="1" customWidth="1"/>
    <col min="6195" max="6195" width="14" style="326" customWidth="1"/>
    <col min="6196" max="6196" width="9" style="326"/>
    <col min="6197" max="6197" width="10.75" style="326" customWidth="1"/>
    <col min="6198" max="6198" width="12.75" style="326" customWidth="1"/>
    <col min="6199" max="6199" width="9" style="326"/>
    <col min="6200" max="6200" width="10.75" style="326" bestFit="1" customWidth="1"/>
    <col min="6201" max="6201" width="11.5" style="326" customWidth="1"/>
    <col min="6202" max="6202" width="13.625" style="326" customWidth="1"/>
    <col min="6203" max="6203" width="10.625" style="326" customWidth="1"/>
    <col min="6204" max="6204" width="10.75" style="326" bestFit="1" customWidth="1"/>
    <col min="6205" max="6205" width="12.375" style="326" customWidth="1"/>
    <col min="6206" max="6208" width="9" style="326"/>
    <col min="6209" max="6209" width="15.75" style="326" customWidth="1"/>
    <col min="6210" max="6210" width="9" style="326"/>
    <col min="6211" max="6211" width="10.75" style="326" bestFit="1" customWidth="1"/>
    <col min="6212" max="6212" width="12.625" style="326" customWidth="1"/>
    <col min="6213" max="6215" width="9" style="326"/>
    <col min="6216" max="6216" width="13.625" style="326" customWidth="1"/>
    <col min="6217" max="6217" width="9" style="326"/>
    <col min="6218" max="6218" width="10.75" style="326" bestFit="1" customWidth="1"/>
    <col min="6219" max="6219" width="12.5" style="326" customWidth="1"/>
    <col min="6220" max="6222" width="9" style="326"/>
    <col min="6223" max="6223" width="12.875" style="326" customWidth="1"/>
    <col min="6224" max="6224" width="9" style="326"/>
    <col min="6225" max="6225" width="10.75" style="326" bestFit="1" customWidth="1"/>
    <col min="6226" max="6226" width="13.875" style="326" customWidth="1"/>
    <col min="6227" max="6229" width="9" style="326"/>
    <col min="6230" max="6230" width="14.125" style="326" customWidth="1"/>
    <col min="6231" max="6231" width="9" style="326"/>
    <col min="6232" max="6232" width="10.75" style="326" bestFit="1" customWidth="1"/>
    <col min="6233" max="6233" width="13.25" style="326" customWidth="1"/>
    <col min="6234" max="6236" width="9" style="326"/>
    <col min="6237" max="6237" width="13.25" style="326" customWidth="1"/>
    <col min="6238" max="6238" width="9" style="326"/>
    <col min="6239" max="6239" width="10.75" style="326" bestFit="1" customWidth="1"/>
    <col min="6240" max="6240" width="13.875" style="326" customWidth="1"/>
    <col min="6241" max="6243" width="9" style="326"/>
    <col min="6244" max="6244" width="13.625" style="326" customWidth="1"/>
    <col min="6245" max="6245" width="9" style="326"/>
    <col min="6246" max="6246" width="10.75" style="326" bestFit="1" customWidth="1"/>
    <col min="6247" max="6247" width="13" style="326" customWidth="1"/>
    <col min="6248" max="6394" width="9" style="326"/>
    <col min="6395" max="6396" width="12.125" style="326" customWidth="1"/>
    <col min="6397" max="6399" width="13" style="326" customWidth="1"/>
    <col min="6400" max="6400" width="12.875" style="326" customWidth="1"/>
    <col min="6401" max="6401" width="13" style="326" customWidth="1"/>
    <col min="6402" max="6402" width="13.125" style="326" customWidth="1"/>
    <col min="6403" max="6404" width="12.125" style="326" customWidth="1"/>
    <col min="6405" max="6405" width="14.375" style="326" bestFit="1" customWidth="1"/>
    <col min="6406" max="6406" width="11" style="326" customWidth="1"/>
    <col min="6407" max="6407" width="10" style="326" customWidth="1"/>
    <col min="6408" max="6408" width="10.875" style="326" customWidth="1"/>
    <col min="6409" max="6409" width="13.75" style="326" customWidth="1"/>
    <col min="6410" max="6410" width="10" style="326" customWidth="1"/>
    <col min="6411" max="6411" width="13.25" style="326" customWidth="1"/>
    <col min="6412" max="6412" width="14.375" style="326" customWidth="1"/>
    <col min="6413" max="6413" width="10" style="326" customWidth="1"/>
    <col min="6414" max="6414" width="10.875" style="326" customWidth="1"/>
    <col min="6415" max="6415" width="11.375" style="326" customWidth="1"/>
    <col min="6416" max="6416" width="15.375" style="326" customWidth="1"/>
    <col min="6417" max="6418" width="10.75" style="326" customWidth="1"/>
    <col min="6419" max="6419" width="14.375" style="326" customWidth="1"/>
    <col min="6420" max="6420" width="10.75" style="326" customWidth="1"/>
    <col min="6421" max="6421" width="11.75" style="326" customWidth="1"/>
    <col min="6422" max="6422" width="10" style="326" customWidth="1"/>
    <col min="6423" max="6423" width="15.375" style="326" customWidth="1"/>
    <col min="6424" max="6424" width="10" style="326" customWidth="1"/>
    <col min="6425" max="6425" width="10.75" style="326" customWidth="1"/>
    <col min="6426" max="6426" width="14.875" style="326" customWidth="1"/>
    <col min="6427" max="6427" width="11.5" style="326" customWidth="1"/>
    <col min="6428" max="6428" width="10" style="326" customWidth="1"/>
    <col min="6429" max="6429" width="10.75" style="326" customWidth="1"/>
    <col min="6430" max="6430" width="13.5" style="326" customWidth="1"/>
    <col min="6431" max="6431" width="9" style="326"/>
    <col min="6432" max="6432" width="10.75" style="326" bestFit="1" customWidth="1"/>
    <col min="6433" max="6433" width="13.75" style="326" customWidth="1"/>
    <col min="6434" max="6434" width="9" style="326"/>
    <col min="6435" max="6435" width="10.625" style="326" customWidth="1"/>
    <col min="6436" max="6436" width="9" style="326"/>
    <col min="6437" max="6437" width="14.25" style="326" customWidth="1"/>
    <col min="6438" max="6438" width="10.75" style="326" bestFit="1" customWidth="1"/>
    <col min="6439" max="6439" width="11.625" style="326" customWidth="1"/>
    <col min="6440" max="6440" width="13.75" style="326" customWidth="1"/>
    <col min="6441" max="6441" width="10.625" style="326" customWidth="1"/>
    <col min="6442" max="6443" width="9" style="326"/>
    <col min="6444" max="6444" width="14.125" style="326" customWidth="1"/>
    <col min="6445" max="6445" width="11" style="326" customWidth="1"/>
    <col min="6446" max="6446" width="10.75" style="326" bestFit="1" customWidth="1"/>
    <col min="6447" max="6447" width="13.5" style="326" customWidth="1"/>
    <col min="6448" max="6449" width="9" style="326"/>
    <col min="6450" max="6450" width="10.75" style="326" bestFit="1" customWidth="1"/>
    <col min="6451" max="6451" width="14" style="326" customWidth="1"/>
    <col min="6452" max="6452" width="9" style="326"/>
    <col min="6453" max="6453" width="10.75" style="326" customWidth="1"/>
    <col min="6454" max="6454" width="12.75" style="326" customWidth="1"/>
    <col min="6455" max="6455" width="9" style="326"/>
    <col min="6456" max="6456" width="10.75" style="326" bestFit="1" customWidth="1"/>
    <col min="6457" max="6457" width="11.5" style="326" customWidth="1"/>
    <col min="6458" max="6458" width="13.625" style="326" customWidth="1"/>
    <col min="6459" max="6459" width="10.625" style="326" customWidth="1"/>
    <col min="6460" max="6460" width="10.75" style="326" bestFit="1" customWidth="1"/>
    <col min="6461" max="6461" width="12.375" style="326" customWidth="1"/>
    <col min="6462" max="6464" width="9" style="326"/>
    <col min="6465" max="6465" width="15.75" style="326" customWidth="1"/>
    <col min="6466" max="6466" width="9" style="326"/>
    <col min="6467" max="6467" width="10.75" style="326" bestFit="1" customWidth="1"/>
    <col min="6468" max="6468" width="12.625" style="326" customWidth="1"/>
    <col min="6469" max="6471" width="9" style="326"/>
    <col min="6472" max="6472" width="13.625" style="326" customWidth="1"/>
    <col min="6473" max="6473" width="9" style="326"/>
    <col min="6474" max="6474" width="10.75" style="326" bestFit="1" customWidth="1"/>
    <col min="6475" max="6475" width="12.5" style="326" customWidth="1"/>
    <col min="6476" max="6478" width="9" style="326"/>
    <col min="6479" max="6479" width="12.875" style="326" customWidth="1"/>
    <col min="6480" max="6480" width="9" style="326"/>
    <col min="6481" max="6481" width="10.75" style="326" bestFit="1" customWidth="1"/>
    <col min="6482" max="6482" width="13.875" style="326" customWidth="1"/>
    <col min="6483" max="6485" width="9" style="326"/>
    <col min="6486" max="6486" width="14.125" style="326" customWidth="1"/>
    <col min="6487" max="6487" width="9" style="326"/>
    <col min="6488" max="6488" width="10.75" style="326" bestFit="1" customWidth="1"/>
    <col min="6489" max="6489" width="13.25" style="326" customWidth="1"/>
    <col min="6490" max="6492" width="9" style="326"/>
    <col min="6493" max="6493" width="13.25" style="326" customWidth="1"/>
    <col min="6494" max="6494" width="9" style="326"/>
    <col min="6495" max="6495" width="10.75" style="326" bestFit="1" customWidth="1"/>
    <col min="6496" max="6496" width="13.875" style="326" customWidth="1"/>
    <col min="6497" max="6499" width="9" style="326"/>
    <col min="6500" max="6500" width="13.625" style="326" customWidth="1"/>
    <col min="6501" max="6501" width="9" style="326"/>
    <col min="6502" max="6502" width="10.75" style="326" bestFit="1" customWidth="1"/>
    <col min="6503" max="6503" width="13" style="326" customWidth="1"/>
    <col min="6504" max="6650" width="9" style="326"/>
    <col min="6651" max="6652" width="12.125" style="326" customWidth="1"/>
    <col min="6653" max="6655" width="13" style="326" customWidth="1"/>
    <col min="6656" max="6656" width="12.875" style="326" customWidth="1"/>
    <col min="6657" max="6657" width="13" style="326" customWidth="1"/>
    <col min="6658" max="6658" width="13.125" style="326" customWidth="1"/>
    <col min="6659" max="6660" width="12.125" style="326" customWidth="1"/>
    <col min="6661" max="6661" width="14.375" style="326" bestFit="1" customWidth="1"/>
    <col min="6662" max="6662" width="11" style="326" customWidth="1"/>
    <col min="6663" max="6663" width="10" style="326" customWidth="1"/>
    <col min="6664" max="6664" width="10.875" style="326" customWidth="1"/>
    <col min="6665" max="6665" width="13.75" style="326" customWidth="1"/>
    <col min="6666" max="6666" width="10" style="326" customWidth="1"/>
    <col min="6667" max="6667" width="13.25" style="326" customWidth="1"/>
    <col min="6668" max="6668" width="14.375" style="326" customWidth="1"/>
    <col min="6669" max="6669" width="10" style="326" customWidth="1"/>
    <col min="6670" max="6670" width="10.875" style="326" customWidth="1"/>
    <col min="6671" max="6671" width="11.375" style="326" customWidth="1"/>
    <col min="6672" max="6672" width="15.375" style="326" customWidth="1"/>
    <col min="6673" max="6674" width="10.75" style="326" customWidth="1"/>
    <col min="6675" max="6675" width="14.375" style="326" customWidth="1"/>
    <col min="6676" max="6676" width="10.75" style="326" customWidth="1"/>
    <col min="6677" max="6677" width="11.75" style="326" customWidth="1"/>
    <col min="6678" max="6678" width="10" style="326" customWidth="1"/>
    <col min="6679" max="6679" width="15.375" style="326" customWidth="1"/>
    <col min="6680" max="6680" width="10" style="326" customWidth="1"/>
    <col min="6681" max="6681" width="10.75" style="326" customWidth="1"/>
    <col min="6682" max="6682" width="14.875" style="326" customWidth="1"/>
    <col min="6683" max="6683" width="11.5" style="326" customWidth="1"/>
    <col min="6684" max="6684" width="10" style="326" customWidth="1"/>
    <col min="6685" max="6685" width="10.75" style="326" customWidth="1"/>
    <col min="6686" max="6686" width="13.5" style="326" customWidth="1"/>
    <col min="6687" max="6687" width="9" style="326"/>
    <col min="6688" max="6688" width="10.75" style="326" bestFit="1" customWidth="1"/>
    <col min="6689" max="6689" width="13.75" style="326" customWidth="1"/>
    <col min="6690" max="6690" width="9" style="326"/>
    <col min="6691" max="6691" width="10.625" style="326" customWidth="1"/>
    <col min="6692" max="6692" width="9" style="326"/>
    <col min="6693" max="6693" width="14.25" style="326" customWidth="1"/>
    <col min="6694" max="6694" width="10.75" style="326" bestFit="1" customWidth="1"/>
    <col min="6695" max="6695" width="11.625" style="326" customWidth="1"/>
    <col min="6696" max="6696" width="13.75" style="326" customWidth="1"/>
    <col min="6697" max="6697" width="10.625" style="326" customWidth="1"/>
    <col min="6698" max="6699" width="9" style="326"/>
    <col min="6700" max="6700" width="14.125" style="326" customWidth="1"/>
    <col min="6701" max="6701" width="11" style="326" customWidth="1"/>
    <col min="6702" max="6702" width="10.75" style="326" bestFit="1" customWidth="1"/>
    <col min="6703" max="6703" width="13.5" style="326" customWidth="1"/>
    <col min="6704" max="6705" width="9" style="326"/>
    <col min="6706" max="6706" width="10.75" style="326" bestFit="1" customWidth="1"/>
    <col min="6707" max="6707" width="14" style="326" customWidth="1"/>
    <col min="6708" max="6708" width="9" style="326"/>
    <col min="6709" max="6709" width="10.75" style="326" customWidth="1"/>
    <col min="6710" max="6710" width="12.75" style="326" customWidth="1"/>
    <col min="6711" max="6711" width="9" style="326"/>
    <col min="6712" max="6712" width="10.75" style="326" bestFit="1" customWidth="1"/>
    <col min="6713" max="6713" width="11.5" style="326" customWidth="1"/>
    <col min="6714" max="6714" width="13.625" style="326" customWidth="1"/>
    <col min="6715" max="6715" width="10.625" style="326" customWidth="1"/>
    <col min="6716" max="6716" width="10.75" style="326" bestFit="1" customWidth="1"/>
    <col min="6717" max="6717" width="12.375" style="326" customWidth="1"/>
    <col min="6718" max="6720" width="9" style="326"/>
    <col min="6721" max="6721" width="15.75" style="326" customWidth="1"/>
    <col min="6722" max="6722" width="9" style="326"/>
    <col min="6723" max="6723" width="10.75" style="326" bestFit="1" customWidth="1"/>
    <col min="6724" max="6724" width="12.625" style="326" customWidth="1"/>
    <col min="6725" max="6727" width="9" style="326"/>
    <col min="6728" max="6728" width="13.625" style="326" customWidth="1"/>
    <col min="6729" max="6729" width="9" style="326"/>
    <col min="6730" max="6730" width="10.75" style="326" bestFit="1" customWidth="1"/>
    <col min="6731" max="6731" width="12.5" style="326" customWidth="1"/>
    <col min="6732" max="6734" width="9" style="326"/>
    <col min="6735" max="6735" width="12.875" style="326" customWidth="1"/>
    <col min="6736" max="6736" width="9" style="326"/>
    <col min="6737" max="6737" width="10.75" style="326" bestFit="1" customWidth="1"/>
    <col min="6738" max="6738" width="13.875" style="326" customWidth="1"/>
    <col min="6739" max="6741" width="9" style="326"/>
    <col min="6742" max="6742" width="14.125" style="326" customWidth="1"/>
    <col min="6743" max="6743" width="9" style="326"/>
    <col min="6744" max="6744" width="10.75" style="326" bestFit="1" customWidth="1"/>
    <col min="6745" max="6745" width="13.25" style="326" customWidth="1"/>
    <col min="6746" max="6748" width="9" style="326"/>
    <col min="6749" max="6749" width="13.25" style="326" customWidth="1"/>
    <col min="6750" max="6750" width="9" style="326"/>
    <col min="6751" max="6751" width="10.75" style="326" bestFit="1" customWidth="1"/>
    <col min="6752" max="6752" width="13.875" style="326" customWidth="1"/>
    <col min="6753" max="6755" width="9" style="326"/>
    <col min="6756" max="6756" width="13.625" style="326" customWidth="1"/>
    <col min="6757" max="6757" width="9" style="326"/>
    <col min="6758" max="6758" width="10.75" style="326" bestFit="1" customWidth="1"/>
    <col min="6759" max="6759" width="13" style="326" customWidth="1"/>
    <col min="6760" max="6906" width="9" style="326"/>
    <col min="6907" max="6908" width="12.125" style="326" customWidth="1"/>
    <col min="6909" max="6911" width="13" style="326" customWidth="1"/>
    <col min="6912" max="6912" width="12.875" style="326" customWidth="1"/>
    <col min="6913" max="6913" width="13" style="326" customWidth="1"/>
    <col min="6914" max="6914" width="13.125" style="326" customWidth="1"/>
    <col min="6915" max="6916" width="12.125" style="326" customWidth="1"/>
    <col min="6917" max="6917" width="14.375" style="326" bestFit="1" customWidth="1"/>
    <col min="6918" max="6918" width="11" style="326" customWidth="1"/>
    <col min="6919" max="6919" width="10" style="326" customWidth="1"/>
    <col min="6920" max="6920" width="10.875" style="326" customWidth="1"/>
    <col min="6921" max="6921" width="13.75" style="326" customWidth="1"/>
    <col min="6922" max="6922" width="10" style="326" customWidth="1"/>
    <col min="6923" max="6923" width="13.25" style="326" customWidth="1"/>
    <col min="6924" max="6924" width="14.375" style="326" customWidth="1"/>
    <col min="6925" max="6925" width="10" style="326" customWidth="1"/>
    <col min="6926" max="6926" width="10.875" style="326" customWidth="1"/>
    <col min="6927" max="6927" width="11.375" style="326" customWidth="1"/>
    <col min="6928" max="6928" width="15.375" style="326" customWidth="1"/>
    <col min="6929" max="6930" width="10.75" style="326" customWidth="1"/>
    <col min="6931" max="6931" width="14.375" style="326" customWidth="1"/>
    <col min="6932" max="6932" width="10.75" style="326" customWidth="1"/>
    <col min="6933" max="6933" width="11.75" style="326" customWidth="1"/>
    <col min="6934" max="6934" width="10" style="326" customWidth="1"/>
    <col min="6935" max="6935" width="15.375" style="326" customWidth="1"/>
    <col min="6936" max="6936" width="10" style="326" customWidth="1"/>
    <col min="6937" max="6937" width="10.75" style="326" customWidth="1"/>
    <col min="6938" max="6938" width="14.875" style="326" customWidth="1"/>
    <col min="6939" max="6939" width="11.5" style="326" customWidth="1"/>
    <col min="6940" max="6940" width="10" style="326" customWidth="1"/>
    <col min="6941" max="6941" width="10.75" style="326" customWidth="1"/>
    <col min="6942" max="6942" width="13.5" style="326" customWidth="1"/>
    <col min="6943" max="6943" width="9" style="326"/>
    <col min="6944" max="6944" width="10.75" style="326" bestFit="1" customWidth="1"/>
    <col min="6945" max="6945" width="13.75" style="326" customWidth="1"/>
    <col min="6946" max="6946" width="9" style="326"/>
    <col min="6947" max="6947" width="10.625" style="326" customWidth="1"/>
    <col min="6948" max="6948" width="9" style="326"/>
    <col min="6949" max="6949" width="14.25" style="326" customWidth="1"/>
    <col min="6950" max="6950" width="10.75" style="326" bestFit="1" customWidth="1"/>
    <col min="6951" max="6951" width="11.625" style="326" customWidth="1"/>
    <col min="6952" max="6952" width="13.75" style="326" customWidth="1"/>
    <col min="6953" max="6953" width="10.625" style="326" customWidth="1"/>
    <col min="6954" max="6955" width="9" style="326"/>
    <col min="6956" max="6956" width="14.125" style="326" customWidth="1"/>
    <col min="6957" max="6957" width="11" style="326" customWidth="1"/>
    <col min="6958" max="6958" width="10.75" style="326" bestFit="1" customWidth="1"/>
    <col min="6959" max="6959" width="13.5" style="326" customWidth="1"/>
    <col min="6960" max="6961" width="9" style="326"/>
    <col min="6962" max="6962" width="10.75" style="326" bestFit="1" customWidth="1"/>
    <col min="6963" max="6963" width="14" style="326" customWidth="1"/>
    <col min="6964" max="6964" width="9" style="326"/>
    <col min="6965" max="6965" width="10.75" style="326" customWidth="1"/>
    <col min="6966" max="6966" width="12.75" style="326" customWidth="1"/>
    <col min="6967" max="6967" width="9" style="326"/>
    <col min="6968" max="6968" width="10.75" style="326" bestFit="1" customWidth="1"/>
    <col min="6969" max="6969" width="11.5" style="326" customWidth="1"/>
    <col min="6970" max="6970" width="13.625" style="326" customWidth="1"/>
    <col min="6971" max="6971" width="10.625" style="326" customWidth="1"/>
    <col min="6972" max="6972" width="10.75" style="326" bestFit="1" customWidth="1"/>
    <col min="6973" max="6973" width="12.375" style="326" customWidth="1"/>
    <col min="6974" max="6976" width="9" style="326"/>
    <col min="6977" max="6977" width="15.75" style="326" customWidth="1"/>
    <col min="6978" max="6978" width="9" style="326"/>
    <col min="6979" max="6979" width="10.75" style="326" bestFit="1" customWidth="1"/>
    <col min="6980" max="6980" width="12.625" style="326" customWidth="1"/>
    <col min="6981" max="6983" width="9" style="326"/>
    <col min="6984" max="6984" width="13.625" style="326" customWidth="1"/>
    <col min="6985" max="6985" width="9" style="326"/>
    <col min="6986" max="6986" width="10.75" style="326" bestFit="1" customWidth="1"/>
    <col min="6987" max="6987" width="12.5" style="326" customWidth="1"/>
    <col min="6988" max="6990" width="9" style="326"/>
    <col min="6991" max="6991" width="12.875" style="326" customWidth="1"/>
    <col min="6992" max="6992" width="9" style="326"/>
    <col min="6993" max="6993" width="10.75" style="326" bestFit="1" customWidth="1"/>
    <col min="6994" max="6994" width="13.875" style="326" customWidth="1"/>
    <col min="6995" max="6997" width="9" style="326"/>
    <col min="6998" max="6998" width="14.125" style="326" customWidth="1"/>
    <col min="6999" max="6999" width="9" style="326"/>
    <col min="7000" max="7000" width="10.75" style="326" bestFit="1" customWidth="1"/>
    <col min="7001" max="7001" width="13.25" style="326" customWidth="1"/>
    <col min="7002" max="7004" width="9" style="326"/>
    <col min="7005" max="7005" width="13.25" style="326" customWidth="1"/>
    <col min="7006" max="7006" width="9" style="326"/>
    <col min="7007" max="7007" width="10.75" style="326" bestFit="1" customWidth="1"/>
    <col min="7008" max="7008" width="13.875" style="326" customWidth="1"/>
    <col min="7009" max="7011" width="9" style="326"/>
    <col min="7012" max="7012" width="13.625" style="326" customWidth="1"/>
    <col min="7013" max="7013" width="9" style="326"/>
    <col min="7014" max="7014" width="10.75" style="326" bestFit="1" customWidth="1"/>
    <col min="7015" max="7015" width="13" style="326" customWidth="1"/>
    <col min="7016" max="7162" width="9" style="326"/>
    <col min="7163" max="7164" width="12.125" style="326" customWidth="1"/>
    <col min="7165" max="7167" width="13" style="326" customWidth="1"/>
    <col min="7168" max="7168" width="12.875" style="326" customWidth="1"/>
    <col min="7169" max="7169" width="13" style="326" customWidth="1"/>
    <col min="7170" max="7170" width="13.125" style="326" customWidth="1"/>
    <col min="7171" max="7172" width="12.125" style="326" customWidth="1"/>
    <col min="7173" max="7173" width="14.375" style="326" bestFit="1" customWidth="1"/>
    <col min="7174" max="7174" width="11" style="326" customWidth="1"/>
    <col min="7175" max="7175" width="10" style="326" customWidth="1"/>
    <col min="7176" max="7176" width="10.875" style="326" customWidth="1"/>
    <col min="7177" max="7177" width="13.75" style="326" customWidth="1"/>
    <col min="7178" max="7178" width="10" style="326" customWidth="1"/>
    <col min="7179" max="7179" width="13.25" style="326" customWidth="1"/>
    <col min="7180" max="7180" width="14.375" style="326" customWidth="1"/>
    <col min="7181" max="7181" width="10" style="326" customWidth="1"/>
    <col min="7182" max="7182" width="10.875" style="326" customWidth="1"/>
    <col min="7183" max="7183" width="11.375" style="326" customWidth="1"/>
    <col min="7184" max="7184" width="15.375" style="326" customWidth="1"/>
    <col min="7185" max="7186" width="10.75" style="326" customWidth="1"/>
    <col min="7187" max="7187" width="14.375" style="326" customWidth="1"/>
    <col min="7188" max="7188" width="10.75" style="326" customWidth="1"/>
    <col min="7189" max="7189" width="11.75" style="326" customWidth="1"/>
    <col min="7190" max="7190" width="10" style="326" customWidth="1"/>
    <col min="7191" max="7191" width="15.375" style="326" customWidth="1"/>
    <col min="7192" max="7192" width="10" style="326" customWidth="1"/>
    <col min="7193" max="7193" width="10.75" style="326" customWidth="1"/>
    <col min="7194" max="7194" width="14.875" style="326" customWidth="1"/>
    <col min="7195" max="7195" width="11.5" style="326" customWidth="1"/>
    <col min="7196" max="7196" width="10" style="326" customWidth="1"/>
    <col min="7197" max="7197" width="10.75" style="326" customWidth="1"/>
    <col min="7198" max="7198" width="13.5" style="326" customWidth="1"/>
    <col min="7199" max="7199" width="9" style="326"/>
    <col min="7200" max="7200" width="10.75" style="326" bestFit="1" customWidth="1"/>
    <col min="7201" max="7201" width="13.75" style="326" customWidth="1"/>
    <col min="7202" max="7202" width="9" style="326"/>
    <col min="7203" max="7203" width="10.625" style="326" customWidth="1"/>
    <col min="7204" max="7204" width="9" style="326"/>
    <col min="7205" max="7205" width="14.25" style="326" customWidth="1"/>
    <col min="7206" max="7206" width="10.75" style="326" bestFit="1" customWidth="1"/>
    <col min="7207" max="7207" width="11.625" style="326" customWidth="1"/>
    <col min="7208" max="7208" width="13.75" style="326" customWidth="1"/>
    <col min="7209" max="7209" width="10.625" style="326" customWidth="1"/>
    <col min="7210" max="7211" width="9" style="326"/>
    <col min="7212" max="7212" width="14.125" style="326" customWidth="1"/>
    <col min="7213" max="7213" width="11" style="326" customWidth="1"/>
    <col min="7214" max="7214" width="10.75" style="326" bestFit="1" customWidth="1"/>
    <col min="7215" max="7215" width="13.5" style="326" customWidth="1"/>
    <col min="7216" max="7217" width="9" style="326"/>
    <col min="7218" max="7218" width="10.75" style="326" bestFit="1" customWidth="1"/>
    <col min="7219" max="7219" width="14" style="326" customWidth="1"/>
    <col min="7220" max="7220" width="9" style="326"/>
    <col min="7221" max="7221" width="10.75" style="326" customWidth="1"/>
    <col min="7222" max="7222" width="12.75" style="326" customWidth="1"/>
    <col min="7223" max="7223" width="9" style="326"/>
    <col min="7224" max="7224" width="10.75" style="326" bestFit="1" customWidth="1"/>
    <col min="7225" max="7225" width="11.5" style="326" customWidth="1"/>
    <col min="7226" max="7226" width="13.625" style="326" customWidth="1"/>
    <col min="7227" max="7227" width="10.625" style="326" customWidth="1"/>
    <col min="7228" max="7228" width="10.75" style="326" bestFit="1" customWidth="1"/>
    <col min="7229" max="7229" width="12.375" style="326" customWidth="1"/>
    <col min="7230" max="7232" width="9" style="326"/>
    <col min="7233" max="7233" width="15.75" style="326" customWidth="1"/>
    <col min="7234" max="7234" width="9" style="326"/>
    <col min="7235" max="7235" width="10.75" style="326" bestFit="1" customWidth="1"/>
    <col min="7236" max="7236" width="12.625" style="326" customWidth="1"/>
    <col min="7237" max="7239" width="9" style="326"/>
    <col min="7240" max="7240" width="13.625" style="326" customWidth="1"/>
    <col min="7241" max="7241" width="9" style="326"/>
    <col min="7242" max="7242" width="10.75" style="326" bestFit="1" customWidth="1"/>
    <col min="7243" max="7243" width="12.5" style="326" customWidth="1"/>
    <col min="7244" max="7246" width="9" style="326"/>
    <col min="7247" max="7247" width="12.875" style="326" customWidth="1"/>
    <col min="7248" max="7248" width="9" style="326"/>
    <col min="7249" max="7249" width="10.75" style="326" bestFit="1" customWidth="1"/>
    <col min="7250" max="7250" width="13.875" style="326" customWidth="1"/>
    <col min="7251" max="7253" width="9" style="326"/>
    <col min="7254" max="7254" width="14.125" style="326" customWidth="1"/>
    <col min="7255" max="7255" width="9" style="326"/>
    <col min="7256" max="7256" width="10.75" style="326" bestFit="1" customWidth="1"/>
    <col min="7257" max="7257" width="13.25" style="326" customWidth="1"/>
    <col min="7258" max="7260" width="9" style="326"/>
    <col min="7261" max="7261" width="13.25" style="326" customWidth="1"/>
    <col min="7262" max="7262" width="9" style="326"/>
    <col min="7263" max="7263" width="10.75" style="326" bestFit="1" customWidth="1"/>
    <col min="7264" max="7264" width="13.875" style="326" customWidth="1"/>
    <col min="7265" max="7267" width="9" style="326"/>
    <col min="7268" max="7268" width="13.625" style="326" customWidth="1"/>
    <col min="7269" max="7269" width="9" style="326"/>
    <col min="7270" max="7270" width="10.75" style="326" bestFit="1" customWidth="1"/>
    <col min="7271" max="7271" width="13" style="326" customWidth="1"/>
    <col min="7272" max="7418" width="9" style="326"/>
    <col min="7419" max="7420" width="12.125" style="326" customWidth="1"/>
    <col min="7421" max="7423" width="13" style="326" customWidth="1"/>
    <col min="7424" max="7424" width="12.875" style="326" customWidth="1"/>
    <col min="7425" max="7425" width="13" style="326" customWidth="1"/>
    <col min="7426" max="7426" width="13.125" style="326" customWidth="1"/>
    <col min="7427" max="7428" width="12.125" style="326" customWidth="1"/>
    <col min="7429" max="7429" width="14.375" style="326" bestFit="1" customWidth="1"/>
    <col min="7430" max="7430" width="11" style="326" customWidth="1"/>
    <col min="7431" max="7431" width="10" style="326" customWidth="1"/>
    <col min="7432" max="7432" width="10.875" style="326" customWidth="1"/>
    <col min="7433" max="7433" width="13.75" style="326" customWidth="1"/>
    <col min="7434" max="7434" width="10" style="326" customWidth="1"/>
    <col min="7435" max="7435" width="13.25" style="326" customWidth="1"/>
    <col min="7436" max="7436" width="14.375" style="326" customWidth="1"/>
    <col min="7437" max="7437" width="10" style="326" customWidth="1"/>
    <col min="7438" max="7438" width="10.875" style="326" customWidth="1"/>
    <col min="7439" max="7439" width="11.375" style="326" customWidth="1"/>
    <col min="7440" max="7440" width="15.375" style="326" customWidth="1"/>
    <col min="7441" max="7442" width="10.75" style="326" customWidth="1"/>
    <col min="7443" max="7443" width="14.375" style="326" customWidth="1"/>
    <col min="7444" max="7444" width="10.75" style="326" customWidth="1"/>
    <col min="7445" max="7445" width="11.75" style="326" customWidth="1"/>
    <col min="7446" max="7446" width="10" style="326" customWidth="1"/>
    <col min="7447" max="7447" width="15.375" style="326" customWidth="1"/>
    <col min="7448" max="7448" width="10" style="326" customWidth="1"/>
    <col min="7449" max="7449" width="10.75" style="326" customWidth="1"/>
    <col min="7450" max="7450" width="14.875" style="326" customWidth="1"/>
    <col min="7451" max="7451" width="11.5" style="326" customWidth="1"/>
    <col min="7452" max="7452" width="10" style="326" customWidth="1"/>
    <col min="7453" max="7453" width="10.75" style="326" customWidth="1"/>
    <col min="7454" max="7454" width="13.5" style="326" customWidth="1"/>
    <col min="7455" max="7455" width="9" style="326"/>
    <col min="7456" max="7456" width="10.75" style="326" bestFit="1" customWidth="1"/>
    <col min="7457" max="7457" width="13.75" style="326" customWidth="1"/>
    <col min="7458" max="7458" width="9" style="326"/>
    <col min="7459" max="7459" width="10.625" style="326" customWidth="1"/>
    <col min="7460" max="7460" width="9" style="326"/>
    <col min="7461" max="7461" width="14.25" style="326" customWidth="1"/>
    <col min="7462" max="7462" width="10.75" style="326" bestFit="1" customWidth="1"/>
    <col min="7463" max="7463" width="11.625" style="326" customWidth="1"/>
    <col min="7464" max="7464" width="13.75" style="326" customWidth="1"/>
    <col min="7465" max="7465" width="10.625" style="326" customWidth="1"/>
    <col min="7466" max="7467" width="9" style="326"/>
    <col min="7468" max="7468" width="14.125" style="326" customWidth="1"/>
    <col min="7469" max="7469" width="11" style="326" customWidth="1"/>
    <col min="7470" max="7470" width="10.75" style="326" bestFit="1" customWidth="1"/>
    <col min="7471" max="7471" width="13.5" style="326" customWidth="1"/>
    <col min="7472" max="7473" width="9" style="326"/>
    <col min="7474" max="7474" width="10.75" style="326" bestFit="1" customWidth="1"/>
    <col min="7475" max="7475" width="14" style="326" customWidth="1"/>
    <col min="7476" max="7476" width="9" style="326"/>
    <col min="7477" max="7477" width="10.75" style="326" customWidth="1"/>
    <col min="7478" max="7478" width="12.75" style="326" customWidth="1"/>
    <col min="7479" max="7479" width="9" style="326"/>
    <col min="7480" max="7480" width="10.75" style="326" bestFit="1" customWidth="1"/>
    <col min="7481" max="7481" width="11.5" style="326" customWidth="1"/>
    <col min="7482" max="7482" width="13.625" style="326" customWidth="1"/>
    <col min="7483" max="7483" width="10.625" style="326" customWidth="1"/>
    <col min="7484" max="7484" width="10.75" style="326" bestFit="1" customWidth="1"/>
    <col min="7485" max="7485" width="12.375" style="326" customWidth="1"/>
    <col min="7486" max="7488" width="9" style="326"/>
    <col min="7489" max="7489" width="15.75" style="326" customWidth="1"/>
    <col min="7490" max="7490" width="9" style="326"/>
    <col min="7491" max="7491" width="10.75" style="326" bestFit="1" customWidth="1"/>
    <col min="7492" max="7492" width="12.625" style="326" customWidth="1"/>
    <col min="7493" max="7495" width="9" style="326"/>
    <col min="7496" max="7496" width="13.625" style="326" customWidth="1"/>
    <col min="7497" max="7497" width="9" style="326"/>
    <col min="7498" max="7498" width="10.75" style="326" bestFit="1" customWidth="1"/>
    <col min="7499" max="7499" width="12.5" style="326" customWidth="1"/>
    <col min="7500" max="7502" width="9" style="326"/>
    <col min="7503" max="7503" width="12.875" style="326" customWidth="1"/>
    <col min="7504" max="7504" width="9" style="326"/>
    <col min="7505" max="7505" width="10.75" style="326" bestFit="1" customWidth="1"/>
    <col min="7506" max="7506" width="13.875" style="326" customWidth="1"/>
    <col min="7507" max="7509" width="9" style="326"/>
    <col min="7510" max="7510" width="14.125" style="326" customWidth="1"/>
    <col min="7511" max="7511" width="9" style="326"/>
    <col min="7512" max="7512" width="10.75" style="326" bestFit="1" customWidth="1"/>
    <col min="7513" max="7513" width="13.25" style="326" customWidth="1"/>
    <col min="7514" max="7516" width="9" style="326"/>
    <col min="7517" max="7517" width="13.25" style="326" customWidth="1"/>
    <col min="7518" max="7518" width="9" style="326"/>
    <col min="7519" max="7519" width="10.75" style="326" bestFit="1" customWidth="1"/>
    <col min="7520" max="7520" width="13.875" style="326" customWidth="1"/>
    <col min="7521" max="7523" width="9" style="326"/>
    <col min="7524" max="7524" width="13.625" style="326" customWidth="1"/>
    <col min="7525" max="7525" width="9" style="326"/>
    <col min="7526" max="7526" width="10.75" style="326" bestFit="1" customWidth="1"/>
    <col min="7527" max="7527" width="13" style="326" customWidth="1"/>
    <col min="7528" max="7674" width="9" style="326"/>
    <col min="7675" max="7676" width="12.125" style="326" customWidth="1"/>
    <col min="7677" max="7679" width="13" style="326" customWidth="1"/>
    <col min="7680" max="7680" width="12.875" style="326" customWidth="1"/>
    <col min="7681" max="7681" width="13" style="326" customWidth="1"/>
    <col min="7682" max="7682" width="13.125" style="326" customWidth="1"/>
    <col min="7683" max="7684" width="12.125" style="326" customWidth="1"/>
    <col min="7685" max="7685" width="14.375" style="326" bestFit="1" customWidth="1"/>
    <col min="7686" max="7686" width="11" style="326" customWidth="1"/>
    <col min="7687" max="7687" width="10" style="326" customWidth="1"/>
    <col min="7688" max="7688" width="10.875" style="326" customWidth="1"/>
    <col min="7689" max="7689" width="13.75" style="326" customWidth="1"/>
    <col min="7690" max="7690" width="10" style="326" customWidth="1"/>
    <col min="7691" max="7691" width="13.25" style="326" customWidth="1"/>
    <col min="7692" max="7692" width="14.375" style="326" customWidth="1"/>
    <col min="7693" max="7693" width="10" style="326" customWidth="1"/>
    <col min="7694" max="7694" width="10.875" style="326" customWidth="1"/>
    <col min="7695" max="7695" width="11.375" style="326" customWidth="1"/>
    <col min="7696" max="7696" width="15.375" style="326" customWidth="1"/>
    <col min="7697" max="7698" width="10.75" style="326" customWidth="1"/>
    <col min="7699" max="7699" width="14.375" style="326" customWidth="1"/>
    <col min="7700" max="7700" width="10.75" style="326" customWidth="1"/>
    <col min="7701" max="7701" width="11.75" style="326" customWidth="1"/>
    <col min="7702" max="7702" width="10" style="326" customWidth="1"/>
    <col min="7703" max="7703" width="15.375" style="326" customWidth="1"/>
    <col min="7704" max="7704" width="10" style="326" customWidth="1"/>
    <col min="7705" max="7705" width="10.75" style="326" customWidth="1"/>
    <col min="7706" max="7706" width="14.875" style="326" customWidth="1"/>
    <col min="7707" max="7707" width="11.5" style="326" customWidth="1"/>
    <col min="7708" max="7708" width="10" style="326" customWidth="1"/>
    <col min="7709" max="7709" width="10.75" style="326" customWidth="1"/>
    <col min="7710" max="7710" width="13.5" style="326" customWidth="1"/>
    <col min="7711" max="7711" width="9" style="326"/>
    <col min="7712" max="7712" width="10.75" style="326" bestFit="1" customWidth="1"/>
    <col min="7713" max="7713" width="13.75" style="326" customWidth="1"/>
    <col min="7714" max="7714" width="9" style="326"/>
    <col min="7715" max="7715" width="10.625" style="326" customWidth="1"/>
    <col min="7716" max="7716" width="9" style="326"/>
    <col min="7717" max="7717" width="14.25" style="326" customWidth="1"/>
    <col min="7718" max="7718" width="10.75" style="326" bestFit="1" customWidth="1"/>
    <col min="7719" max="7719" width="11.625" style="326" customWidth="1"/>
    <col min="7720" max="7720" width="13.75" style="326" customWidth="1"/>
    <col min="7721" max="7721" width="10.625" style="326" customWidth="1"/>
    <col min="7722" max="7723" width="9" style="326"/>
    <col min="7724" max="7724" width="14.125" style="326" customWidth="1"/>
    <col min="7725" max="7725" width="11" style="326" customWidth="1"/>
    <col min="7726" max="7726" width="10.75" style="326" bestFit="1" customWidth="1"/>
    <col min="7727" max="7727" width="13.5" style="326" customWidth="1"/>
    <col min="7728" max="7729" width="9" style="326"/>
    <col min="7730" max="7730" width="10.75" style="326" bestFit="1" customWidth="1"/>
    <col min="7731" max="7731" width="14" style="326" customWidth="1"/>
    <col min="7732" max="7732" width="9" style="326"/>
    <col min="7733" max="7733" width="10.75" style="326" customWidth="1"/>
    <col min="7734" max="7734" width="12.75" style="326" customWidth="1"/>
    <col min="7735" max="7735" width="9" style="326"/>
    <col min="7736" max="7736" width="10.75" style="326" bestFit="1" customWidth="1"/>
    <col min="7737" max="7737" width="11.5" style="326" customWidth="1"/>
    <col min="7738" max="7738" width="13.625" style="326" customWidth="1"/>
    <col min="7739" max="7739" width="10.625" style="326" customWidth="1"/>
    <col min="7740" max="7740" width="10.75" style="326" bestFit="1" customWidth="1"/>
    <col min="7741" max="7741" width="12.375" style="326" customWidth="1"/>
    <col min="7742" max="7744" width="9" style="326"/>
    <col min="7745" max="7745" width="15.75" style="326" customWidth="1"/>
    <col min="7746" max="7746" width="9" style="326"/>
    <col min="7747" max="7747" width="10.75" style="326" bestFit="1" customWidth="1"/>
    <col min="7748" max="7748" width="12.625" style="326" customWidth="1"/>
    <col min="7749" max="7751" width="9" style="326"/>
    <col min="7752" max="7752" width="13.625" style="326" customWidth="1"/>
    <col min="7753" max="7753" width="9" style="326"/>
    <col min="7754" max="7754" width="10.75" style="326" bestFit="1" customWidth="1"/>
    <col min="7755" max="7755" width="12.5" style="326" customWidth="1"/>
    <col min="7756" max="7758" width="9" style="326"/>
    <col min="7759" max="7759" width="12.875" style="326" customWidth="1"/>
    <col min="7760" max="7760" width="9" style="326"/>
    <col min="7761" max="7761" width="10.75" style="326" bestFit="1" customWidth="1"/>
    <col min="7762" max="7762" width="13.875" style="326" customWidth="1"/>
    <col min="7763" max="7765" width="9" style="326"/>
    <col min="7766" max="7766" width="14.125" style="326" customWidth="1"/>
    <col min="7767" max="7767" width="9" style="326"/>
    <col min="7768" max="7768" width="10.75" style="326" bestFit="1" customWidth="1"/>
    <col min="7769" max="7769" width="13.25" style="326" customWidth="1"/>
    <col min="7770" max="7772" width="9" style="326"/>
    <col min="7773" max="7773" width="13.25" style="326" customWidth="1"/>
    <col min="7774" max="7774" width="9" style="326"/>
    <col min="7775" max="7775" width="10.75" style="326" bestFit="1" customWidth="1"/>
    <col min="7776" max="7776" width="13.875" style="326" customWidth="1"/>
    <col min="7777" max="7779" width="9" style="326"/>
    <col min="7780" max="7780" width="13.625" style="326" customWidth="1"/>
    <col min="7781" max="7781" width="9" style="326"/>
    <col min="7782" max="7782" width="10.75" style="326" bestFit="1" customWidth="1"/>
    <col min="7783" max="7783" width="13" style="326" customWidth="1"/>
    <col min="7784" max="7930" width="9" style="326"/>
    <col min="7931" max="7932" width="12.125" style="326" customWidth="1"/>
    <col min="7933" max="7935" width="13" style="326" customWidth="1"/>
    <col min="7936" max="7936" width="12.875" style="326" customWidth="1"/>
    <col min="7937" max="7937" width="13" style="326" customWidth="1"/>
    <col min="7938" max="7938" width="13.125" style="326" customWidth="1"/>
    <col min="7939" max="7940" width="12.125" style="326" customWidth="1"/>
    <col min="7941" max="7941" width="14.375" style="326" bestFit="1" customWidth="1"/>
    <col min="7942" max="7942" width="11" style="326" customWidth="1"/>
    <col min="7943" max="7943" width="10" style="326" customWidth="1"/>
    <col min="7944" max="7944" width="10.875" style="326" customWidth="1"/>
    <col min="7945" max="7945" width="13.75" style="326" customWidth="1"/>
    <col min="7946" max="7946" width="10" style="326" customWidth="1"/>
    <col min="7947" max="7947" width="13.25" style="326" customWidth="1"/>
    <col min="7948" max="7948" width="14.375" style="326" customWidth="1"/>
    <col min="7949" max="7949" width="10" style="326" customWidth="1"/>
    <col min="7950" max="7950" width="10.875" style="326" customWidth="1"/>
    <col min="7951" max="7951" width="11.375" style="326" customWidth="1"/>
    <col min="7952" max="7952" width="15.375" style="326" customWidth="1"/>
    <col min="7953" max="7954" width="10.75" style="326" customWidth="1"/>
    <col min="7955" max="7955" width="14.375" style="326" customWidth="1"/>
    <col min="7956" max="7956" width="10.75" style="326" customWidth="1"/>
    <col min="7957" max="7957" width="11.75" style="326" customWidth="1"/>
    <col min="7958" max="7958" width="10" style="326" customWidth="1"/>
    <col min="7959" max="7959" width="15.375" style="326" customWidth="1"/>
    <col min="7960" max="7960" width="10" style="326" customWidth="1"/>
    <col min="7961" max="7961" width="10.75" style="326" customWidth="1"/>
    <col min="7962" max="7962" width="14.875" style="326" customWidth="1"/>
    <col min="7963" max="7963" width="11.5" style="326" customWidth="1"/>
    <col min="7964" max="7964" width="10" style="326" customWidth="1"/>
    <col min="7965" max="7965" width="10.75" style="326" customWidth="1"/>
    <col min="7966" max="7966" width="13.5" style="326" customWidth="1"/>
    <col min="7967" max="7967" width="9" style="326"/>
    <col min="7968" max="7968" width="10.75" style="326" bestFit="1" customWidth="1"/>
    <col min="7969" max="7969" width="13.75" style="326" customWidth="1"/>
    <col min="7970" max="7970" width="9" style="326"/>
    <col min="7971" max="7971" width="10.625" style="326" customWidth="1"/>
    <col min="7972" max="7972" width="9" style="326"/>
    <col min="7973" max="7973" width="14.25" style="326" customWidth="1"/>
    <col min="7974" max="7974" width="10.75" style="326" bestFit="1" customWidth="1"/>
    <col min="7975" max="7975" width="11.625" style="326" customWidth="1"/>
    <col min="7976" max="7976" width="13.75" style="326" customWidth="1"/>
    <col min="7977" max="7977" width="10.625" style="326" customWidth="1"/>
    <col min="7978" max="7979" width="9" style="326"/>
    <col min="7980" max="7980" width="14.125" style="326" customWidth="1"/>
    <col min="7981" max="7981" width="11" style="326" customWidth="1"/>
    <col min="7982" max="7982" width="10.75" style="326" bestFit="1" customWidth="1"/>
    <col min="7983" max="7983" width="13.5" style="326" customWidth="1"/>
    <col min="7984" max="7985" width="9" style="326"/>
    <col min="7986" max="7986" width="10.75" style="326" bestFit="1" customWidth="1"/>
    <col min="7987" max="7987" width="14" style="326" customWidth="1"/>
    <col min="7988" max="7988" width="9" style="326"/>
    <col min="7989" max="7989" width="10.75" style="326" customWidth="1"/>
    <col min="7990" max="7990" width="12.75" style="326" customWidth="1"/>
    <col min="7991" max="7991" width="9" style="326"/>
    <col min="7992" max="7992" width="10.75" style="326" bestFit="1" customWidth="1"/>
    <col min="7993" max="7993" width="11.5" style="326" customWidth="1"/>
    <col min="7994" max="7994" width="13.625" style="326" customWidth="1"/>
    <col min="7995" max="7995" width="10.625" style="326" customWidth="1"/>
    <col min="7996" max="7996" width="10.75" style="326" bestFit="1" customWidth="1"/>
    <col min="7997" max="7997" width="12.375" style="326" customWidth="1"/>
    <col min="7998" max="8000" width="9" style="326"/>
    <col min="8001" max="8001" width="15.75" style="326" customWidth="1"/>
    <col min="8002" max="8002" width="9" style="326"/>
    <col min="8003" max="8003" width="10.75" style="326" bestFit="1" customWidth="1"/>
    <col min="8004" max="8004" width="12.625" style="326" customWidth="1"/>
    <col min="8005" max="8007" width="9" style="326"/>
    <col min="8008" max="8008" width="13.625" style="326" customWidth="1"/>
    <col min="8009" max="8009" width="9" style="326"/>
    <col min="8010" max="8010" width="10.75" style="326" bestFit="1" customWidth="1"/>
    <col min="8011" max="8011" width="12.5" style="326" customWidth="1"/>
    <col min="8012" max="8014" width="9" style="326"/>
    <col min="8015" max="8015" width="12.875" style="326" customWidth="1"/>
    <col min="8016" max="8016" width="9" style="326"/>
    <col min="8017" max="8017" width="10.75" style="326" bestFit="1" customWidth="1"/>
    <col min="8018" max="8018" width="13.875" style="326" customWidth="1"/>
    <col min="8019" max="8021" width="9" style="326"/>
    <col min="8022" max="8022" width="14.125" style="326" customWidth="1"/>
    <col min="8023" max="8023" width="9" style="326"/>
    <col min="8024" max="8024" width="10.75" style="326" bestFit="1" customWidth="1"/>
    <col min="8025" max="8025" width="13.25" style="326" customWidth="1"/>
    <col min="8026" max="8028" width="9" style="326"/>
    <col min="8029" max="8029" width="13.25" style="326" customWidth="1"/>
    <col min="8030" max="8030" width="9" style="326"/>
    <col min="8031" max="8031" width="10.75" style="326" bestFit="1" customWidth="1"/>
    <col min="8032" max="8032" width="13.875" style="326" customWidth="1"/>
    <col min="8033" max="8035" width="9" style="326"/>
    <col min="8036" max="8036" width="13.625" style="326" customWidth="1"/>
    <col min="8037" max="8037" width="9" style="326"/>
    <col min="8038" max="8038" width="10.75" style="326" bestFit="1" customWidth="1"/>
    <col min="8039" max="8039" width="13" style="326" customWidth="1"/>
    <col min="8040" max="8186" width="9" style="326"/>
    <col min="8187" max="8188" width="12.125" style="326" customWidth="1"/>
    <col min="8189" max="8191" width="13" style="326" customWidth="1"/>
    <col min="8192" max="8192" width="12.875" style="326" customWidth="1"/>
    <col min="8193" max="8193" width="13" style="326" customWidth="1"/>
    <col min="8194" max="8194" width="13.125" style="326" customWidth="1"/>
    <col min="8195" max="8196" width="12.125" style="326" customWidth="1"/>
    <col min="8197" max="8197" width="14.375" style="326" bestFit="1" customWidth="1"/>
    <col min="8198" max="8198" width="11" style="326" customWidth="1"/>
    <col min="8199" max="8199" width="10" style="326" customWidth="1"/>
    <col min="8200" max="8200" width="10.875" style="326" customWidth="1"/>
    <col min="8201" max="8201" width="13.75" style="326" customWidth="1"/>
    <col min="8202" max="8202" width="10" style="326" customWidth="1"/>
    <col min="8203" max="8203" width="13.25" style="326" customWidth="1"/>
    <col min="8204" max="8204" width="14.375" style="326" customWidth="1"/>
    <col min="8205" max="8205" width="10" style="326" customWidth="1"/>
    <col min="8206" max="8206" width="10.875" style="326" customWidth="1"/>
    <col min="8207" max="8207" width="11.375" style="326" customWidth="1"/>
    <col min="8208" max="8208" width="15.375" style="326" customWidth="1"/>
    <col min="8209" max="8210" width="10.75" style="326" customWidth="1"/>
    <col min="8211" max="8211" width="14.375" style="326" customWidth="1"/>
    <col min="8212" max="8212" width="10.75" style="326" customWidth="1"/>
    <col min="8213" max="8213" width="11.75" style="326" customWidth="1"/>
    <col min="8214" max="8214" width="10" style="326" customWidth="1"/>
    <col min="8215" max="8215" width="15.375" style="326" customWidth="1"/>
    <col min="8216" max="8216" width="10" style="326" customWidth="1"/>
    <col min="8217" max="8217" width="10.75" style="326" customWidth="1"/>
    <col min="8218" max="8218" width="14.875" style="326" customWidth="1"/>
    <col min="8219" max="8219" width="11.5" style="326" customWidth="1"/>
    <col min="8220" max="8220" width="10" style="326" customWidth="1"/>
    <col min="8221" max="8221" width="10.75" style="326" customWidth="1"/>
    <col min="8222" max="8222" width="13.5" style="326" customWidth="1"/>
    <col min="8223" max="8223" width="9" style="326"/>
    <col min="8224" max="8224" width="10.75" style="326" bestFit="1" customWidth="1"/>
    <col min="8225" max="8225" width="13.75" style="326" customWidth="1"/>
    <col min="8226" max="8226" width="9" style="326"/>
    <col min="8227" max="8227" width="10.625" style="326" customWidth="1"/>
    <col min="8228" max="8228" width="9" style="326"/>
    <col min="8229" max="8229" width="14.25" style="326" customWidth="1"/>
    <col min="8230" max="8230" width="10.75" style="326" bestFit="1" customWidth="1"/>
    <col min="8231" max="8231" width="11.625" style="326" customWidth="1"/>
    <col min="8232" max="8232" width="13.75" style="326" customWidth="1"/>
    <col min="8233" max="8233" width="10.625" style="326" customWidth="1"/>
    <col min="8234" max="8235" width="9" style="326"/>
    <col min="8236" max="8236" width="14.125" style="326" customWidth="1"/>
    <col min="8237" max="8237" width="11" style="326" customWidth="1"/>
    <col min="8238" max="8238" width="10.75" style="326" bestFit="1" customWidth="1"/>
    <col min="8239" max="8239" width="13.5" style="326" customWidth="1"/>
    <col min="8240" max="8241" width="9" style="326"/>
    <col min="8242" max="8242" width="10.75" style="326" bestFit="1" customWidth="1"/>
    <col min="8243" max="8243" width="14" style="326" customWidth="1"/>
    <col min="8244" max="8244" width="9" style="326"/>
    <col min="8245" max="8245" width="10.75" style="326" customWidth="1"/>
    <col min="8246" max="8246" width="12.75" style="326" customWidth="1"/>
    <col min="8247" max="8247" width="9" style="326"/>
    <col min="8248" max="8248" width="10.75" style="326" bestFit="1" customWidth="1"/>
    <col min="8249" max="8249" width="11.5" style="326" customWidth="1"/>
    <col min="8250" max="8250" width="13.625" style="326" customWidth="1"/>
    <col min="8251" max="8251" width="10.625" style="326" customWidth="1"/>
    <col min="8252" max="8252" width="10.75" style="326" bestFit="1" customWidth="1"/>
    <col min="8253" max="8253" width="12.375" style="326" customWidth="1"/>
    <col min="8254" max="8256" width="9" style="326"/>
    <col min="8257" max="8257" width="15.75" style="326" customWidth="1"/>
    <col min="8258" max="8258" width="9" style="326"/>
    <col min="8259" max="8259" width="10.75" style="326" bestFit="1" customWidth="1"/>
    <col min="8260" max="8260" width="12.625" style="326" customWidth="1"/>
    <col min="8261" max="8263" width="9" style="326"/>
    <col min="8264" max="8264" width="13.625" style="326" customWidth="1"/>
    <col min="8265" max="8265" width="9" style="326"/>
    <col min="8266" max="8266" width="10.75" style="326" bestFit="1" customWidth="1"/>
    <col min="8267" max="8267" width="12.5" style="326" customWidth="1"/>
    <col min="8268" max="8270" width="9" style="326"/>
    <col min="8271" max="8271" width="12.875" style="326" customWidth="1"/>
    <col min="8272" max="8272" width="9" style="326"/>
    <col min="8273" max="8273" width="10.75" style="326" bestFit="1" customWidth="1"/>
    <col min="8274" max="8274" width="13.875" style="326" customWidth="1"/>
    <col min="8275" max="8277" width="9" style="326"/>
    <col min="8278" max="8278" width="14.125" style="326" customWidth="1"/>
    <col min="8279" max="8279" width="9" style="326"/>
    <col min="8280" max="8280" width="10.75" style="326" bestFit="1" customWidth="1"/>
    <col min="8281" max="8281" width="13.25" style="326" customWidth="1"/>
    <col min="8282" max="8284" width="9" style="326"/>
    <col min="8285" max="8285" width="13.25" style="326" customWidth="1"/>
    <col min="8286" max="8286" width="9" style="326"/>
    <col min="8287" max="8287" width="10.75" style="326" bestFit="1" customWidth="1"/>
    <col min="8288" max="8288" width="13.875" style="326" customWidth="1"/>
    <col min="8289" max="8291" width="9" style="326"/>
    <col min="8292" max="8292" width="13.625" style="326" customWidth="1"/>
    <col min="8293" max="8293" width="9" style="326"/>
    <col min="8294" max="8294" width="10.75" style="326" bestFit="1" customWidth="1"/>
    <col min="8295" max="8295" width="13" style="326" customWidth="1"/>
    <col min="8296" max="8442" width="9" style="326"/>
    <col min="8443" max="8444" width="12.125" style="326" customWidth="1"/>
    <col min="8445" max="8447" width="13" style="326" customWidth="1"/>
    <col min="8448" max="8448" width="12.875" style="326" customWidth="1"/>
    <col min="8449" max="8449" width="13" style="326" customWidth="1"/>
    <col min="8450" max="8450" width="13.125" style="326" customWidth="1"/>
    <col min="8451" max="8452" width="12.125" style="326" customWidth="1"/>
    <col min="8453" max="8453" width="14.375" style="326" bestFit="1" customWidth="1"/>
    <col min="8454" max="8454" width="11" style="326" customWidth="1"/>
    <col min="8455" max="8455" width="10" style="326" customWidth="1"/>
    <col min="8456" max="8456" width="10.875" style="326" customWidth="1"/>
    <col min="8457" max="8457" width="13.75" style="326" customWidth="1"/>
    <col min="8458" max="8458" width="10" style="326" customWidth="1"/>
    <col min="8459" max="8459" width="13.25" style="326" customWidth="1"/>
    <col min="8460" max="8460" width="14.375" style="326" customWidth="1"/>
    <col min="8461" max="8461" width="10" style="326" customWidth="1"/>
    <col min="8462" max="8462" width="10.875" style="326" customWidth="1"/>
    <col min="8463" max="8463" width="11.375" style="326" customWidth="1"/>
    <col min="8464" max="8464" width="15.375" style="326" customWidth="1"/>
    <col min="8465" max="8466" width="10.75" style="326" customWidth="1"/>
    <col min="8467" max="8467" width="14.375" style="326" customWidth="1"/>
    <col min="8468" max="8468" width="10.75" style="326" customWidth="1"/>
    <col min="8469" max="8469" width="11.75" style="326" customWidth="1"/>
    <col min="8470" max="8470" width="10" style="326" customWidth="1"/>
    <col min="8471" max="8471" width="15.375" style="326" customWidth="1"/>
    <col min="8472" max="8472" width="10" style="326" customWidth="1"/>
    <col min="8473" max="8473" width="10.75" style="326" customWidth="1"/>
    <col min="8474" max="8474" width="14.875" style="326" customWidth="1"/>
    <col min="8475" max="8475" width="11.5" style="326" customWidth="1"/>
    <col min="8476" max="8476" width="10" style="326" customWidth="1"/>
    <col min="8477" max="8477" width="10.75" style="326" customWidth="1"/>
    <col min="8478" max="8478" width="13.5" style="326" customWidth="1"/>
    <col min="8479" max="8479" width="9" style="326"/>
    <col min="8480" max="8480" width="10.75" style="326" bestFit="1" customWidth="1"/>
    <col min="8481" max="8481" width="13.75" style="326" customWidth="1"/>
    <col min="8482" max="8482" width="9" style="326"/>
    <col min="8483" max="8483" width="10.625" style="326" customWidth="1"/>
    <col min="8484" max="8484" width="9" style="326"/>
    <col min="8485" max="8485" width="14.25" style="326" customWidth="1"/>
    <col min="8486" max="8486" width="10.75" style="326" bestFit="1" customWidth="1"/>
    <col min="8487" max="8487" width="11.625" style="326" customWidth="1"/>
    <col min="8488" max="8488" width="13.75" style="326" customWidth="1"/>
    <col min="8489" max="8489" width="10.625" style="326" customWidth="1"/>
    <col min="8490" max="8491" width="9" style="326"/>
    <col min="8492" max="8492" width="14.125" style="326" customWidth="1"/>
    <col min="8493" max="8493" width="11" style="326" customWidth="1"/>
    <col min="8494" max="8494" width="10.75" style="326" bestFit="1" customWidth="1"/>
    <col min="8495" max="8495" width="13.5" style="326" customWidth="1"/>
    <col min="8496" max="8497" width="9" style="326"/>
    <col min="8498" max="8498" width="10.75" style="326" bestFit="1" customWidth="1"/>
    <col min="8499" max="8499" width="14" style="326" customWidth="1"/>
    <col min="8500" max="8500" width="9" style="326"/>
    <col min="8501" max="8501" width="10.75" style="326" customWidth="1"/>
    <col min="8502" max="8502" width="12.75" style="326" customWidth="1"/>
    <col min="8503" max="8503" width="9" style="326"/>
    <col min="8504" max="8504" width="10.75" style="326" bestFit="1" customWidth="1"/>
    <col min="8505" max="8505" width="11.5" style="326" customWidth="1"/>
    <col min="8506" max="8506" width="13.625" style="326" customWidth="1"/>
    <col min="8507" max="8507" width="10.625" style="326" customWidth="1"/>
    <col min="8508" max="8508" width="10.75" style="326" bestFit="1" customWidth="1"/>
    <col min="8509" max="8509" width="12.375" style="326" customWidth="1"/>
    <col min="8510" max="8512" width="9" style="326"/>
    <col min="8513" max="8513" width="15.75" style="326" customWidth="1"/>
    <col min="8514" max="8514" width="9" style="326"/>
    <col min="8515" max="8515" width="10.75" style="326" bestFit="1" customWidth="1"/>
    <col min="8516" max="8516" width="12.625" style="326" customWidth="1"/>
    <col min="8517" max="8519" width="9" style="326"/>
    <col min="8520" max="8520" width="13.625" style="326" customWidth="1"/>
    <col min="8521" max="8521" width="9" style="326"/>
    <col min="8522" max="8522" width="10.75" style="326" bestFit="1" customWidth="1"/>
    <col min="8523" max="8523" width="12.5" style="326" customWidth="1"/>
    <col min="8524" max="8526" width="9" style="326"/>
    <col min="8527" max="8527" width="12.875" style="326" customWidth="1"/>
    <col min="8528" max="8528" width="9" style="326"/>
    <col min="8529" max="8529" width="10.75" style="326" bestFit="1" customWidth="1"/>
    <col min="8530" max="8530" width="13.875" style="326" customWidth="1"/>
    <col min="8531" max="8533" width="9" style="326"/>
    <col min="8534" max="8534" width="14.125" style="326" customWidth="1"/>
    <col min="8535" max="8535" width="9" style="326"/>
    <col min="8536" max="8536" width="10.75" style="326" bestFit="1" customWidth="1"/>
    <col min="8537" max="8537" width="13.25" style="326" customWidth="1"/>
    <col min="8538" max="8540" width="9" style="326"/>
    <col min="8541" max="8541" width="13.25" style="326" customWidth="1"/>
    <col min="8542" max="8542" width="9" style="326"/>
    <col min="8543" max="8543" width="10.75" style="326" bestFit="1" customWidth="1"/>
    <col min="8544" max="8544" width="13.875" style="326" customWidth="1"/>
    <col min="8545" max="8547" width="9" style="326"/>
    <col min="8548" max="8548" width="13.625" style="326" customWidth="1"/>
    <col min="8549" max="8549" width="9" style="326"/>
    <col min="8550" max="8550" width="10.75" style="326" bestFit="1" customWidth="1"/>
    <col min="8551" max="8551" width="13" style="326" customWidth="1"/>
    <col min="8552" max="8698" width="9" style="326"/>
    <col min="8699" max="8700" width="12.125" style="326" customWidth="1"/>
    <col min="8701" max="8703" width="13" style="326" customWidth="1"/>
    <col min="8704" max="8704" width="12.875" style="326" customWidth="1"/>
    <col min="8705" max="8705" width="13" style="326" customWidth="1"/>
    <col min="8706" max="8706" width="13.125" style="326" customWidth="1"/>
    <col min="8707" max="8708" width="12.125" style="326" customWidth="1"/>
    <col min="8709" max="8709" width="14.375" style="326" bestFit="1" customWidth="1"/>
    <col min="8710" max="8710" width="11" style="326" customWidth="1"/>
    <col min="8711" max="8711" width="10" style="326" customWidth="1"/>
    <col min="8712" max="8712" width="10.875" style="326" customWidth="1"/>
    <col min="8713" max="8713" width="13.75" style="326" customWidth="1"/>
    <col min="8714" max="8714" width="10" style="326" customWidth="1"/>
    <col min="8715" max="8715" width="13.25" style="326" customWidth="1"/>
    <col min="8716" max="8716" width="14.375" style="326" customWidth="1"/>
    <col min="8717" max="8717" width="10" style="326" customWidth="1"/>
    <col min="8718" max="8718" width="10.875" style="326" customWidth="1"/>
    <col min="8719" max="8719" width="11.375" style="326" customWidth="1"/>
    <col min="8720" max="8720" width="15.375" style="326" customWidth="1"/>
    <col min="8721" max="8722" width="10.75" style="326" customWidth="1"/>
    <col min="8723" max="8723" width="14.375" style="326" customWidth="1"/>
    <col min="8724" max="8724" width="10.75" style="326" customWidth="1"/>
    <col min="8725" max="8725" width="11.75" style="326" customWidth="1"/>
    <col min="8726" max="8726" width="10" style="326" customWidth="1"/>
    <col min="8727" max="8727" width="15.375" style="326" customWidth="1"/>
    <col min="8728" max="8728" width="10" style="326" customWidth="1"/>
    <col min="8729" max="8729" width="10.75" style="326" customWidth="1"/>
    <col min="8730" max="8730" width="14.875" style="326" customWidth="1"/>
    <col min="8731" max="8731" width="11.5" style="326" customWidth="1"/>
    <col min="8732" max="8732" width="10" style="326" customWidth="1"/>
    <col min="8733" max="8733" width="10.75" style="326" customWidth="1"/>
    <col min="8734" max="8734" width="13.5" style="326" customWidth="1"/>
    <col min="8735" max="8735" width="9" style="326"/>
    <col min="8736" max="8736" width="10.75" style="326" bestFit="1" customWidth="1"/>
    <col min="8737" max="8737" width="13.75" style="326" customWidth="1"/>
    <col min="8738" max="8738" width="9" style="326"/>
    <col min="8739" max="8739" width="10.625" style="326" customWidth="1"/>
    <col min="8740" max="8740" width="9" style="326"/>
    <col min="8741" max="8741" width="14.25" style="326" customWidth="1"/>
    <col min="8742" max="8742" width="10.75" style="326" bestFit="1" customWidth="1"/>
    <col min="8743" max="8743" width="11.625" style="326" customWidth="1"/>
    <col min="8744" max="8744" width="13.75" style="326" customWidth="1"/>
    <col min="8745" max="8745" width="10.625" style="326" customWidth="1"/>
    <col min="8746" max="8747" width="9" style="326"/>
    <col min="8748" max="8748" width="14.125" style="326" customWidth="1"/>
    <col min="8749" max="8749" width="11" style="326" customWidth="1"/>
    <col min="8750" max="8750" width="10.75" style="326" bestFit="1" customWidth="1"/>
    <col min="8751" max="8751" width="13.5" style="326" customWidth="1"/>
    <col min="8752" max="8753" width="9" style="326"/>
    <col min="8754" max="8754" width="10.75" style="326" bestFit="1" customWidth="1"/>
    <col min="8755" max="8755" width="14" style="326" customWidth="1"/>
    <col min="8756" max="8756" width="9" style="326"/>
    <col min="8757" max="8757" width="10.75" style="326" customWidth="1"/>
    <col min="8758" max="8758" width="12.75" style="326" customWidth="1"/>
    <col min="8759" max="8759" width="9" style="326"/>
    <col min="8760" max="8760" width="10.75" style="326" bestFit="1" customWidth="1"/>
    <col min="8761" max="8761" width="11.5" style="326" customWidth="1"/>
    <col min="8762" max="8762" width="13.625" style="326" customWidth="1"/>
    <col min="8763" max="8763" width="10.625" style="326" customWidth="1"/>
    <col min="8764" max="8764" width="10.75" style="326" bestFit="1" customWidth="1"/>
    <col min="8765" max="8765" width="12.375" style="326" customWidth="1"/>
    <col min="8766" max="8768" width="9" style="326"/>
    <col min="8769" max="8769" width="15.75" style="326" customWidth="1"/>
    <col min="8770" max="8770" width="9" style="326"/>
    <col min="8771" max="8771" width="10.75" style="326" bestFit="1" customWidth="1"/>
    <col min="8772" max="8772" width="12.625" style="326" customWidth="1"/>
    <col min="8773" max="8775" width="9" style="326"/>
    <col min="8776" max="8776" width="13.625" style="326" customWidth="1"/>
    <col min="8777" max="8777" width="9" style="326"/>
    <col min="8778" max="8778" width="10.75" style="326" bestFit="1" customWidth="1"/>
    <col min="8779" max="8779" width="12.5" style="326" customWidth="1"/>
    <col min="8780" max="8782" width="9" style="326"/>
    <col min="8783" max="8783" width="12.875" style="326" customWidth="1"/>
    <col min="8784" max="8784" width="9" style="326"/>
    <col min="8785" max="8785" width="10.75" style="326" bestFit="1" customWidth="1"/>
    <col min="8786" max="8786" width="13.875" style="326" customWidth="1"/>
    <col min="8787" max="8789" width="9" style="326"/>
    <col min="8790" max="8790" width="14.125" style="326" customWidth="1"/>
    <col min="8791" max="8791" width="9" style="326"/>
    <col min="8792" max="8792" width="10.75" style="326" bestFit="1" customWidth="1"/>
    <col min="8793" max="8793" width="13.25" style="326" customWidth="1"/>
    <col min="8794" max="8796" width="9" style="326"/>
    <col min="8797" max="8797" width="13.25" style="326" customWidth="1"/>
    <col min="8798" max="8798" width="9" style="326"/>
    <col min="8799" max="8799" width="10.75" style="326" bestFit="1" customWidth="1"/>
    <col min="8800" max="8800" width="13.875" style="326" customWidth="1"/>
    <col min="8801" max="8803" width="9" style="326"/>
    <col min="8804" max="8804" width="13.625" style="326" customWidth="1"/>
    <col min="8805" max="8805" width="9" style="326"/>
    <col min="8806" max="8806" width="10.75" style="326" bestFit="1" customWidth="1"/>
    <col min="8807" max="8807" width="13" style="326" customWidth="1"/>
    <col min="8808" max="8954" width="9" style="326"/>
    <col min="8955" max="8956" width="12.125" style="326" customWidth="1"/>
    <col min="8957" max="8959" width="13" style="326" customWidth="1"/>
    <col min="8960" max="8960" width="12.875" style="326" customWidth="1"/>
    <col min="8961" max="8961" width="13" style="326" customWidth="1"/>
    <col min="8962" max="8962" width="13.125" style="326" customWidth="1"/>
    <col min="8963" max="8964" width="12.125" style="326" customWidth="1"/>
    <col min="8965" max="8965" width="14.375" style="326" bestFit="1" customWidth="1"/>
    <col min="8966" max="8966" width="11" style="326" customWidth="1"/>
    <col min="8967" max="8967" width="10" style="326" customWidth="1"/>
    <col min="8968" max="8968" width="10.875" style="326" customWidth="1"/>
    <col min="8969" max="8969" width="13.75" style="326" customWidth="1"/>
    <col min="8970" max="8970" width="10" style="326" customWidth="1"/>
    <col min="8971" max="8971" width="13.25" style="326" customWidth="1"/>
    <col min="8972" max="8972" width="14.375" style="326" customWidth="1"/>
    <col min="8973" max="8973" width="10" style="326" customWidth="1"/>
    <col min="8974" max="8974" width="10.875" style="326" customWidth="1"/>
    <col min="8975" max="8975" width="11.375" style="326" customWidth="1"/>
    <col min="8976" max="8976" width="15.375" style="326" customWidth="1"/>
    <col min="8977" max="8978" width="10.75" style="326" customWidth="1"/>
    <col min="8979" max="8979" width="14.375" style="326" customWidth="1"/>
    <col min="8980" max="8980" width="10.75" style="326" customWidth="1"/>
    <col min="8981" max="8981" width="11.75" style="326" customWidth="1"/>
    <col min="8982" max="8982" width="10" style="326" customWidth="1"/>
    <col min="8983" max="8983" width="15.375" style="326" customWidth="1"/>
    <col min="8984" max="8984" width="10" style="326" customWidth="1"/>
    <col min="8985" max="8985" width="10.75" style="326" customWidth="1"/>
    <col min="8986" max="8986" width="14.875" style="326" customWidth="1"/>
    <col min="8987" max="8987" width="11.5" style="326" customWidth="1"/>
    <col min="8988" max="8988" width="10" style="326" customWidth="1"/>
    <col min="8989" max="8989" width="10.75" style="326" customWidth="1"/>
    <col min="8990" max="8990" width="13.5" style="326" customWidth="1"/>
    <col min="8991" max="8991" width="9" style="326"/>
    <col min="8992" max="8992" width="10.75" style="326" bestFit="1" customWidth="1"/>
    <col min="8993" max="8993" width="13.75" style="326" customWidth="1"/>
    <col min="8994" max="8994" width="9" style="326"/>
    <col min="8995" max="8995" width="10.625" style="326" customWidth="1"/>
    <col min="8996" max="8996" width="9" style="326"/>
    <col min="8997" max="8997" width="14.25" style="326" customWidth="1"/>
    <col min="8998" max="8998" width="10.75" style="326" bestFit="1" customWidth="1"/>
    <col min="8999" max="8999" width="11.625" style="326" customWidth="1"/>
    <col min="9000" max="9000" width="13.75" style="326" customWidth="1"/>
    <col min="9001" max="9001" width="10.625" style="326" customWidth="1"/>
    <col min="9002" max="9003" width="9" style="326"/>
    <col min="9004" max="9004" width="14.125" style="326" customWidth="1"/>
    <col min="9005" max="9005" width="11" style="326" customWidth="1"/>
    <col min="9006" max="9006" width="10.75" style="326" bestFit="1" customWidth="1"/>
    <col min="9007" max="9007" width="13.5" style="326" customWidth="1"/>
    <col min="9008" max="9009" width="9" style="326"/>
    <col min="9010" max="9010" width="10.75" style="326" bestFit="1" customWidth="1"/>
    <col min="9011" max="9011" width="14" style="326" customWidth="1"/>
    <col min="9012" max="9012" width="9" style="326"/>
    <col min="9013" max="9013" width="10.75" style="326" customWidth="1"/>
    <col min="9014" max="9014" width="12.75" style="326" customWidth="1"/>
    <col min="9015" max="9015" width="9" style="326"/>
    <col min="9016" max="9016" width="10.75" style="326" bestFit="1" customWidth="1"/>
    <col min="9017" max="9017" width="11.5" style="326" customWidth="1"/>
    <col min="9018" max="9018" width="13.625" style="326" customWidth="1"/>
    <col min="9019" max="9019" width="10.625" style="326" customWidth="1"/>
    <col min="9020" max="9020" width="10.75" style="326" bestFit="1" customWidth="1"/>
    <col min="9021" max="9021" width="12.375" style="326" customWidth="1"/>
    <col min="9022" max="9024" width="9" style="326"/>
    <col min="9025" max="9025" width="15.75" style="326" customWidth="1"/>
    <col min="9026" max="9026" width="9" style="326"/>
    <col min="9027" max="9027" width="10.75" style="326" bestFit="1" customWidth="1"/>
    <col min="9028" max="9028" width="12.625" style="326" customWidth="1"/>
    <col min="9029" max="9031" width="9" style="326"/>
    <col min="9032" max="9032" width="13.625" style="326" customWidth="1"/>
    <col min="9033" max="9033" width="9" style="326"/>
    <col min="9034" max="9034" width="10.75" style="326" bestFit="1" customWidth="1"/>
    <col min="9035" max="9035" width="12.5" style="326" customWidth="1"/>
    <col min="9036" max="9038" width="9" style="326"/>
    <col min="9039" max="9039" width="12.875" style="326" customWidth="1"/>
    <col min="9040" max="9040" width="9" style="326"/>
    <col min="9041" max="9041" width="10.75" style="326" bestFit="1" customWidth="1"/>
    <col min="9042" max="9042" width="13.875" style="326" customWidth="1"/>
    <col min="9043" max="9045" width="9" style="326"/>
    <col min="9046" max="9046" width="14.125" style="326" customWidth="1"/>
    <col min="9047" max="9047" width="9" style="326"/>
    <col min="9048" max="9048" width="10.75" style="326" bestFit="1" customWidth="1"/>
    <col min="9049" max="9049" width="13.25" style="326" customWidth="1"/>
    <col min="9050" max="9052" width="9" style="326"/>
    <col min="9053" max="9053" width="13.25" style="326" customWidth="1"/>
    <col min="9054" max="9054" width="9" style="326"/>
    <col min="9055" max="9055" width="10.75" style="326" bestFit="1" customWidth="1"/>
    <col min="9056" max="9056" width="13.875" style="326" customWidth="1"/>
    <col min="9057" max="9059" width="9" style="326"/>
    <col min="9060" max="9060" width="13.625" style="326" customWidth="1"/>
    <col min="9061" max="9061" width="9" style="326"/>
    <col min="9062" max="9062" width="10.75" style="326" bestFit="1" customWidth="1"/>
    <col min="9063" max="9063" width="13" style="326" customWidth="1"/>
    <col min="9064" max="9210" width="9" style="326"/>
    <col min="9211" max="9212" width="12.125" style="326" customWidth="1"/>
    <col min="9213" max="9215" width="13" style="326" customWidth="1"/>
    <col min="9216" max="9216" width="12.875" style="326" customWidth="1"/>
    <col min="9217" max="9217" width="13" style="326" customWidth="1"/>
    <col min="9218" max="9218" width="13.125" style="326" customWidth="1"/>
    <col min="9219" max="9220" width="12.125" style="326" customWidth="1"/>
    <col min="9221" max="9221" width="14.375" style="326" bestFit="1" customWidth="1"/>
    <col min="9222" max="9222" width="11" style="326" customWidth="1"/>
    <col min="9223" max="9223" width="10" style="326" customWidth="1"/>
    <col min="9224" max="9224" width="10.875" style="326" customWidth="1"/>
    <col min="9225" max="9225" width="13.75" style="326" customWidth="1"/>
    <col min="9226" max="9226" width="10" style="326" customWidth="1"/>
    <col min="9227" max="9227" width="13.25" style="326" customWidth="1"/>
    <col min="9228" max="9228" width="14.375" style="326" customWidth="1"/>
    <col min="9229" max="9229" width="10" style="326" customWidth="1"/>
    <col min="9230" max="9230" width="10.875" style="326" customWidth="1"/>
    <col min="9231" max="9231" width="11.375" style="326" customWidth="1"/>
    <col min="9232" max="9232" width="15.375" style="326" customWidth="1"/>
    <col min="9233" max="9234" width="10.75" style="326" customWidth="1"/>
    <col min="9235" max="9235" width="14.375" style="326" customWidth="1"/>
    <col min="9236" max="9236" width="10.75" style="326" customWidth="1"/>
    <col min="9237" max="9237" width="11.75" style="326" customWidth="1"/>
    <col min="9238" max="9238" width="10" style="326" customWidth="1"/>
    <col min="9239" max="9239" width="15.375" style="326" customWidth="1"/>
    <col min="9240" max="9240" width="10" style="326" customWidth="1"/>
    <col min="9241" max="9241" width="10.75" style="326" customWidth="1"/>
    <col min="9242" max="9242" width="14.875" style="326" customWidth="1"/>
    <col min="9243" max="9243" width="11.5" style="326" customWidth="1"/>
    <col min="9244" max="9244" width="10" style="326" customWidth="1"/>
    <col min="9245" max="9245" width="10.75" style="326" customWidth="1"/>
    <col min="9246" max="9246" width="13.5" style="326" customWidth="1"/>
    <col min="9247" max="9247" width="9" style="326"/>
    <col min="9248" max="9248" width="10.75" style="326" bestFit="1" customWidth="1"/>
    <col min="9249" max="9249" width="13.75" style="326" customWidth="1"/>
    <col min="9250" max="9250" width="9" style="326"/>
    <col min="9251" max="9251" width="10.625" style="326" customWidth="1"/>
    <col min="9252" max="9252" width="9" style="326"/>
    <col min="9253" max="9253" width="14.25" style="326" customWidth="1"/>
    <col min="9254" max="9254" width="10.75" style="326" bestFit="1" customWidth="1"/>
    <col min="9255" max="9255" width="11.625" style="326" customWidth="1"/>
    <col min="9256" max="9256" width="13.75" style="326" customWidth="1"/>
    <col min="9257" max="9257" width="10.625" style="326" customWidth="1"/>
    <col min="9258" max="9259" width="9" style="326"/>
    <col min="9260" max="9260" width="14.125" style="326" customWidth="1"/>
    <col min="9261" max="9261" width="11" style="326" customWidth="1"/>
    <col min="9262" max="9262" width="10.75" style="326" bestFit="1" customWidth="1"/>
    <col min="9263" max="9263" width="13.5" style="326" customWidth="1"/>
    <col min="9264" max="9265" width="9" style="326"/>
    <col min="9266" max="9266" width="10.75" style="326" bestFit="1" customWidth="1"/>
    <col min="9267" max="9267" width="14" style="326" customWidth="1"/>
    <col min="9268" max="9268" width="9" style="326"/>
    <col min="9269" max="9269" width="10.75" style="326" customWidth="1"/>
    <col min="9270" max="9270" width="12.75" style="326" customWidth="1"/>
    <col min="9271" max="9271" width="9" style="326"/>
    <col min="9272" max="9272" width="10.75" style="326" bestFit="1" customWidth="1"/>
    <col min="9273" max="9273" width="11.5" style="326" customWidth="1"/>
    <col min="9274" max="9274" width="13.625" style="326" customWidth="1"/>
    <col min="9275" max="9275" width="10.625" style="326" customWidth="1"/>
    <col min="9276" max="9276" width="10.75" style="326" bestFit="1" customWidth="1"/>
    <col min="9277" max="9277" width="12.375" style="326" customWidth="1"/>
    <col min="9278" max="9280" width="9" style="326"/>
    <col min="9281" max="9281" width="15.75" style="326" customWidth="1"/>
    <col min="9282" max="9282" width="9" style="326"/>
    <col min="9283" max="9283" width="10.75" style="326" bestFit="1" customWidth="1"/>
    <col min="9284" max="9284" width="12.625" style="326" customWidth="1"/>
    <col min="9285" max="9287" width="9" style="326"/>
    <col min="9288" max="9288" width="13.625" style="326" customWidth="1"/>
    <col min="9289" max="9289" width="9" style="326"/>
    <col min="9290" max="9290" width="10.75" style="326" bestFit="1" customWidth="1"/>
    <col min="9291" max="9291" width="12.5" style="326" customWidth="1"/>
    <col min="9292" max="9294" width="9" style="326"/>
    <col min="9295" max="9295" width="12.875" style="326" customWidth="1"/>
    <col min="9296" max="9296" width="9" style="326"/>
    <col min="9297" max="9297" width="10.75" style="326" bestFit="1" customWidth="1"/>
    <col min="9298" max="9298" width="13.875" style="326" customWidth="1"/>
    <col min="9299" max="9301" width="9" style="326"/>
    <col min="9302" max="9302" width="14.125" style="326" customWidth="1"/>
    <col min="9303" max="9303" width="9" style="326"/>
    <col min="9304" max="9304" width="10.75" style="326" bestFit="1" customWidth="1"/>
    <col min="9305" max="9305" width="13.25" style="326" customWidth="1"/>
    <col min="9306" max="9308" width="9" style="326"/>
    <col min="9309" max="9309" width="13.25" style="326" customWidth="1"/>
    <col min="9310" max="9310" width="9" style="326"/>
    <col min="9311" max="9311" width="10.75" style="326" bestFit="1" customWidth="1"/>
    <col min="9312" max="9312" width="13.875" style="326" customWidth="1"/>
    <col min="9313" max="9315" width="9" style="326"/>
    <col min="9316" max="9316" width="13.625" style="326" customWidth="1"/>
    <col min="9317" max="9317" width="9" style="326"/>
    <col min="9318" max="9318" width="10.75" style="326" bestFit="1" customWidth="1"/>
    <col min="9319" max="9319" width="13" style="326" customWidth="1"/>
    <col min="9320" max="9466" width="9" style="326"/>
    <col min="9467" max="9468" width="12.125" style="326" customWidth="1"/>
    <col min="9469" max="9471" width="13" style="326" customWidth="1"/>
    <col min="9472" max="9472" width="12.875" style="326" customWidth="1"/>
    <col min="9473" max="9473" width="13" style="326" customWidth="1"/>
    <col min="9474" max="9474" width="13.125" style="326" customWidth="1"/>
    <col min="9475" max="9476" width="12.125" style="326" customWidth="1"/>
    <col min="9477" max="9477" width="14.375" style="326" bestFit="1" customWidth="1"/>
    <col min="9478" max="9478" width="11" style="326" customWidth="1"/>
    <col min="9479" max="9479" width="10" style="326" customWidth="1"/>
    <col min="9480" max="9480" width="10.875" style="326" customWidth="1"/>
    <col min="9481" max="9481" width="13.75" style="326" customWidth="1"/>
    <col min="9482" max="9482" width="10" style="326" customWidth="1"/>
    <col min="9483" max="9483" width="13.25" style="326" customWidth="1"/>
    <col min="9484" max="9484" width="14.375" style="326" customWidth="1"/>
    <col min="9485" max="9485" width="10" style="326" customWidth="1"/>
    <col min="9486" max="9486" width="10.875" style="326" customWidth="1"/>
    <col min="9487" max="9487" width="11.375" style="326" customWidth="1"/>
    <col min="9488" max="9488" width="15.375" style="326" customWidth="1"/>
    <col min="9489" max="9490" width="10.75" style="326" customWidth="1"/>
    <col min="9491" max="9491" width="14.375" style="326" customWidth="1"/>
    <col min="9492" max="9492" width="10.75" style="326" customWidth="1"/>
    <col min="9493" max="9493" width="11.75" style="326" customWidth="1"/>
    <col min="9494" max="9494" width="10" style="326" customWidth="1"/>
    <col min="9495" max="9495" width="15.375" style="326" customWidth="1"/>
    <col min="9496" max="9496" width="10" style="326" customWidth="1"/>
    <col min="9497" max="9497" width="10.75" style="326" customWidth="1"/>
    <col min="9498" max="9498" width="14.875" style="326" customWidth="1"/>
    <col min="9499" max="9499" width="11.5" style="326" customWidth="1"/>
    <col min="9500" max="9500" width="10" style="326" customWidth="1"/>
    <col min="9501" max="9501" width="10.75" style="326" customWidth="1"/>
    <col min="9502" max="9502" width="13.5" style="326" customWidth="1"/>
    <col min="9503" max="9503" width="9" style="326"/>
    <col min="9504" max="9504" width="10.75" style="326" bestFit="1" customWidth="1"/>
    <col min="9505" max="9505" width="13.75" style="326" customWidth="1"/>
    <col min="9506" max="9506" width="9" style="326"/>
    <col min="9507" max="9507" width="10.625" style="326" customWidth="1"/>
    <col min="9508" max="9508" width="9" style="326"/>
    <col min="9509" max="9509" width="14.25" style="326" customWidth="1"/>
    <col min="9510" max="9510" width="10.75" style="326" bestFit="1" customWidth="1"/>
    <col min="9511" max="9511" width="11.625" style="326" customWidth="1"/>
    <col min="9512" max="9512" width="13.75" style="326" customWidth="1"/>
    <col min="9513" max="9513" width="10.625" style="326" customWidth="1"/>
    <col min="9514" max="9515" width="9" style="326"/>
    <col min="9516" max="9516" width="14.125" style="326" customWidth="1"/>
    <col min="9517" max="9517" width="11" style="326" customWidth="1"/>
    <col min="9518" max="9518" width="10.75" style="326" bestFit="1" customWidth="1"/>
    <col min="9519" max="9519" width="13.5" style="326" customWidth="1"/>
    <col min="9520" max="9521" width="9" style="326"/>
    <col min="9522" max="9522" width="10.75" style="326" bestFit="1" customWidth="1"/>
    <col min="9523" max="9523" width="14" style="326" customWidth="1"/>
    <col min="9524" max="9524" width="9" style="326"/>
    <col min="9525" max="9525" width="10.75" style="326" customWidth="1"/>
    <col min="9526" max="9526" width="12.75" style="326" customWidth="1"/>
    <col min="9527" max="9527" width="9" style="326"/>
    <col min="9528" max="9528" width="10.75" style="326" bestFit="1" customWidth="1"/>
    <col min="9529" max="9529" width="11.5" style="326" customWidth="1"/>
    <col min="9530" max="9530" width="13.625" style="326" customWidth="1"/>
    <col min="9531" max="9531" width="10.625" style="326" customWidth="1"/>
    <col min="9532" max="9532" width="10.75" style="326" bestFit="1" customWidth="1"/>
    <col min="9533" max="9533" width="12.375" style="326" customWidth="1"/>
    <col min="9534" max="9536" width="9" style="326"/>
    <col min="9537" max="9537" width="15.75" style="326" customWidth="1"/>
    <col min="9538" max="9538" width="9" style="326"/>
    <col min="9539" max="9539" width="10.75" style="326" bestFit="1" customWidth="1"/>
    <col min="9540" max="9540" width="12.625" style="326" customWidth="1"/>
    <col min="9541" max="9543" width="9" style="326"/>
    <col min="9544" max="9544" width="13.625" style="326" customWidth="1"/>
    <col min="9545" max="9545" width="9" style="326"/>
    <col min="9546" max="9546" width="10.75" style="326" bestFit="1" customWidth="1"/>
    <col min="9547" max="9547" width="12.5" style="326" customWidth="1"/>
    <col min="9548" max="9550" width="9" style="326"/>
    <col min="9551" max="9551" width="12.875" style="326" customWidth="1"/>
    <col min="9552" max="9552" width="9" style="326"/>
    <col min="9553" max="9553" width="10.75" style="326" bestFit="1" customWidth="1"/>
    <col min="9554" max="9554" width="13.875" style="326" customWidth="1"/>
    <col min="9555" max="9557" width="9" style="326"/>
    <col min="9558" max="9558" width="14.125" style="326" customWidth="1"/>
    <col min="9559" max="9559" width="9" style="326"/>
    <col min="9560" max="9560" width="10.75" style="326" bestFit="1" customWidth="1"/>
    <col min="9561" max="9561" width="13.25" style="326" customWidth="1"/>
    <col min="9562" max="9564" width="9" style="326"/>
    <col min="9565" max="9565" width="13.25" style="326" customWidth="1"/>
    <col min="9566" max="9566" width="9" style="326"/>
    <col min="9567" max="9567" width="10.75" style="326" bestFit="1" customWidth="1"/>
    <col min="9568" max="9568" width="13.875" style="326" customWidth="1"/>
    <col min="9569" max="9571" width="9" style="326"/>
    <col min="9572" max="9572" width="13.625" style="326" customWidth="1"/>
    <col min="9573" max="9573" width="9" style="326"/>
    <col min="9574" max="9574" width="10.75" style="326" bestFit="1" customWidth="1"/>
    <col min="9575" max="9575" width="13" style="326" customWidth="1"/>
    <col min="9576" max="9722" width="9" style="326"/>
    <col min="9723" max="9724" width="12.125" style="326" customWidth="1"/>
    <col min="9725" max="9727" width="13" style="326" customWidth="1"/>
    <col min="9728" max="9728" width="12.875" style="326" customWidth="1"/>
    <col min="9729" max="9729" width="13" style="326" customWidth="1"/>
    <col min="9730" max="9730" width="13.125" style="326" customWidth="1"/>
    <col min="9731" max="9732" width="12.125" style="326" customWidth="1"/>
    <col min="9733" max="9733" width="14.375" style="326" bestFit="1" customWidth="1"/>
    <col min="9734" max="9734" width="11" style="326" customWidth="1"/>
    <col min="9735" max="9735" width="10" style="326" customWidth="1"/>
    <col min="9736" max="9736" width="10.875" style="326" customWidth="1"/>
    <col min="9737" max="9737" width="13.75" style="326" customWidth="1"/>
    <col min="9738" max="9738" width="10" style="326" customWidth="1"/>
    <col min="9739" max="9739" width="13.25" style="326" customWidth="1"/>
    <col min="9740" max="9740" width="14.375" style="326" customWidth="1"/>
    <col min="9741" max="9741" width="10" style="326" customWidth="1"/>
    <col min="9742" max="9742" width="10.875" style="326" customWidth="1"/>
    <col min="9743" max="9743" width="11.375" style="326" customWidth="1"/>
    <col min="9744" max="9744" width="15.375" style="326" customWidth="1"/>
    <col min="9745" max="9746" width="10.75" style="326" customWidth="1"/>
    <col min="9747" max="9747" width="14.375" style="326" customWidth="1"/>
    <col min="9748" max="9748" width="10.75" style="326" customWidth="1"/>
    <col min="9749" max="9749" width="11.75" style="326" customWidth="1"/>
    <col min="9750" max="9750" width="10" style="326" customWidth="1"/>
    <col min="9751" max="9751" width="15.375" style="326" customWidth="1"/>
    <col min="9752" max="9752" width="10" style="326" customWidth="1"/>
    <col min="9753" max="9753" width="10.75" style="326" customWidth="1"/>
    <col min="9754" max="9754" width="14.875" style="326" customWidth="1"/>
    <col min="9755" max="9755" width="11.5" style="326" customWidth="1"/>
    <col min="9756" max="9756" width="10" style="326" customWidth="1"/>
    <col min="9757" max="9757" width="10.75" style="326" customWidth="1"/>
    <col min="9758" max="9758" width="13.5" style="326" customWidth="1"/>
    <col min="9759" max="9759" width="9" style="326"/>
    <col min="9760" max="9760" width="10.75" style="326" bestFit="1" customWidth="1"/>
    <col min="9761" max="9761" width="13.75" style="326" customWidth="1"/>
    <col min="9762" max="9762" width="9" style="326"/>
    <col min="9763" max="9763" width="10.625" style="326" customWidth="1"/>
    <col min="9764" max="9764" width="9" style="326"/>
    <col min="9765" max="9765" width="14.25" style="326" customWidth="1"/>
    <col min="9766" max="9766" width="10.75" style="326" bestFit="1" customWidth="1"/>
    <col min="9767" max="9767" width="11.625" style="326" customWidth="1"/>
    <col min="9768" max="9768" width="13.75" style="326" customWidth="1"/>
    <col min="9769" max="9769" width="10.625" style="326" customWidth="1"/>
    <col min="9770" max="9771" width="9" style="326"/>
    <col min="9772" max="9772" width="14.125" style="326" customWidth="1"/>
    <col min="9773" max="9773" width="11" style="326" customWidth="1"/>
    <col min="9774" max="9774" width="10.75" style="326" bestFit="1" customWidth="1"/>
    <col min="9775" max="9775" width="13.5" style="326" customWidth="1"/>
    <col min="9776" max="9777" width="9" style="326"/>
    <col min="9778" max="9778" width="10.75" style="326" bestFit="1" customWidth="1"/>
    <col min="9779" max="9779" width="14" style="326" customWidth="1"/>
    <col min="9780" max="9780" width="9" style="326"/>
    <col min="9781" max="9781" width="10.75" style="326" customWidth="1"/>
    <col min="9782" max="9782" width="12.75" style="326" customWidth="1"/>
    <col min="9783" max="9783" width="9" style="326"/>
    <col min="9784" max="9784" width="10.75" style="326" bestFit="1" customWidth="1"/>
    <col min="9785" max="9785" width="11.5" style="326" customWidth="1"/>
    <col min="9786" max="9786" width="13.625" style="326" customWidth="1"/>
    <col min="9787" max="9787" width="10.625" style="326" customWidth="1"/>
    <col min="9788" max="9788" width="10.75" style="326" bestFit="1" customWidth="1"/>
    <col min="9789" max="9789" width="12.375" style="326" customWidth="1"/>
    <col min="9790" max="9792" width="9" style="326"/>
    <col min="9793" max="9793" width="15.75" style="326" customWidth="1"/>
    <col min="9794" max="9794" width="9" style="326"/>
    <col min="9795" max="9795" width="10.75" style="326" bestFit="1" customWidth="1"/>
    <col min="9796" max="9796" width="12.625" style="326" customWidth="1"/>
    <col min="9797" max="9799" width="9" style="326"/>
    <col min="9800" max="9800" width="13.625" style="326" customWidth="1"/>
    <col min="9801" max="9801" width="9" style="326"/>
    <col min="9802" max="9802" width="10.75" style="326" bestFit="1" customWidth="1"/>
    <col min="9803" max="9803" width="12.5" style="326" customWidth="1"/>
    <col min="9804" max="9806" width="9" style="326"/>
    <col min="9807" max="9807" width="12.875" style="326" customWidth="1"/>
    <col min="9808" max="9808" width="9" style="326"/>
    <col min="9809" max="9809" width="10.75" style="326" bestFit="1" customWidth="1"/>
    <col min="9810" max="9810" width="13.875" style="326" customWidth="1"/>
    <col min="9811" max="9813" width="9" style="326"/>
    <col min="9814" max="9814" width="14.125" style="326" customWidth="1"/>
    <col min="9815" max="9815" width="9" style="326"/>
    <col min="9816" max="9816" width="10.75" style="326" bestFit="1" customWidth="1"/>
    <col min="9817" max="9817" width="13.25" style="326" customWidth="1"/>
    <col min="9818" max="9820" width="9" style="326"/>
    <col min="9821" max="9821" width="13.25" style="326" customWidth="1"/>
    <col min="9822" max="9822" width="9" style="326"/>
    <col min="9823" max="9823" width="10.75" style="326" bestFit="1" customWidth="1"/>
    <col min="9824" max="9824" width="13.875" style="326" customWidth="1"/>
    <col min="9825" max="9827" width="9" style="326"/>
    <col min="9828" max="9828" width="13.625" style="326" customWidth="1"/>
    <col min="9829" max="9829" width="9" style="326"/>
    <col min="9830" max="9830" width="10.75" style="326" bestFit="1" customWidth="1"/>
    <col min="9831" max="9831" width="13" style="326" customWidth="1"/>
    <col min="9832" max="9978" width="9" style="326"/>
    <col min="9979" max="9980" width="12.125" style="326" customWidth="1"/>
    <col min="9981" max="9983" width="13" style="326" customWidth="1"/>
    <col min="9984" max="9984" width="12.875" style="326" customWidth="1"/>
    <col min="9985" max="9985" width="13" style="326" customWidth="1"/>
    <col min="9986" max="9986" width="13.125" style="326" customWidth="1"/>
    <col min="9987" max="9988" width="12.125" style="326" customWidth="1"/>
    <col min="9989" max="9989" width="14.375" style="326" bestFit="1" customWidth="1"/>
    <col min="9990" max="9990" width="11" style="326" customWidth="1"/>
    <col min="9991" max="9991" width="10" style="326" customWidth="1"/>
    <col min="9992" max="9992" width="10.875" style="326" customWidth="1"/>
    <col min="9993" max="9993" width="13.75" style="326" customWidth="1"/>
    <col min="9994" max="9994" width="10" style="326" customWidth="1"/>
    <col min="9995" max="9995" width="13.25" style="326" customWidth="1"/>
    <col min="9996" max="9996" width="14.375" style="326" customWidth="1"/>
    <col min="9997" max="9997" width="10" style="326" customWidth="1"/>
    <col min="9998" max="9998" width="10.875" style="326" customWidth="1"/>
    <col min="9999" max="9999" width="11.375" style="326" customWidth="1"/>
    <col min="10000" max="10000" width="15.375" style="326" customWidth="1"/>
    <col min="10001" max="10002" width="10.75" style="326" customWidth="1"/>
    <col min="10003" max="10003" width="14.375" style="326" customWidth="1"/>
    <col min="10004" max="10004" width="10.75" style="326" customWidth="1"/>
    <col min="10005" max="10005" width="11.75" style="326" customWidth="1"/>
    <col min="10006" max="10006" width="10" style="326" customWidth="1"/>
    <col min="10007" max="10007" width="15.375" style="326" customWidth="1"/>
    <col min="10008" max="10008" width="10" style="326" customWidth="1"/>
    <col min="10009" max="10009" width="10.75" style="326" customWidth="1"/>
    <col min="10010" max="10010" width="14.875" style="326" customWidth="1"/>
    <col min="10011" max="10011" width="11.5" style="326" customWidth="1"/>
    <col min="10012" max="10012" width="10" style="326" customWidth="1"/>
    <col min="10013" max="10013" width="10.75" style="326" customWidth="1"/>
    <col min="10014" max="10014" width="13.5" style="326" customWidth="1"/>
    <col min="10015" max="10015" width="9" style="326"/>
    <col min="10016" max="10016" width="10.75" style="326" bestFit="1" customWidth="1"/>
    <col min="10017" max="10017" width="13.75" style="326" customWidth="1"/>
    <col min="10018" max="10018" width="9" style="326"/>
    <col min="10019" max="10019" width="10.625" style="326" customWidth="1"/>
    <col min="10020" max="10020" width="9" style="326"/>
    <col min="10021" max="10021" width="14.25" style="326" customWidth="1"/>
    <col min="10022" max="10022" width="10.75" style="326" bestFit="1" customWidth="1"/>
    <col min="10023" max="10023" width="11.625" style="326" customWidth="1"/>
    <col min="10024" max="10024" width="13.75" style="326" customWidth="1"/>
    <col min="10025" max="10025" width="10.625" style="326" customWidth="1"/>
    <col min="10026" max="10027" width="9" style="326"/>
    <col min="10028" max="10028" width="14.125" style="326" customWidth="1"/>
    <col min="10029" max="10029" width="11" style="326" customWidth="1"/>
    <col min="10030" max="10030" width="10.75" style="326" bestFit="1" customWidth="1"/>
    <col min="10031" max="10031" width="13.5" style="326" customWidth="1"/>
    <col min="10032" max="10033" width="9" style="326"/>
    <col min="10034" max="10034" width="10.75" style="326" bestFit="1" customWidth="1"/>
    <col min="10035" max="10035" width="14" style="326" customWidth="1"/>
    <col min="10036" max="10036" width="9" style="326"/>
    <col min="10037" max="10037" width="10.75" style="326" customWidth="1"/>
    <col min="10038" max="10038" width="12.75" style="326" customWidth="1"/>
    <col min="10039" max="10039" width="9" style="326"/>
    <col min="10040" max="10040" width="10.75" style="326" bestFit="1" customWidth="1"/>
    <col min="10041" max="10041" width="11.5" style="326" customWidth="1"/>
    <col min="10042" max="10042" width="13.625" style="326" customWidth="1"/>
    <col min="10043" max="10043" width="10.625" style="326" customWidth="1"/>
    <col min="10044" max="10044" width="10.75" style="326" bestFit="1" customWidth="1"/>
    <col min="10045" max="10045" width="12.375" style="326" customWidth="1"/>
    <col min="10046" max="10048" width="9" style="326"/>
    <col min="10049" max="10049" width="15.75" style="326" customWidth="1"/>
    <col min="10050" max="10050" width="9" style="326"/>
    <col min="10051" max="10051" width="10.75" style="326" bestFit="1" customWidth="1"/>
    <col min="10052" max="10052" width="12.625" style="326" customWidth="1"/>
    <col min="10053" max="10055" width="9" style="326"/>
    <col min="10056" max="10056" width="13.625" style="326" customWidth="1"/>
    <col min="10057" max="10057" width="9" style="326"/>
    <col min="10058" max="10058" width="10.75" style="326" bestFit="1" customWidth="1"/>
    <col min="10059" max="10059" width="12.5" style="326" customWidth="1"/>
    <col min="10060" max="10062" width="9" style="326"/>
    <col min="10063" max="10063" width="12.875" style="326" customWidth="1"/>
    <col min="10064" max="10064" width="9" style="326"/>
    <col min="10065" max="10065" width="10.75" style="326" bestFit="1" customWidth="1"/>
    <col min="10066" max="10066" width="13.875" style="326" customWidth="1"/>
    <col min="10067" max="10069" width="9" style="326"/>
    <col min="10070" max="10070" width="14.125" style="326" customWidth="1"/>
    <col min="10071" max="10071" width="9" style="326"/>
    <col min="10072" max="10072" width="10.75" style="326" bestFit="1" customWidth="1"/>
    <col min="10073" max="10073" width="13.25" style="326" customWidth="1"/>
    <col min="10074" max="10076" width="9" style="326"/>
    <col min="10077" max="10077" width="13.25" style="326" customWidth="1"/>
    <col min="10078" max="10078" width="9" style="326"/>
    <col min="10079" max="10079" width="10.75" style="326" bestFit="1" customWidth="1"/>
    <col min="10080" max="10080" width="13.875" style="326" customWidth="1"/>
    <col min="10081" max="10083" width="9" style="326"/>
    <col min="10084" max="10084" width="13.625" style="326" customWidth="1"/>
    <col min="10085" max="10085" width="9" style="326"/>
    <col min="10086" max="10086" width="10.75" style="326" bestFit="1" customWidth="1"/>
    <col min="10087" max="10087" width="13" style="326" customWidth="1"/>
    <col min="10088" max="10234" width="9" style="326"/>
    <col min="10235" max="10236" width="12.125" style="326" customWidth="1"/>
    <col min="10237" max="10239" width="13" style="326" customWidth="1"/>
    <col min="10240" max="10240" width="12.875" style="326" customWidth="1"/>
    <col min="10241" max="10241" width="13" style="326" customWidth="1"/>
    <col min="10242" max="10242" width="13.125" style="326" customWidth="1"/>
    <col min="10243" max="10244" width="12.125" style="326" customWidth="1"/>
    <col min="10245" max="10245" width="14.375" style="326" bestFit="1" customWidth="1"/>
    <col min="10246" max="10246" width="11" style="326" customWidth="1"/>
    <col min="10247" max="10247" width="10" style="326" customWidth="1"/>
    <col min="10248" max="10248" width="10.875" style="326" customWidth="1"/>
    <col min="10249" max="10249" width="13.75" style="326" customWidth="1"/>
    <col min="10250" max="10250" width="10" style="326" customWidth="1"/>
    <col min="10251" max="10251" width="13.25" style="326" customWidth="1"/>
    <col min="10252" max="10252" width="14.375" style="326" customWidth="1"/>
    <col min="10253" max="10253" width="10" style="326" customWidth="1"/>
    <col min="10254" max="10254" width="10.875" style="326" customWidth="1"/>
    <col min="10255" max="10255" width="11.375" style="326" customWidth="1"/>
    <col min="10256" max="10256" width="15.375" style="326" customWidth="1"/>
    <col min="10257" max="10258" width="10.75" style="326" customWidth="1"/>
    <col min="10259" max="10259" width="14.375" style="326" customWidth="1"/>
    <col min="10260" max="10260" width="10.75" style="326" customWidth="1"/>
    <col min="10261" max="10261" width="11.75" style="326" customWidth="1"/>
    <col min="10262" max="10262" width="10" style="326" customWidth="1"/>
    <col min="10263" max="10263" width="15.375" style="326" customWidth="1"/>
    <col min="10264" max="10264" width="10" style="326" customWidth="1"/>
    <col min="10265" max="10265" width="10.75" style="326" customWidth="1"/>
    <col min="10266" max="10266" width="14.875" style="326" customWidth="1"/>
    <col min="10267" max="10267" width="11.5" style="326" customWidth="1"/>
    <col min="10268" max="10268" width="10" style="326" customWidth="1"/>
    <col min="10269" max="10269" width="10.75" style="326" customWidth="1"/>
    <col min="10270" max="10270" width="13.5" style="326" customWidth="1"/>
    <col min="10271" max="10271" width="9" style="326"/>
    <col min="10272" max="10272" width="10.75" style="326" bestFit="1" customWidth="1"/>
    <col min="10273" max="10273" width="13.75" style="326" customWidth="1"/>
    <col min="10274" max="10274" width="9" style="326"/>
    <col min="10275" max="10275" width="10.625" style="326" customWidth="1"/>
    <col min="10276" max="10276" width="9" style="326"/>
    <col min="10277" max="10277" width="14.25" style="326" customWidth="1"/>
    <col min="10278" max="10278" width="10.75" style="326" bestFit="1" customWidth="1"/>
    <col min="10279" max="10279" width="11.625" style="326" customWidth="1"/>
    <col min="10280" max="10280" width="13.75" style="326" customWidth="1"/>
    <col min="10281" max="10281" width="10.625" style="326" customWidth="1"/>
    <col min="10282" max="10283" width="9" style="326"/>
    <col min="10284" max="10284" width="14.125" style="326" customWidth="1"/>
    <col min="10285" max="10285" width="11" style="326" customWidth="1"/>
    <col min="10286" max="10286" width="10.75" style="326" bestFit="1" customWidth="1"/>
    <col min="10287" max="10287" width="13.5" style="326" customWidth="1"/>
    <col min="10288" max="10289" width="9" style="326"/>
    <col min="10290" max="10290" width="10.75" style="326" bestFit="1" customWidth="1"/>
    <col min="10291" max="10291" width="14" style="326" customWidth="1"/>
    <col min="10292" max="10292" width="9" style="326"/>
    <col min="10293" max="10293" width="10.75" style="326" customWidth="1"/>
    <col min="10294" max="10294" width="12.75" style="326" customWidth="1"/>
    <col min="10295" max="10295" width="9" style="326"/>
    <col min="10296" max="10296" width="10.75" style="326" bestFit="1" customWidth="1"/>
    <col min="10297" max="10297" width="11.5" style="326" customWidth="1"/>
    <col min="10298" max="10298" width="13.625" style="326" customWidth="1"/>
    <col min="10299" max="10299" width="10.625" style="326" customWidth="1"/>
    <col min="10300" max="10300" width="10.75" style="326" bestFit="1" customWidth="1"/>
    <col min="10301" max="10301" width="12.375" style="326" customWidth="1"/>
    <col min="10302" max="10304" width="9" style="326"/>
    <col min="10305" max="10305" width="15.75" style="326" customWidth="1"/>
    <col min="10306" max="10306" width="9" style="326"/>
    <col min="10307" max="10307" width="10.75" style="326" bestFit="1" customWidth="1"/>
    <col min="10308" max="10308" width="12.625" style="326" customWidth="1"/>
    <col min="10309" max="10311" width="9" style="326"/>
    <col min="10312" max="10312" width="13.625" style="326" customWidth="1"/>
    <col min="10313" max="10313" width="9" style="326"/>
    <col min="10314" max="10314" width="10.75" style="326" bestFit="1" customWidth="1"/>
    <col min="10315" max="10315" width="12.5" style="326" customWidth="1"/>
    <col min="10316" max="10318" width="9" style="326"/>
    <col min="10319" max="10319" width="12.875" style="326" customWidth="1"/>
    <col min="10320" max="10320" width="9" style="326"/>
    <col min="10321" max="10321" width="10.75" style="326" bestFit="1" customWidth="1"/>
    <col min="10322" max="10322" width="13.875" style="326" customWidth="1"/>
    <col min="10323" max="10325" width="9" style="326"/>
    <col min="10326" max="10326" width="14.125" style="326" customWidth="1"/>
    <col min="10327" max="10327" width="9" style="326"/>
    <col min="10328" max="10328" width="10.75" style="326" bestFit="1" customWidth="1"/>
    <col min="10329" max="10329" width="13.25" style="326" customWidth="1"/>
    <col min="10330" max="10332" width="9" style="326"/>
    <col min="10333" max="10333" width="13.25" style="326" customWidth="1"/>
    <col min="10334" max="10334" width="9" style="326"/>
    <col min="10335" max="10335" width="10.75" style="326" bestFit="1" customWidth="1"/>
    <col min="10336" max="10336" width="13.875" style="326" customWidth="1"/>
    <col min="10337" max="10339" width="9" style="326"/>
    <col min="10340" max="10340" width="13.625" style="326" customWidth="1"/>
    <col min="10341" max="10341" width="9" style="326"/>
    <col min="10342" max="10342" width="10.75" style="326" bestFit="1" customWidth="1"/>
    <col min="10343" max="10343" width="13" style="326" customWidth="1"/>
    <col min="10344" max="10490" width="9" style="326"/>
    <col min="10491" max="10492" width="12.125" style="326" customWidth="1"/>
    <col min="10493" max="10495" width="13" style="326" customWidth="1"/>
    <col min="10496" max="10496" width="12.875" style="326" customWidth="1"/>
    <col min="10497" max="10497" width="13" style="326" customWidth="1"/>
    <col min="10498" max="10498" width="13.125" style="326" customWidth="1"/>
    <col min="10499" max="10500" width="12.125" style="326" customWidth="1"/>
    <col min="10501" max="10501" width="14.375" style="326" bestFit="1" customWidth="1"/>
    <col min="10502" max="10502" width="11" style="326" customWidth="1"/>
    <col min="10503" max="10503" width="10" style="326" customWidth="1"/>
    <col min="10504" max="10504" width="10.875" style="326" customWidth="1"/>
    <col min="10505" max="10505" width="13.75" style="326" customWidth="1"/>
    <col min="10506" max="10506" width="10" style="326" customWidth="1"/>
    <col min="10507" max="10507" width="13.25" style="326" customWidth="1"/>
    <col min="10508" max="10508" width="14.375" style="326" customWidth="1"/>
    <col min="10509" max="10509" width="10" style="326" customWidth="1"/>
    <col min="10510" max="10510" width="10.875" style="326" customWidth="1"/>
    <col min="10511" max="10511" width="11.375" style="326" customWidth="1"/>
    <col min="10512" max="10512" width="15.375" style="326" customWidth="1"/>
    <col min="10513" max="10514" width="10.75" style="326" customWidth="1"/>
    <col min="10515" max="10515" width="14.375" style="326" customWidth="1"/>
    <col min="10516" max="10516" width="10.75" style="326" customWidth="1"/>
    <col min="10517" max="10517" width="11.75" style="326" customWidth="1"/>
    <col min="10518" max="10518" width="10" style="326" customWidth="1"/>
    <col min="10519" max="10519" width="15.375" style="326" customWidth="1"/>
    <col min="10520" max="10520" width="10" style="326" customWidth="1"/>
    <col min="10521" max="10521" width="10.75" style="326" customWidth="1"/>
    <col min="10522" max="10522" width="14.875" style="326" customWidth="1"/>
    <col min="10523" max="10523" width="11.5" style="326" customWidth="1"/>
    <col min="10524" max="10524" width="10" style="326" customWidth="1"/>
    <col min="10525" max="10525" width="10.75" style="326" customWidth="1"/>
    <col min="10526" max="10526" width="13.5" style="326" customWidth="1"/>
    <col min="10527" max="10527" width="9" style="326"/>
    <col min="10528" max="10528" width="10.75" style="326" bestFit="1" customWidth="1"/>
    <col min="10529" max="10529" width="13.75" style="326" customWidth="1"/>
    <col min="10530" max="10530" width="9" style="326"/>
    <col min="10531" max="10531" width="10.625" style="326" customWidth="1"/>
    <col min="10532" max="10532" width="9" style="326"/>
    <col min="10533" max="10533" width="14.25" style="326" customWidth="1"/>
    <col min="10534" max="10534" width="10.75" style="326" bestFit="1" customWidth="1"/>
    <col min="10535" max="10535" width="11.625" style="326" customWidth="1"/>
    <col min="10536" max="10536" width="13.75" style="326" customWidth="1"/>
    <col min="10537" max="10537" width="10.625" style="326" customWidth="1"/>
    <col min="10538" max="10539" width="9" style="326"/>
    <col min="10540" max="10540" width="14.125" style="326" customWidth="1"/>
    <col min="10541" max="10541" width="11" style="326" customWidth="1"/>
    <col min="10542" max="10542" width="10.75" style="326" bestFit="1" customWidth="1"/>
    <col min="10543" max="10543" width="13.5" style="326" customWidth="1"/>
    <col min="10544" max="10545" width="9" style="326"/>
    <col min="10546" max="10546" width="10.75" style="326" bestFit="1" customWidth="1"/>
    <col min="10547" max="10547" width="14" style="326" customWidth="1"/>
    <col min="10548" max="10548" width="9" style="326"/>
    <col min="10549" max="10549" width="10.75" style="326" customWidth="1"/>
    <col min="10550" max="10550" width="12.75" style="326" customWidth="1"/>
    <col min="10551" max="10551" width="9" style="326"/>
    <col min="10552" max="10552" width="10.75" style="326" bestFit="1" customWidth="1"/>
    <col min="10553" max="10553" width="11.5" style="326" customWidth="1"/>
    <col min="10554" max="10554" width="13.625" style="326" customWidth="1"/>
    <col min="10555" max="10555" width="10.625" style="326" customWidth="1"/>
    <col min="10556" max="10556" width="10.75" style="326" bestFit="1" customWidth="1"/>
    <col min="10557" max="10557" width="12.375" style="326" customWidth="1"/>
    <col min="10558" max="10560" width="9" style="326"/>
    <col min="10561" max="10561" width="15.75" style="326" customWidth="1"/>
    <col min="10562" max="10562" width="9" style="326"/>
    <col min="10563" max="10563" width="10.75" style="326" bestFit="1" customWidth="1"/>
    <col min="10564" max="10564" width="12.625" style="326" customWidth="1"/>
    <col min="10565" max="10567" width="9" style="326"/>
    <col min="10568" max="10568" width="13.625" style="326" customWidth="1"/>
    <col min="10569" max="10569" width="9" style="326"/>
    <col min="10570" max="10570" width="10.75" style="326" bestFit="1" customWidth="1"/>
    <col min="10571" max="10571" width="12.5" style="326" customWidth="1"/>
    <col min="10572" max="10574" width="9" style="326"/>
    <col min="10575" max="10575" width="12.875" style="326" customWidth="1"/>
    <col min="10576" max="10576" width="9" style="326"/>
    <col min="10577" max="10577" width="10.75" style="326" bestFit="1" customWidth="1"/>
    <col min="10578" max="10578" width="13.875" style="326" customWidth="1"/>
    <col min="10579" max="10581" width="9" style="326"/>
    <col min="10582" max="10582" width="14.125" style="326" customWidth="1"/>
    <col min="10583" max="10583" width="9" style="326"/>
    <col min="10584" max="10584" width="10.75" style="326" bestFit="1" customWidth="1"/>
    <col min="10585" max="10585" width="13.25" style="326" customWidth="1"/>
    <col min="10586" max="10588" width="9" style="326"/>
    <col min="10589" max="10589" width="13.25" style="326" customWidth="1"/>
    <col min="10590" max="10590" width="9" style="326"/>
    <col min="10591" max="10591" width="10.75" style="326" bestFit="1" customWidth="1"/>
    <col min="10592" max="10592" width="13.875" style="326" customWidth="1"/>
    <col min="10593" max="10595" width="9" style="326"/>
    <col min="10596" max="10596" width="13.625" style="326" customWidth="1"/>
    <col min="10597" max="10597" width="9" style="326"/>
    <col min="10598" max="10598" width="10.75" style="326" bestFit="1" customWidth="1"/>
    <col min="10599" max="10599" width="13" style="326" customWidth="1"/>
    <col min="10600" max="10746" width="9" style="326"/>
    <col min="10747" max="10748" width="12.125" style="326" customWidth="1"/>
    <col min="10749" max="10751" width="13" style="326" customWidth="1"/>
    <col min="10752" max="10752" width="12.875" style="326" customWidth="1"/>
    <col min="10753" max="10753" width="13" style="326" customWidth="1"/>
    <col min="10754" max="10754" width="13.125" style="326" customWidth="1"/>
    <col min="10755" max="10756" width="12.125" style="326" customWidth="1"/>
    <col min="10757" max="10757" width="14.375" style="326" bestFit="1" customWidth="1"/>
    <col min="10758" max="10758" width="11" style="326" customWidth="1"/>
    <col min="10759" max="10759" width="10" style="326" customWidth="1"/>
    <col min="10760" max="10760" width="10.875" style="326" customWidth="1"/>
    <col min="10761" max="10761" width="13.75" style="326" customWidth="1"/>
    <col min="10762" max="10762" width="10" style="326" customWidth="1"/>
    <col min="10763" max="10763" width="13.25" style="326" customWidth="1"/>
    <col min="10764" max="10764" width="14.375" style="326" customWidth="1"/>
    <col min="10765" max="10765" width="10" style="326" customWidth="1"/>
    <col min="10766" max="10766" width="10.875" style="326" customWidth="1"/>
    <col min="10767" max="10767" width="11.375" style="326" customWidth="1"/>
    <col min="10768" max="10768" width="15.375" style="326" customWidth="1"/>
    <col min="10769" max="10770" width="10.75" style="326" customWidth="1"/>
    <col min="10771" max="10771" width="14.375" style="326" customWidth="1"/>
    <col min="10772" max="10772" width="10.75" style="326" customWidth="1"/>
    <col min="10773" max="10773" width="11.75" style="326" customWidth="1"/>
    <col min="10774" max="10774" width="10" style="326" customWidth="1"/>
    <col min="10775" max="10775" width="15.375" style="326" customWidth="1"/>
    <col min="10776" max="10776" width="10" style="326" customWidth="1"/>
    <col min="10777" max="10777" width="10.75" style="326" customWidth="1"/>
    <col min="10778" max="10778" width="14.875" style="326" customWidth="1"/>
    <col min="10779" max="10779" width="11.5" style="326" customWidth="1"/>
    <col min="10780" max="10780" width="10" style="326" customWidth="1"/>
    <col min="10781" max="10781" width="10.75" style="326" customWidth="1"/>
    <col min="10782" max="10782" width="13.5" style="326" customWidth="1"/>
    <col min="10783" max="10783" width="9" style="326"/>
    <col min="10784" max="10784" width="10.75" style="326" bestFit="1" customWidth="1"/>
    <col min="10785" max="10785" width="13.75" style="326" customWidth="1"/>
    <col min="10786" max="10786" width="9" style="326"/>
    <col min="10787" max="10787" width="10.625" style="326" customWidth="1"/>
    <col min="10788" max="10788" width="9" style="326"/>
    <col min="10789" max="10789" width="14.25" style="326" customWidth="1"/>
    <col min="10790" max="10790" width="10.75" style="326" bestFit="1" customWidth="1"/>
    <col min="10791" max="10791" width="11.625" style="326" customWidth="1"/>
    <col min="10792" max="10792" width="13.75" style="326" customWidth="1"/>
    <col min="10793" max="10793" width="10.625" style="326" customWidth="1"/>
    <col min="10794" max="10795" width="9" style="326"/>
    <col min="10796" max="10796" width="14.125" style="326" customWidth="1"/>
    <col min="10797" max="10797" width="11" style="326" customWidth="1"/>
    <col min="10798" max="10798" width="10.75" style="326" bestFit="1" customWidth="1"/>
    <col min="10799" max="10799" width="13.5" style="326" customWidth="1"/>
    <col min="10800" max="10801" width="9" style="326"/>
    <col min="10802" max="10802" width="10.75" style="326" bestFit="1" customWidth="1"/>
    <col min="10803" max="10803" width="14" style="326" customWidth="1"/>
    <col min="10804" max="10804" width="9" style="326"/>
    <col min="10805" max="10805" width="10.75" style="326" customWidth="1"/>
    <col min="10806" max="10806" width="12.75" style="326" customWidth="1"/>
    <col min="10807" max="10807" width="9" style="326"/>
    <col min="10808" max="10808" width="10.75" style="326" bestFit="1" customWidth="1"/>
    <col min="10809" max="10809" width="11.5" style="326" customWidth="1"/>
    <col min="10810" max="10810" width="13.625" style="326" customWidth="1"/>
    <col min="10811" max="10811" width="10.625" style="326" customWidth="1"/>
    <col min="10812" max="10812" width="10.75" style="326" bestFit="1" customWidth="1"/>
    <col min="10813" max="10813" width="12.375" style="326" customWidth="1"/>
    <col min="10814" max="10816" width="9" style="326"/>
    <col min="10817" max="10817" width="15.75" style="326" customWidth="1"/>
    <col min="10818" max="10818" width="9" style="326"/>
    <col min="10819" max="10819" width="10.75" style="326" bestFit="1" customWidth="1"/>
    <col min="10820" max="10820" width="12.625" style="326" customWidth="1"/>
    <col min="10821" max="10823" width="9" style="326"/>
    <col min="10824" max="10824" width="13.625" style="326" customWidth="1"/>
    <col min="10825" max="10825" width="9" style="326"/>
    <col min="10826" max="10826" width="10.75" style="326" bestFit="1" customWidth="1"/>
    <col min="10827" max="10827" width="12.5" style="326" customWidth="1"/>
    <col min="10828" max="10830" width="9" style="326"/>
    <col min="10831" max="10831" width="12.875" style="326" customWidth="1"/>
    <col min="10832" max="10832" width="9" style="326"/>
    <col min="10833" max="10833" width="10.75" style="326" bestFit="1" customWidth="1"/>
    <col min="10834" max="10834" width="13.875" style="326" customWidth="1"/>
    <col min="10835" max="10837" width="9" style="326"/>
    <col min="10838" max="10838" width="14.125" style="326" customWidth="1"/>
    <col min="10839" max="10839" width="9" style="326"/>
    <col min="10840" max="10840" width="10.75" style="326" bestFit="1" customWidth="1"/>
    <col min="10841" max="10841" width="13.25" style="326" customWidth="1"/>
    <col min="10842" max="10844" width="9" style="326"/>
    <col min="10845" max="10845" width="13.25" style="326" customWidth="1"/>
    <col min="10846" max="10846" width="9" style="326"/>
    <col min="10847" max="10847" width="10.75" style="326" bestFit="1" customWidth="1"/>
    <col min="10848" max="10848" width="13.875" style="326" customWidth="1"/>
    <col min="10849" max="10851" width="9" style="326"/>
    <col min="10852" max="10852" width="13.625" style="326" customWidth="1"/>
    <col min="10853" max="10853" width="9" style="326"/>
    <col min="10854" max="10854" width="10.75" style="326" bestFit="1" customWidth="1"/>
    <col min="10855" max="10855" width="13" style="326" customWidth="1"/>
    <col min="10856" max="11002" width="9" style="326"/>
    <col min="11003" max="11004" width="12.125" style="326" customWidth="1"/>
    <col min="11005" max="11007" width="13" style="326" customWidth="1"/>
    <col min="11008" max="11008" width="12.875" style="326" customWidth="1"/>
    <col min="11009" max="11009" width="13" style="326" customWidth="1"/>
    <col min="11010" max="11010" width="13.125" style="326" customWidth="1"/>
    <col min="11011" max="11012" width="12.125" style="326" customWidth="1"/>
    <col min="11013" max="11013" width="14.375" style="326" bestFit="1" customWidth="1"/>
    <col min="11014" max="11014" width="11" style="326" customWidth="1"/>
    <col min="11015" max="11015" width="10" style="326" customWidth="1"/>
    <col min="11016" max="11016" width="10.875" style="326" customWidth="1"/>
    <col min="11017" max="11017" width="13.75" style="326" customWidth="1"/>
    <col min="11018" max="11018" width="10" style="326" customWidth="1"/>
    <col min="11019" max="11019" width="13.25" style="326" customWidth="1"/>
    <col min="11020" max="11020" width="14.375" style="326" customWidth="1"/>
    <col min="11021" max="11021" width="10" style="326" customWidth="1"/>
    <col min="11022" max="11022" width="10.875" style="326" customWidth="1"/>
    <col min="11023" max="11023" width="11.375" style="326" customWidth="1"/>
    <col min="11024" max="11024" width="15.375" style="326" customWidth="1"/>
    <col min="11025" max="11026" width="10.75" style="326" customWidth="1"/>
    <col min="11027" max="11027" width="14.375" style="326" customWidth="1"/>
    <col min="11028" max="11028" width="10.75" style="326" customWidth="1"/>
    <col min="11029" max="11029" width="11.75" style="326" customWidth="1"/>
    <col min="11030" max="11030" width="10" style="326" customWidth="1"/>
    <col min="11031" max="11031" width="15.375" style="326" customWidth="1"/>
    <col min="11032" max="11032" width="10" style="326" customWidth="1"/>
    <col min="11033" max="11033" width="10.75" style="326" customWidth="1"/>
    <col min="11034" max="11034" width="14.875" style="326" customWidth="1"/>
    <col min="11035" max="11035" width="11.5" style="326" customWidth="1"/>
    <col min="11036" max="11036" width="10" style="326" customWidth="1"/>
    <col min="11037" max="11037" width="10.75" style="326" customWidth="1"/>
    <col min="11038" max="11038" width="13.5" style="326" customWidth="1"/>
    <col min="11039" max="11039" width="9" style="326"/>
    <col min="11040" max="11040" width="10.75" style="326" bestFit="1" customWidth="1"/>
    <col min="11041" max="11041" width="13.75" style="326" customWidth="1"/>
    <col min="11042" max="11042" width="9" style="326"/>
    <col min="11043" max="11043" width="10.625" style="326" customWidth="1"/>
    <col min="11044" max="11044" width="9" style="326"/>
    <col min="11045" max="11045" width="14.25" style="326" customWidth="1"/>
    <col min="11046" max="11046" width="10.75" style="326" bestFit="1" customWidth="1"/>
    <col min="11047" max="11047" width="11.625" style="326" customWidth="1"/>
    <col min="11048" max="11048" width="13.75" style="326" customWidth="1"/>
    <col min="11049" max="11049" width="10.625" style="326" customWidth="1"/>
    <col min="11050" max="11051" width="9" style="326"/>
    <col min="11052" max="11052" width="14.125" style="326" customWidth="1"/>
    <col min="11053" max="11053" width="11" style="326" customWidth="1"/>
    <col min="11054" max="11054" width="10.75" style="326" bestFit="1" customWidth="1"/>
    <col min="11055" max="11055" width="13.5" style="326" customWidth="1"/>
    <col min="11056" max="11057" width="9" style="326"/>
    <col min="11058" max="11058" width="10.75" style="326" bestFit="1" customWidth="1"/>
    <col min="11059" max="11059" width="14" style="326" customWidth="1"/>
    <col min="11060" max="11060" width="9" style="326"/>
    <col min="11061" max="11061" width="10.75" style="326" customWidth="1"/>
    <col min="11062" max="11062" width="12.75" style="326" customWidth="1"/>
    <col min="11063" max="11063" width="9" style="326"/>
    <col min="11064" max="11064" width="10.75" style="326" bestFit="1" customWidth="1"/>
    <col min="11065" max="11065" width="11.5" style="326" customWidth="1"/>
    <col min="11066" max="11066" width="13.625" style="326" customWidth="1"/>
    <col min="11067" max="11067" width="10.625" style="326" customWidth="1"/>
    <col min="11068" max="11068" width="10.75" style="326" bestFit="1" customWidth="1"/>
    <col min="11069" max="11069" width="12.375" style="326" customWidth="1"/>
    <col min="11070" max="11072" width="9" style="326"/>
    <col min="11073" max="11073" width="15.75" style="326" customWidth="1"/>
    <col min="11074" max="11074" width="9" style="326"/>
    <col min="11075" max="11075" width="10.75" style="326" bestFit="1" customWidth="1"/>
    <col min="11076" max="11076" width="12.625" style="326" customWidth="1"/>
    <col min="11077" max="11079" width="9" style="326"/>
    <col min="11080" max="11080" width="13.625" style="326" customWidth="1"/>
    <col min="11081" max="11081" width="9" style="326"/>
    <col min="11082" max="11082" width="10.75" style="326" bestFit="1" customWidth="1"/>
    <col min="11083" max="11083" width="12.5" style="326" customWidth="1"/>
    <col min="11084" max="11086" width="9" style="326"/>
    <col min="11087" max="11087" width="12.875" style="326" customWidth="1"/>
    <col min="11088" max="11088" width="9" style="326"/>
    <col min="11089" max="11089" width="10.75" style="326" bestFit="1" customWidth="1"/>
    <col min="11090" max="11090" width="13.875" style="326" customWidth="1"/>
    <col min="11091" max="11093" width="9" style="326"/>
    <col min="11094" max="11094" width="14.125" style="326" customWidth="1"/>
    <col min="11095" max="11095" width="9" style="326"/>
    <col min="11096" max="11096" width="10.75" style="326" bestFit="1" customWidth="1"/>
    <col min="11097" max="11097" width="13.25" style="326" customWidth="1"/>
    <col min="11098" max="11100" width="9" style="326"/>
    <col min="11101" max="11101" width="13.25" style="326" customWidth="1"/>
    <col min="11102" max="11102" width="9" style="326"/>
    <col min="11103" max="11103" width="10.75" style="326" bestFit="1" customWidth="1"/>
    <col min="11104" max="11104" width="13.875" style="326" customWidth="1"/>
    <col min="11105" max="11107" width="9" style="326"/>
    <col min="11108" max="11108" width="13.625" style="326" customWidth="1"/>
    <col min="11109" max="11109" width="9" style="326"/>
    <col min="11110" max="11110" width="10.75" style="326" bestFit="1" customWidth="1"/>
    <col min="11111" max="11111" width="13" style="326" customWidth="1"/>
    <col min="11112" max="11258" width="9" style="326"/>
    <col min="11259" max="11260" width="12.125" style="326" customWidth="1"/>
    <col min="11261" max="11263" width="13" style="326" customWidth="1"/>
    <col min="11264" max="11264" width="12.875" style="326" customWidth="1"/>
    <col min="11265" max="11265" width="13" style="326" customWidth="1"/>
    <col min="11266" max="11266" width="13.125" style="326" customWidth="1"/>
    <col min="11267" max="11268" width="12.125" style="326" customWidth="1"/>
    <col min="11269" max="11269" width="14.375" style="326" bestFit="1" customWidth="1"/>
    <col min="11270" max="11270" width="11" style="326" customWidth="1"/>
    <col min="11271" max="11271" width="10" style="326" customWidth="1"/>
    <col min="11272" max="11272" width="10.875" style="326" customWidth="1"/>
    <col min="11273" max="11273" width="13.75" style="326" customWidth="1"/>
    <col min="11274" max="11274" width="10" style="326" customWidth="1"/>
    <col min="11275" max="11275" width="13.25" style="326" customWidth="1"/>
    <col min="11276" max="11276" width="14.375" style="326" customWidth="1"/>
    <col min="11277" max="11277" width="10" style="326" customWidth="1"/>
    <col min="11278" max="11278" width="10.875" style="326" customWidth="1"/>
    <col min="11279" max="11279" width="11.375" style="326" customWidth="1"/>
    <col min="11280" max="11280" width="15.375" style="326" customWidth="1"/>
    <col min="11281" max="11282" width="10.75" style="326" customWidth="1"/>
    <col min="11283" max="11283" width="14.375" style="326" customWidth="1"/>
    <col min="11284" max="11284" width="10.75" style="326" customWidth="1"/>
    <col min="11285" max="11285" width="11.75" style="326" customWidth="1"/>
    <col min="11286" max="11286" width="10" style="326" customWidth="1"/>
    <col min="11287" max="11287" width="15.375" style="326" customWidth="1"/>
    <col min="11288" max="11288" width="10" style="326" customWidth="1"/>
    <col min="11289" max="11289" width="10.75" style="326" customWidth="1"/>
    <col min="11290" max="11290" width="14.875" style="326" customWidth="1"/>
    <col min="11291" max="11291" width="11.5" style="326" customWidth="1"/>
    <col min="11292" max="11292" width="10" style="326" customWidth="1"/>
    <col min="11293" max="11293" width="10.75" style="326" customWidth="1"/>
    <col min="11294" max="11294" width="13.5" style="326" customWidth="1"/>
    <col min="11295" max="11295" width="9" style="326"/>
    <col min="11296" max="11296" width="10.75" style="326" bestFit="1" customWidth="1"/>
    <col min="11297" max="11297" width="13.75" style="326" customWidth="1"/>
    <col min="11298" max="11298" width="9" style="326"/>
    <col min="11299" max="11299" width="10.625" style="326" customWidth="1"/>
    <col min="11300" max="11300" width="9" style="326"/>
    <col min="11301" max="11301" width="14.25" style="326" customWidth="1"/>
    <col min="11302" max="11302" width="10.75" style="326" bestFit="1" customWidth="1"/>
    <col min="11303" max="11303" width="11.625" style="326" customWidth="1"/>
    <col min="11304" max="11304" width="13.75" style="326" customWidth="1"/>
    <col min="11305" max="11305" width="10.625" style="326" customWidth="1"/>
    <col min="11306" max="11307" width="9" style="326"/>
    <col min="11308" max="11308" width="14.125" style="326" customWidth="1"/>
    <col min="11309" max="11309" width="11" style="326" customWidth="1"/>
    <col min="11310" max="11310" width="10.75" style="326" bestFit="1" customWidth="1"/>
    <col min="11311" max="11311" width="13.5" style="326" customWidth="1"/>
    <col min="11312" max="11313" width="9" style="326"/>
    <col min="11314" max="11314" width="10.75" style="326" bestFit="1" customWidth="1"/>
    <col min="11315" max="11315" width="14" style="326" customWidth="1"/>
    <col min="11316" max="11316" width="9" style="326"/>
    <col min="11317" max="11317" width="10.75" style="326" customWidth="1"/>
    <col min="11318" max="11318" width="12.75" style="326" customWidth="1"/>
    <col min="11319" max="11319" width="9" style="326"/>
    <col min="11320" max="11320" width="10.75" style="326" bestFit="1" customWidth="1"/>
    <col min="11321" max="11321" width="11.5" style="326" customWidth="1"/>
    <col min="11322" max="11322" width="13.625" style="326" customWidth="1"/>
    <col min="11323" max="11323" width="10.625" style="326" customWidth="1"/>
    <col min="11324" max="11324" width="10.75" style="326" bestFit="1" customWidth="1"/>
    <col min="11325" max="11325" width="12.375" style="326" customWidth="1"/>
    <col min="11326" max="11328" width="9" style="326"/>
    <col min="11329" max="11329" width="15.75" style="326" customWidth="1"/>
    <col min="11330" max="11330" width="9" style="326"/>
    <col min="11331" max="11331" width="10.75" style="326" bestFit="1" customWidth="1"/>
    <col min="11332" max="11332" width="12.625" style="326" customWidth="1"/>
    <col min="11333" max="11335" width="9" style="326"/>
    <col min="11336" max="11336" width="13.625" style="326" customWidth="1"/>
    <col min="11337" max="11337" width="9" style="326"/>
    <col min="11338" max="11338" width="10.75" style="326" bestFit="1" customWidth="1"/>
    <col min="11339" max="11339" width="12.5" style="326" customWidth="1"/>
    <col min="11340" max="11342" width="9" style="326"/>
    <col min="11343" max="11343" width="12.875" style="326" customWidth="1"/>
    <col min="11344" max="11344" width="9" style="326"/>
    <col min="11345" max="11345" width="10.75" style="326" bestFit="1" customWidth="1"/>
    <col min="11346" max="11346" width="13.875" style="326" customWidth="1"/>
    <col min="11347" max="11349" width="9" style="326"/>
    <col min="11350" max="11350" width="14.125" style="326" customWidth="1"/>
    <col min="11351" max="11351" width="9" style="326"/>
    <col min="11352" max="11352" width="10.75" style="326" bestFit="1" customWidth="1"/>
    <col min="11353" max="11353" width="13.25" style="326" customWidth="1"/>
    <col min="11354" max="11356" width="9" style="326"/>
    <col min="11357" max="11357" width="13.25" style="326" customWidth="1"/>
    <col min="11358" max="11358" width="9" style="326"/>
    <col min="11359" max="11359" width="10.75" style="326" bestFit="1" customWidth="1"/>
    <col min="11360" max="11360" width="13.875" style="326" customWidth="1"/>
    <col min="11361" max="11363" width="9" style="326"/>
    <col min="11364" max="11364" width="13.625" style="326" customWidth="1"/>
    <col min="11365" max="11365" width="9" style="326"/>
    <col min="11366" max="11366" width="10.75" style="326" bestFit="1" customWidth="1"/>
    <col min="11367" max="11367" width="13" style="326" customWidth="1"/>
    <col min="11368" max="11514" width="9" style="326"/>
    <col min="11515" max="11516" width="12.125" style="326" customWidth="1"/>
    <col min="11517" max="11519" width="13" style="326" customWidth="1"/>
    <col min="11520" max="11520" width="12.875" style="326" customWidth="1"/>
    <col min="11521" max="11521" width="13" style="326" customWidth="1"/>
    <col min="11522" max="11522" width="13.125" style="326" customWidth="1"/>
    <col min="11523" max="11524" width="12.125" style="326" customWidth="1"/>
    <col min="11525" max="11525" width="14.375" style="326" bestFit="1" customWidth="1"/>
    <col min="11526" max="11526" width="11" style="326" customWidth="1"/>
    <col min="11527" max="11527" width="10" style="326" customWidth="1"/>
    <col min="11528" max="11528" width="10.875" style="326" customWidth="1"/>
    <col min="11529" max="11529" width="13.75" style="326" customWidth="1"/>
    <col min="11530" max="11530" width="10" style="326" customWidth="1"/>
    <col min="11531" max="11531" width="13.25" style="326" customWidth="1"/>
    <col min="11532" max="11532" width="14.375" style="326" customWidth="1"/>
    <col min="11533" max="11533" width="10" style="326" customWidth="1"/>
    <col min="11534" max="11534" width="10.875" style="326" customWidth="1"/>
    <col min="11535" max="11535" width="11.375" style="326" customWidth="1"/>
    <col min="11536" max="11536" width="15.375" style="326" customWidth="1"/>
    <col min="11537" max="11538" width="10.75" style="326" customWidth="1"/>
    <col min="11539" max="11539" width="14.375" style="326" customWidth="1"/>
    <col min="11540" max="11540" width="10.75" style="326" customWidth="1"/>
    <col min="11541" max="11541" width="11.75" style="326" customWidth="1"/>
    <col min="11542" max="11542" width="10" style="326" customWidth="1"/>
    <col min="11543" max="11543" width="15.375" style="326" customWidth="1"/>
    <col min="11544" max="11544" width="10" style="326" customWidth="1"/>
    <col min="11545" max="11545" width="10.75" style="326" customWidth="1"/>
    <col min="11546" max="11546" width="14.875" style="326" customWidth="1"/>
    <col min="11547" max="11547" width="11.5" style="326" customWidth="1"/>
    <col min="11548" max="11548" width="10" style="326" customWidth="1"/>
    <col min="11549" max="11549" width="10.75" style="326" customWidth="1"/>
    <col min="11550" max="11550" width="13.5" style="326" customWidth="1"/>
    <col min="11551" max="11551" width="9" style="326"/>
    <col min="11552" max="11552" width="10.75" style="326" bestFit="1" customWidth="1"/>
    <col min="11553" max="11553" width="13.75" style="326" customWidth="1"/>
    <col min="11554" max="11554" width="9" style="326"/>
    <col min="11555" max="11555" width="10.625" style="326" customWidth="1"/>
    <col min="11556" max="11556" width="9" style="326"/>
    <col min="11557" max="11557" width="14.25" style="326" customWidth="1"/>
    <col min="11558" max="11558" width="10.75" style="326" bestFit="1" customWidth="1"/>
    <col min="11559" max="11559" width="11.625" style="326" customWidth="1"/>
    <col min="11560" max="11560" width="13.75" style="326" customWidth="1"/>
    <col min="11561" max="11561" width="10.625" style="326" customWidth="1"/>
    <col min="11562" max="11563" width="9" style="326"/>
    <col min="11564" max="11564" width="14.125" style="326" customWidth="1"/>
    <col min="11565" max="11565" width="11" style="326" customWidth="1"/>
    <col min="11566" max="11566" width="10.75" style="326" bestFit="1" customWidth="1"/>
    <col min="11567" max="11567" width="13.5" style="326" customWidth="1"/>
    <col min="11568" max="11569" width="9" style="326"/>
    <col min="11570" max="11570" width="10.75" style="326" bestFit="1" customWidth="1"/>
    <col min="11571" max="11571" width="14" style="326" customWidth="1"/>
    <col min="11572" max="11572" width="9" style="326"/>
    <col min="11573" max="11573" width="10.75" style="326" customWidth="1"/>
    <col min="11574" max="11574" width="12.75" style="326" customWidth="1"/>
    <col min="11575" max="11575" width="9" style="326"/>
    <col min="11576" max="11576" width="10.75" style="326" bestFit="1" customWidth="1"/>
    <col min="11577" max="11577" width="11.5" style="326" customWidth="1"/>
    <col min="11578" max="11578" width="13.625" style="326" customWidth="1"/>
    <col min="11579" max="11579" width="10.625" style="326" customWidth="1"/>
    <col min="11580" max="11580" width="10.75" style="326" bestFit="1" customWidth="1"/>
    <col min="11581" max="11581" width="12.375" style="326" customWidth="1"/>
    <col min="11582" max="11584" width="9" style="326"/>
    <col min="11585" max="11585" width="15.75" style="326" customWidth="1"/>
    <col min="11586" max="11586" width="9" style="326"/>
    <col min="11587" max="11587" width="10.75" style="326" bestFit="1" customWidth="1"/>
    <col min="11588" max="11588" width="12.625" style="326" customWidth="1"/>
    <col min="11589" max="11591" width="9" style="326"/>
    <col min="11592" max="11592" width="13.625" style="326" customWidth="1"/>
    <col min="11593" max="11593" width="9" style="326"/>
    <col min="11594" max="11594" width="10.75" style="326" bestFit="1" customWidth="1"/>
    <col min="11595" max="11595" width="12.5" style="326" customWidth="1"/>
    <col min="11596" max="11598" width="9" style="326"/>
    <col min="11599" max="11599" width="12.875" style="326" customWidth="1"/>
    <col min="11600" max="11600" width="9" style="326"/>
    <col min="11601" max="11601" width="10.75" style="326" bestFit="1" customWidth="1"/>
    <col min="11602" max="11602" width="13.875" style="326" customWidth="1"/>
    <col min="11603" max="11605" width="9" style="326"/>
    <col min="11606" max="11606" width="14.125" style="326" customWidth="1"/>
    <col min="11607" max="11607" width="9" style="326"/>
    <col min="11608" max="11608" width="10.75" style="326" bestFit="1" customWidth="1"/>
    <col min="11609" max="11609" width="13.25" style="326" customWidth="1"/>
    <col min="11610" max="11612" width="9" style="326"/>
    <col min="11613" max="11613" width="13.25" style="326" customWidth="1"/>
    <col min="11614" max="11614" width="9" style="326"/>
    <col min="11615" max="11615" width="10.75" style="326" bestFit="1" customWidth="1"/>
    <col min="11616" max="11616" width="13.875" style="326" customWidth="1"/>
    <col min="11617" max="11619" width="9" style="326"/>
    <col min="11620" max="11620" width="13.625" style="326" customWidth="1"/>
    <col min="11621" max="11621" width="9" style="326"/>
    <col min="11622" max="11622" width="10.75" style="326" bestFit="1" customWidth="1"/>
    <col min="11623" max="11623" width="13" style="326" customWidth="1"/>
    <col min="11624" max="11770" width="9" style="326"/>
    <col min="11771" max="11772" width="12.125" style="326" customWidth="1"/>
    <col min="11773" max="11775" width="13" style="326" customWidth="1"/>
    <col min="11776" max="11776" width="12.875" style="326" customWidth="1"/>
    <col min="11777" max="11777" width="13" style="326" customWidth="1"/>
    <col min="11778" max="11778" width="13.125" style="326" customWidth="1"/>
    <col min="11779" max="11780" width="12.125" style="326" customWidth="1"/>
    <col min="11781" max="11781" width="14.375" style="326" bestFit="1" customWidth="1"/>
    <col min="11782" max="11782" width="11" style="326" customWidth="1"/>
    <col min="11783" max="11783" width="10" style="326" customWidth="1"/>
    <col min="11784" max="11784" width="10.875" style="326" customWidth="1"/>
    <col min="11785" max="11785" width="13.75" style="326" customWidth="1"/>
    <col min="11786" max="11786" width="10" style="326" customWidth="1"/>
    <col min="11787" max="11787" width="13.25" style="326" customWidth="1"/>
    <col min="11788" max="11788" width="14.375" style="326" customWidth="1"/>
    <col min="11789" max="11789" width="10" style="326" customWidth="1"/>
    <col min="11790" max="11790" width="10.875" style="326" customWidth="1"/>
    <col min="11791" max="11791" width="11.375" style="326" customWidth="1"/>
    <col min="11792" max="11792" width="15.375" style="326" customWidth="1"/>
    <col min="11793" max="11794" width="10.75" style="326" customWidth="1"/>
    <col min="11795" max="11795" width="14.375" style="326" customWidth="1"/>
    <col min="11796" max="11796" width="10.75" style="326" customWidth="1"/>
    <col min="11797" max="11797" width="11.75" style="326" customWidth="1"/>
    <col min="11798" max="11798" width="10" style="326" customWidth="1"/>
    <col min="11799" max="11799" width="15.375" style="326" customWidth="1"/>
    <col min="11800" max="11800" width="10" style="326" customWidth="1"/>
    <col min="11801" max="11801" width="10.75" style="326" customWidth="1"/>
    <col min="11802" max="11802" width="14.875" style="326" customWidth="1"/>
    <col min="11803" max="11803" width="11.5" style="326" customWidth="1"/>
    <col min="11804" max="11804" width="10" style="326" customWidth="1"/>
    <col min="11805" max="11805" width="10.75" style="326" customWidth="1"/>
    <col min="11806" max="11806" width="13.5" style="326" customWidth="1"/>
    <col min="11807" max="11807" width="9" style="326"/>
    <col min="11808" max="11808" width="10.75" style="326" bestFit="1" customWidth="1"/>
    <col min="11809" max="11809" width="13.75" style="326" customWidth="1"/>
    <col min="11810" max="11810" width="9" style="326"/>
    <col min="11811" max="11811" width="10.625" style="326" customWidth="1"/>
    <col min="11812" max="11812" width="9" style="326"/>
    <col min="11813" max="11813" width="14.25" style="326" customWidth="1"/>
    <col min="11814" max="11814" width="10.75" style="326" bestFit="1" customWidth="1"/>
    <col min="11815" max="11815" width="11.625" style="326" customWidth="1"/>
    <col min="11816" max="11816" width="13.75" style="326" customWidth="1"/>
    <col min="11817" max="11817" width="10.625" style="326" customWidth="1"/>
    <col min="11818" max="11819" width="9" style="326"/>
    <col min="11820" max="11820" width="14.125" style="326" customWidth="1"/>
    <col min="11821" max="11821" width="11" style="326" customWidth="1"/>
    <col min="11822" max="11822" width="10.75" style="326" bestFit="1" customWidth="1"/>
    <col min="11823" max="11823" width="13.5" style="326" customWidth="1"/>
    <col min="11824" max="11825" width="9" style="326"/>
    <col min="11826" max="11826" width="10.75" style="326" bestFit="1" customWidth="1"/>
    <col min="11827" max="11827" width="14" style="326" customWidth="1"/>
    <col min="11828" max="11828" width="9" style="326"/>
    <col min="11829" max="11829" width="10.75" style="326" customWidth="1"/>
    <col min="11830" max="11830" width="12.75" style="326" customWidth="1"/>
    <col min="11831" max="11831" width="9" style="326"/>
    <col min="11832" max="11832" width="10.75" style="326" bestFit="1" customWidth="1"/>
    <col min="11833" max="11833" width="11.5" style="326" customWidth="1"/>
    <col min="11834" max="11834" width="13.625" style="326" customWidth="1"/>
    <col min="11835" max="11835" width="10.625" style="326" customWidth="1"/>
    <col min="11836" max="11836" width="10.75" style="326" bestFit="1" customWidth="1"/>
    <col min="11837" max="11837" width="12.375" style="326" customWidth="1"/>
    <col min="11838" max="11840" width="9" style="326"/>
    <col min="11841" max="11841" width="15.75" style="326" customWidth="1"/>
    <col min="11842" max="11842" width="9" style="326"/>
    <col min="11843" max="11843" width="10.75" style="326" bestFit="1" customWidth="1"/>
    <col min="11844" max="11844" width="12.625" style="326" customWidth="1"/>
    <col min="11845" max="11847" width="9" style="326"/>
    <col min="11848" max="11848" width="13.625" style="326" customWidth="1"/>
    <col min="11849" max="11849" width="9" style="326"/>
    <col min="11850" max="11850" width="10.75" style="326" bestFit="1" customWidth="1"/>
    <col min="11851" max="11851" width="12.5" style="326" customWidth="1"/>
    <col min="11852" max="11854" width="9" style="326"/>
    <col min="11855" max="11855" width="12.875" style="326" customWidth="1"/>
    <col min="11856" max="11856" width="9" style="326"/>
    <col min="11857" max="11857" width="10.75" style="326" bestFit="1" customWidth="1"/>
    <col min="11858" max="11858" width="13.875" style="326" customWidth="1"/>
    <col min="11859" max="11861" width="9" style="326"/>
    <col min="11862" max="11862" width="14.125" style="326" customWidth="1"/>
    <col min="11863" max="11863" width="9" style="326"/>
    <col min="11864" max="11864" width="10.75" style="326" bestFit="1" customWidth="1"/>
    <col min="11865" max="11865" width="13.25" style="326" customWidth="1"/>
    <col min="11866" max="11868" width="9" style="326"/>
    <col min="11869" max="11869" width="13.25" style="326" customWidth="1"/>
    <col min="11870" max="11870" width="9" style="326"/>
    <col min="11871" max="11871" width="10.75" style="326" bestFit="1" customWidth="1"/>
    <col min="11872" max="11872" width="13.875" style="326" customWidth="1"/>
    <col min="11873" max="11875" width="9" style="326"/>
    <col min="11876" max="11876" width="13.625" style="326" customWidth="1"/>
    <col min="11877" max="11877" width="9" style="326"/>
    <col min="11878" max="11878" width="10.75" style="326" bestFit="1" customWidth="1"/>
    <col min="11879" max="11879" width="13" style="326" customWidth="1"/>
    <col min="11880" max="12026" width="9" style="326"/>
    <col min="12027" max="12028" width="12.125" style="326" customWidth="1"/>
    <col min="12029" max="12031" width="13" style="326" customWidth="1"/>
    <col min="12032" max="12032" width="12.875" style="326" customWidth="1"/>
    <col min="12033" max="12033" width="13" style="326" customWidth="1"/>
    <col min="12034" max="12034" width="13.125" style="326" customWidth="1"/>
    <col min="12035" max="12036" width="12.125" style="326" customWidth="1"/>
    <col min="12037" max="12037" width="14.375" style="326" bestFit="1" customWidth="1"/>
    <col min="12038" max="12038" width="11" style="326" customWidth="1"/>
    <col min="12039" max="12039" width="10" style="326" customWidth="1"/>
    <col min="12040" max="12040" width="10.875" style="326" customWidth="1"/>
    <col min="12041" max="12041" width="13.75" style="326" customWidth="1"/>
    <col min="12042" max="12042" width="10" style="326" customWidth="1"/>
    <col min="12043" max="12043" width="13.25" style="326" customWidth="1"/>
    <col min="12044" max="12044" width="14.375" style="326" customWidth="1"/>
    <col min="12045" max="12045" width="10" style="326" customWidth="1"/>
    <col min="12046" max="12046" width="10.875" style="326" customWidth="1"/>
    <col min="12047" max="12047" width="11.375" style="326" customWidth="1"/>
    <col min="12048" max="12048" width="15.375" style="326" customWidth="1"/>
    <col min="12049" max="12050" width="10.75" style="326" customWidth="1"/>
    <col min="12051" max="12051" width="14.375" style="326" customWidth="1"/>
    <col min="12052" max="12052" width="10.75" style="326" customWidth="1"/>
    <col min="12053" max="12053" width="11.75" style="326" customWidth="1"/>
    <col min="12054" max="12054" width="10" style="326" customWidth="1"/>
    <col min="12055" max="12055" width="15.375" style="326" customWidth="1"/>
    <col min="12056" max="12056" width="10" style="326" customWidth="1"/>
    <col min="12057" max="12057" width="10.75" style="326" customWidth="1"/>
    <col min="12058" max="12058" width="14.875" style="326" customWidth="1"/>
    <col min="12059" max="12059" width="11.5" style="326" customWidth="1"/>
    <col min="12060" max="12060" width="10" style="326" customWidth="1"/>
    <col min="12061" max="12061" width="10.75" style="326" customWidth="1"/>
    <col min="12062" max="12062" width="13.5" style="326" customWidth="1"/>
    <col min="12063" max="12063" width="9" style="326"/>
    <col min="12064" max="12064" width="10.75" style="326" bestFit="1" customWidth="1"/>
    <col min="12065" max="12065" width="13.75" style="326" customWidth="1"/>
    <col min="12066" max="12066" width="9" style="326"/>
    <col min="12067" max="12067" width="10.625" style="326" customWidth="1"/>
    <col min="12068" max="12068" width="9" style="326"/>
    <col min="12069" max="12069" width="14.25" style="326" customWidth="1"/>
    <col min="12070" max="12070" width="10.75" style="326" bestFit="1" customWidth="1"/>
    <col min="12071" max="12071" width="11.625" style="326" customWidth="1"/>
    <col min="12072" max="12072" width="13.75" style="326" customWidth="1"/>
    <col min="12073" max="12073" width="10.625" style="326" customWidth="1"/>
    <col min="12074" max="12075" width="9" style="326"/>
    <col min="12076" max="12076" width="14.125" style="326" customWidth="1"/>
    <col min="12077" max="12077" width="11" style="326" customWidth="1"/>
    <col min="12078" max="12078" width="10.75" style="326" bestFit="1" customWidth="1"/>
    <col min="12079" max="12079" width="13.5" style="326" customWidth="1"/>
    <col min="12080" max="12081" width="9" style="326"/>
    <col min="12082" max="12082" width="10.75" style="326" bestFit="1" customWidth="1"/>
    <col min="12083" max="12083" width="14" style="326" customWidth="1"/>
    <col min="12084" max="12084" width="9" style="326"/>
    <col min="12085" max="12085" width="10.75" style="326" customWidth="1"/>
    <col min="12086" max="12086" width="12.75" style="326" customWidth="1"/>
    <col min="12087" max="12087" width="9" style="326"/>
    <col min="12088" max="12088" width="10.75" style="326" bestFit="1" customWidth="1"/>
    <col min="12089" max="12089" width="11.5" style="326" customWidth="1"/>
    <col min="12090" max="12090" width="13.625" style="326" customWidth="1"/>
    <col min="12091" max="12091" width="10.625" style="326" customWidth="1"/>
    <col min="12092" max="12092" width="10.75" style="326" bestFit="1" customWidth="1"/>
    <col min="12093" max="12093" width="12.375" style="326" customWidth="1"/>
    <col min="12094" max="12096" width="9" style="326"/>
    <col min="12097" max="12097" width="15.75" style="326" customWidth="1"/>
    <col min="12098" max="12098" width="9" style="326"/>
    <col min="12099" max="12099" width="10.75" style="326" bestFit="1" customWidth="1"/>
    <col min="12100" max="12100" width="12.625" style="326" customWidth="1"/>
    <col min="12101" max="12103" width="9" style="326"/>
    <col min="12104" max="12104" width="13.625" style="326" customWidth="1"/>
    <col min="12105" max="12105" width="9" style="326"/>
    <col min="12106" max="12106" width="10.75" style="326" bestFit="1" customWidth="1"/>
    <col min="12107" max="12107" width="12.5" style="326" customWidth="1"/>
    <col min="12108" max="12110" width="9" style="326"/>
    <col min="12111" max="12111" width="12.875" style="326" customWidth="1"/>
    <col min="12112" max="12112" width="9" style="326"/>
    <col min="12113" max="12113" width="10.75" style="326" bestFit="1" customWidth="1"/>
    <col min="12114" max="12114" width="13.875" style="326" customWidth="1"/>
    <col min="12115" max="12117" width="9" style="326"/>
    <col min="12118" max="12118" width="14.125" style="326" customWidth="1"/>
    <col min="12119" max="12119" width="9" style="326"/>
    <col min="12120" max="12120" width="10.75" style="326" bestFit="1" customWidth="1"/>
    <col min="12121" max="12121" width="13.25" style="326" customWidth="1"/>
    <col min="12122" max="12124" width="9" style="326"/>
    <col min="12125" max="12125" width="13.25" style="326" customWidth="1"/>
    <col min="12126" max="12126" width="9" style="326"/>
    <col min="12127" max="12127" width="10.75" style="326" bestFit="1" customWidth="1"/>
    <col min="12128" max="12128" width="13.875" style="326" customWidth="1"/>
    <col min="12129" max="12131" width="9" style="326"/>
    <col min="12132" max="12132" width="13.625" style="326" customWidth="1"/>
    <col min="12133" max="12133" width="9" style="326"/>
    <col min="12134" max="12134" width="10.75" style="326" bestFit="1" customWidth="1"/>
    <col min="12135" max="12135" width="13" style="326" customWidth="1"/>
    <col min="12136" max="12282" width="9" style="326"/>
    <col min="12283" max="12284" width="12.125" style="326" customWidth="1"/>
    <col min="12285" max="12287" width="13" style="326" customWidth="1"/>
    <col min="12288" max="12288" width="12.875" style="326" customWidth="1"/>
    <col min="12289" max="12289" width="13" style="326" customWidth="1"/>
    <col min="12290" max="12290" width="13.125" style="326" customWidth="1"/>
    <col min="12291" max="12292" width="12.125" style="326" customWidth="1"/>
    <col min="12293" max="12293" width="14.375" style="326" bestFit="1" customWidth="1"/>
    <col min="12294" max="12294" width="11" style="326" customWidth="1"/>
    <col min="12295" max="12295" width="10" style="326" customWidth="1"/>
    <col min="12296" max="12296" width="10.875" style="326" customWidth="1"/>
    <col min="12297" max="12297" width="13.75" style="326" customWidth="1"/>
    <col min="12298" max="12298" width="10" style="326" customWidth="1"/>
    <col min="12299" max="12299" width="13.25" style="326" customWidth="1"/>
    <col min="12300" max="12300" width="14.375" style="326" customWidth="1"/>
    <col min="12301" max="12301" width="10" style="326" customWidth="1"/>
    <col min="12302" max="12302" width="10.875" style="326" customWidth="1"/>
    <col min="12303" max="12303" width="11.375" style="326" customWidth="1"/>
    <col min="12304" max="12304" width="15.375" style="326" customWidth="1"/>
    <col min="12305" max="12306" width="10.75" style="326" customWidth="1"/>
    <col min="12307" max="12307" width="14.375" style="326" customWidth="1"/>
    <col min="12308" max="12308" width="10.75" style="326" customWidth="1"/>
    <col min="12309" max="12309" width="11.75" style="326" customWidth="1"/>
    <col min="12310" max="12310" width="10" style="326" customWidth="1"/>
    <col min="12311" max="12311" width="15.375" style="326" customWidth="1"/>
    <col min="12312" max="12312" width="10" style="326" customWidth="1"/>
    <col min="12313" max="12313" width="10.75" style="326" customWidth="1"/>
    <col min="12314" max="12314" width="14.875" style="326" customWidth="1"/>
    <col min="12315" max="12315" width="11.5" style="326" customWidth="1"/>
    <col min="12316" max="12316" width="10" style="326" customWidth="1"/>
    <col min="12317" max="12317" width="10.75" style="326" customWidth="1"/>
    <col min="12318" max="12318" width="13.5" style="326" customWidth="1"/>
    <col min="12319" max="12319" width="9" style="326"/>
    <col min="12320" max="12320" width="10.75" style="326" bestFit="1" customWidth="1"/>
    <col min="12321" max="12321" width="13.75" style="326" customWidth="1"/>
    <col min="12322" max="12322" width="9" style="326"/>
    <col min="12323" max="12323" width="10.625" style="326" customWidth="1"/>
    <col min="12324" max="12324" width="9" style="326"/>
    <col min="12325" max="12325" width="14.25" style="326" customWidth="1"/>
    <col min="12326" max="12326" width="10.75" style="326" bestFit="1" customWidth="1"/>
    <col min="12327" max="12327" width="11.625" style="326" customWidth="1"/>
    <col min="12328" max="12328" width="13.75" style="326" customWidth="1"/>
    <col min="12329" max="12329" width="10.625" style="326" customWidth="1"/>
    <col min="12330" max="12331" width="9" style="326"/>
    <col min="12332" max="12332" width="14.125" style="326" customWidth="1"/>
    <col min="12333" max="12333" width="11" style="326" customWidth="1"/>
    <col min="12334" max="12334" width="10.75" style="326" bestFit="1" customWidth="1"/>
    <col min="12335" max="12335" width="13.5" style="326" customWidth="1"/>
    <col min="12336" max="12337" width="9" style="326"/>
    <col min="12338" max="12338" width="10.75" style="326" bestFit="1" customWidth="1"/>
    <col min="12339" max="12339" width="14" style="326" customWidth="1"/>
    <col min="12340" max="12340" width="9" style="326"/>
    <col min="12341" max="12341" width="10.75" style="326" customWidth="1"/>
    <col min="12342" max="12342" width="12.75" style="326" customWidth="1"/>
    <col min="12343" max="12343" width="9" style="326"/>
    <col min="12344" max="12344" width="10.75" style="326" bestFit="1" customWidth="1"/>
    <col min="12345" max="12345" width="11.5" style="326" customWidth="1"/>
    <col min="12346" max="12346" width="13.625" style="326" customWidth="1"/>
    <col min="12347" max="12347" width="10.625" style="326" customWidth="1"/>
    <col min="12348" max="12348" width="10.75" style="326" bestFit="1" customWidth="1"/>
    <col min="12349" max="12349" width="12.375" style="326" customWidth="1"/>
    <col min="12350" max="12352" width="9" style="326"/>
    <col min="12353" max="12353" width="15.75" style="326" customWidth="1"/>
    <col min="12354" max="12354" width="9" style="326"/>
    <col min="12355" max="12355" width="10.75" style="326" bestFit="1" customWidth="1"/>
    <col min="12356" max="12356" width="12.625" style="326" customWidth="1"/>
    <col min="12357" max="12359" width="9" style="326"/>
    <col min="12360" max="12360" width="13.625" style="326" customWidth="1"/>
    <col min="12361" max="12361" width="9" style="326"/>
    <col min="12362" max="12362" width="10.75" style="326" bestFit="1" customWidth="1"/>
    <col min="12363" max="12363" width="12.5" style="326" customWidth="1"/>
    <col min="12364" max="12366" width="9" style="326"/>
    <col min="12367" max="12367" width="12.875" style="326" customWidth="1"/>
    <col min="12368" max="12368" width="9" style="326"/>
    <col min="12369" max="12369" width="10.75" style="326" bestFit="1" customWidth="1"/>
    <col min="12370" max="12370" width="13.875" style="326" customWidth="1"/>
    <col min="12371" max="12373" width="9" style="326"/>
    <col min="12374" max="12374" width="14.125" style="326" customWidth="1"/>
    <col min="12375" max="12375" width="9" style="326"/>
    <col min="12376" max="12376" width="10.75" style="326" bestFit="1" customWidth="1"/>
    <col min="12377" max="12377" width="13.25" style="326" customWidth="1"/>
    <col min="12378" max="12380" width="9" style="326"/>
    <col min="12381" max="12381" width="13.25" style="326" customWidth="1"/>
    <col min="12382" max="12382" width="9" style="326"/>
    <col min="12383" max="12383" width="10.75" style="326" bestFit="1" customWidth="1"/>
    <col min="12384" max="12384" width="13.875" style="326" customWidth="1"/>
    <col min="12385" max="12387" width="9" style="326"/>
    <col min="12388" max="12388" width="13.625" style="326" customWidth="1"/>
    <col min="12389" max="12389" width="9" style="326"/>
    <col min="12390" max="12390" width="10.75" style="326" bestFit="1" customWidth="1"/>
    <col min="12391" max="12391" width="13" style="326" customWidth="1"/>
    <col min="12392" max="12538" width="9" style="326"/>
    <col min="12539" max="12540" width="12.125" style="326" customWidth="1"/>
    <col min="12541" max="12543" width="13" style="326" customWidth="1"/>
    <col min="12544" max="12544" width="12.875" style="326" customWidth="1"/>
    <col min="12545" max="12545" width="13" style="326" customWidth="1"/>
    <col min="12546" max="12546" width="13.125" style="326" customWidth="1"/>
    <col min="12547" max="12548" width="12.125" style="326" customWidth="1"/>
    <col min="12549" max="12549" width="14.375" style="326" bestFit="1" customWidth="1"/>
    <col min="12550" max="12550" width="11" style="326" customWidth="1"/>
    <col min="12551" max="12551" width="10" style="326" customWidth="1"/>
    <col min="12552" max="12552" width="10.875" style="326" customWidth="1"/>
    <col min="12553" max="12553" width="13.75" style="326" customWidth="1"/>
    <col min="12554" max="12554" width="10" style="326" customWidth="1"/>
    <col min="12555" max="12555" width="13.25" style="326" customWidth="1"/>
    <col min="12556" max="12556" width="14.375" style="326" customWidth="1"/>
    <col min="12557" max="12557" width="10" style="326" customWidth="1"/>
    <col min="12558" max="12558" width="10.875" style="326" customWidth="1"/>
    <col min="12559" max="12559" width="11.375" style="326" customWidth="1"/>
    <col min="12560" max="12560" width="15.375" style="326" customWidth="1"/>
    <col min="12561" max="12562" width="10.75" style="326" customWidth="1"/>
    <col min="12563" max="12563" width="14.375" style="326" customWidth="1"/>
    <col min="12564" max="12564" width="10.75" style="326" customWidth="1"/>
    <col min="12565" max="12565" width="11.75" style="326" customWidth="1"/>
    <col min="12566" max="12566" width="10" style="326" customWidth="1"/>
    <col min="12567" max="12567" width="15.375" style="326" customWidth="1"/>
    <col min="12568" max="12568" width="10" style="326" customWidth="1"/>
    <col min="12569" max="12569" width="10.75" style="326" customWidth="1"/>
    <col min="12570" max="12570" width="14.875" style="326" customWidth="1"/>
    <col min="12571" max="12571" width="11.5" style="326" customWidth="1"/>
    <col min="12572" max="12572" width="10" style="326" customWidth="1"/>
    <col min="12573" max="12573" width="10.75" style="326" customWidth="1"/>
    <col min="12574" max="12574" width="13.5" style="326" customWidth="1"/>
    <col min="12575" max="12575" width="9" style="326"/>
    <col min="12576" max="12576" width="10.75" style="326" bestFit="1" customWidth="1"/>
    <col min="12577" max="12577" width="13.75" style="326" customWidth="1"/>
    <col min="12578" max="12578" width="9" style="326"/>
    <col min="12579" max="12579" width="10.625" style="326" customWidth="1"/>
    <col min="12580" max="12580" width="9" style="326"/>
    <col min="12581" max="12581" width="14.25" style="326" customWidth="1"/>
    <col min="12582" max="12582" width="10.75" style="326" bestFit="1" customWidth="1"/>
    <col min="12583" max="12583" width="11.625" style="326" customWidth="1"/>
    <col min="12584" max="12584" width="13.75" style="326" customWidth="1"/>
    <col min="12585" max="12585" width="10.625" style="326" customWidth="1"/>
    <col min="12586" max="12587" width="9" style="326"/>
    <col min="12588" max="12588" width="14.125" style="326" customWidth="1"/>
    <col min="12589" max="12589" width="11" style="326" customWidth="1"/>
    <col min="12590" max="12590" width="10.75" style="326" bestFit="1" customWidth="1"/>
    <col min="12591" max="12591" width="13.5" style="326" customWidth="1"/>
    <col min="12592" max="12593" width="9" style="326"/>
    <col min="12594" max="12594" width="10.75" style="326" bestFit="1" customWidth="1"/>
    <col min="12595" max="12595" width="14" style="326" customWidth="1"/>
    <col min="12596" max="12596" width="9" style="326"/>
    <col min="12597" max="12597" width="10.75" style="326" customWidth="1"/>
    <col min="12598" max="12598" width="12.75" style="326" customWidth="1"/>
    <col min="12599" max="12599" width="9" style="326"/>
    <col min="12600" max="12600" width="10.75" style="326" bestFit="1" customWidth="1"/>
    <col min="12601" max="12601" width="11.5" style="326" customWidth="1"/>
    <col min="12602" max="12602" width="13.625" style="326" customWidth="1"/>
    <col min="12603" max="12603" width="10.625" style="326" customWidth="1"/>
    <col min="12604" max="12604" width="10.75" style="326" bestFit="1" customWidth="1"/>
    <col min="12605" max="12605" width="12.375" style="326" customWidth="1"/>
    <col min="12606" max="12608" width="9" style="326"/>
    <col min="12609" max="12609" width="15.75" style="326" customWidth="1"/>
    <col min="12610" max="12610" width="9" style="326"/>
    <col min="12611" max="12611" width="10.75" style="326" bestFit="1" customWidth="1"/>
    <col min="12612" max="12612" width="12.625" style="326" customWidth="1"/>
    <col min="12613" max="12615" width="9" style="326"/>
    <col min="12616" max="12616" width="13.625" style="326" customWidth="1"/>
    <col min="12617" max="12617" width="9" style="326"/>
    <col min="12618" max="12618" width="10.75" style="326" bestFit="1" customWidth="1"/>
    <col min="12619" max="12619" width="12.5" style="326" customWidth="1"/>
    <col min="12620" max="12622" width="9" style="326"/>
    <col min="12623" max="12623" width="12.875" style="326" customWidth="1"/>
    <col min="12624" max="12624" width="9" style="326"/>
    <col min="12625" max="12625" width="10.75" style="326" bestFit="1" customWidth="1"/>
    <col min="12626" max="12626" width="13.875" style="326" customWidth="1"/>
    <col min="12627" max="12629" width="9" style="326"/>
    <col min="12630" max="12630" width="14.125" style="326" customWidth="1"/>
    <col min="12631" max="12631" width="9" style="326"/>
    <col min="12632" max="12632" width="10.75" style="326" bestFit="1" customWidth="1"/>
    <col min="12633" max="12633" width="13.25" style="326" customWidth="1"/>
    <col min="12634" max="12636" width="9" style="326"/>
    <col min="12637" max="12637" width="13.25" style="326" customWidth="1"/>
    <col min="12638" max="12638" width="9" style="326"/>
    <col min="12639" max="12639" width="10.75" style="326" bestFit="1" customWidth="1"/>
    <col min="12640" max="12640" width="13.875" style="326" customWidth="1"/>
    <col min="12641" max="12643" width="9" style="326"/>
    <col min="12644" max="12644" width="13.625" style="326" customWidth="1"/>
    <col min="12645" max="12645" width="9" style="326"/>
    <col min="12646" max="12646" width="10.75" style="326" bestFit="1" customWidth="1"/>
    <col min="12647" max="12647" width="13" style="326" customWidth="1"/>
    <col min="12648" max="12794" width="9" style="326"/>
    <col min="12795" max="12796" width="12.125" style="326" customWidth="1"/>
    <col min="12797" max="12799" width="13" style="326" customWidth="1"/>
    <col min="12800" max="12800" width="12.875" style="326" customWidth="1"/>
    <col min="12801" max="12801" width="13" style="326" customWidth="1"/>
    <col min="12802" max="12802" width="13.125" style="326" customWidth="1"/>
    <col min="12803" max="12804" width="12.125" style="326" customWidth="1"/>
    <col min="12805" max="12805" width="14.375" style="326" bestFit="1" customWidth="1"/>
    <col min="12806" max="12806" width="11" style="326" customWidth="1"/>
    <col min="12807" max="12807" width="10" style="326" customWidth="1"/>
    <col min="12808" max="12808" width="10.875" style="326" customWidth="1"/>
    <col min="12809" max="12809" width="13.75" style="326" customWidth="1"/>
    <col min="12810" max="12810" width="10" style="326" customWidth="1"/>
    <col min="12811" max="12811" width="13.25" style="326" customWidth="1"/>
    <col min="12812" max="12812" width="14.375" style="326" customWidth="1"/>
    <col min="12813" max="12813" width="10" style="326" customWidth="1"/>
    <col min="12814" max="12814" width="10.875" style="326" customWidth="1"/>
    <col min="12815" max="12815" width="11.375" style="326" customWidth="1"/>
    <col min="12816" max="12816" width="15.375" style="326" customWidth="1"/>
    <col min="12817" max="12818" width="10.75" style="326" customWidth="1"/>
    <col min="12819" max="12819" width="14.375" style="326" customWidth="1"/>
    <col min="12820" max="12820" width="10.75" style="326" customWidth="1"/>
    <col min="12821" max="12821" width="11.75" style="326" customWidth="1"/>
    <col min="12822" max="12822" width="10" style="326" customWidth="1"/>
    <col min="12823" max="12823" width="15.375" style="326" customWidth="1"/>
    <col min="12824" max="12824" width="10" style="326" customWidth="1"/>
    <col min="12825" max="12825" width="10.75" style="326" customWidth="1"/>
    <col min="12826" max="12826" width="14.875" style="326" customWidth="1"/>
    <col min="12827" max="12827" width="11.5" style="326" customWidth="1"/>
    <col min="12828" max="12828" width="10" style="326" customWidth="1"/>
    <col min="12829" max="12829" width="10.75" style="326" customWidth="1"/>
    <col min="12830" max="12830" width="13.5" style="326" customWidth="1"/>
    <col min="12831" max="12831" width="9" style="326"/>
    <col min="12832" max="12832" width="10.75" style="326" bestFit="1" customWidth="1"/>
    <col min="12833" max="12833" width="13.75" style="326" customWidth="1"/>
    <col min="12834" max="12834" width="9" style="326"/>
    <col min="12835" max="12835" width="10.625" style="326" customWidth="1"/>
    <col min="12836" max="12836" width="9" style="326"/>
    <col min="12837" max="12837" width="14.25" style="326" customWidth="1"/>
    <col min="12838" max="12838" width="10.75" style="326" bestFit="1" customWidth="1"/>
    <col min="12839" max="12839" width="11.625" style="326" customWidth="1"/>
    <col min="12840" max="12840" width="13.75" style="326" customWidth="1"/>
    <col min="12841" max="12841" width="10.625" style="326" customWidth="1"/>
    <col min="12842" max="12843" width="9" style="326"/>
    <col min="12844" max="12844" width="14.125" style="326" customWidth="1"/>
    <col min="12845" max="12845" width="11" style="326" customWidth="1"/>
    <col min="12846" max="12846" width="10.75" style="326" bestFit="1" customWidth="1"/>
    <col min="12847" max="12847" width="13.5" style="326" customWidth="1"/>
    <col min="12848" max="12849" width="9" style="326"/>
    <col min="12850" max="12850" width="10.75" style="326" bestFit="1" customWidth="1"/>
    <col min="12851" max="12851" width="14" style="326" customWidth="1"/>
    <col min="12852" max="12852" width="9" style="326"/>
    <col min="12853" max="12853" width="10.75" style="326" customWidth="1"/>
    <col min="12854" max="12854" width="12.75" style="326" customWidth="1"/>
    <col min="12855" max="12855" width="9" style="326"/>
    <col min="12856" max="12856" width="10.75" style="326" bestFit="1" customWidth="1"/>
    <col min="12857" max="12857" width="11.5" style="326" customWidth="1"/>
    <col min="12858" max="12858" width="13.625" style="326" customWidth="1"/>
    <col min="12859" max="12859" width="10.625" style="326" customWidth="1"/>
    <col min="12860" max="12860" width="10.75" style="326" bestFit="1" customWidth="1"/>
    <col min="12861" max="12861" width="12.375" style="326" customWidth="1"/>
    <col min="12862" max="12864" width="9" style="326"/>
    <col min="12865" max="12865" width="15.75" style="326" customWidth="1"/>
    <col min="12866" max="12866" width="9" style="326"/>
    <col min="12867" max="12867" width="10.75" style="326" bestFit="1" customWidth="1"/>
    <col min="12868" max="12868" width="12.625" style="326" customWidth="1"/>
    <col min="12869" max="12871" width="9" style="326"/>
    <col min="12872" max="12872" width="13.625" style="326" customWidth="1"/>
    <col min="12873" max="12873" width="9" style="326"/>
    <col min="12874" max="12874" width="10.75" style="326" bestFit="1" customWidth="1"/>
    <col min="12875" max="12875" width="12.5" style="326" customWidth="1"/>
    <col min="12876" max="12878" width="9" style="326"/>
    <col min="12879" max="12879" width="12.875" style="326" customWidth="1"/>
    <col min="12880" max="12880" width="9" style="326"/>
    <col min="12881" max="12881" width="10.75" style="326" bestFit="1" customWidth="1"/>
    <col min="12882" max="12882" width="13.875" style="326" customWidth="1"/>
    <col min="12883" max="12885" width="9" style="326"/>
    <col min="12886" max="12886" width="14.125" style="326" customWidth="1"/>
    <col min="12887" max="12887" width="9" style="326"/>
    <col min="12888" max="12888" width="10.75" style="326" bestFit="1" customWidth="1"/>
    <col min="12889" max="12889" width="13.25" style="326" customWidth="1"/>
    <col min="12890" max="12892" width="9" style="326"/>
    <col min="12893" max="12893" width="13.25" style="326" customWidth="1"/>
    <col min="12894" max="12894" width="9" style="326"/>
    <col min="12895" max="12895" width="10.75" style="326" bestFit="1" customWidth="1"/>
    <col min="12896" max="12896" width="13.875" style="326" customWidth="1"/>
    <col min="12897" max="12899" width="9" style="326"/>
    <col min="12900" max="12900" width="13.625" style="326" customWidth="1"/>
    <col min="12901" max="12901" width="9" style="326"/>
    <col min="12902" max="12902" width="10.75" style="326" bestFit="1" customWidth="1"/>
    <col min="12903" max="12903" width="13" style="326" customWidth="1"/>
    <col min="12904" max="13050" width="9" style="326"/>
    <col min="13051" max="13052" width="12.125" style="326" customWidth="1"/>
    <col min="13053" max="13055" width="13" style="326" customWidth="1"/>
    <col min="13056" max="13056" width="12.875" style="326" customWidth="1"/>
    <col min="13057" max="13057" width="13" style="326" customWidth="1"/>
    <col min="13058" max="13058" width="13.125" style="326" customWidth="1"/>
    <col min="13059" max="13060" width="12.125" style="326" customWidth="1"/>
    <col min="13061" max="13061" width="14.375" style="326" bestFit="1" customWidth="1"/>
    <col min="13062" max="13062" width="11" style="326" customWidth="1"/>
    <col min="13063" max="13063" width="10" style="326" customWidth="1"/>
    <col min="13064" max="13064" width="10.875" style="326" customWidth="1"/>
    <col min="13065" max="13065" width="13.75" style="326" customWidth="1"/>
    <col min="13066" max="13066" width="10" style="326" customWidth="1"/>
    <col min="13067" max="13067" width="13.25" style="326" customWidth="1"/>
    <col min="13068" max="13068" width="14.375" style="326" customWidth="1"/>
    <col min="13069" max="13069" width="10" style="326" customWidth="1"/>
    <col min="13070" max="13070" width="10.875" style="326" customWidth="1"/>
    <col min="13071" max="13071" width="11.375" style="326" customWidth="1"/>
    <col min="13072" max="13072" width="15.375" style="326" customWidth="1"/>
    <col min="13073" max="13074" width="10.75" style="326" customWidth="1"/>
    <col min="13075" max="13075" width="14.375" style="326" customWidth="1"/>
    <col min="13076" max="13076" width="10.75" style="326" customWidth="1"/>
    <col min="13077" max="13077" width="11.75" style="326" customWidth="1"/>
    <col min="13078" max="13078" width="10" style="326" customWidth="1"/>
    <col min="13079" max="13079" width="15.375" style="326" customWidth="1"/>
    <col min="13080" max="13080" width="10" style="326" customWidth="1"/>
    <col min="13081" max="13081" width="10.75" style="326" customWidth="1"/>
    <col min="13082" max="13082" width="14.875" style="326" customWidth="1"/>
    <col min="13083" max="13083" width="11.5" style="326" customWidth="1"/>
    <col min="13084" max="13084" width="10" style="326" customWidth="1"/>
    <col min="13085" max="13085" width="10.75" style="326" customWidth="1"/>
    <col min="13086" max="13086" width="13.5" style="326" customWidth="1"/>
    <col min="13087" max="13087" width="9" style="326"/>
    <col min="13088" max="13088" width="10.75" style="326" bestFit="1" customWidth="1"/>
    <col min="13089" max="13089" width="13.75" style="326" customWidth="1"/>
    <col min="13090" max="13090" width="9" style="326"/>
    <col min="13091" max="13091" width="10.625" style="326" customWidth="1"/>
    <col min="13092" max="13092" width="9" style="326"/>
    <col min="13093" max="13093" width="14.25" style="326" customWidth="1"/>
    <col min="13094" max="13094" width="10.75" style="326" bestFit="1" customWidth="1"/>
    <col min="13095" max="13095" width="11.625" style="326" customWidth="1"/>
    <col min="13096" max="13096" width="13.75" style="326" customWidth="1"/>
    <col min="13097" max="13097" width="10.625" style="326" customWidth="1"/>
    <col min="13098" max="13099" width="9" style="326"/>
    <col min="13100" max="13100" width="14.125" style="326" customWidth="1"/>
    <col min="13101" max="13101" width="11" style="326" customWidth="1"/>
    <col min="13102" max="13102" width="10.75" style="326" bestFit="1" customWidth="1"/>
    <col min="13103" max="13103" width="13.5" style="326" customWidth="1"/>
    <col min="13104" max="13105" width="9" style="326"/>
    <col min="13106" max="13106" width="10.75" style="326" bestFit="1" customWidth="1"/>
    <col min="13107" max="13107" width="14" style="326" customWidth="1"/>
    <col min="13108" max="13108" width="9" style="326"/>
    <col min="13109" max="13109" width="10.75" style="326" customWidth="1"/>
    <col min="13110" max="13110" width="12.75" style="326" customWidth="1"/>
    <col min="13111" max="13111" width="9" style="326"/>
    <col min="13112" max="13112" width="10.75" style="326" bestFit="1" customWidth="1"/>
    <col min="13113" max="13113" width="11.5" style="326" customWidth="1"/>
    <col min="13114" max="13114" width="13.625" style="326" customWidth="1"/>
    <col min="13115" max="13115" width="10.625" style="326" customWidth="1"/>
    <col min="13116" max="13116" width="10.75" style="326" bestFit="1" customWidth="1"/>
    <col min="13117" max="13117" width="12.375" style="326" customWidth="1"/>
    <col min="13118" max="13120" width="9" style="326"/>
    <col min="13121" max="13121" width="15.75" style="326" customWidth="1"/>
    <col min="13122" max="13122" width="9" style="326"/>
    <col min="13123" max="13123" width="10.75" style="326" bestFit="1" customWidth="1"/>
    <col min="13124" max="13124" width="12.625" style="326" customWidth="1"/>
    <col min="13125" max="13127" width="9" style="326"/>
    <col min="13128" max="13128" width="13.625" style="326" customWidth="1"/>
    <col min="13129" max="13129" width="9" style="326"/>
    <col min="13130" max="13130" width="10.75" style="326" bestFit="1" customWidth="1"/>
    <col min="13131" max="13131" width="12.5" style="326" customWidth="1"/>
    <col min="13132" max="13134" width="9" style="326"/>
    <col min="13135" max="13135" width="12.875" style="326" customWidth="1"/>
    <col min="13136" max="13136" width="9" style="326"/>
    <col min="13137" max="13137" width="10.75" style="326" bestFit="1" customWidth="1"/>
    <col min="13138" max="13138" width="13.875" style="326" customWidth="1"/>
    <col min="13139" max="13141" width="9" style="326"/>
    <col min="13142" max="13142" width="14.125" style="326" customWidth="1"/>
    <col min="13143" max="13143" width="9" style="326"/>
    <col min="13144" max="13144" width="10.75" style="326" bestFit="1" customWidth="1"/>
    <col min="13145" max="13145" width="13.25" style="326" customWidth="1"/>
    <col min="13146" max="13148" width="9" style="326"/>
    <col min="13149" max="13149" width="13.25" style="326" customWidth="1"/>
    <col min="13150" max="13150" width="9" style="326"/>
    <col min="13151" max="13151" width="10.75" style="326" bestFit="1" customWidth="1"/>
    <col min="13152" max="13152" width="13.875" style="326" customWidth="1"/>
    <col min="13153" max="13155" width="9" style="326"/>
    <col min="13156" max="13156" width="13.625" style="326" customWidth="1"/>
    <col min="13157" max="13157" width="9" style="326"/>
    <col min="13158" max="13158" width="10.75" style="326" bestFit="1" customWidth="1"/>
    <col min="13159" max="13159" width="13" style="326" customWidth="1"/>
    <col min="13160" max="13306" width="9" style="326"/>
    <col min="13307" max="13308" width="12.125" style="326" customWidth="1"/>
    <col min="13309" max="13311" width="13" style="326" customWidth="1"/>
    <col min="13312" max="13312" width="12.875" style="326" customWidth="1"/>
    <col min="13313" max="13313" width="13" style="326" customWidth="1"/>
    <col min="13314" max="13314" width="13.125" style="326" customWidth="1"/>
    <col min="13315" max="13316" width="12.125" style="326" customWidth="1"/>
    <col min="13317" max="13317" width="14.375" style="326" bestFit="1" customWidth="1"/>
    <col min="13318" max="13318" width="11" style="326" customWidth="1"/>
    <col min="13319" max="13319" width="10" style="326" customWidth="1"/>
    <col min="13320" max="13320" width="10.875" style="326" customWidth="1"/>
    <col min="13321" max="13321" width="13.75" style="326" customWidth="1"/>
    <col min="13322" max="13322" width="10" style="326" customWidth="1"/>
    <col min="13323" max="13323" width="13.25" style="326" customWidth="1"/>
    <col min="13324" max="13324" width="14.375" style="326" customWidth="1"/>
    <col min="13325" max="13325" width="10" style="326" customWidth="1"/>
    <col min="13326" max="13326" width="10.875" style="326" customWidth="1"/>
    <col min="13327" max="13327" width="11.375" style="326" customWidth="1"/>
    <col min="13328" max="13328" width="15.375" style="326" customWidth="1"/>
    <col min="13329" max="13330" width="10.75" style="326" customWidth="1"/>
    <col min="13331" max="13331" width="14.375" style="326" customWidth="1"/>
    <col min="13332" max="13332" width="10.75" style="326" customWidth="1"/>
    <col min="13333" max="13333" width="11.75" style="326" customWidth="1"/>
    <col min="13334" max="13334" width="10" style="326" customWidth="1"/>
    <col min="13335" max="13335" width="15.375" style="326" customWidth="1"/>
    <col min="13336" max="13336" width="10" style="326" customWidth="1"/>
    <col min="13337" max="13337" width="10.75" style="326" customWidth="1"/>
    <col min="13338" max="13338" width="14.875" style="326" customWidth="1"/>
    <col min="13339" max="13339" width="11.5" style="326" customWidth="1"/>
    <col min="13340" max="13340" width="10" style="326" customWidth="1"/>
    <col min="13341" max="13341" width="10.75" style="326" customWidth="1"/>
    <col min="13342" max="13342" width="13.5" style="326" customWidth="1"/>
    <col min="13343" max="13343" width="9" style="326"/>
    <col min="13344" max="13344" width="10.75" style="326" bestFit="1" customWidth="1"/>
    <col min="13345" max="13345" width="13.75" style="326" customWidth="1"/>
    <col min="13346" max="13346" width="9" style="326"/>
    <col min="13347" max="13347" width="10.625" style="326" customWidth="1"/>
    <col min="13348" max="13348" width="9" style="326"/>
    <col min="13349" max="13349" width="14.25" style="326" customWidth="1"/>
    <col min="13350" max="13350" width="10.75" style="326" bestFit="1" customWidth="1"/>
    <col min="13351" max="13351" width="11.625" style="326" customWidth="1"/>
    <col min="13352" max="13352" width="13.75" style="326" customWidth="1"/>
    <col min="13353" max="13353" width="10.625" style="326" customWidth="1"/>
    <col min="13354" max="13355" width="9" style="326"/>
    <col min="13356" max="13356" width="14.125" style="326" customWidth="1"/>
    <col min="13357" max="13357" width="11" style="326" customWidth="1"/>
    <col min="13358" max="13358" width="10.75" style="326" bestFit="1" customWidth="1"/>
    <col min="13359" max="13359" width="13.5" style="326" customWidth="1"/>
    <col min="13360" max="13361" width="9" style="326"/>
    <col min="13362" max="13362" width="10.75" style="326" bestFit="1" customWidth="1"/>
    <col min="13363" max="13363" width="14" style="326" customWidth="1"/>
    <col min="13364" max="13364" width="9" style="326"/>
    <col min="13365" max="13365" width="10.75" style="326" customWidth="1"/>
    <col min="13366" max="13366" width="12.75" style="326" customWidth="1"/>
    <col min="13367" max="13367" width="9" style="326"/>
    <col min="13368" max="13368" width="10.75" style="326" bestFit="1" customWidth="1"/>
    <col min="13369" max="13369" width="11.5" style="326" customWidth="1"/>
    <col min="13370" max="13370" width="13.625" style="326" customWidth="1"/>
    <col min="13371" max="13371" width="10.625" style="326" customWidth="1"/>
    <col min="13372" max="13372" width="10.75" style="326" bestFit="1" customWidth="1"/>
    <col min="13373" max="13373" width="12.375" style="326" customWidth="1"/>
    <col min="13374" max="13376" width="9" style="326"/>
    <col min="13377" max="13377" width="15.75" style="326" customWidth="1"/>
    <col min="13378" max="13378" width="9" style="326"/>
    <col min="13379" max="13379" width="10.75" style="326" bestFit="1" customWidth="1"/>
    <col min="13380" max="13380" width="12.625" style="326" customWidth="1"/>
    <col min="13381" max="13383" width="9" style="326"/>
    <col min="13384" max="13384" width="13.625" style="326" customWidth="1"/>
    <col min="13385" max="13385" width="9" style="326"/>
    <col min="13386" max="13386" width="10.75" style="326" bestFit="1" customWidth="1"/>
    <col min="13387" max="13387" width="12.5" style="326" customWidth="1"/>
    <col min="13388" max="13390" width="9" style="326"/>
    <col min="13391" max="13391" width="12.875" style="326" customWidth="1"/>
    <col min="13392" max="13392" width="9" style="326"/>
    <col min="13393" max="13393" width="10.75" style="326" bestFit="1" customWidth="1"/>
    <col min="13394" max="13394" width="13.875" style="326" customWidth="1"/>
    <col min="13395" max="13397" width="9" style="326"/>
    <col min="13398" max="13398" width="14.125" style="326" customWidth="1"/>
    <col min="13399" max="13399" width="9" style="326"/>
    <col min="13400" max="13400" width="10.75" style="326" bestFit="1" customWidth="1"/>
    <col min="13401" max="13401" width="13.25" style="326" customWidth="1"/>
    <col min="13402" max="13404" width="9" style="326"/>
    <col min="13405" max="13405" width="13.25" style="326" customWidth="1"/>
    <col min="13406" max="13406" width="9" style="326"/>
    <col min="13407" max="13407" width="10.75" style="326" bestFit="1" customWidth="1"/>
    <col min="13408" max="13408" width="13.875" style="326" customWidth="1"/>
    <col min="13409" max="13411" width="9" style="326"/>
    <col min="13412" max="13412" width="13.625" style="326" customWidth="1"/>
    <col min="13413" max="13413" width="9" style="326"/>
    <col min="13414" max="13414" width="10.75" style="326" bestFit="1" customWidth="1"/>
    <col min="13415" max="13415" width="13" style="326" customWidth="1"/>
    <col min="13416" max="13562" width="9" style="326"/>
    <col min="13563" max="13564" width="12.125" style="326" customWidth="1"/>
    <col min="13565" max="13567" width="13" style="326" customWidth="1"/>
    <col min="13568" max="13568" width="12.875" style="326" customWidth="1"/>
    <col min="13569" max="13569" width="13" style="326" customWidth="1"/>
    <col min="13570" max="13570" width="13.125" style="326" customWidth="1"/>
    <col min="13571" max="13572" width="12.125" style="326" customWidth="1"/>
    <col min="13573" max="13573" width="14.375" style="326" bestFit="1" customWidth="1"/>
    <col min="13574" max="13574" width="11" style="326" customWidth="1"/>
    <col min="13575" max="13575" width="10" style="326" customWidth="1"/>
    <col min="13576" max="13576" width="10.875" style="326" customWidth="1"/>
    <col min="13577" max="13577" width="13.75" style="326" customWidth="1"/>
    <col min="13578" max="13578" width="10" style="326" customWidth="1"/>
    <col min="13579" max="13579" width="13.25" style="326" customWidth="1"/>
    <col min="13580" max="13580" width="14.375" style="326" customWidth="1"/>
    <col min="13581" max="13581" width="10" style="326" customWidth="1"/>
    <col min="13582" max="13582" width="10.875" style="326" customWidth="1"/>
    <col min="13583" max="13583" width="11.375" style="326" customWidth="1"/>
    <col min="13584" max="13584" width="15.375" style="326" customWidth="1"/>
    <col min="13585" max="13586" width="10.75" style="326" customWidth="1"/>
    <col min="13587" max="13587" width="14.375" style="326" customWidth="1"/>
    <col min="13588" max="13588" width="10.75" style="326" customWidth="1"/>
    <col min="13589" max="13589" width="11.75" style="326" customWidth="1"/>
    <col min="13590" max="13590" width="10" style="326" customWidth="1"/>
    <col min="13591" max="13591" width="15.375" style="326" customWidth="1"/>
    <col min="13592" max="13592" width="10" style="326" customWidth="1"/>
    <col min="13593" max="13593" width="10.75" style="326" customWidth="1"/>
    <col min="13594" max="13594" width="14.875" style="326" customWidth="1"/>
    <col min="13595" max="13595" width="11.5" style="326" customWidth="1"/>
    <col min="13596" max="13596" width="10" style="326" customWidth="1"/>
    <col min="13597" max="13597" width="10.75" style="326" customWidth="1"/>
    <col min="13598" max="13598" width="13.5" style="326" customWidth="1"/>
    <col min="13599" max="13599" width="9" style="326"/>
    <col min="13600" max="13600" width="10.75" style="326" bestFit="1" customWidth="1"/>
    <col min="13601" max="13601" width="13.75" style="326" customWidth="1"/>
    <col min="13602" max="13602" width="9" style="326"/>
    <col min="13603" max="13603" width="10.625" style="326" customWidth="1"/>
    <col min="13604" max="13604" width="9" style="326"/>
    <col min="13605" max="13605" width="14.25" style="326" customWidth="1"/>
    <col min="13606" max="13606" width="10.75" style="326" bestFit="1" customWidth="1"/>
    <col min="13607" max="13607" width="11.625" style="326" customWidth="1"/>
    <col min="13608" max="13608" width="13.75" style="326" customWidth="1"/>
    <col min="13609" max="13609" width="10.625" style="326" customWidth="1"/>
    <col min="13610" max="13611" width="9" style="326"/>
    <col min="13612" max="13612" width="14.125" style="326" customWidth="1"/>
    <col min="13613" max="13613" width="11" style="326" customWidth="1"/>
    <col min="13614" max="13614" width="10.75" style="326" bestFit="1" customWidth="1"/>
    <col min="13615" max="13615" width="13.5" style="326" customWidth="1"/>
    <col min="13616" max="13617" width="9" style="326"/>
    <col min="13618" max="13618" width="10.75" style="326" bestFit="1" customWidth="1"/>
    <col min="13619" max="13619" width="14" style="326" customWidth="1"/>
    <col min="13620" max="13620" width="9" style="326"/>
    <col min="13621" max="13621" width="10.75" style="326" customWidth="1"/>
    <col min="13622" max="13622" width="12.75" style="326" customWidth="1"/>
    <col min="13623" max="13623" width="9" style="326"/>
    <col min="13624" max="13624" width="10.75" style="326" bestFit="1" customWidth="1"/>
    <col min="13625" max="13625" width="11.5" style="326" customWidth="1"/>
    <col min="13626" max="13626" width="13.625" style="326" customWidth="1"/>
    <col min="13627" max="13627" width="10.625" style="326" customWidth="1"/>
    <col min="13628" max="13628" width="10.75" style="326" bestFit="1" customWidth="1"/>
    <col min="13629" max="13629" width="12.375" style="326" customWidth="1"/>
    <col min="13630" max="13632" width="9" style="326"/>
    <col min="13633" max="13633" width="15.75" style="326" customWidth="1"/>
    <col min="13634" max="13634" width="9" style="326"/>
    <col min="13635" max="13635" width="10.75" style="326" bestFit="1" customWidth="1"/>
    <col min="13636" max="13636" width="12.625" style="326" customWidth="1"/>
    <col min="13637" max="13639" width="9" style="326"/>
    <col min="13640" max="13640" width="13.625" style="326" customWidth="1"/>
    <col min="13641" max="13641" width="9" style="326"/>
    <col min="13642" max="13642" width="10.75" style="326" bestFit="1" customWidth="1"/>
    <col min="13643" max="13643" width="12.5" style="326" customWidth="1"/>
    <col min="13644" max="13646" width="9" style="326"/>
    <col min="13647" max="13647" width="12.875" style="326" customWidth="1"/>
    <col min="13648" max="13648" width="9" style="326"/>
    <col min="13649" max="13649" width="10.75" style="326" bestFit="1" customWidth="1"/>
    <col min="13650" max="13650" width="13.875" style="326" customWidth="1"/>
    <col min="13651" max="13653" width="9" style="326"/>
    <col min="13654" max="13654" width="14.125" style="326" customWidth="1"/>
    <col min="13655" max="13655" width="9" style="326"/>
    <col min="13656" max="13656" width="10.75" style="326" bestFit="1" customWidth="1"/>
    <col min="13657" max="13657" width="13.25" style="326" customWidth="1"/>
    <col min="13658" max="13660" width="9" style="326"/>
    <col min="13661" max="13661" width="13.25" style="326" customWidth="1"/>
    <col min="13662" max="13662" width="9" style="326"/>
    <col min="13663" max="13663" width="10.75" style="326" bestFit="1" customWidth="1"/>
    <col min="13664" max="13664" width="13.875" style="326" customWidth="1"/>
    <col min="13665" max="13667" width="9" style="326"/>
    <col min="13668" max="13668" width="13.625" style="326" customWidth="1"/>
    <col min="13669" max="13669" width="9" style="326"/>
    <col min="13670" max="13670" width="10.75" style="326" bestFit="1" customWidth="1"/>
    <col min="13671" max="13671" width="13" style="326" customWidth="1"/>
    <col min="13672" max="13818" width="9" style="326"/>
    <col min="13819" max="13820" width="12.125" style="326" customWidth="1"/>
    <col min="13821" max="13823" width="13" style="326" customWidth="1"/>
    <col min="13824" max="13824" width="12.875" style="326" customWidth="1"/>
    <col min="13825" max="13825" width="13" style="326" customWidth="1"/>
    <col min="13826" max="13826" width="13.125" style="326" customWidth="1"/>
    <col min="13827" max="13828" width="12.125" style="326" customWidth="1"/>
    <col min="13829" max="13829" width="14.375" style="326" bestFit="1" customWidth="1"/>
    <col min="13830" max="13830" width="11" style="326" customWidth="1"/>
    <col min="13831" max="13831" width="10" style="326" customWidth="1"/>
    <col min="13832" max="13832" width="10.875" style="326" customWidth="1"/>
    <col min="13833" max="13833" width="13.75" style="326" customWidth="1"/>
    <col min="13834" max="13834" width="10" style="326" customWidth="1"/>
    <col min="13835" max="13835" width="13.25" style="326" customWidth="1"/>
    <col min="13836" max="13836" width="14.375" style="326" customWidth="1"/>
    <col min="13837" max="13837" width="10" style="326" customWidth="1"/>
    <col min="13838" max="13838" width="10.875" style="326" customWidth="1"/>
    <col min="13839" max="13839" width="11.375" style="326" customWidth="1"/>
    <col min="13840" max="13840" width="15.375" style="326" customWidth="1"/>
    <col min="13841" max="13842" width="10.75" style="326" customWidth="1"/>
    <col min="13843" max="13843" width="14.375" style="326" customWidth="1"/>
    <col min="13844" max="13844" width="10.75" style="326" customWidth="1"/>
    <col min="13845" max="13845" width="11.75" style="326" customWidth="1"/>
    <col min="13846" max="13846" width="10" style="326" customWidth="1"/>
    <col min="13847" max="13847" width="15.375" style="326" customWidth="1"/>
    <col min="13848" max="13848" width="10" style="326" customWidth="1"/>
    <col min="13849" max="13849" width="10.75" style="326" customWidth="1"/>
    <col min="13850" max="13850" width="14.875" style="326" customWidth="1"/>
    <col min="13851" max="13851" width="11.5" style="326" customWidth="1"/>
    <col min="13852" max="13852" width="10" style="326" customWidth="1"/>
    <col min="13853" max="13853" width="10.75" style="326" customWidth="1"/>
    <col min="13854" max="13854" width="13.5" style="326" customWidth="1"/>
    <col min="13855" max="13855" width="9" style="326"/>
    <col min="13856" max="13856" width="10.75" style="326" bestFit="1" customWidth="1"/>
    <col min="13857" max="13857" width="13.75" style="326" customWidth="1"/>
    <col min="13858" max="13858" width="9" style="326"/>
    <col min="13859" max="13859" width="10.625" style="326" customWidth="1"/>
    <col min="13860" max="13860" width="9" style="326"/>
    <col min="13861" max="13861" width="14.25" style="326" customWidth="1"/>
    <col min="13862" max="13862" width="10.75" style="326" bestFit="1" customWidth="1"/>
    <col min="13863" max="13863" width="11.625" style="326" customWidth="1"/>
    <col min="13864" max="13864" width="13.75" style="326" customWidth="1"/>
    <col min="13865" max="13865" width="10.625" style="326" customWidth="1"/>
    <col min="13866" max="13867" width="9" style="326"/>
    <col min="13868" max="13868" width="14.125" style="326" customWidth="1"/>
    <col min="13869" max="13869" width="11" style="326" customWidth="1"/>
    <col min="13870" max="13870" width="10.75" style="326" bestFit="1" customWidth="1"/>
    <col min="13871" max="13871" width="13.5" style="326" customWidth="1"/>
    <col min="13872" max="13873" width="9" style="326"/>
    <col min="13874" max="13874" width="10.75" style="326" bestFit="1" customWidth="1"/>
    <col min="13875" max="13875" width="14" style="326" customWidth="1"/>
    <col min="13876" max="13876" width="9" style="326"/>
    <col min="13877" max="13877" width="10.75" style="326" customWidth="1"/>
    <col min="13878" max="13878" width="12.75" style="326" customWidth="1"/>
    <col min="13879" max="13879" width="9" style="326"/>
    <col min="13880" max="13880" width="10.75" style="326" bestFit="1" customWidth="1"/>
    <col min="13881" max="13881" width="11.5" style="326" customWidth="1"/>
    <col min="13882" max="13882" width="13.625" style="326" customWidth="1"/>
    <col min="13883" max="13883" width="10.625" style="326" customWidth="1"/>
    <col min="13884" max="13884" width="10.75" style="326" bestFit="1" customWidth="1"/>
    <col min="13885" max="13885" width="12.375" style="326" customWidth="1"/>
    <col min="13886" max="13888" width="9" style="326"/>
    <col min="13889" max="13889" width="15.75" style="326" customWidth="1"/>
    <col min="13890" max="13890" width="9" style="326"/>
    <col min="13891" max="13891" width="10.75" style="326" bestFit="1" customWidth="1"/>
    <col min="13892" max="13892" width="12.625" style="326" customWidth="1"/>
    <col min="13893" max="13895" width="9" style="326"/>
    <col min="13896" max="13896" width="13.625" style="326" customWidth="1"/>
    <col min="13897" max="13897" width="9" style="326"/>
    <col min="13898" max="13898" width="10.75" style="326" bestFit="1" customWidth="1"/>
    <col min="13899" max="13899" width="12.5" style="326" customWidth="1"/>
    <col min="13900" max="13902" width="9" style="326"/>
    <col min="13903" max="13903" width="12.875" style="326" customWidth="1"/>
    <col min="13904" max="13904" width="9" style="326"/>
    <col min="13905" max="13905" width="10.75" style="326" bestFit="1" customWidth="1"/>
    <col min="13906" max="13906" width="13.875" style="326" customWidth="1"/>
    <col min="13907" max="13909" width="9" style="326"/>
    <col min="13910" max="13910" width="14.125" style="326" customWidth="1"/>
    <col min="13911" max="13911" width="9" style="326"/>
    <col min="13912" max="13912" width="10.75" style="326" bestFit="1" customWidth="1"/>
    <col min="13913" max="13913" width="13.25" style="326" customWidth="1"/>
    <col min="13914" max="13916" width="9" style="326"/>
    <col min="13917" max="13917" width="13.25" style="326" customWidth="1"/>
    <col min="13918" max="13918" width="9" style="326"/>
    <col min="13919" max="13919" width="10.75" style="326" bestFit="1" customWidth="1"/>
    <col min="13920" max="13920" width="13.875" style="326" customWidth="1"/>
    <col min="13921" max="13923" width="9" style="326"/>
    <col min="13924" max="13924" width="13.625" style="326" customWidth="1"/>
    <col min="13925" max="13925" width="9" style="326"/>
    <col min="13926" max="13926" width="10.75" style="326" bestFit="1" customWidth="1"/>
    <col min="13927" max="13927" width="13" style="326" customWidth="1"/>
    <col min="13928" max="14074" width="9" style="326"/>
    <col min="14075" max="14076" width="12.125" style="326" customWidth="1"/>
    <col min="14077" max="14079" width="13" style="326" customWidth="1"/>
    <col min="14080" max="14080" width="12.875" style="326" customWidth="1"/>
    <col min="14081" max="14081" width="13" style="326" customWidth="1"/>
    <col min="14082" max="14082" width="13.125" style="326" customWidth="1"/>
    <col min="14083" max="14084" width="12.125" style="326" customWidth="1"/>
    <col min="14085" max="14085" width="14.375" style="326" bestFit="1" customWidth="1"/>
    <col min="14086" max="14086" width="11" style="326" customWidth="1"/>
    <col min="14087" max="14087" width="10" style="326" customWidth="1"/>
    <col min="14088" max="14088" width="10.875" style="326" customWidth="1"/>
    <col min="14089" max="14089" width="13.75" style="326" customWidth="1"/>
    <col min="14090" max="14090" width="10" style="326" customWidth="1"/>
    <col min="14091" max="14091" width="13.25" style="326" customWidth="1"/>
    <col min="14092" max="14092" width="14.375" style="326" customWidth="1"/>
    <col min="14093" max="14093" width="10" style="326" customWidth="1"/>
    <col min="14094" max="14094" width="10.875" style="326" customWidth="1"/>
    <col min="14095" max="14095" width="11.375" style="326" customWidth="1"/>
    <col min="14096" max="14096" width="15.375" style="326" customWidth="1"/>
    <col min="14097" max="14098" width="10.75" style="326" customWidth="1"/>
    <col min="14099" max="14099" width="14.375" style="326" customWidth="1"/>
    <col min="14100" max="14100" width="10.75" style="326" customWidth="1"/>
    <col min="14101" max="14101" width="11.75" style="326" customWidth="1"/>
    <col min="14102" max="14102" width="10" style="326" customWidth="1"/>
    <col min="14103" max="14103" width="15.375" style="326" customWidth="1"/>
    <col min="14104" max="14104" width="10" style="326" customWidth="1"/>
    <col min="14105" max="14105" width="10.75" style="326" customWidth="1"/>
    <col min="14106" max="14106" width="14.875" style="326" customWidth="1"/>
    <col min="14107" max="14107" width="11.5" style="326" customWidth="1"/>
    <col min="14108" max="14108" width="10" style="326" customWidth="1"/>
    <col min="14109" max="14109" width="10.75" style="326" customWidth="1"/>
    <col min="14110" max="14110" width="13.5" style="326" customWidth="1"/>
    <col min="14111" max="14111" width="9" style="326"/>
    <col min="14112" max="14112" width="10.75" style="326" bestFit="1" customWidth="1"/>
    <col min="14113" max="14113" width="13.75" style="326" customWidth="1"/>
    <col min="14114" max="14114" width="9" style="326"/>
    <col min="14115" max="14115" width="10.625" style="326" customWidth="1"/>
    <col min="14116" max="14116" width="9" style="326"/>
    <col min="14117" max="14117" width="14.25" style="326" customWidth="1"/>
    <col min="14118" max="14118" width="10.75" style="326" bestFit="1" customWidth="1"/>
    <col min="14119" max="14119" width="11.625" style="326" customWidth="1"/>
    <col min="14120" max="14120" width="13.75" style="326" customWidth="1"/>
    <col min="14121" max="14121" width="10.625" style="326" customWidth="1"/>
    <col min="14122" max="14123" width="9" style="326"/>
    <col min="14124" max="14124" width="14.125" style="326" customWidth="1"/>
    <col min="14125" max="14125" width="11" style="326" customWidth="1"/>
    <col min="14126" max="14126" width="10.75" style="326" bestFit="1" customWidth="1"/>
    <col min="14127" max="14127" width="13.5" style="326" customWidth="1"/>
    <col min="14128" max="14129" width="9" style="326"/>
    <col min="14130" max="14130" width="10.75" style="326" bestFit="1" customWidth="1"/>
    <col min="14131" max="14131" width="14" style="326" customWidth="1"/>
    <col min="14132" max="14132" width="9" style="326"/>
    <col min="14133" max="14133" width="10.75" style="326" customWidth="1"/>
    <col min="14134" max="14134" width="12.75" style="326" customWidth="1"/>
    <col min="14135" max="14135" width="9" style="326"/>
    <col min="14136" max="14136" width="10.75" style="326" bestFit="1" customWidth="1"/>
    <col min="14137" max="14137" width="11.5" style="326" customWidth="1"/>
    <col min="14138" max="14138" width="13.625" style="326" customWidth="1"/>
    <col min="14139" max="14139" width="10.625" style="326" customWidth="1"/>
    <col min="14140" max="14140" width="10.75" style="326" bestFit="1" customWidth="1"/>
    <col min="14141" max="14141" width="12.375" style="326" customWidth="1"/>
    <col min="14142" max="14144" width="9" style="326"/>
    <col min="14145" max="14145" width="15.75" style="326" customWidth="1"/>
    <col min="14146" max="14146" width="9" style="326"/>
    <col min="14147" max="14147" width="10.75" style="326" bestFit="1" customWidth="1"/>
    <col min="14148" max="14148" width="12.625" style="326" customWidth="1"/>
    <col min="14149" max="14151" width="9" style="326"/>
    <col min="14152" max="14152" width="13.625" style="326" customWidth="1"/>
    <col min="14153" max="14153" width="9" style="326"/>
    <col min="14154" max="14154" width="10.75" style="326" bestFit="1" customWidth="1"/>
    <col min="14155" max="14155" width="12.5" style="326" customWidth="1"/>
    <col min="14156" max="14158" width="9" style="326"/>
    <col min="14159" max="14159" width="12.875" style="326" customWidth="1"/>
    <col min="14160" max="14160" width="9" style="326"/>
    <col min="14161" max="14161" width="10.75" style="326" bestFit="1" customWidth="1"/>
    <col min="14162" max="14162" width="13.875" style="326" customWidth="1"/>
    <col min="14163" max="14165" width="9" style="326"/>
    <col min="14166" max="14166" width="14.125" style="326" customWidth="1"/>
    <col min="14167" max="14167" width="9" style="326"/>
    <col min="14168" max="14168" width="10.75" style="326" bestFit="1" customWidth="1"/>
    <col min="14169" max="14169" width="13.25" style="326" customWidth="1"/>
    <col min="14170" max="14172" width="9" style="326"/>
    <col min="14173" max="14173" width="13.25" style="326" customWidth="1"/>
    <col min="14174" max="14174" width="9" style="326"/>
    <col min="14175" max="14175" width="10.75" style="326" bestFit="1" customWidth="1"/>
    <col min="14176" max="14176" width="13.875" style="326" customWidth="1"/>
    <col min="14177" max="14179" width="9" style="326"/>
    <col min="14180" max="14180" width="13.625" style="326" customWidth="1"/>
    <col min="14181" max="14181" width="9" style="326"/>
    <col min="14182" max="14182" width="10.75" style="326" bestFit="1" customWidth="1"/>
    <col min="14183" max="14183" width="13" style="326" customWidth="1"/>
    <col min="14184" max="14330" width="9" style="326"/>
    <col min="14331" max="14332" width="12.125" style="326" customWidth="1"/>
    <col min="14333" max="14335" width="13" style="326" customWidth="1"/>
    <col min="14336" max="14336" width="12.875" style="326" customWidth="1"/>
    <col min="14337" max="14337" width="13" style="326" customWidth="1"/>
    <col min="14338" max="14338" width="13.125" style="326" customWidth="1"/>
    <col min="14339" max="14340" width="12.125" style="326" customWidth="1"/>
    <col min="14341" max="14341" width="14.375" style="326" bestFit="1" customWidth="1"/>
    <col min="14342" max="14342" width="11" style="326" customWidth="1"/>
    <col min="14343" max="14343" width="10" style="326" customWidth="1"/>
    <col min="14344" max="14344" width="10.875" style="326" customWidth="1"/>
    <col min="14345" max="14345" width="13.75" style="326" customWidth="1"/>
    <col min="14346" max="14346" width="10" style="326" customWidth="1"/>
    <col min="14347" max="14347" width="13.25" style="326" customWidth="1"/>
    <col min="14348" max="14348" width="14.375" style="326" customWidth="1"/>
    <col min="14349" max="14349" width="10" style="326" customWidth="1"/>
    <col min="14350" max="14350" width="10.875" style="326" customWidth="1"/>
    <col min="14351" max="14351" width="11.375" style="326" customWidth="1"/>
    <col min="14352" max="14352" width="15.375" style="326" customWidth="1"/>
    <col min="14353" max="14354" width="10.75" style="326" customWidth="1"/>
    <col min="14355" max="14355" width="14.375" style="326" customWidth="1"/>
    <col min="14356" max="14356" width="10.75" style="326" customWidth="1"/>
    <col min="14357" max="14357" width="11.75" style="326" customWidth="1"/>
    <col min="14358" max="14358" width="10" style="326" customWidth="1"/>
    <col min="14359" max="14359" width="15.375" style="326" customWidth="1"/>
    <col min="14360" max="14360" width="10" style="326" customWidth="1"/>
    <col min="14361" max="14361" width="10.75" style="326" customWidth="1"/>
    <col min="14362" max="14362" width="14.875" style="326" customWidth="1"/>
    <col min="14363" max="14363" width="11.5" style="326" customWidth="1"/>
    <col min="14364" max="14364" width="10" style="326" customWidth="1"/>
    <col min="14365" max="14365" width="10.75" style="326" customWidth="1"/>
    <col min="14366" max="14366" width="13.5" style="326" customWidth="1"/>
    <col min="14367" max="14367" width="9" style="326"/>
    <col min="14368" max="14368" width="10.75" style="326" bestFit="1" customWidth="1"/>
    <col min="14369" max="14369" width="13.75" style="326" customWidth="1"/>
    <col min="14370" max="14370" width="9" style="326"/>
    <col min="14371" max="14371" width="10.625" style="326" customWidth="1"/>
    <col min="14372" max="14372" width="9" style="326"/>
    <col min="14373" max="14373" width="14.25" style="326" customWidth="1"/>
    <col min="14374" max="14374" width="10.75" style="326" bestFit="1" customWidth="1"/>
    <col min="14375" max="14375" width="11.625" style="326" customWidth="1"/>
    <col min="14376" max="14376" width="13.75" style="326" customWidth="1"/>
    <col min="14377" max="14377" width="10.625" style="326" customWidth="1"/>
    <col min="14378" max="14379" width="9" style="326"/>
    <col min="14380" max="14380" width="14.125" style="326" customWidth="1"/>
    <col min="14381" max="14381" width="11" style="326" customWidth="1"/>
    <col min="14382" max="14382" width="10.75" style="326" bestFit="1" customWidth="1"/>
    <col min="14383" max="14383" width="13.5" style="326" customWidth="1"/>
    <col min="14384" max="14385" width="9" style="326"/>
    <col min="14386" max="14386" width="10.75" style="326" bestFit="1" customWidth="1"/>
    <col min="14387" max="14387" width="14" style="326" customWidth="1"/>
    <col min="14388" max="14388" width="9" style="326"/>
    <col min="14389" max="14389" width="10.75" style="326" customWidth="1"/>
    <col min="14390" max="14390" width="12.75" style="326" customWidth="1"/>
    <col min="14391" max="14391" width="9" style="326"/>
    <col min="14392" max="14392" width="10.75" style="326" bestFit="1" customWidth="1"/>
    <col min="14393" max="14393" width="11.5" style="326" customWidth="1"/>
    <col min="14394" max="14394" width="13.625" style="326" customWidth="1"/>
    <col min="14395" max="14395" width="10.625" style="326" customWidth="1"/>
    <col min="14396" max="14396" width="10.75" style="326" bestFit="1" customWidth="1"/>
    <col min="14397" max="14397" width="12.375" style="326" customWidth="1"/>
    <col min="14398" max="14400" width="9" style="326"/>
    <col min="14401" max="14401" width="15.75" style="326" customWidth="1"/>
    <col min="14402" max="14402" width="9" style="326"/>
    <col min="14403" max="14403" width="10.75" style="326" bestFit="1" customWidth="1"/>
    <col min="14404" max="14404" width="12.625" style="326" customWidth="1"/>
    <col min="14405" max="14407" width="9" style="326"/>
    <col min="14408" max="14408" width="13.625" style="326" customWidth="1"/>
    <col min="14409" max="14409" width="9" style="326"/>
    <col min="14410" max="14410" width="10.75" style="326" bestFit="1" customWidth="1"/>
    <col min="14411" max="14411" width="12.5" style="326" customWidth="1"/>
    <col min="14412" max="14414" width="9" style="326"/>
    <col min="14415" max="14415" width="12.875" style="326" customWidth="1"/>
    <col min="14416" max="14416" width="9" style="326"/>
    <col min="14417" max="14417" width="10.75" style="326" bestFit="1" customWidth="1"/>
    <col min="14418" max="14418" width="13.875" style="326" customWidth="1"/>
    <col min="14419" max="14421" width="9" style="326"/>
    <col min="14422" max="14422" width="14.125" style="326" customWidth="1"/>
    <col min="14423" max="14423" width="9" style="326"/>
    <col min="14424" max="14424" width="10.75" style="326" bestFit="1" customWidth="1"/>
    <col min="14425" max="14425" width="13.25" style="326" customWidth="1"/>
    <col min="14426" max="14428" width="9" style="326"/>
    <col min="14429" max="14429" width="13.25" style="326" customWidth="1"/>
    <col min="14430" max="14430" width="9" style="326"/>
    <col min="14431" max="14431" width="10.75" style="326" bestFit="1" customWidth="1"/>
    <col min="14432" max="14432" width="13.875" style="326" customWidth="1"/>
    <col min="14433" max="14435" width="9" style="326"/>
    <col min="14436" max="14436" width="13.625" style="326" customWidth="1"/>
    <col min="14437" max="14437" width="9" style="326"/>
    <col min="14438" max="14438" width="10.75" style="326" bestFit="1" customWidth="1"/>
    <col min="14439" max="14439" width="13" style="326" customWidth="1"/>
    <col min="14440" max="14586" width="9" style="326"/>
    <col min="14587" max="14588" width="12.125" style="326" customWidth="1"/>
    <col min="14589" max="14591" width="13" style="326" customWidth="1"/>
    <col min="14592" max="14592" width="12.875" style="326" customWidth="1"/>
    <col min="14593" max="14593" width="13" style="326" customWidth="1"/>
    <col min="14594" max="14594" width="13.125" style="326" customWidth="1"/>
    <col min="14595" max="14596" width="12.125" style="326" customWidth="1"/>
    <col min="14597" max="14597" width="14.375" style="326" bestFit="1" customWidth="1"/>
    <col min="14598" max="14598" width="11" style="326" customWidth="1"/>
    <col min="14599" max="14599" width="10" style="326" customWidth="1"/>
    <col min="14600" max="14600" width="10.875" style="326" customWidth="1"/>
    <col min="14601" max="14601" width="13.75" style="326" customWidth="1"/>
    <col min="14602" max="14602" width="10" style="326" customWidth="1"/>
    <col min="14603" max="14603" width="13.25" style="326" customWidth="1"/>
    <col min="14604" max="14604" width="14.375" style="326" customWidth="1"/>
    <col min="14605" max="14605" width="10" style="326" customWidth="1"/>
    <col min="14606" max="14606" width="10.875" style="326" customWidth="1"/>
    <col min="14607" max="14607" width="11.375" style="326" customWidth="1"/>
    <col min="14608" max="14608" width="15.375" style="326" customWidth="1"/>
    <col min="14609" max="14610" width="10.75" style="326" customWidth="1"/>
    <col min="14611" max="14611" width="14.375" style="326" customWidth="1"/>
    <col min="14612" max="14612" width="10.75" style="326" customWidth="1"/>
    <col min="14613" max="14613" width="11.75" style="326" customWidth="1"/>
    <col min="14614" max="14614" width="10" style="326" customWidth="1"/>
    <col min="14615" max="14615" width="15.375" style="326" customWidth="1"/>
    <col min="14616" max="14616" width="10" style="326" customWidth="1"/>
    <col min="14617" max="14617" width="10.75" style="326" customWidth="1"/>
    <col min="14618" max="14618" width="14.875" style="326" customWidth="1"/>
    <col min="14619" max="14619" width="11.5" style="326" customWidth="1"/>
    <col min="14620" max="14620" width="10" style="326" customWidth="1"/>
    <col min="14621" max="14621" width="10.75" style="326" customWidth="1"/>
    <col min="14622" max="14622" width="13.5" style="326" customWidth="1"/>
    <col min="14623" max="14623" width="9" style="326"/>
    <col min="14624" max="14624" width="10.75" style="326" bestFit="1" customWidth="1"/>
    <col min="14625" max="14625" width="13.75" style="326" customWidth="1"/>
    <col min="14626" max="14626" width="9" style="326"/>
    <col min="14627" max="14627" width="10.625" style="326" customWidth="1"/>
    <col min="14628" max="14628" width="9" style="326"/>
    <col min="14629" max="14629" width="14.25" style="326" customWidth="1"/>
    <col min="14630" max="14630" width="10.75" style="326" bestFit="1" customWidth="1"/>
    <col min="14631" max="14631" width="11.625" style="326" customWidth="1"/>
    <col min="14632" max="14632" width="13.75" style="326" customWidth="1"/>
    <col min="14633" max="14633" width="10.625" style="326" customWidth="1"/>
    <col min="14634" max="14635" width="9" style="326"/>
    <col min="14636" max="14636" width="14.125" style="326" customWidth="1"/>
    <col min="14637" max="14637" width="11" style="326" customWidth="1"/>
    <col min="14638" max="14638" width="10.75" style="326" bestFit="1" customWidth="1"/>
    <col min="14639" max="14639" width="13.5" style="326" customWidth="1"/>
    <col min="14640" max="14641" width="9" style="326"/>
    <col min="14642" max="14642" width="10.75" style="326" bestFit="1" customWidth="1"/>
    <col min="14643" max="14643" width="14" style="326" customWidth="1"/>
    <col min="14644" max="14644" width="9" style="326"/>
    <col min="14645" max="14645" width="10.75" style="326" customWidth="1"/>
    <col min="14646" max="14646" width="12.75" style="326" customWidth="1"/>
    <col min="14647" max="14647" width="9" style="326"/>
    <col min="14648" max="14648" width="10.75" style="326" bestFit="1" customWidth="1"/>
    <col min="14649" max="14649" width="11.5" style="326" customWidth="1"/>
    <col min="14650" max="14650" width="13.625" style="326" customWidth="1"/>
    <col min="14651" max="14651" width="10.625" style="326" customWidth="1"/>
    <col min="14652" max="14652" width="10.75" style="326" bestFit="1" customWidth="1"/>
    <col min="14653" max="14653" width="12.375" style="326" customWidth="1"/>
    <col min="14654" max="14656" width="9" style="326"/>
    <col min="14657" max="14657" width="15.75" style="326" customWidth="1"/>
    <col min="14658" max="14658" width="9" style="326"/>
    <col min="14659" max="14659" width="10.75" style="326" bestFit="1" customWidth="1"/>
    <col min="14660" max="14660" width="12.625" style="326" customWidth="1"/>
    <col min="14661" max="14663" width="9" style="326"/>
    <col min="14664" max="14664" width="13.625" style="326" customWidth="1"/>
    <col min="14665" max="14665" width="9" style="326"/>
    <col min="14666" max="14666" width="10.75" style="326" bestFit="1" customWidth="1"/>
    <col min="14667" max="14667" width="12.5" style="326" customWidth="1"/>
    <col min="14668" max="14670" width="9" style="326"/>
    <col min="14671" max="14671" width="12.875" style="326" customWidth="1"/>
    <col min="14672" max="14672" width="9" style="326"/>
    <col min="14673" max="14673" width="10.75" style="326" bestFit="1" customWidth="1"/>
    <col min="14674" max="14674" width="13.875" style="326" customWidth="1"/>
    <col min="14675" max="14677" width="9" style="326"/>
    <col min="14678" max="14678" width="14.125" style="326" customWidth="1"/>
    <col min="14679" max="14679" width="9" style="326"/>
    <col min="14680" max="14680" width="10.75" style="326" bestFit="1" customWidth="1"/>
    <col min="14681" max="14681" width="13.25" style="326" customWidth="1"/>
    <col min="14682" max="14684" width="9" style="326"/>
    <col min="14685" max="14685" width="13.25" style="326" customWidth="1"/>
    <col min="14686" max="14686" width="9" style="326"/>
    <col min="14687" max="14687" width="10.75" style="326" bestFit="1" customWidth="1"/>
    <col min="14688" max="14688" width="13.875" style="326" customWidth="1"/>
    <col min="14689" max="14691" width="9" style="326"/>
    <col min="14692" max="14692" width="13.625" style="326" customWidth="1"/>
    <col min="14693" max="14693" width="9" style="326"/>
    <col min="14694" max="14694" width="10.75" style="326" bestFit="1" customWidth="1"/>
    <col min="14695" max="14695" width="13" style="326" customWidth="1"/>
    <col min="14696" max="14842" width="9" style="326"/>
    <col min="14843" max="14844" width="12.125" style="326" customWidth="1"/>
    <col min="14845" max="14847" width="13" style="326" customWidth="1"/>
    <col min="14848" max="14848" width="12.875" style="326" customWidth="1"/>
    <col min="14849" max="14849" width="13" style="326" customWidth="1"/>
    <col min="14850" max="14850" width="13.125" style="326" customWidth="1"/>
    <col min="14851" max="14852" width="12.125" style="326" customWidth="1"/>
    <col min="14853" max="14853" width="14.375" style="326" bestFit="1" customWidth="1"/>
    <col min="14854" max="14854" width="11" style="326" customWidth="1"/>
    <col min="14855" max="14855" width="10" style="326" customWidth="1"/>
    <col min="14856" max="14856" width="10.875" style="326" customWidth="1"/>
    <col min="14857" max="14857" width="13.75" style="326" customWidth="1"/>
    <col min="14858" max="14858" width="10" style="326" customWidth="1"/>
    <col min="14859" max="14859" width="13.25" style="326" customWidth="1"/>
    <col min="14860" max="14860" width="14.375" style="326" customWidth="1"/>
    <col min="14861" max="14861" width="10" style="326" customWidth="1"/>
    <col min="14862" max="14862" width="10.875" style="326" customWidth="1"/>
    <col min="14863" max="14863" width="11.375" style="326" customWidth="1"/>
    <col min="14864" max="14864" width="15.375" style="326" customWidth="1"/>
    <col min="14865" max="14866" width="10.75" style="326" customWidth="1"/>
    <col min="14867" max="14867" width="14.375" style="326" customWidth="1"/>
    <col min="14868" max="14868" width="10.75" style="326" customWidth="1"/>
    <col min="14869" max="14869" width="11.75" style="326" customWidth="1"/>
    <col min="14870" max="14870" width="10" style="326" customWidth="1"/>
    <col min="14871" max="14871" width="15.375" style="326" customWidth="1"/>
    <col min="14872" max="14872" width="10" style="326" customWidth="1"/>
    <col min="14873" max="14873" width="10.75" style="326" customWidth="1"/>
    <col min="14874" max="14874" width="14.875" style="326" customWidth="1"/>
    <col min="14875" max="14875" width="11.5" style="326" customWidth="1"/>
    <col min="14876" max="14876" width="10" style="326" customWidth="1"/>
    <col min="14877" max="14877" width="10.75" style="326" customWidth="1"/>
    <col min="14878" max="14878" width="13.5" style="326" customWidth="1"/>
    <col min="14879" max="14879" width="9" style="326"/>
    <col min="14880" max="14880" width="10.75" style="326" bestFit="1" customWidth="1"/>
    <col min="14881" max="14881" width="13.75" style="326" customWidth="1"/>
    <col min="14882" max="14882" width="9" style="326"/>
    <col min="14883" max="14883" width="10.625" style="326" customWidth="1"/>
    <col min="14884" max="14884" width="9" style="326"/>
    <col min="14885" max="14885" width="14.25" style="326" customWidth="1"/>
    <col min="14886" max="14886" width="10.75" style="326" bestFit="1" customWidth="1"/>
    <col min="14887" max="14887" width="11.625" style="326" customWidth="1"/>
    <col min="14888" max="14888" width="13.75" style="326" customWidth="1"/>
    <col min="14889" max="14889" width="10.625" style="326" customWidth="1"/>
    <col min="14890" max="14891" width="9" style="326"/>
    <col min="14892" max="14892" width="14.125" style="326" customWidth="1"/>
    <col min="14893" max="14893" width="11" style="326" customWidth="1"/>
    <col min="14894" max="14894" width="10.75" style="326" bestFit="1" customWidth="1"/>
    <col min="14895" max="14895" width="13.5" style="326" customWidth="1"/>
    <col min="14896" max="14897" width="9" style="326"/>
    <col min="14898" max="14898" width="10.75" style="326" bestFit="1" customWidth="1"/>
    <col min="14899" max="14899" width="14" style="326" customWidth="1"/>
    <col min="14900" max="14900" width="9" style="326"/>
    <col min="14901" max="14901" width="10.75" style="326" customWidth="1"/>
    <col min="14902" max="14902" width="12.75" style="326" customWidth="1"/>
    <col min="14903" max="14903" width="9" style="326"/>
    <col min="14904" max="14904" width="10.75" style="326" bestFit="1" customWidth="1"/>
    <col min="14905" max="14905" width="11.5" style="326" customWidth="1"/>
    <col min="14906" max="14906" width="13.625" style="326" customWidth="1"/>
    <col min="14907" max="14907" width="10.625" style="326" customWidth="1"/>
    <col min="14908" max="14908" width="10.75" style="326" bestFit="1" customWidth="1"/>
    <col min="14909" max="14909" width="12.375" style="326" customWidth="1"/>
    <col min="14910" max="14912" width="9" style="326"/>
    <col min="14913" max="14913" width="15.75" style="326" customWidth="1"/>
    <col min="14914" max="14914" width="9" style="326"/>
    <col min="14915" max="14915" width="10.75" style="326" bestFit="1" customWidth="1"/>
    <col min="14916" max="14916" width="12.625" style="326" customWidth="1"/>
    <col min="14917" max="14919" width="9" style="326"/>
    <col min="14920" max="14920" width="13.625" style="326" customWidth="1"/>
    <col min="14921" max="14921" width="9" style="326"/>
    <col min="14922" max="14922" width="10.75" style="326" bestFit="1" customWidth="1"/>
    <col min="14923" max="14923" width="12.5" style="326" customWidth="1"/>
    <col min="14924" max="14926" width="9" style="326"/>
    <col min="14927" max="14927" width="12.875" style="326" customWidth="1"/>
    <col min="14928" max="14928" width="9" style="326"/>
    <col min="14929" max="14929" width="10.75" style="326" bestFit="1" customWidth="1"/>
    <col min="14930" max="14930" width="13.875" style="326" customWidth="1"/>
    <col min="14931" max="14933" width="9" style="326"/>
    <col min="14934" max="14934" width="14.125" style="326" customWidth="1"/>
    <col min="14935" max="14935" width="9" style="326"/>
    <col min="14936" max="14936" width="10.75" style="326" bestFit="1" customWidth="1"/>
    <col min="14937" max="14937" width="13.25" style="326" customWidth="1"/>
    <col min="14938" max="14940" width="9" style="326"/>
    <col min="14941" max="14941" width="13.25" style="326" customWidth="1"/>
    <col min="14942" max="14942" width="9" style="326"/>
    <col min="14943" max="14943" width="10.75" style="326" bestFit="1" customWidth="1"/>
    <col min="14944" max="14944" width="13.875" style="326" customWidth="1"/>
    <col min="14945" max="14947" width="9" style="326"/>
    <col min="14948" max="14948" width="13.625" style="326" customWidth="1"/>
    <col min="14949" max="14949" width="9" style="326"/>
    <col min="14950" max="14950" width="10.75" style="326" bestFit="1" customWidth="1"/>
    <col min="14951" max="14951" width="13" style="326" customWidth="1"/>
    <col min="14952" max="15098" width="9" style="326"/>
    <col min="15099" max="15100" width="12.125" style="326" customWidth="1"/>
    <col min="15101" max="15103" width="13" style="326" customWidth="1"/>
    <col min="15104" max="15104" width="12.875" style="326" customWidth="1"/>
    <col min="15105" max="15105" width="13" style="326" customWidth="1"/>
    <col min="15106" max="15106" width="13.125" style="326" customWidth="1"/>
    <col min="15107" max="15108" width="12.125" style="326" customWidth="1"/>
    <col min="15109" max="15109" width="14.375" style="326" bestFit="1" customWidth="1"/>
    <col min="15110" max="15110" width="11" style="326" customWidth="1"/>
    <col min="15111" max="15111" width="10" style="326" customWidth="1"/>
    <col min="15112" max="15112" width="10.875" style="326" customWidth="1"/>
    <col min="15113" max="15113" width="13.75" style="326" customWidth="1"/>
    <col min="15114" max="15114" width="10" style="326" customWidth="1"/>
    <col min="15115" max="15115" width="13.25" style="326" customWidth="1"/>
    <col min="15116" max="15116" width="14.375" style="326" customWidth="1"/>
    <col min="15117" max="15117" width="10" style="326" customWidth="1"/>
    <col min="15118" max="15118" width="10.875" style="326" customWidth="1"/>
    <col min="15119" max="15119" width="11.375" style="326" customWidth="1"/>
    <col min="15120" max="15120" width="15.375" style="326" customWidth="1"/>
    <col min="15121" max="15122" width="10.75" style="326" customWidth="1"/>
    <col min="15123" max="15123" width="14.375" style="326" customWidth="1"/>
    <col min="15124" max="15124" width="10.75" style="326" customWidth="1"/>
    <col min="15125" max="15125" width="11.75" style="326" customWidth="1"/>
    <col min="15126" max="15126" width="10" style="326" customWidth="1"/>
    <col min="15127" max="15127" width="15.375" style="326" customWidth="1"/>
    <col min="15128" max="15128" width="10" style="326" customWidth="1"/>
    <col min="15129" max="15129" width="10.75" style="326" customWidth="1"/>
    <col min="15130" max="15130" width="14.875" style="326" customWidth="1"/>
    <col min="15131" max="15131" width="11.5" style="326" customWidth="1"/>
    <col min="15132" max="15132" width="10" style="326" customWidth="1"/>
    <col min="15133" max="15133" width="10.75" style="326" customWidth="1"/>
    <col min="15134" max="15134" width="13.5" style="326" customWidth="1"/>
    <col min="15135" max="15135" width="9" style="326"/>
    <col min="15136" max="15136" width="10.75" style="326" bestFit="1" customWidth="1"/>
    <col min="15137" max="15137" width="13.75" style="326" customWidth="1"/>
    <col min="15138" max="15138" width="9" style="326"/>
    <col min="15139" max="15139" width="10.625" style="326" customWidth="1"/>
    <col min="15140" max="15140" width="9" style="326"/>
    <col min="15141" max="15141" width="14.25" style="326" customWidth="1"/>
    <col min="15142" max="15142" width="10.75" style="326" bestFit="1" customWidth="1"/>
    <col min="15143" max="15143" width="11.625" style="326" customWidth="1"/>
    <col min="15144" max="15144" width="13.75" style="326" customWidth="1"/>
    <col min="15145" max="15145" width="10.625" style="326" customWidth="1"/>
    <col min="15146" max="15147" width="9" style="326"/>
    <col min="15148" max="15148" width="14.125" style="326" customWidth="1"/>
    <col min="15149" max="15149" width="11" style="326" customWidth="1"/>
    <col min="15150" max="15150" width="10.75" style="326" bestFit="1" customWidth="1"/>
    <col min="15151" max="15151" width="13.5" style="326" customWidth="1"/>
    <col min="15152" max="15153" width="9" style="326"/>
    <col min="15154" max="15154" width="10.75" style="326" bestFit="1" customWidth="1"/>
    <col min="15155" max="15155" width="14" style="326" customWidth="1"/>
    <col min="15156" max="15156" width="9" style="326"/>
    <col min="15157" max="15157" width="10.75" style="326" customWidth="1"/>
    <col min="15158" max="15158" width="12.75" style="326" customWidth="1"/>
    <col min="15159" max="15159" width="9" style="326"/>
    <col min="15160" max="15160" width="10.75" style="326" bestFit="1" customWidth="1"/>
    <col min="15161" max="15161" width="11.5" style="326" customWidth="1"/>
    <col min="15162" max="15162" width="13.625" style="326" customWidth="1"/>
    <col min="15163" max="15163" width="10.625" style="326" customWidth="1"/>
    <col min="15164" max="15164" width="10.75" style="326" bestFit="1" customWidth="1"/>
    <col min="15165" max="15165" width="12.375" style="326" customWidth="1"/>
    <col min="15166" max="15168" width="9" style="326"/>
    <col min="15169" max="15169" width="15.75" style="326" customWidth="1"/>
    <col min="15170" max="15170" width="9" style="326"/>
    <col min="15171" max="15171" width="10.75" style="326" bestFit="1" customWidth="1"/>
    <col min="15172" max="15172" width="12.625" style="326" customWidth="1"/>
    <col min="15173" max="15175" width="9" style="326"/>
    <col min="15176" max="15176" width="13.625" style="326" customWidth="1"/>
    <col min="15177" max="15177" width="9" style="326"/>
    <col min="15178" max="15178" width="10.75" style="326" bestFit="1" customWidth="1"/>
    <col min="15179" max="15179" width="12.5" style="326" customWidth="1"/>
    <col min="15180" max="15182" width="9" style="326"/>
    <col min="15183" max="15183" width="12.875" style="326" customWidth="1"/>
    <col min="15184" max="15184" width="9" style="326"/>
    <col min="15185" max="15185" width="10.75" style="326" bestFit="1" customWidth="1"/>
    <col min="15186" max="15186" width="13.875" style="326" customWidth="1"/>
    <col min="15187" max="15189" width="9" style="326"/>
    <col min="15190" max="15190" width="14.125" style="326" customWidth="1"/>
    <col min="15191" max="15191" width="9" style="326"/>
    <col min="15192" max="15192" width="10.75" style="326" bestFit="1" customWidth="1"/>
    <col min="15193" max="15193" width="13.25" style="326" customWidth="1"/>
    <col min="15194" max="15196" width="9" style="326"/>
    <col min="15197" max="15197" width="13.25" style="326" customWidth="1"/>
    <col min="15198" max="15198" width="9" style="326"/>
    <col min="15199" max="15199" width="10.75" style="326" bestFit="1" customWidth="1"/>
    <col min="15200" max="15200" width="13.875" style="326" customWidth="1"/>
    <col min="15201" max="15203" width="9" style="326"/>
    <col min="15204" max="15204" width="13.625" style="326" customWidth="1"/>
    <col min="15205" max="15205" width="9" style="326"/>
    <col min="15206" max="15206" width="10.75" style="326" bestFit="1" customWidth="1"/>
    <col min="15207" max="15207" width="13" style="326" customWidth="1"/>
    <col min="15208" max="15354" width="9" style="326"/>
    <col min="15355" max="15356" width="12.125" style="326" customWidth="1"/>
    <col min="15357" max="15359" width="13" style="326" customWidth="1"/>
    <col min="15360" max="15360" width="12.875" style="326" customWidth="1"/>
    <col min="15361" max="15361" width="13" style="326" customWidth="1"/>
    <col min="15362" max="15362" width="13.125" style="326" customWidth="1"/>
    <col min="15363" max="15364" width="12.125" style="326" customWidth="1"/>
    <col min="15365" max="15365" width="14.375" style="326" bestFit="1" customWidth="1"/>
    <col min="15366" max="15366" width="11" style="326" customWidth="1"/>
    <col min="15367" max="15367" width="10" style="326" customWidth="1"/>
    <col min="15368" max="15368" width="10.875" style="326" customWidth="1"/>
    <col min="15369" max="15369" width="13.75" style="326" customWidth="1"/>
    <col min="15370" max="15370" width="10" style="326" customWidth="1"/>
    <col min="15371" max="15371" width="13.25" style="326" customWidth="1"/>
    <col min="15372" max="15372" width="14.375" style="326" customWidth="1"/>
    <col min="15373" max="15373" width="10" style="326" customWidth="1"/>
    <col min="15374" max="15374" width="10.875" style="326" customWidth="1"/>
    <col min="15375" max="15375" width="11.375" style="326" customWidth="1"/>
    <col min="15376" max="15376" width="15.375" style="326" customWidth="1"/>
    <col min="15377" max="15378" width="10.75" style="326" customWidth="1"/>
    <col min="15379" max="15379" width="14.375" style="326" customWidth="1"/>
    <col min="15380" max="15380" width="10.75" style="326" customWidth="1"/>
    <col min="15381" max="15381" width="11.75" style="326" customWidth="1"/>
    <col min="15382" max="15382" width="10" style="326" customWidth="1"/>
    <col min="15383" max="15383" width="15.375" style="326" customWidth="1"/>
    <col min="15384" max="15384" width="10" style="326" customWidth="1"/>
    <col min="15385" max="15385" width="10.75" style="326" customWidth="1"/>
    <col min="15386" max="15386" width="14.875" style="326" customWidth="1"/>
    <col min="15387" max="15387" width="11.5" style="326" customWidth="1"/>
    <col min="15388" max="15388" width="10" style="326" customWidth="1"/>
    <col min="15389" max="15389" width="10.75" style="326" customWidth="1"/>
    <col min="15390" max="15390" width="13.5" style="326" customWidth="1"/>
    <col min="15391" max="15391" width="9" style="326"/>
    <col min="15392" max="15392" width="10.75" style="326" bestFit="1" customWidth="1"/>
    <col min="15393" max="15393" width="13.75" style="326" customWidth="1"/>
    <col min="15394" max="15394" width="9" style="326"/>
    <col min="15395" max="15395" width="10.625" style="326" customWidth="1"/>
    <col min="15396" max="15396" width="9" style="326"/>
    <col min="15397" max="15397" width="14.25" style="326" customWidth="1"/>
    <col min="15398" max="15398" width="10.75" style="326" bestFit="1" customWidth="1"/>
    <col min="15399" max="15399" width="11.625" style="326" customWidth="1"/>
    <col min="15400" max="15400" width="13.75" style="326" customWidth="1"/>
    <col min="15401" max="15401" width="10.625" style="326" customWidth="1"/>
    <col min="15402" max="15403" width="9" style="326"/>
    <col min="15404" max="15404" width="14.125" style="326" customWidth="1"/>
    <col min="15405" max="15405" width="11" style="326" customWidth="1"/>
    <col min="15406" max="15406" width="10.75" style="326" bestFit="1" customWidth="1"/>
    <col min="15407" max="15407" width="13.5" style="326" customWidth="1"/>
    <col min="15408" max="15409" width="9" style="326"/>
    <col min="15410" max="15410" width="10.75" style="326" bestFit="1" customWidth="1"/>
    <col min="15411" max="15411" width="14" style="326" customWidth="1"/>
    <col min="15412" max="15412" width="9" style="326"/>
    <col min="15413" max="15413" width="10.75" style="326" customWidth="1"/>
    <col min="15414" max="15414" width="12.75" style="326" customWidth="1"/>
    <col min="15415" max="15415" width="9" style="326"/>
    <col min="15416" max="15416" width="10.75" style="326" bestFit="1" customWidth="1"/>
    <col min="15417" max="15417" width="11.5" style="326" customWidth="1"/>
    <col min="15418" max="15418" width="13.625" style="326" customWidth="1"/>
    <col min="15419" max="15419" width="10.625" style="326" customWidth="1"/>
    <col min="15420" max="15420" width="10.75" style="326" bestFit="1" customWidth="1"/>
    <col min="15421" max="15421" width="12.375" style="326" customWidth="1"/>
    <col min="15422" max="15424" width="9" style="326"/>
    <col min="15425" max="15425" width="15.75" style="326" customWidth="1"/>
    <col min="15426" max="15426" width="9" style="326"/>
    <col min="15427" max="15427" width="10.75" style="326" bestFit="1" customWidth="1"/>
    <col min="15428" max="15428" width="12.625" style="326" customWidth="1"/>
    <col min="15429" max="15431" width="9" style="326"/>
    <col min="15432" max="15432" width="13.625" style="326" customWidth="1"/>
    <col min="15433" max="15433" width="9" style="326"/>
    <col min="15434" max="15434" width="10.75" style="326" bestFit="1" customWidth="1"/>
    <col min="15435" max="15435" width="12.5" style="326" customWidth="1"/>
    <col min="15436" max="15438" width="9" style="326"/>
    <col min="15439" max="15439" width="12.875" style="326" customWidth="1"/>
    <col min="15440" max="15440" width="9" style="326"/>
    <col min="15441" max="15441" width="10.75" style="326" bestFit="1" customWidth="1"/>
    <col min="15442" max="15442" width="13.875" style="326" customWidth="1"/>
    <col min="15443" max="15445" width="9" style="326"/>
    <col min="15446" max="15446" width="14.125" style="326" customWidth="1"/>
    <col min="15447" max="15447" width="9" style="326"/>
    <col min="15448" max="15448" width="10.75" style="326" bestFit="1" customWidth="1"/>
    <col min="15449" max="15449" width="13.25" style="326" customWidth="1"/>
    <col min="15450" max="15452" width="9" style="326"/>
    <col min="15453" max="15453" width="13.25" style="326" customWidth="1"/>
    <col min="15454" max="15454" width="9" style="326"/>
    <col min="15455" max="15455" width="10.75" style="326" bestFit="1" customWidth="1"/>
    <col min="15456" max="15456" width="13.875" style="326" customWidth="1"/>
    <col min="15457" max="15459" width="9" style="326"/>
    <col min="15460" max="15460" width="13.625" style="326" customWidth="1"/>
    <col min="15461" max="15461" width="9" style="326"/>
    <col min="15462" max="15462" width="10.75" style="326" bestFit="1" customWidth="1"/>
    <col min="15463" max="15463" width="13" style="326" customWidth="1"/>
    <col min="15464" max="15610" width="9" style="326"/>
    <col min="15611" max="15612" width="12.125" style="326" customWidth="1"/>
    <col min="15613" max="15615" width="13" style="326" customWidth="1"/>
    <col min="15616" max="15616" width="12.875" style="326" customWidth="1"/>
    <col min="15617" max="15617" width="13" style="326" customWidth="1"/>
    <col min="15618" max="15618" width="13.125" style="326" customWidth="1"/>
    <col min="15619" max="15620" width="12.125" style="326" customWidth="1"/>
    <col min="15621" max="15621" width="14.375" style="326" bestFit="1" customWidth="1"/>
    <col min="15622" max="15622" width="11" style="326" customWidth="1"/>
    <col min="15623" max="15623" width="10" style="326" customWidth="1"/>
    <col min="15624" max="15624" width="10.875" style="326" customWidth="1"/>
    <col min="15625" max="15625" width="13.75" style="326" customWidth="1"/>
    <col min="15626" max="15626" width="10" style="326" customWidth="1"/>
    <col min="15627" max="15627" width="13.25" style="326" customWidth="1"/>
    <col min="15628" max="15628" width="14.375" style="326" customWidth="1"/>
    <col min="15629" max="15629" width="10" style="326" customWidth="1"/>
    <col min="15630" max="15630" width="10.875" style="326" customWidth="1"/>
    <col min="15631" max="15631" width="11.375" style="326" customWidth="1"/>
    <col min="15632" max="15632" width="15.375" style="326" customWidth="1"/>
    <col min="15633" max="15634" width="10.75" style="326" customWidth="1"/>
    <col min="15635" max="15635" width="14.375" style="326" customWidth="1"/>
    <col min="15636" max="15636" width="10.75" style="326" customWidth="1"/>
    <col min="15637" max="15637" width="11.75" style="326" customWidth="1"/>
    <col min="15638" max="15638" width="10" style="326" customWidth="1"/>
    <col min="15639" max="15639" width="15.375" style="326" customWidth="1"/>
    <col min="15640" max="15640" width="10" style="326" customWidth="1"/>
    <col min="15641" max="15641" width="10.75" style="326" customWidth="1"/>
    <col min="15642" max="15642" width="14.875" style="326" customWidth="1"/>
    <col min="15643" max="15643" width="11.5" style="326" customWidth="1"/>
    <col min="15644" max="15644" width="10" style="326" customWidth="1"/>
    <col min="15645" max="15645" width="10.75" style="326" customWidth="1"/>
    <col min="15646" max="15646" width="13.5" style="326" customWidth="1"/>
    <col min="15647" max="15647" width="9" style="326"/>
    <col min="15648" max="15648" width="10.75" style="326" bestFit="1" customWidth="1"/>
    <col min="15649" max="15649" width="13.75" style="326" customWidth="1"/>
    <col min="15650" max="15650" width="9" style="326"/>
    <col min="15651" max="15651" width="10.625" style="326" customWidth="1"/>
    <col min="15652" max="15652" width="9" style="326"/>
    <col min="15653" max="15653" width="14.25" style="326" customWidth="1"/>
    <col min="15654" max="15654" width="10.75" style="326" bestFit="1" customWidth="1"/>
    <col min="15655" max="15655" width="11.625" style="326" customWidth="1"/>
    <col min="15656" max="15656" width="13.75" style="326" customWidth="1"/>
    <col min="15657" max="15657" width="10.625" style="326" customWidth="1"/>
    <col min="15658" max="15659" width="9" style="326"/>
    <col min="15660" max="15660" width="14.125" style="326" customWidth="1"/>
    <col min="15661" max="15661" width="11" style="326" customWidth="1"/>
    <col min="15662" max="15662" width="10.75" style="326" bestFit="1" customWidth="1"/>
    <col min="15663" max="15663" width="13.5" style="326" customWidth="1"/>
    <col min="15664" max="15665" width="9" style="326"/>
    <col min="15666" max="15666" width="10.75" style="326" bestFit="1" customWidth="1"/>
    <col min="15667" max="15667" width="14" style="326" customWidth="1"/>
    <col min="15668" max="15668" width="9" style="326"/>
    <col min="15669" max="15669" width="10.75" style="326" customWidth="1"/>
    <col min="15670" max="15670" width="12.75" style="326" customWidth="1"/>
    <col min="15671" max="15671" width="9" style="326"/>
    <col min="15672" max="15672" width="10.75" style="326" bestFit="1" customWidth="1"/>
    <col min="15673" max="15673" width="11.5" style="326" customWidth="1"/>
    <col min="15674" max="15674" width="13.625" style="326" customWidth="1"/>
    <col min="15675" max="15675" width="10.625" style="326" customWidth="1"/>
    <col min="15676" max="15676" width="10.75" style="326" bestFit="1" customWidth="1"/>
    <col min="15677" max="15677" width="12.375" style="326" customWidth="1"/>
    <col min="15678" max="15680" width="9" style="326"/>
    <col min="15681" max="15681" width="15.75" style="326" customWidth="1"/>
    <col min="15682" max="15682" width="9" style="326"/>
    <col min="15683" max="15683" width="10.75" style="326" bestFit="1" customWidth="1"/>
    <col min="15684" max="15684" width="12.625" style="326" customWidth="1"/>
    <col min="15685" max="15687" width="9" style="326"/>
    <col min="15688" max="15688" width="13.625" style="326" customWidth="1"/>
    <col min="15689" max="15689" width="9" style="326"/>
    <col min="15690" max="15690" width="10.75" style="326" bestFit="1" customWidth="1"/>
    <col min="15691" max="15691" width="12.5" style="326" customWidth="1"/>
    <col min="15692" max="15694" width="9" style="326"/>
    <col min="15695" max="15695" width="12.875" style="326" customWidth="1"/>
    <col min="15696" max="15696" width="9" style="326"/>
    <col min="15697" max="15697" width="10.75" style="326" bestFit="1" customWidth="1"/>
    <col min="15698" max="15698" width="13.875" style="326" customWidth="1"/>
    <col min="15699" max="15701" width="9" style="326"/>
    <col min="15702" max="15702" width="14.125" style="326" customWidth="1"/>
    <col min="15703" max="15703" width="9" style="326"/>
    <col min="15704" max="15704" width="10.75" style="326" bestFit="1" customWidth="1"/>
    <col min="15705" max="15705" width="13.25" style="326" customWidth="1"/>
    <col min="15706" max="15708" width="9" style="326"/>
    <col min="15709" max="15709" width="13.25" style="326" customWidth="1"/>
    <col min="15710" max="15710" width="9" style="326"/>
    <col min="15711" max="15711" width="10.75" style="326" bestFit="1" customWidth="1"/>
    <col min="15712" max="15712" width="13.875" style="326" customWidth="1"/>
    <col min="15713" max="15715" width="9" style="326"/>
    <col min="15716" max="15716" width="13.625" style="326" customWidth="1"/>
    <col min="15717" max="15717" width="9" style="326"/>
    <col min="15718" max="15718" width="10.75" style="326" bestFit="1" customWidth="1"/>
    <col min="15719" max="15719" width="13" style="326" customWidth="1"/>
    <col min="15720" max="15866" width="9" style="326"/>
    <col min="15867" max="15868" width="12.125" style="326" customWidth="1"/>
    <col min="15869" max="15871" width="13" style="326" customWidth="1"/>
    <col min="15872" max="15872" width="12.875" style="326" customWidth="1"/>
    <col min="15873" max="15873" width="13" style="326" customWidth="1"/>
    <col min="15874" max="15874" width="13.125" style="326" customWidth="1"/>
    <col min="15875" max="15876" width="12.125" style="326" customWidth="1"/>
    <col min="15877" max="15877" width="14.375" style="326" bestFit="1" customWidth="1"/>
    <col min="15878" max="15878" width="11" style="326" customWidth="1"/>
    <col min="15879" max="15879" width="10" style="326" customWidth="1"/>
    <col min="15880" max="15880" width="10.875" style="326" customWidth="1"/>
    <col min="15881" max="15881" width="13.75" style="326" customWidth="1"/>
    <col min="15882" max="15882" width="10" style="326" customWidth="1"/>
    <col min="15883" max="15883" width="13.25" style="326" customWidth="1"/>
    <col min="15884" max="15884" width="14.375" style="326" customWidth="1"/>
    <col min="15885" max="15885" width="10" style="326" customWidth="1"/>
    <col min="15886" max="15886" width="10.875" style="326" customWidth="1"/>
    <col min="15887" max="15887" width="11.375" style="326" customWidth="1"/>
    <col min="15888" max="15888" width="15.375" style="326" customWidth="1"/>
    <col min="15889" max="15890" width="10.75" style="326" customWidth="1"/>
    <col min="15891" max="15891" width="14.375" style="326" customWidth="1"/>
    <col min="15892" max="15892" width="10.75" style="326" customWidth="1"/>
    <col min="15893" max="15893" width="11.75" style="326" customWidth="1"/>
    <col min="15894" max="15894" width="10" style="326" customWidth="1"/>
    <col min="15895" max="15895" width="15.375" style="326" customWidth="1"/>
    <col min="15896" max="15896" width="10" style="326" customWidth="1"/>
    <col min="15897" max="15897" width="10.75" style="326" customWidth="1"/>
    <col min="15898" max="15898" width="14.875" style="326" customWidth="1"/>
    <col min="15899" max="15899" width="11.5" style="326" customWidth="1"/>
    <col min="15900" max="15900" width="10" style="326" customWidth="1"/>
    <col min="15901" max="15901" width="10.75" style="326" customWidth="1"/>
    <col min="15902" max="15902" width="13.5" style="326" customWidth="1"/>
    <col min="15903" max="15903" width="9" style="326"/>
    <col min="15904" max="15904" width="10.75" style="326" bestFit="1" customWidth="1"/>
    <col min="15905" max="15905" width="13.75" style="326" customWidth="1"/>
    <col min="15906" max="15906" width="9" style="326"/>
    <col min="15907" max="15907" width="10.625" style="326" customWidth="1"/>
    <col min="15908" max="15908" width="9" style="326"/>
    <col min="15909" max="15909" width="14.25" style="326" customWidth="1"/>
    <col min="15910" max="15910" width="10.75" style="326" bestFit="1" customWidth="1"/>
    <col min="15911" max="15911" width="11.625" style="326" customWidth="1"/>
    <col min="15912" max="15912" width="13.75" style="326" customWidth="1"/>
    <col min="15913" max="15913" width="10.625" style="326" customWidth="1"/>
    <col min="15914" max="15915" width="9" style="326"/>
    <col min="15916" max="15916" width="14.125" style="326" customWidth="1"/>
    <col min="15917" max="15917" width="11" style="326" customWidth="1"/>
    <col min="15918" max="15918" width="10.75" style="326" bestFit="1" customWidth="1"/>
    <col min="15919" max="15919" width="13.5" style="326" customWidth="1"/>
    <col min="15920" max="15921" width="9" style="326"/>
    <col min="15922" max="15922" width="10.75" style="326" bestFit="1" customWidth="1"/>
    <col min="15923" max="15923" width="14" style="326" customWidth="1"/>
    <col min="15924" max="15924" width="9" style="326"/>
    <col min="15925" max="15925" width="10.75" style="326" customWidth="1"/>
    <col min="15926" max="15926" width="12.75" style="326" customWidth="1"/>
    <col min="15927" max="15927" width="9" style="326"/>
    <col min="15928" max="15928" width="10.75" style="326" bestFit="1" customWidth="1"/>
    <col min="15929" max="15929" width="11.5" style="326" customWidth="1"/>
    <col min="15930" max="15930" width="13.625" style="326" customWidth="1"/>
    <col min="15931" max="15931" width="10.625" style="326" customWidth="1"/>
    <col min="15932" max="15932" width="10.75" style="326" bestFit="1" customWidth="1"/>
    <col min="15933" max="15933" width="12.375" style="326" customWidth="1"/>
    <col min="15934" max="15936" width="9" style="326"/>
    <col min="15937" max="15937" width="15.75" style="326" customWidth="1"/>
    <col min="15938" max="15938" width="9" style="326"/>
    <col min="15939" max="15939" width="10.75" style="326" bestFit="1" customWidth="1"/>
    <col min="15940" max="15940" width="12.625" style="326" customWidth="1"/>
    <col min="15941" max="15943" width="9" style="326"/>
    <col min="15944" max="15944" width="13.625" style="326" customWidth="1"/>
    <col min="15945" max="15945" width="9" style="326"/>
    <col min="15946" max="15946" width="10.75" style="326" bestFit="1" customWidth="1"/>
    <col min="15947" max="15947" width="12.5" style="326" customWidth="1"/>
    <col min="15948" max="15950" width="9" style="326"/>
    <col min="15951" max="15951" width="12.875" style="326" customWidth="1"/>
    <col min="15952" max="15952" width="9" style="326"/>
    <col min="15953" max="15953" width="10.75" style="326" bestFit="1" customWidth="1"/>
    <col min="15954" max="15954" width="13.875" style="326" customWidth="1"/>
    <col min="15955" max="15957" width="9" style="326"/>
    <col min="15958" max="15958" width="14.125" style="326" customWidth="1"/>
    <col min="15959" max="15959" width="9" style="326"/>
    <col min="15960" max="15960" width="10.75" style="326" bestFit="1" customWidth="1"/>
    <col min="15961" max="15961" width="13.25" style="326" customWidth="1"/>
    <col min="15962" max="15964" width="9" style="326"/>
    <col min="15965" max="15965" width="13.25" style="326" customWidth="1"/>
    <col min="15966" max="15966" width="9" style="326"/>
    <col min="15967" max="15967" width="10.75" style="326" bestFit="1" customWidth="1"/>
    <col min="15968" max="15968" width="13.875" style="326" customWidth="1"/>
    <col min="15969" max="15971" width="9" style="326"/>
    <col min="15972" max="15972" width="13.625" style="326" customWidth="1"/>
    <col min="15973" max="15973" width="9" style="326"/>
    <col min="15974" max="15974" width="10.75" style="326" bestFit="1" customWidth="1"/>
    <col min="15975" max="15975" width="13" style="326" customWidth="1"/>
    <col min="15976" max="16122" width="9" style="326"/>
    <col min="16123" max="16124" width="12.125" style="326" customWidth="1"/>
    <col min="16125" max="16127" width="13" style="326" customWidth="1"/>
    <col min="16128" max="16128" width="12.875" style="326" customWidth="1"/>
    <col min="16129" max="16129" width="13" style="326" customWidth="1"/>
    <col min="16130" max="16130" width="13.125" style="326" customWidth="1"/>
    <col min="16131" max="16132" width="12.125" style="326" customWidth="1"/>
    <col min="16133" max="16133" width="14.375" style="326" bestFit="1" customWidth="1"/>
    <col min="16134" max="16134" width="11" style="326" customWidth="1"/>
    <col min="16135" max="16135" width="10" style="326" customWidth="1"/>
    <col min="16136" max="16136" width="10.875" style="326" customWidth="1"/>
    <col min="16137" max="16137" width="13.75" style="326" customWidth="1"/>
    <col min="16138" max="16138" width="10" style="326" customWidth="1"/>
    <col min="16139" max="16139" width="13.25" style="326" customWidth="1"/>
    <col min="16140" max="16140" width="14.375" style="326" customWidth="1"/>
    <col min="16141" max="16141" width="10" style="326" customWidth="1"/>
    <col min="16142" max="16142" width="10.875" style="326" customWidth="1"/>
    <col min="16143" max="16143" width="11.375" style="326" customWidth="1"/>
    <col min="16144" max="16144" width="15.375" style="326" customWidth="1"/>
    <col min="16145" max="16146" width="10.75" style="326" customWidth="1"/>
    <col min="16147" max="16147" width="14.375" style="326" customWidth="1"/>
    <col min="16148" max="16148" width="10.75" style="326" customWidth="1"/>
    <col min="16149" max="16149" width="11.75" style="326" customWidth="1"/>
    <col min="16150" max="16150" width="10" style="326" customWidth="1"/>
    <col min="16151" max="16151" width="15.375" style="326" customWidth="1"/>
    <col min="16152" max="16152" width="10" style="326" customWidth="1"/>
    <col min="16153" max="16153" width="10.75" style="326" customWidth="1"/>
    <col min="16154" max="16154" width="14.875" style="326" customWidth="1"/>
    <col min="16155" max="16155" width="11.5" style="326" customWidth="1"/>
    <col min="16156" max="16156" width="10" style="326" customWidth="1"/>
    <col min="16157" max="16157" width="10.75" style="326" customWidth="1"/>
    <col min="16158" max="16158" width="13.5" style="326" customWidth="1"/>
    <col min="16159" max="16159" width="9" style="326"/>
    <col min="16160" max="16160" width="10.75" style="326" bestFit="1" customWidth="1"/>
    <col min="16161" max="16161" width="13.75" style="326" customWidth="1"/>
    <col min="16162" max="16162" width="9" style="326"/>
    <col min="16163" max="16163" width="10.625" style="326" customWidth="1"/>
    <col min="16164" max="16164" width="9" style="326"/>
    <col min="16165" max="16165" width="14.25" style="326" customWidth="1"/>
    <col min="16166" max="16166" width="10.75" style="326" bestFit="1" customWidth="1"/>
    <col min="16167" max="16167" width="11.625" style="326" customWidth="1"/>
    <col min="16168" max="16168" width="13.75" style="326" customWidth="1"/>
    <col min="16169" max="16169" width="10.625" style="326" customWidth="1"/>
    <col min="16170" max="16171" width="9" style="326"/>
    <col min="16172" max="16172" width="14.125" style="326" customWidth="1"/>
    <col min="16173" max="16173" width="11" style="326" customWidth="1"/>
    <col min="16174" max="16174" width="10.75" style="326" bestFit="1" customWidth="1"/>
    <col min="16175" max="16175" width="13.5" style="326" customWidth="1"/>
    <col min="16176" max="16177" width="9" style="326"/>
    <col min="16178" max="16178" width="10.75" style="326" bestFit="1" customWidth="1"/>
    <col min="16179" max="16179" width="14" style="326" customWidth="1"/>
    <col min="16180" max="16180" width="9" style="326"/>
    <col min="16181" max="16181" width="10.75" style="326" customWidth="1"/>
    <col min="16182" max="16182" width="12.75" style="326" customWidth="1"/>
    <col min="16183" max="16183" width="9" style="326"/>
    <col min="16184" max="16184" width="10.75" style="326" bestFit="1" customWidth="1"/>
    <col min="16185" max="16185" width="11.5" style="326" customWidth="1"/>
    <col min="16186" max="16186" width="13.625" style="326" customWidth="1"/>
    <col min="16187" max="16187" width="10.625" style="326" customWidth="1"/>
    <col min="16188" max="16188" width="10.75" style="326" bestFit="1" customWidth="1"/>
    <col min="16189" max="16189" width="12.375" style="326" customWidth="1"/>
    <col min="16190" max="16192" width="9" style="326"/>
    <col min="16193" max="16193" width="15.75" style="326" customWidth="1"/>
    <col min="16194" max="16194" width="9" style="326"/>
    <col min="16195" max="16195" width="10.75" style="326" bestFit="1" customWidth="1"/>
    <col min="16196" max="16196" width="12.625" style="326" customWidth="1"/>
    <col min="16197" max="16199" width="9" style="326"/>
    <col min="16200" max="16200" width="13.625" style="326" customWidth="1"/>
    <col min="16201" max="16201" width="9" style="326"/>
    <col min="16202" max="16202" width="10.75" style="326" bestFit="1" customWidth="1"/>
    <col min="16203" max="16203" width="12.5" style="326" customWidth="1"/>
    <col min="16204" max="16206" width="9" style="326"/>
    <col min="16207" max="16207" width="12.875" style="326" customWidth="1"/>
    <col min="16208" max="16208" width="9" style="326"/>
    <col min="16209" max="16209" width="10.75" style="326" bestFit="1" customWidth="1"/>
    <col min="16210" max="16210" width="13.875" style="326" customWidth="1"/>
    <col min="16211" max="16213" width="9" style="326"/>
    <col min="16214" max="16214" width="14.125" style="326" customWidth="1"/>
    <col min="16215" max="16215" width="9" style="326"/>
    <col min="16216" max="16216" width="10.75" style="326" bestFit="1" customWidth="1"/>
    <col min="16217" max="16217" width="13.25" style="326" customWidth="1"/>
    <col min="16218" max="16220" width="9" style="326"/>
    <col min="16221" max="16221" width="13.25" style="326" customWidth="1"/>
    <col min="16222" max="16222" width="9" style="326"/>
    <col min="16223" max="16223" width="10.75" style="326" bestFit="1" customWidth="1"/>
    <col min="16224" max="16224" width="13.875" style="326" customWidth="1"/>
    <col min="16225" max="16227" width="9" style="326"/>
    <col min="16228" max="16228" width="13.625" style="326" customWidth="1"/>
    <col min="16229" max="16229" width="9" style="326"/>
    <col min="16230" max="16230" width="10.75" style="326" bestFit="1" customWidth="1"/>
    <col min="16231" max="16231" width="13" style="326" customWidth="1"/>
    <col min="16232" max="16384" width="9" style="326"/>
  </cols>
  <sheetData>
    <row r="1" spans="1:41" ht="18.75" customHeight="1">
      <c r="D1" s="325" t="s">
        <v>262</v>
      </c>
      <c r="E1" s="327">
        <f>A5</f>
        <v>2006</v>
      </c>
      <c r="F1" s="326" t="s">
        <v>345</v>
      </c>
      <c r="G1" s="328">
        <v>0</v>
      </c>
      <c r="H1" s="329"/>
      <c r="I1" s="328"/>
    </row>
    <row r="2" spans="1:41" ht="24.95" customHeight="1">
      <c r="A2" s="330" t="s">
        <v>1213</v>
      </c>
      <c r="C2" s="330"/>
    </row>
    <row r="3" spans="1:41" ht="9.9499999999999993" customHeight="1">
      <c r="A3" s="2262"/>
      <c r="B3" s="425"/>
      <c r="C3" s="426"/>
      <c r="D3" s="426"/>
      <c r="E3" s="426"/>
      <c r="F3" s="426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2"/>
      <c r="Z3" s="331"/>
      <c r="AA3" s="332"/>
      <c r="AB3" s="333"/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1"/>
      <c r="AN3" s="331"/>
      <c r="AO3" s="332"/>
    </row>
    <row r="4" spans="1:41" s="344" customFormat="1" ht="14.1" customHeight="1">
      <c r="A4" s="334" t="s">
        <v>264</v>
      </c>
      <c r="B4" s="335" t="s">
        <v>265</v>
      </c>
      <c r="C4" s="336" t="s">
        <v>266</v>
      </c>
      <c r="D4" s="337" t="s">
        <v>267</v>
      </c>
      <c r="E4" s="337" t="s">
        <v>268</v>
      </c>
      <c r="F4" s="338" t="s">
        <v>269</v>
      </c>
      <c r="G4" s="339" t="s">
        <v>270</v>
      </c>
      <c r="H4" s="340" t="s">
        <v>271</v>
      </c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41"/>
      <c r="W4" s="341"/>
      <c r="X4" s="341"/>
      <c r="Y4" s="342"/>
      <c r="Z4" s="341"/>
      <c r="AA4" s="342"/>
      <c r="AB4" s="343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341"/>
      <c r="AN4" s="341"/>
      <c r="AO4" s="342"/>
    </row>
    <row r="5" spans="1:41" s="344" customFormat="1" ht="14.1" customHeight="1">
      <c r="A5" s="345">
        <v>2006</v>
      </c>
      <c r="B5" s="346">
        <f>+'1.1.2 인구분석'!E60</f>
        <v>3499</v>
      </c>
      <c r="C5" s="347">
        <f>I65</f>
        <v>3537</v>
      </c>
      <c r="D5" s="348">
        <f>I104</f>
        <v>3540</v>
      </c>
      <c r="E5" s="349">
        <f>I142</f>
        <v>3590</v>
      </c>
      <c r="F5" s="350">
        <f>I178</f>
        <v>3527</v>
      </c>
      <c r="G5" s="351">
        <f t="shared" ref="G5:G34" si="0">ROUND(SUMIF(C$38:H$38,"○",C5:H5),$G$1)</f>
        <v>7064</v>
      </c>
      <c r="H5" s="352">
        <f>B5</f>
        <v>3499</v>
      </c>
      <c r="I5" s="2316" t="s">
        <v>272</v>
      </c>
      <c r="J5" s="2317"/>
      <c r="K5" s="353"/>
      <c r="L5" s="341"/>
      <c r="M5" s="341"/>
      <c r="N5" s="341"/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2"/>
      <c r="Z5" s="341"/>
      <c r="AA5" s="342"/>
      <c r="AB5" s="343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2"/>
    </row>
    <row r="6" spans="1:41" s="344" customFormat="1" ht="14.1" customHeight="1">
      <c r="A6" s="354">
        <v>2007</v>
      </c>
      <c r="B6" s="355">
        <f>+'1.1.2 인구분석'!E61</f>
        <v>3500</v>
      </c>
      <c r="C6" s="356">
        <f t="shared" ref="C6:C37" si="1">I66</f>
        <v>3504</v>
      </c>
      <c r="D6" s="357">
        <f t="shared" ref="D6:D37" si="2">I105</f>
        <v>3505</v>
      </c>
      <c r="E6" s="358">
        <f t="shared" ref="E6:E37" si="3">I143</f>
        <v>3492</v>
      </c>
      <c r="F6" s="359">
        <f t="shared" ref="F6:F37" si="4">I179</f>
        <v>3500</v>
      </c>
      <c r="G6" s="351">
        <f t="shared" si="0"/>
        <v>7004</v>
      </c>
      <c r="H6" s="352">
        <f>B6</f>
        <v>3500</v>
      </c>
      <c r="I6" s="360" t="s">
        <v>273</v>
      </c>
      <c r="J6" s="361">
        <f>ROUND(((B15/B10)^(1/(A15-A10))-1)*100,2)</f>
        <v>-0.88</v>
      </c>
      <c r="K6" s="353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2"/>
      <c r="Z6" s="341"/>
      <c r="AA6" s="342"/>
      <c r="AB6" s="343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2"/>
    </row>
    <row r="7" spans="1:41" s="344" customFormat="1" ht="14.1" customHeight="1">
      <c r="A7" s="354">
        <v>2008</v>
      </c>
      <c r="B7" s="355">
        <f>+'1.1.2 인구분석'!E62</f>
        <v>3493</v>
      </c>
      <c r="C7" s="356">
        <f t="shared" si="1"/>
        <v>3471</v>
      </c>
      <c r="D7" s="357">
        <f t="shared" si="2"/>
        <v>3471</v>
      </c>
      <c r="E7" s="358">
        <f t="shared" si="3"/>
        <v>3437</v>
      </c>
      <c r="F7" s="359">
        <f t="shared" si="4"/>
        <v>3472</v>
      </c>
      <c r="G7" s="351">
        <f t="shared" si="0"/>
        <v>6943</v>
      </c>
      <c r="H7" s="352">
        <f t="shared" ref="H7:H15" si="5">B7</f>
        <v>3493</v>
      </c>
      <c r="I7" s="360" t="s">
        <v>274</v>
      </c>
      <c r="J7" s="360">
        <f>ROUND(((B15/B5)^(1/(A15-A5))-1)*100,2)</f>
        <v>-0.77</v>
      </c>
      <c r="K7" s="353"/>
      <c r="L7" s="362"/>
      <c r="M7" s="363"/>
      <c r="N7" s="341"/>
      <c r="O7" s="341"/>
      <c r="P7" s="341"/>
      <c r="Q7" s="341"/>
      <c r="R7" s="341"/>
      <c r="S7" s="341"/>
      <c r="T7" s="341"/>
      <c r="U7" s="341"/>
      <c r="V7" s="341"/>
      <c r="W7" s="341"/>
      <c r="X7" s="341"/>
      <c r="Y7" s="342"/>
      <c r="Z7" s="341"/>
      <c r="AA7" s="342"/>
      <c r="AB7" s="343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2"/>
    </row>
    <row r="8" spans="1:41" s="344" customFormat="1" ht="14.1" customHeight="1">
      <c r="A8" s="354">
        <v>2009</v>
      </c>
      <c r="B8" s="355">
        <f>+'1.1.2 인구분석'!E63</f>
        <v>3452</v>
      </c>
      <c r="C8" s="356">
        <f t="shared" si="1"/>
        <v>3438</v>
      </c>
      <c r="D8" s="357">
        <f t="shared" si="2"/>
        <v>3437</v>
      </c>
      <c r="E8" s="358">
        <f t="shared" si="3"/>
        <v>3397</v>
      </c>
      <c r="F8" s="359">
        <f t="shared" si="4"/>
        <v>3442</v>
      </c>
      <c r="G8" s="351">
        <f t="shared" si="0"/>
        <v>6880</v>
      </c>
      <c r="H8" s="352">
        <f t="shared" si="5"/>
        <v>3452</v>
      </c>
      <c r="I8" s="341"/>
      <c r="J8" s="341"/>
      <c r="K8" s="341"/>
      <c r="L8" s="341"/>
      <c r="M8" s="341"/>
      <c r="N8" s="341"/>
      <c r="O8" s="341"/>
      <c r="P8" s="341"/>
      <c r="Q8" s="341"/>
      <c r="R8" s="341"/>
      <c r="S8" s="341"/>
      <c r="T8" s="341"/>
      <c r="U8" s="341"/>
      <c r="V8" s="341"/>
      <c r="W8" s="341"/>
      <c r="X8" s="341"/>
      <c r="Y8" s="342"/>
      <c r="Z8" s="341"/>
      <c r="AA8" s="342"/>
      <c r="AB8" s="343"/>
      <c r="AC8" s="341"/>
      <c r="AD8" s="341"/>
      <c r="AE8" s="341"/>
      <c r="AF8" s="341"/>
      <c r="AG8" s="341"/>
      <c r="AH8" s="341"/>
      <c r="AI8" s="341"/>
      <c r="AJ8" s="341"/>
      <c r="AK8" s="341"/>
      <c r="AL8" s="341"/>
      <c r="AM8" s="341"/>
      <c r="AN8" s="341"/>
      <c r="AO8" s="342"/>
    </row>
    <row r="9" spans="1:41" s="344" customFormat="1" ht="14.1" customHeight="1">
      <c r="A9" s="354">
        <v>2010</v>
      </c>
      <c r="B9" s="355">
        <f>+'1.1.2 인구분석'!E64</f>
        <v>3452</v>
      </c>
      <c r="C9" s="356">
        <f t="shared" si="1"/>
        <v>3405</v>
      </c>
      <c r="D9" s="357">
        <f t="shared" si="2"/>
        <v>3403</v>
      </c>
      <c r="E9" s="358">
        <f t="shared" si="3"/>
        <v>3367</v>
      </c>
      <c r="F9" s="359">
        <f t="shared" si="4"/>
        <v>3411</v>
      </c>
      <c r="G9" s="351">
        <f t="shared" si="0"/>
        <v>6816</v>
      </c>
      <c r="H9" s="352">
        <f t="shared" si="5"/>
        <v>3452</v>
      </c>
      <c r="I9" s="341"/>
      <c r="J9" s="341"/>
      <c r="K9" s="353"/>
      <c r="L9" s="341"/>
      <c r="M9" s="341"/>
      <c r="N9" s="341"/>
      <c r="O9" s="341"/>
      <c r="P9" s="341"/>
      <c r="Q9" s="341"/>
      <c r="R9" s="341"/>
      <c r="S9" s="341"/>
      <c r="T9" s="341"/>
      <c r="U9" s="341"/>
      <c r="V9" s="341"/>
      <c r="W9" s="341"/>
      <c r="X9" s="341"/>
      <c r="Y9" s="342"/>
      <c r="Z9" s="341"/>
      <c r="AA9" s="342"/>
      <c r="AB9" s="343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2"/>
    </row>
    <row r="10" spans="1:41" s="344" customFormat="1" ht="14.1" customHeight="1">
      <c r="A10" s="354">
        <v>2011</v>
      </c>
      <c r="B10" s="355">
        <f>+'1.1.2 인구분석'!E65</f>
        <v>3386</v>
      </c>
      <c r="C10" s="356">
        <f t="shared" si="1"/>
        <v>3372</v>
      </c>
      <c r="D10" s="357">
        <f t="shared" si="2"/>
        <v>3370</v>
      </c>
      <c r="E10" s="358">
        <f t="shared" si="3"/>
        <v>3343</v>
      </c>
      <c r="F10" s="359">
        <f t="shared" si="4"/>
        <v>3379</v>
      </c>
      <c r="G10" s="351">
        <f t="shared" si="0"/>
        <v>6751</v>
      </c>
      <c r="H10" s="352">
        <f t="shared" si="5"/>
        <v>3386</v>
      </c>
      <c r="I10" s="341"/>
      <c r="J10" s="341"/>
      <c r="K10" s="353"/>
      <c r="L10" s="341"/>
      <c r="M10" s="341"/>
      <c r="N10" s="341"/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2"/>
      <c r="Z10" s="341"/>
      <c r="AA10" s="342"/>
      <c r="AB10" s="343"/>
      <c r="AC10" s="341"/>
      <c r="AD10" s="341"/>
      <c r="AE10" s="341"/>
      <c r="AF10" s="341"/>
      <c r="AG10" s="341"/>
      <c r="AH10" s="341"/>
      <c r="AI10" s="341"/>
      <c r="AJ10" s="341"/>
      <c r="AK10" s="341"/>
      <c r="AL10" s="341"/>
      <c r="AM10" s="341"/>
      <c r="AN10" s="341"/>
      <c r="AO10" s="342"/>
    </row>
    <row r="11" spans="1:41" s="344" customFormat="1" ht="14.1" customHeight="1">
      <c r="A11" s="354">
        <v>2012</v>
      </c>
      <c r="B11" s="355">
        <f>+'1.1.2 인구분석'!E66</f>
        <v>3321</v>
      </c>
      <c r="C11" s="356">
        <f t="shared" si="1"/>
        <v>3339</v>
      </c>
      <c r="D11" s="357">
        <f t="shared" si="2"/>
        <v>3337</v>
      </c>
      <c r="E11" s="358">
        <f t="shared" si="3"/>
        <v>3323</v>
      </c>
      <c r="F11" s="359">
        <f t="shared" si="4"/>
        <v>3346</v>
      </c>
      <c r="G11" s="351">
        <f t="shared" si="0"/>
        <v>6685</v>
      </c>
      <c r="H11" s="352">
        <f t="shared" si="5"/>
        <v>3321</v>
      </c>
      <c r="I11" s="341"/>
      <c r="J11" s="341"/>
      <c r="K11" s="353"/>
      <c r="L11" s="341"/>
      <c r="M11" s="341"/>
      <c r="N11" s="341"/>
      <c r="O11" s="341"/>
      <c r="P11" s="341"/>
      <c r="Q11" s="341"/>
      <c r="R11" s="341"/>
      <c r="S11" s="341"/>
      <c r="T11" s="341"/>
      <c r="U11" s="341"/>
      <c r="V11" s="341"/>
      <c r="W11" s="341"/>
      <c r="X11" s="341"/>
      <c r="Y11" s="342"/>
      <c r="Z11" s="341"/>
      <c r="AA11" s="342"/>
      <c r="AB11" s="343"/>
      <c r="AC11" s="341"/>
      <c r="AD11" s="341"/>
      <c r="AE11" s="341"/>
      <c r="AF11" s="341"/>
      <c r="AG11" s="341"/>
      <c r="AH11" s="341"/>
      <c r="AI11" s="341"/>
      <c r="AJ11" s="341"/>
      <c r="AK11" s="341"/>
      <c r="AL11" s="341"/>
      <c r="AM11" s="341"/>
      <c r="AN11" s="341"/>
      <c r="AO11" s="342"/>
    </row>
    <row r="12" spans="1:41" s="344" customFormat="1" ht="14.1" customHeight="1">
      <c r="A12" s="354">
        <v>2013</v>
      </c>
      <c r="B12" s="355">
        <f>+'1.1.2 인구분석'!E67</f>
        <v>3291</v>
      </c>
      <c r="C12" s="356">
        <f t="shared" si="1"/>
        <v>3305</v>
      </c>
      <c r="D12" s="357">
        <f t="shared" si="2"/>
        <v>3304</v>
      </c>
      <c r="E12" s="358">
        <f t="shared" si="3"/>
        <v>3305</v>
      </c>
      <c r="F12" s="359">
        <f t="shared" si="4"/>
        <v>3310</v>
      </c>
      <c r="G12" s="351">
        <f t="shared" si="0"/>
        <v>6615</v>
      </c>
      <c r="H12" s="352">
        <f t="shared" si="5"/>
        <v>3291</v>
      </c>
      <c r="I12" s="341"/>
      <c r="J12" s="341"/>
      <c r="K12" s="353"/>
      <c r="L12" s="341"/>
      <c r="M12" s="341"/>
      <c r="N12" s="341"/>
      <c r="O12" s="341"/>
      <c r="P12" s="341"/>
      <c r="Q12" s="341"/>
      <c r="R12" s="341"/>
      <c r="S12" s="341"/>
      <c r="T12" s="341"/>
      <c r="U12" s="341"/>
      <c r="V12" s="341"/>
      <c r="W12" s="341"/>
      <c r="X12" s="341"/>
      <c r="Y12" s="342"/>
      <c r="Z12" s="341"/>
      <c r="AA12" s="342"/>
      <c r="AB12" s="343"/>
      <c r="AC12" s="341"/>
      <c r="AD12" s="341"/>
      <c r="AE12" s="341"/>
      <c r="AF12" s="341"/>
      <c r="AG12" s="341"/>
      <c r="AH12" s="341"/>
      <c r="AI12" s="341"/>
      <c r="AJ12" s="341"/>
      <c r="AK12" s="341"/>
      <c r="AL12" s="341"/>
      <c r="AM12" s="341"/>
      <c r="AN12" s="341"/>
      <c r="AO12" s="342"/>
    </row>
    <row r="13" spans="1:41" s="344" customFormat="1" ht="14.1" customHeight="1">
      <c r="A13" s="354">
        <v>2014</v>
      </c>
      <c r="B13" s="355">
        <f>+'1.1.2 인구분석'!E68</f>
        <v>3233</v>
      </c>
      <c r="C13" s="356">
        <f t="shared" si="1"/>
        <v>3272</v>
      </c>
      <c r="D13" s="357">
        <f t="shared" si="2"/>
        <v>3272</v>
      </c>
      <c r="E13" s="358">
        <f t="shared" si="3"/>
        <v>3290</v>
      </c>
      <c r="F13" s="359">
        <f t="shared" si="4"/>
        <v>3274</v>
      </c>
      <c r="G13" s="351">
        <f t="shared" si="0"/>
        <v>6546</v>
      </c>
      <c r="H13" s="352">
        <f t="shared" si="5"/>
        <v>3233</v>
      </c>
      <c r="I13" s="341"/>
      <c r="J13" s="341"/>
      <c r="K13" s="353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2"/>
      <c r="Z13" s="341"/>
      <c r="AA13" s="342"/>
      <c r="AB13" s="343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2"/>
    </row>
    <row r="14" spans="1:41" s="344" customFormat="1" ht="14.1" customHeight="1">
      <c r="A14" s="386">
        <v>2015</v>
      </c>
      <c r="B14" s="2071">
        <f>+'1.1.2 인구분석'!E69</f>
        <v>3221</v>
      </c>
      <c r="C14" s="2072">
        <f t="shared" si="1"/>
        <v>3239</v>
      </c>
      <c r="D14" s="2073">
        <f t="shared" si="2"/>
        <v>3240</v>
      </c>
      <c r="E14" s="2074">
        <f t="shared" si="3"/>
        <v>3276</v>
      </c>
      <c r="F14" s="2075">
        <f t="shared" si="4"/>
        <v>3236</v>
      </c>
      <c r="G14" s="2076">
        <f t="shared" si="0"/>
        <v>6475</v>
      </c>
      <c r="H14" s="2077">
        <f t="shared" si="5"/>
        <v>3221</v>
      </c>
      <c r="I14" s="383"/>
      <c r="J14" s="383"/>
      <c r="K14" s="2078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2079"/>
      <c r="Z14" s="341"/>
      <c r="AA14" s="342"/>
      <c r="AB14" s="343"/>
      <c r="AC14" s="341"/>
      <c r="AD14" s="341"/>
      <c r="AE14" s="341"/>
      <c r="AF14" s="341"/>
      <c r="AG14" s="341"/>
      <c r="AH14" s="341"/>
      <c r="AI14" s="341"/>
      <c r="AJ14" s="341"/>
      <c r="AK14" s="341"/>
      <c r="AL14" s="341"/>
      <c r="AM14" s="341"/>
      <c r="AN14" s="341"/>
      <c r="AO14" s="342"/>
    </row>
    <row r="15" spans="1:41" s="344" customFormat="1" ht="14.1" customHeight="1" thickBot="1">
      <c r="A15" s="2010">
        <v>2016</v>
      </c>
      <c r="B15" s="2014">
        <f>+'1.1.2 인구분석'!E70</f>
        <v>3240</v>
      </c>
      <c r="C15" s="2011">
        <f t="shared" si="1"/>
        <v>3206</v>
      </c>
      <c r="D15" s="2012">
        <f t="shared" si="2"/>
        <v>3208</v>
      </c>
      <c r="E15" s="2011">
        <f t="shared" si="3"/>
        <v>3263</v>
      </c>
      <c r="F15" s="2013">
        <f t="shared" si="4"/>
        <v>3196</v>
      </c>
      <c r="G15" s="351">
        <f t="shared" si="0"/>
        <v>6402</v>
      </c>
      <c r="H15" s="352">
        <f t="shared" si="5"/>
        <v>3240</v>
      </c>
      <c r="I15" s="341"/>
      <c r="J15" s="341"/>
      <c r="K15" s="353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2"/>
      <c r="AB15" s="343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  <c r="AN15" s="341"/>
      <c r="AO15" s="342"/>
    </row>
    <row r="16" spans="1:41" s="344" customFormat="1" ht="14.1" customHeight="1" thickTop="1">
      <c r="A16" s="2114">
        <v>2017</v>
      </c>
      <c r="B16" s="2115"/>
      <c r="C16" s="2116">
        <f t="shared" si="1"/>
        <v>3173</v>
      </c>
      <c r="D16" s="2117">
        <f t="shared" si="2"/>
        <v>3177</v>
      </c>
      <c r="E16" s="2116">
        <f t="shared" si="3"/>
        <v>3252</v>
      </c>
      <c r="F16" s="2118">
        <f t="shared" si="4"/>
        <v>3155</v>
      </c>
      <c r="G16" s="364">
        <f t="shared" si="0"/>
        <v>6328</v>
      </c>
      <c r="H16" s="365"/>
      <c r="I16" s="341"/>
      <c r="J16" s="341"/>
      <c r="K16" s="353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2"/>
      <c r="AB16" s="343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  <c r="AM16" s="341"/>
      <c r="AN16" s="341"/>
      <c r="AO16" s="342"/>
    </row>
    <row r="17" spans="1:41" s="381" customFormat="1" ht="14.1" customHeight="1">
      <c r="A17" s="345">
        <v>2018</v>
      </c>
      <c r="B17" s="346"/>
      <c r="C17" s="347">
        <f t="shared" si="1"/>
        <v>3140</v>
      </c>
      <c r="D17" s="2168">
        <f t="shared" si="2"/>
        <v>3145</v>
      </c>
      <c r="E17" s="347">
        <f t="shared" si="3"/>
        <v>3242</v>
      </c>
      <c r="F17" s="2169">
        <f t="shared" si="4"/>
        <v>3112</v>
      </c>
      <c r="G17" s="2170">
        <f t="shared" si="0"/>
        <v>6252</v>
      </c>
      <c r="H17" s="2171"/>
      <c r="I17" s="2172"/>
      <c r="J17" s="2172"/>
      <c r="K17" s="2173"/>
      <c r="L17" s="2172"/>
      <c r="M17" s="2172"/>
      <c r="N17" s="2172"/>
      <c r="O17" s="2172"/>
      <c r="P17" s="2172"/>
      <c r="Q17" s="2172"/>
      <c r="R17" s="2172"/>
      <c r="S17" s="2172"/>
      <c r="T17" s="2172"/>
      <c r="U17" s="2172"/>
      <c r="V17" s="2172"/>
      <c r="W17" s="2172"/>
      <c r="X17" s="2172"/>
      <c r="Y17" s="2174"/>
      <c r="Z17" s="378"/>
      <c r="AA17" s="379"/>
      <c r="AB17" s="380"/>
      <c r="AC17" s="378"/>
      <c r="AD17" s="378"/>
      <c r="AE17" s="378"/>
      <c r="AF17" s="378"/>
      <c r="AG17" s="378"/>
      <c r="AH17" s="378"/>
      <c r="AI17" s="378"/>
      <c r="AJ17" s="378"/>
      <c r="AK17" s="378"/>
      <c r="AL17" s="378"/>
      <c r="AM17" s="378"/>
      <c r="AN17" s="378"/>
      <c r="AO17" s="379"/>
    </row>
    <row r="18" spans="1:41" s="381" customFormat="1" ht="14.1" customHeight="1">
      <c r="A18" s="354">
        <v>2019</v>
      </c>
      <c r="B18" s="355"/>
      <c r="C18" s="356">
        <f t="shared" si="1"/>
        <v>3107</v>
      </c>
      <c r="D18" s="371">
        <f t="shared" si="2"/>
        <v>3115</v>
      </c>
      <c r="E18" s="356">
        <f t="shared" si="3"/>
        <v>3232</v>
      </c>
      <c r="F18" s="372">
        <f t="shared" si="4"/>
        <v>3068</v>
      </c>
      <c r="G18" s="376">
        <f t="shared" si="0"/>
        <v>6175</v>
      </c>
      <c r="H18" s="377"/>
      <c r="I18" s="378"/>
      <c r="J18" s="378"/>
      <c r="K18" s="1912"/>
      <c r="L18" s="378"/>
      <c r="M18" s="378"/>
      <c r="N18" s="378"/>
      <c r="O18" s="378"/>
      <c r="P18" s="378"/>
      <c r="Q18" s="378"/>
      <c r="R18" s="378"/>
      <c r="S18" s="378"/>
      <c r="T18" s="378"/>
      <c r="U18" s="378"/>
      <c r="V18" s="378"/>
      <c r="W18" s="378"/>
      <c r="X18" s="378"/>
      <c r="Y18" s="379"/>
      <c r="Z18" s="378"/>
      <c r="AA18" s="379"/>
      <c r="AB18" s="380"/>
      <c r="AC18" s="378"/>
      <c r="AD18" s="378"/>
      <c r="AE18" s="378"/>
      <c r="AF18" s="378"/>
      <c r="AG18" s="378"/>
      <c r="AH18" s="378"/>
      <c r="AI18" s="378"/>
      <c r="AJ18" s="378"/>
      <c r="AK18" s="378"/>
      <c r="AL18" s="378"/>
      <c r="AM18" s="378"/>
      <c r="AN18" s="378"/>
      <c r="AO18" s="379"/>
    </row>
    <row r="19" spans="1:41" s="1929" customFormat="1" ht="14.1" customHeight="1">
      <c r="A19" s="366">
        <v>2020</v>
      </c>
      <c r="B19" s="367"/>
      <c r="C19" s="368">
        <f t="shared" si="1"/>
        <v>3073</v>
      </c>
      <c r="D19" s="369">
        <f t="shared" si="2"/>
        <v>3084</v>
      </c>
      <c r="E19" s="368">
        <f t="shared" si="3"/>
        <v>3224</v>
      </c>
      <c r="F19" s="370">
        <f t="shared" si="4"/>
        <v>3023</v>
      </c>
      <c r="G19" s="374">
        <f t="shared" si="0"/>
        <v>6096</v>
      </c>
      <c r="H19" s="373"/>
      <c r="I19" s="1925"/>
      <c r="J19" s="1925"/>
      <c r="K19" s="1926"/>
      <c r="L19" s="1925"/>
      <c r="M19" s="1925"/>
      <c r="N19" s="1925"/>
      <c r="O19" s="1925"/>
      <c r="P19" s="1925"/>
      <c r="Q19" s="1925"/>
      <c r="R19" s="1925"/>
      <c r="S19" s="1925"/>
      <c r="T19" s="1925"/>
      <c r="U19" s="1925"/>
      <c r="V19" s="1925"/>
      <c r="W19" s="1925"/>
      <c r="X19" s="1925"/>
      <c r="Y19" s="1927"/>
      <c r="Z19" s="1925"/>
      <c r="AA19" s="1927"/>
      <c r="AB19" s="1928"/>
      <c r="AC19" s="1925"/>
      <c r="AD19" s="1925"/>
      <c r="AE19" s="1925"/>
      <c r="AF19" s="1925"/>
      <c r="AG19" s="1925"/>
      <c r="AH19" s="1925"/>
      <c r="AI19" s="1925"/>
      <c r="AJ19" s="1925"/>
      <c r="AK19" s="1925"/>
      <c r="AL19" s="1925"/>
      <c r="AM19" s="1925"/>
      <c r="AN19" s="1925"/>
      <c r="AO19" s="1927"/>
    </row>
    <row r="20" spans="1:41" s="381" customFormat="1" ht="14.1" customHeight="1">
      <c r="A20" s="354">
        <v>2021</v>
      </c>
      <c r="B20" s="355"/>
      <c r="C20" s="356">
        <f t="shared" si="1"/>
        <v>3040</v>
      </c>
      <c r="D20" s="371">
        <f t="shared" si="2"/>
        <v>3054</v>
      </c>
      <c r="E20" s="356">
        <f t="shared" si="3"/>
        <v>3215</v>
      </c>
      <c r="F20" s="372">
        <f t="shared" si="4"/>
        <v>2975</v>
      </c>
      <c r="G20" s="376">
        <f t="shared" si="0"/>
        <v>6015</v>
      </c>
      <c r="H20" s="1913"/>
      <c r="I20" s="378"/>
      <c r="J20" s="378"/>
      <c r="K20" s="1912"/>
      <c r="L20" s="378"/>
      <c r="M20" s="378"/>
      <c r="N20" s="378"/>
      <c r="O20" s="378"/>
      <c r="P20" s="378"/>
      <c r="Q20" s="378"/>
      <c r="R20" s="378"/>
      <c r="S20" s="378"/>
      <c r="T20" s="378"/>
      <c r="U20" s="378"/>
      <c r="V20" s="378"/>
      <c r="W20" s="378"/>
      <c r="X20" s="378"/>
      <c r="Y20" s="379"/>
      <c r="Z20" s="378"/>
      <c r="AA20" s="379"/>
      <c r="AB20" s="380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9"/>
    </row>
    <row r="21" spans="1:41" s="381" customFormat="1" ht="14.1" customHeight="1">
      <c r="A21" s="354">
        <v>2022</v>
      </c>
      <c r="B21" s="355"/>
      <c r="C21" s="356">
        <f t="shared" si="1"/>
        <v>3007</v>
      </c>
      <c r="D21" s="371">
        <f t="shared" si="2"/>
        <v>3024</v>
      </c>
      <c r="E21" s="356">
        <f t="shared" si="3"/>
        <v>3208</v>
      </c>
      <c r="F21" s="372">
        <f t="shared" si="4"/>
        <v>2927</v>
      </c>
      <c r="G21" s="376">
        <f t="shared" si="0"/>
        <v>5934</v>
      </c>
      <c r="H21" s="377"/>
      <c r="I21" s="378"/>
      <c r="J21" s="378"/>
      <c r="K21" s="1912"/>
      <c r="L21" s="378"/>
      <c r="M21" s="378"/>
      <c r="N21" s="378"/>
      <c r="O21" s="378"/>
      <c r="P21" s="378"/>
      <c r="Q21" s="378"/>
      <c r="R21" s="378"/>
      <c r="S21" s="378"/>
      <c r="T21" s="378"/>
      <c r="U21" s="378"/>
      <c r="V21" s="378"/>
      <c r="W21" s="378"/>
      <c r="X21" s="378"/>
      <c r="Y21" s="379"/>
      <c r="Z21" s="378"/>
      <c r="AA21" s="379"/>
      <c r="AB21" s="380"/>
      <c r="AC21" s="378"/>
      <c r="AD21" s="378"/>
      <c r="AE21" s="378"/>
      <c r="AF21" s="378"/>
      <c r="AG21" s="378"/>
      <c r="AH21" s="378"/>
      <c r="AI21" s="378"/>
      <c r="AJ21" s="378"/>
      <c r="AK21" s="378"/>
      <c r="AL21" s="378"/>
      <c r="AM21" s="378"/>
      <c r="AN21" s="378"/>
      <c r="AO21" s="379"/>
    </row>
    <row r="22" spans="1:41" s="381" customFormat="1" ht="14.1" customHeight="1">
      <c r="A22" s="354">
        <v>2023</v>
      </c>
      <c r="B22" s="355"/>
      <c r="C22" s="356">
        <f t="shared" si="1"/>
        <v>2974</v>
      </c>
      <c r="D22" s="371">
        <f t="shared" si="2"/>
        <v>2994</v>
      </c>
      <c r="E22" s="356">
        <f t="shared" si="3"/>
        <v>3200</v>
      </c>
      <c r="F22" s="372">
        <f t="shared" si="4"/>
        <v>2877</v>
      </c>
      <c r="G22" s="376">
        <f t="shared" si="0"/>
        <v>5851</v>
      </c>
      <c r="H22" s="377"/>
      <c r="I22" s="378"/>
      <c r="J22" s="378"/>
      <c r="K22" s="1912"/>
      <c r="L22" s="378"/>
      <c r="M22" s="378"/>
      <c r="N22" s="378"/>
      <c r="O22" s="378"/>
      <c r="P22" s="378"/>
      <c r="Q22" s="378"/>
      <c r="R22" s="378"/>
      <c r="S22" s="378"/>
      <c r="T22" s="378"/>
      <c r="U22" s="378"/>
      <c r="V22" s="378"/>
      <c r="W22" s="378"/>
      <c r="X22" s="378"/>
      <c r="Y22" s="379"/>
      <c r="Z22" s="378"/>
      <c r="AA22" s="379"/>
      <c r="AB22" s="380"/>
      <c r="AC22" s="378"/>
      <c r="AD22" s="378"/>
      <c r="AE22" s="378"/>
      <c r="AF22" s="378"/>
      <c r="AG22" s="378"/>
      <c r="AH22" s="378"/>
      <c r="AI22" s="378"/>
      <c r="AJ22" s="378"/>
      <c r="AK22" s="378"/>
      <c r="AL22" s="378"/>
      <c r="AM22" s="378"/>
      <c r="AN22" s="378"/>
      <c r="AO22" s="379"/>
    </row>
    <row r="23" spans="1:41" s="381" customFormat="1" ht="14.1" customHeight="1">
      <c r="A23" s="354">
        <v>2024</v>
      </c>
      <c r="B23" s="355"/>
      <c r="C23" s="356">
        <f t="shared" si="1"/>
        <v>2941</v>
      </c>
      <c r="D23" s="371">
        <f t="shared" si="2"/>
        <v>2965</v>
      </c>
      <c r="E23" s="356">
        <f t="shared" si="3"/>
        <v>3193</v>
      </c>
      <c r="F23" s="372">
        <f t="shared" si="4"/>
        <v>2825</v>
      </c>
      <c r="G23" s="376">
        <f t="shared" si="0"/>
        <v>5766</v>
      </c>
      <c r="H23" s="377"/>
      <c r="I23" s="378"/>
      <c r="J23" s="378"/>
      <c r="K23" s="1912"/>
      <c r="L23" s="378"/>
      <c r="M23" s="378"/>
      <c r="N23" s="378"/>
      <c r="O23" s="378"/>
      <c r="P23" s="378"/>
      <c r="Q23" s="378"/>
      <c r="R23" s="378"/>
      <c r="S23" s="378"/>
      <c r="T23" s="378"/>
      <c r="U23" s="378"/>
      <c r="V23" s="378"/>
      <c r="W23" s="378"/>
      <c r="X23" s="378"/>
      <c r="Y23" s="379"/>
      <c r="Z23" s="378"/>
      <c r="AA23" s="379"/>
      <c r="AB23" s="380"/>
      <c r="AC23" s="378"/>
      <c r="AD23" s="378"/>
      <c r="AE23" s="378"/>
      <c r="AF23" s="378"/>
      <c r="AG23" s="378"/>
      <c r="AH23" s="378"/>
      <c r="AI23" s="378"/>
      <c r="AJ23" s="378"/>
      <c r="AK23" s="378"/>
      <c r="AL23" s="378"/>
      <c r="AM23" s="378"/>
      <c r="AN23" s="378"/>
      <c r="AO23" s="379"/>
    </row>
    <row r="24" spans="1:41" s="1929" customFormat="1" ht="14.1" customHeight="1">
      <c r="A24" s="366">
        <v>2025</v>
      </c>
      <c r="B24" s="367"/>
      <c r="C24" s="368">
        <f t="shared" si="1"/>
        <v>2908</v>
      </c>
      <c r="D24" s="369">
        <f t="shared" si="2"/>
        <v>2936</v>
      </c>
      <c r="E24" s="368">
        <f t="shared" si="3"/>
        <v>3187</v>
      </c>
      <c r="F24" s="370">
        <f t="shared" si="4"/>
        <v>2772</v>
      </c>
      <c r="G24" s="374">
        <f t="shared" si="0"/>
        <v>5680</v>
      </c>
      <c r="H24" s="373"/>
      <c r="I24" s="1925"/>
      <c r="J24" s="1925"/>
      <c r="K24" s="1926"/>
      <c r="L24" s="1925"/>
      <c r="M24" s="1925"/>
      <c r="N24" s="1925"/>
      <c r="O24" s="1925"/>
      <c r="P24" s="1925"/>
      <c r="Q24" s="1925"/>
      <c r="R24" s="1925"/>
      <c r="S24" s="1925"/>
      <c r="T24" s="1925"/>
      <c r="U24" s="1925"/>
      <c r="V24" s="1925"/>
      <c r="W24" s="1925"/>
      <c r="X24" s="1925"/>
      <c r="Y24" s="1927"/>
      <c r="Z24" s="1925"/>
      <c r="AA24" s="1927"/>
      <c r="AB24" s="1928"/>
      <c r="AC24" s="1925"/>
      <c r="AD24" s="1925"/>
      <c r="AE24" s="1925"/>
      <c r="AF24" s="1925"/>
      <c r="AG24" s="1925"/>
      <c r="AH24" s="1925"/>
      <c r="AI24" s="1925"/>
      <c r="AJ24" s="1925"/>
      <c r="AK24" s="1925"/>
      <c r="AL24" s="1925"/>
      <c r="AM24" s="1925"/>
      <c r="AN24" s="1925"/>
      <c r="AO24" s="1927"/>
    </row>
    <row r="25" spans="1:41" s="381" customFormat="1" ht="14.1" customHeight="1">
      <c r="A25" s="354">
        <v>2026</v>
      </c>
      <c r="B25" s="355"/>
      <c r="C25" s="356">
        <f t="shared" si="1"/>
        <v>2875</v>
      </c>
      <c r="D25" s="371">
        <f t="shared" si="2"/>
        <v>2907</v>
      </c>
      <c r="E25" s="356">
        <f t="shared" si="3"/>
        <v>3181</v>
      </c>
      <c r="F25" s="372">
        <f t="shared" si="4"/>
        <v>2718</v>
      </c>
      <c r="G25" s="376">
        <f t="shared" si="0"/>
        <v>5593</v>
      </c>
      <c r="H25" s="1913"/>
      <c r="I25" s="378"/>
      <c r="J25" s="378"/>
      <c r="K25" s="1912"/>
      <c r="L25" s="378"/>
      <c r="M25" s="378"/>
      <c r="N25" s="378"/>
      <c r="O25" s="378"/>
      <c r="P25" s="378"/>
      <c r="Q25" s="378"/>
      <c r="R25" s="378"/>
      <c r="S25" s="378"/>
      <c r="T25" s="378"/>
      <c r="U25" s="378"/>
      <c r="V25" s="378"/>
      <c r="W25" s="378"/>
      <c r="X25" s="378"/>
      <c r="Y25" s="379"/>
      <c r="Z25" s="378"/>
      <c r="AA25" s="379"/>
      <c r="AB25" s="380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9"/>
    </row>
    <row r="26" spans="1:41" s="381" customFormat="1" ht="14.1" customHeight="1">
      <c r="A26" s="354">
        <v>2027</v>
      </c>
      <c r="B26" s="355"/>
      <c r="C26" s="356">
        <f t="shared" si="1"/>
        <v>2842</v>
      </c>
      <c r="D26" s="371">
        <f t="shared" si="2"/>
        <v>2879</v>
      </c>
      <c r="E26" s="356">
        <f t="shared" si="3"/>
        <v>3175</v>
      </c>
      <c r="F26" s="372">
        <f t="shared" si="4"/>
        <v>2663</v>
      </c>
      <c r="G26" s="376">
        <f t="shared" si="0"/>
        <v>5505</v>
      </c>
      <c r="H26" s="375"/>
      <c r="I26" s="378"/>
      <c r="J26" s="378"/>
      <c r="K26" s="1914"/>
      <c r="L26" s="378"/>
      <c r="M26" s="378"/>
      <c r="N26" s="378"/>
      <c r="O26" s="378"/>
      <c r="P26" s="378"/>
      <c r="Q26" s="378"/>
      <c r="R26" s="378"/>
      <c r="S26" s="378"/>
      <c r="T26" s="378"/>
      <c r="U26" s="378"/>
      <c r="V26" s="378"/>
      <c r="W26" s="378"/>
      <c r="X26" s="378"/>
      <c r="Y26" s="379"/>
      <c r="Z26" s="378"/>
      <c r="AA26" s="379"/>
      <c r="AB26" s="380"/>
      <c r="AC26" s="378"/>
      <c r="AD26" s="378"/>
      <c r="AE26" s="378"/>
      <c r="AF26" s="378"/>
      <c r="AG26" s="378"/>
      <c r="AH26" s="378"/>
      <c r="AI26" s="378"/>
      <c r="AJ26" s="378"/>
      <c r="AK26" s="378"/>
      <c r="AL26" s="378"/>
      <c r="AM26" s="378"/>
      <c r="AN26" s="378"/>
      <c r="AO26" s="379"/>
    </row>
    <row r="27" spans="1:41" s="381" customFormat="1" ht="14.1" customHeight="1">
      <c r="A27" s="354">
        <v>2028</v>
      </c>
      <c r="B27" s="382"/>
      <c r="C27" s="356">
        <f t="shared" si="1"/>
        <v>2808</v>
      </c>
      <c r="D27" s="371">
        <f t="shared" si="2"/>
        <v>2851</v>
      </c>
      <c r="E27" s="356">
        <f t="shared" si="3"/>
        <v>3169</v>
      </c>
      <c r="F27" s="372">
        <f t="shared" si="4"/>
        <v>2607</v>
      </c>
      <c r="G27" s="376">
        <f t="shared" si="0"/>
        <v>5415</v>
      </c>
      <c r="H27" s="377"/>
      <c r="I27" s="378"/>
      <c r="J27" s="378"/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9"/>
      <c r="Z27" s="378"/>
      <c r="AA27" s="379"/>
      <c r="AB27" s="380"/>
      <c r="AC27" s="378"/>
      <c r="AD27" s="378"/>
      <c r="AE27" s="378"/>
      <c r="AF27" s="378"/>
      <c r="AG27" s="378"/>
      <c r="AH27" s="378"/>
      <c r="AI27" s="378"/>
      <c r="AJ27" s="378"/>
      <c r="AK27" s="378"/>
      <c r="AL27" s="378"/>
      <c r="AM27" s="378"/>
      <c r="AN27" s="378"/>
      <c r="AO27" s="379"/>
    </row>
    <row r="28" spans="1:41" s="381" customFormat="1" ht="14.1" customHeight="1">
      <c r="A28" s="386">
        <v>2029</v>
      </c>
      <c r="B28" s="387"/>
      <c r="C28" s="2072">
        <f t="shared" si="1"/>
        <v>2775</v>
      </c>
      <c r="D28" s="2175">
        <f t="shared" si="2"/>
        <v>2823</v>
      </c>
      <c r="E28" s="2072">
        <f t="shared" si="3"/>
        <v>3164</v>
      </c>
      <c r="F28" s="2176">
        <f t="shared" si="4"/>
        <v>2549</v>
      </c>
      <c r="G28" s="2177">
        <f t="shared" si="0"/>
        <v>5324</v>
      </c>
      <c r="H28" s="2178"/>
      <c r="I28" s="1916"/>
      <c r="J28" s="1916"/>
      <c r="K28" s="1916"/>
      <c r="L28" s="1916"/>
      <c r="M28" s="1916"/>
      <c r="N28" s="1916"/>
      <c r="O28" s="1916"/>
      <c r="P28" s="1916"/>
      <c r="Q28" s="1916"/>
      <c r="R28" s="1916"/>
      <c r="S28" s="1916"/>
      <c r="T28" s="1916"/>
      <c r="U28" s="1916"/>
      <c r="V28" s="1916"/>
      <c r="W28" s="1916"/>
      <c r="X28" s="1916"/>
      <c r="Y28" s="1917"/>
      <c r="Z28" s="378"/>
      <c r="AA28" s="379"/>
      <c r="AB28" s="1915"/>
      <c r="AC28" s="1916"/>
      <c r="AD28" s="1916"/>
      <c r="AE28" s="1916"/>
      <c r="AF28" s="1916"/>
      <c r="AG28" s="1916"/>
      <c r="AH28" s="1916"/>
      <c r="AI28" s="1916"/>
      <c r="AJ28" s="1916"/>
      <c r="AK28" s="1916"/>
      <c r="AL28" s="1916"/>
      <c r="AM28" s="1916"/>
      <c r="AN28" s="1916"/>
      <c r="AO28" s="1917"/>
    </row>
    <row r="29" spans="1:41" s="1929" customFormat="1" ht="14.1" customHeight="1">
      <c r="A29" s="2135">
        <v>2030</v>
      </c>
      <c r="B29" s="1911"/>
      <c r="C29" s="2136">
        <f t="shared" si="1"/>
        <v>2742</v>
      </c>
      <c r="D29" s="2137">
        <f t="shared" si="2"/>
        <v>2795</v>
      </c>
      <c r="E29" s="2136">
        <f t="shared" si="3"/>
        <v>3159</v>
      </c>
      <c r="F29" s="2138">
        <f t="shared" si="4"/>
        <v>2490</v>
      </c>
      <c r="G29" s="374">
        <f t="shared" si="0"/>
        <v>5232</v>
      </c>
      <c r="H29" s="373"/>
      <c r="I29" s="1925"/>
      <c r="J29" s="1925"/>
      <c r="K29" s="1925"/>
      <c r="L29" s="1925"/>
      <c r="M29" s="1925"/>
      <c r="N29" s="1925"/>
      <c r="O29" s="1925"/>
      <c r="P29" s="1925"/>
      <c r="Q29" s="1925"/>
      <c r="R29" s="1925"/>
      <c r="S29" s="1925"/>
      <c r="T29" s="1925"/>
      <c r="U29" s="1925"/>
      <c r="V29" s="1925"/>
      <c r="W29" s="1925"/>
      <c r="X29" s="1925"/>
      <c r="Y29" s="1925"/>
      <c r="Z29" s="1925"/>
      <c r="AA29" s="1927"/>
    </row>
    <row r="30" spans="1:41" s="381" customFormat="1" ht="14.1" customHeight="1">
      <c r="A30" s="354">
        <v>2031</v>
      </c>
      <c r="B30" s="355"/>
      <c r="C30" s="356">
        <f t="shared" si="1"/>
        <v>2709</v>
      </c>
      <c r="D30" s="371">
        <f t="shared" si="2"/>
        <v>2768</v>
      </c>
      <c r="E30" s="356">
        <f t="shared" si="3"/>
        <v>3154</v>
      </c>
      <c r="F30" s="372">
        <f t="shared" si="4"/>
        <v>2431</v>
      </c>
      <c r="G30" s="376">
        <f t="shared" si="0"/>
        <v>5140</v>
      </c>
      <c r="H30" s="1913"/>
      <c r="I30" s="378"/>
      <c r="J30" s="378"/>
      <c r="K30" s="378"/>
      <c r="L30" s="378"/>
      <c r="M30" s="378"/>
      <c r="N30" s="378"/>
      <c r="O30" s="378"/>
      <c r="P30" s="378"/>
      <c r="Q30" s="378"/>
      <c r="R30" s="378"/>
      <c r="S30" s="378"/>
      <c r="T30" s="378"/>
      <c r="U30" s="378"/>
      <c r="V30" s="378"/>
      <c r="W30" s="378"/>
      <c r="X30" s="378"/>
      <c r="Y30" s="378"/>
      <c r="Z30" s="378"/>
      <c r="AA30" s="379"/>
    </row>
    <row r="31" spans="1:41" s="381" customFormat="1" ht="14.1" customHeight="1">
      <c r="A31" s="354">
        <v>2032</v>
      </c>
      <c r="B31" s="382"/>
      <c r="C31" s="356">
        <f t="shared" si="1"/>
        <v>2676</v>
      </c>
      <c r="D31" s="371">
        <f t="shared" si="2"/>
        <v>2740</v>
      </c>
      <c r="E31" s="356">
        <f t="shared" si="3"/>
        <v>3149</v>
      </c>
      <c r="F31" s="372">
        <f t="shared" si="4"/>
        <v>2371</v>
      </c>
      <c r="G31" s="376">
        <f t="shared" si="0"/>
        <v>5047</v>
      </c>
      <c r="H31" s="377"/>
      <c r="I31" s="378"/>
      <c r="J31" s="378"/>
      <c r="K31" s="378"/>
      <c r="L31" s="378"/>
      <c r="M31" s="378"/>
      <c r="N31" s="378"/>
      <c r="O31" s="378"/>
      <c r="P31" s="378"/>
      <c r="Q31" s="378"/>
      <c r="R31" s="378"/>
      <c r="S31" s="378"/>
      <c r="T31" s="378"/>
      <c r="U31" s="378"/>
      <c r="V31" s="378"/>
      <c r="W31" s="378"/>
      <c r="X31" s="378"/>
      <c r="Y31" s="378"/>
      <c r="Z31" s="378"/>
      <c r="AA31" s="379"/>
    </row>
    <row r="32" spans="1:41" s="381" customFormat="1" ht="14.1" customHeight="1">
      <c r="A32" s="354">
        <v>2033</v>
      </c>
      <c r="B32" s="382"/>
      <c r="C32" s="356">
        <f t="shared" si="1"/>
        <v>2643</v>
      </c>
      <c r="D32" s="371">
        <f t="shared" si="2"/>
        <v>2714</v>
      </c>
      <c r="E32" s="356">
        <f t="shared" si="3"/>
        <v>3145</v>
      </c>
      <c r="F32" s="372">
        <f t="shared" si="4"/>
        <v>2310</v>
      </c>
      <c r="G32" s="376">
        <f t="shared" si="0"/>
        <v>4953</v>
      </c>
      <c r="H32" s="377"/>
      <c r="I32" s="378"/>
      <c r="J32" s="378"/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  <c r="Y32" s="378"/>
      <c r="Z32" s="378"/>
      <c r="AA32" s="379"/>
    </row>
    <row r="33" spans="1:40" s="381" customFormat="1" ht="14.1" customHeight="1">
      <c r="A33" s="354">
        <v>2034</v>
      </c>
      <c r="B33" s="382"/>
      <c r="C33" s="356">
        <f t="shared" si="1"/>
        <v>2610</v>
      </c>
      <c r="D33" s="371">
        <f t="shared" si="2"/>
        <v>2687</v>
      </c>
      <c r="E33" s="356">
        <f t="shared" si="3"/>
        <v>3140</v>
      </c>
      <c r="F33" s="372">
        <f t="shared" si="4"/>
        <v>2248</v>
      </c>
      <c r="G33" s="376">
        <f t="shared" si="0"/>
        <v>4858</v>
      </c>
      <c r="H33" s="377"/>
      <c r="I33" s="378"/>
      <c r="J33" s="378"/>
      <c r="K33" s="378"/>
      <c r="L33" s="378"/>
      <c r="M33" s="378"/>
      <c r="N33" s="378"/>
      <c r="O33" s="378"/>
      <c r="P33" s="378"/>
      <c r="Q33" s="378"/>
      <c r="R33" s="378"/>
      <c r="S33" s="378"/>
      <c r="T33" s="378"/>
      <c r="U33" s="378"/>
      <c r="V33" s="378"/>
      <c r="W33" s="378"/>
      <c r="X33" s="378"/>
      <c r="Y33" s="378"/>
      <c r="Z33" s="378"/>
      <c r="AA33" s="379"/>
    </row>
    <row r="34" spans="1:40" s="1929" customFormat="1" ht="14.1" customHeight="1">
      <c r="A34" s="366">
        <v>2035</v>
      </c>
      <c r="B34" s="367"/>
      <c r="C34" s="368">
        <f t="shared" si="1"/>
        <v>2577</v>
      </c>
      <c r="D34" s="369">
        <f t="shared" si="2"/>
        <v>2661</v>
      </c>
      <c r="E34" s="368">
        <f t="shared" si="3"/>
        <v>3136</v>
      </c>
      <c r="F34" s="370">
        <f t="shared" si="4"/>
        <v>2186</v>
      </c>
      <c r="G34" s="374">
        <f t="shared" si="0"/>
        <v>4763</v>
      </c>
      <c r="H34" s="384"/>
      <c r="I34" s="1925"/>
      <c r="J34" s="1925"/>
      <c r="K34" s="1925"/>
      <c r="L34" s="1930"/>
      <c r="M34" s="1925"/>
      <c r="N34" s="1925"/>
      <c r="O34" s="1925"/>
      <c r="P34" s="1925"/>
      <c r="Q34" s="1925"/>
      <c r="R34" s="1925"/>
      <c r="S34" s="1925"/>
      <c r="T34" s="1925"/>
      <c r="U34" s="1925"/>
      <c r="V34" s="1925"/>
      <c r="W34" s="1925"/>
      <c r="X34" s="1925"/>
      <c r="Y34" s="1925"/>
      <c r="Z34" s="1925"/>
      <c r="AA34" s="1927"/>
    </row>
    <row r="35" spans="1:40" s="381" customFormat="1" ht="14.1" customHeight="1">
      <c r="A35" s="354">
        <v>2036</v>
      </c>
      <c r="B35" s="385"/>
      <c r="C35" s="356">
        <f t="shared" si="1"/>
        <v>2543</v>
      </c>
      <c r="D35" s="371">
        <f t="shared" si="2"/>
        <v>2635</v>
      </c>
      <c r="E35" s="356">
        <f t="shared" si="3"/>
        <v>3132</v>
      </c>
      <c r="F35" s="372">
        <f t="shared" si="4"/>
        <v>2123</v>
      </c>
      <c r="G35" s="376"/>
      <c r="H35" s="377"/>
      <c r="I35" s="378"/>
      <c r="J35" s="378"/>
      <c r="K35" s="378"/>
      <c r="L35" s="410"/>
      <c r="M35" s="378"/>
      <c r="N35" s="378"/>
      <c r="O35" s="378"/>
      <c r="P35" s="378"/>
      <c r="Q35" s="378"/>
      <c r="R35" s="378"/>
      <c r="S35" s="378"/>
      <c r="T35" s="378"/>
      <c r="U35" s="378"/>
      <c r="V35" s="378"/>
      <c r="W35" s="378"/>
      <c r="X35" s="378"/>
      <c r="Y35" s="378"/>
      <c r="Z35" s="378"/>
      <c r="AA35" s="379"/>
    </row>
    <row r="36" spans="1:40" s="381" customFormat="1" ht="14.1" customHeight="1">
      <c r="A36" s="354">
        <v>2037</v>
      </c>
      <c r="B36" s="385"/>
      <c r="C36" s="356">
        <f t="shared" si="1"/>
        <v>2510</v>
      </c>
      <c r="D36" s="371">
        <f t="shared" si="2"/>
        <v>2609</v>
      </c>
      <c r="E36" s="356">
        <f t="shared" si="3"/>
        <v>3128</v>
      </c>
      <c r="F36" s="372">
        <f t="shared" si="4"/>
        <v>2061</v>
      </c>
      <c r="G36" s="376"/>
      <c r="H36" s="377"/>
      <c r="I36" s="378"/>
      <c r="J36" s="378"/>
      <c r="K36" s="378"/>
      <c r="L36" s="410"/>
      <c r="M36" s="378"/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9"/>
    </row>
    <row r="37" spans="1:40" s="381" customFormat="1" ht="14.1" customHeight="1">
      <c r="A37" s="354">
        <f t="shared" ref="A37" si="6">A36+1</f>
        <v>2038</v>
      </c>
      <c r="B37" s="385"/>
      <c r="C37" s="356">
        <f t="shared" si="1"/>
        <v>2477</v>
      </c>
      <c r="D37" s="371">
        <f t="shared" si="2"/>
        <v>2583</v>
      </c>
      <c r="E37" s="356">
        <f t="shared" si="3"/>
        <v>3124</v>
      </c>
      <c r="F37" s="372">
        <f t="shared" si="4"/>
        <v>1998</v>
      </c>
      <c r="G37" s="376"/>
      <c r="H37" s="377"/>
      <c r="I37" s="378"/>
      <c r="J37" s="378"/>
      <c r="K37" s="378"/>
      <c r="L37" s="410"/>
      <c r="M37" s="378"/>
      <c r="N37" s="378"/>
      <c r="O37" s="378"/>
      <c r="P37" s="378"/>
      <c r="Q37" s="378"/>
      <c r="R37" s="378"/>
      <c r="S37" s="378"/>
      <c r="T37" s="378"/>
      <c r="U37" s="378"/>
      <c r="V37" s="378"/>
      <c r="W37" s="378"/>
      <c r="X37" s="378"/>
      <c r="Y37" s="378"/>
      <c r="Z37" s="378"/>
      <c r="AA37" s="379"/>
    </row>
    <row r="38" spans="1:40" s="381" customFormat="1" ht="14.1" customHeight="1">
      <c r="A38" s="386" t="s">
        <v>275</v>
      </c>
      <c r="B38" s="387"/>
      <c r="C38" s="387" t="str">
        <f>IF(OR(C42=1,C42=2),"○","")</f>
        <v>○</v>
      </c>
      <c r="D38" s="387" t="str">
        <f>IF(OR(D42=1,D42=2),"○","")</f>
        <v/>
      </c>
      <c r="E38" s="387" t="str">
        <f>IF(OR(E42=1,E42=2),"○","")</f>
        <v/>
      </c>
      <c r="F38" s="1918" t="str">
        <f>IF(OR(F42=1,F42=2),"○","")</f>
        <v>○</v>
      </c>
      <c r="G38" s="1919"/>
      <c r="H38" s="1920"/>
      <c r="I38" s="378"/>
      <c r="J38" s="378"/>
      <c r="K38" s="1921"/>
      <c r="L38" s="1921"/>
      <c r="M38" s="1921"/>
      <c r="N38" s="1921"/>
      <c r="O38" s="1921"/>
      <c r="P38" s="1921"/>
      <c r="Q38" s="1921"/>
      <c r="R38" s="1921"/>
      <c r="S38" s="1921"/>
      <c r="T38" s="1922"/>
      <c r="U38" s="1922"/>
      <c r="V38" s="410"/>
      <c r="W38" s="410"/>
      <c r="X38" s="410"/>
      <c r="Y38" s="410"/>
      <c r="Z38" s="410"/>
      <c r="AA38" s="1923"/>
      <c r="AB38" s="1924"/>
      <c r="AC38" s="1924"/>
      <c r="AD38" s="1924"/>
      <c r="AE38" s="1924"/>
      <c r="AF38" s="1924"/>
      <c r="AG38" s="1924"/>
      <c r="AH38" s="1924"/>
      <c r="AI38" s="1924"/>
      <c r="AJ38" s="1924"/>
      <c r="AK38" s="1924"/>
      <c r="AL38" s="1924"/>
      <c r="AM38" s="1924"/>
      <c r="AN38" s="1924"/>
    </row>
    <row r="39" spans="1:40" s="344" customFormat="1" ht="14.1" customHeight="1">
      <c r="A39" s="2318" t="s">
        <v>276</v>
      </c>
      <c r="B39" s="2319"/>
      <c r="C39" s="392">
        <f>F70</f>
        <v>0.937403345472821</v>
      </c>
      <c r="D39" s="393">
        <f>G115</f>
        <v>0.93479475379714805</v>
      </c>
      <c r="E39" s="393">
        <f>H153</f>
        <v>0.76298986897537846</v>
      </c>
      <c r="F39" s="394">
        <f>G190</f>
        <v>0.93884511976850094</v>
      </c>
      <c r="G39" s="395"/>
      <c r="H39" s="396"/>
      <c r="I39" s="341"/>
      <c r="J39" s="341"/>
      <c r="K39" s="362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90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</row>
    <row r="40" spans="1:40" s="344" customFormat="1" ht="14.1" customHeight="1">
      <c r="A40" s="2318" t="s">
        <v>294</v>
      </c>
      <c r="B40" s="2319"/>
      <c r="C40" s="397">
        <f>F71</f>
        <v>8.0659999999999989</v>
      </c>
      <c r="D40" s="398">
        <f>G116</f>
        <v>8.4029999999999987</v>
      </c>
      <c r="E40" s="398">
        <f>H154</f>
        <v>30.583000000000002</v>
      </c>
      <c r="F40" s="399">
        <f>G191</f>
        <v>7.883</v>
      </c>
      <c r="G40" s="400"/>
      <c r="H40" s="401"/>
      <c r="I40" s="341"/>
      <c r="J40" s="341"/>
      <c r="K40" s="388"/>
      <c r="L40" s="388"/>
      <c r="M40" s="388"/>
      <c r="N40" s="388"/>
      <c r="O40" s="388"/>
      <c r="P40" s="388"/>
      <c r="Q40" s="388"/>
      <c r="R40" s="388"/>
      <c r="S40" s="388"/>
      <c r="T40" s="389"/>
      <c r="U40" s="389"/>
      <c r="V40" s="362"/>
      <c r="W40" s="362"/>
      <c r="X40" s="362"/>
      <c r="Y40" s="362"/>
      <c r="Z40" s="362"/>
      <c r="AA40" s="390"/>
      <c r="AB40" s="391"/>
      <c r="AC40" s="391"/>
      <c r="AD40" s="391"/>
      <c r="AE40" s="391"/>
      <c r="AF40" s="391"/>
      <c r="AG40" s="391"/>
      <c r="AH40" s="391"/>
      <c r="AI40" s="391"/>
      <c r="AJ40" s="391"/>
      <c r="AK40" s="391"/>
      <c r="AL40" s="391"/>
      <c r="AM40" s="391"/>
      <c r="AN40" s="391"/>
    </row>
    <row r="41" spans="1:40" s="344" customFormat="1" ht="14.1" customHeight="1">
      <c r="A41" s="2318" t="s">
        <v>278</v>
      </c>
      <c r="B41" s="2319"/>
      <c r="C41" s="402">
        <f>F72</f>
        <v>0.70842122558141807</v>
      </c>
      <c r="D41" s="403">
        <f>G117</f>
        <v>0.72105688343069152</v>
      </c>
      <c r="E41" s="403">
        <f>H155</f>
        <v>1.3112900406572767</v>
      </c>
      <c r="F41" s="404">
        <f>G192</f>
        <v>0.34125350132050847</v>
      </c>
      <c r="G41" s="405"/>
      <c r="H41" s="401"/>
      <c r="I41" s="383"/>
      <c r="J41" s="383"/>
      <c r="K41" s="406"/>
      <c r="L41" s="406"/>
      <c r="M41" s="406"/>
      <c r="N41" s="406"/>
      <c r="O41" s="406"/>
      <c r="P41" s="406"/>
      <c r="Q41" s="406"/>
      <c r="R41" s="406"/>
      <c r="S41" s="406"/>
      <c r="T41" s="407"/>
      <c r="U41" s="407"/>
      <c r="V41" s="408"/>
      <c r="W41" s="408"/>
      <c r="X41" s="408"/>
      <c r="Y41" s="408"/>
      <c r="Z41" s="408"/>
      <c r="AA41" s="409"/>
      <c r="AB41" s="391"/>
      <c r="AC41" s="391"/>
      <c r="AD41" s="391"/>
      <c r="AE41" s="391"/>
      <c r="AF41" s="391"/>
      <c r="AG41" s="391"/>
      <c r="AH41" s="391"/>
      <c r="AI41" s="391"/>
      <c r="AJ41" s="391"/>
      <c r="AK41" s="391"/>
      <c r="AL41" s="391"/>
      <c r="AM41" s="391"/>
      <c r="AN41" s="391"/>
    </row>
    <row r="42" spans="1:40" s="344" customFormat="1" ht="20.100000000000001" customHeight="1">
      <c r="A42" s="410"/>
      <c r="B42" s="411"/>
      <c r="C42" s="1007">
        <f>RANK(C39,$C$39:$F$39)</f>
        <v>2</v>
      </c>
      <c r="D42" s="1007">
        <f>RANK(D39,$C$39:$F$39)</f>
        <v>3</v>
      </c>
      <c r="E42" s="1007">
        <f>RANK(E39,$C$39:$F$39)</f>
        <v>4</v>
      </c>
      <c r="F42" s="1007">
        <f>RANK(F39,$C$39:$F$39)</f>
        <v>1</v>
      </c>
      <c r="G42" s="341"/>
      <c r="H42" s="341"/>
      <c r="I42" s="341"/>
      <c r="J42" s="413"/>
      <c r="K42" s="391"/>
      <c r="L42" s="391"/>
      <c r="M42" s="391"/>
      <c r="N42" s="391"/>
      <c r="O42" s="391"/>
      <c r="P42" s="391"/>
      <c r="Q42" s="391"/>
      <c r="R42" s="391"/>
      <c r="S42" s="391"/>
      <c r="T42" s="391"/>
      <c r="U42" s="391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391"/>
      <c r="AG42" s="391"/>
      <c r="AH42" s="391"/>
      <c r="AI42" s="391"/>
      <c r="AJ42" s="391"/>
      <c r="AK42" s="391"/>
      <c r="AL42" s="391"/>
      <c r="AM42" s="391"/>
    </row>
    <row r="43" spans="1:40" s="344" customFormat="1" ht="18.95" customHeight="1">
      <c r="A43" s="414" t="s">
        <v>85</v>
      </c>
      <c r="B43" s="415" t="s">
        <v>279</v>
      </c>
      <c r="C43" s="415" t="s">
        <v>280</v>
      </c>
      <c r="D43" s="415" t="s">
        <v>281</v>
      </c>
      <c r="E43" s="415" t="s">
        <v>282</v>
      </c>
      <c r="F43" s="360" t="s">
        <v>5</v>
      </c>
      <c r="G43" s="341"/>
      <c r="H43" s="341"/>
      <c r="I43" s="341"/>
      <c r="J43" s="413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  <c r="AM43" s="391"/>
    </row>
    <row r="44" spans="1:40" s="344" customFormat="1" ht="18.95" customHeight="1">
      <c r="A44" s="416" t="s">
        <v>251</v>
      </c>
      <c r="B44" s="417">
        <f>+C19</f>
        <v>3073</v>
      </c>
      <c r="C44" s="417">
        <f>+C24</f>
        <v>2908</v>
      </c>
      <c r="D44" s="417">
        <f>+C29</f>
        <v>2742</v>
      </c>
      <c r="E44" s="418">
        <f>+C34</f>
        <v>2577</v>
      </c>
      <c r="F44" s="419" t="str">
        <f>IF(C38="","제외","")</f>
        <v/>
      </c>
      <c r="G44" s="341"/>
      <c r="H44" s="341"/>
      <c r="I44" s="341"/>
      <c r="J44" s="413"/>
      <c r="K44" s="391"/>
      <c r="L44" s="391"/>
      <c r="M44" s="391"/>
      <c r="N44" s="391"/>
      <c r="O44" s="391"/>
      <c r="P44" s="391"/>
      <c r="Q44" s="391"/>
      <c r="R44" s="391"/>
      <c r="S44" s="391"/>
      <c r="T44" s="391"/>
      <c r="U44" s="391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391"/>
      <c r="AG44" s="391"/>
      <c r="AH44" s="391"/>
      <c r="AI44" s="391"/>
      <c r="AJ44" s="391"/>
      <c r="AK44" s="391"/>
      <c r="AL44" s="391"/>
      <c r="AM44" s="391"/>
    </row>
    <row r="45" spans="1:40" s="344" customFormat="1" ht="18.95" customHeight="1">
      <c r="A45" s="416" t="s">
        <v>253</v>
      </c>
      <c r="B45" s="417">
        <f>+D19</f>
        <v>3084</v>
      </c>
      <c r="C45" s="417">
        <f>+D24</f>
        <v>2936</v>
      </c>
      <c r="D45" s="417">
        <f>+D29</f>
        <v>2795</v>
      </c>
      <c r="E45" s="418">
        <f>+D34</f>
        <v>2661</v>
      </c>
      <c r="F45" s="419" t="str">
        <f>IF(D38="","제외","")</f>
        <v>제외</v>
      </c>
      <c r="G45" s="341"/>
      <c r="H45" s="341"/>
      <c r="I45" s="341"/>
      <c r="J45" s="413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1"/>
    </row>
    <row r="46" spans="1:40" s="344" customFormat="1" ht="18.95" customHeight="1">
      <c r="A46" s="416" t="s">
        <v>254</v>
      </c>
      <c r="B46" s="417">
        <f>+E19</f>
        <v>3224</v>
      </c>
      <c r="C46" s="417">
        <f>+E24</f>
        <v>3187</v>
      </c>
      <c r="D46" s="417">
        <f>+E29</f>
        <v>3159</v>
      </c>
      <c r="E46" s="418">
        <f>+E34</f>
        <v>3136</v>
      </c>
      <c r="F46" s="419" t="str">
        <f>IF(E38="","제외","")</f>
        <v>제외</v>
      </c>
      <c r="G46" s="341"/>
      <c r="H46" s="341"/>
      <c r="I46" s="341"/>
      <c r="J46" s="413"/>
      <c r="K46" s="391"/>
      <c r="L46" s="391"/>
      <c r="M46" s="391"/>
      <c r="N46" s="391"/>
      <c r="O46" s="391"/>
      <c r="P46" s="391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  <c r="AM46" s="391"/>
    </row>
    <row r="47" spans="1:40" s="344" customFormat="1" ht="18.95" customHeight="1">
      <c r="A47" s="416" t="s">
        <v>256</v>
      </c>
      <c r="B47" s="417">
        <f>+F19</f>
        <v>3023</v>
      </c>
      <c r="C47" s="417">
        <f>+F24</f>
        <v>2772</v>
      </c>
      <c r="D47" s="417">
        <f>+F29</f>
        <v>2490</v>
      </c>
      <c r="E47" s="418">
        <f>+F34</f>
        <v>2186</v>
      </c>
      <c r="F47" s="419" t="str">
        <f>IF(F38="","제외","")</f>
        <v/>
      </c>
      <c r="G47" s="341"/>
      <c r="H47" s="341"/>
      <c r="I47" s="341"/>
      <c r="J47" s="413"/>
      <c r="K47" s="391"/>
      <c r="L47" s="391"/>
      <c r="M47" s="391"/>
      <c r="N47" s="391"/>
      <c r="O47" s="391"/>
      <c r="P47" s="391"/>
      <c r="Q47" s="391"/>
      <c r="R47" s="391"/>
      <c r="S47" s="391"/>
      <c r="T47" s="391"/>
      <c r="U47" s="391"/>
      <c r="V47" s="391"/>
      <c r="W47" s="391"/>
      <c r="X47" s="391"/>
      <c r="Y47" s="391"/>
      <c r="Z47" s="391"/>
      <c r="AA47" s="391"/>
      <c r="AB47" s="391"/>
      <c r="AC47" s="391"/>
      <c r="AD47" s="391"/>
      <c r="AE47" s="391"/>
      <c r="AF47" s="391"/>
      <c r="AG47" s="391"/>
      <c r="AH47" s="391"/>
      <c r="AI47" s="391"/>
      <c r="AJ47" s="391"/>
      <c r="AK47" s="391"/>
      <c r="AL47" s="391"/>
      <c r="AM47" s="391"/>
    </row>
    <row r="48" spans="1:40" s="344" customFormat="1" ht="18.95" customHeight="1">
      <c r="A48" s="416" t="s">
        <v>283</v>
      </c>
      <c r="B48" s="420">
        <f>ROUND(AVERAGE(B44,B47),0)</f>
        <v>3048</v>
      </c>
      <c r="C48" s="420">
        <f t="shared" ref="C48:E48" si="7">ROUND(AVERAGE(C44,C47),0)</f>
        <v>2840</v>
      </c>
      <c r="D48" s="420">
        <f t="shared" si="7"/>
        <v>2616</v>
      </c>
      <c r="E48" s="420">
        <f t="shared" si="7"/>
        <v>2382</v>
      </c>
      <c r="F48" s="419"/>
      <c r="G48" s="341"/>
      <c r="H48" s="341"/>
      <c r="I48" s="341"/>
      <c r="J48" s="413"/>
      <c r="K48" s="391"/>
      <c r="L48" s="391"/>
      <c r="M48" s="391"/>
      <c r="N48" s="391"/>
      <c r="O48" s="391"/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  <c r="AM48" s="391"/>
    </row>
    <row r="49" spans="1:40" s="344" customFormat="1" ht="18.95" customHeight="1">
      <c r="A49" s="416" t="s">
        <v>284</v>
      </c>
      <c r="B49" s="420">
        <f>B48</f>
        <v>3048</v>
      </c>
      <c r="C49" s="420">
        <f>C48</f>
        <v>2840</v>
      </c>
      <c r="D49" s="420">
        <f>D48</f>
        <v>2616</v>
      </c>
      <c r="E49" s="420">
        <f>E48</f>
        <v>2382</v>
      </c>
      <c r="F49" s="419"/>
      <c r="G49" s="341"/>
      <c r="H49" s="341"/>
      <c r="I49" s="341"/>
      <c r="J49" s="413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391"/>
      <c r="AG49" s="391"/>
      <c r="AH49" s="391"/>
      <c r="AI49" s="391"/>
      <c r="AJ49" s="391"/>
      <c r="AK49" s="391"/>
      <c r="AL49" s="391"/>
      <c r="AM49" s="391"/>
    </row>
    <row r="50" spans="1:40" s="344" customFormat="1" ht="20.100000000000001" customHeight="1">
      <c r="A50" s="410"/>
      <c r="B50" s="411"/>
      <c r="C50" s="421">
        <f>C48-B48</f>
        <v>-208</v>
      </c>
      <c r="D50" s="421">
        <f>D48-C48</f>
        <v>-224</v>
      </c>
      <c r="E50" s="421">
        <f>E48-D48</f>
        <v>-234</v>
      </c>
      <c r="F50" s="341"/>
      <c r="G50" s="341"/>
      <c r="H50" s="341"/>
      <c r="I50" s="341"/>
      <c r="J50" s="413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391"/>
      <c r="AG50" s="391"/>
      <c r="AH50" s="391"/>
      <c r="AI50" s="391"/>
      <c r="AJ50" s="391"/>
      <c r="AK50" s="391"/>
      <c r="AL50" s="391"/>
      <c r="AM50" s="391"/>
    </row>
    <row r="51" spans="1:40" s="344" customFormat="1" ht="20.100000000000001" customHeight="1">
      <c r="A51" s="410"/>
      <c r="B51" s="422"/>
      <c r="C51" s="423">
        <f>ROUND((C48/B48)^(1/5)-1,4)</f>
        <v>-1.4E-2</v>
      </c>
      <c r="D51" s="423">
        <f>ROUND((D48/C48)^(1/5)-1,4)</f>
        <v>-1.6299999999999999E-2</v>
      </c>
      <c r="E51" s="423">
        <f>ROUND((E48/D48)^(1/5)-1,4)</f>
        <v>-1.8599999999999998E-2</v>
      </c>
      <c r="F51" s="341"/>
      <c r="G51" s="341"/>
      <c r="H51" s="341"/>
      <c r="I51" s="341"/>
      <c r="J51" s="413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391"/>
      <c r="AG51" s="391"/>
      <c r="AH51" s="391"/>
      <c r="AI51" s="391"/>
      <c r="AJ51" s="391"/>
      <c r="AK51" s="391"/>
      <c r="AL51" s="391"/>
      <c r="AM51" s="391"/>
    </row>
    <row r="52" spans="1:40" s="344" customFormat="1" ht="20.100000000000001" customHeight="1">
      <c r="A52" s="410"/>
      <c r="B52" s="411"/>
      <c r="C52" s="423"/>
      <c r="D52" s="423"/>
      <c r="E52" s="423"/>
      <c r="F52" s="341"/>
      <c r="G52" s="341"/>
      <c r="H52" s="341"/>
      <c r="I52" s="341"/>
      <c r="J52" s="413"/>
      <c r="K52" s="391"/>
      <c r="L52" s="391"/>
      <c r="M52" s="391"/>
      <c r="N52" s="391"/>
      <c r="O52" s="391"/>
      <c r="P52" s="391"/>
      <c r="Q52" s="391"/>
      <c r="R52" s="391"/>
      <c r="S52" s="391"/>
      <c r="T52" s="391"/>
      <c r="U52" s="391"/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391"/>
      <c r="AG52" s="391"/>
      <c r="AH52" s="391"/>
      <c r="AI52" s="391"/>
      <c r="AJ52" s="391"/>
      <c r="AK52" s="391"/>
      <c r="AL52" s="391"/>
      <c r="AM52" s="391"/>
    </row>
    <row r="53" spans="1:40" s="344" customFormat="1" ht="20.100000000000001" customHeight="1">
      <c r="A53" s="410"/>
      <c r="B53" s="411"/>
      <c r="C53" s="412"/>
      <c r="D53" s="412"/>
      <c r="E53" s="412"/>
      <c r="F53" s="341"/>
      <c r="G53" s="341"/>
      <c r="H53" s="341"/>
      <c r="I53" s="341"/>
      <c r="J53" s="413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  <c r="AF53" s="391"/>
      <c r="AG53" s="391"/>
      <c r="AH53" s="391"/>
      <c r="AI53" s="391"/>
      <c r="AJ53" s="391"/>
      <c r="AK53" s="391"/>
      <c r="AL53" s="391"/>
      <c r="AM53" s="391"/>
    </row>
    <row r="54" spans="1:40" s="344" customFormat="1" ht="20.100000000000001" customHeight="1">
      <c r="A54" s="410"/>
      <c r="B54" s="411"/>
      <c r="C54" s="412"/>
      <c r="D54" s="412"/>
      <c r="E54" s="412"/>
      <c r="F54" s="341"/>
      <c r="G54" s="341"/>
      <c r="H54" s="341"/>
      <c r="I54" s="341"/>
      <c r="J54" s="413"/>
      <c r="K54" s="391"/>
      <c r="L54" s="391"/>
      <c r="M54" s="391"/>
      <c r="N54" s="391"/>
      <c r="O54" s="391"/>
      <c r="P54" s="391"/>
      <c r="Q54" s="391"/>
      <c r="R54" s="391"/>
      <c r="S54" s="391"/>
      <c r="T54" s="391"/>
      <c r="U54" s="391"/>
      <c r="V54" s="391"/>
      <c r="W54" s="391"/>
      <c r="X54" s="391"/>
      <c r="Y54" s="391"/>
      <c r="Z54" s="391"/>
      <c r="AA54" s="391"/>
      <c r="AB54" s="391"/>
      <c r="AC54" s="391"/>
      <c r="AD54" s="391"/>
      <c r="AE54" s="391"/>
      <c r="AF54" s="391"/>
      <c r="AG54" s="391"/>
      <c r="AH54" s="391"/>
      <c r="AI54" s="391"/>
      <c r="AJ54" s="391"/>
      <c r="AK54" s="391"/>
      <c r="AL54" s="391"/>
      <c r="AM54" s="391"/>
    </row>
    <row r="55" spans="1:40" s="344" customFormat="1" ht="20.100000000000001" customHeight="1">
      <c r="A55" s="410"/>
      <c r="B55" s="411"/>
      <c r="C55" s="412"/>
      <c r="D55" s="412"/>
      <c r="E55" s="412"/>
      <c r="F55" s="341"/>
      <c r="G55" s="341"/>
      <c r="H55" s="341"/>
      <c r="I55" s="341"/>
      <c r="J55" s="413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1"/>
    </row>
    <row r="56" spans="1:40" s="344" customFormat="1" ht="20.100000000000001" customHeight="1">
      <c r="A56" s="410"/>
      <c r="B56" s="411"/>
      <c r="C56" s="412"/>
      <c r="D56" s="412"/>
      <c r="E56" s="412"/>
      <c r="F56" s="341"/>
      <c r="G56" s="341"/>
      <c r="H56" s="341"/>
      <c r="I56" s="341"/>
      <c r="J56" s="413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  <c r="AF56" s="391"/>
      <c r="AG56" s="391"/>
      <c r="AH56" s="391"/>
      <c r="AI56" s="391"/>
      <c r="AJ56" s="391"/>
      <c r="AK56" s="391"/>
      <c r="AL56" s="391"/>
      <c r="AM56" s="391"/>
    </row>
    <row r="57" spans="1:40" s="344" customFormat="1" ht="20.100000000000001" customHeight="1">
      <c r="A57" s="410"/>
      <c r="B57" s="411"/>
      <c r="C57" s="412"/>
      <c r="D57" s="412"/>
      <c r="E57" s="412"/>
      <c r="F57" s="341"/>
      <c r="G57" s="341"/>
      <c r="H57" s="341"/>
      <c r="I57" s="341"/>
      <c r="J57" s="413"/>
      <c r="K57" s="391"/>
      <c r="L57" s="391"/>
      <c r="M57" s="391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91"/>
      <c r="Y57" s="391"/>
      <c r="Z57" s="391"/>
      <c r="AA57" s="391"/>
      <c r="AB57" s="391"/>
      <c r="AC57" s="391"/>
      <c r="AD57" s="391"/>
      <c r="AE57" s="391"/>
      <c r="AF57" s="391"/>
      <c r="AG57" s="391"/>
      <c r="AH57" s="391"/>
      <c r="AI57" s="391"/>
      <c r="AJ57" s="391"/>
      <c r="AK57" s="391"/>
      <c r="AL57" s="391"/>
      <c r="AM57" s="391"/>
    </row>
    <row r="58" spans="1:40" s="344" customFormat="1" ht="20.100000000000001" customHeight="1">
      <c r="A58" s="410"/>
      <c r="B58" s="411"/>
      <c r="C58" s="412"/>
      <c r="D58" s="412"/>
      <c r="E58" s="412"/>
      <c r="F58" s="341"/>
      <c r="G58" s="341"/>
      <c r="H58" s="341"/>
      <c r="I58" s="341"/>
      <c r="J58" s="413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1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  <c r="AF58" s="391"/>
      <c r="AG58" s="391"/>
      <c r="AH58" s="391"/>
      <c r="AI58" s="391"/>
      <c r="AJ58" s="391"/>
      <c r="AK58" s="391"/>
      <c r="AL58" s="391"/>
      <c r="AM58" s="391"/>
    </row>
    <row r="59" spans="1:40" s="344" customFormat="1" ht="20.100000000000001" customHeight="1">
      <c r="A59" s="410"/>
      <c r="B59" s="411"/>
      <c r="C59" s="412"/>
      <c r="D59" s="412"/>
      <c r="E59" s="412"/>
      <c r="F59" s="341"/>
      <c r="G59" s="341"/>
      <c r="H59" s="341"/>
      <c r="I59" s="341"/>
      <c r="J59" s="413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  <c r="AF59" s="391"/>
      <c r="AG59" s="391"/>
      <c r="AH59" s="391"/>
      <c r="AI59" s="391"/>
      <c r="AJ59" s="391"/>
      <c r="AK59" s="391"/>
      <c r="AL59" s="391"/>
      <c r="AM59" s="391"/>
    </row>
    <row r="60" spans="1:40" s="344" customFormat="1" ht="20.100000000000001" customHeight="1">
      <c r="A60" s="410"/>
      <c r="B60" s="411"/>
      <c r="C60" s="412"/>
      <c r="D60" s="412"/>
      <c r="E60" s="412"/>
      <c r="F60" s="341"/>
      <c r="G60" s="341"/>
      <c r="H60" s="341"/>
      <c r="I60" s="341"/>
      <c r="J60" s="413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  <c r="Z60" s="391"/>
      <c r="AA60" s="391"/>
      <c r="AB60" s="391"/>
      <c r="AC60" s="391"/>
      <c r="AD60" s="391"/>
      <c r="AE60" s="391"/>
      <c r="AF60" s="391"/>
      <c r="AG60" s="391"/>
      <c r="AH60" s="391"/>
      <c r="AI60" s="391"/>
      <c r="AJ60" s="391"/>
      <c r="AK60" s="391"/>
      <c r="AL60" s="391"/>
      <c r="AM60" s="391"/>
    </row>
    <row r="61" spans="1:40" s="344" customFormat="1" ht="20.100000000000001" customHeight="1">
      <c r="A61" s="410"/>
      <c r="B61" s="411"/>
      <c r="C61" s="412"/>
      <c r="D61" s="412"/>
      <c r="E61" s="412"/>
      <c r="F61" s="341"/>
      <c r="G61" s="341"/>
      <c r="H61" s="341"/>
      <c r="I61" s="341"/>
      <c r="J61" s="413"/>
      <c r="K61" s="391"/>
      <c r="L61" s="391"/>
      <c r="M61" s="391"/>
      <c r="N61" s="391"/>
      <c r="O61" s="391"/>
      <c r="P61" s="391"/>
      <c r="Q61" s="391"/>
      <c r="R61" s="391"/>
      <c r="S61" s="391"/>
      <c r="T61" s="391"/>
      <c r="U61" s="391"/>
      <c r="V61" s="391"/>
      <c r="W61" s="391"/>
      <c r="X61" s="391"/>
      <c r="Y61" s="391"/>
      <c r="Z61" s="391"/>
      <c r="AA61" s="391"/>
      <c r="AB61" s="391"/>
      <c r="AC61" s="391"/>
      <c r="AD61" s="391"/>
      <c r="AE61" s="391"/>
      <c r="AF61" s="391"/>
      <c r="AG61" s="391"/>
      <c r="AH61" s="391"/>
      <c r="AI61" s="391"/>
      <c r="AJ61" s="391"/>
      <c r="AK61" s="391"/>
      <c r="AL61" s="391"/>
      <c r="AM61" s="391"/>
    </row>
    <row r="62" spans="1:40" s="344" customFormat="1" ht="20.100000000000001" customHeight="1">
      <c r="A62" s="410"/>
      <c r="B62" s="411"/>
      <c r="C62" s="412"/>
      <c r="D62" s="412"/>
      <c r="E62" s="412"/>
      <c r="F62" s="341"/>
      <c r="G62" s="341"/>
      <c r="H62" s="341"/>
      <c r="I62" s="341"/>
      <c r="J62" s="413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  <c r="Z62" s="391"/>
      <c r="AA62" s="391"/>
      <c r="AB62" s="391"/>
      <c r="AC62" s="391"/>
      <c r="AD62" s="391"/>
      <c r="AE62" s="391"/>
      <c r="AF62" s="391"/>
      <c r="AG62" s="391"/>
      <c r="AH62" s="391"/>
      <c r="AI62" s="391"/>
      <c r="AJ62" s="391"/>
      <c r="AK62" s="391"/>
      <c r="AL62" s="391"/>
      <c r="AM62" s="391"/>
      <c r="AN62" s="391"/>
    </row>
    <row r="63" spans="1:40" ht="15" customHeight="1">
      <c r="A63" s="424" t="s">
        <v>285</v>
      </c>
      <c r="B63" s="425"/>
      <c r="I63" s="426"/>
    </row>
    <row r="64" spans="1:40" ht="15" customHeight="1">
      <c r="A64" s="427" t="s">
        <v>264</v>
      </c>
      <c r="B64" s="428" t="s">
        <v>286</v>
      </c>
      <c r="C64" s="429" t="s">
        <v>287</v>
      </c>
      <c r="D64" s="430"/>
      <c r="E64" s="430"/>
      <c r="F64" s="431"/>
      <c r="G64" s="432"/>
      <c r="H64" s="432" t="s">
        <v>288</v>
      </c>
      <c r="I64" s="433">
        <f>RSQ(I65:I75,B65:B75)</f>
        <v>0.937403345472821</v>
      </c>
      <c r="J64" s="434" t="s">
        <v>289</v>
      </c>
      <c r="K64" s="435" t="s">
        <v>290</v>
      </c>
    </row>
    <row r="65" spans="1:14" ht="15" customHeight="1">
      <c r="A65" s="436">
        <f>A5</f>
        <v>2006</v>
      </c>
      <c r="B65" s="437">
        <f>B5</f>
        <v>3499</v>
      </c>
      <c r="C65" s="438">
        <v>1</v>
      </c>
      <c r="D65" s="439" t="s">
        <v>291</v>
      </c>
      <c r="E65" s="440"/>
      <c r="F65" s="440"/>
      <c r="G65" s="441"/>
      <c r="H65" s="442"/>
      <c r="I65" s="443">
        <f t="shared" ref="I65:I97" si="8">ROUND($E$66*C65+$E$67,$G$1)</f>
        <v>3537</v>
      </c>
      <c r="J65" s="444">
        <f t="shared" ref="J65:J75" si="9">ABS(B65-I65)/B65*100</f>
        <v>1.0860245784509859</v>
      </c>
      <c r="K65" s="443">
        <f t="shared" ref="K65:K75" si="10">(B65-I65)^2/1000</f>
        <v>1.444</v>
      </c>
      <c r="L65" s="445"/>
    </row>
    <row r="66" spans="1:14" ht="15" customHeight="1">
      <c r="A66" s="436">
        <f t="shared" ref="A66:A97" si="11">A65+1</f>
        <v>2007</v>
      </c>
      <c r="B66" s="437">
        <f t="shared" ref="B66:B75" si="12">B6</f>
        <v>3500</v>
      </c>
      <c r="C66" s="438">
        <f t="shared" ref="C66:C75" si="13">C65+1</f>
        <v>2</v>
      </c>
      <c r="D66" s="439" t="s">
        <v>292</v>
      </c>
      <c r="E66" s="363">
        <f>INDEX(LINEST(B65:B75,C65:C75),1)</f>
        <v>-33.127272727272732</v>
      </c>
      <c r="F66" s="440"/>
      <c r="G66" s="441"/>
      <c r="H66" s="442"/>
      <c r="I66" s="443">
        <f t="shared" si="8"/>
        <v>3504</v>
      </c>
      <c r="J66" s="446">
        <f t="shared" si="9"/>
        <v>0.1142857142857143</v>
      </c>
      <c r="K66" s="443">
        <f>(B66-I66)^2/1000</f>
        <v>1.6E-2</v>
      </c>
      <c r="L66" s="445">
        <f t="shared" ref="L66:L97" si="14">+I66-I65</f>
        <v>-33</v>
      </c>
      <c r="M66" s="445"/>
    </row>
    <row r="67" spans="1:14" ht="15" customHeight="1">
      <c r="A67" s="436">
        <f t="shared" si="11"/>
        <v>2008</v>
      </c>
      <c r="B67" s="437">
        <f t="shared" si="12"/>
        <v>3493</v>
      </c>
      <c r="C67" s="438">
        <f t="shared" si="13"/>
        <v>3</v>
      </c>
      <c r="D67" s="439" t="s">
        <v>293</v>
      </c>
      <c r="E67" s="363">
        <f>INDEX(LINEST(B65:B75,C65:C75),2)</f>
        <v>3570.4</v>
      </c>
      <c r="G67" s="441"/>
      <c r="H67" s="442"/>
      <c r="I67" s="443">
        <f t="shared" si="8"/>
        <v>3471</v>
      </c>
      <c r="J67" s="446">
        <f t="shared" si="9"/>
        <v>0.62983109075293453</v>
      </c>
      <c r="K67" s="443">
        <f>(B67-I67)^2/1000</f>
        <v>0.48399999999999999</v>
      </c>
      <c r="L67" s="445">
        <f t="shared" si="14"/>
        <v>-33</v>
      </c>
      <c r="M67" s="445"/>
    </row>
    <row r="68" spans="1:14" ht="15" customHeight="1">
      <c r="A68" s="436">
        <f t="shared" si="11"/>
        <v>2009</v>
      </c>
      <c r="B68" s="437">
        <f t="shared" si="12"/>
        <v>3452</v>
      </c>
      <c r="C68" s="438">
        <f t="shared" si="13"/>
        <v>4</v>
      </c>
      <c r="G68" s="442"/>
      <c r="H68" s="442"/>
      <c r="I68" s="443">
        <f t="shared" si="8"/>
        <v>3438</v>
      </c>
      <c r="J68" s="446">
        <f t="shared" si="9"/>
        <v>0.40556199304750867</v>
      </c>
      <c r="K68" s="443">
        <f t="shared" si="10"/>
        <v>0.19600000000000001</v>
      </c>
      <c r="L68" s="445">
        <f t="shared" si="14"/>
        <v>-33</v>
      </c>
      <c r="M68" s="445"/>
    </row>
    <row r="69" spans="1:14" ht="15" customHeight="1">
      <c r="A69" s="436">
        <f t="shared" si="11"/>
        <v>2010</v>
      </c>
      <c r="B69" s="437">
        <f t="shared" si="12"/>
        <v>3452</v>
      </c>
      <c r="C69" s="438">
        <f t="shared" si="13"/>
        <v>5</v>
      </c>
      <c r="G69" s="442"/>
      <c r="H69" s="442"/>
      <c r="I69" s="443">
        <f t="shared" si="8"/>
        <v>3405</v>
      </c>
      <c r="J69" s="446">
        <f t="shared" si="9"/>
        <v>1.3615295480880649</v>
      </c>
      <c r="K69" s="443">
        <f t="shared" si="10"/>
        <v>2.2090000000000001</v>
      </c>
      <c r="L69" s="445">
        <f t="shared" si="14"/>
        <v>-33</v>
      </c>
      <c r="M69" s="445"/>
    </row>
    <row r="70" spans="1:14" ht="15" customHeight="1">
      <c r="A70" s="436">
        <f t="shared" si="11"/>
        <v>2011</v>
      </c>
      <c r="B70" s="437">
        <f t="shared" si="12"/>
        <v>3386</v>
      </c>
      <c r="C70" s="438">
        <f t="shared" si="13"/>
        <v>6</v>
      </c>
      <c r="D70" s="2318" t="s">
        <v>276</v>
      </c>
      <c r="E70" s="2320"/>
      <c r="F70" s="447">
        <f>I64</f>
        <v>0.937403345472821</v>
      </c>
      <c r="G70" s="442"/>
      <c r="H70" s="442"/>
      <c r="I70" s="443">
        <f t="shared" si="8"/>
        <v>3372</v>
      </c>
      <c r="J70" s="446">
        <f t="shared" si="9"/>
        <v>0.4134672179562906</v>
      </c>
      <c r="K70" s="443">
        <f t="shared" si="10"/>
        <v>0.19600000000000001</v>
      </c>
      <c r="L70" s="445">
        <f t="shared" si="14"/>
        <v>-33</v>
      </c>
      <c r="M70" s="445"/>
    </row>
    <row r="71" spans="1:14" ht="15" customHeight="1">
      <c r="A71" s="436">
        <f t="shared" si="11"/>
        <v>2012</v>
      </c>
      <c r="B71" s="437">
        <f t="shared" si="12"/>
        <v>3321</v>
      </c>
      <c r="C71" s="438">
        <f t="shared" si="13"/>
        <v>7</v>
      </c>
      <c r="D71" s="2318" t="s">
        <v>376</v>
      </c>
      <c r="E71" s="2320"/>
      <c r="F71" s="448">
        <f>SUM(K65:K75)</f>
        <v>8.0659999999999989</v>
      </c>
      <c r="G71" s="442"/>
      <c r="H71" s="442"/>
      <c r="I71" s="443">
        <f t="shared" si="8"/>
        <v>3339</v>
      </c>
      <c r="J71" s="446">
        <f t="shared" si="9"/>
        <v>0.54200542005420049</v>
      </c>
      <c r="K71" s="443">
        <f t="shared" si="10"/>
        <v>0.32400000000000001</v>
      </c>
      <c r="L71" s="445">
        <f t="shared" si="14"/>
        <v>-33</v>
      </c>
      <c r="M71" s="445"/>
    </row>
    <row r="72" spans="1:14" ht="15" customHeight="1">
      <c r="A72" s="436">
        <f t="shared" si="11"/>
        <v>2013</v>
      </c>
      <c r="B72" s="437">
        <f t="shared" si="12"/>
        <v>3291</v>
      </c>
      <c r="C72" s="438">
        <f t="shared" si="13"/>
        <v>8</v>
      </c>
      <c r="D72" s="2318" t="s">
        <v>377</v>
      </c>
      <c r="E72" s="2321"/>
      <c r="F72" s="449">
        <f>SUM(J65:J75)/C75</f>
        <v>0.70842122558141807</v>
      </c>
      <c r="G72" s="442"/>
      <c r="H72" s="442"/>
      <c r="I72" s="443">
        <f t="shared" si="8"/>
        <v>3305</v>
      </c>
      <c r="J72" s="446">
        <f t="shared" si="9"/>
        <v>0.42540261318748096</v>
      </c>
      <c r="K72" s="443">
        <f t="shared" si="10"/>
        <v>0.19600000000000001</v>
      </c>
      <c r="L72" s="445">
        <f t="shared" si="14"/>
        <v>-34</v>
      </c>
      <c r="M72" s="445"/>
    </row>
    <row r="73" spans="1:14" ht="15" customHeight="1">
      <c r="A73" s="436">
        <f t="shared" si="11"/>
        <v>2014</v>
      </c>
      <c r="B73" s="437">
        <f t="shared" si="12"/>
        <v>3233</v>
      </c>
      <c r="C73" s="438">
        <f t="shared" si="13"/>
        <v>9</v>
      </c>
      <c r="D73" s="2322"/>
      <c r="E73" s="2322"/>
      <c r="F73" s="450"/>
      <c r="G73" s="442"/>
      <c r="H73" s="442"/>
      <c r="I73" s="443">
        <f t="shared" si="8"/>
        <v>3272</v>
      </c>
      <c r="J73" s="446">
        <f t="shared" si="9"/>
        <v>1.2063099288586452</v>
      </c>
      <c r="K73" s="443">
        <f t="shared" si="10"/>
        <v>1.5209999999999999</v>
      </c>
      <c r="L73" s="445">
        <f t="shared" si="14"/>
        <v>-33</v>
      </c>
      <c r="M73" s="445"/>
    </row>
    <row r="74" spans="1:14" ht="15" customHeight="1">
      <c r="A74" s="436">
        <f t="shared" si="11"/>
        <v>2015</v>
      </c>
      <c r="B74" s="437">
        <f t="shared" si="12"/>
        <v>3221</v>
      </c>
      <c r="C74" s="438">
        <f t="shared" si="13"/>
        <v>10</v>
      </c>
      <c r="G74" s="439"/>
      <c r="H74" s="451"/>
      <c r="I74" s="443">
        <f t="shared" si="8"/>
        <v>3239</v>
      </c>
      <c r="J74" s="446">
        <f t="shared" si="9"/>
        <v>0.55883266066438997</v>
      </c>
      <c r="K74" s="443">
        <f t="shared" si="10"/>
        <v>0.32400000000000001</v>
      </c>
      <c r="L74" s="445">
        <f t="shared" si="14"/>
        <v>-33</v>
      </c>
      <c r="M74" s="445"/>
    </row>
    <row r="75" spans="1:14" ht="15" customHeight="1" thickBot="1">
      <c r="A75" s="452">
        <f t="shared" si="11"/>
        <v>2016</v>
      </c>
      <c r="B75" s="453">
        <f t="shared" si="12"/>
        <v>3240</v>
      </c>
      <c r="C75" s="438">
        <f t="shared" si="13"/>
        <v>11</v>
      </c>
      <c r="D75" s="454"/>
      <c r="E75" s="454"/>
      <c r="F75" s="454"/>
      <c r="G75" s="455"/>
      <c r="H75" s="454"/>
      <c r="I75" s="456">
        <f t="shared" si="8"/>
        <v>3206</v>
      </c>
      <c r="J75" s="457">
        <f t="shared" si="9"/>
        <v>1.0493827160493827</v>
      </c>
      <c r="K75" s="456">
        <f t="shared" si="10"/>
        <v>1.1559999999999999</v>
      </c>
      <c r="L75" s="445">
        <f t="shared" si="14"/>
        <v>-33</v>
      </c>
      <c r="M75" s="445"/>
    </row>
    <row r="76" spans="1:14" ht="15" customHeight="1" thickTop="1">
      <c r="A76" s="458">
        <f t="shared" si="11"/>
        <v>2017</v>
      </c>
      <c r="B76" s="459">
        <f t="shared" ref="B76:B97" si="15">ROUND($E$66*C76+$E$67,$G$1)</f>
        <v>3173</v>
      </c>
      <c r="C76" s="460">
        <f>C75+1</f>
        <v>12</v>
      </c>
      <c r="D76" s="461"/>
      <c r="E76" s="461"/>
      <c r="F76" s="461"/>
      <c r="G76" s="462"/>
      <c r="H76" s="461"/>
      <c r="I76" s="443">
        <f t="shared" si="8"/>
        <v>3173</v>
      </c>
      <c r="J76" s="463"/>
      <c r="K76" s="464"/>
      <c r="L76" s="445">
        <f t="shared" si="14"/>
        <v>-33</v>
      </c>
    </row>
    <row r="77" spans="1:14" ht="15" customHeight="1">
      <c r="A77" s="465">
        <f t="shared" si="11"/>
        <v>2018</v>
      </c>
      <c r="B77" s="437">
        <f t="shared" si="15"/>
        <v>3140</v>
      </c>
      <c r="C77" s="466">
        <f>C76+1</f>
        <v>13</v>
      </c>
      <c r="F77" s="451"/>
      <c r="G77" s="439"/>
      <c r="H77" s="451"/>
      <c r="I77" s="443">
        <f t="shared" si="8"/>
        <v>3140</v>
      </c>
      <c r="J77" s="467"/>
      <c r="K77" s="443"/>
      <c r="L77" s="445">
        <f t="shared" si="14"/>
        <v>-33</v>
      </c>
    </row>
    <row r="78" spans="1:14" ht="15" customHeight="1">
      <c r="A78" s="465">
        <f t="shared" si="11"/>
        <v>2019</v>
      </c>
      <c r="B78" s="437">
        <f t="shared" si="15"/>
        <v>3107</v>
      </c>
      <c r="C78" s="466">
        <f t="shared" ref="C78:C94" si="16">C77+1</f>
        <v>14</v>
      </c>
      <c r="F78" s="451"/>
      <c r="G78" s="439"/>
      <c r="H78" s="451"/>
      <c r="I78" s="443">
        <f t="shared" si="8"/>
        <v>3107</v>
      </c>
      <c r="J78" s="467"/>
      <c r="K78" s="443"/>
      <c r="L78" s="445">
        <f t="shared" si="14"/>
        <v>-33</v>
      </c>
    </row>
    <row r="79" spans="1:14" ht="15" customHeight="1">
      <c r="A79" s="465">
        <f t="shared" si="11"/>
        <v>2020</v>
      </c>
      <c r="B79" s="437">
        <f t="shared" si="15"/>
        <v>3073</v>
      </c>
      <c r="C79" s="466">
        <f t="shared" si="16"/>
        <v>15</v>
      </c>
      <c r="F79" s="451"/>
      <c r="G79" s="439"/>
      <c r="H79" s="451"/>
      <c r="I79" s="443">
        <f t="shared" si="8"/>
        <v>3073</v>
      </c>
      <c r="J79" s="467"/>
      <c r="K79" s="443"/>
      <c r="L79" s="445">
        <f t="shared" si="14"/>
        <v>-34</v>
      </c>
      <c r="N79" s="326">
        <f>1/0.75</f>
        <v>1.3333333333333333</v>
      </c>
    </row>
    <row r="80" spans="1:14" ht="15" customHeight="1">
      <c r="A80" s="465">
        <f t="shared" si="11"/>
        <v>2021</v>
      </c>
      <c r="B80" s="437">
        <f t="shared" si="15"/>
        <v>3040</v>
      </c>
      <c r="C80" s="466">
        <f t="shared" si="16"/>
        <v>16</v>
      </c>
      <c r="F80" s="451"/>
      <c r="G80" s="439"/>
      <c r="H80" s="451"/>
      <c r="I80" s="443">
        <f t="shared" si="8"/>
        <v>3040</v>
      </c>
      <c r="J80" s="467"/>
      <c r="K80" s="443"/>
      <c r="L80" s="445">
        <f t="shared" si="14"/>
        <v>-33</v>
      </c>
    </row>
    <row r="81" spans="1:12" ht="15" customHeight="1">
      <c r="A81" s="465">
        <f t="shared" si="11"/>
        <v>2022</v>
      </c>
      <c r="B81" s="437">
        <f t="shared" si="15"/>
        <v>3007</v>
      </c>
      <c r="C81" s="466">
        <f t="shared" si="16"/>
        <v>17</v>
      </c>
      <c r="D81" s="439"/>
      <c r="E81" s="439"/>
      <c r="F81" s="451"/>
      <c r="G81" s="439"/>
      <c r="H81" s="451"/>
      <c r="I81" s="443">
        <f t="shared" si="8"/>
        <v>3007</v>
      </c>
      <c r="J81" s="467"/>
      <c r="K81" s="443"/>
      <c r="L81" s="445">
        <f t="shared" si="14"/>
        <v>-33</v>
      </c>
    </row>
    <row r="82" spans="1:12" ht="15" customHeight="1">
      <c r="A82" s="465">
        <f t="shared" si="11"/>
        <v>2023</v>
      </c>
      <c r="B82" s="437">
        <f t="shared" si="15"/>
        <v>2974</v>
      </c>
      <c r="C82" s="466">
        <f t="shared" si="16"/>
        <v>18</v>
      </c>
      <c r="D82" s="439"/>
      <c r="E82" s="439"/>
      <c r="F82" s="451"/>
      <c r="G82" s="439"/>
      <c r="H82" s="451"/>
      <c r="I82" s="443">
        <f t="shared" si="8"/>
        <v>2974</v>
      </c>
      <c r="J82" s="467"/>
      <c r="K82" s="443"/>
      <c r="L82" s="445">
        <f t="shared" si="14"/>
        <v>-33</v>
      </c>
    </row>
    <row r="83" spans="1:12" s="451" customFormat="1" ht="15" customHeight="1">
      <c r="A83" s="465">
        <f t="shared" si="11"/>
        <v>2024</v>
      </c>
      <c r="B83" s="437">
        <f t="shared" si="15"/>
        <v>2941</v>
      </c>
      <c r="C83" s="466">
        <f t="shared" si="16"/>
        <v>19</v>
      </c>
      <c r="G83" s="439"/>
      <c r="H83" s="439"/>
      <c r="I83" s="443">
        <f t="shared" si="8"/>
        <v>2941</v>
      </c>
      <c r="J83" s="467"/>
      <c r="K83" s="443"/>
      <c r="L83" s="445">
        <f t="shared" si="14"/>
        <v>-33</v>
      </c>
    </row>
    <row r="84" spans="1:12" ht="15" customHeight="1">
      <c r="A84" s="465">
        <f t="shared" si="11"/>
        <v>2025</v>
      </c>
      <c r="B84" s="437">
        <f t="shared" si="15"/>
        <v>2908</v>
      </c>
      <c r="C84" s="466">
        <f t="shared" si="16"/>
        <v>20</v>
      </c>
      <c r="D84" s="451"/>
      <c r="E84" s="451"/>
      <c r="F84" s="451"/>
      <c r="G84" s="439"/>
      <c r="H84" s="451"/>
      <c r="I84" s="443">
        <f t="shared" si="8"/>
        <v>2908</v>
      </c>
      <c r="J84" s="467"/>
      <c r="K84" s="443"/>
      <c r="L84" s="445">
        <f t="shared" si="14"/>
        <v>-33</v>
      </c>
    </row>
    <row r="85" spans="1:12" s="451" customFormat="1" ht="15" customHeight="1">
      <c r="A85" s="465">
        <f t="shared" si="11"/>
        <v>2026</v>
      </c>
      <c r="B85" s="437">
        <f t="shared" si="15"/>
        <v>2875</v>
      </c>
      <c r="C85" s="466">
        <f t="shared" si="16"/>
        <v>21</v>
      </c>
      <c r="G85" s="439"/>
      <c r="I85" s="443">
        <f t="shared" si="8"/>
        <v>2875</v>
      </c>
      <c r="J85" s="467"/>
      <c r="K85" s="443"/>
      <c r="L85" s="445">
        <f t="shared" si="14"/>
        <v>-33</v>
      </c>
    </row>
    <row r="86" spans="1:12" s="451" customFormat="1" ht="15" customHeight="1">
      <c r="A86" s="465">
        <f t="shared" si="11"/>
        <v>2027</v>
      </c>
      <c r="B86" s="437">
        <f t="shared" si="15"/>
        <v>2842</v>
      </c>
      <c r="C86" s="466">
        <f t="shared" si="16"/>
        <v>22</v>
      </c>
      <c r="G86" s="439"/>
      <c r="I86" s="443">
        <f t="shared" si="8"/>
        <v>2842</v>
      </c>
      <c r="J86" s="467"/>
      <c r="K86" s="443"/>
      <c r="L86" s="445">
        <f t="shared" si="14"/>
        <v>-33</v>
      </c>
    </row>
    <row r="87" spans="1:12" s="451" customFormat="1" ht="15" customHeight="1">
      <c r="A87" s="465">
        <f t="shared" si="11"/>
        <v>2028</v>
      </c>
      <c r="B87" s="437">
        <f t="shared" si="15"/>
        <v>2808</v>
      </c>
      <c r="C87" s="466">
        <f t="shared" si="16"/>
        <v>23</v>
      </c>
      <c r="D87" s="468"/>
      <c r="E87" s="468"/>
      <c r="I87" s="443">
        <f t="shared" si="8"/>
        <v>2808</v>
      </c>
      <c r="J87" s="469"/>
      <c r="K87" s="469"/>
      <c r="L87" s="445">
        <f t="shared" si="14"/>
        <v>-34</v>
      </c>
    </row>
    <row r="88" spans="1:12" ht="15" customHeight="1">
      <c r="A88" s="465">
        <f t="shared" si="11"/>
        <v>2029</v>
      </c>
      <c r="B88" s="437">
        <f t="shared" si="15"/>
        <v>2775</v>
      </c>
      <c r="C88" s="466">
        <f t="shared" si="16"/>
        <v>24</v>
      </c>
      <c r="D88" s="468"/>
      <c r="E88" s="468"/>
      <c r="F88" s="451"/>
      <c r="G88" s="451"/>
      <c r="H88" s="451"/>
      <c r="I88" s="443">
        <f t="shared" si="8"/>
        <v>2775</v>
      </c>
      <c r="J88" s="469"/>
      <c r="K88" s="469"/>
      <c r="L88" s="445">
        <f t="shared" si="14"/>
        <v>-33</v>
      </c>
    </row>
    <row r="89" spans="1:12" ht="15" customHeight="1">
      <c r="A89" s="465">
        <f t="shared" si="11"/>
        <v>2030</v>
      </c>
      <c r="B89" s="437">
        <f t="shared" si="15"/>
        <v>2742</v>
      </c>
      <c r="C89" s="466">
        <f t="shared" si="16"/>
        <v>25</v>
      </c>
      <c r="D89" s="468"/>
      <c r="E89" s="468"/>
      <c r="F89" s="451"/>
      <c r="G89" s="451"/>
      <c r="H89" s="451"/>
      <c r="I89" s="443">
        <f t="shared" si="8"/>
        <v>2742</v>
      </c>
      <c r="J89" s="469"/>
      <c r="K89" s="469"/>
      <c r="L89" s="445">
        <f t="shared" si="14"/>
        <v>-33</v>
      </c>
    </row>
    <row r="90" spans="1:12" ht="15" customHeight="1">
      <c r="A90" s="465">
        <f t="shared" si="11"/>
        <v>2031</v>
      </c>
      <c r="B90" s="437">
        <f t="shared" si="15"/>
        <v>2709</v>
      </c>
      <c r="C90" s="466">
        <f t="shared" si="16"/>
        <v>26</v>
      </c>
      <c r="D90" s="468"/>
      <c r="E90" s="468"/>
      <c r="F90" s="451"/>
      <c r="G90" s="451"/>
      <c r="H90" s="451"/>
      <c r="I90" s="443">
        <f t="shared" si="8"/>
        <v>2709</v>
      </c>
      <c r="J90" s="469"/>
      <c r="K90" s="469"/>
      <c r="L90" s="445">
        <f t="shared" si="14"/>
        <v>-33</v>
      </c>
    </row>
    <row r="91" spans="1:12" ht="15" customHeight="1">
      <c r="A91" s="465">
        <f t="shared" si="11"/>
        <v>2032</v>
      </c>
      <c r="B91" s="437">
        <f t="shared" si="15"/>
        <v>2676</v>
      </c>
      <c r="C91" s="466">
        <f t="shared" si="16"/>
        <v>27</v>
      </c>
      <c r="D91" s="468"/>
      <c r="E91" s="468"/>
      <c r="F91" s="451"/>
      <c r="G91" s="451"/>
      <c r="H91" s="451"/>
      <c r="I91" s="443">
        <f t="shared" si="8"/>
        <v>2676</v>
      </c>
      <c r="J91" s="469"/>
      <c r="K91" s="469"/>
      <c r="L91" s="445">
        <f t="shared" si="14"/>
        <v>-33</v>
      </c>
    </row>
    <row r="92" spans="1:12" ht="15" customHeight="1">
      <c r="A92" s="465">
        <f t="shared" si="11"/>
        <v>2033</v>
      </c>
      <c r="B92" s="437">
        <f t="shared" si="15"/>
        <v>2643</v>
      </c>
      <c r="C92" s="466">
        <f t="shared" si="16"/>
        <v>28</v>
      </c>
      <c r="D92" s="468"/>
      <c r="E92" s="468"/>
      <c r="F92" s="451"/>
      <c r="G92" s="451"/>
      <c r="H92" s="451"/>
      <c r="I92" s="443">
        <f t="shared" si="8"/>
        <v>2643</v>
      </c>
      <c r="J92" s="469"/>
      <c r="K92" s="469"/>
      <c r="L92" s="445">
        <f t="shared" si="14"/>
        <v>-33</v>
      </c>
    </row>
    <row r="93" spans="1:12" ht="15" customHeight="1">
      <c r="A93" s="465">
        <f t="shared" si="11"/>
        <v>2034</v>
      </c>
      <c r="B93" s="437">
        <f t="shared" si="15"/>
        <v>2610</v>
      </c>
      <c r="C93" s="466">
        <f t="shared" si="16"/>
        <v>29</v>
      </c>
      <c r="D93" s="468"/>
      <c r="E93" s="468"/>
      <c r="F93" s="451"/>
      <c r="G93" s="451"/>
      <c r="H93" s="451"/>
      <c r="I93" s="443">
        <f t="shared" si="8"/>
        <v>2610</v>
      </c>
      <c r="J93" s="469"/>
      <c r="K93" s="469"/>
      <c r="L93" s="445">
        <f t="shared" si="14"/>
        <v>-33</v>
      </c>
    </row>
    <row r="94" spans="1:12" ht="15" customHeight="1">
      <c r="A94" s="470">
        <f t="shared" si="11"/>
        <v>2035</v>
      </c>
      <c r="B94" s="471">
        <f t="shared" si="15"/>
        <v>2577</v>
      </c>
      <c r="C94" s="472">
        <f t="shared" si="16"/>
        <v>30</v>
      </c>
      <c r="D94" s="473"/>
      <c r="E94" s="473"/>
      <c r="F94" s="474"/>
      <c r="G94" s="474"/>
      <c r="H94" s="474"/>
      <c r="I94" s="471">
        <f t="shared" si="8"/>
        <v>2577</v>
      </c>
      <c r="J94" s="475"/>
      <c r="K94" s="476"/>
      <c r="L94" s="445">
        <f t="shared" si="14"/>
        <v>-33</v>
      </c>
    </row>
    <row r="95" spans="1:12" ht="15" customHeight="1">
      <c r="A95" s="477">
        <f t="shared" si="11"/>
        <v>2036</v>
      </c>
      <c r="B95" s="478">
        <f t="shared" si="15"/>
        <v>2543</v>
      </c>
      <c r="C95" s="479">
        <v>31</v>
      </c>
      <c r="D95" s="480"/>
      <c r="E95" s="480"/>
      <c r="F95" s="481"/>
      <c r="G95" s="481"/>
      <c r="H95" s="481"/>
      <c r="I95" s="478">
        <f t="shared" si="8"/>
        <v>2543</v>
      </c>
      <c r="J95" s="482"/>
      <c r="K95" s="483"/>
      <c r="L95" s="445">
        <f t="shared" si="14"/>
        <v>-34</v>
      </c>
    </row>
    <row r="96" spans="1:12" ht="15" customHeight="1">
      <c r="A96" s="477">
        <f t="shared" si="11"/>
        <v>2037</v>
      </c>
      <c r="B96" s="478">
        <f t="shared" si="15"/>
        <v>2510</v>
      </c>
      <c r="C96" s="479">
        <v>32</v>
      </c>
      <c r="D96" s="480"/>
      <c r="E96" s="480"/>
      <c r="F96" s="481"/>
      <c r="G96" s="481"/>
      <c r="H96" s="481"/>
      <c r="I96" s="478">
        <f t="shared" si="8"/>
        <v>2510</v>
      </c>
      <c r="J96" s="482"/>
      <c r="K96" s="483"/>
      <c r="L96" s="445">
        <f t="shared" si="14"/>
        <v>-33</v>
      </c>
    </row>
    <row r="97" spans="1:13" ht="15" customHeight="1">
      <c r="A97" s="484">
        <f t="shared" si="11"/>
        <v>2038</v>
      </c>
      <c r="B97" s="485">
        <f t="shared" si="15"/>
        <v>2477</v>
      </c>
      <c r="C97" s="486">
        <v>33</v>
      </c>
      <c r="D97" s="487"/>
      <c r="E97" s="487"/>
      <c r="F97" s="488"/>
      <c r="G97" s="488"/>
      <c r="H97" s="488"/>
      <c r="I97" s="485">
        <f t="shared" si="8"/>
        <v>2477</v>
      </c>
      <c r="J97" s="489"/>
      <c r="K97" s="490"/>
      <c r="L97" s="445">
        <f t="shared" si="14"/>
        <v>-33</v>
      </c>
    </row>
    <row r="98" spans="1:13" ht="15" customHeight="1">
      <c r="A98" s="491"/>
      <c r="B98" s="492"/>
      <c r="C98" s="439"/>
      <c r="D98" s="468"/>
      <c r="E98" s="468"/>
      <c r="F98" s="451"/>
      <c r="G98" s="451"/>
      <c r="H98" s="451"/>
      <c r="I98" s="492"/>
      <c r="J98" s="493"/>
      <c r="K98" s="493"/>
      <c r="L98" s="445"/>
    </row>
    <row r="99" spans="1:13" ht="15" customHeight="1">
      <c r="A99" s="491"/>
      <c r="B99" s="492"/>
      <c r="C99" s="439"/>
      <c r="D99" s="468"/>
      <c r="E99" s="468"/>
      <c r="F99" s="451"/>
      <c r="G99" s="451"/>
      <c r="H99" s="451"/>
      <c r="I99" s="492"/>
      <c r="J99" s="493"/>
      <c r="K99" s="493"/>
      <c r="L99" s="445"/>
    </row>
    <row r="100" spans="1:13" ht="15" customHeight="1">
      <c r="A100" s="491"/>
      <c r="B100" s="492"/>
      <c r="C100" s="439"/>
      <c r="D100" s="468"/>
      <c r="E100" s="468"/>
      <c r="F100" s="451"/>
      <c r="G100" s="451"/>
      <c r="H100" s="451"/>
      <c r="I100" s="492"/>
      <c r="J100" s="493"/>
      <c r="K100" s="493"/>
      <c r="L100" s="445"/>
    </row>
    <row r="101" spans="1:13" ht="15" customHeight="1">
      <c r="A101" s="491"/>
      <c r="B101" s="494"/>
      <c r="C101" s="439"/>
      <c r="D101" s="468"/>
      <c r="E101" s="468"/>
      <c r="F101" s="451"/>
      <c r="G101" s="451"/>
      <c r="H101" s="451"/>
      <c r="I101" s="495"/>
      <c r="J101" s="495"/>
    </row>
    <row r="102" spans="1:13" ht="15" customHeight="1">
      <c r="A102" s="424" t="s">
        <v>296</v>
      </c>
    </row>
    <row r="103" spans="1:13" ht="15" customHeight="1">
      <c r="A103" s="427" t="s">
        <v>264</v>
      </c>
      <c r="B103" s="428" t="s">
        <v>286</v>
      </c>
      <c r="C103" s="429" t="s">
        <v>297</v>
      </c>
      <c r="D103" s="429" t="s">
        <v>287</v>
      </c>
      <c r="E103" s="496"/>
      <c r="F103" s="430"/>
      <c r="G103" s="431"/>
      <c r="H103" s="432" t="s">
        <v>288</v>
      </c>
      <c r="I103" s="433">
        <f>RSQ(I104:I114,B104:B114)</f>
        <v>0.93479475379714805</v>
      </c>
      <c r="J103" s="434" t="s">
        <v>289</v>
      </c>
      <c r="K103" s="435" t="s">
        <v>290</v>
      </c>
    </row>
    <row r="104" spans="1:13" ht="15" customHeight="1">
      <c r="A104" s="436">
        <f t="shared" ref="A104:B119" si="17">A65</f>
        <v>2006</v>
      </c>
      <c r="B104" s="437">
        <f t="shared" si="17"/>
        <v>3499</v>
      </c>
      <c r="C104" s="497">
        <f t="shared" ref="C104:C114" si="18">LN(B104)</f>
        <v>8.1602324923676886</v>
      </c>
      <c r="D104" s="438">
        <f>C65</f>
        <v>1</v>
      </c>
      <c r="E104" s="498" t="s">
        <v>298</v>
      </c>
      <c r="F104" s="499"/>
      <c r="G104" s="500"/>
      <c r="H104" s="501"/>
      <c r="I104" s="502">
        <f t="shared" ref="I104:I136" si="19">ROUND($F$111*(1+$F$112)^D104,$G$1)</f>
        <v>3540</v>
      </c>
      <c r="J104" s="444">
        <f t="shared" ref="J104:J114" si="20">ABS(B104-I104)/B104*100</f>
        <v>1.1717633609602742</v>
      </c>
      <c r="K104" s="443">
        <f t="shared" ref="K104:K114" si="21">(B104-I104)^2/1000</f>
        <v>1.681</v>
      </c>
      <c r="L104" s="503"/>
    </row>
    <row r="105" spans="1:13" ht="15" customHeight="1">
      <c r="A105" s="436">
        <f t="shared" si="17"/>
        <v>2007</v>
      </c>
      <c r="B105" s="437">
        <f t="shared" si="17"/>
        <v>3500</v>
      </c>
      <c r="C105" s="497">
        <f>LN(B105)</f>
        <v>8.1605182474775049</v>
      </c>
      <c r="D105" s="438">
        <f t="shared" ref="D105:D136" si="22">D104+1</f>
        <v>2</v>
      </c>
      <c r="E105" s="498" t="s">
        <v>299</v>
      </c>
      <c r="F105" s="439"/>
      <c r="G105" s="500"/>
      <c r="H105" s="501"/>
      <c r="I105" s="443">
        <f t="shared" si="19"/>
        <v>3505</v>
      </c>
      <c r="J105" s="446">
        <f t="shared" si="20"/>
        <v>0.14285714285714285</v>
      </c>
      <c r="K105" s="443">
        <f t="shared" si="21"/>
        <v>2.5000000000000001E-2</v>
      </c>
      <c r="L105" s="503">
        <f>ROUND((I105/I104)^(1/1)-1,4)</f>
        <v>-9.9000000000000008E-3</v>
      </c>
    </row>
    <row r="106" spans="1:13" ht="15" customHeight="1">
      <c r="A106" s="436">
        <f t="shared" si="17"/>
        <v>2008</v>
      </c>
      <c r="B106" s="437">
        <f t="shared" si="17"/>
        <v>3493</v>
      </c>
      <c r="C106" s="497">
        <f>LN(B106)</f>
        <v>8.1585162448068314</v>
      </c>
      <c r="D106" s="438">
        <f t="shared" si="22"/>
        <v>3</v>
      </c>
      <c r="E106" s="326" t="s">
        <v>300</v>
      </c>
      <c r="G106" s="451"/>
      <c r="H106" s="442"/>
      <c r="I106" s="443">
        <f t="shared" si="19"/>
        <v>3471</v>
      </c>
      <c r="J106" s="446">
        <f t="shared" si="20"/>
        <v>0.62983109075293453</v>
      </c>
      <c r="K106" s="443">
        <f t="shared" si="21"/>
        <v>0.48399999999999999</v>
      </c>
      <c r="L106" s="503">
        <f t="shared" ref="L106:L136" si="23">ROUND((I106/I105)^(1/1)-1,4)</f>
        <v>-9.7000000000000003E-3</v>
      </c>
      <c r="M106" s="503"/>
    </row>
    <row r="107" spans="1:13" ht="15" customHeight="1">
      <c r="A107" s="436">
        <f t="shared" si="17"/>
        <v>2009</v>
      </c>
      <c r="B107" s="437">
        <f t="shared" si="17"/>
        <v>3452</v>
      </c>
      <c r="C107" s="497">
        <f t="shared" si="18"/>
        <v>8.1467090522033185</v>
      </c>
      <c r="D107" s="438">
        <f t="shared" si="22"/>
        <v>4</v>
      </c>
      <c r="G107" s="451"/>
      <c r="H107" s="442"/>
      <c r="I107" s="443">
        <f t="shared" si="19"/>
        <v>3437</v>
      </c>
      <c r="J107" s="446">
        <f t="shared" si="20"/>
        <v>0.43453070683661649</v>
      </c>
      <c r="K107" s="443">
        <f t="shared" si="21"/>
        <v>0.22500000000000001</v>
      </c>
      <c r="L107" s="503">
        <f t="shared" si="23"/>
        <v>-9.7999999999999997E-3</v>
      </c>
      <c r="M107" s="503"/>
    </row>
    <row r="108" spans="1:13" ht="15" customHeight="1">
      <c r="A108" s="436">
        <f t="shared" si="17"/>
        <v>2010</v>
      </c>
      <c r="B108" s="437">
        <f t="shared" si="17"/>
        <v>3452</v>
      </c>
      <c r="C108" s="497">
        <f t="shared" si="18"/>
        <v>8.1467090522033185</v>
      </c>
      <c r="D108" s="438">
        <f t="shared" si="22"/>
        <v>5</v>
      </c>
      <c r="E108" s="329" t="s">
        <v>301</v>
      </c>
      <c r="F108" s="442" t="s">
        <v>302</v>
      </c>
      <c r="G108" s="504">
        <f>INDEX(LINEST(C104:C114,D104:D114),2)</f>
        <v>8.1817127043058484</v>
      </c>
      <c r="H108" s="442"/>
      <c r="I108" s="443">
        <f t="shared" si="19"/>
        <v>3403</v>
      </c>
      <c r="J108" s="446">
        <f t="shared" si="20"/>
        <v>1.4194669756662803</v>
      </c>
      <c r="K108" s="443">
        <f t="shared" si="21"/>
        <v>2.4009999999999998</v>
      </c>
      <c r="L108" s="503">
        <f t="shared" si="23"/>
        <v>-9.9000000000000008E-3</v>
      </c>
      <c r="M108" s="503"/>
    </row>
    <row r="109" spans="1:13" ht="15" customHeight="1">
      <c r="A109" s="436">
        <f t="shared" si="17"/>
        <v>2011</v>
      </c>
      <c r="B109" s="437">
        <f t="shared" si="17"/>
        <v>3386</v>
      </c>
      <c r="C109" s="497">
        <f t="shared" si="18"/>
        <v>8.12740456269308</v>
      </c>
      <c r="D109" s="438">
        <f t="shared" si="22"/>
        <v>6</v>
      </c>
      <c r="E109" s="329" t="s">
        <v>303</v>
      </c>
      <c r="F109" s="442" t="s">
        <v>304</v>
      </c>
      <c r="G109" s="504">
        <f>INDEX(LINEST(C104:C114,D104:D114),1)</f>
        <v>-9.8460695371137483E-3</v>
      </c>
      <c r="H109" s="442"/>
      <c r="I109" s="443">
        <f t="shared" si="19"/>
        <v>3370</v>
      </c>
      <c r="J109" s="446">
        <f t="shared" si="20"/>
        <v>0.47253396337861786</v>
      </c>
      <c r="K109" s="443">
        <f t="shared" si="21"/>
        <v>0.25600000000000001</v>
      </c>
      <c r="L109" s="503">
        <f t="shared" si="23"/>
        <v>-9.7000000000000003E-3</v>
      </c>
      <c r="M109" s="503"/>
    </row>
    <row r="110" spans="1:13" ht="15" customHeight="1">
      <c r="A110" s="436">
        <f t="shared" si="17"/>
        <v>2012</v>
      </c>
      <c r="B110" s="437">
        <f t="shared" si="17"/>
        <v>3321</v>
      </c>
      <c r="C110" s="497">
        <f t="shared" si="18"/>
        <v>8.1080212213767471</v>
      </c>
      <c r="D110" s="438">
        <f t="shared" si="22"/>
        <v>7</v>
      </c>
      <c r="H110" s="442"/>
      <c r="I110" s="443">
        <f t="shared" si="19"/>
        <v>3337</v>
      </c>
      <c r="J110" s="446">
        <f t="shared" si="20"/>
        <v>0.48178259560373382</v>
      </c>
      <c r="K110" s="443">
        <f t="shared" si="21"/>
        <v>0.25600000000000001</v>
      </c>
      <c r="L110" s="503">
        <f t="shared" si="23"/>
        <v>-9.7999999999999997E-3</v>
      </c>
      <c r="M110" s="503"/>
    </row>
    <row r="111" spans="1:13" ht="15" customHeight="1">
      <c r="A111" s="436">
        <f t="shared" si="17"/>
        <v>2013</v>
      </c>
      <c r="B111" s="437">
        <f t="shared" si="17"/>
        <v>3291</v>
      </c>
      <c r="C111" s="497">
        <f t="shared" si="18"/>
        <v>8.0989467489433391</v>
      </c>
      <c r="D111" s="438">
        <f t="shared" si="22"/>
        <v>8</v>
      </c>
      <c r="E111" s="329" t="s">
        <v>305</v>
      </c>
      <c r="F111" s="505">
        <f>EXP(G108)</f>
        <v>3574.9722909178063</v>
      </c>
      <c r="G111" s="451"/>
      <c r="H111" s="442"/>
      <c r="I111" s="443">
        <f t="shared" si="19"/>
        <v>3304</v>
      </c>
      <c r="J111" s="446">
        <f t="shared" si="20"/>
        <v>0.39501671224551804</v>
      </c>
      <c r="K111" s="443">
        <f t="shared" si="21"/>
        <v>0.16900000000000001</v>
      </c>
      <c r="L111" s="503">
        <f t="shared" si="23"/>
        <v>-9.9000000000000008E-3</v>
      </c>
      <c r="M111" s="503"/>
    </row>
    <row r="112" spans="1:13" ht="15" customHeight="1">
      <c r="A112" s="436">
        <f t="shared" si="17"/>
        <v>2014</v>
      </c>
      <c r="B112" s="437">
        <f t="shared" si="17"/>
        <v>3233</v>
      </c>
      <c r="C112" s="506">
        <f t="shared" si="18"/>
        <v>8.0811657777254329</v>
      </c>
      <c r="D112" s="438">
        <f t="shared" si="22"/>
        <v>9</v>
      </c>
      <c r="E112" s="329" t="s">
        <v>306</v>
      </c>
      <c r="F112" s="507">
        <f>EXP(G109)-1</f>
        <v>-9.7977556916294395E-3</v>
      </c>
      <c r="G112" s="451"/>
      <c r="H112" s="442"/>
      <c r="I112" s="443">
        <f t="shared" si="19"/>
        <v>3272</v>
      </c>
      <c r="J112" s="467">
        <f t="shared" si="20"/>
        <v>1.2063099288586452</v>
      </c>
      <c r="K112" s="443">
        <f t="shared" si="21"/>
        <v>1.5209999999999999</v>
      </c>
      <c r="L112" s="503">
        <f t="shared" si="23"/>
        <v>-9.7000000000000003E-3</v>
      </c>
      <c r="M112" s="503"/>
    </row>
    <row r="113" spans="1:13" ht="15" customHeight="1">
      <c r="A113" s="436">
        <f t="shared" si="17"/>
        <v>2015</v>
      </c>
      <c r="B113" s="437">
        <f t="shared" si="17"/>
        <v>3221</v>
      </c>
      <c r="C113" s="506">
        <f t="shared" si="18"/>
        <v>8.0774471493311992</v>
      </c>
      <c r="D113" s="508">
        <f t="shared" si="22"/>
        <v>10</v>
      </c>
      <c r="H113" s="509"/>
      <c r="I113" s="443">
        <f t="shared" si="19"/>
        <v>3240</v>
      </c>
      <c r="J113" s="467">
        <f t="shared" si="20"/>
        <v>0.58987891959018934</v>
      </c>
      <c r="K113" s="443">
        <f t="shared" si="21"/>
        <v>0.36099999999999999</v>
      </c>
      <c r="L113" s="503">
        <f t="shared" si="23"/>
        <v>-9.7999999999999997E-3</v>
      </c>
      <c r="M113" s="503"/>
    </row>
    <row r="114" spans="1:13" ht="15" customHeight="1" thickBot="1">
      <c r="A114" s="436">
        <f t="shared" si="17"/>
        <v>2016</v>
      </c>
      <c r="B114" s="437">
        <f t="shared" si="17"/>
        <v>3240</v>
      </c>
      <c r="C114" s="506">
        <f t="shared" si="18"/>
        <v>8.0833286087863758</v>
      </c>
      <c r="D114" s="508">
        <f t="shared" si="22"/>
        <v>11</v>
      </c>
      <c r="G114" s="510"/>
      <c r="H114" s="509"/>
      <c r="I114" s="443">
        <f t="shared" si="19"/>
        <v>3208</v>
      </c>
      <c r="J114" s="467">
        <f t="shared" si="20"/>
        <v>0.98765432098765427</v>
      </c>
      <c r="K114" s="443">
        <f t="shared" si="21"/>
        <v>1.024</v>
      </c>
      <c r="L114" s="503">
        <f t="shared" si="23"/>
        <v>-9.9000000000000008E-3</v>
      </c>
      <c r="M114" s="503"/>
    </row>
    <row r="115" spans="1:13" ht="15" customHeight="1" thickTop="1">
      <c r="A115" s="511">
        <f t="shared" si="17"/>
        <v>2017</v>
      </c>
      <c r="B115" s="459">
        <f t="shared" ref="B115:B136" si="24">ROUND($F$111*(1+$F$112)^D115,$G$1)</f>
        <v>3177</v>
      </c>
      <c r="C115" s="512"/>
      <c r="D115" s="513">
        <f t="shared" si="22"/>
        <v>12</v>
      </c>
      <c r="E115" s="2314" t="s">
        <v>276</v>
      </c>
      <c r="F115" s="2315"/>
      <c r="G115" s="514">
        <f>I103</f>
        <v>0.93479475379714805</v>
      </c>
      <c r="H115" s="515"/>
      <c r="I115" s="464">
        <f t="shared" si="19"/>
        <v>3177</v>
      </c>
      <c r="J115" s="463"/>
      <c r="K115" s="464"/>
      <c r="L115" s="503">
        <f t="shared" si="23"/>
        <v>-9.7000000000000003E-3</v>
      </c>
      <c r="M115" s="503"/>
    </row>
    <row r="116" spans="1:13" ht="15" customHeight="1">
      <c r="A116" s="436">
        <f t="shared" si="17"/>
        <v>2018</v>
      </c>
      <c r="B116" s="437">
        <f t="shared" si="24"/>
        <v>3145</v>
      </c>
      <c r="C116" s="506"/>
      <c r="D116" s="508">
        <f t="shared" si="22"/>
        <v>13</v>
      </c>
      <c r="E116" s="2318" t="s">
        <v>294</v>
      </c>
      <c r="F116" s="2320"/>
      <c r="G116" s="448">
        <f>SUM(K104:K114)</f>
        <v>8.4029999999999987</v>
      </c>
      <c r="H116" s="509"/>
      <c r="I116" s="443">
        <f t="shared" si="19"/>
        <v>3145</v>
      </c>
      <c r="J116" s="467"/>
      <c r="K116" s="443"/>
      <c r="L116" s="503">
        <f t="shared" si="23"/>
        <v>-1.01E-2</v>
      </c>
      <c r="M116" s="503"/>
    </row>
    <row r="117" spans="1:13" ht="15" customHeight="1">
      <c r="A117" s="436">
        <f t="shared" si="17"/>
        <v>2019</v>
      </c>
      <c r="B117" s="437">
        <f t="shared" si="24"/>
        <v>3115</v>
      </c>
      <c r="C117" s="506"/>
      <c r="D117" s="508">
        <f t="shared" si="22"/>
        <v>14</v>
      </c>
      <c r="E117" s="2318" t="s">
        <v>278</v>
      </c>
      <c r="F117" s="2320"/>
      <c r="G117" s="449">
        <f>SUM(J104:J114)/D114</f>
        <v>0.72105688343069152</v>
      </c>
      <c r="H117" s="509"/>
      <c r="I117" s="443">
        <f t="shared" si="19"/>
        <v>3115</v>
      </c>
      <c r="J117" s="467"/>
      <c r="K117" s="443"/>
      <c r="L117" s="503">
        <f t="shared" si="23"/>
        <v>-9.4999999999999998E-3</v>
      </c>
      <c r="M117" s="503"/>
    </row>
    <row r="118" spans="1:13" ht="15" customHeight="1">
      <c r="A118" s="436">
        <f t="shared" si="17"/>
        <v>2020</v>
      </c>
      <c r="B118" s="437">
        <f t="shared" si="24"/>
        <v>3084</v>
      </c>
      <c r="C118" s="506"/>
      <c r="D118" s="508">
        <f t="shared" si="22"/>
        <v>15</v>
      </c>
      <c r="H118" s="509"/>
      <c r="I118" s="443">
        <f t="shared" si="19"/>
        <v>3084</v>
      </c>
      <c r="J118" s="467"/>
      <c r="K118" s="443"/>
      <c r="L118" s="503">
        <f t="shared" si="23"/>
        <v>-0.01</v>
      </c>
      <c r="M118" s="503"/>
    </row>
    <row r="119" spans="1:13" ht="15" customHeight="1">
      <c r="A119" s="436">
        <f t="shared" si="17"/>
        <v>2021</v>
      </c>
      <c r="B119" s="437">
        <f t="shared" si="24"/>
        <v>3054</v>
      </c>
      <c r="C119" s="506"/>
      <c r="D119" s="508">
        <f t="shared" si="22"/>
        <v>16</v>
      </c>
      <c r="E119" s="451"/>
      <c r="F119" s="451"/>
      <c r="G119" s="451"/>
      <c r="H119" s="509"/>
      <c r="I119" s="443">
        <f t="shared" si="19"/>
        <v>3054</v>
      </c>
      <c r="J119" s="467"/>
      <c r="K119" s="443"/>
      <c r="L119" s="503">
        <f t="shared" si="23"/>
        <v>-9.7000000000000003E-3</v>
      </c>
      <c r="M119" s="503"/>
    </row>
    <row r="120" spans="1:13" ht="15" customHeight="1">
      <c r="A120" s="436">
        <f t="shared" ref="A120:A136" si="25">A81</f>
        <v>2022</v>
      </c>
      <c r="B120" s="437">
        <f t="shared" si="24"/>
        <v>3024</v>
      </c>
      <c r="C120" s="506"/>
      <c r="D120" s="508">
        <f t="shared" si="22"/>
        <v>17</v>
      </c>
      <c r="E120" s="516"/>
      <c r="F120" s="517"/>
      <c r="G120" s="509"/>
      <c r="H120" s="509"/>
      <c r="I120" s="443">
        <f t="shared" si="19"/>
        <v>3024</v>
      </c>
      <c r="J120" s="467"/>
      <c r="K120" s="443"/>
      <c r="L120" s="503">
        <f t="shared" si="23"/>
        <v>-9.7999999999999997E-3</v>
      </c>
      <c r="M120" s="503"/>
    </row>
    <row r="121" spans="1:13" ht="15" customHeight="1">
      <c r="A121" s="436">
        <f t="shared" si="25"/>
        <v>2023</v>
      </c>
      <c r="B121" s="437">
        <f t="shared" si="24"/>
        <v>2994</v>
      </c>
      <c r="C121" s="506"/>
      <c r="D121" s="508">
        <f t="shared" si="22"/>
        <v>18</v>
      </c>
      <c r="E121" s="509"/>
      <c r="F121" s="509"/>
      <c r="G121" s="518"/>
      <c r="H121" s="509"/>
      <c r="I121" s="443">
        <f t="shared" si="19"/>
        <v>2994</v>
      </c>
      <c r="J121" s="467"/>
      <c r="K121" s="443"/>
      <c r="L121" s="503">
        <f t="shared" si="23"/>
        <v>-9.9000000000000008E-3</v>
      </c>
      <c r="M121" s="503"/>
    </row>
    <row r="122" spans="1:13" s="451" customFormat="1" ht="15" customHeight="1">
      <c r="A122" s="436">
        <f t="shared" si="25"/>
        <v>2024</v>
      </c>
      <c r="B122" s="437">
        <f t="shared" si="24"/>
        <v>2965</v>
      </c>
      <c r="C122" s="506"/>
      <c r="D122" s="508">
        <f t="shared" si="22"/>
        <v>19</v>
      </c>
      <c r="G122" s="518"/>
      <c r="H122" s="509"/>
      <c r="I122" s="443">
        <f t="shared" si="19"/>
        <v>2965</v>
      </c>
      <c r="J122" s="467"/>
      <c r="K122" s="443"/>
      <c r="L122" s="503">
        <f t="shared" si="23"/>
        <v>-9.7000000000000003E-3</v>
      </c>
      <c r="M122" s="503"/>
    </row>
    <row r="123" spans="1:13" ht="15" customHeight="1">
      <c r="A123" s="436">
        <f t="shared" si="25"/>
        <v>2025</v>
      </c>
      <c r="B123" s="437">
        <f t="shared" si="24"/>
        <v>2936</v>
      </c>
      <c r="C123" s="506"/>
      <c r="D123" s="508">
        <f t="shared" si="22"/>
        <v>20</v>
      </c>
      <c r="E123" s="519"/>
      <c r="F123" s="451"/>
      <c r="G123" s="451"/>
      <c r="H123" s="451"/>
      <c r="I123" s="443">
        <f t="shared" si="19"/>
        <v>2936</v>
      </c>
      <c r="J123" s="467"/>
      <c r="K123" s="443"/>
      <c r="L123" s="503">
        <f t="shared" si="23"/>
        <v>-9.7999999999999997E-3</v>
      </c>
      <c r="M123" s="503"/>
    </row>
    <row r="124" spans="1:13" s="451" customFormat="1" ht="15" customHeight="1">
      <c r="A124" s="436">
        <f t="shared" si="25"/>
        <v>2026</v>
      </c>
      <c r="B124" s="437">
        <f t="shared" si="24"/>
        <v>2907</v>
      </c>
      <c r="C124" s="506"/>
      <c r="D124" s="508">
        <f t="shared" si="22"/>
        <v>21</v>
      </c>
      <c r="E124" s="519"/>
      <c r="I124" s="443">
        <f t="shared" si="19"/>
        <v>2907</v>
      </c>
      <c r="J124" s="467"/>
      <c r="K124" s="443"/>
      <c r="L124" s="503">
        <f t="shared" si="23"/>
        <v>-9.9000000000000008E-3</v>
      </c>
      <c r="M124" s="503"/>
    </row>
    <row r="125" spans="1:13" s="451" customFormat="1" ht="15" customHeight="1">
      <c r="A125" s="436">
        <f t="shared" si="25"/>
        <v>2027</v>
      </c>
      <c r="B125" s="437">
        <f t="shared" si="24"/>
        <v>2879</v>
      </c>
      <c r="C125" s="506"/>
      <c r="D125" s="508">
        <f t="shared" si="22"/>
        <v>22</v>
      </c>
      <c r="E125" s="519"/>
      <c r="I125" s="443">
        <f t="shared" si="19"/>
        <v>2879</v>
      </c>
      <c r="J125" s="467"/>
      <c r="K125" s="443"/>
      <c r="L125" s="503">
        <f t="shared" si="23"/>
        <v>-9.5999999999999992E-3</v>
      </c>
      <c r="M125" s="503"/>
    </row>
    <row r="126" spans="1:13" ht="15" customHeight="1">
      <c r="A126" s="436">
        <f t="shared" si="25"/>
        <v>2028</v>
      </c>
      <c r="B126" s="437">
        <f t="shared" si="24"/>
        <v>2851</v>
      </c>
      <c r="C126" s="520"/>
      <c r="D126" s="508">
        <f t="shared" si="22"/>
        <v>23</v>
      </c>
      <c r="E126" s="521"/>
      <c r="F126" s="468"/>
      <c r="G126" s="451"/>
      <c r="H126" s="451"/>
      <c r="I126" s="443">
        <f t="shared" si="19"/>
        <v>2851</v>
      </c>
      <c r="J126" s="469"/>
      <c r="K126" s="469"/>
      <c r="L126" s="503">
        <f t="shared" si="23"/>
        <v>-9.7000000000000003E-3</v>
      </c>
      <c r="M126" s="503"/>
    </row>
    <row r="127" spans="1:13" ht="15" customHeight="1">
      <c r="A127" s="436">
        <f t="shared" si="25"/>
        <v>2029</v>
      </c>
      <c r="B127" s="437">
        <f t="shared" si="24"/>
        <v>2823</v>
      </c>
      <c r="C127" s="520"/>
      <c r="D127" s="508">
        <f t="shared" si="22"/>
        <v>24</v>
      </c>
      <c r="E127" s="521"/>
      <c r="F127" s="468"/>
      <c r="G127" s="451"/>
      <c r="H127" s="451"/>
      <c r="I127" s="443">
        <f t="shared" si="19"/>
        <v>2823</v>
      </c>
      <c r="J127" s="469"/>
      <c r="K127" s="469"/>
      <c r="L127" s="503">
        <f t="shared" si="23"/>
        <v>-9.7999999999999997E-3</v>
      </c>
      <c r="M127" s="503"/>
    </row>
    <row r="128" spans="1:13" ht="15" customHeight="1">
      <c r="A128" s="436">
        <f t="shared" si="25"/>
        <v>2030</v>
      </c>
      <c r="B128" s="437">
        <f t="shared" si="24"/>
        <v>2795</v>
      </c>
      <c r="C128" s="520"/>
      <c r="D128" s="508">
        <f t="shared" si="22"/>
        <v>25</v>
      </c>
      <c r="E128" s="521"/>
      <c r="F128" s="468"/>
      <c r="G128" s="451"/>
      <c r="H128" s="451"/>
      <c r="I128" s="443">
        <f t="shared" si="19"/>
        <v>2795</v>
      </c>
      <c r="J128" s="469"/>
      <c r="K128" s="469"/>
      <c r="L128" s="503">
        <f t="shared" si="23"/>
        <v>-9.9000000000000008E-3</v>
      </c>
      <c r="M128" s="503"/>
    </row>
    <row r="129" spans="1:102" ht="15" customHeight="1">
      <c r="A129" s="436">
        <f t="shared" si="25"/>
        <v>2031</v>
      </c>
      <c r="B129" s="437">
        <f t="shared" si="24"/>
        <v>2768</v>
      </c>
      <c r="C129" s="520"/>
      <c r="D129" s="508">
        <f t="shared" si="22"/>
        <v>26</v>
      </c>
      <c r="E129" s="521"/>
      <c r="F129" s="468"/>
      <c r="G129" s="451"/>
      <c r="H129" s="451"/>
      <c r="I129" s="443">
        <f t="shared" si="19"/>
        <v>2768</v>
      </c>
      <c r="J129" s="469"/>
      <c r="K129" s="469"/>
      <c r="L129" s="503">
        <f t="shared" si="23"/>
        <v>-9.7000000000000003E-3</v>
      </c>
      <c r="M129" s="503"/>
    </row>
    <row r="130" spans="1:102" ht="15" customHeight="1">
      <c r="A130" s="436">
        <f t="shared" si="25"/>
        <v>2032</v>
      </c>
      <c r="B130" s="437">
        <f t="shared" si="24"/>
        <v>2740</v>
      </c>
      <c r="C130" s="520"/>
      <c r="D130" s="508">
        <f t="shared" si="22"/>
        <v>27</v>
      </c>
      <c r="E130" s="521"/>
      <c r="F130" s="468"/>
      <c r="G130" s="451"/>
      <c r="H130" s="451"/>
      <c r="I130" s="443">
        <f t="shared" si="19"/>
        <v>2740</v>
      </c>
      <c r="J130" s="469"/>
      <c r="K130" s="469"/>
      <c r="L130" s="503">
        <f t="shared" si="23"/>
        <v>-1.01E-2</v>
      </c>
      <c r="M130" s="503"/>
    </row>
    <row r="131" spans="1:102" ht="15" customHeight="1">
      <c r="A131" s="436">
        <f t="shared" si="25"/>
        <v>2033</v>
      </c>
      <c r="B131" s="437">
        <f t="shared" si="24"/>
        <v>2714</v>
      </c>
      <c r="C131" s="520"/>
      <c r="D131" s="508">
        <f t="shared" si="22"/>
        <v>28</v>
      </c>
      <c r="E131" s="521"/>
      <c r="F131" s="468"/>
      <c r="G131" s="451"/>
      <c r="H131" s="451"/>
      <c r="I131" s="443">
        <f t="shared" si="19"/>
        <v>2714</v>
      </c>
      <c r="J131" s="469"/>
      <c r="K131" s="469"/>
      <c r="L131" s="503">
        <f t="shared" si="23"/>
        <v>-9.4999999999999998E-3</v>
      </c>
      <c r="M131" s="503"/>
    </row>
    <row r="132" spans="1:102" ht="15" customHeight="1">
      <c r="A132" s="436">
        <f t="shared" si="25"/>
        <v>2034</v>
      </c>
      <c r="B132" s="437">
        <f t="shared" si="24"/>
        <v>2687</v>
      </c>
      <c r="C132" s="520"/>
      <c r="D132" s="508">
        <f t="shared" si="22"/>
        <v>29</v>
      </c>
      <c r="E132" s="521"/>
      <c r="F132" s="468"/>
      <c r="G132" s="451"/>
      <c r="H132" s="451"/>
      <c r="I132" s="443">
        <f t="shared" si="19"/>
        <v>2687</v>
      </c>
      <c r="J132" s="469"/>
      <c r="K132" s="469"/>
      <c r="L132" s="503">
        <f t="shared" si="23"/>
        <v>-9.9000000000000008E-3</v>
      </c>
      <c r="M132" s="503"/>
    </row>
    <row r="133" spans="1:102" ht="15" customHeight="1">
      <c r="A133" s="522">
        <f t="shared" si="25"/>
        <v>2035</v>
      </c>
      <c r="B133" s="523">
        <f t="shared" si="24"/>
        <v>2661</v>
      </c>
      <c r="C133" s="524"/>
      <c r="D133" s="525">
        <f t="shared" si="22"/>
        <v>30</v>
      </c>
      <c r="E133" s="526"/>
      <c r="F133" s="527"/>
      <c r="G133" s="426"/>
      <c r="H133" s="426"/>
      <c r="I133" s="528">
        <f t="shared" si="19"/>
        <v>2661</v>
      </c>
      <c r="J133" s="529"/>
      <c r="K133" s="529"/>
      <c r="L133" s="503">
        <f t="shared" si="23"/>
        <v>-9.7000000000000003E-3</v>
      </c>
      <c r="M133" s="503"/>
    </row>
    <row r="134" spans="1:102" ht="15" customHeight="1">
      <c r="A134" s="522">
        <f t="shared" si="25"/>
        <v>2036</v>
      </c>
      <c r="B134" s="523">
        <f t="shared" si="24"/>
        <v>2635</v>
      </c>
      <c r="C134" s="524"/>
      <c r="D134" s="525">
        <f t="shared" si="22"/>
        <v>31</v>
      </c>
      <c r="E134" s="526"/>
      <c r="F134" s="527"/>
      <c r="G134" s="426"/>
      <c r="H134" s="426"/>
      <c r="I134" s="528">
        <f t="shared" si="19"/>
        <v>2635</v>
      </c>
      <c r="J134" s="529"/>
      <c r="K134" s="529"/>
      <c r="L134" s="503">
        <f t="shared" si="23"/>
        <v>-9.7999999999999997E-3</v>
      </c>
      <c r="M134" s="503"/>
    </row>
    <row r="135" spans="1:102" ht="15" customHeight="1">
      <c r="A135" s="522">
        <f t="shared" si="25"/>
        <v>2037</v>
      </c>
      <c r="B135" s="523">
        <f t="shared" si="24"/>
        <v>2609</v>
      </c>
      <c r="C135" s="524"/>
      <c r="D135" s="525">
        <f t="shared" si="22"/>
        <v>32</v>
      </c>
      <c r="E135" s="526"/>
      <c r="F135" s="527"/>
      <c r="G135" s="426"/>
      <c r="H135" s="426"/>
      <c r="I135" s="528">
        <f t="shared" si="19"/>
        <v>2609</v>
      </c>
      <c r="J135" s="529"/>
      <c r="K135" s="529"/>
      <c r="L135" s="503">
        <f t="shared" si="23"/>
        <v>-9.9000000000000008E-3</v>
      </c>
      <c r="M135" s="503"/>
    </row>
    <row r="136" spans="1:102" ht="15" customHeight="1">
      <c r="A136" s="522">
        <f t="shared" si="25"/>
        <v>2038</v>
      </c>
      <c r="B136" s="523">
        <f t="shared" si="24"/>
        <v>2583</v>
      </c>
      <c r="C136" s="524"/>
      <c r="D136" s="525">
        <f t="shared" si="22"/>
        <v>33</v>
      </c>
      <c r="E136" s="526"/>
      <c r="F136" s="527"/>
      <c r="G136" s="426"/>
      <c r="H136" s="426"/>
      <c r="I136" s="528">
        <f t="shared" si="19"/>
        <v>2583</v>
      </c>
      <c r="J136" s="529"/>
      <c r="K136" s="529"/>
      <c r="L136" s="503">
        <f t="shared" si="23"/>
        <v>-0.01</v>
      </c>
      <c r="M136" s="503"/>
    </row>
    <row r="137" spans="1:102" ht="15" customHeight="1">
      <c r="A137" s="491"/>
      <c r="B137" s="492"/>
      <c r="C137" s="451"/>
      <c r="D137" s="439"/>
      <c r="E137" s="530"/>
      <c r="F137" s="468"/>
      <c r="G137" s="451"/>
      <c r="H137" s="451"/>
      <c r="I137" s="492"/>
      <c r="J137" s="493"/>
      <c r="K137" s="493"/>
      <c r="L137" s="503"/>
      <c r="M137" s="503"/>
    </row>
    <row r="138" spans="1:102" ht="15" customHeight="1">
      <c r="A138" s="491"/>
      <c r="B138" s="492"/>
      <c r="C138" s="451"/>
      <c r="D138" s="439"/>
      <c r="E138" s="530"/>
      <c r="F138" s="468"/>
      <c r="G138" s="451"/>
      <c r="H138" s="451"/>
      <c r="I138" s="492"/>
      <c r="J138" s="493"/>
      <c r="K138" s="493"/>
      <c r="L138" s="503"/>
      <c r="M138" s="503"/>
    </row>
    <row r="139" spans="1:102" ht="15" customHeight="1">
      <c r="A139" s="491"/>
      <c r="B139" s="493"/>
      <c r="C139" s="451"/>
      <c r="D139" s="439"/>
      <c r="E139" s="530"/>
      <c r="F139" s="468"/>
      <c r="G139" s="451"/>
      <c r="H139" s="451"/>
      <c r="I139" s="531"/>
      <c r="J139" s="531"/>
    </row>
    <row r="140" spans="1:102" ht="15" customHeight="1">
      <c r="A140" s="424" t="s">
        <v>307</v>
      </c>
    </row>
    <row r="141" spans="1:102" ht="15" customHeight="1">
      <c r="A141" s="427" t="s">
        <v>264</v>
      </c>
      <c r="B141" s="428" t="s">
        <v>286</v>
      </c>
      <c r="C141" s="429" t="s">
        <v>308</v>
      </c>
      <c r="D141" s="429" t="s">
        <v>287</v>
      </c>
      <c r="E141" s="429" t="s">
        <v>309</v>
      </c>
      <c r="F141" s="496"/>
      <c r="G141" s="430"/>
      <c r="H141" s="432" t="s">
        <v>288</v>
      </c>
      <c r="I141" s="433">
        <f>RSQ(I142:I152,B142:B152)</f>
        <v>0.76298986897537846</v>
      </c>
      <c r="J141" s="434" t="s">
        <v>289</v>
      </c>
      <c r="K141" s="435" t="s">
        <v>290</v>
      </c>
      <c r="M141" s="532" t="s">
        <v>308</v>
      </c>
      <c r="N141" s="431"/>
      <c r="O141" s="432" t="s">
        <v>288</v>
      </c>
      <c r="P141" s="433">
        <f>RSQ($B142:$B152,Q142:Q152)</f>
        <v>0.76298986897537846</v>
      </c>
      <c r="Q141" s="434" t="s">
        <v>310</v>
      </c>
      <c r="R141" s="435" t="s">
        <v>290</v>
      </c>
      <c r="T141" s="532" t="s">
        <v>308</v>
      </c>
      <c r="U141" s="431"/>
      <c r="V141" s="432" t="s">
        <v>288</v>
      </c>
      <c r="W141" s="433">
        <f>RSQ($B142:$B152,X142:X152)</f>
        <v>0.76298986897537846</v>
      </c>
      <c r="X141" s="434" t="s">
        <v>310</v>
      </c>
      <c r="Y141" s="435" t="s">
        <v>290</v>
      </c>
      <c r="AA141" s="532" t="s">
        <v>308</v>
      </c>
      <c r="AB141" s="431"/>
      <c r="AC141" s="432" t="s">
        <v>288</v>
      </c>
      <c r="AD141" s="433">
        <f>RSQ($B142:$B152,AE142:AE152)</f>
        <v>0.76211820122704965</v>
      </c>
      <c r="AE141" s="434" t="s">
        <v>310</v>
      </c>
      <c r="AF141" s="435" t="s">
        <v>290</v>
      </c>
      <c r="AH141" s="532" t="s">
        <v>308</v>
      </c>
      <c r="AI141" s="431"/>
      <c r="AJ141" s="432" t="s">
        <v>288</v>
      </c>
      <c r="AK141" s="433">
        <f>RSQ($B142:$B152,AL142:AL152)</f>
        <v>0.76079156914708002</v>
      </c>
      <c r="AL141" s="434" t="s">
        <v>310</v>
      </c>
      <c r="AM141" s="435" t="s">
        <v>290</v>
      </c>
      <c r="AO141" s="532" t="s">
        <v>308</v>
      </c>
      <c r="AP141" s="431"/>
      <c r="AQ141" s="432" t="s">
        <v>288</v>
      </c>
      <c r="AR141" s="433">
        <f>RSQ($B142:$B152,AS142:AS152)</f>
        <v>0.76083884126297308</v>
      </c>
      <c r="AS141" s="434" t="s">
        <v>310</v>
      </c>
      <c r="AT141" s="435" t="s">
        <v>290</v>
      </c>
      <c r="AV141" s="532" t="s">
        <v>308</v>
      </c>
      <c r="AW141" s="431"/>
      <c r="AX141" s="432" t="s">
        <v>288</v>
      </c>
      <c r="AY141" s="433">
        <f>RSQ($B142:$B152,AZ142:AZ152)</f>
        <v>0.76083884126297308</v>
      </c>
      <c r="AZ141" s="434" t="s">
        <v>310</v>
      </c>
      <c r="BA141" s="435" t="s">
        <v>290</v>
      </c>
      <c r="BC141" s="532" t="s">
        <v>308</v>
      </c>
      <c r="BD141" s="431"/>
      <c r="BE141" s="432" t="s">
        <v>288</v>
      </c>
      <c r="BF141" s="433">
        <f>RSQ($B142:$B152,BG142:BG152)</f>
        <v>0.75992508317318608</v>
      </c>
      <c r="BG141" s="434" t="s">
        <v>310</v>
      </c>
      <c r="BH141" s="435" t="s">
        <v>290</v>
      </c>
      <c r="BJ141" s="532" t="s">
        <v>308</v>
      </c>
      <c r="BK141" s="431"/>
      <c r="BL141" s="432" t="s">
        <v>288</v>
      </c>
      <c r="BM141" s="433">
        <f>RSQ($B142:$B152,BN142:BN152)</f>
        <v>0.74773068833317813</v>
      </c>
      <c r="BN141" s="434" t="s">
        <v>310</v>
      </c>
      <c r="BO141" s="435" t="s">
        <v>290</v>
      </c>
      <c r="BQ141" s="532" t="s">
        <v>308</v>
      </c>
      <c r="BR141" s="431"/>
      <c r="BS141" s="432" t="s">
        <v>288</v>
      </c>
      <c r="BT141" s="433">
        <f>RSQ($B142:$B152,BU142:BU152)</f>
        <v>0.74243573013858022</v>
      </c>
      <c r="BU141" s="434" t="s">
        <v>310</v>
      </c>
      <c r="BV141" s="435" t="s">
        <v>290</v>
      </c>
      <c r="BX141" s="532" t="s">
        <v>308</v>
      </c>
      <c r="BY141" s="431"/>
      <c r="BZ141" s="432" t="s">
        <v>288</v>
      </c>
      <c r="CA141" s="433">
        <f>RSQ($B142:$B152,CB142:CB152)</f>
        <v>0.73056120176824235</v>
      </c>
      <c r="CB141" s="434" t="s">
        <v>310</v>
      </c>
      <c r="CC141" s="435" t="s">
        <v>290</v>
      </c>
      <c r="CE141" s="532" t="s">
        <v>308</v>
      </c>
      <c r="CF141" s="431"/>
      <c r="CG141" s="432" t="s">
        <v>288</v>
      </c>
      <c r="CH141" s="433">
        <f>RSQ($B142:$B152,CI142:CI152)</f>
        <v>0.66285455999560638</v>
      </c>
      <c r="CI141" s="434" t="s">
        <v>310</v>
      </c>
      <c r="CJ141" s="435" t="s">
        <v>290</v>
      </c>
      <c r="CL141" s="532" t="s">
        <v>308</v>
      </c>
      <c r="CM141" s="431"/>
      <c r="CN141" s="432" t="s">
        <v>288</v>
      </c>
      <c r="CO141" s="433" t="e">
        <f>RSQ($B142:$B152,CP142:CP152)</f>
        <v>#VALUE!</v>
      </c>
      <c r="CP141" s="434" t="s">
        <v>310</v>
      </c>
      <c r="CQ141" s="435" t="s">
        <v>290</v>
      </c>
      <c r="CS141" s="532" t="s">
        <v>308</v>
      </c>
      <c r="CT141" s="431"/>
      <c r="CU141" s="432" t="s">
        <v>288</v>
      </c>
      <c r="CV141" s="433" t="e">
        <f>RSQ($B142:$B152,CW142:CW152)</f>
        <v>#VALUE!</v>
      </c>
      <c r="CW141" s="434" t="s">
        <v>310</v>
      </c>
      <c r="CX141" s="435" t="s">
        <v>290</v>
      </c>
    </row>
    <row r="142" spans="1:102" ht="15" customHeight="1">
      <c r="A142" s="436">
        <f t="shared" ref="A142:B157" si="26">A104</f>
        <v>2006</v>
      </c>
      <c r="B142" s="437">
        <f t="shared" si="26"/>
        <v>3499</v>
      </c>
      <c r="C142" s="533">
        <f>LN(B142-$G$147)</f>
        <v>8.1458396129368413</v>
      </c>
      <c r="D142" s="438">
        <f t="shared" ref="D142:D174" si="27">C65</f>
        <v>1</v>
      </c>
      <c r="E142" s="534">
        <f>LN(D142)</f>
        <v>0</v>
      </c>
      <c r="F142" s="498" t="s">
        <v>311</v>
      </c>
      <c r="I142" s="502">
        <f t="shared" ref="I142:I174" si="28">ROUND($G$147+$G$150*D142^$G$148,$G$1)</f>
        <v>3590</v>
      </c>
      <c r="J142" s="444">
        <f t="shared" ref="J142:J152" si="29">ABS(B142-I142)/B142*100</f>
        <v>2.6007430694484137</v>
      </c>
      <c r="K142" s="535">
        <f>(B142-I142)^2/1000</f>
        <v>8.2810000000000006</v>
      </c>
      <c r="M142" s="536">
        <f>LN($B142-$O$144)</f>
        <v>8.1458396129368413</v>
      </c>
      <c r="N142" s="331"/>
      <c r="O142" s="331"/>
      <c r="P142" s="331"/>
      <c r="Q142" s="443">
        <f t="shared" ref="Q142:Q152" si="30">ROUND($O$147*D142^$O$145+$O$144,$G$1)</f>
        <v>3590</v>
      </c>
      <c r="R142" s="502">
        <f t="shared" ref="R142:R152" si="31">($B142-Q142)^2/1000</f>
        <v>8.2810000000000006</v>
      </c>
      <c r="T142" s="536">
        <f>LN($B142-$V$144)</f>
        <v>8.1312365496961156</v>
      </c>
      <c r="U142" s="331"/>
      <c r="V142" s="331"/>
      <c r="W142" s="331"/>
      <c r="X142" s="443">
        <f t="shared" ref="X142:X152" si="32">ROUND($V$147*D142^$V$145+$V$144,$G$1)</f>
        <v>3590</v>
      </c>
      <c r="Y142" s="502">
        <f t="shared" ref="Y142:Y152" si="33">($B142-X142)^2/1000</f>
        <v>8.2810000000000006</v>
      </c>
      <c r="AA142" s="536">
        <f>LN($B142-$AC$144)</f>
        <v>8.1013746712285819</v>
      </c>
      <c r="AB142" s="331"/>
      <c r="AC142" s="331"/>
      <c r="AD142" s="331"/>
      <c r="AE142" s="443">
        <f t="shared" ref="AE142:AE152" si="34">ROUND($AC$147*$D142^$AC$145+$AC$144,$G$1)</f>
        <v>3590</v>
      </c>
      <c r="AF142" s="502">
        <f t="shared" ref="AF142:AF152" si="35">($B142-AE142)^2/1000</f>
        <v>8.2810000000000006</v>
      </c>
      <c r="AH142" s="536">
        <f>LN($B142-$AJ$144)</f>
        <v>8.0705935399495186</v>
      </c>
      <c r="AI142" s="331"/>
      <c r="AJ142" s="331"/>
      <c r="AK142" s="331"/>
      <c r="AL142" s="443">
        <f t="shared" ref="AL142:AL152" si="36">ROUND($AJ$147*$D142^$AJ$145+$AJ$144,$G$1)</f>
        <v>3591</v>
      </c>
      <c r="AM142" s="502">
        <f t="shared" ref="AM142:AM152" si="37">($B142-AL142)^2/1000</f>
        <v>8.4640000000000004</v>
      </c>
      <c r="AO142" s="536">
        <f>LN($B142-$AQ$144)</f>
        <v>8.0388347577877486</v>
      </c>
      <c r="AP142" s="331"/>
      <c r="AQ142" s="331"/>
      <c r="AR142" s="331"/>
      <c r="AS142" s="443">
        <f t="shared" ref="AS142:AS152" si="38">ROUND($AQ$147*$D142^$AQ$145+$AQ$144,$G$1)</f>
        <v>3591</v>
      </c>
      <c r="AT142" s="502">
        <f t="shared" ref="AT142:AT152" si="39">($B142-AS142)^2/1000</f>
        <v>8.4640000000000004</v>
      </c>
      <c r="AV142" s="536">
        <f>LN($B142-$AX$144)</f>
        <v>8.0060341787490099</v>
      </c>
      <c r="AW142" s="331"/>
      <c r="AX142" s="331"/>
      <c r="AY142" s="331"/>
      <c r="AZ142" s="443">
        <f t="shared" ref="AZ142:AZ152" si="40">ROUND($AX$147*$D142^$AX$145+$AX$144,$G$1)</f>
        <v>3591</v>
      </c>
      <c r="BA142" s="502">
        <f t="shared" ref="BA142:BA152" si="41">($B142-AZ142)^2/1000</f>
        <v>8.4640000000000004</v>
      </c>
      <c r="BC142" s="536">
        <f>LN($B142-$BE$144)</f>
        <v>7.8236459308349522</v>
      </c>
      <c r="BD142" s="331"/>
      <c r="BE142" s="331"/>
      <c r="BF142" s="331"/>
      <c r="BG142" s="443">
        <f t="shared" ref="BG142:BG152" si="42">ROUND($BE$147*$D142^$BE$145+$BE$144,$G$1)</f>
        <v>3592</v>
      </c>
      <c r="BH142" s="502">
        <f t="shared" ref="BH142:BH152" si="43">($B142-BG142)^2/1000</f>
        <v>8.6489999999999991</v>
      </c>
      <c r="BJ142" s="536">
        <f>LN($B142-$BL$144)</f>
        <v>7.3125534981025977</v>
      </c>
      <c r="BK142" s="331"/>
      <c r="BL142" s="331"/>
      <c r="BM142" s="331"/>
      <c r="BN142" s="443">
        <f t="shared" ref="BN142:BN152" si="44">ROUND($BL$147*$D142^$BL$145+$BL$144,$G$1)</f>
        <v>3598</v>
      </c>
      <c r="BO142" s="502">
        <f t="shared" ref="BO142:BO152" si="45">($B142-BN142)^2/1000</f>
        <v>9.8010000000000002</v>
      </c>
      <c r="BQ142" s="536">
        <f>LN($B142-$BS$144)</f>
        <v>7.1693500166705997</v>
      </c>
      <c r="BR142" s="331"/>
      <c r="BS142" s="331"/>
      <c r="BT142" s="331"/>
      <c r="BU142" s="443">
        <f t="shared" ref="BU142:BU152" si="46">ROUND($BS$147*$D142^$BS$145+$BS$144,$G$1)</f>
        <v>3600</v>
      </c>
      <c r="BV142" s="502">
        <f t="shared" ref="BV142:BV152" si="47">($B142-BU142)^2/1000</f>
        <v>10.201000000000001</v>
      </c>
      <c r="BX142" s="536">
        <f>LN($B142-$BZ$144)</f>
        <v>6.9067547786485539</v>
      </c>
      <c r="BY142" s="331"/>
      <c r="BZ142" s="331"/>
      <c r="CA142" s="331"/>
      <c r="CB142" s="443">
        <f t="shared" ref="CB142:CB152" si="48">ROUND($BZ$147*$D142^$BZ$145+$BZ$144,$G$1)</f>
        <v>3606</v>
      </c>
      <c r="CC142" s="502">
        <f t="shared" ref="CC142:CC152" si="49">($B142-CB142)^2/1000</f>
        <v>11.449</v>
      </c>
      <c r="CE142" s="536">
        <f>LN($B142-$CG$144)</f>
        <v>6.2126060957515188</v>
      </c>
      <c r="CF142" s="331"/>
      <c r="CG142" s="331"/>
      <c r="CH142" s="331"/>
      <c r="CI142" s="443">
        <f t="shared" ref="CI142:CI152" si="50">ROUND($CG$147*$D142^$CG$145+$CG$144,$G$1)</f>
        <v>3644</v>
      </c>
      <c r="CJ142" s="502">
        <f t="shared" ref="CJ142:CJ152" si="51">($B142-CI142)^2/1000</f>
        <v>21.024999999999999</v>
      </c>
      <c r="CL142" s="536" t="e">
        <f>LN($B142-$CN$144)</f>
        <v>#NUM!</v>
      </c>
      <c r="CM142" s="331"/>
      <c r="CN142" s="331"/>
      <c r="CO142" s="331"/>
      <c r="CP142" s="443" t="e">
        <f t="shared" ref="CP142:CP152" si="52">ROUND($CN$147*$D142^$CN$145+$CN$144,$G$1)</f>
        <v>#VALUE!</v>
      </c>
      <c r="CQ142" s="502" t="e">
        <f t="shared" ref="CQ142:CQ152" si="53">($B142-CP142)^2/1000</f>
        <v>#VALUE!</v>
      </c>
      <c r="CS142" s="536" t="e">
        <f>LN($B142-$CU$144)</f>
        <v>#NUM!</v>
      </c>
      <c r="CT142" s="331"/>
      <c r="CU142" s="331"/>
      <c r="CV142" s="331"/>
      <c r="CW142" s="443" t="e">
        <f t="shared" ref="CW142:CW152" si="54">ROUND($CU$147*$D142^$CU$145+$CU$144,$G$1)</f>
        <v>#VALUE!</v>
      </c>
      <c r="CX142" s="502" t="e">
        <f t="shared" ref="CX142:CX152" si="55">($B142-CW142)^2/1000</f>
        <v>#VALUE!</v>
      </c>
    </row>
    <row r="143" spans="1:102" ht="15" customHeight="1">
      <c r="A143" s="436">
        <f t="shared" si="26"/>
        <v>2007</v>
      </c>
      <c r="B143" s="437">
        <f t="shared" si="26"/>
        <v>3500</v>
      </c>
      <c r="C143" s="533">
        <f>LN(B143-$G$147)</f>
        <v>8.1461295100254052</v>
      </c>
      <c r="D143" s="438">
        <f t="shared" si="27"/>
        <v>2</v>
      </c>
      <c r="E143" s="534">
        <f>LN(D143)</f>
        <v>0.69314718055994529</v>
      </c>
      <c r="F143" s="498"/>
      <c r="I143" s="443">
        <f t="shared" si="28"/>
        <v>3492</v>
      </c>
      <c r="J143" s="446">
        <f>ABS(B143-I143)/B143*100</f>
        <v>0.22857142857142859</v>
      </c>
      <c r="K143" s="535">
        <f>(B143-I143)^2/1000</f>
        <v>6.4000000000000001E-2</v>
      </c>
      <c r="M143" s="536">
        <f t="shared" ref="M143:M152" si="56">LN($B143-$O$144)</f>
        <v>8.1461295100254052</v>
      </c>
      <c r="N143" s="451"/>
      <c r="O143" s="451"/>
      <c r="P143" s="451"/>
      <c r="Q143" s="443">
        <f t="shared" si="30"/>
        <v>3492</v>
      </c>
      <c r="R143" s="443">
        <f t="shared" si="31"/>
        <v>6.4000000000000001E-2</v>
      </c>
      <c r="T143" s="536">
        <f t="shared" ref="T143:T152" si="57">LN($B143-$V$144)</f>
        <v>8.1315307106042525</v>
      </c>
      <c r="U143" s="451"/>
      <c r="V143" s="451"/>
      <c r="W143" s="451"/>
      <c r="X143" s="443">
        <f t="shared" si="32"/>
        <v>3492</v>
      </c>
      <c r="Y143" s="443">
        <f t="shared" si="33"/>
        <v>6.4000000000000001E-2</v>
      </c>
      <c r="AA143" s="536">
        <f t="shared" ref="AA143:AA152" si="58">LN($B143-$AC$144)</f>
        <v>8.1016777474545716</v>
      </c>
      <c r="AB143" s="451"/>
      <c r="AC143" s="451"/>
      <c r="AD143" s="451"/>
      <c r="AE143" s="443">
        <f t="shared" si="34"/>
        <v>3492</v>
      </c>
      <c r="AF143" s="443">
        <f t="shared" si="35"/>
        <v>6.4000000000000001E-2</v>
      </c>
      <c r="AH143" s="536">
        <f t="shared" ref="AH143:AH152" si="59">LN($B143-$AJ$144)</f>
        <v>8.0709060887878188</v>
      </c>
      <c r="AI143" s="451"/>
      <c r="AJ143" s="451"/>
      <c r="AK143" s="451"/>
      <c r="AL143" s="443">
        <f t="shared" si="36"/>
        <v>3492</v>
      </c>
      <c r="AM143" s="443">
        <f t="shared" si="37"/>
        <v>6.4000000000000001E-2</v>
      </c>
      <c r="AO143" s="536">
        <f t="shared" ref="AO143:AO152" si="60">LN($B143-$AQ$144)</f>
        <v>8.0391573904732372</v>
      </c>
      <c r="AP143" s="451"/>
      <c r="AQ143" s="451"/>
      <c r="AR143" s="451"/>
      <c r="AS143" s="443">
        <f t="shared" si="38"/>
        <v>3492</v>
      </c>
      <c r="AT143" s="443">
        <f t="shared" si="39"/>
        <v>6.4000000000000001E-2</v>
      </c>
      <c r="AV143" s="536">
        <f t="shared" ref="AV143:AV152" si="61">LN($B143-$AX$144)</f>
        <v>8.0063675676502459</v>
      </c>
      <c r="AW143" s="451"/>
      <c r="AX143" s="451"/>
      <c r="AY143" s="451"/>
      <c r="AZ143" s="443">
        <f t="shared" si="40"/>
        <v>3492</v>
      </c>
      <c r="BA143" s="443">
        <f t="shared" si="41"/>
        <v>6.4000000000000001E-2</v>
      </c>
      <c r="BC143" s="536">
        <f t="shared" ref="BC143:BC152" si="62">LN($B143-$BE$144)</f>
        <v>7.8240460108562919</v>
      </c>
      <c r="BD143" s="451"/>
      <c r="BE143" s="451"/>
      <c r="BF143" s="451"/>
      <c r="BG143" s="443">
        <f t="shared" si="42"/>
        <v>3493</v>
      </c>
      <c r="BH143" s="443">
        <f t="shared" si="43"/>
        <v>4.9000000000000002E-2</v>
      </c>
      <c r="BJ143" s="536">
        <f t="shared" ref="BJ143:BJ152" si="63">LN($B143-$BL$144)</f>
        <v>7.3132203870903014</v>
      </c>
      <c r="BK143" s="451"/>
      <c r="BL143" s="451"/>
      <c r="BM143" s="451"/>
      <c r="BN143" s="443">
        <f t="shared" si="44"/>
        <v>3493</v>
      </c>
      <c r="BO143" s="443">
        <f t="shared" si="45"/>
        <v>4.9000000000000002E-2</v>
      </c>
      <c r="BQ143" s="536">
        <f t="shared" ref="BQ143:BQ152" si="64">LN($B143-$BS$144)</f>
        <v>7.1701195434496281</v>
      </c>
      <c r="BR143" s="451"/>
      <c r="BS143" s="451"/>
      <c r="BT143" s="451"/>
      <c r="BU143" s="443">
        <f t="shared" si="46"/>
        <v>3493</v>
      </c>
      <c r="BV143" s="443">
        <f t="shared" si="47"/>
        <v>4.9000000000000002E-2</v>
      </c>
      <c r="BX143" s="536">
        <f t="shared" ref="BX143:BX152" si="65">LN($B143-$BZ$144)</f>
        <v>6.9077552789821368</v>
      </c>
      <c r="BY143" s="451"/>
      <c r="BZ143" s="451"/>
      <c r="CA143" s="451"/>
      <c r="CB143" s="443">
        <f t="shared" si="48"/>
        <v>3494</v>
      </c>
      <c r="CC143" s="443">
        <f t="shared" si="49"/>
        <v>3.5999999999999997E-2</v>
      </c>
      <c r="CE143" s="536">
        <f t="shared" ref="CE143:CE152" si="66">LN($B143-$CG$144)</f>
        <v>6.2146080984221914</v>
      </c>
      <c r="CF143" s="451"/>
      <c r="CG143" s="451"/>
      <c r="CH143" s="451"/>
      <c r="CI143" s="443">
        <f t="shared" si="50"/>
        <v>3497</v>
      </c>
      <c r="CJ143" s="443">
        <f t="shared" si="51"/>
        <v>8.9999999999999993E-3</v>
      </c>
      <c r="CL143" s="536" t="e">
        <f t="shared" ref="CL143:CL152" si="67">LN($B143-$CN$144)</f>
        <v>#NUM!</v>
      </c>
      <c r="CM143" s="451"/>
      <c r="CN143" s="451"/>
      <c r="CO143" s="451"/>
      <c r="CP143" s="443" t="e">
        <f t="shared" si="52"/>
        <v>#VALUE!</v>
      </c>
      <c r="CQ143" s="443" t="e">
        <f t="shared" si="53"/>
        <v>#VALUE!</v>
      </c>
      <c r="CS143" s="536" t="e">
        <f t="shared" ref="CS143:CS152" si="68">LN($B143-$CU$144)</f>
        <v>#NUM!</v>
      </c>
      <c r="CT143" s="451"/>
      <c r="CU143" s="451"/>
      <c r="CV143" s="451"/>
      <c r="CW143" s="443" t="e">
        <f t="shared" si="54"/>
        <v>#VALUE!</v>
      </c>
      <c r="CX143" s="443" t="e">
        <f t="shared" si="55"/>
        <v>#VALUE!</v>
      </c>
    </row>
    <row r="144" spans="1:102" ht="15" customHeight="1">
      <c r="A144" s="436">
        <f t="shared" si="26"/>
        <v>2008</v>
      </c>
      <c r="B144" s="437">
        <f t="shared" si="26"/>
        <v>3493</v>
      </c>
      <c r="C144" s="533">
        <f>LN(B144-$G$147)</f>
        <v>8.1440984633385245</v>
      </c>
      <c r="D144" s="438">
        <f t="shared" si="27"/>
        <v>3</v>
      </c>
      <c r="E144" s="534">
        <f>LN(D144)</f>
        <v>1.0986122886681098</v>
      </c>
      <c r="F144" s="498" t="s">
        <v>391</v>
      </c>
      <c r="I144" s="443">
        <f t="shared" si="28"/>
        <v>3437</v>
      </c>
      <c r="J144" s="446">
        <f>ABS(B144-I144)/B144*100</f>
        <v>1.6032064128256511</v>
      </c>
      <c r="K144" s="535">
        <f>(B144-I144)^2/1000</f>
        <v>3.1360000000000001</v>
      </c>
      <c r="M144" s="536">
        <f t="shared" si="56"/>
        <v>8.1440984633385245</v>
      </c>
      <c r="N144" s="442" t="s">
        <v>379</v>
      </c>
      <c r="O144" s="537">
        <f>F159</f>
        <v>50</v>
      </c>
      <c r="P144" s="451"/>
      <c r="Q144" s="443">
        <f t="shared" si="30"/>
        <v>3437</v>
      </c>
      <c r="R144" s="443">
        <f t="shared" si="31"/>
        <v>3.1360000000000001</v>
      </c>
      <c r="T144" s="536">
        <f t="shared" si="57"/>
        <v>8.1294697647842309</v>
      </c>
      <c r="U144" s="442" t="s">
        <v>313</v>
      </c>
      <c r="V144" s="538">
        <f>F160</f>
        <v>100</v>
      </c>
      <c r="W144" s="451"/>
      <c r="X144" s="443">
        <f t="shared" si="32"/>
        <v>3437</v>
      </c>
      <c r="Y144" s="443">
        <f t="shared" si="33"/>
        <v>3.1360000000000001</v>
      </c>
      <c r="AA144" s="536">
        <f t="shared" si="58"/>
        <v>8.0995542823763635</v>
      </c>
      <c r="AB144" s="442" t="s">
        <v>313</v>
      </c>
      <c r="AC144" s="538">
        <f>F161</f>
        <v>200</v>
      </c>
      <c r="AD144" s="451"/>
      <c r="AE144" s="443">
        <f t="shared" si="34"/>
        <v>3436</v>
      </c>
      <c r="AF144" s="443">
        <f t="shared" si="35"/>
        <v>3.2490000000000001</v>
      </c>
      <c r="AH144" s="536">
        <f t="shared" si="59"/>
        <v>8.0687161927147812</v>
      </c>
      <c r="AI144" s="442" t="s">
        <v>392</v>
      </c>
      <c r="AJ144" s="538">
        <f>F162</f>
        <v>300</v>
      </c>
      <c r="AK144" s="451"/>
      <c r="AL144" s="443">
        <f t="shared" si="36"/>
        <v>3436</v>
      </c>
      <c r="AM144" s="443">
        <f t="shared" si="37"/>
        <v>3.2490000000000001</v>
      </c>
      <c r="AO144" s="536">
        <f t="shared" si="60"/>
        <v>8.0368967726850702</v>
      </c>
      <c r="AP144" s="442" t="s">
        <v>313</v>
      </c>
      <c r="AQ144" s="538">
        <f>F163</f>
        <v>400</v>
      </c>
      <c r="AR144" s="451"/>
      <c r="AS144" s="443">
        <f t="shared" si="38"/>
        <v>3436</v>
      </c>
      <c r="AT144" s="443">
        <f t="shared" si="39"/>
        <v>3.2490000000000001</v>
      </c>
      <c r="AV144" s="536">
        <f t="shared" si="61"/>
        <v>8.0040315078526998</v>
      </c>
      <c r="AW144" s="442" t="s">
        <v>313</v>
      </c>
      <c r="AX144" s="538">
        <f>F164</f>
        <v>500</v>
      </c>
      <c r="AY144" s="538"/>
      <c r="AZ144" s="443">
        <f t="shared" si="40"/>
        <v>3436</v>
      </c>
      <c r="BA144" s="443">
        <f t="shared" si="41"/>
        <v>3.2490000000000001</v>
      </c>
      <c r="BC144" s="536">
        <f t="shared" si="62"/>
        <v>7.8212420835235577</v>
      </c>
      <c r="BD144" s="442" t="s">
        <v>313</v>
      </c>
      <c r="BE144" s="538">
        <f>F165</f>
        <v>1000</v>
      </c>
      <c r="BF144" s="451"/>
      <c r="BG144" s="443">
        <f t="shared" si="42"/>
        <v>3436</v>
      </c>
      <c r="BH144" s="443">
        <f t="shared" si="43"/>
        <v>3.2490000000000001</v>
      </c>
      <c r="BJ144" s="536">
        <f t="shared" si="63"/>
        <v>7.3085427975391903</v>
      </c>
      <c r="BK144" s="442" t="s">
        <v>313</v>
      </c>
      <c r="BL144" s="538">
        <f>F166</f>
        <v>2000</v>
      </c>
      <c r="BM144" s="451"/>
      <c r="BN144" s="443">
        <f t="shared" si="44"/>
        <v>3435</v>
      </c>
      <c r="BO144" s="443">
        <f t="shared" si="45"/>
        <v>3.3639999999999999</v>
      </c>
      <c r="BQ144" s="536">
        <f t="shared" si="64"/>
        <v>7.1647203787718574</v>
      </c>
      <c r="BR144" s="442" t="s">
        <v>313</v>
      </c>
      <c r="BS144" s="538">
        <f>F167</f>
        <v>2200</v>
      </c>
      <c r="BT144" s="451"/>
      <c r="BU144" s="443">
        <f t="shared" si="46"/>
        <v>3434</v>
      </c>
      <c r="BV144" s="443">
        <f t="shared" si="47"/>
        <v>3.4809999999999999</v>
      </c>
      <c r="BX144" s="536">
        <f t="shared" si="65"/>
        <v>6.9007306640451729</v>
      </c>
      <c r="BY144" s="442" t="s">
        <v>313</v>
      </c>
      <c r="BZ144" s="538">
        <f>F168</f>
        <v>2500</v>
      </c>
      <c r="CA144" s="451"/>
      <c r="CB144" s="443">
        <f t="shared" si="48"/>
        <v>3433</v>
      </c>
      <c r="CC144" s="443">
        <f t="shared" si="49"/>
        <v>3.6</v>
      </c>
      <c r="CE144" s="536">
        <f t="shared" si="66"/>
        <v>6.2005091740426899</v>
      </c>
      <c r="CF144" s="442" t="s">
        <v>313</v>
      </c>
      <c r="CG144" s="538">
        <f>F169</f>
        <v>3000</v>
      </c>
      <c r="CH144" s="451"/>
      <c r="CI144" s="443">
        <f t="shared" si="50"/>
        <v>3427</v>
      </c>
      <c r="CJ144" s="443">
        <f t="shared" si="51"/>
        <v>4.3559999999999999</v>
      </c>
      <c r="CL144" s="536" t="e">
        <f t="shared" si="67"/>
        <v>#NUM!</v>
      </c>
      <c r="CM144" s="442" t="s">
        <v>313</v>
      </c>
      <c r="CN144" s="538">
        <f>F170</f>
        <v>4000</v>
      </c>
      <c r="CO144" s="451"/>
      <c r="CP144" s="443" t="e">
        <f t="shared" si="52"/>
        <v>#VALUE!</v>
      </c>
      <c r="CQ144" s="443" t="e">
        <f t="shared" si="53"/>
        <v>#VALUE!</v>
      </c>
      <c r="CS144" s="536" t="e">
        <f t="shared" si="68"/>
        <v>#NUM!</v>
      </c>
      <c r="CT144" s="442" t="s">
        <v>313</v>
      </c>
      <c r="CU144" s="538">
        <f>F171</f>
        <v>4500</v>
      </c>
      <c r="CV144" s="451"/>
      <c r="CW144" s="443" t="e">
        <f t="shared" si="54"/>
        <v>#VALUE!</v>
      </c>
      <c r="CX144" s="443" t="e">
        <f t="shared" si="55"/>
        <v>#VALUE!</v>
      </c>
    </row>
    <row r="145" spans="1:102" ht="15" customHeight="1">
      <c r="A145" s="436">
        <f t="shared" si="26"/>
        <v>2009</v>
      </c>
      <c r="B145" s="437">
        <f t="shared" si="26"/>
        <v>3452</v>
      </c>
      <c r="C145" s="533">
        <f t="shared" ref="C145:C152" si="69">LN(B145-$G$147)</f>
        <v>8.1321187729558062</v>
      </c>
      <c r="D145" s="438">
        <f t="shared" si="27"/>
        <v>4</v>
      </c>
      <c r="E145" s="534">
        <f t="shared" ref="E145:E152" si="70">LN(D145)</f>
        <v>1.3862943611198906</v>
      </c>
      <c r="F145" s="451" t="s">
        <v>346</v>
      </c>
      <c r="G145" s="539"/>
      <c r="H145" s="439"/>
      <c r="I145" s="443">
        <f t="shared" si="28"/>
        <v>3397</v>
      </c>
      <c r="J145" s="446">
        <f>ABS(B145-I145)/B145*100</f>
        <v>1.593279258400927</v>
      </c>
      <c r="K145" s="535">
        <f t="shared" ref="K145:K152" si="71">(B145-I145)^2/1000</f>
        <v>3.0249999999999999</v>
      </c>
      <c r="M145" s="536">
        <f t="shared" si="56"/>
        <v>8.1321187729558062</v>
      </c>
      <c r="N145" s="442" t="s">
        <v>306</v>
      </c>
      <c r="O145" s="504">
        <f>INDEX(LINEST(M142:M152,$E142:$E152),1)</f>
        <v>-4.0367821964090417E-2</v>
      </c>
      <c r="Q145" s="443">
        <f t="shared" si="30"/>
        <v>3397</v>
      </c>
      <c r="R145" s="443">
        <f t="shared" si="31"/>
        <v>3.0249999999999999</v>
      </c>
      <c r="T145" s="536">
        <f t="shared" si="57"/>
        <v>8.1173124616019745</v>
      </c>
      <c r="U145" s="442" t="s">
        <v>306</v>
      </c>
      <c r="V145" s="504">
        <f>INDEX(LINEST(T142:T152,$E142:$E152),1)</f>
        <v>-4.0984992719265506E-2</v>
      </c>
      <c r="X145" s="443">
        <f t="shared" si="32"/>
        <v>3397</v>
      </c>
      <c r="Y145" s="443">
        <f t="shared" si="33"/>
        <v>3.0249999999999999</v>
      </c>
      <c r="AA145" s="536">
        <f t="shared" si="58"/>
        <v>8.0870254706677009</v>
      </c>
      <c r="AB145" s="442" t="s">
        <v>306</v>
      </c>
      <c r="AC145" s="504">
        <f>INDEX(LINEST(AA142:AA152,$E142:$E152),1)</f>
        <v>-4.22777667237847E-2</v>
      </c>
      <c r="AE145" s="443">
        <f t="shared" si="34"/>
        <v>3397</v>
      </c>
      <c r="AF145" s="443">
        <f t="shared" si="35"/>
        <v>3.0249999999999999</v>
      </c>
      <c r="AH145" s="536">
        <f t="shared" si="59"/>
        <v>8.0557924509777692</v>
      </c>
      <c r="AI145" s="442" t="s">
        <v>306</v>
      </c>
      <c r="AJ145" s="504">
        <f>INDEX(LINEST(AH142:AH152,$E142:$E152),1)</f>
        <v>-4.3654801772486998E-2</v>
      </c>
      <c r="AL145" s="443">
        <f t="shared" si="36"/>
        <v>3397</v>
      </c>
      <c r="AM145" s="443">
        <f t="shared" si="37"/>
        <v>3.0249999999999999</v>
      </c>
      <c r="AO145" s="536">
        <f t="shared" si="60"/>
        <v>8.0235523924043477</v>
      </c>
      <c r="AP145" s="442" t="s">
        <v>306</v>
      </c>
      <c r="AQ145" s="504">
        <f>INDEX(LINEST(AO142:AO152,$E142:$E152),1)</f>
        <v>-4.5124618792194017E-2</v>
      </c>
      <c r="AS145" s="443">
        <f t="shared" si="38"/>
        <v>3397</v>
      </c>
      <c r="AT145" s="443">
        <f t="shared" si="39"/>
        <v>3.0249999999999999</v>
      </c>
      <c r="AV145" s="536">
        <f t="shared" si="61"/>
        <v>7.9902381857203633</v>
      </c>
      <c r="AW145" s="442" t="s">
        <v>306</v>
      </c>
      <c r="AX145" s="504">
        <f>INDEX(LINEST(AV142:AV152,$E142:$E152),1)</f>
        <v>-4.6696928507314946E-2</v>
      </c>
      <c r="AZ145" s="443">
        <f t="shared" si="40"/>
        <v>3397</v>
      </c>
      <c r="BA145" s="443">
        <f t="shared" si="41"/>
        <v>3.0249999999999999</v>
      </c>
      <c r="BC145" s="536">
        <f t="shared" si="62"/>
        <v>7.8046592970561024</v>
      </c>
      <c r="BD145" s="442" t="s">
        <v>306</v>
      </c>
      <c r="BE145" s="504">
        <f>INDEX(LINEST(BC142:BC152,$E142:$E152),1)</f>
        <v>-5.6550759356608749E-2</v>
      </c>
      <c r="BG145" s="443">
        <f t="shared" si="42"/>
        <v>3397</v>
      </c>
      <c r="BH145" s="443">
        <f t="shared" si="43"/>
        <v>3.0249999999999999</v>
      </c>
      <c r="BJ145" s="536">
        <f t="shared" si="63"/>
        <v>7.2806971953847412</v>
      </c>
      <c r="BK145" s="442" t="s">
        <v>306</v>
      </c>
      <c r="BL145" s="504">
        <f>INDEX(LINEST(BJ142:BJ152,$E142:$E152),1)</f>
        <v>-9.7909084636724902E-2</v>
      </c>
      <c r="BN145" s="443">
        <f t="shared" si="44"/>
        <v>3395</v>
      </c>
      <c r="BO145" s="443">
        <f t="shared" si="45"/>
        <v>3.2490000000000001</v>
      </c>
      <c r="BQ145" s="536">
        <f t="shared" si="64"/>
        <v>7.1324975516600437</v>
      </c>
      <c r="BR145" s="442" t="s">
        <v>306</v>
      </c>
      <c r="BS145" s="504">
        <f>INDEX(LINEST(BQ142:BQ152,$E142:$E152),1)</f>
        <v>-0.11471911290553999</v>
      </c>
      <c r="BU145" s="443">
        <f t="shared" si="46"/>
        <v>3394</v>
      </c>
      <c r="BV145" s="443">
        <f t="shared" si="47"/>
        <v>3.3639999999999999</v>
      </c>
      <c r="BX145" s="536">
        <f t="shared" si="65"/>
        <v>6.8585650347913649</v>
      </c>
      <c r="BY145" s="442" t="s">
        <v>306</v>
      </c>
      <c r="BZ145" s="504">
        <f>INDEX(LINEST(BX142:BX152,$E142:$E152),1)</f>
        <v>-0.15462207887360663</v>
      </c>
      <c r="CB145" s="443">
        <f t="shared" si="48"/>
        <v>3393</v>
      </c>
      <c r="CC145" s="443">
        <f t="shared" si="49"/>
        <v>3.4809999999999999</v>
      </c>
      <c r="CE145" s="536">
        <f t="shared" si="66"/>
        <v>6.1136821798322316</v>
      </c>
      <c r="CF145" s="442" t="s">
        <v>306</v>
      </c>
      <c r="CG145" s="504">
        <f>INDEX(LINEST(CE142:CE152,$E142:$E152),1)</f>
        <v>-0.37470950869541991</v>
      </c>
      <c r="CI145" s="443">
        <f t="shared" si="50"/>
        <v>3383</v>
      </c>
      <c r="CJ145" s="443">
        <f t="shared" si="51"/>
        <v>4.7610000000000001</v>
      </c>
      <c r="CL145" s="536" t="e">
        <f t="shared" si="67"/>
        <v>#NUM!</v>
      </c>
      <c r="CM145" s="442" t="s">
        <v>306</v>
      </c>
      <c r="CN145" s="504" t="e">
        <f>INDEX(LINEST(CL142:CL152,$E142:$E152),1)</f>
        <v>#VALUE!</v>
      </c>
      <c r="CP145" s="443" t="e">
        <f t="shared" si="52"/>
        <v>#VALUE!</v>
      </c>
      <c r="CQ145" s="443" t="e">
        <f t="shared" si="53"/>
        <v>#VALUE!</v>
      </c>
      <c r="CS145" s="536" t="e">
        <f t="shared" si="68"/>
        <v>#NUM!</v>
      </c>
      <c r="CT145" s="442" t="s">
        <v>306</v>
      </c>
      <c r="CU145" s="504" t="e">
        <f>INDEX(LINEST(CS142:CS152,$E142:$E152),1)</f>
        <v>#VALUE!</v>
      </c>
      <c r="CW145" s="443" t="e">
        <f t="shared" si="54"/>
        <v>#VALUE!</v>
      </c>
      <c r="CX145" s="443" t="e">
        <f t="shared" si="55"/>
        <v>#VALUE!</v>
      </c>
    </row>
    <row r="146" spans="1:102" ht="15" customHeight="1">
      <c r="A146" s="436">
        <f t="shared" si="26"/>
        <v>2010</v>
      </c>
      <c r="B146" s="437">
        <f t="shared" si="26"/>
        <v>3452</v>
      </c>
      <c r="C146" s="533">
        <f t="shared" si="69"/>
        <v>8.1321187729558062</v>
      </c>
      <c r="D146" s="438">
        <f t="shared" si="27"/>
        <v>5</v>
      </c>
      <c r="E146" s="534">
        <f t="shared" si="70"/>
        <v>1.6094379124341003</v>
      </c>
      <c r="I146" s="443">
        <f t="shared" si="28"/>
        <v>3367</v>
      </c>
      <c r="J146" s="446">
        <f>ABS(B146-I146)/B146*100</f>
        <v>2.4623406720741601</v>
      </c>
      <c r="K146" s="443">
        <f t="shared" si="71"/>
        <v>7.2249999999999996</v>
      </c>
      <c r="M146" s="536">
        <f t="shared" si="56"/>
        <v>8.1321187729558062</v>
      </c>
      <c r="N146" s="442" t="s">
        <v>301</v>
      </c>
      <c r="O146" s="442" t="s">
        <v>347</v>
      </c>
      <c r="P146" s="504">
        <f>INDEX(LINEST(M142:M152,$E142:$E152),2)</f>
        <v>8.1719099155502928</v>
      </c>
      <c r="Q146" s="443">
        <f t="shared" si="30"/>
        <v>3367</v>
      </c>
      <c r="R146" s="443">
        <f t="shared" si="31"/>
        <v>7.2249999999999996</v>
      </c>
      <c r="T146" s="536">
        <f t="shared" si="57"/>
        <v>8.1173124616019745</v>
      </c>
      <c r="U146" s="442" t="s">
        <v>301</v>
      </c>
      <c r="V146" s="442" t="s">
        <v>347</v>
      </c>
      <c r="W146" s="504">
        <f>INDEX(LINEST(T142:T152,$E142:$E152),2)</f>
        <v>8.1577081903867246</v>
      </c>
      <c r="X146" s="443">
        <f t="shared" si="32"/>
        <v>3367</v>
      </c>
      <c r="Y146" s="443">
        <f t="shared" si="33"/>
        <v>7.2249999999999996</v>
      </c>
      <c r="AA146" s="536">
        <f t="shared" si="58"/>
        <v>8.0870254706677009</v>
      </c>
      <c r="AB146" s="442" t="s">
        <v>301</v>
      </c>
      <c r="AC146" s="442" t="s">
        <v>347</v>
      </c>
      <c r="AD146" s="504">
        <f>INDEX(LINEST(AA142:AA152,$E142:$E152),2)</f>
        <v>8.1286872535435482</v>
      </c>
      <c r="AE146" s="443">
        <f t="shared" si="34"/>
        <v>3367</v>
      </c>
      <c r="AF146" s="443">
        <f t="shared" si="35"/>
        <v>7.2249999999999996</v>
      </c>
      <c r="AH146" s="536">
        <f t="shared" si="59"/>
        <v>8.0557924509777692</v>
      </c>
      <c r="AI146" s="442" t="s">
        <v>301</v>
      </c>
      <c r="AJ146" s="442" t="s">
        <v>347</v>
      </c>
      <c r="AK146" s="504">
        <f>INDEX(LINEST(AH142:AH152,$E142:$E152),2)</f>
        <v>8.0988022734198157</v>
      </c>
      <c r="AL146" s="443">
        <f t="shared" si="36"/>
        <v>3367</v>
      </c>
      <c r="AM146" s="443">
        <f t="shared" si="37"/>
        <v>7.2249999999999996</v>
      </c>
      <c r="AO146" s="536">
        <f t="shared" si="60"/>
        <v>8.0235523924043477</v>
      </c>
      <c r="AP146" s="442" t="s">
        <v>301</v>
      </c>
      <c r="AQ146" s="442" t="s">
        <v>347</v>
      </c>
      <c r="AR146" s="504">
        <f>INDEX(LINEST(AO142:AO152,$E142:$E152),2)</f>
        <v>8.0680004763431299</v>
      </c>
      <c r="AS146" s="443">
        <f t="shared" si="38"/>
        <v>3367</v>
      </c>
      <c r="AT146" s="443">
        <f t="shared" si="39"/>
        <v>7.2249999999999996</v>
      </c>
      <c r="AV146" s="536">
        <f t="shared" si="61"/>
        <v>7.9902381857203633</v>
      </c>
      <c r="AW146" s="442" t="s">
        <v>301</v>
      </c>
      <c r="AX146" s="442" t="s">
        <v>347</v>
      </c>
      <c r="AY146" s="504">
        <f>INDEX(LINEST(AV142:AV152,$E142:$E152),2)</f>
        <v>8.0362241319863656</v>
      </c>
      <c r="AZ146" s="443">
        <f t="shared" si="40"/>
        <v>3367</v>
      </c>
      <c r="BA146" s="443">
        <f t="shared" si="41"/>
        <v>7.2249999999999996</v>
      </c>
      <c r="BC146" s="536">
        <f t="shared" si="62"/>
        <v>7.8046592970561024</v>
      </c>
      <c r="BD146" s="442" t="s">
        <v>301</v>
      </c>
      <c r="BE146" s="442" t="s">
        <v>347</v>
      </c>
      <c r="BF146" s="504">
        <f>INDEX(LINEST(BC142:BC152,$E142:$E152),2)</f>
        <v>7.8602670300430697</v>
      </c>
      <c r="BG146" s="443">
        <f t="shared" si="42"/>
        <v>3367</v>
      </c>
      <c r="BH146" s="443">
        <f t="shared" si="43"/>
        <v>7.2249999999999996</v>
      </c>
      <c r="BJ146" s="536">
        <f t="shared" si="63"/>
        <v>7.2806971953847412</v>
      </c>
      <c r="BK146" s="442" t="s">
        <v>301</v>
      </c>
      <c r="BL146" s="442" t="s">
        <v>347</v>
      </c>
      <c r="BM146" s="504">
        <f>INDEX(LINEST(BJ142:BJ152,$E142:$E152),2)</f>
        <v>7.3763943204285622</v>
      </c>
      <c r="BN146" s="443">
        <f t="shared" si="44"/>
        <v>3365</v>
      </c>
      <c r="BO146" s="443">
        <f t="shared" si="45"/>
        <v>7.569</v>
      </c>
      <c r="BQ146" s="536">
        <f t="shared" si="64"/>
        <v>7.1324975516600437</v>
      </c>
      <c r="BR146" s="442" t="s">
        <v>301</v>
      </c>
      <c r="BS146" s="442" t="s">
        <v>347</v>
      </c>
      <c r="BT146" s="504">
        <f>INDEX(LINEST(BQ142:BQ152,$E142:$E152),2)</f>
        <v>7.2443580490884658</v>
      </c>
      <c r="BU146" s="443">
        <f t="shared" si="46"/>
        <v>3364</v>
      </c>
      <c r="BV146" s="443">
        <f t="shared" si="47"/>
        <v>7.7439999999999998</v>
      </c>
      <c r="BX146" s="536">
        <f t="shared" si="65"/>
        <v>6.8585650347913649</v>
      </c>
      <c r="BY146" s="442" t="s">
        <v>301</v>
      </c>
      <c r="BZ146" s="442" t="s">
        <v>347</v>
      </c>
      <c r="CA146" s="504">
        <f>INDEX(LINEST(BX142:BX152,$E142:$E152),2)</f>
        <v>7.0085079153334933</v>
      </c>
      <c r="CB146" s="443">
        <f t="shared" si="48"/>
        <v>3362</v>
      </c>
      <c r="CC146" s="443">
        <f t="shared" si="49"/>
        <v>8.1</v>
      </c>
      <c r="CE146" s="536">
        <f t="shared" si="66"/>
        <v>6.1136821798322316</v>
      </c>
      <c r="CF146" s="442" t="s">
        <v>301</v>
      </c>
      <c r="CG146" s="442" t="s">
        <v>347</v>
      </c>
      <c r="CH146" s="504">
        <f>INDEX(LINEST(CE142:CE152,$E142:$E152),2)</f>
        <v>6.4676191581850953</v>
      </c>
      <c r="CI146" s="443">
        <f t="shared" si="50"/>
        <v>3352</v>
      </c>
      <c r="CJ146" s="443">
        <f t="shared" si="51"/>
        <v>10</v>
      </c>
      <c r="CL146" s="536" t="e">
        <f t="shared" si="67"/>
        <v>#NUM!</v>
      </c>
      <c r="CM146" s="442" t="s">
        <v>301</v>
      </c>
      <c r="CN146" s="442" t="s">
        <v>347</v>
      </c>
      <c r="CO146" s="504" t="e">
        <f>INDEX(LINEST(CL142:CL152,$E142:$E152),2)</f>
        <v>#VALUE!</v>
      </c>
      <c r="CP146" s="443" t="e">
        <f t="shared" si="52"/>
        <v>#VALUE!</v>
      </c>
      <c r="CQ146" s="443" t="e">
        <f t="shared" si="53"/>
        <v>#VALUE!</v>
      </c>
      <c r="CS146" s="536" t="e">
        <f t="shared" si="68"/>
        <v>#NUM!</v>
      </c>
      <c r="CT146" s="442" t="s">
        <v>301</v>
      </c>
      <c r="CU146" s="442" t="s">
        <v>347</v>
      </c>
      <c r="CV146" s="504" t="e">
        <f>INDEX(LINEST(CS142:CS152,$E142:$E152),2)</f>
        <v>#VALUE!</v>
      </c>
      <c r="CW146" s="443" t="e">
        <f t="shared" si="54"/>
        <v>#VALUE!</v>
      </c>
      <c r="CX146" s="443" t="e">
        <f t="shared" si="55"/>
        <v>#VALUE!</v>
      </c>
    </row>
    <row r="147" spans="1:102" ht="15" customHeight="1">
      <c r="A147" s="436">
        <f t="shared" si="26"/>
        <v>2011</v>
      </c>
      <c r="B147" s="437">
        <f t="shared" si="26"/>
        <v>3386</v>
      </c>
      <c r="C147" s="533">
        <f t="shared" si="69"/>
        <v>8.1125277634786368</v>
      </c>
      <c r="D147" s="438">
        <f t="shared" si="27"/>
        <v>6</v>
      </c>
      <c r="E147" s="534">
        <f t="shared" si="70"/>
        <v>1.791759469228055</v>
      </c>
      <c r="F147" s="540" t="s">
        <v>313</v>
      </c>
      <c r="G147" s="541">
        <f>INDEX(F159:L171,MATCH(1,L159:L171,0),1)</f>
        <v>50</v>
      </c>
      <c r="H147" s="439"/>
      <c r="I147" s="443">
        <f t="shared" si="28"/>
        <v>3343</v>
      </c>
      <c r="J147" s="446">
        <f t="shared" si="29"/>
        <v>1.2699350265800353</v>
      </c>
      <c r="K147" s="443">
        <f t="shared" si="71"/>
        <v>1.849</v>
      </c>
      <c r="M147" s="536">
        <f t="shared" si="56"/>
        <v>8.1125277634786368</v>
      </c>
      <c r="N147" s="442" t="s">
        <v>305</v>
      </c>
      <c r="O147" s="542">
        <f>EXP(P146)</f>
        <v>3540.0988007342826</v>
      </c>
      <c r="P147" s="451"/>
      <c r="Q147" s="443">
        <f t="shared" si="30"/>
        <v>3343</v>
      </c>
      <c r="R147" s="443">
        <f t="shared" si="31"/>
        <v>1.849</v>
      </c>
      <c r="T147" s="536">
        <f t="shared" si="57"/>
        <v>8.0974262985972132</v>
      </c>
      <c r="U147" s="442" t="s">
        <v>305</v>
      </c>
      <c r="V147" s="542">
        <f>EXP(W146)</f>
        <v>3490.1786059840369</v>
      </c>
      <c r="W147" s="504"/>
      <c r="X147" s="443">
        <f t="shared" si="32"/>
        <v>3343</v>
      </c>
      <c r="Y147" s="443">
        <f t="shared" si="33"/>
        <v>1.849</v>
      </c>
      <c r="AA147" s="536">
        <f t="shared" si="58"/>
        <v>8.0665214904699933</v>
      </c>
      <c r="AB147" s="442" t="s">
        <v>305</v>
      </c>
      <c r="AC147" s="542">
        <f>EXP(AD146)</f>
        <v>3390.3459778968572</v>
      </c>
      <c r="AD147" s="451"/>
      <c r="AE147" s="443">
        <f t="shared" si="34"/>
        <v>3343</v>
      </c>
      <c r="AF147" s="443">
        <f t="shared" si="35"/>
        <v>1.849</v>
      </c>
      <c r="AH147" s="536">
        <f t="shared" si="59"/>
        <v>8.034631032923107</v>
      </c>
      <c r="AI147" s="442" t="s">
        <v>305</v>
      </c>
      <c r="AJ147" s="542">
        <f>EXP(AK146)</f>
        <v>3290.5245653972406</v>
      </c>
      <c r="AK147" s="451"/>
      <c r="AL147" s="443">
        <f t="shared" si="36"/>
        <v>3343</v>
      </c>
      <c r="AM147" s="443">
        <f t="shared" si="37"/>
        <v>1.849</v>
      </c>
      <c r="AO147" s="536">
        <f t="shared" si="60"/>
        <v>8.0016899780991348</v>
      </c>
      <c r="AP147" s="442" t="s">
        <v>305</v>
      </c>
      <c r="AQ147" s="542">
        <f>EXP(AR146)</f>
        <v>3190.7155352372483</v>
      </c>
      <c r="AR147" s="451"/>
      <c r="AS147" s="443">
        <f t="shared" si="38"/>
        <v>3343</v>
      </c>
      <c r="AT147" s="443">
        <f t="shared" si="39"/>
        <v>1.849</v>
      </c>
      <c r="AV147" s="536">
        <f t="shared" si="61"/>
        <v>7.9676267393338165</v>
      </c>
      <c r="AW147" s="442" t="s">
        <v>305</v>
      </c>
      <c r="AX147" s="542">
        <f>EXP(AY146)</f>
        <v>3090.9202218690316</v>
      </c>
      <c r="AY147" s="451"/>
      <c r="AZ147" s="443">
        <f t="shared" si="40"/>
        <v>3343</v>
      </c>
      <c r="BA147" s="443">
        <f t="shared" si="41"/>
        <v>1.849</v>
      </c>
      <c r="BC147" s="536">
        <f t="shared" si="62"/>
        <v>7.7773736026578613</v>
      </c>
      <c r="BD147" s="442" t="s">
        <v>305</v>
      </c>
      <c r="BE147" s="542">
        <f>EXP(BF146)</f>
        <v>2592.2124816124974</v>
      </c>
      <c r="BF147" s="451"/>
      <c r="BG147" s="443">
        <f t="shared" si="42"/>
        <v>3342</v>
      </c>
      <c r="BH147" s="443">
        <f t="shared" si="43"/>
        <v>1.9359999999999999</v>
      </c>
      <c r="BJ147" s="536">
        <f t="shared" si="63"/>
        <v>7.2341771797498486</v>
      </c>
      <c r="BK147" s="442" t="s">
        <v>305</v>
      </c>
      <c r="BL147" s="542">
        <f>EXP(BM146)</f>
        <v>1597.8181485236246</v>
      </c>
      <c r="BM147" s="451"/>
      <c r="BN147" s="443">
        <f t="shared" si="44"/>
        <v>3341</v>
      </c>
      <c r="BO147" s="443">
        <f t="shared" si="45"/>
        <v>2.0249999999999999</v>
      </c>
      <c r="BQ147" s="536">
        <f t="shared" si="64"/>
        <v>7.0783415795576712</v>
      </c>
      <c r="BR147" s="442" t="s">
        <v>305</v>
      </c>
      <c r="BS147" s="542">
        <f>EXP(BT146)</f>
        <v>1400.1827588069746</v>
      </c>
      <c r="BT147" s="451"/>
      <c r="BU147" s="443">
        <f t="shared" si="46"/>
        <v>3340</v>
      </c>
      <c r="BV147" s="443">
        <f t="shared" si="47"/>
        <v>2.1160000000000001</v>
      </c>
      <c r="BX147" s="536">
        <f t="shared" si="65"/>
        <v>6.7867169506050811</v>
      </c>
      <c r="BY147" s="442" t="s">
        <v>305</v>
      </c>
      <c r="BZ147" s="542">
        <f>EXP(CA146)</f>
        <v>1106.0030229799731</v>
      </c>
      <c r="CA147" s="451"/>
      <c r="CB147" s="443">
        <f t="shared" si="48"/>
        <v>3338</v>
      </c>
      <c r="CC147" s="443">
        <f t="shared" si="49"/>
        <v>2.3039999999999998</v>
      </c>
      <c r="CE147" s="536">
        <f t="shared" si="66"/>
        <v>5.955837369464831</v>
      </c>
      <c r="CF147" s="442" t="s">
        <v>305</v>
      </c>
      <c r="CG147" s="542">
        <f>EXP(CH146)</f>
        <v>643.94876029854288</v>
      </c>
      <c r="CH147" s="451"/>
      <c r="CI147" s="443">
        <f t="shared" si="50"/>
        <v>3329</v>
      </c>
      <c r="CJ147" s="443">
        <f t="shared" si="51"/>
        <v>3.2490000000000001</v>
      </c>
      <c r="CL147" s="536" t="e">
        <f t="shared" si="67"/>
        <v>#NUM!</v>
      </c>
      <c r="CM147" s="442" t="s">
        <v>305</v>
      </c>
      <c r="CN147" s="542" t="e">
        <f>EXP(CO146)</f>
        <v>#VALUE!</v>
      </c>
      <c r="CO147" s="451"/>
      <c r="CP147" s="443" t="e">
        <f t="shared" si="52"/>
        <v>#VALUE!</v>
      </c>
      <c r="CQ147" s="443" t="e">
        <f t="shared" si="53"/>
        <v>#VALUE!</v>
      </c>
      <c r="CS147" s="536" t="e">
        <f t="shared" si="68"/>
        <v>#NUM!</v>
      </c>
      <c r="CT147" s="442" t="s">
        <v>305</v>
      </c>
      <c r="CU147" s="542" t="e">
        <f>EXP(CV146)</f>
        <v>#VALUE!</v>
      </c>
      <c r="CV147" s="451"/>
      <c r="CW147" s="443" t="e">
        <f t="shared" si="54"/>
        <v>#VALUE!</v>
      </c>
      <c r="CX147" s="443" t="e">
        <f t="shared" si="55"/>
        <v>#VALUE!</v>
      </c>
    </row>
    <row r="148" spans="1:102" ht="15" customHeight="1">
      <c r="A148" s="436">
        <f t="shared" si="26"/>
        <v>2012</v>
      </c>
      <c r="B148" s="437">
        <f t="shared" si="26"/>
        <v>3321</v>
      </c>
      <c r="C148" s="533">
        <f t="shared" si="69"/>
        <v>8.0928510275383836</v>
      </c>
      <c r="D148" s="438">
        <f t="shared" si="27"/>
        <v>7</v>
      </c>
      <c r="E148" s="534">
        <f t="shared" si="70"/>
        <v>1.9459101490553132</v>
      </c>
      <c r="F148" s="540" t="s">
        <v>306</v>
      </c>
      <c r="G148" s="504">
        <f>INDEX(LINEST(C142:C152,E142:E152),1)</f>
        <v>-4.0367821964090417E-2</v>
      </c>
      <c r="H148" s="439"/>
      <c r="I148" s="443">
        <f t="shared" si="28"/>
        <v>3323</v>
      </c>
      <c r="J148" s="446">
        <f t="shared" si="29"/>
        <v>6.0222824450466728E-2</v>
      </c>
      <c r="K148" s="443">
        <f t="shared" si="71"/>
        <v>4.0000000000000001E-3</v>
      </c>
      <c r="M148" s="536">
        <f t="shared" si="56"/>
        <v>8.0928510275383836</v>
      </c>
      <c r="Q148" s="443">
        <f t="shared" si="30"/>
        <v>3323</v>
      </c>
      <c r="R148" s="443">
        <f t="shared" si="31"/>
        <v>4.0000000000000001E-3</v>
      </c>
      <c r="T148" s="536">
        <f t="shared" si="57"/>
        <v>8.0774471493311992</v>
      </c>
      <c r="W148" s="451"/>
      <c r="X148" s="443">
        <f t="shared" si="32"/>
        <v>3323</v>
      </c>
      <c r="Y148" s="443">
        <f t="shared" si="33"/>
        <v>4.0000000000000001E-3</v>
      </c>
      <c r="AA148" s="536">
        <f t="shared" si="58"/>
        <v>8.0459087422707789</v>
      </c>
      <c r="AD148" s="451"/>
      <c r="AE148" s="443">
        <f t="shared" si="34"/>
        <v>3323</v>
      </c>
      <c r="AF148" s="443">
        <f t="shared" si="35"/>
        <v>4.0000000000000001E-3</v>
      </c>
      <c r="AH148" s="536">
        <f t="shared" si="59"/>
        <v>8.0133431813866718</v>
      </c>
      <c r="AK148" s="451"/>
      <c r="AL148" s="443">
        <f t="shared" si="36"/>
        <v>3323</v>
      </c>
      <c r="AM148" s="443">
        <f t="shared" si="37"/>
        <v>4.0000000000000001E-3</v>
      </c>
      <c r="AO148" s="536">
        <f t="shared" si="60"/>
        <v>7.9796813023877409</v>
      </c>
      <c r="AR148" s="451"/>
      <c r="AS148" s="443">
        <f t="shared" si="38"/>
        <v>3322</v>
      </c>
      <c r="AT148" s="443">
        <f t="shared" si="39"/>
        <v>1E-3</v>
      </c>
      <c r="AV148" s="536">
        <f t="shared" si="61"/>
        <v>7.944846711001996</v>
      </c>
      <c r="AY148" s="451"/>
      <c r="AZ148" s="443">
        <f t="shared" si="40"/>
        <v>3322</v>
      </c>
      <c r="BA148" s="443">
        <f t="shared" si="41"/>
        <v>1E-3</v>
      </c>
      <c r="BC148" s="536">
        <f t="shared" si="62"/>
        <v>7.7497534062744373</v>
      </c>
      <c r="BF148" s="451"/>
      <c r="BG148" s="443">
        <f t="shared" si="42"/>
        <v>3322</v>
      </c>
      <c r="BH148" s="443">
        <f t="shared" si="43"/>
        <v>1E-3</v>
      </c>
      <c r="BJ148" s="536">
        <f t="shared" si="63"/>
        <v>7.1861443045223252</v>
      </c>
      <c r="BM148" s="451"/>
      <c r="BN148" s="443">
        <f t="shared" si="44"/>
        <v>3321</v>
      </c>
      <c r="BO148" s="443">
        <f t="shared" si="45"/>
        <v>0</v>
      </c>
      <c r="BQ148" s="536">
        <f t="shared" si="64"/>
        <v>7.02197642307216</v>
      </c>
      <c r="BT148" s="451"/>
      <c r="BU148" s="443">
        <f t="shared" si="46"/>
        <v>3320</v>
      </c>
      <c r="BV148" s="443">
        <f t="shared" si="47"/>
        <v>1E-3</v>
      </c>
      <c r="BX148" s="536">
        <f t="shared" si="65"/>
        <v>6.7105231094524278</v>
      </c>
      <c r="CA148" s="451"/>
      <c r="CB148" s="443">
        <f t="shared" si="48"/>
        <v>3319</v>
      </c>
      <c r="CC148" s="443">
        <f t="shared" si="49"/>
        <v>4.0000000000000001E-3</v>
      </c>
      <c r="CE148" s="536">
        <f t="shared" si="66"/>
        <v>5.7714411231300158</v>
      </c>
      <c r="CH148" s="451"/>
      <c r="CI148" s="443">
        <f t="shared" si="50"/>
        <v>3311</v>
      </c>
      <c r="CJ148" s="443">
        <f t="shared" si="51"/>
        <v>0.1</v>
      </c>
      <c r="CL148" s="536" t="e">
        <f t="shared" si="67"/>
        <v>#NUM!</v>
      </c>
      <c r="CO148" s="451"/>
      <c r="CP148" s="443" t="e">
        <f t="shared" si="52"/>
        <v>#VALUE!</v>
      </c>
      <c r="CQ148" s="443" t="e">
        <f t="shared" si="53"/>
        <v>#VALUE!</v>
      </c>
      <c r="CS148" s="536" t="e">
        <f t="shared" si="68"/>
        <v>#NUM!</v>
      </c>
      <c r="CV148" s="451"/>
      <c r="CW148" s="443" t="e">
        <f t="shared" si="54"/>
        <v>#VALUE!</v>
      </c>
      <c r="CX148" s="443" t="e">
        <f t="shared" si="55"/>
        <v>#VALUE!</v>
      </c>
    </row>
    <row r="149" spans="1:102" ht="15" customHeight="1">
      <c r="A149" s="436">
        <f t="shared" si="26"/>
        <v>2013</v>
      </c>
      <c r="B149" s="437">
        <f t="shared" si="26"/>
        <v>3291</v>
      </c>
      <c r="C149" s="533">
        <f t="shared" si="69"/>
        <v>8.0836372031415475</v>
      </c>
      <c r="D149" s="438">
        <f t="shared" si="27"/>
        <v>8</v>
      </c>
      <c r="E149" s="543">
        <f t="shared" si="70"/>
        <v>2.0794415416798357</v>
      </c>
      <c r="F149" s="540" t="s">
        <v>301</v>
      </c>
      <c r="G149" s="504">
        <f>INDEX(LINEST(C142:C152,E142:E152),2)</f>
        <v>8.1719099155502928</v>
      </c>
      <c r="H149" s="544" t="s">
        <v>320</v>
      </c>
      <c r="I149" s="443">
        <f t="shared" si="28"/>
        <v>3305</v>
      </c>
      <c r="J149" s="446">
        <f t="shared" si="29"/>
        <v>0.42540261318748096</v>
      </c>
      <c r="K149" s="443">
        <f t="shared" si="71"/>
        <v>0.19600000000000001</v>
      </c>
      <c r="M149" s="536">
        <f t="shared" si="56"/>
        <v>8.0836372031415475</v>
      </c>
      <c r="P149" s="451"/>
      <c r="Q149" s="443">
        <f t="shared" si="30"/>
        <v>3305</v>
      </c>
      <c r="R149" s="443">
        <f t="shared" si="31"/>
        <v>0.19600000000000001</v>
      </c>
      <c r="T149" s="536">
        <f t="shared" si="57"/>
        <v>8.068089626278244</v>
      </c>
      <c r="W149" s="451"/>
      <c r="X149" s="443">
        <f t="shared" si="32"/>
        <v>3305</v>
      </c>
      <c r="Y149" s="443">
        <f t="shared" si="33"/>
        <v>0.19600000000000001</v>
      </c>
      <c r="AA149" s="536">
        <f t="shared" si="58"/>
        <v>8.0362499421321161</v>
      </c>
      <c r="AD149" s="451"/>
      <c r="AE149" s="443">
        <f t="shared" si="34"/>
        <v>3305</v>
      </c>
      <c r="AF149" s="443">
        <f t="shared" si="35"/>
        <v>0.19600000000000001</v>
      </c>
      <c r="AH149" s="536">
        <f t="shared" si="59"/>
        <v>8.0033630586299473</v>
      </c>
      <c r="AK149" s="451"/>
      <c r="AL149" s="443">
        <f t="shared" si="36"/>
        <v>3305</v>
      </c>
      <c r="AM149" s="443">
        <f t="shared" si="37"/>
        <v>0.19600000000000001</v>
      </c>
      <c r="AO149" s="536">
        <f t="shared" si="60"/>
        <v>7.9693577420163457</v>
      </c>
      <c r="AR149" s="451"/>
      <c r="AS149" s="443">
        <f t="shared" si="38"/>
        <v>3305</v>
      </c>
      <c r="AT149" s="443">
        <f t="shared" si="39"/>
        <v>0.19600000000000001</v>
      </c>
      <c r="AV149" s="536">
        <f t="shared" si="61"/>
        <v>7.9341552335363223</v>
      </c>
      <c r="AY149" s="451"/>
      <c r="AZ149" s="443">
        <f t="shared" si="40"/>
        <v>3305</v>
      </c>
      <c r="BA149" s="443">
        <f t="shared" si="41"/>
        <v>0.19600000000000001</v>
      </c>
      <c r="BC149" s="536">
        <f t="shared" si="62"/>
        <v>7.7367436824534952</v>
      </c>
      <c r="BF149" s="451"/>
      <c r="BG149" s="443">
        <f t="shared" si="42"/>
        <v>3305</v>
      </c>
      <c r="BH149" s="443">
        <f t="shared" si="43"/>
        <v>0.19600000000000001</v>
      </c>
      <c r="BJ149" s="536">
        <f t="shared" si="63"/>
        <v>7.1631723908466425</v>
      </c>
      <c r="BM149" s="451"/>
      <c r="BN149" s="443">
        <f t="shared" si="44"/>
        <v>3303</v>
      </c>
      <c r="BO149" s="443">
        <f t="shared" si="45"/>
        <v>0.14399999999999999</v>
      </c>
      <c r="BQ149" s="536">
        <f t="shared" si="64"/>
        <v>6.9948499858330706</v>
      </c>
      <c r="BT149" s="451"/>
      <c r="BU149" s="443">
        <f t="shared" si="46"/>
        <v>3303</v>
      </c>
      <c r="BV149" s="443">
        <f t="shared" si="47"/>
        <v>0.14399999999999999</v>
      </c>
      <c r="BX149" s="536">
        <f t="shared" si="65"/>
        <v>6.6732979677676543</v>
      </c>
      <c r="CA149" s="451"/>
      <c r="CB149" s="443">
        <f t="shared" si="48"/>
        <v>3302</v>
      </c>
      <c r="CC149" s="443">
        <f t="shared" si="49"/>
        <v>0.121</v>
      </c>
      <c r="CE149" s="536">
        <f t="shared" si="66"/>
        <v>5.6733232671714928</v>
      </c>
      <c r="CH149" s="451"/>
      <c r="CI149" s="443">
        <f t="shared" si="50"/>
        <v>3295</v>
      </c>
      <c r="CJ149" s="443">
        <f t="shared" si="51"/>
        <v>1.6E-2</v>
      </c>
      <c r="CL149" s="536" t="e">
        <f t="shared" si="67"/>
        <v>#NUM!</v>
      </c>
      <c r="CO149" s="451"/>
      <c r="CP149" s="443" t="e">
        <f t="shared" si="52"/>
        <v>#VALUE!</v>
      </c>
      <c r="CQ149" s="443" t="e">
        <f t="shared" si="53"/>
        <v>#VALUE!</v>
      </c>
      <c r="CS149" s="536" t="e">
        <f t="shared" si="68"/>
        <v>#NUM!</v>
      </c>
      <c r="CV149" s="451"/>
      <c r="CW149" s="443" t="e">
        <f t="shared" si="54"/>
        <v>#VALUE!</v>
      </c>
      <c r="CX149" s="443" t="e">
        <f t="shared" si="55"/>
        <v>#VALUE!</v>
      </c>
    </row>
    <row r="150" spans="1:102" ht="15" customHeight="1">
      <c r="A150" s="436">
        <f t="shared" si="26"/>
        <v>2014</v>
      </c>
      <c r="B150" s="437">
        <f t="shared" si="26"/>
        <v>3233</v>
      </c>
      <c r="C150" s="545">
        <f t="shared" si="69"/>
        <v>8.065579427282092</v>
      </c>
      <c r="D150" s="438">
        <f t="shared" si="27"/>
        <v>9</v>
      </c>
      <c r="E150" s="546">
        <f t="shared" si="70"/>
        <v>2.1972245773362196</v>
      </c>
      <c r="F150" s="540" t="s">
        <v>305</v>
      </c>
      <c r="G150" s="547">
        <f>EXP(G149)</f>
        <v>3540.0988007342826</v>
      </c>
      <c r="I150" s="443">
        <f t="shared" si="28"/>
        <v>3290</v>
      </c>
      <c r="J150" s="467">
        <f t="shared" si="29"/>
        <v>1.7630683575626354</v>
      </c>
      <c r="K150" s="443">
        <f t="shared" si="71"/>
        <v>3.2490000000000001</v>
      </c>
      <c r="M150" s="536">
        <f t="shared" si="56"/>
        <v>8.065579427282092</v>
      </c>
      <c r="N150" s="451"/>
      <c r="O150" s="451"/>
      <c r="P150" s="510"/>
      <c r="Q150" s="443">
        <f t="shared" si="30"/>
        <v>3290</v>
      </c>
      <c r="R150" s="443">
        <f t="shared" si="31"/>
        <v>3.2490000000000001</v>
      </c>
      <c r="T150" s="536">
        <f t="shared" si="57"/>
        <v>8.0497462909521911</v>
      </c>
      <c r="U150" s="451"/>
      <c r="V150" s="451"/>
      <c r="W150" s="510"/>
      <c r="X150" s="443">
        <f t="shared" si="32"/>
        <v>3290</v>
      </c>
      <c r="Y150" s="443">
        <f t="shared" si="33"/>
        <v>3.2490000000000001</v>
      </c>
      <c r="AA150" s="536">
        <f t="shared" si="58"/>
        <v>8.0173075076885816</v>
      </c>
      <c r="AB150" s="451"/>
      <c r="AC150" s="451"/>
      <c r="AD150" s="510"/>
      <c r="AE150" s="443">
        <f t="shared" si="34"/>
        <v>3290</v>
      </c>
      <c r="AF150" s="443">
        <f t="shared" si="35"/>
        <v>3.2490000000000001</v>
      </c>
      <c r="AH150" s="536">
        <f t="shared" si="59"/>
        <v>7.9837810689774509</v>
      </c>
      <c r="AI150" s="451"/>
      <c r="AJ150" s="451"/>
      <c r="AK150" s="510"/>
      <c r="AL150" s="443">
        <f t="shared" si="36"/>
        <v>3290</v>
      </c>
      <c r="AM150" s="443">
        <f t="shared" si="37"/>
        <v>3.2490000000000001</v>
      </c>
      <c r="AO150" s="536">
        <f t="shared" si="60"/>
        <v>7.9490914998305167</v>
      </c>
      <c r="AP150" s="451"/>
      <c r="AQ150" s="451"/>
      <c r="AR150" s="510"/>
      <c r="AS150" s="443">
        <f t="shared" si="38"/>
        <v>3290</v>
      </c>
      <c r="AT150" s="443">
        <f t="shared" si="39"/>
        <v>3.2490000000000001</v>
      </c>
      <c r="AV150" s="536">
        <f t="shared" si="61"/>
        <v>7.9131551859280682</v>
      </c>
      <c r="AW150" s="451"/>
      <c r="AX150" s="451"/>
      <c r="AY150" s="510"/>
      <c r="AZ150" s="443">
        <f t="shared" si="40"/>
        <v>3290</v>
      </c>
      <c r="BA150" s="443">
        <f t="shared" si="41"/>
        <v>3.2490000000000001</v>
      </c>
      <c r="BC150" s="536">
        <f t="shared" si="62"/>
        <v>7.7111012518401578</v>
      </c>
      <c r="BD150" s="451"/>
      <c r="BE150" s="451"/>
      <c r="BF150" s="510"/>
      <c r="BG150" s="443">
        <f t="shared" si="42"/>
        <v>3289</v>
      </c>
      <c r="BH150" s="443">
        <f t="shared" si="43"/>
        <v>3.1360000000000001</v>
      </c>
      <c r="BJ150" s="536">
        <f t="shared" si="63"/>
        <v>7.1172055031643442</v>
      </c>
      <c r="BK150" s="451"/>
      <c r="BL150" s="451"/>
      <c r="BM150" s="510"/>
      <c r="BN150" s="443">
        <f t="shared" si="44"/>
        <v>3289</v>
      </c>
      <c r="BO150" s="443">
        <f t="shared" si="45"/>
        <v>3.1360000000000001</v>
      </c>
      <c r="BQ150" s="536">
        <f t="shared" si="64"/>
        <v>6.9402224691196386</v>
      </c>
      <c r="BR150" s="451"/>
      <c r="BS150" s="451"/>
      <c r="BT150" s="510"/>
      <c r="BU150" s="443">
        <f t="shared" si="46"/>
        <v>3288</v>
      </c>
      <c r="BV150" s="443">
        <f t="shared" si="47"/>
        <v>3.0249999999999999</v>
      </c>
      <c r="BX150" s="536">
        <f t="shared" si="65"/>
        <v>6.5971457018866513</v>
      </c>
      <c r="BY150" s="451"/>
      <c r="BZ150" s="451"/>
      <c r="CA150" s="510"/>
      <c r="CB150" s="443">
        <f t="shared" si="48"/>
        <v>3287</v>
      </c>
      <c r="CC150" s="443">
        <f t="shared" si="49"/>
        <v>2.9159999999999999</v>
      </c>
      <c r="CE150" s="536">
        <f t="shared" si="66"/>
        <v>5.4510384535657002</v>
      </c>
      <c r="CF150" s="451"/>
      <c r="CG150" s="451"/>
      <c r="CH150" s="510"/>
      <c r="CI150" s="443">
        <f t="shared" si="50"/>
        <v>3283</v>
      </c>
      <c r="CJ150" s="443">
        <f t="shared" si="51"/>
        <v>2.5</v>
      </c>
      <c r="CL150" s="536" t="e">
        <f t="shared" si="67"/>
        <v>#NUM!</v>
      </c>
      <c r="CM150" s="451"/>
      <c r="CN150" s="451"/>
      <c r="CO150" s="510"/>
      <c r="CP150" s="443" t="e">
        <f t="shared" si="52"/>
        <v>#VALUE!</v>
      </c>
      <c r="CQ150" s="443" t="e">
        <f t="shared" si="53"/>
        <v>#VALUE!</v>
      </c>
      <c r="CS150" s="536" t="e">
        <f t="shared" si="68"/>
        <v>#NUM!</v>
      </c>
      <c r="CT150" s="451"/>
      <c r="CU150" s="451"/>
      <c r="CV150" s="510"/>
      <c r="CW150" s="443" t="e">
        <f t="shared" si="54"/>
        <v>#VALUE!</v>
      </c>
      <c r="CX150" s="443" t="e">
        <f t="shared" si="55"/>
        <v>#VALUE!</v>
      </c>
    </row>
    <row r="151" spans="1:102" ht="15" customHeight="1">
      <c r="A151" s="436">
        <f t="shared" si="26"/>
        <v>2015</v>
      </c>
      <c r="B151" s="437">
        <f t="shared" si="26"/>
        <v>3221</v>
      </c>
      <c r="C151" s="545">
        <f t="shared" si="69"/>
        <v>8.0618022745383477</v>
      </c>
      <c r="D151" s="438">
        <f t="shared" si="27"/>
        <v>10</v>
      </c>
      <c r="E151" s="546">
        <f t="shared" si="70"/>
        <v>2.3025850929940459</v>
      </c>
      <c r="H151" s="439"/>
      <c r="I151" s="443">
        <f t="shared" si="28"/>
        <v>3276</v>
      </c>
      <c r="J151" s="467">
        <f t="shared" si="29"/>
        <v>1.7075442409189692</v>
      </c>
      <c r="K151" s="443">
        <f t="shared" si="71"/>
        <v>3.0249999999999999</v>
      </c>
      <c r="M151" s="536">
        <f t="shared" si="56"/>
        <v>8.0618022745383477</v>
      </c>
      <c r="N151" s="439" t="s">
        <v>321</v>
      </c>
      <c r="O151" s="504">
        <f>P141</f>
        <v>0.76298986897537846</v>
      </c>
      <c r="P151" s="510"/>
      <c r="Q151" s="443">
        <f t="shared" si="30"/>
        <v>3276</v>
      </c>
      <c r="R151" s="443">
        <f t="shared" si="31"/>
        <v>3.0249999999999999</v>
      </c>
      <c r="T151" s="536">
        <f t="shared" si="57"/>
        <v>8.0459087422707789</v>
      </c>
      <c r="U151" s="439" t="s">
        <v>321</v>
      </c>
      <c r="V151" s="504">
        <f>W141</f>
        <v>0.76298986897537846</v>
      </c>
      <c r="W151" s="510"/>
      <c r="X151" s="443">
        <f t="shared" si="32"/>
        <v>3276</v>
      </c>
      <c r="Y151" s="443">
        <f t="shared" si="33"/>
        <v>3.0249999999999999</v>
      </c>
      <c r="AA151" s="536">
        <f t="shared" si="58"/>
        <v>8.0133431813866718</v>
      </c>
      <c r="AB151" s="439" t="s">
        <v>321</v>
      </c>
      <c r="AC151" s="504">
        <f>AD141</f>
        <v>0.76211820122704965</v>
      </c>
      <c r="AD151" s="510"/>
      <c r="AE151" s="443">
        <f t="shared" si="34"/>
        <v>3276</v>
      </c>
      <c r="AF151" s="443">
        <f t="shared" si="35"/>
        <v>3.0249999999999999</v>
      </c>
      <c r="AH151" s="536">
        <f t="shared" si="59"/>
        <v>7.9796813023877409</v>
      </c>
      <c r="AI151" s="439" t="s">
        <v>321</v>
      </c>
      <c r="AJ151" s="504">
        <f>AK141</f>
        <v>0.76079156914708002</v>
      </c>
      <c r="AK151" s="510"/>
      <c r="AL151" s="443">
        <f t="shared" si="36"/>
        <v>3276</v>
      </c>
      <c r="AM151" s="443">
        <f t="shared" si="37"/>
        <v>3.0249999999999999</v>
      </c>
      <c r="AO151" s="536">
        <f t="shared" si="60"/>
        <v>7.944846711001996</v>
      </c>
      <c r="AP151" s="439" t="s">
        <v>321</v>
      </c>
      <c r="AQ151" s="504">
        <f>AR141</f>
        <v>0.76083884126297308</v>
      </c>
      <c r="AR151" s="510"/>
      <c r="AS151" s="443">
        <f t="shared" si="38"/>
        <v>3276</v>
      </c>
      <c r="AT151" s="443">
        <f t="shared" si="39"/>
        <v>3.0249999999999999</v>
      </c>
      <c r="AV151" s="536">
        <f t="shared" si="61"/>
        <v>7.9087547387832462</v>
      </c>
      <c r="AW151" s="439" t="s">
        <v>321</v>
      </c>
      <c r="AX151" s="504">
        <f>AY141</f>
        <v>0.76083884126297308</v>
      </c>
      <c r="AY151" s="510"/>
      <c r="AZ151" s="443">
        <f t="shared" si="40"/>
        <v>3276</v>
      </c>
      <c r="BA151" s="443">
        <f t="shared" si="41"/>
        <v>3.0249999999999999</v>
      </c>
      <c r="BC151" s="536">
        <f t="shared" si="62"/>
        <v>7.7057128238944275</v>
      </c>
      <c r="BD151" s="439" t="s">
        <v>321</v>
      </c>
      <c r="BE151" s="504">
        <f>BF141</f>
        <v>0.75992508317318608</v>
      </c>
      <c r="BF151" s="510"/>
      <c r="BG151" s="443">
        <f t="shared" si="42"/>
        <v>3276</v>
      </c>
      <c r="BH151" s="443">
        <f t="shared" si="43"/>
        <v>3.0249999999999999</v>
      </c>
      <c r="BJ151" s="536">
        <f t="shared" si="63"/>
        <v>7.1074254741107046</v>
      </c>
      <c r="BK151" s="439" t="s">
        <v>321</v>
      </c>
      <c r="BL151" s="504">
        <f>BM141</f>
        <v>0.74773068833317813</v>
      </c>
      <c r="BM151" s="510"/>
      <c r="BN151" s="443">
        <f t="shared" si="44"/>
        <v>3275</v>
      </c>
      <c r="BO151" s="443">
        <f t="shared" si="45"/>
        <v>2.9159999999999999</v>
      </c>
      <c r="BQ151" s="536">
        <f t="shared" si="64"/>
        <v>6.9285378181646653</v>
      </c>
      <c r="BR151" s="439" t="s">
        <v>321</v>
      </c>
      <c r="BS151" s="504">
        <f>BT141</f>
        <v>0.74243573013858022</v>
      </c>
      <c r="BT151" s="510"/>
      <c r="BU151" s="443">
        <f t="shared" si="46"/>
        <v>3275</v>
      </c>
      <c r="BV151" s="443">
        <f t="shared" si="47"/>
        <v>2.9159999999999999</v>
      </c>
      <c r="BX151" s="536">
        <f t="shared" si="65"/>
        <v>6.5806391372849493</v>
      </c>
      <c r="BY151" s="439" t="s">
        <v>321</v>
      </c>
      <c r="BZ151" s="504">
        <f>CA141</f>
        <v>0.73056120176824235</v>
      </c>
      <c r="CA151" s="510"/>
      <c r="CB151" s="443">
        <f t="shared" si="48"/>
        <v>3275</v>
      </c>
      <c r="CC151" s="443">
        <f t="shared" si="49"/>
        <v>2.9159999999999999</v>
      </c>
      <c r="CE151" s="536">
        <f t="shared" si="66"/>
        <v>5.3981627015177525</v>
      </c>
      <c r="CF151" s="439" t="s">
        <v>321</v>
      </c>
      <c r="CG151" s="504">
        <f>CH141</f>
        <v>0.66285455999560638</v>
      </c>
      <c r="CH151" s="510"/>
      <c r="CI151" s="443">
        <f t="shared" si="50"/>
        <v>3272</v>
      </c>
      <c r="CJ151" s="443">
        <f t="shared" si="51"/>
        <v>2.601</v>
      </c>
      <c r="CL151" s="536" t="e">
        <f t="shared" si="67"/>
        <v>#NUM!</v>
      </c>
      <c r="CM151" s="439" t="s">
        <v>321</v>
      </c>
      <c r="CN151" s="504" t="e">
        <f>CO141</f>
        <v>#VALUE!</v>
      </c>
      <c r="CO151" s="510"/>
      <c r="CP151" s="443" t="e">
        <f t="shared" si="52"/>
        <v>#VALUE!</v>
      </c>
      <c r="CQ151" s="443" t="e">
        <f t="shared" si="53"/>
        <v>#VALUE!</v>
      </c>
      <c r="CS151" s="536" t="e">
        <f t="shared" si="68"/>
        <v>#NUM!</v>
      </c>
      <c r="CT151" s="439" t="s">
        <v>321</v>
      </c>
      <c r="CU151" s="504" t="e">
        <f>CV141</f>
        <v>#VALUE!</v>
      </c>
      <c r="CV151" s="510"/>
      <c r="CW151" s="443" t="e">
        <f t="shared" si="54"/>
        <v>#VALUE!</v>
      </c>
      <c r="CX151" s="443" t="e">
        <f t="shared" si="55"/>
        <v>#VALUE!</v>
      </c>
    </row>
    <row r="152" spans="1:102" ht="15" customHeight="1" thickBot="1">
      <c r="A152" s="436">
        <f t="shared" si="26"/>
        <v>2016</v>
      </c>
      <c r="B152" s="437">
        <f t="shared" si="26"/>
        <v>3240</v>
      </c>
      <c r="C152" s="545">
        <f t="shared" si="69"/>
        <v>8.0677761957788903</v>
      </c>
      <c r="D152" s="438">
        <f t="shared" si="27"/>
        <v>11</v>
      </c>
      <c r="E152" s="546">
        <f t="shared" si="70"/>
        <v>2.3978952727983707</v>
      </c>
      <c r="I152" s="443">
        <f t="shared" si="28"/>
        <v>3263</v>
      </c>
      <c r="J152" s="467">
        <f t="shared" si="29"/>
        <v>0.70987654320987659</v>
      </c>
      <c r="K152" s="443">
        <f t="shared" si="71"/>
        <v>0.52900000000000003</v>
      </c>
      <c r="M152" s="536">
        <f t="shared" si="56"/>
        <v>8.0677761957788903</v>
      </c>
      <c r="N152" s="439" t="s">
        <v>322</v>
      </c>
      <c r="O152" s="548">
        <f>SUM(R142:R152)</f>
        <v>30.583000000000002</v>
      </c>
      <c r="P152" s="509"/>
      <c r="Q152" s="443">
        <f t="shared" si="30"/>
        <v>3263</v>
      </c>
      <c r="R152" s="443">
        <f t="shared" si="31"/>
        <v>0.52900000000000003</v>
      </c>
      <c r="T152" s="536">
        <f t="shared" si="57"/>
        <v>8.0519780789022999</v>
      </c>
      <c r="U152" s="439" t="s">
        <v>322</v>
      </c>
      <c r="V152" s="548">
        <f>SUM(Y142:Y152)</f>
        <v>30.583000000000002</v>
      </c>
      <c r="W152" s="509"/>
      <c r="X152" s="443">
        <f t="shared" si="32"/>
        <v>3263</v>
      </c>
      <c r="Y152" s="443">
        <f t="shared" si="33"/>
        <v>0.52900000000000003</v>
      </c>
      <c r="AA152" s="536">
        <f t="shared" si="58"/>
        <v>8.0196127944002669</v>
      </c>
      <c r="AB152" s="439" t="s">
        <v>322</v>
      </c>
      <c r="AC152" s="548">
        <f>SUM(AF142:AF152)</f>
        <v>30.696000000000002</v>
      </c>
      <c r="AD152" s="509"/>
      <c r="AE152" s="443">
        <f t="shared" si="34"/>
        <v>3263</v>
      </c>
      <c r="AF152" s="443">
        <f t="shared" si="35"/>
        <v>0.52900000000000003</v>
      </c>
      <c r="AH152" s="536">
        <f t="shared" si="59"/>
        <v>7.9861648603327273</v>
      </c>
      <c r="AI152" s="439" t="s">
        <v>322</v>
      </c>
      <c r="AJ152" s="548">
        <f>SUM(AM142:AM152)</f>
        <v>30.879000000000001</v>
      </c>
      <c r="AK152" s="509"/>
      <c r="AL152" s="443">
        <f t="shared" si="36"/>
        <v>3263</v>
      </c>
      <c r="AM152" s="443">
        <f t="shared" si="37"/>
        <v>0.52900000000000003</v>
      </c>
      <c r="AO152" s="536">
        <f t="shared" si="60"/>
        <v>7.9515593311552522</v>
      </c>
      <c r="AP152" s="439" t="s">
        <v>322</v>
      </c>
      <c r="AQ152" s="548">
        <f>SUM(AT142:AT152)</f>
        <v>30.876000000000001</v>
      </c>
      <c r="AR152" s="509"/>
      <c r="AS152" s="443">
        <f t="shared" si="38"/>
        <v>3263</v>
      </c>
      <c r="AT152" s="443">
        <f t="shared" si="39"/>
        <v>0.52900000000000003</v>
      </c>
      <c r="AV152" s="536">
        <f t="shared" si="61"/>
        <v>7.9157131993821155</v>
      </c>
      <c r="AW152" s="439" t="s">
        <v>322</v>
      </c>
      <c r="AX152" s="548">
        <f>SUM(BA142:BA152)</f>
        <v>30.876000000000001</v>
      </c>
      <c r="AY152" s="509"/>
      <c r="AZ152" s="443">
        <f t="shared" si="40"/>
        <v>3263</v>
      </c>
      <c r="BA152" s="443">
        <f t="shared" si="41"/>
        <v>0.52900000000000003</v>
      </c>
      <c r="BC152" s="536">
        <f t="shared" si="62"/>
        <v>7.7142311448490855</v>
      </c>
      <c r="BD152" s="439" t="s">
        <v>322</v>
      </c>
      <c r="BE152" s="548">
        <f>SUM(BH142:BH152)</f>
        <v>31.02</v>
      </c>
      <c r="BF152" s="509"/>
      <c r="BG152" s="443">
        <f t="shared" si="42"/>
        <v>3263</v>
      </c>
      <c r="BH152" s="443">
        <f t="shared" si="43"/>
        <v>0.52900000000000003</v>
      </c>
      <c r="BJ152" s="536">
        <f t="shared" si="63"/>
        <v>7.122866658599083</v>
      </c>
      <c r="BK152" s="439" t="s">
        <v>322</v>
      </c>
      <c r="BL152" s="548">
        <f>SUM(BO142:BO152)</f>
        <v>32.781999999999996</v>
      </c>
      <c r="BM152" s="509"/>
      <c r="BN152" s="443">
        <f t="shared" si="44"/>
        <v>3263</v>
      </c>
      <c r="BO152" s="443">
        <f t="shared" si="45"/>
        <v>0.52900000000000003</v>
      </c>
      <c r="BQ152" s="536">
        <f t="shared" si="64"/>
        <v>6.9469759921354184</v>
      </c>
      <c r="BR152" s="439" t="s">
        <v>322</v>
      </c>
      <c r="BS152" s="548">
        <f>SUM(BV142:BV152)</f>
        <v>33.57</v>
      </c>
      <c r="BT152" s="509"/>
      <c r="BU152" s="443">
        <f t="shared" si="46"/>
        <v>3263</v>
      </c>
      <c r="BV152" s="443">
        <f t="shared" si="47"/>
        <v>0.52900000000000003</v>
      </c>
      <c r="BX152" s="536">
        <f t="shared" si="65"/>
        <v>6.6066501861982152</v>
      </c>
      <c r="BY152" s="439" t="s">
        <v>322</v>
      </c>
      <c r="BZ152" s="548">
        <f>SUM(CC142:CC152)</f>
        <v>35.455999999999996</v>
      </c>
      <c r="CA152" s="509"/>
      <c r="CB152" s="443">
        <f t="shared" si="48"/>
        <v>3263</v>
      </c>
      <c r="CC152" s="443">
        <f t="shared" si="49"/>
        <v>0.52900000000000003</v>
      </c>
      <c r="CE152" s="536">
        <f t="shared" si="66"/>
        <v>5.4806389233419912</v>
      </c>
      <c r="CF152" s="439" t="s">
        <v>322</v>
      </c>
      <c r="CG152" s="548">
        <f>SUM(CJ142:CJ152)</f>
        <v>49.100999999999999</v>
      </c>
      <c r="CH152" s="509"/>
      <c r="CI152" s="443">
        <f t="shared" si="50"/>
        <v>3262</v>
      </c>
      <c r="CJ152" s="443">
        <f t="shared" si="51"/>
        <v>0.48399999999999999</v>
      </c>
      <c r="CL152" s="536" t="e">
        <f t="shared" si="67"/>
        <v>#NUM!</v>
      </c>
      <c r="CM152" s="439" t="s">
        <v>322</v>
      </c>
      <c r="CN152" s="548" t="e">
        <f>SUM(CQ142:CQ152)</f>
        <v>#VALUE!</v>
      </c>
      <c r="CO152" s="509"/>
      <c r="CP152" s="443" t="e">
        <f t="shared" si="52"/>
        <v>#VALUE!</v>
      </c>
      <c r="CQ152" s="443" t="e">
        <f t="shared" si="53"/>
        <v>#VALUE!</v>
      </c>
      <c r="CS152" s="536" t="e">
        <f t="shared" si="68"/>
        <v>#NUM!</v>
      </c>
      <c r="CT152" s="439" t="s">
        <v>322</v>
      </c>
      <c r="CU152" s="548" t="e">
        <f>SUM(CX142:CX152)</f>
        <v>#VALUE!</v>
      </c>
      <c r="CV152" s="509"/>
      <c r="CW152" s="443" t="e">
        <f t="shared" si="54"/>
        <v>#VALUE!</v>
      </c>
      <c r="CX152" s="443" t="e">
        <f t="shared" si="55"/>
        <v>#VALUE!</v>
      </c>
    </row>
    <row r="153" spans="1:102" ht="15" customHeight="1" thickTop="1">
      <c r="A153" s="458">
        <f t="shared" si="26"/>
        <v>2017</v>
      </c>
      <c r="B153" s="459">
        <f>ROUND($G$147+$G$150*D153^$G$148,$G$1)</f>
        <v>3252</v>
      </c>
      <c r="C153" s="549"/>
      <c r="D153" s="550">
        <f t="shared" si="27"/>
        <v>12</v>
      </c>
      <c r="E153" s="551"/>
      <c r="F153" s="2314" t="s">
        <v>276</v>
      </c>
      <c r="G153" s="2315"/>
      <c r="H153" s="514">
        <f>I141</f>
        <v>0.76298986897537846</v>
      </c>
      <c r="I153" s="464">
        <f t="shared" si="28"/>
        <v>3252</v>
      </c>
      <c r="J153" s="463"/>
      <c r="K153" s="464"/>
      <c r="M153" s="552"/>
      <c r="N153" s="553"/>
      <c r="O153" s="554"/>
      <c r="P153" s="331"/>
      <c r="Q153" s="555"/>
      <c r="R153" s="556"/>
      <c r="T153" s="552"/>
      <c r="U153" s="553"/>
      <c r="V153" s="554"/>
      <c r="W153" s="331"/>
      <c r="X153" s="555"/>
      <c r="Y153" s="556"/>
      <c r="AA153" s="552"/>
      <c r="AB153" s="553"/>
      <c r="AC153" s="554"/>
      <c r="AD153" s="331"/>
      <c r="AE153" s="555"/>
      <c r="AF153" s="556"/>
      <c r="AH153" s="552"/>
      <c r="AI153" s="553"/>
      <c r="AJ153" s="554"/>
      <c r="AK153" s="331"/>
      <c r="AL153" s="555"/>
      <c r="AM153" s="556"/>
      <c r="AO153" s="552"/>
      <c r="AP153" s="553"/>
      <c r="AQ153" s="554"/>
      <c r="AR153" s="331"/>
      <c r="AS153" s="555"/>
      <c r="AT153" s="556"/>
      <c r="AV153" s="552"/>
      <c r="AW153" s="553"/>
      <c r="AX153" s="554"/>
      <c r="AY153" s="331"/>
      <c r="AZ153" s="555"/>
      <c r="BA153" s="556"/>
      <c r="BC153" s="552"/>
      <c r="BD153" s="553"/>
      <c r="BE153" s="554"/>
      <c r="BF153" s="331"/>
      <c r="BG153" s="555"/>
      <c r="BH153" s="556"/>
      <c r="BJ153" s="552"/>
      <c r="BK153" s="553"/>
      <c r="BL153" s="554"/>
      <c r="BM153" s="331"/>
      <c r="BN153" s="555"/>
      <c r="BO153" s="556"/>
      <c r="BQ153" s="552"/>
      <c r="BR153" s="553"/>
      <c r="BS153" s="554"/>
      <c r="BT153" s="331"/>
      <c r="BU153" s="555"/>
      <c r="BV153" s="556"/>
      <c r="BX153" s="552"/>
      <c r="BY153" s="553"/>
      <c r="BZ153" s="554"/>
      <c r="CA153" s="331"/>
      <c r="CB153" s="555"/>
      <c r="CC153" s="556"/>
      <c r="CE153" s="552"/>
      <c r="CF153" s="553"/>
      <c r="CG153" s="554"/>
      <c r="CH153" s="331"/>
      <c r="CI153" s="555"/>
      <c r="CJ153" s="556"/>
      <c r="CL153" s="552"/>
      <c r="CM153" s="553"/>
      <c r="CN153" s="554"/>
      <c r="CO153" s="331"/>
      <c r="CP153" s="555"/>
      <c r="CQ153" s="556"/>
      <c r="CS153" s="552"/>
      <c r="CT153" s="553"/>
      <c r="CU153" s="554"/>
      <c r="CV153" s="331"/>
      <c r="CW153" s="555"/>
      <c r="CX153" s="556"/>
    </row>
    <row r="154" spans="1:102" ht="15" customHeight="1">
      <c r="A154" s="436">
        <f t="shared" si="26"/>
        <v>2018</v>
      </c>
      <c r="B154" s="437">
        <f>ROUND($G$147+$G$150*D154^$G$148,$G$1)</f>
        <v>3242</v>
      </c>
      <c r="C154" s="545"/>
      <c r="D154" s="438">
        <f t="shared" si="27"/>
        <v>13</v>
      </c>
      <c r="E154" s="546"/>
      <c r="F154" s="2318" t="s">
        <v>323</v>
      </c>
      <c r="G154" s="2320"/>
      <c r="H154" s="448">
        <f>SUM(K142:K152)</f>
        <v>30.583000000000002</v>
      </c>
      <c r="I154" s="443">
        <f t="shared" si="28"/>
        <v>3242</v>
      </c>
      <c r="J154" s="467"/>
      <c r="K154" s="443"/>
      <c r="M154" s="557"/>
      <c r="N154" s="439"/>
      <c r="O154" s="548"/>
      <c r="P154" s="451"/>
      <c r="Q154" s="493"/>
      <c r="R154" s="492"/>
      <c r="T154" s="557"/>
      <c r="U154" s="439"/>
      <c r="V154" s="548"/>
      <c r="W154" s="451"/>
      <c r="X154" s="493"/>
      <c r="Y154" s="492"/>
      <c r="AA154" s="557"/>
      <c r="AB154" s="439"/>
      <c r="AC154" s="548"/>
      <c r="AD154" s="451"/>
      <c r="AE154" s="493"/>
      <c r="AF154" s="492"/>
      <c r="AH154" s="557"/>
      <c r="AI154" s="439"/>
      <c r="AJ154" s="548"/>
      <c r="AK154" s="451"/>
      <c r="AL154" s="493"/>
      <c r="AM154" s="492"/>
      <c r="AO154" s="557"/>
      <c r="AP154" s="439"/>
      <c r="AQ154" s="548"/>
      <c r="AR154" s="451"/>
      <c r="AS154" s="493"/>
      <c r="AT154" s="492"/>
      <c r="AV154" s="557"/>
      <c r="AW154" s="439"/>
      <c r="AX154" s="548"/>
      <c r="AY154" s="451"/>
      <c r="AZ154" s="493"/>
      <c r="BA154" s="492"/>
      <c r="BC154" s="557"/>
      <c r="BD154" s="439"/>
      <c r="BE154" s="548"/>
      <c r="BF154" s="451"/>
      <c r="BG154" s="493"/>
      <c r="BH154" s="492"/>
      <c r="BJ154" s="557"/>
      <c r="BK154" s="439"/>
      <c r="BL154" s="548"/>
      <c r="BM154" s="451"/>
      <c r="BN154" s="493"/>
      <c r="BO154" s="492"/>
      <c r="BQ154" s="557"/>
      <c r="BR154" s="439"/>
      <c r="BS154" s="548"/>
      <c r="BT154" s="451"/>
      <c r="BU154" s="493"/>
      <c r="BV154" s="492"/>
      <c r="BX154" s="557"/>
      <c r="BY154" s="439"/>
      <c r="BZ154" s="548"/>
      <c r="CA154" s="451"/>
      <c r="CB154" s="493"/>
      <c r="CC154" s="492"/>
      <c r="CE154" s="557"/>
      <c r="CF154" s="439"/>
      <c r="CG154" s="548"/>
      <c r="CH154" s="451"/>
      <c r="CI154" s="493"/>
      <c r="CJ154" s="492"/>
      <c r="CL154" s="557"/>
      <c r="CM154" s="439"/>
      <c r="CN154" s="548"/>
      <c r="CO154" s="451"/>
      <c r="CP154" s="493"/>
      <c r="CQ154" s="492"/>
      <c r="CS154" s="557"/>
      <c r="CT154" s="439"/>
      <c r="CU154" s="548"/>
      <c r="CV154" s="451"/>
      <c r="CW154" s="493"/>
      <c r="CX154" s="492"/>
    </row>
    <row r="155" spans="1:102" ht="15" customHeight="1">
      <c r="A155" s="436">
        <f t="shared" si="26"/>
        <v>2019</v>
      </c>
      <c r="B155" s="437">
        <f t="shared" ref="B155:B174" si="72">ROUND($G$147+$G$150*D155^$G$148,$G$1)</f>
        <v>3232</v>
      </c>
      <c r="C155" s="545"/>
      <c r="D155" s="438">
        <f t="shared" si="27"/>
        <v>14</v>
      </c>
      <c r="E155" s="546"/>
      <c r="F155" s="2318" t="s">
        <v>324</v>
      </c>
      <c r="G155" s="2320"/>
      <c r="H155" s="449">
        <f>SUM(J142:J152)/D152</f>
        <v>1.3112900406572767</v>
      </c>
      <c r="I155" s="443">
        <f t="shared" si="28"/>
        <v>3232</v>
      </c>
      <c r="J155" s="467"/>
      <c r="K155" s="443"/>
      <c r="M155" s="505" t="s">
        <v>325</v>
      </c>
      <c r="N155" s="505">
        <f>MIN(B142:B152)</f>
        <v>3221</v>
      </c>
      <c r="O155" s="505"/>
      <c r="P155" s="505"/>
      <c r="Q155" s="505"/>
      <c r="R155" s="505"/>
      <c r="S155" s="505"/>
      <c r="T155" s="505" t="s">
        <v>325</v>
      </c>
      <c r="U155" s="505">
        <f>N155</f>
        <v>3221</v>
      </c>
      <c r="V155" s="505"/>
      <c r="W155" s="505"/>
      <c r="X155" s="505"/>
      <c r="Y155" s="505"/>
      <c r="Z155" s="505"/>
      <c r="AA155" s="505" t="s">
        <v>325</v>
      </c>
      <c r="AB155" s="505">
        <f>U155</f>
        <v>3221</v>
      </c>
      <c r="AH155" s="505" t="s">
        <v>325</v>
      </c>
      <c r="AI155" s="505">
        <f>AB155</f>
        <v>3221</v>
      </c>
      <c r="AO155" s="505" t="s">
        <v>325</v>
      </c>
      <c r="AP155" s="505">
        <f>AI155</f>
        <v>3221</v>
      </c>
      <c r="AV155" s="505" t="s">
        <v>325</v>
      </c>
      <c r="AW155" s="505">
        <f>AP155</f>
        <v>3221</v>
      </c>
      <c r="BC155" s="505" t="s">
        <v>325</v>
      </c>
      <c r="BD155" s="505">
        <f>AW155</f>
        <v>3221</v>
      </c>
      <c r="BJ155" s="505" t="s">
        <v>325</v>
      </c>
      <c r="BK155" s="505">
        <f>BD155</f>
        <v>3221</v>
      </c>
      <c r="BQ155" s="505" t="s">
        <v>393</v>
      </c>
      <c r="BR155" s="505">
        <f>BK155</f>
        <v>3221</v>
      </c>
      <c r="BX155" s="505" t="s">
        <v>325</v>
      </c>
      <c r="BY155" s="505">
        <f>BR155</f>
        <v>3221</v>
      </c>
      <c r="CE155" s="505" t="s">
        <v>325</v>
      </c>
      <c r="CF155" s="505">
        <f>BY155</f>
        <v>3221</v>
      </c>
      <c r="CL155" s="505" t="s">
        <v>325</v>
      </c>
      <c r="CM155" s="505">
        <f>CF155</f>
        <v>3221</v>
      </c>
      <c r="CS155" s="505" t="s">
        <v>325</v>
      </c>
      <c r="CT155" s="505">
        <f>CM155</f>
        <v>3221</v>
      </c>
    </row>
    <row r="156" spans="1:102" ht="15" customHeight="1">
      <c r="A156" s="436">
        <f t="shared" si="26"/>
        <v>2020</v>
      </c>
      <c r="B156" s="437">
        <f t="shared" si="72"/>
        <v>3224</v>
      </c>
      <c r="C156" s="545"/>
      <c r="D156" s="438">
        <f t="shared" si="27"/>
        <v>15</v>
      </c>
      <c r="E156" s="546"/>
      <c r="I156" s="443">
        <f t="shared" si="28"/>
        <v>3224</v>
      </c>
      <c r="J156" s="467"/>
      <c r="K156" s="443"/>
      <c r="M156" s="505" t="s">
        <v>326</v>
      </c>
      <c r="N156" s="505">
        <v>3</v>
      </c>
      <c r="O156" s="505"/>
      <c r="P156" s="505"/>
      <c r="Q156" s="505"/>
      <c r="R156" s="505"/>
      <c r="S156" s="505"/>
      <c r="T156" s="505" t="s">
        <v>326</v>
      </c>
      <c r="U156" s="505">
        <f>N156</f>
        <v>3</v>
      </c>
      <c r="V156" s="505"/>
      <c r="W156" s="505"/>
      <c r="X156" s="505"/>
      <c r="Y156" s="505"/>
      <c r="Z156" s="505"/>
      <c r="AA156" s="505" t="s">
        <v>326</v>
      </c>
      <c r="AB156" s="505">
        <f>U156</f>
        <v>3</v>
      </c>
      <c r="AH156" s="505" t="s">
        <v>326</v>
      </c>
      <c r="AI156" s="505">
        <f>AB156</f>
        <v>3</v>
      </c>
      <c r="AO156" s="505" t="s">
        <v>326</v>
      </c>
      <c r="AP156" s="505">
        <f>AI156</f>
        <v>3</v>
      </c>
      <c r="AV156" s="505" t="s">
        <v>326</v>
      </c>
      <c r="AW156" s="505">
        <f>AP156</f>
        <v>3</v>
      </c>
      <c r="BC156" s="505" t="s">
        <v>326</v>
      </c>
      <c r="BD156" s="505">
        <f>AW156</f>
        <v>3</v>
      </c>
      <c r="BJ156" s="505" t="s">
        <v>326</v>
      </c>
      <c r="BK156" s="505">
        <f>BD156</f>
        <v>3</v>
      </c>
      <c r="BQ156" s="505" t="s">
        <v>326</v>
      </c>
      <c r="BR156" s="505">
        <f>BK156</f>
        <v>3</v>
      </c>
      <c r="BX156" s="505" t="s">
        <v>326</v>
      </c>
      <c r="BY156" s="505">
        <f>BR156</f>
        <v>3</v>
      </c>
      <c r="CE156" s="505" t="s">
        <v>326</v>
      </c>
      <c r="CF156" s="505">
        <f>BY156</f>
        <v>3</v>
      </c>
      <c r="CL156" s="505" t="s">
        <v>326</v>
      </c>
      <c r="CM156" s="505">
        <f>CF156</f>
        <v>3</v>
      </c>
      <c r="CS156" s="505" t="s">
        <v>326</v>
      </c>
      <c r="CT156" s="505">
        <f>CM156</f>
        <v>3</v>
      </c>
    </row>
    <row r="157" spans="1:102" ht="15" customHeight="1">
      <c r="A157" s="436">
        <f t="shared" si="26"/>
        <v>2021</v>
      </c>
      <c r="B157" s="437">
        <f t="shared" si="72"/>
        <v>3215</v>
      </c>
      <c r="C157" s="545"/>
      <c r="D157" s="438">
        <f t="shared" si="27"/>
        <v>16</v>
      </c>
      <c r="E157" s="546"/>
      <c r="F157" s="519"/>
      <c r="G157" s="451"/>
      <c r="H157" s="558"/>
      <c r="I157" s="443">
        <f t="shared" si="28"/>
        <v>3215</v>
      </c>
      <c r="J157" s="467"/>
      <c r="K157" s="443"/>
      <c r="M157" s="505" t="s">
        <v>329</v>
      </c>
      <c r="N157" s="559">
        <v>150</v>
      </c>
      <c r="O157" s="505"/>
      <c r="P157" s="505"/>
      <c r="Q157" s="505"/>
      <c r="R157" s="505"/>
      <c r="S157" s="505"/>
      <c r="T157" s="505" t="s">
        <v>329</v>
      </c>
      <c r="U157" s="505">
        <f>N157</f>
        <v>150</v>
      </c>
      <c r="V157" s="505"/>
      <c r="W157" s="505"/>
      <c r="X157" s="505"/>
      <c r="Y157" s="505"/>
      <c r="Z157" s="505"/>
      <c r="AA157" s="505" t="s">
        <v>329</v>
      </c>
      <c r="AB157" s="505">
        <f>U157</f>
        <v>150</v>
      </c>
      <c r="AH157" s="505" t="s">
        <v>329</v>
      </c>
      <c r="AI157" s="505">
        <v>500</v>
      </c>
      <c r="AO157" s="505" t="s">
        <v>329</v>
      </c>
      <c r="AP157" s="505">
        <f>AI157</f>
        <v>500</v>
      </c>
      <c r="AV157" s="505" t="s">
        <v>329</v>
      </c>
      <c r="AW157" s="505">
        <f>AP157</f>
        <v>500</v>
      </c>
      <c r="BC157" s="505" t="s">
        <v>389</v>
      </c>
      <c r="BD157" s="505">
        <f>AW157</f>
        <v>500</v>
      </c>
      <c r="BJ157" s="505" t="s">
        <v>329</v>
      </c>
      <c r="BK157" s="505">
        <f>BD157</f>
        <v>500</v>
      </c>
      <c r="BQ157" s="505" t="s">
        <v>329</v>
      </c>
      <c r="BR157" s="505">
        <f>BK157</f>
        <v>500</v>
      </c>
      <c r="BX157" s="505" t="s">
        <v>329</v>
      </c>
      <c r="BY157" s="505">
        <f>BR157</f>
        <v>500</v>
      </c>
      <c r="CE157" s="505" t="s">
        <v>329</v>
      </c>
      <c r="CF157" s="505">
        <f>BY157</f>
        <v>500</v>
      </c>
      <c r="CL157" s="505" t="s">
        <v>329</v>
      </c>
      <c r="CM157" s="505">
        <f>CF157</f>
        <v>500</v>
      </c>
      <c r="CS157" s="505" t="s">
        <v>329</v>
      </c>
      <c r="CT157" s="505">
        <f>CM157</f>
        <v>500</v>
      </c>
    </row>
    <row r="158" spans="1:102" ht="15" customHeight="1" thickBot="1">
      <c r="A158" s="436">
        <f t="shared" ref="A158:A174" si="73">A120</f>
        <v>2022</v>
      </c>
      <c r="B158" s="437">
        <f t="shared" si="72"/>
        <v>3208</v>
      </c>
      <c r="C158" s="545"/>
      <c r="D158" s="438">
        <f t="shared" si="27"/>
        <v>17</v>
      </c>
      <c r="E158" s="546"/>
      <c r="F158" s="560" t="s">
        <v>331</v>
      </c>
      <c r="G158" s="561" t="s">
        <v>332</v>
      </c>
      <c r="H158" s="562" t="s">
        <v>294</v>
      </c>
      <c r="I158" s="443">
        <f t="shared" si="28"/>
        <v>3208</v>
      </c>
      <c r="J158" s="467"/>
      <c r="K158" s="443"/>
      <c r="M158" s="557"/>
      <c r="N158" s="451"/>
      <c r="O158" s="451"/>
      <c r="P158" s="451"/>
      <c r="Q158" s="493"/>
      <c r="R158" s="492"/>
      <c r="T158" s="557"/>
      <c r="U158" s="451"/>
      <c r="V158" s="451"/>
      <c r="W158" s="451"/>
      <c r="X158" s="493"/>
      <c r="Y158" s="492"/>
      <c r="AA158" s="557"/>
      <c r="AB158" s="451"/>
      <c r="AC158" s="451"/>
      <c r="AD158" s="451"/>
      <c r="AE158" s="493"/>
      <c r="AF158" s="492"/>
      <c r="AH158" s="557"/>
      <c r="AI158" s="451"/>
      <c r="AJ158" s="451"/>
      <c r="AK158" s="451"/>
      <c r="AL158" s="493"/>
      <c r="AM158" s="492"/>
      <c r="AO158" s="557"/>
      <c r="AP158" s="451"/>
      <c r="AQ158" s="451"/>
      <c r="AR158" s="451"/>
      <c r="AS158" s="493"/>
      <c r="AT158" s="492"/>
      <c r="AV158" s="557"/>
      <c r="AW158" s="451"/>
      <c r="AX158" s="451"/>
      <c r="AY158" s="451"/>
      <c r="AZ158" s="493"/>
      <c r="BA158" s="492"/>
      <c r="BC158" s="557"/>
      <c r="BD158" s="451"/>
      <c r="BE158" s="451"/>
      <c r="BF158" s="451"/>
      <c r="BG158" s="493"/>
      <c r="BH158" s="492"/>
      <c r="BJ158" s="557"/>
      <c r="BK158" s="451"/>
      <c r="BL158" s="451"/>
      <c r="BM158" s="451"/>
      <c r="BN158" s="493"/>
      <c r="BO158" s="492"/>
      <c r="BQ158" s="557"/>
      <c r="BR158" s="451"/>
      <c r="BS158" s="451"/>
      <c r="BT158" s="451"/>
      <c r="BU158" s="493"/>
      <c r="BV158" s="492"/>
      <c r="BX158" s="557"/>
      <c r="BY158" s="451"/>
      <c r="BZ158" s="451"/>
      <c r="CA158" s="451"/>
      <c r="CB158" s="493"/>
      <c r="CC158" s="492"/>
      <c r="CE158" s="557"/>
      <c r="CF158" s="451"/>
      <c r="CG158" s="451"/>
      <c r="CH158" s="451"/>
      <c r="CI158" s="493"/>
      <c r="CJ158" s="492"/>
      <c r="CL158" s="557"/>
      <c r="CM158" s="451"/>
      <c r="CN158" s="451"/>
      <c r="CO158" s="451"/>
      <c r="CP158" s="493"/>
      <c r="CQ158" s="492"/>
      <c r="CS158" s="557"/>
      <c r="CT158" s="451"/>
      <c r="CU158" s="451"/>
      <c r="CV158" s="451"/>
      <c r="CW158" s="493"/>
      <c r="CX158" s="492"/>
    </row>
    <row r="159" spans="1:102" ht="15" customHeight="1" thickTop="1">
      <c r="A159" s="436">
        <f t="shared" si="73"/>
        <v>2023</v>
      </c>
      <c r="B159" s="437">
        <f t="shared" si="72"/>
        <v>3200</v>
      </c>
      <c r="C159" s="545"/>
      <c r="D159" s="438">
        <f t="shared" si="27"/>
        <v>18</v>
      </c>
      <c r="E159" s="546"/>
      <c r="F159" s="505">
        <v>50</v>
      </c>
      <c r="G159" s="563">
        <f>IFERROR(O151,0)</f>
        <v>0.76298986897537846</v>
      </c>
      <c r="H159" s="564">
        <f>O152</f>
        <v>30.583000000000002</v>
      </c>
      <c r="I159" s="443">
        <f t="shared" si="28"/>
        <v>3200</v>
      </c>
      <c r="J159" s="467"/>
      <c r="K159" s="443"/>
      <c r="L159" s="326">
        <f>RANK(G159,$G$159:$G$171)</f>
        <v>1</v>
      </c>
      <c r="M159" s="557"/>
      <c r="N159" s="451"/>
      <c r="O159" s="451"/>
      <c r="P159" s="451"/>
      <c r="Q159" s="493"/>
      <c r="R159" s="492"/>
      <c r="T159" s="557"/>
      <c r="U159" s="451"/>
      <c r="V159" s="451"/>
      <c r="W159" s="451"/>
      <c r="X159" s="493"/>
      <c r="Y159" s="492"/>
      <c r="AA159" s="557"/>
      <c r="AB159" s="451"/>
      <c r="AC159" s="451"/>
      <c r="AD159" s="451"/>
      <c r="AE159" s="493"/>
      <c r="AF159" s="492"/>
      <c r="AH159" s="557"/>
      <c r="AI159" s="451"/>
      <c r="AJ159" s="451"/>
      <c r="AK159" s="451"/>
      <c r="AL159" s="493"/>
      <c r="AM159" s="492"/>
      <c r="AO159" s="557"/>
      <c r="AP159" s="451"/>
      <c r="AQ159" s="451"/>
      <c r="AR159" s="451"/>
      <c r="AS159" s="493"/>
      <c r="AT159" s="492"/>
      <c r="AV159" s="557"/>
      <c r="AW159" s="451"/>
      <c r="AX159" s="451"/>
      <c r="AY159" s="451"/>
      <c r="AZ159" s="493"/>
      <c r="BA159" s="492"/>
      <c r="BC159" s="557"/>
      <c r="BD159" s="451"/>
      <c r="BE159" s="451"/>
      <c r="BF159" s="451"/>
      <c r="BG159" s="493"/>
      <c r="BH159" s="492"/>
      <c r="BJ159" s="557"/>
      <c r="BK159" s="451"/>
      <c r="BL159" s="451"/>
      <c r="BM159" s="451"/>
      <c r="BN159" s="493"/>
      <c r="BO159" s="492"/>
      <c r="BQ159" s="557"/>
      <c r="BR159" s="451"/>
      <c r="BS159" s="451"/>
      <c r="BT159" s="451"/>
      <c r="BU159" s="493"/>
      <c r="BV159" s="492"/>
      <c r="BX159" s="557"/>
      <c r="BY159" s="451"/>
      <c r="BZ159" s="451"/>
      <c r="CA159" s="451"/>
      <c r="CB159" s="493"/>
      <c r="CC159" s="492"/>
      <c r="CE159" s="557"/>
      <c r="CF159" s="451"/>
      <c r="CG159" s="451"/>
      <c r="CH159" s="451"/>
      <c r="CI159" s="493"/>
      <c r="CJ159" s="492"/>
      <c r="CL159" s="557"/>
      <c r="CM159" s="451"/>
      <c r="CN159" s="451"/>
      <c r="CO159" s="451"/>
      <c r="CP159" s="493"/>
      <c r="CQ159" s="492"/>
      <c r="CS159" s="557"/>
      <c r="CT159" s="451"/>
      <c r="CU159" s="451"/>
      <c r="CV159" s="451"/>
      <c r="CW159" s="493"/>
      <c r="CX159" s="492"/>
    </row>
    <row r="160" spans="1:102" s="451" customFormat="1" ht="15" customHeight="1">
      <c r="A160" s="436">
        <f t="shared" si="73"/>
        <v>2024</v>
      </c>
      <c r="B160" s="437">
        <f t="shared" si="72"/>
        <v>3193</v>
      </c>
      <c r="C160" s="545"/>
      <c r="D160" s="438">
        <f t="shared" si="27"/>
        <v>19</v>
      </c>
      <c r="E160" s="546"/>
      <c r="F160" s="505">
        <v>100</v>
      </c>
      <c r="G160" s="565">
        <f>IFERROR(V151,0)</f>
        <v>0.76298986897537846</v>
      </c>
      <c r="H160" s="564">
        <f>V152</f>
        <v>30.583000000000002</v>
      </c>
      <c r="I160" s="443">
        <f t="shared" si="28"/>
        <v>3193</v>
      </c>
      <c r="J160" s="467"/>
      <c r="K160" s="443"/>
      <c r="L160" s="326">
        <f t="shared" ref="L160:L171" si="74">RANK(G160,$G$159:$G$171)</f>
        <v>1</v>
      </c>
      <c r="M160" s="557"/>
      <c r="P160" s="439"/>
      <c r="Q160" s="493"/>
      <c r="R160" s="492"/>
      <c r="T160" s="557"/>
      <c r="W160" s="439"/>
      <c r="X160" s="493"/>
      <c r="Y160" s="492"/>
      <c r="AA160" s="557"/>
      <c r="AD160" s="439"/>
      <c r="AE160" s="493"/>
      <c r="AF160" s="492"/>
      <c r="AH160" s="557"/>
      <c r="AK160" s="439"/>
      <c r="AL160" s="493"/>
      <c r="AM160" s="492"/>
      <c r="AO160" s="557"/>
      <c r="AR160" s="439"/>
      <c r="AS160" s="493"/>
      <c r="AT160" s="492"/>
      <c r="AV160" s="557"/>
      <c r="AY160" s="439"/>
      <c r="AZ160" s="493"/>
      <c r="BA160" s="492"/>
      <c r="BC160" s="557"/>
      <c r="BF160" s="439"/>
      <c r="BG160" s="493"/>
      <c r="BH160" s="492"/>
      <c r="BJ160" s="557"/>
      <c r="BM160" s="439"/>
      <c r="BN160" s="493"/>
      <c r="BO160" s="492"/>
      <c r="BQ160" s="557"/>
      <c r="BT160" s="439"/>
      <c r="BU160" s="493"/>
      <c r="BV160" s="492"/>
      <c r="BX160" s="557"/>
      <c r="CA160" s="439"/>
      <c r="CB160" s="493"/>
      <c r="CC160" s="492"/>
      <c r="CE160" s="557"/>
      <c r="CH160" s="439"/>
      <c r="CI160" s="493"/>
      <c r="CJ160" s="492"/>
      <c r="CL160" s="557"/>
      <c r="CO160" s="439"/>
      <c r="CP160" s="493"/>
      <c r="CQ160" s="492"/>
      <c r="CS160" s="557"/>
      <c r="CV160" s="439"/>
      <c r="CW160" s="493"/>
      <c r="CX160" s="492"/>
    </row>
    <row r="161" spans="1:102" ht="15" customHeight="1">
      <c r="A161" s="436">
        <f t="shared" si="73"/>
        <v>2025</v>
      </c>
      <c r="B161" s="437">
        <f t="shared" si="72"/>
        <v>3187</v>
      </c>
      <c r="C161" s="545"/>
      <c r="D161" s="438">
        <f t="shared" si="27"/>
        <v>20</v>
      </c>
      <c r="E161" s="546"/>
      <c r="F161" s="505">
        <v>200</v>
      </c>
      <c r="G161" s="565">
        <f>IFERROR(AC151,0)</f>
        <v>0.76211820122704965</v>
      </c>
      <c r="H161" s="505">
        <f>AC152</f>
        <v>30.696000000000002</v>
      </c>
      <c r="I161" s="443">
        <f t="shared" si="28"/>
        <v>3187</v>
      </c>
      <c r="J161" s="467"/>
      <c r="K161" s="443"/>
      <c r="L161" s="326">
        <f t="shared" si="74"/>
        <v>3</v>
      </c>
      <c r="M161" s="557"/>
      <c r="N161" s="451"/>
      <c r="O161" s="451"/>
      <c r="P161" s="439"/>
      <c r="Q161" s="493"/>
      <c r="R161" s="492"/>
      <c r="T161" s="557"/>
      <c r="U161" s="451"/>
      <c r="V161" s="451"/>
      <c r="W161" s="439"/>
      <c r="X161" s="493"/>
      <c r="Y161" s="492"/>
      <c r="AA161" s="557"/>
      <c r="AB161" s="451"/>
      <c r="AC161" s="451"/>
      <c r="AD161" s="439"/>
      <c r="AE161" s="493"/>
      <c r="AF161" s="492"/>
      <c r="AH161" s="557"/>
      <c r="AI161" s="451"/>
      <c r="AJ161" s="451"/>
      <c r="AK161" s="439"/>
      <c r="AL161" s="493"/>
      <c r="AM161" s="492"/>
      <c r="AO161" s="557"/>
      <c r="AP161" s="451"/>
      <c r="AQ161" s="451"/>
      <c r="AR161" s="439"/>
      <c r="AS161" s="493"/>
      <c r="AT161" s="492"/>
      <c r="AV161" s="557"/>
      <c r="AW161" s="451"/>
      <c r="AX161" s="451"/>
      <c r="AY161" s="439"/>
      <c r="AZ161" s="493"/>
      <c r="BA161" s="492"/>
      <c r="BC161" s="557"/>
      <c r="BD161" s="451"/>
      <c r="BE161" s="451"/>
      <c r="BF161" s="439"/>
      <c r="BG161" s="493"/>
      <c r="BH161" s="492"/>
      <c r="BJ161" s="557"/>
      <c r="BK161" s="451"/>
      <c r="BL161" s="451"/>
      <c r="BM161" s="439"/>
      <c r="BN161" s="493"/>
      <c r="BO161" s="492"/>
      <c r="BQ161" s="557"/>
      <c r="BR161" s="451"/>
      <c r="BS161" s="451"/>
      <c r="BT161" s="439"/>
      <c r="BU161" s="493"/>
      <c r="BV161" s="492"/>
      <c r="BX161" s="557"/>
      <c r="BY161" s="451"/>
      <c r="BZ161" s="451"/>
      <c r="CA161" s="439"/>
      <c r="CB161" s="493"/>
      <c r="CC161" s="492"/>
      <c r="CE161" s="557"/>
      <c r="CF161" s="451"/>
      <c r="CG161" s="451"/>
      <c r="CH161" s="439"/>
      <c r="CI161" s="493"/>
      <c r="CJ161" s="492"/>
      <c r="CL161" s="557"/>
      <c r="CM161" s="451"/>
      <c r="CN161" s="451"/>
      <c r="CO161" s="439"/>
      <c r="CP161" s="493"/>
      <c r="CQ161" s="492"/>
      <c r="CS161" s="557"/>
      <c r="CT161" s="451"/>
      <c r="CU161" s="451"/>
      <c r="CV161" s="439"/>
      <c r="CW161" s="493"/>
      <c r="CX161" s="492"/>
    </row>
    <row r="162" spans="1:102" s="451" customFormat="1" ht="15" customHeight="1">
      <c r="A162" s="436">
        <f t="shared" si="73"/>
        <v>2026</v>
      </c>
      <c r="B162" s="437">
        <f t="shared" si="72"/>
        <v>3181</v>
      </c>
      <c r="C162" s="545"/>
      <c r="D162" s="438">
        <f t="shared" si="27"/>
        <v>21</v>
      </c>
      <c r="E162" s="546"/>
      <c r="F162" s="505">
        <v>300</v>
      </c>
      <c r="G162" s="565">
        <f>IFERROR(AJ151,0)</f>
        <v>0.76079156914708002</v>
      </c>
      <c r="H162" s="505">
        <f>AJ152</f>
        <v>30.879000000000001</v>
      </c>
      <c r="I162" s="443">
        <f t="shared" si="28"/>
        <v>3181</v>
      </c>
      <c r="J162" s="467"/>
      <c r="K162" s="443"/>
      <c r="L162" s="326">
        <f t="shared" si="74"/>
        <v>6</v>
      </c>
      <c r="M162" s="557"/>
      <c r="Q162" s="493"/>
      <c r="R162" s="492"/>
      <c r="T162" s="557"/>
      <c r="X162" s="493"/>
      <c r="Y162" s="492"/>
      <c r="AA162" s="557"/>
      <c r="AE162" s="493"/>
      <c r="AF162" s="492"/>
      <c r="AH162" s="557"/>
      <c r="AL162" s="493"/>
      <c r="AM162" s="492"/>
      <c r="AO162" s="557"/>
      <c r="AS162" s="493"/>
      <c r="AT162" s="492"/>
      <c r="AV162" s="557"/>
      <c r="AZ162" s="493"/>
      <c r="BA162" s="492"/>
      <c r="BC162" s="557"/>
      <c r="BG162" s="493"/>
      <c r="BH162" s="492"/>
      <c r="BJ162" s="557"/>
      <c r="BN162" s="493"/>
      <c r="BO162" s="492"/>
      <c r="BQ162" s="557"/>
      <c r="BU162" s="493"/>
      <c r="BV162" s="492"/>
      <c r="BX162" s="557"/>
      <c r="CB162" s="493"/>
      <c r="CC162" s="492"/>
      <c r="CE162" s="557"/>
      <c r="CI162" s="493"/>
      <c r="CJ162" s="492"/>
      <c r="CL162" s="557"/>
      <c r="CP162" s="493"/>
      <c r="CQ162" s="492"/>
      <c r="CS162" s="557"/>
      <c r="CW162" s="493"/>
      <c r="CX162" s="492"/>
    </row>
    <row r="163" spans="1:102" s="451" customFormat="1" ht="15" customHeight="1">
      <c r="A163" s="436">
        <f t="shared" si="73"/>
        <v>2027</v>
      </c>
      <c r="B163" s="437">
        <f t="shared" si="72"/>
        <v>3175</v>
      </c>
      <c r="C163" s="545"/>
      <c r="D163" s="438">
        <f t="shared" si="27"/>
        <v>22</v>
      </c>
      <c r="E163" s="546"/>
      <c r="F163" s="505">
        <v>400</v>
      </c>
      <c r="G163" s="565">
        <f>IFERROR(AQ151,0)</f>
        <v>0.76083884126297308</v>
      </c>
      <c r="H163" s="505">
        <f>AQ152</f>
        <v>30.876000000000001</v>
      </c>
      <c r="I163" s="443">
        <f t="shared" si="28"/>
        <v>3175</v>
      </c>
      <c r="J163" s="467"/>
      <c r="K163" s="443"/>
      <c r="L163" s="326">
        <f t="shared" si="74"/>
        <v>4</v>
      </c>
      <c r="M163" s="557"/>
      <c r="N163" s="538"/>
      <c r="O163" s="538"/>
      <c r="P163" s="566"/>
      <c r="Q163" s="493"/>
      <c r="R163" s="492"/>
      <c r="T163" s="557"/>
      <c r="X163" s="493"/>
      <c r="Y163" s="492"/>
      <c r="AA163" s="557"/>
      <c r="AE163" s="493"/>
      <c r="AF163" s="492"/>
      <c r="AH163" s="557"/>
      <c r="AL163" s="493"/>
      <c r="AM163" s="492"/>
      <c r="AO163" s="557"/>
      <c r="AS163" s="493"/>
      <c r="AT163" s="492"/>
      <c r="AV163" s="557"/>
      <c r="AZ163" s="493"/>
      <c r="BA163" s="492"/>
      <c r="BC163" s="557"/>
      <c r="BG163" s="493"/>
      <c r="BH163" s="492"/>
      <c r="BJ163" s="557"/>
      <c r="BN163" s="493"/>
      <c r="BO163" s="492"/>
      <c r="BQ163" s="557"/>
      <c r="BU163" s="493"/>
      <c r="BV163" s="492"/>
      <c r="BX163" s="557"/>
      <c r="CB163" s="493"/>
      <c r="CC163" s="492"/>
      <c r="CE163" s="557"/>
      <c r="CI163" s="493"/>
      <c r="CJ163" s="492"/>
      <c r="CL163" s="557"/>
      <c r="CP163" s="493"/>
      <c r="CQ163" s="492"/>
      <c r="CS163" s="557"/>
      <c r="CW163" s="493"/>
      <c r="CX163" s="492"/>
    </row>
    <row r="164" spans="1:102" ht="15" customHeight="1">
      <c r="A164" s="436">
        <f t="shared" si="73"/>
        <v>2028</v>
      </c>
      <c r="B164" s="437">
        <f t="shared" si="72"/>
        <v>3169</v>
      </c>
      <c r="C164" s="520"/>
      <c r="D164" s="438">
        <f t="shared" si="27"/>
        <v>23</v>
      </c>
      <c r="E164" s="508"/>
      <c r="F164" s="548">
        <v>500</v>
      </c>
      <c r="G164" s="565">
        <f>IFERROR(AX151,0)</f>
        <v>0.76083884126297308</v>
      </c>
      <c r="H164" s="548">
        <f>AX152</f>
        <v>30.876000000000001</v>
      </c>
      <c r="I164" s="443">
        <f t="shared" si="28"/>
        <v>3169</v>
      </c>
      <c r="J164" s="469"/>
      <c r="K164" s="469"/>
      <c r="L164" s="326">
        <f t="shared" si="74"/>
        <v>4</v>
      </c>
    </row>
    <row r="165" spans="1:102" ht="15" customHeight="1">
      <c r="A165" s="436">
        <f t="shared" si="73"/>
        <v>2029</v>
      </c>
      <c r="B165" s="437">
        <f t="shared" si="72"/>
        <v>3164</v>
      </c>
      <c r="C165" s="520"/>
      <c r="D165" s="438">
        <f t="shared" si="27"/>
        <v>24</v>
      </c>
      <c r="E165" s="508"/>
      <c r="F165" s="548">
        <v>1000</v>
      </c>
      <c r="G165" s="565">
        <f>IFERROR(BE151,0)</f>
        <v>0.75992508317318608</v>
      </c>
      <c r="H165" s="548">
        <f>BE152</f>
        <v>31.02</v>
      </c>
      <c r="I165" s="443">
        <f t="shared" si="28"/>
        <v>3164</v>
      </c>
      <c r="J165" s="469"/>
      <c r="K165" s="469"/>
      <c r="L165" s="326">
        <f t="shared" si="74"/>
        <v>7</v>
      </c>
    </row>
    <row r="166" spans="1:102" ht="15" customHeight="1">
      <c r="A166" s="436">
        <f t="shared" si="73"/>
        <v>2030</v>
      </c>
      <c r="B166" s="437">
        <f t="shared" si="72"/>
        <v>3159</v>
      </c>
      <c r="C166" s="520"/>
      <c r="D166" s="438">
        <f t="shared" si="27"/>
        <v>25</v>
      </c>
      <c r="E166" s="508"/>
      <c r="F166" s="567">
        <v>2000</v>
      </c>
      <c r="G166" s="568">
        <f>IFERROR(BL151,0)</f>
        <v>0.74773068833317813</v>
      </c>
      <c r="H166" s="567">
        <f>BL152</f>
        <v>32.781999999999996</v>
      </c>
      <c r="I166" s="443">
        <f t="shared" si="28"/>
        <v>3159</v>
      </c>
      <c r="J166" s="469"/>
      <c r="K166" s="469"/>
      <c r="L166" s="326">
        <f t="shared" si="74"/>
        <v>8</v>
      </c>
    </row>
    <row r="167" spans="1:102" ht="15" customHeight="1">
      <c r="A167" s="436">
        <f t="shared" si="73"/>
        <v>2031</v>
      </c>
      <c r="B167" s="437">
        <f t="shared" si="72"/>
        <v>3154</v>
      </c>
      <c r="C167" s="520"/>
      <c r="D167" s="438">
        <f t="shared" si="27"/>
        <v>26</v>
      </c>
      <c r="E167" s="508"/>
      <c r="F167" s="567">
        <v>2200</v>
      </c>
      <c r="G167" s="568">
        <f>IFERROR(BS151,0)</f>
        <v>0.74243573013858022</v>
      </c>
      <c r="H167" s="567">
        <f>BS152</f>
        <v>33.57</v>
      </c>
      <c r="I167" s="443">
        <f t="shared" si="28"/>
        <v>3154</v>
      </c>
      <c r="J167" s="469"/>
      <c r="K167" s="469"/>
      <c r="L167" s="326">
        <f t="shared" si="74"/>
        <v>9</v>
      </c>
    </row>
    <row r="168" spans="1:102" ht="15" customHeight="1">
      <c r="A168" s="436">
        <f t="shared" si="73"/>
        <v>2032</v>
      </c>
      <c r="B168" s="437">
        <f t="shared" si="72"/>
        <v>3149</v>
      </c>
      <c r="C168" s="520"/>
      <c r="D168" s="438">
        <f t="shared" si="27"/>
        <v>27</v>
      </c>
      <c r="E168" s="508"/>
      <c r="F168" s="567">
        <v>2500</v>
      </c>
      <c r="G168" s="568">
        <f>IFERROR(BZ151,0)</f>
        <v>0.73056120176824235</v>
      </c>
      <c r="H168" s="567">
        <f>BZ152</f>
        <v>35.455999999999996</v>
      </c>
      <c r="I168" s="443">
        <f t="shared" si="28"/>
        <v>3149</v>
      </c>
      <c r="J168" s="469"/>
      <c r="K168" s="469"/>
      <c r="L168" s="326">
        <f t="shared" si="74"/>
        <v>10</v>
      </c>
    </row>
    <row r="169" spans="1:102" ht="15" customHeight="1">
      <c r="A169" s="436">
        <f t="shared" si="73"/>
        <v>2033</v>
      </c>
      <c r="B169" s="437">
        <f t="shared" si="72"/>
        <v>3145</v>
      </c>
      <c r="C169" s="520"/>
      <c r="D169" s="438">
        <f t="shared" si="27"/>
        <v>28</v>
      </c>
      <c r="E169" s="508"/>
      <c r="F169" s="567">
        <v>3000</v>
      </c>
      <c r="G169" s="568">
        <f>IFERROR(CG151,0)</f>
        <v>0.66285455999560638</v>
      </c>
      <c r="H169" s="567">
        <f>CG152</f>
        <v>49.100999999999999</v>
      </c>
      <c r="I169" s="443">
        <f t="shared" si="28"/>
        <v>3145</v>
      </c>
      <c r="J169" s="469"/>
      <c r="K169" s="469"/>
      <c r="L169" s="326">
        <f t="shared" si="74"/>
        <v>11</v>
      </c>
    </row>
    <row r="170" spans="1:102" ht="15" customHeight="1">
      <c r="A170" s="436">
        <f t="shared" si="73"/>
        <v>2034</v>
      </c>
      <c r="B170" s="437">
        <f t="shared" si="72"/>
        <v>3140</v>
      </c>
      <c r="C170" s="520"/>
      <c r="D170" s="438">
        <f t="shared" si="27"/>
        <v>29</v>
      </c>
      <c r="E170" s="508"/>
      <c r="F170" s="567">
        <v>4000</v>
      </c>
      <c r="G170" s="568">
        <f>IFERROR(CN151,0)</f>
        <v>0</v>
      </c>
      <c r="H170" s="567" t="e">
        <f>CN152</f>
        <v>#VALUE!</v>
      </c>
      <c r="I170" s="443">
        <f t="shared" si="28"/>
        <v>3140</v>
      </c>
      <c r="J170" s="469"/>
      <c r="K170" s="469"/>
      <c r="L170" s="326">
        <f t="shared" si="74"/>
        <v>12</v>
      </c>
    </row>
    <row r="171" spans="1:102" ht="15" customHeight="1">
      <c r="A171" s="522">
        <f t="shared" si="73"/>
        <v>2035</v>
      </c>
      <c r="B171" s="523">
        <f t="shared" si="72"/>
        <v>3136</v>
      </c>
      <c r="C171" s="524"/>
      <c r="D171" s="569">
        <f t="shared" si="27"/>
        <v>30</v>
      </c>
      <c r="E171" s="525"/>
      <c r="F171" s="570">
        <v>4500</v>
      </c>
      <c r="G171" s="571">
        <f>IFERROR(CU151,0)</f>
        <v>0</v>
      </c>
      <c r="H171" s="570" t="e">
        <f>CU152</f>
        <v>#VALUE!</v>
      </c>
      <c r="I171" s="528">
        <f t="shared" si="28"/>
        <v>3136</v>
      </c>
      <c r="J171" s="529"/>
      <c r="K171" s="529"/>
      <c r="L171" s="326">
        <f t="shared" si="74"/>
        <v>12</v>
      </c>
    </row>
    <row r="172" spans="1:102" ht="15" customHeight="1">
      <c r="A172" s="522">
        <f t="shared" si="73"/>
        <v>2036</v>
      </c>
      <c r="B172" s="523">
        <f t="shared" si="72"/>
        <v>3132</v>
      </c>
      <c r="C172" s="524"/>
      <c r="D172" s="569">
        <f t="shared" si="27"/>
        <v>31</v>
      </c>
      <c r="E172" s="525"/>
      <c r="F172" s="570"/>
      <c r="G172" s="571"/>
      <c r="H172" s="570"/>
      <c r="I172" s="528">
        <f t="shared" si="28"/>
        <v>3132</v>
      </c>
      <c r="J172" s="529"/>
      <c r="K172" s="529"/>
    </row>
    <row r="173" spans="1:102" ht="15" customHeight="1">
      <c r="A173" s="522">
        <f t="shared" si="73"/>
        <v>2037</v>
      </c>
      <c r="B173" s="523">
        <f t="shared" si="72"/>
        <v>3128</v>
      </c>
      <c r="C173" s="524"/>
      <c r="D173" s="569">
        <f t="shared" si="27"/>
        <v>32</v>
      </c>
      <c r="E173" s="525"/>
      <c r="F173" s="570"/>
      <c r="G173" s="571"/>
      <c r="H173" s="570"/>
      <c r="I173" s="528">
        <f t="shared" si="28"/>
        <v>3128</v>
      </c>
      <c r="J173" s="529"/>
      <c r="K173" s="529"/>
    </row>
    <row r="174" spans="1:102" ht="15" customHeight="1">
      <c r="A174" s="522">
        <f t="shared" si="73"/>
        <v>2038</v>
      </c>
      <c r="B174" s="523">
        <f t="shared" si="72"/>
        <v>3124</v>
      </c>
      <c r="C174" s="524"/>
      <c r="D174" s="569">
        <f t="shared" si="27"/>
        <v>33</v>
      </c>
      <c r="E174" s="525"/>
      <c r="F174" s="570"/>
      <c r="G174" s="571"/>
      <c r="H174" s="570"/>
      <c r="I174" s="528">
        <f t="shared" si="28"/>
        <v>3124</v>
      </c>
      <c r="J174" s="529"/>
      <c r="K174" s="529"/>
    </row>
    <row r="175" spans="1:102" ht="15" customHeight="1">
      <c r="A175" s="491"/>
      <c r="B175" s="494"/>
      <c r="C175" s="451"/>
      <c r="D175" s="439"/>
      <c r="E175" s="439"/>
      <c r="F175" s="530"/>
      <c r="G175" s="572"/>
      <c r="H175" s="451"/>
      <c r="I175" s="538"/>
      <c r="J175" s="538"/>
      <c r="O175" s="573"/>
    </row>
    <row r="176" spans="1:102" ht="15" customHeight="1">
      <c r="A176" s="424" t="s">
        <v>333</v>
      </c>
    </row>
    <row r="177" spans="1:60" ht="15" customHeight="1">
      <c r="A177" s="427" t="s">
        <v>264</v>
      </c>
      <c r="B177" s="428" t="s">
        <v>286</v>
      </c>
      <c r="C177" s="429" t="s">
        <v>334</v>
      </c>
      <c r="D177" s="429" t="s">
        <v>287</v>
      </c>
      <c r="E177" s="496"/>
      <c r="F177" s="430"/>
      <c r="G177" s="431"/>
      <c r="H177" s="432" t="s">
        <v>288</v>
      </c>
      <c r="I177" s="433">
        <f>RSQ(I178:I188,B178:B188)</f>
        <v>0.93884511976850094</v>
      </c>
      <c r="J177" s="434" t="s">
        <v>289</v>
      </c>
      <c r="K177" s="435" t="s">
        <v>290</v>
      </c>
      <c r="M177" s="532" t="s">
        <v>334</v>
      </c>
      <c r="N177" s="430"/>
      <c r="O177" s="432" t="s">
        <v>288</v>
      </c>
      <c r="P177" s="433">
        <f>RSQ($B178:$B188,P178:P188)</f>
        <v>0.91199212332449475</v>
      </c>
      <c r="Q177" s="435" t="s">
        <v>290</v>
      </c>
      <c r="S177" s="532" t="s">
        <v>334</v>
      </c>
      <c r="T177" s="430"/>
      <c r="U177" s="432" t="s">
        <v>288</v>
      </c>
      <c r="V177" s="433">
        <f>RSQ($B178:$B188,V178:V188)</f>
        <v>0.93137273981794377</v>
      </c>
      <c r="W177" s="435" t="s">
        <v>290</v>
      </c>
      <c r="Y177" s="532" t="s">
        <v>334</v>
      </c>
      <c r="Z177" s="430"/>
      <c r="AA177" s="432" t="s">
        <v>288</v>
      </c>
      <c r="AB177" s="433">
        <f>RSQ($B178:$B188,AB178:AB188)</f>
        <v>0.93620047686664565</v>
      </c>
      <c r="AC177" s="435" t="s">
        <v>290</v>
      </c>
      <c r="AE177" s="532" t="s">
        <v>334</v>
      </c>
      <c r="AF177" s="430"/>
      <c r="AG177" s="432" t="s">
        <v>288</v>
      </c>
      <c r="AH177" s="433">
        <f>RSQ($B178:$B188,AH178:AH188)</f>
        <v>0.93834447648425923</v>
      </c>
      <c r="AI177" s="435" t="s">
        <v>290</v>
      </c>
      <c r="AK177" s="532" t="s">
        <v>334</v>
      </c>
      <c r="AL177" s="430"/>
      <c r="AM177" s="432" t="s">
        <v>288</v>
      </c>
      <c r="AN177" s="433">
        <f>RSQ($B178:$B188,AN178:AN188)</f>
        <v>0.93884511976850094</v>
      </c>
      <c r="AO177" s="435" t="s">
        <v>290</v>
      </c>
      <c r="AQ177" s="532" t="s">
        <v>334</v>
      </c>
      <c r="AR177" s="430"/>
      <c r="AS177" s="432" t="s">
        <v>288</v>
      </c>
      <c r="AT177" s="433">
        <f>RSQ($B178:$B188,AT178:AT188)</f>
        <v>0.93812762198172106</v>
      </c>
      <c r="AU177" s="435" t="s">
        <v>290</v>
      </c>
      <c r="AW177" s="532" t="s">
        <v>334</v>
      </c>
      <c r="AX177" s="430"/>
      <c r="AY177" s="432" t="s">
        <v>288</v>
      </c>
      <c r="AZ177" s="433">
        <f>RSQ($B178:$B188,AZ178:AZ188)</f>
        <v>0.93722599647080695</v>
      </c>
      <c r="BA177" s="435" t="s">
        <v>290</v>
      </c>
      <c r="BC177" s="532" t="s">
        <v>334</v>
      </c>
      <c r="BD177" s="430"/>
      <c r="BE177" s="432" t="s">
        <v>288</v>
      </c>
      <c r="BF177" s="433">
        <f>RSQ($B178:$B188,BF178:BF188)</f>
        <v>0.93767561242911646</v>
      </c>
      <c r="BG177" s="435" t="s">
        <v>290</v>
      </c>
    </row>
    <row r="178" spans="1:60" ht="15" customHeight="1">
      <c r="A178" s="436">
        <f t="shared" ref="A178:B189" si="75">A142</f>
        <v>2006</v>
      </c>
      <c r="B178" s="437">
        <f t="shared" si="75"/>
        <v>3499</v>
      </c>
      <c r="C178" s="533">
        <f t="shared" ref="C178:C188" si="76">LN(F$182/B178-1)</f>
        <v>-1.9436263912828231</v>
      </c>
      <c r="D178" s="438">
        <f t="shared" ref="D178:D184" si="77">D142</f>
        <v>1</v>
      </c>
      <c r="E178" s="498" t="s">
        <v>335</v>
      </c>
      <c r="F178" s="439"/>
      <c r="H178" s="574"/>
      <c r="I178" s="502">
        <f t="shared" ref="I178:I210" si="78">ROUND($F$182/(1+EXP($F$187+$F$186*D178)),$G$1)</f>
        <v>3527</v>
      </c>
      <c r="J178" s="444">
        <f t="shared" ref="J178:J188" si="79">ABS(B178-I178)/B178*100</f>
        <v>0.80022863675335809</v>
      </c>
      <c r="K178" s="443">
        <f t="shared" ref="K178:K188" si="80">(B178-I178)^2/1000</f>
        <v>0.78400000000000003</v>
      </c>
      <c r="M178" s="575">
        <f t="shared" ref="M178:M188" si="81">LN($O$181/B178-1)</f>
        <v>-3.5451119755264298</v>
      </c>
      <c r="N178" s="539" t="s">
        <v>335</v>
      </c>
      <c r="O178" s="439"/>
      <c r="P178" s="469">
        <f t="shared" ref="P178:P188" si="82">ROUND(O$181/(1+EXP(O$185+O$184*$D178)),$G$1)</f>
        <v>3510</v>
      </c>
      <c r="Q178" s="502">
        <f t="shared" ref="Q178:Q183" si="83">($B178-P178)^2/1000</f>
        <v>0.121</v>
      </c>
      <c r="S178" s="575">
        <f>LN($U$181/$B178-1)</f>
        <v>-2.8569275843086115</v>
      </c>
      <c r="T178" s="539" t="s">
        <v>335</v>
      </c>
      <c r="U178" s="439"/>
      <c r="V178" s="469">
        <f t="shared" ref="V178:V188" si="84">ROUND(U$181/(1+EXP(U$185+U$184*$D178)),$G$1)</f>
        <v>3517</v>
      </c>
      <c r="W178" s="502">
        <f t="shared" ref="W178:W183" si="85">($B178-V178)^2/1000</f>
        <v>0.32400000000000001</v>
      </c>
      <c r="Y178" s="575">
        <f>LN($AA$181/$B178-1)</f>
        <v>-2.4531222276188109</v>
      </c>
      <c r="Z178" s="539" t="s">
        <v>335</v>
      </c>
      <c r="AA178" s="439"/>
      <c r="AB178" s="469">
        <f t="shared" ref="AB178:AB188" si="86">ROUND(AA$181/(1+EXP(AA$185+AA$184*$D178)),$G$1)</f>
        <v>3522</v>
      </c>
      <c r="AC178" s="502">
        <f t="shared" ref="AC178:AC185" si="87">($B178-AB178)^2/1000</f>
        <v>0.52900000000000003</v>
      </c>
      <c r="AE178" s="575">
        <f>LN($AG$181/$B178-1)</f>
        <v>-2.1662710650611192</v>
      </c>
      <c r="AF178" s="539" t="s">
        <v>335</v>
      </c>
      <c r="AG178" s="439"/>
      <c r="AH178" s="469">
        <f t="shared" ref="AH178:AH188" si="88">ROUND(AG$181/(1+EXP(AG$185+AG$184*$D178)),$G$1)</f>
        <v>3525</v>
      </c>
      <c r="AI178" s="502">
        <f t="shared" ref="AI178:AI185" si="89">($B178-AH178)^2/1000</f>
        <v>0.67600000000000005</v>
      </c>
      <c r="AK178" s="575">
        <f>LN($AM$181/$B178-1)</f>
        <v>-1.9436263912828231</v>
      </c>
      <c r="AL178" s="539" t="s">
        <v>335</v>
      </c>
      <c r="AM178" s="439"/>
      <c r="AN178" s="469">
        <f t="shared" ref="AN178:AN188" si="90">ROUND(AM$181/(1+EXP(AM$185+AM$184*$D178)),$G$1)</f>
        <v>3527</v>
      </c>
      <c r="AO178" s="502">
        <f t="shared" ref="AO178:AO187" si="91">($B178-AN178)^2/1000</f>
        <v>0.78400000000000003</v>
      </c>
      <c r="AQ178" s="575">
        <f>LN($AS$181/$B178-1)</f>
        <v>-0.84634566073422601</v>
      </c>
      <c r="AR178" s="539" t="s">
        <v>335</v>
      </c>
      <c r="AS178" s="439"/>
      <c r="AT178" s="469">
        <f t="shared" ref="AT178:AT188" si="92">ROUND(AS$181/(1+EXP(AS$185+AS$184*$D178)),$G$1)</f>
        <v>3534</v>
      </c>
      <c r="AU178" s="502">
        <f t="shared" ref="AU178:AU185" si="93">($B178-AT178)^2/1000</f>
        <v>1.2250000000000001</v>
      </c>
      <c r="AW178" s="575">
        <f>LN($AY$181/$B178-1)</f>
        <v>-0.33578656149006891</v>
      </c>
      <c r="AX178" s="539" t="s">
        <v>335</v>
      </c>
      <c r="AY178" s="439"/>
      <c r="AZ178" s="469">
        <f t="shared" ref="AZ178:AZ188" si="94">ROUND(AY$181/(1+EXP(AY$185+AY$184*$D178)),$G$1)</f>
        <v>3536</v>
      </c>
      <c r="BA178" s="502">
        <f t="shared" ref="BA178:BA185" si="95">($B178-AZ178)^2/1000</f>
        <v>1.369</v>
      </c>
      <c r="BC178" s="575">
        <f>LN($BE$181/$B178-1)</f>
        <v>5.7142858697745505E-4</v>
      </c>
      <c r="BD178" s="539" t="s">
        <v>335</v>
      </c>
      <c r="BE178" s="439"/>
      <c r="BF178" s="469">
        <f t="shared" ref="BF178:BF188" si="96">ROUND(BE$181/(1+EXP(BE$185+BE$184*$D178)),$G$1)</f>
        <v>3537</v>
      </c>
      <c r="BG178" s="502">
        <f t="shared" ref="BG178:BG185" si="97">($B178-BF178)^2/1000</f>
        <v>1.444</v>
      </c>
    </row>
    <row r="179" spans="1:60" ht="15" customHeight="1">
      <c r="A179" s="436">
        <f t="shared" si="75"/>
        <v>2007</v>
      </c>
      <c r="B179" s="437">
        <f t="shared" si="75"/>
        <v>3500</v>
      </c>
      <c r="C179" s="533">
        <f t="shared" si="76"/>
        <v>-1.9459101490553137</v>
      </c>
      <c r="D179" s="438">
        <f t="shared" si="77"/>
        <v>2</v>
      </c>
      <c r="E179" s="498" t="s">
        <v>336</v>
      </c>
      <c r="F179" s="439"/>
      <c r="H179" s="574"/>
      <c r="I179" s="443">
        <f t="shared" si="78"/>
        <v>3500</v>
      </c>
      <c r="J179" s="446">
        <f t="shared" si="79"/>
        <v>0</v>
      </c>
      <c r="K179" s="443">
        <f t="shared" si="80"/>
        <v>0</v>
      </c>
      <c r="M179" s="576">
        <f t="shared" si="81"/>
        <v>-3.5553480614894171</v>
      </c>
      <c r="N179" s="539"/>
      <c r="O179" s="439"/>
      <c r="P179" s="469">
        <f t="shared" si="82"/>
        <v>3494</v>
      </c>
      <c r="Q179" s="443">
        <f t="shared" si="83"/>
        <v>3.5999999999999997E-2</v>
      </c>
      <c r="S179" s="576">
        <f t="shared" ref="S179:S188" si="98">LN($U$181/$B179-1)</f>
        <v>-2.8622008809294681</v>
      </c>
      <c r="T179" s="539"/>
      <c r="U179" s="439"/>
      <c r="V179" s="469">
        <f t="shared" si="84"/>
        <v>3496</v>
      </c>
      <c r="W179" s="443">
        <f t="shared" si="85"/>
        <v>1.6E-2</v>
      </c>
      <c r="Y179" s="576">
        <f t="shared" ref="Y179:Y188" si="99">LN($AA$181/$B179-1)</f>
        <v>-2.4567357728213048</v>
      </c>
      <c r="Z179" s="539"/>
      <c r="AA179" s="439"/>
      <c r="AB179" s="469">
        <f t="shared" si="86"/>
        <v>3498</v>
      </c>
      <c r="AC179" s="443">
        <f t="shared" si="87"/>
        <v>4.0000000000000001E-3</v>
      </c>
      <c r="AE179" s="576">
        <f t="shared" ref="AE179:AE188" si="100">LN($AG$181/$B179-1)</f>
        <v>-2.1690537003695227</v>
      </c>
      <c r="AF179" s="539"/>
      <c r="AG179" s="439"/>
      <c r="AH179" s="469">
        <f t="shared" si="88"/>
        <v>3499</v>
      </c>
      <c r="AI179" s="443">
        <f t="shared" si="89"/>
        <v>1E-3</v>
      </c>
      <c r="AK179" s="576">
        <f t="shared" ref="AK179:AK188" si="101">LN($AM$181/$B179-1)</f>
        <v>-1.9459101490553137</v>
      </c>
      <c r="AL179" s="539"/>
      <c r="AM179" s="439"/>
      <c r="AN179" s="469">
        <f t="shared" si="90"/>
        <v>3500</v>
      </c>
      <c r="AO179" s="443">
        <f t="shared" si="91"/>
        <v>0</v>
      </c>
      <c r="AQ179" s="576">
        <f t="shared" ref="AQ179:AQ188" si="102">LN($AS$181/$B179-1)</f>
        <v>-0.84729786038720356</v>
      </c>
      <c r="AR179" s="539"/>
      <c r="AS179" s="439"/>
      <c r="AT179" s="469">
        <f t="shared" si="92"/>
        <v>3503</v>
      </c>
      <c r="AU179" s="443">
        <f t="shared" si="93"/>
        <v>8.9999999999999993E-3</v>
      </c>
      <c r="AW179" s="576">
        <f t="shared" ref="AW179:AW188" si="103">LN($AY$181/$B179-1)</f>
        <v>-0.33647223662121306</v>
      </c>
      <c r="AX179" s="539"/>
      <c r="AY179" s="439"/>
      <c r="AZ179" s="469">
        <f t="shared" si="94"/>
        <v>3504</v>
      </c>
      <c r="BA179" s="443">
        <f t="shared" si="95"/>
        <v>1.6E-2</v>
      </c>
      <c r="BC179" s="576">
        <f t="shared" ref="BC179:BC188" si="104">LN($BE$181/$B179-1)</f>
        <v>0</v>
      </c>
      <c r="BD179" s="539"/>
      <c r="BE179" s="439"/>
      <c r="BF179" s="469">
        <f t="shared" si="96"/>
        <v>3504</v>
      </c>
      <c r="BG179" s="443">
        <f t="shared" si="97"/>
        <v>1.6E-2</v>
      </c>
    </row>
    <row r="180" spans="1:60" ht="15" customHeight="1">
      <c r="A180" s="436">
        <f t="shared" si="75"/>
        <v>2008</v>
      </c>
      <c r="B180" s="437">
        <f t="shared" si="75"/>
        <v>3493</v>
      </c>
      <c r="C180" s="533">
        <f t="shared" si="76"/>
        <v>-1.9300052412156488</v>
      </c>
      <c r="D180" s="438">
        <f t="shared" si="77"/>
        <v>3</v>
      </c>
      <c r="H180" s="574"/>
      <c r="I180" s="443">
        <f t="shared" si="78"/>
        <v>3472</v>
      </c>
      <c r="J180" s="446">
        <f t="shared" si="79"/>
        <v>0.60120240480961928</v>
      </c>
      <c r="K180" s="443">
        <f t="shared" si="80"/>
        <v>0.441</v>
      </c>
      <c r="M180" s="576">
        <f t="shared" si="81"/>
        <v>-3.4856874103449242</v>
      </c>
      <c r="N180" s="539" t="s">
        <v>336</v>
      </c>
      <c r="O180" s="439"/>
      <c r="P180" s="469">
        <f t="shared" si="82"/>
        <v>3475</v>
      </c>
      <c r="Q180" s="443">
        <f t="shared" si="83"/>
        <v>0.32400000000000001</v>
      </c>
      <c r="S180" s="576">
        <f t="shared" si="98"/>
        <v>-2.8257974515414634</v>
      </c>
      <c r="T180" s="539" t="s">
        <v>336</v>
      </c>
      <c r="U180" s="439"/>
      <c r="V180" s="469">
        <f t="shared" si="84"/>
        <v>3473</v>
      </c>
      <c r="W180" s="443">
        <f t="shared" si="85"/>
        <v>0.4</v>
      </c>
      <c r="Y180" s="576">
        <f t="shared" si="99"/>
        <v>-2.4316684972196358</v>
      </c>
      <c r="Z180" s="539" t="s">
        <v>336</v>
      </c>
      <c r="AA180" s="439"/>
      <c r="AB180" s="469">
        <f t="shared" si="86"/>
        <v>3472</v>
      </c>
      <c r="AC180" s="443">
        <f t="shared" si="87"/>
        <v>0.441</v>
      </c>
      <c r="AE180" s="576">
        <f t="shared" si="100"/>
        <v>-2.1497030593642363</v>
      </c>
      <c r="AF180" s="539" t="s">
        <v>336</v>
      </c>
      <c r="AG180" s="439"/>
      <c r="AH180" s="469">
        <f t="shared" si="88"/>
        <v>3472</v>
      </c>
      <c r="AI180" s="443">
        <f t="shared" si="89"/>
        <v>0.441</v>
      </c>
      <c r="AK180" s="576">
        <f t="shared" si="101"/>
        <v>-1.9300052412156488</v>
      </c>
      <c r="AL180" s="539" t="s">
        <v>336</v>
      </c>
      <c r="AM180" s="439"/>
      <c r="AN180" s="469">
        <f t="shared" si="90"/>
        <v>3472</v>
      </c>
      <c r="AO180" s="443">
        <f t="shared" si="91"/>
        <v>0.441</v>
      </c>
      <c r="AQ180" s="576">
        <f t="shared" si="102"/>
        <v>-0.8406400461803365</v>
      </c>
      <c r="AR180" s="539" t="s">
        <v>336</v>
      </c>
      <c r="AS180" s="439"/>
      <c r="AT180" s="469">
        <f t="shared" si="92"/>
        <v>3471</v>
      </c>
      <c r="AU180" s="443">
        <f t="shared" si="93"/>
        <v>0.48399999999999999</v>
      </c>
      <c r="AW180" s="576">
        <f t="shared" si="103"/>
        <v>-0.33167414664853856</v>
      </c>
      <c r="AX180" s="539" t="s">
        <v>336</v>
      </c>
      <c r="AY180" s="439"/>
      <c r="AZ180" s="469">
        <f t="shared" si="94"/>
        <v>3471</v>
      </c>
      <c r="BA180" s="443">
        <f t="shared" si="95"/>
        <v>0.48399999999999999</v>
      </c>
      <c r="BC180" s="576">
        <f t="shared" si="104"/>
        <v>4.000005333345916E-3</v>
      </c>
      <c r="BD180" s="539" t="s">
        <v>336</v>
      </c>
      <c r="BE180" s="439"/>
      <c r="BF180" s="469">
        <f t="shared" si="96"/>
        <v>3471</v>
      </c>
      <c r="BG180" s="443">
        <f t="shared" si="97"/>
        <v>0.48399999999999999</v>
      </c>
    </row>
    <row r="181" spans="1:60" ht="15" customHeight="1">
      <c r="A181" s="436">
        <f t="shared" si="75"/>
        <v>2009</v>
      </c>
      <c r="B181" s="437">
        <f t="shared" si="75"/>
        <v>3452</v>
      </c>
      <c r="C181" s="533">
        <f t="shared" si="76"/>
        <v>-1.8404337652553029</v>
      </c>
      <c r="D181" s="438">
        <f t="shared" si="77"/>
        <v>4</v>
      </c>
      <c r="E181" s="540"/>
      <c r="G181" s="451"/>
      <c r="H181" s="442"/>
      <c r="I181" s="443">
        <f t="shared" si="78"/>
        <v>3442</v>
      </c>
      <c r="J181" s="446">
        <f t="shared" si="79"/>
        <v>0.28968713789107764</v>
      </c>
      <c r="K181" s="443">
        <f t="shared" si="80"/>
        <v>0.1</v>
      </c>
      <c r="M181" s="576">
        <f t="shared" si="81"/>
        <v>-3.1494967784392025</v>
      </c>
      <c r="N181" s="439" t="s">
        <v>337</v>
      </c>
      <c r="O181" s="577">
        <f>E200</f>
        <v>3600</v>
      </c>
      <c r="P181" s="469">
        <f t="shared" si="82"/>
        <v>3453</v>
      </c>
      <c r="Q181" s="443">
        <f t="shared" si="83"/>
        <v>1E-3</v>
      </c>
      <c r="S181" s="576">
        <f t="shared" si="98"/>
        <v>-2.633280306038337</v>
      </c>
      <c r="T181" s="439" t="s">
        <v>337</v>
      </c>
      <c r="U181" s="363">
        <f>E201</f>
        <v>3700</v>
      </c>
      <c r="V181" s="469">
        <f t="shared" si="84"/>
        <v>3448</v>
      </c>
      <c r="W181" s="443">
        <f t="shared" si="85"/>
        <v>1.6E-2</v>
      </c>
      <c r="Y181" s="576">
        <f t="shared" si="99"/>
        <v>-2.2945065724288449</v>
      </c>
      <c r="Z181" s="439" t="s">
        <v>337</v>
      </c>
      <c r="AA181" s="363">
        <f>E202</f>
        <v>3800</v>
      </c>
      <c r="AB181" s="469">
        <f t="shared" si="86"/>
        <v>3445</v>
      </c>
      <c r="AC181" s="443">
        <f t="shared" si="87"/>
        <v>4.9000000000000002E-2</v>
      </c>
      <c r="AE181" s="576">
        <f t="shared" si="100"/>
        <v>-2.0419158197883327</v>
      </c>
      <c r="AF181" s="439" t="s">
        <v>337</v>
      </c>
      <c r="AG181" s="363">
        <f>E203</f>
        <v>3900</v>
      </c>
      <c r="AH181" s="469">
        <f t="shared" si="88"/>
        <v>3443</v>
      </c>
      <c r="AI181" s="443">
        <f t="shared" si="89"/>
        <v>8.1000000000000003E-2</v>
      </c>
      <c r="AK181" s="576">
        <f t="shared" si="101"/>
        <v>-1.8404337652553029</v>
      </c>
      <c r="AL181" s="439" t="s">
        <v>337</v>
      </c>
      <c r="AM181" s="363">
        <f>E204</f>
        <v>4000</v>
      </c>
      <c r="AN181" s="469">
        <f t="shared" si="90"/>
        <v>3442</v>
      </c>
      <c r="AO181" s="443">
        <f t="shared" si="91"/>
        <v>0.1</v>
      </c>
      <c r="AQ181" s="576">
        <f t="shared" si="102"/>
        <v>-0.80198999805364601</v>
      </c>
      <c r="AR181" s="439" t="s">
        <v>337</v>
      </c>
      <c r="AS181" s="363">
        <f>E205</f>
        <v>5000</v>
      </c>
      <c r="AT181" s="469">
        <f t="shared" si="92"/>
        <v>3439</v>
      </c>
      <c r="AU181" s="443">
        <f t="shared" si="93"/>
        <v>0.16900000000000001</v>
      </c>
      <c r="AW181" s="576">
        <f t="shared" si="103"/>
        <v>-0.3036450355112647</v>
      </c>
      <c r="AX181" s="439" t="s">
        <v>337</v>
      </c>
      <c r="AY181" s="363">
        <f>E206</f>
        <v>6000</v>
      </c>
      <c r="AZ181" s="469">
        <f t="shared" si="94"/>
        <v>3438</v>
      </c>
      <c r="BA181" s="443">
        <f t="shared" si="95"/>
        <v>0.19600000000000001</v>
      </c>
      <c r="BC181" s="576">
        <f t="shared" si="104"/>
        <v>2.7430291226151732E-2</v>
      </c>
      <c r="BD181" s="439" t="s">
        <v>337</v>
      </c>
      <c r="BE181" s="363">
        <f>E207</f>
        <v>7000</v>
      </c>
      <c r="BF181" s="469">
        <f t="shared" si="96"/>
        <v>3438</v>
      </c>
      <c r="BG181" s="443">
        <f t="shared" si="97"/>
        <v>0.19600000000000001</v>
      </c>
    </row>
    <row r="182" spans="1:60" ht="15" customHeight="1">
      <c r="A182" s="436">
        <f t="shared" si="75"/>
        <v>2010</v>
      </c>
      <c r="B182" s="437">
        <f t="shared" si="75"/>
        <v>3452</v>
      </c>
      <c r="C182" s="533">
        <f t="shared" si="76"/>
        <v>-1.8404337652553029</v>
      </c>
      <c r="D182" s="438">
        <f t="shared" si="77"/>
        <v>5</v>
      </c>
      <c r="E182" s="540" t="s">
        <v>337</v>
      </c>
      <c r="F182" s="577">
        <f>INDEX(E200:L207,MATCH(1,L200:L207,0),1)</f>
        <v>4000</v>
      </c>
      <c r="G182" s="451"/>
      <c r="I182" s="443">
        <f t="shared" si="78"/>
        <v>3411</v>
      </c>
      <c r="J182" s="446">
        <f t="shared" si="79"/>
        <v>1.1877172653534183</v>
      </c>
      <c r="K182" s="443">
        <f t="shared" si="80"/>
        <v>1.681</v>
      </c>
      <c r="M182" s="576">
        <f t="shared" si="81"/>
        <v>-3.1494967784392025</v>
      </c>
      <c r="N182" s="578" t="s">
        <v>338</v>
      </c>
      <c r="O182" s="505">
        <f>MAX($B178:$B188)</f>
        <v>3500</v>
      </c>
      <c r="P182" s="469">
        <f t="shared" si="82"/>
        <v>3427</v>
      </c>
      <c r="Q182" s="443">
        <f t="shared" si="83"/>
        <v>0.625</v>
      </c>
      <c r="S182" s="576">
        <f t="shared" si="98"/>
        <v>-2.633280306038337</v>
      </c>
      <c r="T182" s="578" t="s">
        <v>338</v>
      </c>
      <c r="U182" s="505">
        <f>MAX($B178:$B188)</f>
        <v>3500</v>
      </c>
      <c r="V182" s="469">
        <f t="shared" si="84"/>
        <v>3419</v>
      </c>
      <c r="W182" s="443">
        <f t="shared" si="85"/>
        <v>1.089</v>
      </c>
      <c r="Y182" s="576">
        <f t="shared" si="99"/>
        <v>-2.2945065724288449</v>
      </c>
      <c r="Z182" s="578" t="s">
        <v>338</v>
      </c>
      <c r="AA182" s="505">
        <f>MAX($B178:$B188)</f>
        <v>3500</v>
      </c>
      <c r="AB182" s="469">
        <f t="shared" si="86"/>
        <v>3415</v>
      </c>
      <c r="AC182" s="443">
        <f t="shared" si="87"/>
        <v>1.369</v>
      </c>
      <c r="AE182" s="576">
        <f t="shared" si="100"/>
        <v>-2.0419158197883327</v>
      </c>
      <c r="AF182" s="578" t="s">
        <v>338</v>
      </c>
      <c r="AG182" s="505">
        <f>MAX($B178:$B188)</f>
        <v>3500</v>
      </c>
      <c r="AH182" s="469">
        <f t="shared" si="88"/>
        <v>3413</v>
      </c>
      <c r="AI182" s="443">
        <f t="shared" si="89"/>
        <v>1.5209999999999999</v>
      </c>
      <c r="AK182" s="576">
        <f t="shared" si="101"/>
        <v>-1.8404337652553029</v>
      </c>
      <c r="AL182" s="578" t="s">
        <v>338</v>
      </c>
      <c r="AM182" s="505">
        <f>MAX($B178:$B188)</f>
        <v>3500</v>
      </c>
      <c r="AN182" s="469">
        <f t="shared" si="90"/>
        <v>3411</v>
      </c>
      <c r="AO182" s="443">
        <f t="shared" si="91"/>
        <v>1.681</v>
      </c>
      <c r="AQ182" s="576">
        <f t="shared" si="102"/>
        <v>-0.80198999805364601</v>
      </c>
      <c r="AR182" s="578" t="s">
        <v>338</v>
      </c>
      <c r="AS182" s="505">
        <f>MAX($B178:$B188)</f>
        <v>3500</v>
      </c>
      <c r="AT182" s="469">
        <f t="shared" si="92"/>
        <v>3406</v>
      </c>
      <c r="AU182" s="443">
        <f t="shared" si="93"/>
        <v>2.1160000000000001</v>
      </c>
      <c r="AW182" s="576">
        <f t="shared" si="103"/>
        <v>-0.3036450355112647</v>
      </c>
      <c r="AX182" s="578" t="s">
        <v>338</v>
      </c>
      <c r="AY182" s="505">
        <f>MAX($B178:$B188)</f>
        <v>3500</v>
      </c>
      <c r="AZ182" s="469">
        <f t="shared" si="94"/>
        <v>3405</v>
      </c>
      <c r="BA182" s="443">
        <f t="shared" si="95"/>
        <v>2.2090000000000001</v>
      </c>
      <c r="BC182" s="576">
        <f t="shared" si="104"/>
        <v>2.7430291226151732E-2</v>
      </c>
      <c r="BD182" s="578" t="s">
        <v>338</v>
      </c>
      <c r="BE182" s="505">
        <f>MAX($B178:$B188)</f>
        <v>3500</v>
      </c>
      <c r="BF182" s="469">
        <f t="shared" si="96"/>
        <v>3405</v>
      </c>
      <c r="BG182" s="443">
        <f t="shared" si="97"/>
        <v>2.2090000000000001</v>
      </c>
    </row>
    <row r="183" spans="1:60" ht="15" customHeight="1">
      <c r="A183" s="436">
        <f t="shared" si="75"/>
        <v>2011</v>
      </c>
      <c r="B183" s="437">
        <f t="shared" si="75"/>
        <v>3386</v>
      </c>
      <c r="C183" s="533">
        <f t="shared" si="76"/>
        <v>-1.7074096345459384</v>
      </c>
      <c r="D183" s="438">
        <f t="shared" si="77"/>
        <v>6</v>
      </c>
      <c r="E183" s="578" t="s">
        <v>338</v>
      </c>
      <c r="F183" s="505">
        <f>MAX(B178:B188)</f>
        <v>3500</v>
      </c>
      <c r="G183" s="451"/>
      <c r="H183" s="442"/>
      <c r="I183" s="443">
        <f t="shared" si="78"/>
        <v>3379</v>
      </c>
      <c r="J183" s="446">
        <f t="shared" si="79"/>
        <v>0.2067336089781453</v>
      </c>
      <c r="K183" s="443">
        <f t="shared" si="80"/>
        <v>4.9000000000000002E-2</v>
      </c>
      <c r="M183" s="576">
        <f t="shared" si="81"/>
        <v>-2.7614285476712275</v>
      </c>
      <c r="N183" s="578" t="s">
        <v>339</v>
      </c>
      <c r="O183" s="505">
        <f>AVERAGE($B184:$B188)</f>
        <v>3261.2</v>
      </c>
      <c r="P183" s="469">
        <f t="shared" si="82"/>
        <v>3397</v>
      </c>
      <c r="Q183" s="443">
        <f t="shared" si="83"/>
        <v>0.121</v>
      </c>
      <c r="S183" s="576">
        <f t="shared" si="98"/>
        <v>-2.3780115767848273</v>
      </c>
      <c r="T183" s="578" t="s">
        <v>339</v>
      </c>
      <c r="U183" s="505">
        <f>AVERAGE($B184:$B188)</f>
        <v>3261.2</v>
      </c>
      <c r="V183" s="469">
        <f t="shared" si="84"/>
        <v>3388</v>
      </c>
      <c r="W183" s="443">
        <f t="shared" si="85"/>
        <v>4.0000000000000001E-3</v>
      </c>
      <c r="Y183" s="576">
        <f t="shared" si="99"/>
        <v>-2.1015385888677671</v>
      </c>
      <c r="Z183" s="578" t="s">
        <v>339</v>
      </c>
      <c r="AA183" s="505">
        <f>AVERAGE($B184:$B188)</f>
        <v>3261.2</v>
      </c>
      <c r="AB183" s="469">
        <f t="shared" si="86"/>
        <v>3384</v>
      </c>
      <c r="AC183" s="443">
        <f t="shared" si="87"/>
        <v>4.0000000000000001E-3</v>
      </c>
      <c r="AE183" s="576">
        <f t="shared" si="100"/>
        <v>-1.8851812972379152</v>
      </c>
      <c r="AF183" s="578" t="s">
        <v>339</v>
      </c>
      <c r="AG183" s="505">
        <f>AVERAGE($B184:$B188)</f>
        <v>3261.2</v>
      </c>
      <c r="AH183" s="469">
        <f t="shared" si="88"/>
        <v>3381</v>
      </c>
      <c r="AI183" s="443">
        <f t="shared" si="89"/>
        <v>2.5000000000000001E-2</v>
      </c>
      <c r="AK183" s="576">
        <f t="shared" si="101"/>
        <v>-1.7074096345459384</v>
      </c>
      <c r="AL183" s="578" t="s">
        <v>339</v>
      </c>
      <c r="AM183" s="505">
        <f>AVERAGE($B184:$B188)</f>
        <v>3261.2</v>
      </c>
      <c r="AN183" s="469">
        <f t="shared" si="90"/>
        <v>3379</v>
      </c>
      <c r="AO183" s="443">
        <f t="shared" si="91"/>
        <v>4.9000000000000002E-2</v>
      </c>
      <c r="AQ183" s="576">
        <f t="shared" si="102"/>
        <v>-0.74093371386318629</v>
      </c>
      <c r="AR183" s="578" t="s">
        <v>339</v>
      </c>
      <c r="AS183" s="505">
        <f>AVERAGE($B184:$B188)</f>
        <v>3261.2</v>
      </c>
      <c r="AT183" s="469">
        <f t="shared" si="92"/>
        <v>3373</v>
      </c>
      <c r="AU183" s="443">
        <f t="shared" si="93"/>
        <v>0.16900000000000001</v>
      </c>
      <c r="AW183" s="576">
        <f t="shared" si="103"/>
        <v>-0.25876766850891331</v>
      </c>
      <c r="AX183" s="578" t="s">
        <v>339</v>
      </c>
      <c r="AY183" s="505">
        <f>AVERAGE($B184:$B188)</f>
        <v>3261.2</v>
      </c>
      <c r="AZ183" s="469">
        <f t="shared" si="94"/>
        <v>3372</v>
      </c>
      <c r="BA183" s="443">
        <f t="shared" si="95"/>
        <v>0.19600000000000001</v>
      </c>
      <c r="BC183" s="576">
        <f t="shared" si="104"/>
        <v>6.5165908459093133E-2</v>
      </c>
      <c r="BD183" s="578" t="s">
        <v>339</v>
      </c>
      <c r="BE183" s="505">
        <f>AVERAGE($B184:$B188)</f>
        <v>3261.2</v>
      </c>
      <c r="BF183" s="469">
        <f t="shared" si="96"/>
        <v>3372</v>
      </c>
      <c r="BG183" s="443">
        <f t="shared" si="97"/>
        <v>0.19600000000000001</v>
      </c>
    </row>
    <row r="184" spans="1:60" ht="15" customHeight="1">
      <c r="A184" s="436">
        <f t="shared" si="75"/>
        <v>2012</v>
      </c>
      <c r="B184" s="437">
        <f t="shared" si="75"/>
        <v>3321</v>
      </c>
      <c r="C184" s="533">
        <f t="shared" si="76"/>
        <v>-1.5874000938180504</v>
      </c>
      <c r="D184" s="438">
        <f t="shared" si="77"/>
        <v>7</v>
      </c>
      <c r="E184" s="578" t="s">
        <v>339</v>
      </c>
      <c r="F184" s="505">
        <f>AVERAGE(B184:B188)</f>
        <v>3261.2</v>
      </c>
      <c r="G184" s="451"/>
      <c r="H184" s="442"/>
      <c r="I184" s="443">
        <f t="shared" si="78"/>
        <v>3346</v>
      </c>
      <c r="J184" s="446">
        <f t="shared" si="79"/>
        <v>0.75278530563083412</v>
      </c>
      <c r="K184" s="443">
        <f t="shared" si="80"/>
        <v>0.625</v>
      </c>
      <c r="M184" s="576">
        <f t="shared" si="81"/>
        <v>-2.4768094395553821</v>
      </c>
      <c r="N184" s="579" t="s">
        <v>340</v>
      </c>
      <c r="O184" s="504">
        <f>INDEX(LINEST(M178:M188,$D178:$D188),1)</f>
        <v>0.1688300532146077</v>
      </c>
      <c r="P184" s="469">
        <f t="shared" si="82"/>
        <v>3362</v>
      </c>
      <c r="Q184" s="443">
        <f>($B184-P184)^2/1000</f>
        <v>1.681</v>
      </c>
      <c r="S184" s="576">
        <f t="shared" si="98"/>
        <v>-2.1704850162943199</v>
      </c>
      <c r="T184" s="579" t="s">
        <v>340</v>
      </c>
      <c r="U184" s="504">
        <f>INDEX(LINEST(S178:S188,$D178:$D188),1)</f>
        <v>0.11437927410489114</v>
      </c>
      <c r="V184" s="469">
        <f t="shared" si="84"/>
        <v>3354</v>
      </c>
      <c r="W184" s="443">
        <f>($B184-V184)^2/1000</f>
        <v>1.089</v>
      </c>
      <c r="Y184" s="576">
        <f t="shared" si="99"/>
        <v>-1.9363206239658317</v>
      </c>
      <c r="Z184" s="579" t="s">
        <v>340</v>
      </c>
      <c r="AA184" s="504">
        <f>INDEX(LINEST(Y178:Y188,$D178:$D188),1)</f>
        <v>8.8525491956922664E-2</v>
      </c>
      <c r="AB184" s="469">
        <f t="shared" si="86"/>
        <v>3350</v>
      </c>
      <c r="AC184" s="443">
        <f t="shared" si="87"/>
        <v>0.84099999999999997</v>
      </c>
      <c r="AE184" s="576">
        <f t="shared" si="100"/>
        <v>-1.7467187438037508</v>
      </c>
      <c r="AF184" s="579" t="s">
        <v>340</v>
      </c>
      <c r="AG184" s="504">
        <f>INDEX(LINEST(AE178:AE188,$D178:$D188),1)</f>
        <v>7.3123417332925447E-2</v>
      </c>
      <c r="AH184" s="469">
        <f t="shared" si="88"/>
        <v>3347</v>
      </c>
      <c r="AI184" s="443">
        <f t="shared" si="89"/>
        <v>0.67600000000000005</v>
      </c>
      <c r="AK184" s="576">
        <f t="shared" si="101"/>
        <v>-1.5874000938180504</v>
      </c>
      <c r="AL184" s="579" t="s">
        <v>340</v>
      </c>
      <c r="AM184" s="504">
        <f>INDEX(LINEST(AK178:AK188,$D178:$D188),1)</f>
        <v>6.2833407390558385E-2</v>
      </c>
      <c r="AN184" s="469">
        <f t="shared" si="90"/>
        <v>3346</v>
      </c>
      <c r="AO184" s="443">
        <f t="shared" si="91"/>
        <v>0.625</v>
      </c>
      <c r="AQ184" s="576">
        <f t="shared" si="102"/>
        <v>-0.68206756429920556</v>
      </c>
      <c r="AR184" s="579" t="s">
        <v>340</v>
      </c>
      <c r="AS184" s="504">
        <f>INDEX(LINEST(AQ178:AQ188,$D178:$D188),1)</f>
        <v>3.0163043775614871E-2</v>
      </c>
      <c r="AT184" s="469">
        <f t="shared" si="92"/>
        <v>3340</v>
      </c>
      <c r="AU184" s="443">
        <f t="shared" si="93"/>
        <v>0.36099999999999999</v>
      </c>
      <c r="AW184" s="576">
        <f t="shared" si="103"/>
        <v>-0.21482235183213794</v>
      </c>
      <c r="AX184" s="579" t="s">
        <v>340</v>
      </c>
      <c r="AY184" s="504">
        <f>INDEX(LINEST(AW178:AW188,$D178:$D188),1)</f>
        <v>2.2433423748361637E-2</v>
      </c>
      <c r="AZ184" s="469">
        <f t="shared" si="94"/>
        <v>3339</v>
      </c>
      <c r="BA184" s="443">
        <f t="shared" si="95"/>
        <v>0.32400000000000001</v>
      </c>
      <c r="BC184" s="576">
        <f t="shared" si="104"/>
        <v>0.10237503372802777</v>
      </c>
      <c r="BD184" s="579" t="s">
        <v>340</v>
      </c>
      <c r="BE184" s="504">
        <f>INDEX(LINEST(BC178:BC188,$D178:$D188),1)</f>
        <v>1.8966111837890525E-2</v>
      </c>
      <c r="BF184" s="469">
        <f t="shared" si="96"/>
        <v>3338</v>
      </c>
      <c r="BG184" s="443">
        <f t="shared" si="97"/>
        <v>0.28899999999999998</v>
      </c>
    </row>
    <row r="185" spans="1:60" ht="15" customHeight="1">
      <c r="A185" s="436">
        <f t="shared" si="75"/>
        <v>2013</v>
      </c>
      <c r="B185" s="437">
        <f t="shared" si="75"/>
        <v>3291</v>
      </c>
      <c r="C185" s="533">
        <f t="shared" si="76"/>
        <v>-1.5350912224112125</v>
      </c>
      <c r="D185" s="438">
        <f t="shared" ref="D185:D210" si="105">D184+1</f>
        <v>8</v>
      </c>
      <c r="G185" s="451"/>
      <c r="H185" s="442"/>
      <c r="I185" s="443">
        <f t="shared" si="78"/>
        <v>3310</v>
      </c>
      <c r="J185" s="446">
        <f t="shared" si="79"/>
        <v>0.57733211789729566</v>
      </c>
      <c r="K185" s="443">
        <f t="shared" si="80"/>
        <v>0.36099999999999999</v>
      </c>
      <c r="M185" s="576">
        <f t="shared" si="81"/>
        <v>-2.3656054720455941</v>
      </c>
      <c r="N185" s="439" t="s">
        <v>305</v>
      </c>
      <c r="O185" s="504">
        <f>INDEX(LINEST(M178:M188,$D178:$D188),2)</f>
        <v>-3.8313370388119403</v>
      </c>
      <c r="P185" s="469">
        <f t="shared" si="82"/>
        <v>3322</v>
      </c>
      <c r="Q185" s="443">
        <f>($B185-P185)^2/1000</f>
        <v>0.96099999999999997</v>
      </c>
      <c r="S185" s="576">
        <f t="shared" si="98"/>
        <v>-2.0852315929005378</v>
      </c>
      <c r="T185" s="439" t="s">
        <v>305</v>
      </c>
      <c r="U185" s="504">
        <f>INDEX(LINEST(S178:S188,$D178:$D188),2)</f>
        <v>-3.0715392724580703</v>
      </c>
      <c r="V185" s="469">
        <f t="shared" si="84"/>
        <v>3316</v>
      </c>
      <c r="W185" s="443">
        <f>($B185-V185)^2/1000</f>
        <v>0.625</v>
      </c>
      <c r="Y185" s="576">
        <f t="shared" si="99"/>
        <v>-1.8664987323928171</v>
      </c>
      <c r="Z185" s="439" t="s">
        <v>305</v>
      </c>
      <c r="AA185" s="504">
        <f>INDEX(LINEST(Y178:Y188,$D178:$D188),2)</f>
        <v>-2.6263566388830744</v>
      </c>
      <c r="AB185" s="469">
        <f t="shared" si="86"/>
        <v>3313</v>
      </c>
      <c r="AC185" s="443">
        <f t="shared" si="87"/>
        <v>0.48399999999999999</v>
      </c>
      <c r="AE185" s="576">
        <f t="shared" si="100"/>
        <v>-1.6871284812334428</v>
      </c>
      <c r="AF185" s="439" t="s">
        <v>305</v>
      </c>
      <c r="AG185" s="504">
        <f>INDEX(LINEST(AE178:AE188,$D178:$D188),2)</f>
        <v>-2.3127567325425407</v>
      </c>
      <c r="AH185" s="469">
        <f t="shared" si="88"/>
        <v>3312</v>
      </c>
      <c r="AI185" s="443">
        <f t="shared" si="89"/>
        <v>0.441</v>
      </c>
      <c r="AK185" s="576">
        <f t="shared" si="101"/>
        <v>-1.5350912224112125</v>
      </c>
      <c r="AL185" s="439" t="s">
        <v>305</v>
      </c>
      <c r="AM185" s="504">
        <f>INDEX(LINEST(AK178:AK188,$D178:$D188),2)</f>
        <v>-2.07140367326737</v>
      </c>
      <c r="AN185" s="469">
        <f t="shared" si="90"/>
        <v>3310</v>
      </c>
      <c r="AO185" s="443">
        <f t="shared" si="91"/>
        <v>0.36099999999999999</v>
      </c>
      <c r="AQ185" s="576">
        <f t="shared" si="102"/>
        <v>-0.65528306582774887</v>
      </c>
      <c r="AR185" s="439" t="s">
        <v>305</v>
      </c>
      <c r="AS185" s="504">
        <f>INDEX(LINEST(AQ178:AQ188,$D178:$D188),2)</f>
        <v>-0.91048509858318694</v>
      </c>
      <c r="AT185" s="469">
        <f t="shared" si="92"/>
        <v>3307</v>
      </c>
      <c r="AU185" s="443">
        <f t="shared" si="93"/>
        <v>0.25600000000000001</v>
      </c>
      <c r="AW185" s="576">
        <f t="shared" si="103"/>
        <v>-0.19461190685824484</v>
      </c>
      <c r="AX185" s="439" t="s">
        <v>305</v>
      </c>
      <c r="AY185" s="504">
        <f>INDEX(LINEST(AW178:AW188,$D178:$D188),2)</f>
        <v>-0.38396555254326326</v>
      </c>
      <c r="AZ185" s="469">
        <f t="shared" si="94"/>
        <v>3306</v>
      </c>
      <c r="BA185" s="443">
        <f t="shared" si="95"/>
        <v>0.22500000000000001</v>
      </c>
      <c r="BC185" s="576">
        <f t="shared" si="104"/>
        <v>0.11957082854625095</v>
      </c>
      <c r="BD185" s="439" t="s">
        <v>305</v>
      </c>
      <c r="BE185" s="504">
        <f>INDEX(LINEST(BC178:BC188,$D178:$D188),2)</f>
        <v>-4.0339816601119363E-2</v>
      </c>
      <c r="BF185" s="469">
        <f t="shared" si="96"/>
        <v>3305</v>
      </c>
      <c r="BG185" s="443">
        <f t="shared" si="97"/>
        <v>0.19600000000000001</v>
      </c>
    </row>
    <row r="186" spans="1:60" ht="15" customHeight="1">
      <c r="A186" s="436">
        <f t="shared" si="75"/>
        <v>2014</v>
      </c>
      <c r="B186" s="437">
        <f t="shared" si="75"/>
        <v>3233</v>
      </c>
      <c r="C186" s="580">
        <f t="shared" si="76"/>
        <v>-1.4386789763581773</v>
      </c>
      <c r="D186" s="508">
        <f t="shared" si="105"/>
        <v>9</v>
      </c>
      <c r="E186" s="581" t="s">
        <v>340</v>
      </c>
      <c r="F186" s="504">
        <f>INDEX(LINEST(C178:C188,D178:D188),1)</f>
        <v>6.2833407390558385E-2</v>
      </c>
      <c r="G186" s="582"/>
      <c r="H186" s="442"/>
      <c r="I186" s="443">
        <f t="shared" si="78"/>
        <v>3274</v>
      </c>
      <c r="J186" s="467">
        <f t="shared" si="79"/>
        <v>1.268171976492422</v>
      </c>
      <c r="K186" s="443">
        <f t="shared" si="80"/>
        <v>1.681</v>
      </c>
      <c r="M186" s="576">
        <f t="shared" si="81"/>
        <v>-2.1758039296708636</v>
      </c>
      <c r="N186" s="578" t="s">
        <v>306</v>
      </c>
      <c r="O186" s="583">
        <f>O184*-1</f>
        <v>-0.1688300532146077</v>
      </c>
      <c r="P186" s="469">
        <f t="shared" si="82"/>
        <v>3275</v>
      </c>
      <c r="Q186" s="443">
        <f>($B186-P186)^2/1000</f>
        <v>1.764</v>
      </c>
      <c r="S186" s="576">
        <f t="shared" si="98"/>
        <v>-1.9348365200565352</v>
      </c>
      <c r="T186" s="578" t="s">
        <v>306</v>
      </c>
      <c r="U186" s="583">
        <f>U184*-1</f>
        <v>-0.11437927410489114</v>
      </c>
      <c r="V186" s="469">
        <f t="shared" si="84"/>
        <v>3275</v>
      </c>
      <c r="W186" s="443">
        <f>($B186-V186)^2/1000</f>
        <v>1.764</v>
      </c>
      <c r="Y186" s="576">
        <f t="shared" si="99"/>
        <v>-1.740806473997681</v>
      </c>
      <c r="Z186" s="578" t="s">
        <v>306</v>
      </c>
      <c r="AA186" s="583">
        <f>AA184*-1</f>
        <v>-8.8525491956922664E-2</v>
      </c>
      <c r="AB186" s="469">
        <f t="shared" si="86"/>
        <v>3275</v>
      </c>
      <c r="AC186" s="443">
        <f>($B186-AB186)^2/1000</f>
        <v>1.764</v>
      </c>
      <c r="AE186" s="576">
        <f t="shared" si="100"/>
        <v>-1.5783757318098095</v>
      </c>
      <c r="AF186" s="578" t="s">
        <v>306</v>
      </c>
      <c r="AG186" s="583">
        <f>AG184*-1</f>
        <v>-7.3123417332925447E-2</v>
      </c>
      <c r="AH186" s="469">
        <f t="shared" si="88"/>
        <v>3274</v>
      </c>
      <c r="AI186" s="443">
        <f>($B186-AH186)^2/1000</f>
        <v>1.681</v>
      </c>
      <c r="AK186" s="576">
        <f t="shared" si="101"/>
        <v>-1.4386789763581773</v>
      </c>
      <c r="AL186" s="578" t="s">
        <v>306</v>
      </c>
      <c r="AM186" s="583">
        <f>AM184*-1</f>
        <v>-6.2833407390558385E-2</v>
      </c>
      <c r="AN186" s="469">
        <f t="shared" si="90"/>
        <v>3274</v>
      </c>
      <c r="AO186" s="443">
        <f t="shared" si="91"/>
        <v>1.681</v>
      </c>
      <c r="AQ186" s="576">
        <f t="shared" si="102"/>
        <v>-0.60412730540573667</v>
      </c>
      <c r="AR186" s="578" t="s">
        <v>306</v>
      </c>
      <c r="AS186" s="583">
        <f>AS184*-1</f>
        <v>-3.0163043775614871E-2</v>
      </c>
      <c r="AT186" s="469">
        <f t="shared" si="92"/>
        <v>3273</v>
      </c>
      <c r="AU186" s="443">
        <f>($B186-AT186)^2/1000</f>
        <v>1.6</v>
      </c>
      <c r="AW186" s="576">
        <f t="shared" si="103"/>
        <v>-0.15564679793850708</v>
      </c>
      <c r="AX186" s="578" t="s">
        <v>306</v>
      </c>
      <c r="AY186" s="583">
        <f>AY184*-1</f>
        <v>-2.2433423748361637E-2</v>
      </c>
      <c r="AZ186" s="469">
        <f t="shared" si="94"/>
        <v>3272</v>
      </c>
      <c r="BA186" s="443">
        <f>($B186-AZ186)^2/1000</f>
        <v>1.5209999999999999</v>
      </c>
      <c r="BC186" s="576">
        <f t="shared" si="104"/>
        <v>0.15286842996660793</v>
      </c>
      <c r="BD186" s="578" t="s">
        <v>306</v>
      </c>
      <c r="BE186" s="583">
        <f>BE184*-1</f>
        <v>-1.8966111837890525E-2</v>
      </c>
      <c r="BF186" s="469">
        <f t="shared" si="96"/>
        <v>3272</v>
      </c>
      <c r="BG186" s="443">
        <f>($B186-BF186)^2/1000</f>
        <v>1.5209999999999999</v>
      </c>
    </row>
    <row r="187" spans="1:60" ht="15" customHeight="1">
      <c r="A187" s="436">
        <f t="shared" si="75"/>
        <v>2015</v>
      </c>
      <c r="B187" s="437">
        <f t="shared" si="75"/>
        <v>3221</v>
      </c>
      <c r="C187" s="580">
        <f t="shared" si="76"/>
        <v>-1.4194361034604506</v>
      </c>
      <c r="D187" s="508">
        <f t="shared" si="105"/>
        <v>10</v>
      </c>
      <c r="E187" s="540" t="s">
        <v>305</v>
      </c>
      <c r="F187" s="504">
        <f>INDEX(LINEST(C178:C188,D178:D188),2)</f>
        <v>-2.07140367326737</v>
      </c>
      <c r="G187" s="451"/>
      <c r="H187" s="439"/>
      <c r="I187" s="443">
        <f t="shared" si="78"/>
        <v>3236</v>
      </c>
      <c r="J187" s="467">
        <f t="shared" si="79"/>
        <v>0.46569388388699162</v>
      </c>
      <c r="K187" s="443">
        <f t="shared" si="80"/>
        <v>0.22500000000000001</v>
      </c>
      <c r="M187" s="576">
        <f t="shared" si="81"/>
        <v>-2.139910944248772</v>
      </c>
      <c r="N187" s="439" t="s">
        <v>321</v>
      </c>
      <c r="O187" s="504">
        <f>P177</f>
        <v>0.91199212332449475</v>
      </c>
      <c r="P187" s="469">
        <f t="shared" si="82"/>
        <v>3222</v>
      </c>
      <c r="Q187" s="443">
        <f>($B187-P187)^2/1000</f>
        <v>1E-3</v>
      </c>
      <c r="S187" s="576">
        <f t="shared" si="98"/>
        <v>-1.9057465519202836</v>
      </c>
      <c r="T187" s="439" t="s">
        <v>321</v>
      </c>
      <c r="U187" s="504">
        <f>V177</f>
        <v>0.93137273981794377</v>
      </c>
      <c r="V187" s="469">
        <f t="shared" si="84"/>
        <v>3230</v>
      </c>
      <c r="W187" s="443">
        <f>($B187-V187)^2/1000</f>
        <v>8.1000000000000003E-2</v>
      </c>
      <c r="Y187" s="576">
        <f t="shared" si="99"/>
        <v>-1.7161446717582041</v>
      </c>
      <c r="Z187" s="439" t="s">
        <v>321</v>
      </c>
      <c r="AA187" s="504">
        <f>AB177</f>
        <v>0.93620047686664565</v>
      </c>
      <c r="AB187" s="469">
        <f t="shared" si="86"/>
        <v>3233</v>
      </c>
      <c r="AC187" s="443">
        <f>($B187-AB187)^2/1000</f>
        <v>0.14399999999999999</v>
      </c>
      <c r="AE187" s="576">
        <f t="shared" si="100"/>
        <v>-1.5568260217725023</v>
      </c>
      <c r="AF187" s="439" t="s">
        <v>321</v>
      </c>
      <c r="AG187" s="504">
        <f>AH177</f>
        <v>0.93834447648425923</v>
      </c>
      <c r="AH187" s="469">
        <f t="shared" si="88"/>
        <v>3235</v>
      </c>
      <c r="AI187" s="443">
        <f>($B187-AH187)^2/1000</f>
        <v>0.19600000000000001</v>
      </c>
      <c r="AK187" s="576">
        <f t="shared" si="101"/>
        <v>-1.4194361034604506</v>
      </c>
      <c r="AL187" s="439" t="s">
        <v>321</v>
      </c>
      <c r="AM187" s="504">
        <f>AN177</f>
        <v>0.93884511976850094</v>
      </c>
      <c r="AN187" s="469">
        <f t="shared" si="90"/>
        <v>3236</v>
      </c>
      <c r="AO187" s="443">
        <f t="shared" si="91"/>
        <v>0.22500000000000001</v>
      </c>
      <c r="AQ187" s="576">
        <f t="shared" si="102"/>
        <v>-0.59364046166536366</v>
      </c>
      <c r="AR187" s="439" t="s">
        <v>321</v>
      </c>
      <c r="AS187" s="504">
        <f>AT177</f>
        <v>0.93812762198172106</v>
      </c>
      <c r="AT187" s="469">
        <f t="shared" si="92"/>
        <v>3238</v>
      </c>
      <c r="AU187" s="443">
        <f>($B187-AT187)^2/1000</f>
        <v>0.28899999999999998</v>
      </c>
      <c r="AW187" s="576">
        <f t="shared" si="103"/>
        <v>-0.14760071958869508</v>
      </c>
      <c r="AX187" s="439" t="s">
        <v>321</v>
      </c>
      <c r="AY187" s="504">
        <f>AZ177</f>
        <v>0.93722599647080695</v>
      </c>
      <c r="AZ187" s="469">
        <f t="shared" si="94"/>
        <v>3239</v>
      </c>
      <c r="BA187" s="443">
        <f>($B187-AZ187)^2/1000</f>
        <v>0.32400000000000001</v>
      </c>
      <c r="BC187" s="576">
        <f t="shared" si="104"/>
        <v>0.15976755401828996</v>
      </c>
      <c r="BD187" s="439" t="s">
        <v>321</v>
      </c>
      <c r="BE187" s="504">
        <f>BF177</f>
        <v>0.93767561242911646</v>
      </c>
      <c r="BF187" s="469">
        <f t="shared" si="96"/>
        <v>3239</v>
      </c>
      <c r="BG187" s="443">
        <f>($B187-BF187)^2/1000</f>
        <v>0.32400000000000001</v>
      </c>
    </row>
    <row r="188" spans="1:60" ht="15" customHeight="1" thickBot="1">
      <c r="A188" s="436">
        <f t="shared" si="75"/>
        <v>2016</v>
      </c>
      <c r="B188" s="437">
        <f t="shared" si="75"/>
        <v>3240</v>
      </c>
      <c r="C188" s="580">
        <f t="shared" si="76"/>
        <v>-1.4500101755059986</v>
      </c>
      <c r="D188" s="508">
        <f t="shared" si="105"/>
        <v>11</v>
      </c>
      <c r="E188" s="578" t="s">
        <v>306</v>
      </c>
      <c r="F188" s="583">
        <f>F186*-1</f>
        <v>-6.2833407390558385E-2</v>
      </c>
      <c r="H188" s="558"/>
      <c r="I188" s="443">
        <f t="shared" si="78"/>
        <v>3196</v>
      </c>
      <c r="J188" s="467">
        <f t="shared" si="79"/>
        <v>1.3580246913580247</v>
      </c>
      <c r="K188" s="443">
        <f t="shared" si="80"/>
        <v>1.9359999999999999</v>
      </c>
      <c r="M188" s="576">
        <f t="shared" si="81"/>
        <v>-2.1972245773362191</v>
      </c>
      <c r="N188" s="439" t="s">
        <v>322</v>
      </c>
      <c r="O188" s="363">
        <f>SUM(Q178:Q188)</f>
        <v>11.875999999999999</v>
      </c>
      <c r="P188" s="469">
        <f t="shared" si="82"/>
        <v>3161</v>
      </c>
      <c r="Q188" s="443">
        <f>($B188-P188)^2/1000</f>
        <v>6.2409999999999997</v>
      </c>
      <c r="S188" s="584">
        <f t="shared" si="98"/>
        <v>-1.9521021193032346</v>
      </c>
      <c r="T188" s="439" t="s">
        <v>322</v>
      </c>
      <c r="U188" s="363">
        <f>SUM(W178:W188)</f>
        <v>8.8889999999999993</v>
      </c>
      <c r="V188" s="469">
        <f t="shared" si="84"/>
        <v>3181</v>
      </c>
      <c r="W188" s="443">
        <f>($B188-V188)^2/1000</f>
        <v>3.4809999999999999</v>
      </c>
      <c r="Y188" s="584">
        <f t="shared" si="99"/>
        <v>-1.7553918250571796</v>
      </c>
      <c r="Z188" s="439" t="s">
        <v>322</v>
      </c>
      <c r="AA188" s="363">
        <f>SUM(AC178:AC188)</f>
        <v>8.23</v>
      </c>
      <c r="AB188" s="469">
        <f t="shared" si="86"/>
        <v>3189</v>
      </c>
      <c r="AC188" s="443">
        <f>($B188-AB188)^2/1000</f>
        <v>2.601</v>
      </c>
      <c r="AE188" s="584">
        <f t="shared" si="100"/>
        <v>-1.5910887737659039</v>
      </c>
      <c r="AF188" s="439" t="s">
        <v>322</v>
      </c>
      <c r="AG188" s="363">
        <f>SUM(AI178:AI188)</f>
        <v>7.9479999999999986</v>
      </c>
      <c r="AH188" s="469">
        <f t="shared" si="88"/>
        <v>3193</v>
      </c>
      <c r="AI188" s="443">
        <f>($B188-AH188)^2/1000</f>
        <v>2.2090000000000001</v>
      </c>
      <c r="AK188" s="584">
        <f t="shared" si="101"/>
        <v>-1.4500101755059986</v>
      </c>
      <c r="AL188" s="439" t="s">
        <v>322</v>
      </c>
      <c r="AM188" s="363">
        <f>SUM(AO178:AO188)</f>
        <v>7.883</v>
      </c>
      <c r="AN188" s="469">
        <f t="shared" si="90"/>
        <v>3196</v>
      </c>
      <c r="AO188" s="443">
        <f>($B188-AN188)^2/1000</f>
        <v>1.9359999999999999</v>
      </c>
      <c r="AQ188" s="584">
        <f t="shared" si="102"/>
        <v>-0.61025952075417766</v>
      </c>
      <c r="AR188" s="439" t="s">
        <v>322</v>
      </c>
      <c r="AS188" s="363">
        <f>SUM(AU178:AU188)</f>
        <v>7.9739999999999993</v>
      </c>
      <c r="AT188" s="469">
        <f t="shared" si="92"/>
        <v>3204</v>
      </c>
      <c r="AU188" s="443">
        <f>($B188-AT188)^2/1000</f>
        <v>1.296</v>
      </c>
      <c r="AW188" s="584">
        <f t="shared" si="103"/>
        <v>-0.16034265007517937</v>
      </c>
      <c r="AX188" s="439" t="s">
        <v>322</v>
      </c>
      <c r="AY188" s="363">
        <f>SUM(BA178:BA188)</f>
        <v>8.0889999999999986</v>
      </c>
      <c r="AZ188" s="469">
        <f t="shared" si="94"/>
        <v>3205</v>
      </c>
      <c r="BA188" s="443">
        <f>($B188-AZ188)^2/1000</f>
        <v>1.2250000000000001</v>
      </c>
      <c r="BC188" s="584">
        <f t="shared" si="104"/>
        <v>0.14884562759756498</v>
      </c>
      <c r="BD188" s="439" t="s">
        <v>322</v>
      </c>
      <c r="BE188" s="363">
        <f>SUM(BG178:BG188)</f>
        <v>8.0309999999999988</v>
      </c>
      <c r="BF188" s="469">
        <f t="shared" si="96"/>
        <v>3206</v>
      </c>
      <c r="BG188" s="443">
        <f>($B188-BF188)^2/1000</f>
        <v>1.1559999999999999</v>
      </c>
    </row>
    <row r="189" spans="1:60" ht="15" customHeight="1" thickTop="1">
      <c r="A189" s="511">
        <f t="shared" si="75"/>
        <v>2017</v>
      </c>
      <c r="B189" s="459">
        <f t="shared" si="75"/>
        <v>3252</v>
      </c>
      <c r="C189" s="585"/>
      <c r="D189" s="513">
        <f t="shared" si="105"/>
        <v>12</v>
      </c>
      <c r="E189" s="462"/>
      <c r="F189" s="461"/>
      <c r="G189" s="461"/>
      <c r="H189" s="586"/>
      <c r="I189" s="464">
        <f t="shared" si="78"/>
        <v>3155</v>
      </c>
      <c r="J189" s="463"/>
      <c r="K189" s="464"/>
      <c r="M189" s="587"/>
      <c r="N189" s="461"/>
      <c r="O189" s="461"/>
      <c r="P189" s="588"/>
      <c r="Q189" s="589"/>
      <c r="S189" s="587"/>
      <c r="T189" s="461"/>
      <c r="U189" s="461"/>
      <c r="V189" s="588"/>
      <c r="W189" s="589"/>
      <c r="Y189" s="587"/>
      <c r="Z189" s="461"/>
      <c r="AA189" s="461"/>
      <c r="AB189" s="588"/>
      <c r="AC189" s="589"/>
      <c r="AE189" s="587"/>
      <c r="AF189" s="461"/>
      <c r="AG189" s="461"/>
      <c r="AH189" s="588"/>
      <c r="AI189" s="589"/>
      <c r="AK189" s="587"/>
      <c r="AL189" s="461"/>
      <c r="AM189" s="461"/>
      <c r="AN189" s="588"/>
      <c r="AO189" s="589"/>
      <c r="AQ189" s="587"/>
      <c r="AR189" s="461"/>
      <c r="AS189" s="461"/>
      <c r="AT189" s="588"/>
      <c r="AU189" s="589"/>
      <c r="AW189" s="587"/>
      <c r="AX189" s="461"/>
      <c r="AY189" s="461"/>
      <c r="AZ189" s="588"/>
      <c r="BA189" s="589"/>
      <c r="BC189" s="587"/>
      <c r="BD189" s="461"/>
      <c r="BE189" s="461"/>
      <c r="BF189" s="588"/>
      <c r="BG189" s="589"/>
    </row>
    <row r="190" spans="1:60" ht="15" customHeight="1">
      <c r="A190" s="436">
        <f>A154</f>
        <v>2018</v>
      </c>
      <c r="B190" s="437">
        <f t="shared" ref="B190:B210" si="106">ROUND(F$182/(1+EXP(F$187+F$186*D190)),$G$1)</f>
        <v>3112</v>
      </c>
      <c r="C190" s="580"/>
      <c r="D190" s="508">
        <f t="shared" si="105"/>
        <v>13</v>
      </c>
      <c r="E190" s="2318" t="s">
        <v>276</v>
      </c>
      <c r="F190" s="2320"/>
      <c r="G190" s="447">
        <f>I177</f>
        <v>0.93884511976850094</v>
      </c>
      <c r="H190" s="558"/>
      <c r="I190" s="443">
        <f t="shared" si="78"/>
        <v>3112</v>
      </c>
      <c r="J190" s="467"/>
      <c r="K190" s="443"/>
      <c r="M190" s="590"/>
      <c r="N190" s="451"/>
      <c r="O190" s="451"/>
      <c r="P190" s="493"/>
      <c r="Q190" s="492"/>
      <c r="S190" s="590"/>
      <c r="T190" s="451"/>
      <c r="U190" s="451"/>
      <c r="V190" s="493"/>
      <c r="W190" s="492"/>
      <c r="Y190" s="590"/>
      <c r="Z190" s="451"/>
      <c r="AA190" s="451"/>
      <c r="AB190" s="493"/>
      <c r="AC190" s="492"/>
      <c r="AE190" s="590"/>
      <c r="AF190" s="451"/>
      <c r="AG190" s="451"/>
      <c r="AH190" s="493"/>
      <c r="AI190" s="492"/>
      <c r="AK190" s="590"/>
      <c r="AL190" s="451"/>
      <c r="AM190" s="451"/>
      <c r="AN190" s="493"/>
      <c r="AO190" s="492"/>
      <c r="AQ190" s="590"/>
      <c r="AR190" s="451"/>
      <c r="AS190" s="451"/>
      <c r="AT190" s="493"/>
      <c r="AU190" s="492"/>
      <c r="AW190" s="590"/>
      <c r="AX190" s="451"/>
      <c r="AY190" s="451"/>
      <c r="AZ190" s="493"/>
      <c r="BA190" s="492"/>
      <c r="BC190" s="590"/>
      <c r="BD190" s="451"/>
      <c r="BE190" s="451"/>
      <c r="BF190" s="493"/>
      <c r="BG190" s="492"/>
    </row>
    <row r="191" spans="1:60" ht="15" customHeight="1">
      <c r="A191" s="436">
        <f>A155</f>
        <v>2019</v>
      </c>
      <c r="B191" s="437">
        <f t="shared" si="106"/>
        <v>3068</v>
      </c>
      <c r="C191" s="580"/>
      <c r="D191" s="508">
        <f t="shared" si="105"/>
        <v>14</v>
      </c>
      <c r="E191" s="2318" t="s">
        <v>323</v>
      </c>
      <c r="F191" s="2320"/>
      <c r="G191" s="448">
        <f>SUM(K178:K188)</f>
        <v>7.883</v>
      </c>
      <c r="H191" s="558"/>
      <c r="I191" s="443">
        <f t="shared" si="78"/>
        <v>3068</v>
      </c>
      <c r="J191" s="467"/>
      <c r="K191" s="443"/>
      <c r="M191" s="505" t="str">
        <f>E183</f>
        <v>max(y) =</v>
      </c>
      <c r="N191" s="505">
        <f>F183</f>
        <v>3500</v>
      </c>
      <c r="O191" s="505"/>
      <c r="P191" s="505"/>
      <c r="Q191" s="505"/>
      <c r="R191" s="505"/>
      <c r="S191" s="505" t="str">
        <f>M191</f>
        <v>max(y) =</v>
      </c>
      <c r="T191" s="505">
        <f>N191</f>
        <v>3500</v>
      </c>
      <c r="U191" s="505"/>
      <c r="V191" s="505"/>
      <c r="W191" s="505"/>
      <c r="X191" s="505"/>
      <c r="Y191" s="505" t="str">
        <f>S191</f>
        <v>max(y) =</v>
      </c>
      <c r="Z191" s="505">
        <f>T191</f>
        <v>3500</v>
      </c>
      <c r="AA191" s="505"/>
      <c r="AB191" s="505"/>
      <c r="AC191" s="505"/>
      <c r="AD191" s="505"/>
      <c r="AE191" s="505" t="str">
        <f>Y191</f>
        <v>max(y) =</v>
      </c>
      <c r="AF191" s="505">
        <f>Z191</f>
        <v>3500</v>
      </c>
      <c r="AG191" s="505"/>
      <c r="AH191" s="505"/>
      <c r="AI191" s="505"/>
      <c r="AJ191" s="505"/>
      <c r="AK191" s="505" t="str">
        <f>AE191</f>
        <v>max(y) =</v>
      </c>
      <c r="AL191" s="505">
        <f>AF191</f>
        <v>3500</v>
      </c>
      <c r="AM191" s="505"/>
      <c r="AN191" s="505"/>
      <c r="AO191" s="505"/>
      <c r="AP191" s="505"/>
      <c r="AQ191" s="505" t="str">
        <f>AK191</f>
        <v>max(y) =</v>
      </c>
      <c r="AR191" s="505">
        <f>AL191</f>
        <v>3500</v>
      </c>
      <c r="AS191" s="505"/>
      <c r="AT191" s="505"/>
      <c r="AU191" s="505"/>
      <c r="AV191" s="505"/>
      <c r="AW191" s="505" t="str">
        <f>AQ191</f>
        <v>max(y) =</v>
      </c>
      <c r="AX191" s="505">
        <f>AR191</f>
        <v>3500</v>
      </c>
      <c r="AY191" s="505"/>
      <c r="AZ191" s="505"/>
      <c r="BA191" s="505"/>
      <c r="BB191" s="505"/>
      <c r="BC191" s="505" t="str">
        <f>AW191</f>
        <v>max(y) =</v>
      </c>
      <c r="BD191" s="505">
        <f>AX191</f>
        <v>3500</v>
      </c>
      <c r="BE191" s="505"/>
      <c r="BF191" s="505"/>
      <c r="BG191" s="505"/>
      <c r="BH191" s="505"/>
    </row>
    <row r="192" spans="1:60" ht="15" customHeight="1">
      <c r="A192" s="436">
        <f>A156</f>
        <v>2020</v>
      </c>
      <c r="B192" s="437">
        <f t="shared" si="106"/>
        <v>3023</v>
      </c>
      <c r="C192" s="580"/>
      <c r="D192" s="508">
        <f t="shared" si="105"/>
        <v>15</v>
      </c>
      <c r="E192" s="2318" t="s">
        <v>394</v>
      </c>
      <c r="F192" s="2320"/>
      <c r="G192" s="449">
        <f>SUM(J178:J188)/D199</f>
        <v>0.34125350132050847</v>
      </c>
      <c r="H192" s="558"/>
      <c r="I192" s="443">
        <f t="shared" si="78"/>
        <v>3023</v>
      </c>
      <c r="J192" s="467"/>
      <c r="K192" s="443"/>
      <c r="M192" s="505" t="s">
        <v>395</v>
      </c>
      <c r="N192" s="505">
        <v>3</v>
      </c>
      <c r="O192" s="505"/>
      <c r="P192" s="505"/>
      <c r="Q192" s="505"/>
      <c r="R192" s="505"/>
      <c r="S192" s="505" t="s">
        <v>395</v>
      </c>
      <c r="T192" s="505">
        <f>N192</f>
        <v>3</v>
      </c>
      <c r="U192" s="505"/>
      <c r="V192" s="505"/>
      <c r="W192" s="505"/>
      <c r="X192" s="505"/>
      <c r="Y192" s="505" t="s">
        <v>326</v>
      </c>
      <c r="Z192" s="505">
        <f>T192</f>
        <v>3</v>
      </c>
      <c r="AA192" s="505"/>
      <c r="AB192" s="505"/>
      <c r="AC192" s="505"/>
      <c r="AD192" s="505"/>
      <c r="AE192" s="505" t="s">
        <v>326</v>
      </c>
      <c r="AF192" s="505">
        <f>Z192</f>
        <v>3</v>
      </c>
      <c r="AG192" s="505"/>
      <c r="AH192" s="505"/>
      <c r="AI192" s="505"/>
      <c r="AJ192" s="505"/>
      <c r="AK192" s="505" t="s">
        <v>326</v>
      </c>
      <c r="AL192" s="505">
        <f>AF192</f>
        <v>3</v>
      </c>
      <c r="AM192" s="505"/>
      <c r="AN192" s="505"/>
      <c r="AO192" s="505"/>
      <c r="AP192" s="505"/>
      <c r="AQ192" s="505" t="s">
        <v>326</v>
      </c>
      <c r="AR192" s="505">
        <f>AL192</f>
        <v>3</v>
      </c>
      <c r="AS192" s="505"/>
      <c r="AT192" s="505"/>
      <c r="AU192" s="505"/>
      <c r="AV192" s="505"/>
      <c r="AW192" s="505" t="s">
        <v>326</v>
      </c>
      <c r="AX192" s="505">
        <f>AR192</f>
        <v>3</v>
      </c>
      <c r="AY192" s="505"/>
      <c r="AZ192" s="505"/>
      <c r="BA192" s="505"/>
      <c r="BB192" s="505"/>
      <c r="BC192" s="505" t="s">
        <v>326</v>
      </c>
      <c r="BD192" s="505">
        <f>AX192</f>
        <v>3</v>
      </c>
      <c r="BE192" s="505"/>
      <c r="BF192" s="505"/>
      <c r="BG192" s="505"/>
      <c r="BH192" s="505"/>
    </row>
    <row r="193" spans="1:70" ht="15" customHeight="1">
      <c r="A193" s="436">
        <f>A157</f>
        <v>2021</v>
      </c>
      <c r="B193" s="437">
        <f t="shared" si="106"/>
        <v>2975</v>
      </c>
      <c r="C193" s="580"/>
      <c r="D193" s="508">
        <f t="shared" si="105"/>
        <v>16</v>
      </c>
      <c r="H193" s="558"/>
      <c r="I193" s="443">
        <f t="shared" si="78"/>
        <v>2975</v>
      </c>
      <c r="J193" s="467"/>
      <c r="K193" s="443"/>
      <c r="M193" s="505" t="s">
        <v>396</v>
      </c>
      <c r="N193" s="559">
        <v>100000</v>
      </c>
      <c r="O193" s="505"/>
      <c r="P193" s="505"/>
      <c r="Q193" s="505"/>
      <c r="R193" s="505"/>
      <c r="S193" s="505" t="s">
        <v>396</v>
      </c>
      <c r="T193" s="505">
        <f>N193</f>
        <v>100000</v>
      </c>
      <c r="U193" s="505"/>
      <c r="V193" s="505"/>
      <c r="W193" s="505"/>
      <c r="X193" s="505"/>
      <c r="Y193" s="505" t="s">
        <v>396</v>
      </c>
      <c r="Z193" s="505">
        <f>T193</f>
        <v>100000</v>
      </c>
      <c r="AA193" s="505"/>
      <c r="AB193" s="505"/>
      <c r="AC193" s="505"/>
      <c r="AD193" s="505"/>
      <c r="AE193" s="505" t="s">
        <v>396</v>
      </c>
      <c r="AF193" s="505">
        <f>Z193</f>
        <v>100000</v>
      </c>
      <c r="AG193" s="505"/>
      <c r="AH193" s="505"/>
      <c r="AI193" s="505"/>
      <c r="AJ193" s="505"/>
      <c r="AK193" s="505" t="s">
        <v>396</v>
      </c>
      <c r="AL193" s="505">
        <f>AF193</f>
        <v>100000</v>
      </c>
      <c r="AM193" s="505"/>
      <c r="AN193" s="505"/>
      <c r="AO193" s="505"/>
      <c r="AP193" s="505"/>
      <c r="AQ193" s="505" t="s">
        <v>396</v>
      </c>
      <c r="AR193" s="505">
        <f>AL193</f>
        <v>100000</v>
      </c>
      <c r="AS193" s="505"/>
      <c r="AT193" s="505"/>
      <c r="AU193" s="505"/>
      <c r="AV193" s="505"/>
      <c r="AW193" s="505" t="s">
        <v>343</v>
      </c>
      <c r="AX193" s="505">
        <f>AR193</f>
        <v>100000</v>
      </c>
      <c r="AY193" s="505"/>
      <c r="AZ193" s="505"/>
      <c r="BA193" s="505"/>
      <c r="BB193" s="505"/>
      <c r="BC193" s="505" t="s">
        <v>343</v>
      </c>
      <c r="BD193" s="505">
        <f>AX193</f>
        <v>100000</v>
      </c>
      <c r="BE193" s="505"/>
      <c r="BF193" s="505"/>
      <c r="BG193" s="505"/>
      <c r="BH193" s="505"/>
    </row>
    <row r="194" spans="1:70" ht="15" customHeight="1">
      <c r="A194" s="436">
        <f>A158</f>
        <v>2022</v>
      </c>
      <c r="B194" s="437">
        <f t="shared" si="106"/>
        <v>2927</v>
      </c>
      <c r="C194" s="580"/>
      <c r="D194" s="508">
        <f t="shared" si="105"/>
        <v>17</v>
      </c>
      <c r="E194" s="451"/>
      <c r="F194" s="451"/>
      <c r="G194" s="451"/>
      <c r="H194" s="558"/>
      <c r="I194" s="443">
        <f t="shared" si="78"/>
        <v>2927</v>
      </c>
      <c r="J194" s="467"/>
      <c r="K194" s="443"/>
      <c r="M194" s="590"/>
      <c r="N194" s="451"/>
      <c r="O194" s="451"/>
      <c r="P194" s="493"/>
      <c r="Q194" s="492"/>
      <c r="S194" s="590"/>
      <c r="T194" s="451"/>
      <c r="U194" s="451"/>
      <c r="V194" s="493"/>
      <c r="W194" s="492"/>
      <c r="Y194" s="590"/>
      <c r="Z194" s="451"/>
      <c r="AA194" s="451"/>
      <c r="AB194" s="493"/>
      <c r="AC194" s="492"/>
      <c r="AE194" s="590"/>
      <c r="AF194" s="451"/>
      <c r="AG194" s="451"/>
      <c r="AH194" s="493"/>
      <c r="AI194" s="492"/>
      <c r="AK194" s="590"/>
      <c r="AL194" s="451"/>
      <c r="AM194" s="451"/>
      <c r="AN194" s="493"/>
      <c r="AO194" s="492"/>
      <c r="AQ194" s="590"/>
      <c r="AR194" s="451"/>
      <c r="AS194" s="451"/>
      <c r="AT194" s="493"/>
      <c r="AU194" s="492"/>
      <c r="AW194" s="590"/>
      <c r="AX194" s="451"/>
      <c r="AY194" s="451"/>
      <c r="AZ194" s="493"/>
      <c r="BA194" s="492"/>
      <c r="BC194" s="590"/>
      <c r="BD194" s="451"/>
      <c r="BE194" s="451"/>
      <c r="BF194" s="493"/>
      <c r="BG194" s="492"/>
    </row>
    <row r="195" spans="1:70" ht="15" customHeight="1">
      <c r="A195" s="436">
        <f t="shared" ref="A195:A210" si="107">A159</f>
        <v>2023</v>
      </c>
      <c r="B195" s="437">
        <f t="shared" si="106"/>
        <v>2877</v>
      </c>
      <c r="C195" s="580"/>
      <c r="D195" s="508">
        <f t="shared" si="105"/>
        <v>18</v>
      </c>
      <c r="E195" s="451"/>
      <c r="F195" s="451"/>
      <c r="G195" s="451"/>
      <c r="H195" s="558"/>
      <c r="I195" s="443">
        <f t="shared" si="78"/>
        <v>2877</v>
      </c>
      <c r="J195" s="467"/>
      <c r="K195" s="443"/>
      <c r="M195" s="590"/>
      <c r="N195" s="451"/>
      <c r="O195" s="451"/>
      <c r="P195" s="493"/>
      <c r="Q195" s="492"/>
      <c r="S195" s="590"/>
      <c r="T195" s="451"/>
      <c r="U195" s="451"/>
      <c r="V195" s="493"/>
      <c r="W195" s="492"/>
      <c r="Y195" s="590"/>
      <c r="Z195" s="451"/>
      <c r="AA195" s="451"/>
      <c r="AB195" s="493"/>
      <c r="AC195" s="492"/>
      <c r="AE195" s="590"/>
      <c r="AF195" s="451"/>
      <c r="AG195" s="451"/>
      <c r="AH195" s="493"/>
      <c r="AI195" s="492"/>
      <c r="AK195" s="590"/>
      <c r="AL195" s="451"/>
      <c r="AM195" s="451"/>
      <c r="AN195" s="493"/>
      <c r="AO195" s="492"/>
      <c r="AQ195" s="590"/>
      <c r="AR195" s="451"/>
      <c r="AS195" s="451"/>
      <c r="AT195" s="493"/>
      <c r="AU195" s="492"/>
      <c r="AW195" s="590"/>
      <c r="AX195" s="451"/>
      <c r="AY195" s="451"/>
      <c r="AZ195" s="493"/>
      <c r="BA195" s="492"/>
      <c r="BC195" s="590"/>
      <c r="BD195" s="451"/>
      <c r="BE195" s="451"/>
      <c r="BF195" s="493"/>
      <c r="BG195" s="492"/>
    </row>
    <row r="196" spans="1:70" s="451" customFormat="1" ht="15" customHeight="1">
      <c r="A196" s="436">
        <f t="shared" si="107"/>
        <v>2024</v>
      </c>
      <c r="B196" s="437">
        <f t="shared" si="106"/>
        <v>2825</v>
      </c>
      <c r="C196" s="580"/>
      <c r="D196" s="508">
        <f t="shared" si="105"/>
        <v>19</v>
      </c>
      <c r="H196" s="558"/>
      <c r="I196" s="443">
        <f t="shared" si="78"/>
        <v>2825</v>
      </c>
      <c r="J196" s="467"/>
      <c r="K196" s="443"/>
      <c r="M196" s="590"/>
      <c r="P196" s="493"/>
      <c r="Q196" s="492"/>
      <c r="S196" s="590"/>
      <c r="V196" s="493"/>
      <c r="W196" s="492"/>
      <c r="Y196" s="590"/>
      <c r="AB196" s="493"/>
      <c r="AC196" s="492"/>
      <c r="AE196" s="590"/>
      <c r="AH196" s="493"/>
      <c r="AI196" s="492"/>
      <c r="AK196" s="590"/>
      <c r="AN196" s="493"/>
      <c r="AO196" s="492"/>
      <c r="AQ196" s="590"/>
      <c r="AT196" s="493"/>
      <c r="AU196" s="492"/>
      <c r="AW196" s="590"/>
      <c r="AZ196" s="493"/>
      <c r="BA196" s="492"/>
      <c r="BC196" s="590"/>
      <c r="BF196" s="493"/>
      <c r="BG196" s="492"/>
    </row>
    <row r="197" spans="1:70" ht="15" customHeight="1">
      <c r="A197" s="436">
        <f t="shared" si="107"/>
        <v>2025</v>
      </c>
      <c r="B197" s="437">
        <f t="shared" si="106"/>
        <v>2772</v>
      </c>
      <c r="C197" s="580"/>
      <c r="D197" s="508">
        <f t="shared" si="105"/>
        <v>20</v>
      </c>
      <c r="E197" s="519"/>
      <c r="F197" s="451"/>
      <c r="G197" s="451"/>
      <c r="H197" s="558"/>
      <c r="I197" s="443">
        <f t="shared" si="78"/>
        <v>2772</v>
      </c>
      <c r="J197" s="467"/>
      <c r="K197" s="443"/>
      <c r="M197" s="590"/>
      <c r="N197" s="451"/>
      <c r="O197" s="451"/>
      <c r="P197" s="493"/>
      <c r="Q197" s="492"/>
      <c r="S197" s="590"/>
      <c r="T197" s="451"/>
      <c r="U197" s="451"/>
      <c r="V197" s="493"/>
      <c r="W197" s="492"/>
      <c r="Y197" s="590"/>
      <c r="Z197" s="451"/>
      <c r="AA197" s="451"/>
      <c r="AB197" s="493"/>
      <c r="AC197" s="492"/>
      <c r="AE197" s="590"/>
      <c r="AF197" s="451"/>
      <c r="AG197" s="451"/>
      <c r="AH197" s="493"/>
      <c r="AI197" s="492"/>
      <c r="AK197" s="590"/>
      <c r="AL197" s="451"/>
      <c r="AM197" s="451"/>
      <c r="AN197" s="493"/>
      <c r="AO197" s="492"/>
      <c r="AQ197" s="590"/>
      <c r="AR197" s="451"/>
      <c r="AS197" s="451"/>
      <c r="AT197" s="493"/>
      <c r="AU197" s="492"/>
      <c r="AW197" s="590"/>
      <c r="AX197" s="451"/>
      <c r="AY197" s="451"/>
      <c r="AZ197" s="493"/>
      <c r="BA197" s="492"/>
      <c r="BC197" s="590"/>
      <c r="BD197" s="451"/>
      <c r="BE197" s="451"/>
      <c r="BF197" s="493"/>
      <c r="BG197" s="492"/>
      <c r="BI197" s="590"/>
      <c r="BJ197" s="451"/>
      <c r="BK197" s="451"/>
      <c r="BL197" s="493"/>
      <c r="BM197" s="492"/>
    </row>
    <row r="198" spans="1:70" s="451" customFormat="1" ht="15" customHeight="1">
      <c r="A198" s="436">
        <f t="shared" si="107"/>
        <v>2026</v>
      </c>
      <c r="B198" s="437">
        <f t="shared" si="106"/>
        <v>2718</v>
      </c>
      <c r="C198" s="580"/>
      <c r="D198" s="508">
        <f t="shared" si="105"/>
        <v>21</v>
      </c>
      <c r="E198" s="519"/>
      <c r="H198" s="591"/>
      <c r="I198" s="443">
        <f t="shared" si="78"/>
        <v>2718</v>
      </c>
      <c r="J198" s="467"/>
      <c r="K198" s="443"/>
      <c r="M198" s="590"/>
      <c r="P198" s="493"/>
      <c r="Q198" s="492"/>
      <c r="S198" s="590"/>
      <c r="V198" s="493"/>
      <c r="W198" s="492"/>
      <c r="Y198" s="590"/>
      <c r="AB198" s="493"/>
      <c r="AC198" s="492"/>
      <c r="AE198" s="590"/>
      <c r="AH198" s="493"/>
      <c r="AI198" s="492"/>
      <c r="AK198" s="590"/>
      <c r="AN198" s="493"/>
      <c r="AO198" s="492"/>
      <c r="AQ198" s="590"/>
      <c r="AT198" s="493"/>
      <c r="AU198" s="492"/>
      <c r="AW198" s="590"/>
      <c r="AZ198" s="493"/>
      <c r="BA198" s="492"/>
      <c r="BC198" s="590"/>
      <c r="BF198" s="493"/>
      <c r="BG198" s="492"/>
      <c r="BI198" s="590"/>
      <c r="BL198" s="493"/>
      <c r="BM198" s="492"/>
    </row>
    <row r="199" spans="1:70" s="451" customFormat="1" ht="15" customHeight="1" thickBot="1">
      <c r="A199" s="436">
        <f t="shared" si="107"/>
        <v>2027</v>
      </c>
      <c r="B199" s="437">
        <f t="shared" si="106"/>
        <v>2663</v>
      </c>
      <c r="C199" s="580"/>
      <c r="D199" s="508">
        <f t="shared" si="105"/>
        <v>22</v>
      </c>
      <c r="E199" s="560" t="s">
        <v>344</v>
      </c>
      <c r="F199" s="561" t="s">
        <v>332</v>
      </c>
      <c r="G199" s="561" t="s">
        <v>294</v>
      </c>
      <c r="H199" s="591"/>
      <c r="I199" s="443">
        <f t="shared" si="78"/>
        <v>2663</v>
      </c>
      <c r="J199" s="467"/>
      <c r="K199" s="443"/>
      <c r="M199" s="590"/>
      <c r="P199" s="493"/>
      <c r="Q199" s="492"/>
      <c r="S199" s="590"/>
      <c r="V199" s="493"/>
      <c r="W199" s="492"/>
      <c r="Y199" s="590"/>
      <c r="AB199" s="493"/>
      <c r="AC199" s="492"/>
      <c r="AE199" s="590"/>
      <c r="AH199" s="493"/>
      <c r="AI199" s="492"/>
      <c r="AK199" s="590"/>
      <c r="AN199" s="493"/>
      <c r="AO199" s="492"/>
      <c r="AQ199" s="590"/>
      <c r="AT199" s="493"/>
      <c r="AU199" s="492"/>
      <c r="AW199" s="590"/>
      <c r="AZ199" s="493"/>
      <c r="BA199" s="492"/>
      <c r="BC199" s="590"/>
      <c r="BF199" s="493"/>
      <c r="BG199" s="492"/>
      <c r="BI199" s="590"/>
      <c r="BL199" s="493"/>
      <c r="BM199" s="492"/>
    </row>
    <row r="200" spans="1:70" ht="15" customHeight="1" thickTop="1">
      <c r="A200" s="436">
        <f t="shared" si="107"/>
        <v>2028</v>
      </c>
      <c r="B200" s="437">
        <f t="shared" si="106"/>
        <v>2607</v>
      </c>
      <c r="C200" s="520"/>
      <c r="D200" s="508">
        <f t="shared" si="105"/>
        <v>23</v>
      </c>
      <c r="E200" s="592">
        <v>3600</v>
      </c>
      <c r="F200" s="563">
        <f>IFERROR(O187,0)</f>
        <v>0.91199212332449475</v>
      </c>
      <c r="G200" s="564">
        <f>O188</f>
        <v>11.875999999999999</v>
      </c>
      <c r="H200" s="591"/>
      <c r="I200" s="443">
        <f t="shared" si="78"/>
        <v>2607</v>
      </c>
      <c r="J200" s="469"/>
      <c r="K200" s="469"/>
      <c r="L200" s="326">
        <f>RANK(F200,$F$200:$F$207)</f>
        <v>8</v>
      </c>
    </row>
    <row r="201" spans="1:70" ht="15" customHeight="1">
      <c r="A201" s="436">
        <f t="shared" si="107"/>
        <v>2029</v>
      </c>
      <c r="B201" s="437">
        <f t="shared" si="106"/>
        <v>2549</v>
      </c>
      <c r="C201" s="520"/>
      <c r="D201" s="508">
        <f t="shared" si="105"/>
        <v>24</v>
      </c>
      <c r="E201" s="593">
        <v>3700</v>
      </c>
      <c r="F201" s="565">
        <f>IFERROR(V177,0)</f>
        <v>0.93137273981794377</v>
      </c>
      <c r="G201" s="564">
        <f>U188</f>
        <v>8.8889999999999993</v>
      </c>
      <c r="H201" s="591"/>
      <c r="I201" s="443">
        <f t="shared" si="78"/>
        <v>2549</v>
      </c>
      <c r="J201" s="469"/>
      <c r="K201" s="469"/>
      <c r="L201" s="326">
        <f t="shared" ref="L201:L207" si="108">RANK(F201,$F$200:$F$207)</f>
        <v>7</v>
      </c>
    </row>
    <row r="202" spans="1:70" ht="15" customHeight="1">
      <c r="A202" s="436">
        <f t="shared" si="107"/>
        <v>2030</v>
      </c>
      <c r="B202" s="437">
        <f t="shared" si="106"/>
        <v>2490</v>
      </c>
      <c r="C202" s="520"/>
      <c r="D202" s="508">
        <f t="shared" si="105"/>
        <v>25</v>
      </c>
      <c r="E202" s="593">
        <v>3800</v>
      </c>
      <c r="F202" s="565">
        <f>IFERROR(AB177,0)</f>
        <v>0.93620047686664565</v>
      </c>
      <c r="G202" s="564">
        <f>AA188</f>
        <v>8.23</v>
      </c>
      <c r="H202" s="591"/>
      <c r="I202" s="443">
        <f t="shared" si="78"/>
        <v>2490</v>
      </c>
      <c r="J202" s="469"/>
      <c r="K202" s="469"/>
      <c r="L202" s="326">
        <f t="shared" si="108"/>
        <v>6</v>
      </c>
      <c r="BK202" s="505"/>
      <c r="BL202" s="505"/>
      <c r="BM202" s="505"/>
      <c r="BN202" s="505"/>
      <c r="BO202" s="505"/>
      <c r="BP202" s="505"/>
      <c r="BQ202" s="505"/>
      <c r="BR202" s="505"/>
    </row>
    <row r="203" spans="1:70" ht="15" customHeight="1">
      <c r="A203" s="436">
        <f t="shared" si="107"/>
        <v>2031</v>
      </c>
      <c r="B203" s="437">
        <f t="shared" si="106"/>
        <v>2431</v>
      </c>
      <c r="C203" s="520"/>
      <c r="D203" s="508">
        <f t="shared" si="105"/>
        <v>26</v>
      </c>
      <c r="E203" s="593">
        <v>3900</v>
      </c>
      <c r="F203" s="565">
        <f>IFERROR(AH177,0)</f>
        <v>0.93834447648425923</v>
      </c>
      <c r="G203" s="564">
        <f>AG188</f>
        <v>7.9479999999999986</v>
      </c>
      <c r="H203" s="591"/>
      <c r="I203" s="443">
        <f t="shared" si="78"/>
        <v>2431</v>
      </c>
      <c r="J203" s="469"/>
      <c r="K203" s="469"/>
      <c r="L203" s="326">
        <f t="shared" si="108"/>
        <v>2</v>
      </c>
    </row>
    <row r="204" spans="1:70" ht="15" customHeight="1">
      <c r="A204" s="436">
        <f t="shared" si="107"/>
        <v>2032</v>
      </c>
      <c r="B204" s="437">
        <f t="shared" si="106"/>
        <v>2371</v>
      </c>
      <c r="C204" s="520"/>
      <c r="D204" s="508">
        <f t="shared" si="105"/>
        <v>27</v>
      </c>
      <c r="E204" s="593">
        <v>4000</v>
      </c>
      <c r="F204" s="565">
        <f>IFERROR(AN177,0)</f>
        <v>0.93884511976850094</v>
      </c>
      <c r="G204" s="564">
        <f>AM188</f>
        <v>7.883</v>
      </c>
      <c r="H204" s="591"/>
      <c r="I204" s="443">
        <f t="shared" si="78"/>
        <v>2371</v>
      </c>
      <c r="J204" s="469"/>
      <c r="K204" s="469"/>
      <c r="L204" s="326">
        <f t="shared" si="108"/>
        <v>1</v>
      </c>
    </row>
    <row r="205" spans="1:70" ht="15" customHeight="1">
      <c r="A205" s="436">
        <f t="shared" si="107"/>
        <v>2033</v>
      </c>
      <c r="B205" s="437">
        <f t="shared" si="106"/>
        <v>2310</v>
      </c>
      <c r="C205" s="520"/>
      <c r="D205" s="508">
        <f t="shared" si="105"/>
        <v>28</v>
      </c>
      <c r="E205" s="593">
        <v>5000</v>
      </c>
      <c r="F205" s="565">
        <f>IFERROR(AT177,0)</f>
        <v>0.93812762198172106</v>
      </c>
      <c r="G205" s="564">
        <f>AS188</f>
        <v>7.9739999999999993</v>
      </c>
      <c r="H205" s="591"/>
      <c r="I205" s="443">
        <f t="shared" si="78"/>
        <v>2310</v>
      </c>
      <c r="J205" s="469"/>
      <c r="K205" s="469"/>
      <c r="L205" s="326">
        <f t="shared" si="108"/>
        <v>3</v>
      </c>
    </row>
    <row r="206" spans="1:70" ht="15" customHeight="1">
      <c r="A206" s="436">
        <f t="shared" si="107"/>
        <v>2034</v>
      </c>
      <c r="B206" s="437">
        <f t="shared" si="106"/>
        <v>2248</v>
      </c>
      <c r="C206" s="520"/>
      <c r="D206" s="508">
        <f t="shared" si="105"/>
        <v>29</v>
      </c>
      <c r="E206" s="593">
        <v>6000</v>
      </c>
      <c r="F206" s="565">
        <f>IFERROR(AZ177,0)</f>
        <v>0.93722599647080695</v>
      </c>
      <c r="G206" s="594">
        <f>AY188</f>
        <v>8.0889999999999986</v>
      </c>
      <c r="H206" s="591"/>
      <c r="I206" s="443">
        <f t="shared" si="78"/>
        <v>2248</v>
      </c>
      <c r="J206" s="469"/>
      <c r="K206" s="469"/>
      <c r="L206" s="326">
        <f t="shared" si="108"/>
        <v>5</v>
      </c>
    </row>
    <row r="207" spans="1:70" ht="15" customHeight="1">
      <c r="A207" s="522">
        <f t="shared" si="107"/>
        <v>2035</v>
      </c>
      <c r="B207" s="523">
        <f t="shared" si="106"/>
        <v>2186</v>
      </c>
      <c r="C207" s="524"/>
      <c r="D207" s="525">
        <f t="shared" si="105"/>
        <v>30</v>
      </c>
      <c r="E207" s="570">
        <v>7000</v>
      </c>
      <c r="F207" s="571">
        <f>IFERROR(BF177,0)</f>
        <v>0.93767561242911646</v>
      </c>
      <c r="G207" s="595">
        <f>BE188</f>
        <v>8.0309999999999988</v>
      </c>
      <c r="H207" s="596"/>
      <c r="I207" s="528">
        <f t="shared" si="78"/>
        <v>2186</v>
      </c>
      <c r="J207" s="529"/>
      <c r="K207" s="529"/>
      <c r="L207" s="326">
        <f t="shared" si="108"/>
        <v>4</v>
      </c>
    </row>
    <row r="208" spans="1:70" ht="15" customHeight="1">
      <c r="A208" s="522">
        <f t="shared" si="107"/>
        <v>2036</v>
      </c>
      <c r="B208" s="523">
        <f t="shared" si="106"/>
        <v>2123</v>
      </c>
      <c r="C208" s="524"/>
      <c r="D208" s="525">
        <f t="shared" si="105"/>
        <v>31</v>
      </c>
      <c r="E208" s="570"/>
      <c r="F208" s="571"/>
      <c r="G208" s="595"/>
      <c r="H208" s="596"/>
      <c r="I208" s="528">
        <f t="shared" si="78"/>
        <v>2123</v>
      </c>
      <c r="J208" s="529"/>
      <c r="K208" s="529"/>
    </row>
    <row r="209" spans="1:41" ht="20.100000000000001" customHeight="1">
      <c r="A209" s="522">
        <f t="shared" si="107"/>
        <v>2037</v>
      </c>
      <c r="B209" s="523">
        <f t="shared" si="106"/>
        <v>2061</v>
      </c>
      <c r="C209" s="524"/>
      <c r="D209" s="525">
        <f t="shared" si="105"/>
        <v>32</v>
      </c>
      <c r="E209" s="570"/>
      <c r="F209" s="571"/>
      <c r="G209" s="595"/>
      <c r="H209" s="596"/>
      <c r="I209" s="528">
        <f t="shared" si="78"/>
        <v>2061</v>
      </c>
      <c r="J209" s="529"/>
      <c r="K209" s="529"/>
      <c r="L209" s="578"/>
      <c r="M209" s="578"/>
      <c r="N209" s="578"/>
      <c r="O209" s="578"/>
      <c r="P209" s="578"/>
      <c r="Q209" s="578"/>
      <c r="R209" s="578"/>
      <c r="S209" s="578"/>
      <c r="T209" s="578"/>
      <c r="U209" s="578"/>
      <c r="V209" s="578"/>
      <c r="W209" s="578"/>
      <c r="X209" s="578"/>
      <c r="Y209" s="578"/>
      <c r="Z209" s="578"/>
      <c r="AA209" s="578"/>
      <c r="AB209" s="578"/>
      <c r="AC209" s="578"/>
      <c r="AD209" s="578"/>
      <c r="AE209" s="578"/>
      <c r="AF209" s="578"/>
      <c r="AG209" s="578"/>
      <c r="AH209" s="578"/>
      <c r="AI209" s="578"/>
      <c r="AJ209" s="578"/>
      <c r="AK209" s="578"/>
      <c r="AL209" s="578"/>
      <c r="AM209" s="578"/>
      <c r="AN209" s="578"/>
      <c r="AO209" s="578"/>
    </row>
    <row r="210" spans="1:41" ht="20.100000000000001" customHeight="1">
      <c r="A210" s="522">
        <f t="shared" si="107"/>
        <v>2038</v>
      </c>
      <c r="B210" s="523">
        <f t="shared" si="106"/>
        <v>1998</v>
      </c>
      <c r="C210" s="524"/>
      <c r="D210" s="525">
        <f t="shared" si="105"/>
        <v>33</v>
      </c>
      <c r="E210" s="570"/>
      <c r="F210" s="571"/>
      <c r="G210" s="595"/>
      <c r="H210" s="596"/>
      <c r="I210" s="528">
        <f t="shared" si="78"/>
        <v>1998</v>
      </c>
      <c r="J210" s="529"/>
      <c r="K210" s="529"/>
      <c r="L210" s="578"/>
      <c r="M210" s="578"/>
      <c r="N210" s="578"/>
      <c r="O210" s="578"/>
      <c r="P210" s="578"/>
      <c r="Q210" s="578"/>
      <c r="R210" s="578"/>
      <c r="S210" s="578"/>
      <c r="T210" s="578"/>
      <c r="U210" s="578"/>
      <c r="V210" s="578"/>
      <c r="W210" s="578"/>
      <c r="X210" s="578"/>
      <c r="Y210" s="578"/>
      <c r="Z210" s="578"/>
      <c r="AA210" s="578"/>
      <c r="AB210" s="578"/>
      <c r="AC210" s="578"/>
      <c r="AD210" s="578"/>
      <c r="AE210" s="578"/>
      <c r="AF210" s="578"/>
      <c r="AG210" s="578"/>
      <c r="AH210" s="578"/>
      <c r="AI210" s="578"/>
      <c r="AJ210" s="578"/>
      <c r="AK210" s="578"/>
      <c r="AL210" s="578"/>
      <c r="AM210" s="578"/>
      <c r="AN210" s="578"/>
      <c r="AO210" s="578"/>
    </row>
    <row r="211" spans="1:41" ht="20.100000000000001" customHeight="1">
      <c r="K211" s="578"/>
      <c r="L211" s="578"/>
      <c r="M211" s="578"/>
      <c r="N211" s="578"/>
      <c r="O211" s="578"/>
      <c r="P211" s="578"/>
      <c r="Q211" s="578"/>
      <c r="R211" s="578"/>
      <c r="S211" s="578"/>
      <c r="T211" s="578"/>
      <c r="U211" s="578"/>
      <c r="V211" s="578"/>
      <c r="W211" s="578"/>
      <c r="X211" s="578"/>
      <c r="Y211" s="578"/>
      <c r="Z211" s="578"/>
      <c r="AA211" s="578"/>
      <c r="AB211" s="578"/>
      <c r="AC211" s="578"/>
      <c r="AD211" s="578"/>
      <c r="AE211" s="578"/>
      <c r="AF211" s="578"/>
      <c r="AG211" s="578"/>
      <c r="AH211" s="578"/>
      <c r="AI211" s="578"/>
      <c r="AJ211" s="578"/>
      <c r="AK211" s="578"/>
      <c r="AL211" s="578"/>
      <c r="AM211" s="578"/>
      <c r="AN211" s="578"/>
      <c r="AO211" s="578"/>
    </row>
    <row r="212" spans="1:41" ht="20.100000000000001" customHeight="1">
      <c r="K212" s="578"/>
      <c r="L212" s="578"/>
      <c r="M212" s="578"/>
      <c r="N212" s="578"/>
      <c r="O212" s="578"/>
      <c r="P212" s="578"/>
      <c r="Q212" s="578"/>
      <c r="R212" s="578"/>
      <c r="S212" s="578"/>
      <c r="T212" s="578"/>
      <c r="U212" s="578"/>
      <c r="V212" s="578"/>
      <c r="W212" s="578"/>
      <c r="X212" s="578"/>
      <c r="Y212" s="578"/>
      <c r="Z212" s="578"/>
      <c r="AA212" s="578"/>
      <c r="AB212" s="578"/>
      <c r="AC212" s="578"/>
      <c r="AD212" s="578"/>
      <c r="AE212" s="578"/>
      <c r="AF212" s="578"/>
      <c r="AG212" s="578"/>
      <c r="AH212" s="578"/>
      <c r="AI212" s="578"/>
      <c r="AJ212" s="578"/>
      <c r="AK212" s="578"/>
      <c r="AL212" s="578"/>
      <c r="AM212" s="578"/>
      <c r="AN212" s="578"/>
      <c r="AO212" s="578"/>
    </row>
    <row r="213" spans="1:41" ht="20.100000000000001" customHeight="1">
      <c r="K213" s="578"/>
      <c r="L213" s="578"/>
      <c r="M213" s="578"/>
      <c r="N213" s="578"/>
      <c r="O213" s="578"/>
      <c r="P213" s="578"/>
      <c r="Q213" s="578"/>
      <c r="R213" s="578"/>
      <c r="S213" s="578"/>
      <c r="T213" s="578"/>
      <c r="U213" s="578"/>
      <c r="V213" s="578"/>
      <c r="W213" s="578"/>
      <c r="X213" s="578"/>
      <c r="Y213" s="578"/>
      <c r="Z213" s="578"/>
      <c r="AA213" s="578"/>
      <c r="AB213" s="578"/>
      <c r="AC213" s="578"/>
      <c r="AD213" s="578"/>
      <c r="AE213" s="578"/>
      <c r="AF213" s="578"/>
      <c r="AG213" s="578"/>
      <c r="AH213" s="578"/>
      <c r="AI213" s="578"/>
      <c r="AJ213" s="578"/>
      <c r="AK213" s="578"/>
      <c r="AL213" s="578"/>
      <c r="AM213" s="578"/>
      <c r="AN213" s="578"/>
      <c r="AO213" s="578"/>
    </row>
    <row r="214" spans="1:41" ht="20.100000000000001" customHeight="1"/>
    <row r="215" spans="1:41" ht="20.100000000000001" customHeight="1"/>
    <row r="216" spans="1:41" ht="20.100000000000001" customHeight="1"/>
    <row r="217" spans="1:41" ht="20.100000000000001" customHeight="1"/>
    <row r="218" spans="1:41" ht="20.100000000000001" customHeight="1"/>
    <row r="219" spans="1:41" ht="20.100000000000001" customHeight="1"/>
    <row r="220" spans="1:41" ht="20.100000000000001" customHeight="1"/>
    <row r="221" spans="1:41" ht="20.100000000000001" customHeight="1"/>
    <row r="222" spans="1:41" ht="20.100000000000001" customHeight="1"/>
    <row r="223" spans="1:41" ht="20.100000000000001" customHeight="1"/>
    <row r="224" spans="1:41" ht="20.100000000000001" customHeight="1"/>
    <row r="225" ht="20.100000000000001" customHeight="1"/>
    <row r="226" s="325" customFormat="1" ht="20.100000000000001" customHeight="1"/>
    <row r="227" s="325" customFormat="1" ht="20.100000000000001" customHeight="1"/>
    <row r="228" s="325" customFormat="1" ht="20.100000000000001" customHeight="1"/>
    <row r="229" s="325" customFormat="1" ht="20.100000000000001" customHeight="1"/>
    <row r="230" s="325" customFormat="1" ht="20.100000000000001" customHeight="1"/>
  </sheetData>
  <mergeCells count="17">
    <mergeCell ref="F154:G154"/>
    <mergeCell ref="F155:G155"/>
    <mergeCell ref="E190:F190"/>
    <mergeCell ref="E191:F191"/>
    <mergeCell ref="E192:F192"/>
    <mergeCell ref="F153:G153"/>
    <mergeCell ref="I5:J5"/>
    <mergeCell ref="A39:B39"/>
    <mergeCell ref="A40:B40"/>
    <mergeCell ref="A41:B41"/>
    <mergeCell ref="D70:E70"/>
    <mergeCell ref="D71:E71"/>
    <mergeCell ref="D72:E72"/>
    <mergeCell ref="D73:E73"/>
    <mergeCell ref="E115:F115"/>
    <mergeCell ref="E116:F116"/>
    <mergeCell ref="E117:F117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CX230"/>
  <sheetViews>
    <sheetView view="pageBreakPreview" zoomScale="60" zoomScaleNormal="100" workbookViewId="0">
      <selection activeCell="A3" sqref="A3:F3"/>
    </sheetView>
  </sheetViews>
  <sheetFormatPr defaultRowHeight="14.85" customHeight="1"/>
  <cols>
    <col min="1" max="2" width="12.125" style="325" customWidth="1"/>
    <col min="3" max="5" width="13" style="326" customWidth="1"/>
    <col min="6" max="6" width="12.875" style="326" customWidth="1"/>
    <col min="7" max="7" width="13" style="326" customWidth="1"/>
    <col min="8" max="8" width="13.125" style="326" customWidth="1"/>
    <col min="9" max="10" width="12.125" style="326" customWidth="1"/>
    <col min="11" max="11" width="14.375" style="326" bestFit="1" customWidth="1"/>
    <col min="12" max="12" width="11" style="326" customWidth="1"/>
    <col min="13" max="13" width="10" style="326" customWidth="1"/>
    <col min="14" max="14" width="10.875" style="326" customWidth="1"/>
    <col min="15" max="15" width="13.75" style="326" customWidth="1"/>
    <col min="16" max="16" width="10" style="326" customWidth="1"/>
    <col min="17" max="17" width="13.25" style="326" customWidth="1"/>
    <col min="18" max="18" width="14.375" style="326" customWidth="1"/>
    <col min="19" max="19" width="10" style="326" customWidth="1"/>
    <col min="20" max="20" width="10.875" style="326" customWidth="1"/>
    <col min="21" max="21" width="11.375" style="326" customWidth="1"/>
    <col min="22" max="22" width="15.375" style="326" customWidth="1"/>
    <col min="23" max="24" width="10.75" style="326" customWidth="1"/>
    <col min="25" max="25" width="14.375" style="326" customWidth="1"/>
    <col min="26" max="26" width="10.75" style="326" customWidth="1"/>
    <col min="27" max="27" width="11.75" style="326" customWidth="1"/>
    <col min="28" max="28" width="10" style="326" customWidth="1"/>
    <col min="29" max="29" width="15.375" style="326" customWidth="1"/>
    <col min="30" max="30" width="10" style="326" customWidth="1"/>
    <col min="31" max="31" width="10.75" style="326" customWidth="1"/>
    <col min="32" max="32" width="14.875" style="326" customWidth="1"/>
    <col min="33" max="33" width="11.5" style="326" customWidth="1"/>
    <col min="34" max="34" width="10" style="326" customWidth="1"/>
    <col min="35" max="35" width="10.75" style="326" customWidth="1"/>
    <col min="36" max="36" width="13.5" style="326" customWidth="1"/>
    <col min="37" max="37" width="9" style="326"/>
    <col min="38" max="38" width="10.75" style="326" bestFit="1" customWidth="1"/>
    <col min="39" max="39" width="13.75" style="326" customWidth="1"/>
    <col min="40" max="40" width="9" style="326"/>
    <col min="41" max="41" width="10.625" style="326" customWidth="1"/>
    <col min="42" max="42" width="9" style="326"/>
    <col min="43" max="43" width="14.25" style="326" customWidth="1"/>
    <col min="44" max="44" width="10.75" style="326" bestFit="1" customWidth="1"/>
    <col min="45" max="45" width="11.625" style="326" customWidth="1"/>
    <col min="46" max="46" width="13.75" style="326" customWidth="1"/>
    <col min="47" max="47" width="10.625" style="326" customWidth="1"/>
    <col min="48" max="49" width="9" style="326"/>
    <col min="50" max="50" width="14.125" style="326" customWidth="1"/>
    <col min="51" max="51" width="11" style="326" customWidth="1"/>
    <col min="52" max="52" width="10.75" style="326" bestFit="1" customWidth="1"/>
    <col min="53" max="53" width="13.5" style="326" customWidth="1"/>
    <col min="54" max="55" width="9" style="326"/>
    <col min="56" max="56" width="10.75" style="326" bestFit="1" customWidth="1"/>
    <col min="57" max="57" width="14" style="326" customWidth="1"/>
    <col min="58" max="58" width="9" style="326"/>
    <col min="59" max="59" width="10.75" style="326" customWidth="1"/>
    <col min="60" max="60" width="12.75" style="326" customWidth="1"/>
    <col min="61" max="61" width="9" style="326"/>
    <col min="62" max="62" width="10.75" style="326" bestFit="1" customWidth="1"/>
    <col min="63" max="63" width="11.5" style="326" customWidth="1"/>
    <col min="64" max="64" width="13.625" style="326" customWidth="1"/>
    <col min="65" max="65" width="10.625" style="326" customWidth="1"/>
    <col min="66" max="66" width="10.75" style="326" bestFit="1" customWidth="1"/>
    <col min="67" max="67" width="12.375" style="326" customWidth="1"/>
    <col min="68" max="70" width="9" style="326"/>
    <col min="71" max="71" width="15.75" style="326" customWidth="1"/>
    <col min="72" max="72" width="9" style="326"/>
    <col min="73" max="73" width="10.75" style="326" bestFit="1" customWidth="1"/>
    <col min="74" max="74" width="12.625" style="326" customWidth="1"/>
    <col min="75" max="77" width="9" style="326"/>
    <col min="78" max="78" width="13.625" style="326" customWidth="1"/>
    <col min="79" max="79" width="9" style="326"/>
    <col min="80" max="80" width="10.75" style="326" bestFit="1" customWidth="1"/>
    <col min="81" max="81" width="12.5" style="326" customWidth="1"/>
    <col min="82" max="84" width="9" style="326"/>
    <col min="85" max="85" width="12.875" style="326" customWidth="1"/>
    <col min="86" max="86" width="9" style="326"/>
    <col min="87" max="87" width="10.75" style="326" bestFit="1" customWidth="1"/>
    <col min="88" max="88" width="13.875" style="326" customWidth="1"/>
    <col min="89" max="91" width="9" style="326"/>
    <col min="92" max="92" width="14.125" style="326" customWidth="1"/>
    <col min="93" max="93" width="9" style="326"/>
    <col min="94" max="94" width="10.75" style="326" bestFit="1" customWidth="1"/>
    <col min="95" max="95" width="13.25" style="326" customWidth="1"/>
    <col min="96" max="98" width="9" style="326"/>
    <col min="99" max="99" width="13.25" style="326" customWidth="1"/>
    <col min="100" max="100" width="9" style="326"/>
    <col min="101" max="101" width="10.75" style="326" bestFit="1" customWidth="1"/>
    <col min="102" max="102" width="13.875" style="326" customWidth="1"/>
    <col min="103" max="250" width="9" style="326"/>
    <col min="251" max="252" width="12.125" style="326" customWidth="1"/>
    <col min="253" max="255" width="13" style="326" customWidth="1"/>
    <col min="256" max="256" width="12.875" style="326" customWidth="1"/>
    <col min="257" max="257" width="13" style="326" customWidth="1"/>
    <col min="258" max="258" width="13.125" style="326" customWidth="1"/>
    <col min="259" max="260" width="12.125" style="326" customWidth="1"/>
    <col min="261" max="261" width="14.375" style="326" bestFit="1" customWidth="1"/>
    <col min="262" max="262" width="11" style="326" customWidth="1"/>
    <col min="263" max="263" width="10" style="326" customWidth="1"/>
    <col min="264" max="264" width="10.875" style="326" customWidth="1"/>
    <col min="265" max="265" width="13.75" style="326" customWidth="1"/>
    <col min="266" max="266" width="10" style="326" customWidth="1"/>
    <col min="267" max="267" width="13.25" style="326" customWidth="1"/>
    <col min="268" max="268" width="14.375" style="326" customWidth="1"/>
    <col min="269" max="269" width="10" style="326" customWidth="1"/>
    <col min="270" max="270" width="10.875" style="326" customWidth="1"/>
    <col min="271" max="271" width="11.375" style="326" customWidth="1"/>
    <col min="272" max="272" width="15.375" style="326" customWidth="1"/>
    <col min="273" max="274" width="10.75" style="326" customWidth="1"/>
    <col min="275" max="275" width="14.375" style="326" customWidth="1"/>
    <col min="276" max="276" width="10.75" style="326" customWidth="1"/>
    <col min="277" max="277" width="11.75" style="326" customWidth="1"/>
    <col min="278" max="278" width="10" style="326" customWidth="1"/>
    <col min="279" max="279" width="15.375" style="326" customWidth="1"/>
    <col min="280" max="280" width="10" style="326" customWidth="1"/>
    <col min="281" max="281" width="10.75" style="326" customWidth="1"/>
    <col min="282" max="282" width="14.875" style="326" customWidth="1"/>
    <col min="283" max="283" width="11.5" style="326" customWidth="1"/>
    <col min="284" max="284" width="10" style="326" customWidth="1"/>
    <col min="285" max="285" width="10.75" style="326" customWidth="1"/>
    <col min="286" max="286" width="13.5" style="326" customWidth="1"/>
    <col min="287" max="287" width="9" style="326"/>
    <col min="288" max="288" width="10.75" style="326" bestFit="1" customWidth="1"/>
    <col min="289" max="289" width="13.75" style="326" customWidth="1"/>
    <col min="290" max="290" width="9" style="326"/>
    <col min="291" max="291" width="10.625" style="326" customWidth="1"/>
    <col min="292" max="292" width="9" style="326"/>
    <col min="293" max="293" width="14.25" style="326" customWidth="1"/>
    <col min="294" max="294" width="10.75" style="326" bestFit="1" customWidth="1"/>
    <col min="295" max="295" width="11.625" style="326" customWidth="1"/>
    <col min="296" max="296" width="13.75" style="326" customWidth="1"/>
    <col min="297" max="297" width="10.625" style="326" customWidth="1"/>
    <col min="298" max="299" width="9" style="326"/>
    <col min="300" max="300" width="14.125" style="326" customWidth="1"/>
    <col min="301" max="301" width="11" style="326" customWidth="1"/>
    <col min="302" max="302" width="10.75" style="326" bestFit="1" customWidth="1"/>
    <col min="303" max="303" width="13.5" style="326" customWidth="1"/>
    <col min="304" max="305" width="9" style="326"/>
    <col min="306" max="306" width="10.75" style="326" bestFit="1" customWidth="1"/>
    <col min="307" max="307" width="14" style="326" customWidth="1"/>
    <col min="308" max="308" width="9" style="326"/>
    <col min="309" max="309" width="10.75" style="326" customWidth="1"/>
    <col min="310" max="310" width="12.75" style="326" customWidth="1"/>
    <col min="311" max="311" width="9" style="326"/>
    <col min="312" max="312" width="10.75" style="326" bestFit="1" customWidth="1"/>
    <col min="313" max="313" width="11.5" style="326" customWidth="1"/>
    <col min="314" max="314" width="13.625" style="326" customWidth="1"/>
    <col min="315" max="315" width="10.625" style="326" customWidth="1"/>
    <col min="316" max="316" width="10.75" style="326" bestFit="1" customWidth="1"/>
    <col min="317" max="317" width="12.375" style="326" customWidth="1"/>
    <col min="318" max="320" width="9" style="326"/>
    <col min="321" max="321" width="15.75" style="326" customWidth="1"/>
    <col min="322" max="322" width="9" style="326"/>
    <col min="323" max="323" width="10.75" style="326" bestFit="1" customWidth="1"/>
    <col min="324" max="324" width="12.625" style="326" customWidth="1"/>
    <col min="325" max="327" width="9" style="326"/>
    <col min="328" max="328" width="13.625" style="326" customWidth="1"/>
    <col min="329" max="329" width="9" style="326"/>
    <col min="330" max="330" width="10.75" style="326" bestFit="1" customWidth="1"/>
    <col min="331" max="331" width="12.5" style="326" customWidth="1"/>
    <col min="332" max="334" width="9" style="326"/>
    <col min="335" max="335" width="12.875" style="326" customWidth="1"/>
    <col min="336" max="336" width="9" style="326"/>
    <col min="337" max="337" width="10.75" style="326" bestFit="1" customWidth="1"/>
    <col min="338" max="338" width="13.875" style="326" customWidth="1"/>
    <col min="339" max="341" width="9" style="326"/>
    <col min="342" max="342" width="14.125" style="326" customWidth="1"/>
    <col min="343" max="343" width="9" style="326"/>
    <col min="344" max="344" width="10.75" style="326" bestFit="1" customWidth="1"/>
    <col min="345" max="345" width="13.25" style="326" customWidth="1"/>
    <col min="346" max="348" width="9" style="326"/>
    <col min="349" max="349" width="13.25" style="326" customWidth="1"/>
    <col min="350" max="350" width="9" style="326"/>
    <col min="351" max="351" width="10.75" style="326" bestFit="1" customWidth="1"/>
    <col min="352" max="352" width="13.875" style="326" customWidth="1"/>
    <col min="353" max="355" width="9" style="326"/>
    <col min="356" max="356" width="13.625" style="326" customWidth="1"/>
    <col min="357" max="357" width="9" style="326"/>
    <col min="358" max="358" width="10.75" style="326" bestFit="1" customWidth="1"/>
    <col min="359" max="359" width="13" style="326" customWidth="1"/>
    <col min="360" max="506" width="9" style="326"/>
    <col min="507" max="508" width="12.125" style="326" customWidth="1"/>
    <col min="509" max="511" width="13" style="326" customWidth="1"/>
    <col min="512" max="512" width="12.875" style="326" customWidth="1"/>
    <col min="513" max="513" width="13" style="326" customWidth="1"/>
    <col min="514" max="514" width="13.125" style="326" customWidth="1"/>
    <col min="515" max="516" width="12.125" style="326" customWidth="1"/>
    <col min="517" max="517" width="14.375" style="326" bestFit="1" customWidth="1"/>
    <col min="518" max="518" width="11" style="326" customWidth="1"/>
    <col min="519" max="519" width="10" style="326" customWidth="1"/>
    <col min="520" max="520" width="10.875" style="326" customWidth="1"/>
    <col min="521" max="521" width="13.75" style="326" customWidth="1"/>
    <col min="522" max="522" width="10" style="326" customWidth="1"/>
    <col min="523" max="523" width="13.25" style="326" customWidth="1"/>
    <col min="524" max="524" width="14.375" style="326" customWidth="1"/>
    <col min="525" max="525" width="10" style="326" customWidth="1"/>
    <col min="526" max="526" width="10.875" style="326" customWidth="1"/>
    <col min="527" max="527" width="11.375" style="326" customWidth="1"/>
    <col min="528" max="528" width="15.375" style="326" customWidth="1"/>
    <col min="529" max="530" width="10.75" style="326" customWidth="1"/>
    <col min="531" max="531" width="14.375" style="326" customWidth="1"/>
    <col min="532" max="532" width="10.75" style="326" customWidth="1"/>
    <col min="533" max="533" width="11.75" style="326" customWidth="1"/>
    <col min="534" max="534" width="10" style="326" customWidth="1"/>
    <col min="535" max="535" width="15.375" style="326" customWidth="1"/>
    <col min="536" max="536" width="10" style="326" customWidth="1"/>
    <col min="537" max="537" width="10.75" style="326" customWidth="1"/>
    <col min="538" max="538" width="14.875" style="326" customWidth="1"/>
    <col min="539" max="539" width="11.5" style="326" customWidth="1"/>
    <col min="540" max="540" width="10" style="326" customWidth="1"/>
    <col min="541" max="541" width="10.75" style="326" customWidth="1"/>
    <col min="542" max="542" width="13.5" style="326" customWidth="1"/>
    <col min="543" max="543" width="9" style="326"/>
    <col min="544" max="544" width="10.75" style="326" bestFit="1" customWidth="1"/>
    <col min="545" max="545" width="13.75" style="326" customWidth="1"/>
    <col min="546" max="546" width="9" style="326"/>
    <col min="547" max="547" width="10.625" style="326" customWidth="1"/>
    <col min="548" max="548" width="9" style="326"/>
    <col min="549" max="549" width="14.25" style="326" customWidth="1"/>
    <col min="550" max="550" width="10.75" style="326" bestFit="1" customWidth="1"/>
    <col min="551" max="551" width="11.625" style="326" customWidth="1"/>
    <col min="552" max="552" width="13.75" style="326" customWidth="1"/>
    <col min="553" max="553" width="10.625" style="326" customWidth="1"/>
    <col min="554" max="555" width="9" style="326"/>
    <col min="556" max="556" width="14.125" style="326" customWidth="1"/>
    <col min="557" max="557" width="11" style="326" customWidth="1"/>
    <col min="558" max="558" width="10.75" style="326" bestFit="1" customWidth="1"/>
    <col min="559" max="559" width="13.5" style="326" customWidth="1"/>
    <col min="560" max="561" width="9" style="326"/>
    <col min="562" max="562" width="10.75" style="326" bestFit="1" customWidth="1"/>
    <col min="563" max="563" width="14" style="326" customWidth="1"/>
    <col min="564" max="564" width="9" style="326"/>
    <col min="565" max="565" width="10.75" style="326" customWidth="1"/>
    <col min="566" max="566" width="12.75" style="326" customWidth="1"/>
    <col min="567" max="567" width="9" style="326"/>
    <col min="568" max="568" width="10.75" style="326" bestFit="1" customWidth="1"/>
    <col min="569" max="569" width="11.5" style="326" customWidth="1"/>
    <col min="570" max="570" width="13.625" style="326" customWidth="1"/>
    <col min="571" max="571" width="10.625" style="326" customWidth="1"/>
    <col min="572" max="572" width="10.75" style="326" bestFit="1" customWidth="1"/>
    <col min="573" max="573" width="12.375" style="326" customWidth="1"/>
    <col min="574" max="576" width="9" style="326"/>
    <col min="577" max="577" width="15.75" style="326" customWidth="1"/>
    <col min="578" max="578" width="9" style="326"/>
    <col min="579" max="579" width="10.75" style="326" bestFit="1" customWidth="1"/>
    <col min="580" max="580" width="12.625" style="326" customWidth="1"/>
    <col min="581" max="583" width="9" style="326"/>
    <col min="584" max="584" width="13.625" style="326" customWidth="1"/>
    <col min="585" max="585" width="9" style="326"/>
    <col min="586" max="586" width="10.75" style="326" bestFit="1" customWidth="1"/>
    <col min="587" max="587" width="12.5" style="326" customWidth="1"/>
    <col min="588" max="590" width="9" style="326"/>
    <col min="591" max="591" width="12.875" style="326" customWidth="1"/>
    <col min="592" max="592" width="9" style="326"/>
    <col min="593" max="593" width="10.75" style="326" bestFit="1" customWidth="1"/>
    <col min="594" max="594" width="13.875" style="326" customWidth="1"/>
    <col min="595" max="597" width="9" style="326"/>
    <col min="598" max="598" width="14.125" style="326" customWidth="1"/>
    <col min="599" max="599" width="9" style="326"/>
    <col min="600" max="600" width="10.75" style="326" bestFit="1" customWidth="1"/>
    <col min="601" max="601" width="13.25" style="326" customWidth="1"/>
    <col min="602" max="604" width="9" style="326"/>
    <col min="605" max="605" width="13.25" style="326" customWidth="1"/>
    <col min="606" max="606" width="9" style="326"/>
    <col min="607" max="607" width="10.75" style="326" bestFit="1" customWidth="1"/>
    <col min="608" max="608" width="13.875" style="326" customWidth="1"/>
    <col min="609" max="611" width="9" style="326"/>
    <col min="612" max="612" width="13.625" style="326" customWidth="1"/>
    <col min="613" max="613" width="9" style="326"/>
    <col min="614" max="614" width="10.75" style="326" bestFit="1" customWidth="1"/>
    <col min="615" max="615" width="13" style="326" customWidth="1"/>
    <col min="616" max="762" width="9" style="326"/>
    <col min="763" max="764" width="12.125" style="326" customWidth="1"/>
    <col min="765" max="767" width="13" style="326" customWidth="1"/>
    <col min="768" max="768" width="12.875" style="326" customWidth="1"/>
    <col min="769" max="769" width="13" style="326" customWidth="1"/>
    <col min="770" max="770" width="13.125" style="326" customWidth="1"/>
    <col min="771" max="772" width="12.125" style="326" customWidth="1"/>
    <col min="773" max="773" width="14.375" style="326" bestFit="1" customWidth="1"/>
    <col min="774" max="774" width="11" style="326" customWidth="1"/>
    <col min="775" max="775" width="10" style="326" customWidth="1"/>
    <col min="776" max="776" width="10.875" style="326" customWidth="1"/>
    <col min="777" max="777" width="13.75" style="326" customWidth="1"/>
    <col min="778" max="778" width="10" style="326" customWidth="1"/>
    <col min="779" max="779" width="13.25" style="326" customWidth="1"/>
    <col min="780" max="780" width="14.375" style="326" customWidth="1"/>
    <col min="781" max="781" width="10" style="326" customWidth="1"/>
    <col min="782" max="782" width="10.875" style="326" customWidth="1"/>
    <col min="783" max="783" width="11.375" style="326" customWidth="1"/>
    <col min="784" max="784" width="15.375" style="326" customWidth="1"/>
    <col min="785" max="786" width="10.75" style="326" customWidth="1"/>
    <col min="787" max="787" width="14.375" style="326" customWidth="1"/>
    <col min="788" max="788" width="10.75" style="326" customWidth="1"/>
    <col min="789" max="789" width="11.75" style="326" customWidth="1"/>
    <col min="790" max="790" width="10" style="326" customWidth="1"/>
    <col min="791" max="791" width="15.375" style="326" customWidth="1"/>
    <col min="792" max="792" width="10" style="326" customWidth="1"/>
    <col min="793" max="793" width="10.75" style="326" customWidth="1"/>
    <col min="794" max="794" width="14.875" style="326" customWidth="1"/>
    <col min="795" max="795" width="11.5" style="326" customWidth="1"/>
    <col min="796" max="796" width="10" style="326" customWidth="1"/>
    <col min="797" max="797" width="10.75" style="326" customWidth="1"/>
    <col min="798" max="798" width="13.5" style="326" customWidth="1"/>
    <col min="799" max="799" width="9" style="326"/>
    <col min="800" max="800" width="10.75" style="326" bestFit="1" customWidth="1"/>
    <col min="801" max="801" width="13.75" style="326" customWidth="1"/>
    <col min="802" max="802" width="9" style="326"/>
    <col min="803" max="803" width="10.625" style="326" customWidth="1"/>
    <col min="804" max="804" width="9" style="326"/>
    <col min="805" max="805" width="14.25" style="326" customWidth="1"/>
    <col min="806" max="806" width="10.75" style="326" bestFit="1" customWidth="1"/>
    <col min="807" max="807" width="11.625" style="326" customWidth="1"/>
    <col min="808" max="808" width="13.75" style="326" customWidth="1"/>
    <col min="809" max="809" width="10.625" style="326" customWidth="1"/>
    <col min="810" max="811" width="9" style="326"/>
    <col min="812" max="812" width="14.125" style="326" customWidth="1"/>
    <col min="813" max="813" width="11" style="326" customWidth="1"/>
    <col min="814" max="814" width="10.75" style="326" bestFit="1" customWidth="1"/>
    <col min="815" max="815" width="13.5" style="326" customWidth="1"/>
    <col min="816" max="817" width="9" style="326"/>
    <col min="818" max="818" width="10.75" style="326" bestFit="1" customWidth="1"/>
    <col min="819" max="819" width="14" style="326" customWidth="1"/>
    <col min="820" max="820" width="9" style="326"/>
    <col min="821" max="821" width="10.75" style="326" customWidth="1"/>
    <col min="822" max="822" width="12.75" style="326" customWidth="1"/>
    <col min="823" max="823" width="9" style="326"/>
    <col min="824" max="824" width="10.75" style="326" bestFit="1" customWidth="1"/>
    <col min="825" max="825" width="11.5" style="326" customWidth="1"/>
    <col min="826" max="826" width="13.625" style="326" customWidth="1"/>
    <col min="827" max="827" width="10.625" style="326" customWidth="1"/>
    <col min="828" max="828" width="10.75" style="326" bestFit="1" customWidth="1"/>
    <col min="829" max="829" width="12.375" style="326" customWidth="1"/>
    <col min="830" max="832" width="9" style="326"/>
    <col min="833" max="833" width="15.75" style="326" customWidth="1"/>
    <col min="834" max="834" width="9" style="326"/>
    <col min="835" max="835" width="10.75" style="326" bestFit="1" customWidth="1"/>
    <col min="836" max="836" width="12.625" style="326" customWidth="1"/>
    <col min="837" max="839" width="9" style="326"/>
    <col min="840" max="840" width="13.625" style="326" customWidth="1"/>
    <col min="841" max="841" width="9" style="326"/>
    <col min="842" max="842" width="10.75" style="326" bestFit="1" customWidth="1"/>
    <col min="843" max="843" width="12.5" style="326" customWidth="1"/>
    <col min="844" max="846" width="9" style="326"/>
    <col min="847" max="847" width="12.875" style="326" customWidth="1"/>
    <col min="848" max="848" width="9" style="326"/>
    <col min="849" max="849" width="10.75" style="326" bestFit="1" customWidth="1"/>
    <col min="850" max="850" width="13.875" style="326" customWidth="1"/>
    <col min="851" max="853" width="9" style="326"/>
    <col min="854" max="854" width="14.125" style="326" customWidth="1"/>
    <col min="855" max="855" width="9" style="326"/>
    <col min="856" max="856" width="10.75" style="326" bestFit="1" customWidth="1"/>
    <col min="857" max="857" width="13.25" style="326" customWidth="1"/>
    <col min="858" max="860" width="9" style="326"/>
    <col min="861" max="861" width="13.25" style="326" customWidth="1"/>
    <col min="862" max="862" width="9" style="326"/>
    <col min="863" max="863" width="10.75" style="326" bestFit="1" customWidth="1"/>
    <col min="864" max="864" width="13.875" style="326" customWidth="1"/>
    <col min="865" max="867" width="9" style="326"/>
    <col min="868" max="868" width="13.625" style="326" customWidth="1"/>
    <col min="869" max="869" width="9" style="326"/>
    <col min="870" max="870" width="10.75" style="326" bestFit="1" customWidth="1"/>
    <col min="871" max="871" width="13" style="326" customWidth="1"/>
    <col min="872" max="1018" width="9" style="326"/>
    <col min="1019" max="1020" width="12.125" style="326" customWidth="1"/>
    <col min="1021" max="1023" width="13" style="326" customWidth="1"/>
    <col min="1024" max="1024" width="12.875" style="326" customWidth="1"/>
    <col min="1025" max="1025" width="13" style="326" customWidth="1"/>
    <col min="1026" max="1026" width="13.125" style="326" customWidth="1"/>
    <col min="1027" max="1028" width="12.125" style="326" customWidth="1"/>
    <col min="1029" max="1029" width="14.375" style="326" bestFit="1" customWidth="1"/>
    <col min="1030" max="1030" width="11" style="326" customWidth="1"/>
    <col min="1031" max="1031" width="10" style="326" customWidth="1"/>
    <col min="1032" max="1032" width="10.875" style="326" customWidth="1"/>
    <col min="1033" max="1033" width="13.75" style="326" customWidth="1"/>
    <col min="1034" max="1034" width="10" style="326" customWidth="1"/>
    <col min="1035" max="1035" width="13.25" style="326" customWidth="1"/>
    <col min="1036" max="1036" width="14.375" style="326" customWidth="1"/>
    <col min="1037" max="1037" width="10" style="326" customWidth="1"/>
    <col min="1038" max="1038" width="10.875" style="326" customWidth="1"/>
    <col min="1039" max="1039" width="11.375" style="326" customWidth="1"/>
    <col min="1040" max="1040" width="15.375" style="326" customWidth="1"/>
    <col min="1041" max="1042" width="10.75" style="326" customWidth="1"/>
    <col min="1043" max="1043" width="14.375" style="326" customWidth="1"/>
    <col min="1044" max="1044" width="10.75" style="326" customWidth="1"/>
    <col min="1045" max="1045" width="11.75" style="326" customWidth="1"/>
    <col min="1046" max="1046" width="10" style="326" customWidth="1"/>
    <col min="1047" max="1047" width="15.375" style="326" customWidth="1"/>
    <col min="1048" max="1048" width="10" style="326" customWidth="1"/>
    <col min="1049" max="1049" width="10.75" style="326" customWidth="1"/>
    <col min="1050" max="1050" width="14.875" style="326" customWidth="1"/>
    <col min="1051" max="1051" width="11.5" style="326" customWidth="1"/>
    <col min="1052" max="1052" width="10" style="326" customWidth="1"/>
    <col min="1053" max="1053" width="10.75" style="326" customWidth="1"/>
    <col min="1054" max="1054" width="13.5" style="326" customWidth="1"/>
    <col min="1055" max="1055" width="9" style="326"/>
    <col min="1056" max="1056" width="10.75" style="326" bestFit="1" customWidth="1"/>
    <col min="1057" max="1057" width="13.75" style="326" customWidth="1"/>
    <col min="1058" max="1058" width="9" style="326"/>
    <col min="1059" max="1059" width="10.625" style="326" customWidth="1"/>
    <col min="1060" max="1060" width="9" style="326"/>
    <col min="1061" max="1061" width="14.25" style="326" customWidth="1"/>
    <col min="1062" max="1062" width="10.75" style="326" bestFit="1" customWidth="1"/>
    <col min="1063" max="1063" width="11.625" style="326" customWidth="1"/>
    <col min="1064" max="1064" width="13.75" style="326" customWidth="1"/>
    <col min="1065" max="1065" width="10.625" style="326" customWidth="1"/>
    <col min="1066" max="1067" width="9" style="326"/>
    <col min="1068" max="1068" width="14.125" style="326" customWidth="1"/>
    <col min="1069" max="1069" width="11" style="326" customWidth="1"/>
    <col min="1070" max="1070" width="10.75" style="326" bestFit="1" customWidth="1"/>
    <col min="1071" max="1071" width="13.5" style="326" customWidth="1"/>
    <col min="1072" max="1073" width="9" style="326"/>
    <col min="1074" max="1074" width="10.75" style="326" bestFit="1" customWidth="1"/>
    <col min="1075" max="1075" width="14" style="326" customWidth="1"/>
    <col min="1076" max="1076" width="9" style="326"/>
    <col min="1077" max="1077" width="10.75" style="326" customWidth="1"/>
    <col min="1078" max="1078" width="12.75" style="326" customWidth="1"/>
    <col min="1079" max="1079" width="9" style="326"/>
    <col min="1080" max="1080" width="10.75" style="326" bestFit="1" customWidth="1"/>
    <col min="1081" max="1081" width="11.5" style="326" customWidth="1"/>
    <col min="1082" max="1082" width="13.625" style="326" customWidth="1"/>
    <col min="1083" max="1083" width="10.625" style="326" customWidth="1"/>
    <col min="1084" max="1084" width="10.75" style="326" bestFit="1" customWidth="1"/>
    <col min="1085" max="1085" width="12.375" style="326" customWidth="1"/>
    <col min="1086" max="1088" width="9" style="326"/>
    <col min="1089" max="1089" width="15.75" style="326" customWidth="1"/>
    <col min="1090" max="1090" width="9" style="326"/>
    <col min="1091" max="1091" width="10.75" style="326" bestFit="1" customWidth="1"/>
    <col min="1092" max="1092" width="12.625" style="326" customWidth="1"/>
    <col min="1093" max="1095" width="9" style="326"/>
    <col min="1096" max="1096" width="13.625" style="326" customWidth="1"/>
    <col min="1097" max="1097" width="9" style="326"/>
    <col min="1098" max="1098" width="10.75" style="326" bestFit="1" customWidth="1"/>
    <col min="1099" max="1099" width="12.5" style="326" customWidth="1"/>
    <col min="1100" max="1102" width="9" style="326"/>
    <col min="1103" max="1103" width="12.875" style="326" customWidth="1"/>
    <col min="1104" max="1104" width="9" style="326"/>
    <col min="1105" max="1105" width="10.75" style="326" bestFit="1" customWidth="1"/>
    <col min="1106" max="1106" width="13.875" style="326" customWidth="1"/>
    <col min="1107" max="1109" width="9" style="326"/>
    <col min="1110" max="1110" width="14.125" style="326" customWidth="1"/>
    <col min="1111" max="1111" width="9" style="326"/>
    <col min="1112" max="1112" width="10.75" style="326" bestFit="1" customWidth="1"/>
    <col min="1113" max="1113" width="13.25" style="326" customWidth="1"/>
    <col min="1114" max="1116" width="9" style="326"/>
    <col min="1117" max="1117" width="13.25" style="326" customWidth="1"/>
    <col min="1118" max="1118" width="9" style="326"/>
    <col min="1119" max="1119" width="10.75" style="326" bestFit="1" customWidth="1"/>
    <col min="1120" max="1120" width="13.875" style="326" customWidth="1"/>
    <col min="1121" max="1123" width="9" style="326"/>
    <col min="1124" max="1124" width="13.625" style="326" customWidth="1"/>
    <col min="1125" max="1125" width="9" style="326"/>
    <col min="1126" max="1126" width="10.75" style="326" bestFit="1" customWidth="1"/>
    <col min="1127" max="1127" width="13" style="326" customWidth="1"/>
    <col min="1128" max="1274" width="9" style="326"/>
    <col min="1275" max="1276" width="12.125" style="326" customWidth="1"/>
    <col min="1277" max="1279" width="13" style="326" customWidth="1"/>
    <col min="1280" max="1280" width="12.875" style="326" customWidth="1"/>
    <col min="1281" max="1281" width="13" style="326" customWidth="1"/>
    <col min="1282" max="1282" width="13.125" style="326" customWidth="1"/>
    <col min="1283" max="1284" width="12.125" style="326" customWidth="1"/>
    <col min="1285" max="1285" width="14.375" style="326" bestFit="1" customWidth="1"/>
    <col min="1286" max="1286" width="11" style="326" customWidth="1"/>
    <col min="1287" max="1287" width="10" style="326" customWidth="1"/>
    <col min="1288" max="1288" width="10.875" style="326" customWidth="1"/>
    <col min="1289" max="1289" width="13.75" style="326" customWidth="1"/>
    <col min="1290" max="1290" width="10" style="326" customWidth="1"/>
    <col min="1291" max="1291" width="13.25" style="326" customWidth="1"/>
    <col min="1292" max="1292" width="14.375" style="326" customWidth="1"/>
    <col min="1293" max="1293" width="10" style="326" customWidth="1"/>
    <col min="1294" max="1294" width="10.875" style="326" customWidth="1"/>
    <col min="1295" max="1295" width="11.375" style="326" customWidth="1"/>
    <col min="1296" max="1296" width="15.375" style="326" customWidth="1"/>
    <col min="1297" max="1298" width="10.75" style="326" customWidth="1"/>
    <col min="1299" max="1299" width="14.375" style="326" customWidth="1"/>
    <col min="1300" max="1300" width="10.75" style="326" customWidth="1"/>
    <col min="1301" max="1301" width="11.75" style="326" customWidth="1"/>
    <col min="1302" max="1302" width="10" style="326" customWidth="1"/>
    <col min="1303" max="1303" width="15.375" style="326" customWidth="1"/>
    <col min="1304" max="1304" width="10" style="326" customWidth="1"/>
    <col min="1305" max="1305" width="10.75" style="326" customWidth="1"/>
    <col min="1306" max="1306" width="14.875" style="326" customWidth="1"/>
    <col min="1307" max="1307" width="11.5" style="326" customWidth="1"/>
    <col min="1308" max="1308" width="10" style="326" customWidth="1"/>
    <col min="1309" max="1309" width="10.75" style="326" customWidth="1"/>
    <col min="1310" max="1310" width="13.5" style="326" customWidth="1"/>
    <col min="1311" max="1311" width="9" style="326"/>
    <col min="1312" max="1312" width="10.75" style="326" bestFit="1" customWidth="1"/>
    <col min="1313" max="1313" width="13.75" style="326" customWidth="1"/>
    <col min="1314" max="1314" width="9" style="326"/>
    <col min="1315" max="1315" width="10.625" style="326" customWidth="1"/>
    <col min="1316" max="1316" width="9" style="326"/>
    <col min="1317" max="1317" width="14.25" style="326" customWidth="1"/>
    <col min="1318" max="1318" width="10.75" style="326" bestFit="1" customWidth="1"/>
    <col min="1319" max="1319" width="11.625" style="326" customWidth="1"/>
    <col min="1320" max="1320" width="13.75" style="326" customWidth="1"/>
    <col min="1321" max="1321" width="10.625" style="326" customWidth="1"/>
    <col min="1322" max="1323" width="9" style="326"/>
    <col min="1324" max="1324" width="14.125" style="326" customWidth="1"/>
    <col min="1325" max="1325" width="11" style="326" customWidth="1"/>
    <col min="1326" max="1326" width="10.75" style="326" bestFit="1" customWidth="1"/>
    <col min="1327" max="1327" width="13.5" style="326" customWidth="1"/>
    <col min="1328" max="1329" width="9" style="326"/>
    <col min="1330" max="1330" width="10.75" style="326" bestFit="1" customWidth="1"/>
    <col min="1331" max="1331" width="14" style="326" customWidth="1"/>
    <col min="1332" max="1332" width="9" style="326"/>
    <col min="1333" max="1333" width="10.75" style="326" customWidth="1"/>
    <col min="1334" max="1334" width="12.75" style="326" customWidth="1"/>
    <col min="1335" max="1335" width="9" style="326"/>
    <col min="1336" max="1336" width="10.75" style="326" bestFit="1" customWidth="1"/>
    <col min="1337" max="1337" width="11.5" style="326" customWidth="1"/>
    <col min="1338" max="1338" width="13.625" style="326" customWidth="1"/>
    <col min="1339" max="1339" width="10.625" style="326" customWidth="1"/>
    <col min="1340" max="1340" width="10.75" style="326" bestFit="1" customWidth="1"/>
    <col min="1341" max="1341" width="12.375" style="326" customWidth="1"/>
    <col min="1342" max="1344" width="9" style="326"/>
    <col min="1345" max="1345" width="15.75" style="326" customWidth="1"/>
    <col min="1346" max="1346" width="9" style="326"/>
    <col min="1347" max="1347" width="10.75" style="326" bestFit="1" customWidth="1"/>
    <col min="1348" max="1348" width="12.625" style="326" customWidth="1"/>
    <col min="1349" max="1351" width="9" style="326"/>
    <col min="1352" max="1352" width="13.625" style="326" customWidth="1"/>
    <col min="1353" max="1353" width="9" style="326"/>
    <col min="1354" max="1354" width="10.75" style="326" bestFit="1" customWidth="1"/>
    <col min="1355" max="1355" width="12.5" style="326" customWidth="1"/>
    <col min="1356" max="1358" width="9" style="326"/>
    <col min="1359" max="1359" width="12.875" style="326" customWidth="1"/>
    <col min="1360" max="1360" width="9" style="326"/>
    <col min="1361" max="1361" width="10.75" style="326" bestFit="1" customWidth="1"/>
    <col min="1362" max="1362" width="13.875" style="326" customWidth="1"/>
    <col min="1363" max="1365" width="9" style="326"/>
    <col min="1366" max="1366" width="14.125" style="326" customWidth="1"/>
    <col min="1367" max="1367" width="9" style="326"/>
    <col min="1368" max="1368" width="10.75" style="326" bestFit="1" customWidth="1"/>
    <col min="1369" max="1369" width="13.25" style="326" customWidth="1"/>
    <col min="1370" max="1372" width="9" style="326"/>
    <col min="1373" max="1373" width="13.25" style="326" customWidth="1"/>
    <col min="1374" max="1374" width="9" style="326"/>
    <col min="1375" max="1375" width="10.75" style="326" bestFit="1" customWidth="1"/>
    <col min="1376" max="1376" width="13.875" style="326" customWidth="1"/>
    <col min="1377" max="1379" width="9" style="326"/>
    <col min="1380" max="1380" width="13.625" style="326" customWidth="1"/>
    <col min="1381" max="1381" width="9" style="326"/>
    <col min="1382" max="1382" width="10.75" style="326" bestFit="1" customWidth="1"/>
    <col min="1383" max="1383" width="13" style="326" customWidth="1"/>
    <col min="1384" max="1530" width="9" style="326"/>
    <col min="1531" max="1532" width="12.125" style="326" customWidth="1"/>
    <col min="1533" max="1535" width="13" style="326" customWidth="1"/>
    <col min="1536" max="1536" width="12.875" style="326" customWidth="1"/>
    <col min="1537" max="1537" width="13" style="326" customWidth="1"/>
    <col min="1538" max="1538" width="13.125" style="326" customWidth="1"/>
    <col min="1539" max="1540" width="12.125" style="326" customWidth="1"/>
    <col min="1541" max="1541" width="14.375" style="326" bestFit="1" customWidth="1"/>
    <col min="1542" max="1542" width="11" style="326" customWidth="1"/>
    <col min="1543" max="1543" width="10" style="326" customWidth="1"/>
    <col min="1544" max="1544" width="10.875" style="326" customWidth="1"/>
    <col min="1545" max="1545" width="13.75" style="326" customWidth="1"/>
    <col min="1546" max="1546" width="10" style="326" customWidth="1"/>
    <col min="1547" max="1547" width="13.25" style="326" customWidth="1"/>
    <col min="1548" max="1548" width="14.375" style="326" customWidth="1"/>
    <col min="1549" max="1549" width="10" style="326" customWidth="1"/>
    <col min="1550" max="1550" width="10.875" style="326" customWidth="1"/>
    <col min="1551" max="1551" width="11.375" style="326" customWidth="1"/>
    <col min="1552" max="1552" width="15.375" style="326" customWidth="1"/>
    <col min="1553" max="1554" width="10.75" style="326" customWidth="1"/>
    <col min="1555" max="1555" width="14.375" style="326" customWidth="1"/>
    <col min="1556" max="1556" width="10.75" style="326" customWidth="1"/>
    <col min="1557" max="1557" width="11.75" style="326" customWidth="1"/>
    <col min="1558" max="1558" width="10" style="326" customWidth="1"/>
    <col min="1559" max="1559" width="15.375" style="326" customWidth="1"/>
    <col min="1560" max="1560" width="10" style="326" customWidth="1"/>
    <col min="1561" max="1561" width="10.75" style="326" customWidth="1"/>
    <col min="1562" max="1562" width="14.875" style="326" customWidth="1"/>
    <col min="1563" max="1563" width="11.5" style="326" customWidth="1"/>
    <col min="1564" max="1564" width="10" style="326" customWidth="1"/>
    <col min="1565" max="1565" width="10.75" style="326" customWidth="1"/>
    <col min="1566" max="1566" width="13.5" style="326" customWidth="1"/>
    <col min="1567" max="1567" width="9" style="326"/>
    <col min="1568" max="1568" width="10.75" style="326" bestFit="1" customWidth="1"/>
    <col min="1569" max="1569" width="13.75" style="326" customWidth="1"/>
    <col min="1570" max="1570" width="9" style="326"/>
    <col min="1571" max="1571" width="10.625" style="326" customWidth="1"/>
    <col min="1572" max="1572" width="9" style="326"/>
    <col min="1573" max="1573" width="14.25" style="326" customWidth="1"/>
    <col min="1574" max="1574" width="10.75" style="326" bestFit="1" customWidth="1"/>
    <col min="1575" max="1575" width="11.625" style="326" customWidth="1"/>
    <col min="1576" max="1576" width="13.75" style="326" customWidth="1"/>
    <col min="1577" max="1577" width="10.625" style="326" customWidth="1"/>
    <col min="1578" max="1579" width="9" style="326"/>
    <col min="1580" max="1580" width="14.125" style="326" customWidth="1"/>
    <col min="1581" max="1581" width="11" style="326" customWidth="1"/>
    <col min="1582" max="1582" width="10.75" style="326" bestFit="1" customWidth="1"/>
    <col min="1583" max="1583" width="13.5" style="326" customWidth="1"/>
    <col min="1584" max="1585" width="9" style="326"/>
    <col min="1586" max="1586" width="10.75" style="326" bestFit="1" customWidth="1"/>
    <col min="1587" max="1587" width="14" style="326" customWidth="1"/>
    <col min="1588" max="1588" width="9" style="326"/>
    <col min="1589" max="1589" width="10.75" style="326" customWidth="1"/>
    <col min="1590" max="1590" width="12.75" style="326" customWidth="1"/>
    <col min="1591" max="1591" width="9" style="326"/>
    <col min="1592" max="1592" width="10.75" style="326" bestFit="1" customWidth="1"/>
    <col min="1593" max="1593" width="11.5" style="326" customWidth="1"/>
    <col min="1594" max="1594" width="13.625" style="326" customWidth="1"/>
    <col min="1595" max="1595" width="10.625" style="326" customWidth="1"/>
    <col min="1596" max="1596" width="10.75" style="326" bestFit="1" customWidth="1"/>
    <col min="1597" max="1597" width="12.375" style="326" customWidth="1"/>
    <col min="1598" max="1600" width="9" style="326"/>
    <col min="1601" max="1601" width="15.75" style="326" customWidth="1"/>
    <col min="1602" max="1602" width="9" style="326"/>
    <col min="1603" max="1603" width="10.75" style="326" bestFit="1" customWidth="1"/>
    <col min="1604" max="1604" width="12.625" style="326" customWidth="1"/>
    <col min="1605" max="1607" width="9" style="326"/>
    <col min="1608" max="1608" width="13.625" style="326" customWidth="1"/>
    <col min="1609" max="1609" width="9" style="326"/>
    <col min="1610" max="1610" width="10.75" style="326" bestFit="1" customWidth="1"/>
    <col min="1611" max="1611" width="12.5" style="326" customWidth="1"/>
    <col min="1612" max="1614" width="9" style="326"/>
    <col min="1615" max="1615" width="12.875" style="326" customWidth="1"/>
    <col min="1616" max="1616" width="9" style="326"/>
    <col min="1617" max="1617" width="10.75" style="326" bestFit="1" customWidth="1"/>
    <col min="1618" max="1618" width="13.875" style="326" customWidth="1"/>
    <col min="1619" max="1621" width="9" style="326"/>
    <col min="1622" max="1622" width="14.125" style="326" customWidth="1"/>
    <col min="1623" max="1623" width="9" style="326"/>
    <col min="1624" max="1624" width="10.75" style="326" bestFit="1" customWidth="1"/>
    <col min="1625" max="1625" width="13.25" style="326" customWidth="1"/>
    <col min="1626" max="1628" width="9" style="326"/>
    <col min="1629" max="1629" width="13.25" style="326" customWidth="1"/>
    <col min="1630" max="1630" width="9" style="326"/>
    <col min="1631" max="1631" width="10.75" style="326" bestFit="1" customWidth="1"/>
    <col min="1632" max="1632" width="13.875" style="326" customWidth="1"/>
    <col min="1633" max="1635" width="9" style="326"/>
    <col min="1636" max="1636" width="13.625" style="326" customWidth="1"/>
    <col min="1637" max="1637" width="9" style="326"/>
    <col min="1638" max="1638" width="10.75" style="326" bestFit="1" customWidth="1"/>
    <col min="1639" max="1639" width="13" style="326" customWidth="1"/>
    <col min="1640" max="1786" width="9" style="326"/>
    <col min="1787" max="1788" width="12.125" style="326" customWidth="1"/>
    <col min="1789" max="1791" width="13" style="326" customWidth="1"/>
    <col min="1792" max="1792" width="12.875" style="326" customWidth="1"/>
    <col min="1793" max="1793" width="13" style="326" customWidth="1"/>
    <col min="1794" max="1794" width="13.125" style="326" customWidth="1"/>
    <col min="1795" max="1796" width="12.125" style="326" customWidth="1"/>
    <col min="1797" max="1797" width="14.375" style="326" bestFit="1" customWidth="1"/>
    <col min="1798" max="1798" width="11" style="326" customWidth="1"/>
    <col min="1799" max="1799" width="10" style="326" customWidth="1"/>
    <col min="1800" max="1800" width="10.875" style="326" customWidth="1"/>
    <col min="1801" max="1801" width="13.75" style="326" customWidth="1"/>
    <col min="1802" max="1802" width="10" style="326" customWidth="1"/>
    <col min="1803" max="1803" width="13.25" style="326" customWidth="1"/>
    <col min="1804" max="1804" width="14.375" style="326" customWidth="1"/>
    <col min="1805" max="1805" width="10" style="326" customWidth="1"/>
    <col min="1806" max="1806" width="10.875" style="326" customWidth="1"/>
    <col min="1807" max="1807" width="11.375" style="326" customWidth="1"/>
    <col min="1808" max="1808" width="15.375" style="326" customWidth="1"/>
    <col min="1809" max="1810" width="10.75" style="326" customWidth="1"/>
    <col min="1811" max="1811" width="14.375" style="326" customWidth="1"/>
    <col min="1812" max="1812" width="10.75" style="326" customWidth="1"/>
    <col min="1813" max="1813" width="11.75" style="326" customWidth="1"/>
    <col min="1814" max="1814" width="10" style="326" customWidth="1"/>
    <col min="1815" max="1815" width="15.375" style="326" customWidth="1"/>
    <col min="1816" max="1816" width="10" style="326" customWidth="1"/>
    <col min="1817" max="1817" width="10.75" style="326" customWidth="1"/>
    <col min="1818" max="1818" width="14.875" style="326" customWidth="1"/>
    <col min="1819" max="1819" width="11.5" style="326" customWidth="1"/>
    <col min="1820" max="1820" width="10" style="326" customWidth="1"/>
    <col min="1821" max="1821" width="10.75" style="326" customWidth="1"/>
    <col min="1822" max="1822" width="13.5" style="326" customWidth="1"/>
    <col min="1823" max="1823" width="9" style="326"/>
    <col min="1824" max="1824" width="10.75" style="326" bestFit="1" customWidth="1"/>
    <col min="1825" max="1825" width="13.75" style="326" customWidth="1"/>
    <col min="1826" max="1826" width="9" style="326"/>
    <col min="1827" max="1827" width="10.625" style="326" customWidth="1"/>
    <col min="1828" max="1828" width="9" style="326"/>
    <col min="1829" max="1829" width="14.25" style="326" customWidth="1"/>
    <col min="1830" max="1830" width="10.75" style="326" bestFit="1" customWidth="1"/>
    <col min="1831" max="1831" width="11.625" style="326" customWidth="1"/>
    <col min="1832" max="1832" width="13.75" style="326" customWidth="1"/>
    <col min="1833" max="1833" width="10.625" style="326" customWidth="1"/>
    <col min="1834" max="1835" width="9" style="326"/>
    <col min="1836" max="1836" width="14.125" style="326" customWidth="1"/>
    <col min="1837" max="1837" width="11" style="326" customWidth="1"/>
    <col min="1838" max="1838" width="10.75" style="326" bestFit="1" customWidth="1"/>
    <col min="1839" max="1839" width="13.5" style="326" customWidth="1"/>
    <col min="1840" max="1841" width="9" style="326"/>
    <col min="1842" max="1842" width="10.75" style="326" bestFit="1" customWidth="1"/>
    <col min="1843" max="1843" width="14" style="326" customWidth="1"/>
    <col min="1844" max="1844" width="9" style="326"/>
    <col min="1845" max="1845" width="10.75" style="326" customWidth="1"/>
    <col min="1846" max="1846" width="12.75" style="326" customWidth="1"/>
    <col min="1847" max="1847" width="9" style="326"/>
    <col min="1848" max="1848" width="10.75" style="326" bestFit="1" customWidth="1"/>
    <col min="1849" max="1849" width="11.5" style="326" customWidth="1"/>
    <col min="1850" max="1850" width="13.625" style="326" customWidth="1"/>
    <col min="1851" max="1851" width="10.625" style="326" customWidth="1"/>
    <col min="1852" max="1852" width="10.75" style="326" bestFit="1" customWidth="1"/>
    <col min="1853" max="1853" width="12.375" style="326" customWidth="1"/>
    <col min="1854" max="1856" width="9" style="326"/>
    <col min="1857" max="1857" width="15.75" style="326" customWidth="1"/>
    <col min="1858" max="1858" width="9" style="326"/>
    <col min="1859" max="1859" width="10.75" style="326" bestFit="1" customWidth="1"/>
    <col min="1860" max="1860" width="12.625" style="326" customWidth="1"/>
    <col min="1861" max="1863" width="9" style="326"/>
    <col min="1864" max="1864" width="13.625" style="326" customWidth="1"/>
    <col min="1865" max="1865" width="9" style="326"/>
    <col min="1866" max="1866" width="10.75" style="326" bestFit="1" customWidth="1"/>
    <col min="1867" max="1867" width="12.5" style="326" customWidth="1"/>
    <col min="1868" max="1870" width="9" style="326"/>
    <col min="1871" max="1871" width="12.875" style="326" customWidth="1"/>
    <col min="1872" max="1872" width="9" style="326"/>
    <col min="1873" max="1873" width="10.75" style="326" bestFit="1" customWidth="1"/>
    <col min="1874" max="1874" width="13.875" style="326" customWidth="1"/>
    <col min="1875" max="1877" width="9" style="326"/>
    <col min="1878" max="1878" width="14.125" style="326" customWidth="1"/>
    <col min="1879" max="1879" width="9" style="326"/>
    <col min="1880" max="1880" width="10.75" style="326" bestFit="1" customWidth="1"/>
    <col min="1881" max="1881" width="13.25" style="326" customWidth="1"/>
    <col min="1882" max="1884" width="9" style="326"/>
    <col min="1885" max="1885" width="13.25" style="326" customWidth="1"/>
    <col min="1886" max="1886" width="9" style="326"/>
    <col min="1887" max="1887" width="10.75" style="326" bestFit="1" customWidth="1"/>
    <col min="1888" max="1888" width="13.875" style="326" customWidth="1"/>
    <col min="1889" max="1891" width="9" style="326"/>
    <col min="1892" max="1892" width="13.625" style="326" customWidth="1"/>
    <col min="1893" max="1893" width="9" style="326"/>
    <col min="1894" max="1894" width="10.75" style="326" bestFit="1" customWidth="1"/>
    <col min="1895" max="1895" width="13" style="326" customWidth="1"/>
    <col min="1896" max="2042" width="9" style="326"/>
    <col min="2043" max="2044" width="12.125" style="326" customWidth="1"/>
    <col min="2045" max="2047" width="13" style="326" customWidth="1"/>
    <col min="2048" max="2048" width="12.875" style="326" customWidth="1"/>
    <col min="2049" max="2049" width="13" style="326" customWidth="1"/>
    <col min="2050" max="2050" width="13.125" style="326" customWidth="1"/>
    <col min="2051" max="2052" width="12.125" style="326" customWidth="1"/>
    <col min="2053" max="2053" width="14.375" style="326" bestFit="1" customWidth="1"/>
    <col min="2054" max="2054" width="11" style="326" customWidth="1"/>
    <col min="2055" max="2055" width="10" style="326" customWidth="1"/>
    <col min="2056" max="2056" width="10.875" style="326" customWidth="1"/>
    <col min="2057" max="2057" width="13.75" style="326" customWidth="1"/>
    <col min="2058" max="2058" width="10" style="326" customWidth="1"/>
    <col min="2059" max="2059" width="13.25" style="326" customWidth="1"/>
    <col min="2060" max="2060" width="14.375" style="326" customWidth="1"/>
    <col min="2061" max="2061" width="10" style="326" customWidth="1"/>
    <col min="2062" max="2062" width="10.875" style="326" customWidth="1"/>
    <col min="2063" max="2063" width="11.375" style="326" customWidth="1"/>
    <col min="2064" max="2064" width="15.375" style="326" customWidth="1"/>
    <col min="2065" max="2066" width="10.75" style="326" customWidth="1"/>
    <col min="2067" max="2067" width="14.375" style="326" customWidth="1"/>
    <col min="2068" max="2068" width="10.75" style="326" customWidth="1"/>
    <col min="2069" max="2069" width="11.75" style="326" customWidth="1"/>
    <col min="2070" max="2070" width="10" style="326" customWidth="1"/>
    <col min="2071" max="2071" width="15.375" style="326" customWidth="1"/>
    <col min="2072" max="2072" width="10" style="326" customWidth="1"/>
    <col min="2073" max="2073" width="10.75" style="326" customWidth="1"/>
    <col min="2074" max="2074" width="14.875" style="326" customWidth="1"/>
    <col min="2075" max="2075" width="11.5" style="326" customWidth="1"/>
    <col min="2076" max="2076" width="10" style="326" customWidth="1"/>
    <col min="2077" max="2077" width="10.75" style="326" customWidth="1"/>
    <col min="2078" max="2078" width="13.5" style="326" customWidth="1"/>
    <col min="2079" max="2079" width="9" style="326"/>
    <col min="2080" max="2080" width="10.75" style="326" bestFit="1" customWidth="1"/>
    <col min="2081" max="2081" width="13.75" style="326" customWidth="1"/>
    <col min="2082" max="2082" width="9" style="326"/>
    <col min="2083" max="2083" width="10.625" style="326" customWidth="1"/>
    <col min="2084" max="2084" width="9" style="326"/>
    <col min="2085" max="2085" width="14.25" style="326" customWidth="1"/>
    <col min="2086" max="2086" width="10.75" style="326" bestFit="1" customWidth="1"/>
    <col min="2087" max="2087" width="11.625" style="326" customWidth="1"/>
    <col min="2088" max="2088" width="13.75" style="326" customWidth="1"/>
    <col min="2089" max="2089" width="10.625" style="326" customWidth="1"/>
    <col min="2090" max="2091" width="9" style="326"/>
    <col min="2092" max="2092" width="14.125" style="326" customWidth="1"/>
    <col min="2093" max="2093" width="11" style="326" customWidth="1"/>
    <col min="2094" max="2094" width="10.75" style="326" bestFit="1" customWidth="1"/>
    <col min="2095" max="2095" width="13.5" style="326" customWidth="1"/>
    <col min="2096" max="2097" width="9" style="326"/>
    <col min="2098" max="2098" width="10.75" style="326" bestFit="1" customWidth="1"/>
    <col min="2099" max="2099" width="14" style="326" customWidth="1"/>
    <col min="2100" max="2100" width="9" style="326"/>
    <col min="2101" max="2101" width="10.75" style="326" customWidth="1"/>
    <col min="2102" max="2102" width="12.75" style="326" customWidth="1"/>
    <col min="2103" max="2103" width="9" style="326"/>
    <col min="2104" max="2104" width="10.75" style="326" bestFit="1" customWidth="1"/>
    <col min="2105" max="2105" width="11.5" style="326" customWidth="1"/>
    <col min="2106" max="2106" width="13.625" style="326" customWidth="1"/>
    <col min="2107" max="2107" width="10.625" style="326" customWidth="1"/>
    <col min="2108" max="2108" width="10.75" style="326" bestFit="1" customWidth="1"/>
    <col min="2109" max="2109" width="12.375" style="326" customWidth="1"/>
    <col min="2110" max="2112" width="9" style="326"/>
    <col min="2113" max="2113" width="15.75" style="326" customWidth="1"/>
    <col min="2114" max="2114" width="9" style="326"/>
    <col min="2115" max="2115" width="10.75" style="326" bestFit="1" customWidth="1"/>
    <col min="2116" max="2116" width="12.625" style="326" customWidth="1"/>
    <col min="2117" max="2119" width="9" style="326"/>
    <col min="2120" max="2120" width="13.625" style="326" customWidth="1"/>
    <col min="2121" max="2121" width="9" style="326"/>
    <col min="2122" max="2122" width="10.75" style="326" bestFit="1" customWidth="1"/>
    <col min="2123" max="2123" width="12.5" style="326" customWidth="1"/>
    <col min="2124" max="2126" width="9" style="326"/>
    <col min="2127" max="2127" width="12.875" style="326" customWidth="1"/>
    <col min="2128" max="2128" width="9" style="326"/>
    <col min="2129" max="2129" width="10.75" style="326" bestFit="1" customWidth="1"/>
    <col min="2130" max="2130" width="13.875" style="326" customWidth="1"/>
    <col min="2131" max="2133" width="9" style="326"/>
    <col min="2134" max="2134" width="14.125" style="326" customWidth="1"/>
    <col min="2135" max="2135" width="9" style="326"/>
    <col min="2136" max="2136" width="10.75" style="326" bestFit="1" customWidth="1"/>
    <col min="2137" max="2137" width="13.25" style="326" customWidth="1"/>
    <col min="2138" max="2140" width="9" style="326"/>
    <col min="2141" max="2141" width="13.25" style="326" customWidth="1"/>
    <col min="2142" max="2142" width="9" style="326"/>
    <col min="2143" max="2143" width="10.75" style="326" bestFit="1" customWidth="1"/>
    <col min="2144" max="2144" width="13.875" style="326" customWidth="1"/>
    <col min="2145" max="2147" width="9" style="326"/>
    <col min="2148" max="2148" width="13.625" style="326" customWidth="1"/>
    <col min="2149" max="2149" width="9" style="326"/>
    <col min="2150" max="2150" width="10.75" style="326" bestFit="1" customWidth="1"/>
    <col min="2151" max="2151" width="13" style="326" customWidth="1"/>
    <col min="2152" max="2298" width="9" style="326"/>
    <col min="2299" max="2300" width="12.125" style="326" customWidth="1"/>
    <col min="2301" max="2303" width="13" style="326" customWidth="1"/>
    <col min="2304" max="2304" width="12.875" style="326" customWidth="1"/>
    <col min="2305" max="2305" width="13" style="326" customWidth="1"/>
    <col min="2306" max="2306" width="13.125" style="326" customWidth="1"/>
    <col min="2307" max="2308" width="12.125" style="326" customWidth="1"/>
    <col min="2309" max="2309" width="14.375" style="326" bestFit="1" customWidth="1"/>
    <col min="2310" max="2310" width="11" style="326" customWidth="1"/>
    <col min="2311" max="2311" width="10" style="326" customWidth="1"/>
    <col min="2312" max="2312" width="10.875" style="326" customWidth="1"/>
    <col min="2313" max="2313" width="13.75" style="326" customWidth="1"/>
    <col min="2314" max="2314" width="10" style="326" customWidth="1"/>
    <col min="2315" max="2315" width="13.25" style="326" customWidth="1"/>
    <col min="2316" max="2316" width="14.375" style="326" customWidth="1"/>
    <col min="2317" max="2317" width="10" style="326" customWidth="1"/>
    <col min="2318" max="2318" width="10.875" style="326" customWidth="1"/>
    <col min="2319" max="2319" width="11.375" style="326" customWidth="1"/>
    <col min="2320" max="2320" width="15.375" style="326" customWidth="1"/>
    <col min="2321" max="2322" width="10.75" style="326" customWidth="1"/>
    <col min="2323" max="2323" width="14.375" style="326" customWidth="1"/>
    <col min="2324" max="2324" width="10.75" style="326" customWidth="1"/>
    <col min="2325" max="2325" width="11.75" style="326" customWidth="1"/>
    <col min="2326" max="2326" width="10" style="326" customWidth="1"/>
    <col min="2327" max="2327" width="15.375" style="326" customWidth="1"/>
    <col min="2328" max="2328" width="10" style="326" customWidth="1"/>
    <col min="2329" max="2329" width="10.75" style="326" customWidth="1"/>
    <col min="2330" max="2330" width="14.875" style="326" customWidth="1"/>
    <col min="2331" max="2331" width="11.5" style="326" customWidth="1"/>
    <col min="2332" max="2332" width="10" style="326" customWidth="1"/>
    <col min="2333" max="2333" width="10.75" style="326" customWidth="1"/>
    <col min="2334" max="2334" width="13.5" style="326" customWidth="1"/>
    <col min="2335" max="2335" width="9" style="326"/>
    <col min="2336" max="2336" width="10.75" style="326" bestFit="1" customWidth="1"/>
    <col min="2337" max="2337" width="13.75" style="326" customWidth="1"/>
    <col min="2338" max="2338" width="9" style="326"/>
    <col min="2339" max="2339" width="10.625" style="326" customWidth="1"/>
    <col min="2340" max="2340" width="9" style="326"/>
    <col min="2341" max="2341" width="14.25" style="326" customWidth="1"/>
    <col min="2342" max="2342" width="10.75" style="326" bestFit="1" customWidth="1"/>
    <col min="2343" max="2343" width="11.625" style="326" customWidth="1"/>
    <col min="2344" max="2344" width="13.75" style="326" customWidth="1"/>
    <col min="2345" max="2345" width="10.625" style="326" customWidth="1"/>
    <col min="2346" max="2347" width="9" style="326"/>
    <col min="2348" max="2348" width="14.125" style="326" customWidth="1"/>
    <col min="2349" max="2349" width="11" style="326" customWidth="1"/>
    <col min="2350" max="2350" width="10.75" style="326" bestFit="1" customWidth="1"/>
    <col min="2351" max="2351" width="13.5" style="326" customWidth="1"/>
    <col min="2352" max="2353" width="9" style="326"/>
    <col min="2354" max="2354" width="10.75" style="326" bestFit="1" customWidth="1"/>
    <col min="2355" max="2355" width="14" style="326" customWidth="1"/>
    <col min="2356" max="2356" width="9" style="326"/>
    <col min="2357" max="2357" width="10.75" style="326" customWidth="1"/>
    <col min="2358" max="2358" width="12.75" style="326" customWidth="1"/>
    <col min="2359" max="2359" width="9" style="326"/>
    <col min="2360" max="2360" width="10.75" style="326" bestFit="1" customWidth="1"/>
    <col min="2361" max="2361" width="11.5" style="326" customWidth="1"/>
    <col min="2362" max="2362" width="13.625" style="326" customWidth="1"/>
    <col min="2363" max="2363" width="10.625" style="326" customWidth="1"/>
    <col min="2364" max="2364" width="10.75" style="326" bestFit="1" customWidth="1"/>
    <col min="2365" max="2365" width="12.375" style="326" customWidth="1"/>
    <col min="2366" max="2368" width="9" style="326"/>
    <col min="2369" max="2369" width="15.75" style="326" customWidth="1"/>
    <col min="2370" max="2370" width="9" style="326"/>
    <col min="2371" max="2371" width="10.75" style="326" bestFit="1" customWidth="1"/>
    <col min="2372" max="2372" width="12.625" style="326" customWidth="1"/>
    <col min="2373" max="2375" width="9" style="326"/>
    <col min="2376" max="2376" width="13.625" style="326" customWidth="1"/>
    <col min="2377" max="2377" width="9" style="326"/>
    <col min="2378" max="2378" width="10.75" style="326" bestFit="1" customWidth="1"/>
    <col min="2379" max="2379" width="12.5" style="326" customWidth="1"/>
    <col min="2380" max="2382" width="9" style="326"/>
    <col min="2383" max="2383" width="12.875" style="326" customWidth="1"/>
    <col min="2384" max="2384" width="9" style="326"/>
    <col min="2385" max="2385" width="10.75" style="326" bestFit="1" customWidth="1"/>
    <col min="2386" max="2386" width="13.875" style="326" customWidth="1"/>
    <col min="2387" max="2389" width="9" style="326"/>
    <col min="2390" max="2390" width="14.125" style="326" customWidth="1"/>
    <col min="2391" max="2391" width="9" style="326"/>
    <col min="2392" max="2392" width="10.75" style="326" bestFit="1" customWidth="1"/>
    <col min="2393" max="2393" width="13.25" style="326" customWidth="1"/>
    <col min="2394" max="2396" width="9" style="326"/>
    <col min="2397" max="2397" width="13.25" style="326" customWidth="1"/>
    <col min="2398" max="2398" width="9" style="326"/>
    <col min="2399" max="2399" width="10.75" style="326" bestFit="1" customWidth="1"/>
    <col min="2400" max="2400" width="13.875" style="326" customWidth="1"/>
    <col min="2401" max="2403" width="9" style="326"/>
    <col min="2404" max="2404" width="13.625" style="326" customWidth="1"/>
    <col min="2405" max="2405" width="9" style="326"/>
    <col min="2406" max="2406" width="10.75" style="326" bestFit="1" customWidth="1"/>
    <col min="2407" max="2407" width="13" style="326" customWidth="1"/>
    <col min="2408" max="2554" width="9" style="326"/>
    <col min="2555" max="2556" width="12.125" style="326" customWidth="1"/>
    <col min="2557" max="2559" width="13" style="326" customWidth="1"/>
    <col min="2560" max="2560" width="12.875" style="326" customWidth="1"/>
    <col min="2561" max="2561" width="13" style="326" customWidth="1"/>
    <col min="2562" max="2562" width="13.125" style="326" customWidth="1"/>
    <col min="2563" max="2564" width="12.125" style="326" customWidth="1"/>
    <col min="2565" max="2565" width="14.375" style="326" bestFit="1" customWidth="1"/>
    <col min="2566" max="2566" width="11" style="326" customWidth="1"/>
    <col min="2567" max="2567" width="10" style="326" customWidth="1"/>
    <col min="2568" max="2568" width="10.875" style="326" customWidth="1"/>
    <col min="2569" max="2569" width="13.75" style="326" customWidth="1"/>
    <col min="2570" max="2570" width="10" style="326" customWidth="1"/>
    <col min="2571" max="2571" width="13.25" style="326" customWidth="1"/>
    <col min="2572" max="2572" width="14.375" style="326" customWidth="1"/>
    <col min="2573" max="2573" width="10" style="326" customWidth="1"/>
    <col min="2574" max="2574" width="10.875" style="326" customWidth="1"/>
    <col min="2575" max="2575" width="11.375" style="326" customWidth="1"/>
    <col min="2576" max="2576" width="15.375" style="326" customWidth="1"/>
    <col min="2577" max="2578" width="10.75" style="326" customWidth="1"/>
    <col min="2579" max="2579" width="14.375" style="326" customWidth="1"/>
    <col min="2580" max="2580" width="10.75" style="326" customWidth="1"/>
    <col min="2581" max="2581" width="11.75" style="326" customWidth="1"/>
    <col min="2582" max="2582" width="10" style="326" customWidth="1"/>
    <col min="2583" max="2583" width="15.375" style="326" customWidth="1"/>
    <col min="2584" max="2584" width="10" style="326" customWidth="1"/>
    <col min="2585" max="2585" width="10.75" style="326" customWidth="1"/>
    <col min="2586" max="2586" width="14.875" style="326" customWidth="1"/>
    <col min="2587" max="2587" width="11.5" style="326" customWidth="1"/>
    <col min="2588" max="2588" width="10" style="326" customWidth="1"/>
    <col min="2589" max="2589" width="10.75" style="326" customWidth="1"/>
    <col min="2590" max="2590" width="13.5" style="326" customWidth="1"/>
    <col min="2591" max="2591" width="9" style="326"/>
    <col min="2592" max="2592" width="10.75" style="326" bestFit="1" customWidth="1"/>
    <col min="2593" max="2593" width="13.75" style="326" customWidth="1"/>
    <col min="2594" max="2594" width="9" style="326"/>
    <col min="2595" max="2595" width="10.625" style="326" customWidth="1"/>
    <col min="2596" max="2596" width="9" style="326"/>
    <col min="2597" max="2597" width="14.25" style="326" customWidth="1"/>
    <col min="2598" max="2598" width="10.75" style="326" bestFit="1" customWidth="1"/>
    <col min="2599" max="2599" width="11.625" style="326" customWidth="1"/>
    <col min="2600" max="2600" width="13.75" style="326" customWidth="1"/>
    <col min="2601" max="2601" width="10.625" style="326" customWidth="1"/>
    <col min="2602" max="2603" width="9" style="326"/>
    <col min="2604" max="2604" width="14.125" style="326" customWidth="1"/>
    <col min="2605" max="2605" width="11" style="326" customWidth="1"/>
    <col min="2606" max="2606" width="10.75" style="326" bestFit="1" customWidth="1"/>
    <col min="2607" max="2607" width="13.5" style="326" customWidth="1"/>
    <col min="2608" max="2609" width="9" style="326"/>
    <col min="2610" max="2610" width="10.75" style="326" bestFit="1" customWidth="1"/>
    <col min="2611" max="2611" width="14" style="326" customWidth="1"/>
    <col min="2612" max="2612" width="9" style="326"/>
    <col min="2613" max="2613" width="10.75" style="326" customWidth="1"/>
    <col min="2614" max="2614" width="12.75" style="326" customWidth="1"/>
    <col min="2615" max="2615" width="9" style="326"/>
    <col min="2616" max="2616" width="10.75" style="326" bestFit="1" customWidth="1"/>
    <col min="2617" max="2617" width="11.5" style="326" customWidth="1"/>
    <col min="2618" max="2618" width="13.625" style="326" customWidth="1"/>
    <col min="2619" max="2619" width="10.625" style="326" customWidth="1"/>
    <col min="2620" max="2620" width="10.75" style="326" bestFit="1" customWidth="1"/>
    <col min="2621" max="2621" width="12.375" style="326" customWidth="1"/>
    <col min="2622" max="2624" width="9" style="326"/>
    <col min="2625" max="2625" width="15.75" style="326" customWidth="1"/>
    <col min="2626" max="2626" width="9" style="326"/>
    <col min="2627" max="2627" width="10.75" style="326" bestFit="1" customWidth="1"/>
    <col min="2628" max="2628" width="12.625" style="326" customWidth="1"/>
    <col min="2629" max="2631" width="9" style="326"/>
    <col min="2632" max="2632" width="13.625" style="326" customWidth="1"/>
    <col min="2633" max="2633" width="9" style="326"/>
    <col min="2634" max="2634" width="10.75" style="326" bestFit="1" customWidth="1"/>
    <col min="2635" max="2635" width="12.5" style="326" customWidth="1"/>
    <col min="2636" max="2638" width="9" style="326"/>
    <col min="2639" max="2639" width="12.875" style="326" customWidth="1"/>
    <col min="2640" max="2640" width="9" style="326"/>
    <col min="2641" max="2641" width="10.75" style="326" bestFit="1" customWidth="1"/>
    <col min="2642" max="2642" width="13.875" style="326" customWidth="1"/>
    <col min="2643" max="2645" width="9" style="326"/>
    <col min="2646" max="2646" width="14.125" style="326" customWidth="1"/>
    <col min="2647" max="2647" width="9" style="326"/>
    <col min="2648" max="2648" width="10.75" style="326" bestFit="1" customWidth="1"/>
    <col min="2649" max="2649" width="13.25" style="326" customWidth="1"/>
    <col min="2650" max="2652" width="9" style="326"/>
    <col min="2653" max="2653" width="13.25" style="326" customWidth="1"/>
    <col min="2654" max="2654" width="9" style="326"/>
    <col min="2655" max="2655" width="10.75" style="326" bestFit="1" customWidth="1"/>
    <col min="2656" max="2656" width="13.875" style="326" customWidth="1"/>
    <col min="2657" max="2659" width="9" style="326"/>
    <col min="2660" max="2660" width="13.625" style="326" customWidth="1"/>
    <col min="2661" max="2661" width="9" style="326"/>
    <col min="2662" max="2662" width="10.75" style="326" bestFit="1" customWidth="1"/>
    <col min="2663" max="2663" width="13" style="326" customWidth="1"/>
    <col min="2664" max="2810" width="9" style="326"/>
    <col min="2811" max="2812" width="12.125" style="326" customWidth="1"/>
    <col min="2813" max="2815" width="13" style="326" customWidth="1"/>
    <col min="2816" max="2816" width="12.875" style="326" customWidth="1"/>
    <col min="2817" max="2817" width="13" style="326" customWidth="1"/>
    <col min="2818" max="2818" width="13.125" style="326" customWidth="1"/>
    <col min="2819" max="2820" width="12.125" style="326" customWidth="1"/>
    <col min="2821" max="2821" width="14.375" style="326" bestFit="1" customWidth="1"/>
    <col min="2822" max="2822" width="11" style="326" customWidth="1"/>
    <col min="2823" max="2823" width="10" style="326" customWidth="1"/>
    <col min="2824" max="2824" width="10.875" style="326" customWidth="1"/>
    <col min="2825" max="2825" width="13.75" style="326" customWidth="1"/>
    <col min="2826" max="2826" width="10" style="326" customWidth="1"/>
    <col min="2827" max="2827" width="13.25" style="326" customWidth="1"/>
    <col min="2828" max="2828" width="14.375" style="326" customWidth="1"/>
    <col min="2829" max="2829" width="10" style="326" customWidth="1"/>
    <col min="2830" max="2830" width="10.875" style="326" customWidth="1"/>
    <col min="2831" max="2831" width="11.375" style="326" customWidth="1"/>
    <col min="2832" max="2832" width="15.375" style="326" customWidth="1"/>
    <col min="2833" max="2834" width="10.75" style="326" customWidth="1"/>
    <col min="2835" max="2835" width="14.375" style="326" customWidth="1"/>
    <col min="2836" max="2836" width="10.75" style="326" customWidth="1"/>
    <col min="2837" max="2837" width="11.75" style="326" customWidth="1"/>
    <col min="2838" max="2838" width="10" style="326" customWidth="1"/>
    <col min="2839" max="2839" width="15.375" style="326" customWidth="1"/>
    <col min="2840" max="2840" width="10" style="326" customWidth="1"/>
    <col min="2841" max="2841" width="10.75" style="326" customWidth="1"/>
    <col min="2842" max="2842" width="14.875" style="326" customWidth="1"/>
    <col min="2843" max="2843" width="11.5" style="326" customWidth="1"/>
    <col min="2844" max="2844" width="10" style="326" customWidth="1"/>
    <col min="2845" max="2845" width="10.75" style="326" customWidth="1"/>
    <col min="2846" max="2846" width="13.5" style="326" customWidth="1"/>
    <col min="2847" max="2847" width="9" style="326"/>
    <col min="2848" max="2848" width="10.75" style="326" bestFit="1" customWidth="1"/>
    <col min="2849" max="2849" width="13.75" style="326" customWidth="1"/>
    <col min="2850" max="2850" width="9" style="326"/>
    <col min="2851" max="2851" width="10.625" style="326" customWidth="1"/>
    <col min="2852" max="2852" width="9" style="326"/>
    <col min="2853" max="2853" width="14.25" style="326" customWidth="1"/>
    <col min="2854" max="2854" width="10.75" style="326" bestFit="1" customWidth="1"/>
    <col min="2855" max="2855" width="11.625" style="326" customWidth="1"/>
    <col min="2856" max="2856" width="13.75" style="326" customWidth="1"/>
    <col min="2857" max="2857" width="10.625" style="326" customWidth="1"/>
    <col min="2858" max="2859" width="9" style="326"/>
    <col min="2860" max="2860" width="14.125" style="326" customWidth="1"/>
    <col min="2861" max="2861" width="11" style="326" customWidth="1"/>
    <col min="2862" max="2862" width="10.75" style="326" bestFit="1" customWidth="1"/>
    <col min="2863" max="2863" width="13.5" style="326" customWidth="1"/>
    <col min="2864" max="2865" width="9" style="326"/>
    <col min="2866" max="2866" width="10.75" style="326" bestFit="1" customWidth="1"/>
    <col min="2867" max="2867" width="14" style="326" customWidth="1"/>
    <col min="2868" max="2868" width="9" style="326"/>
    <col min="2869" max="2869" width="10.75" style="326" customWidth="1"/>
    <col min="2870" max="2870" width="12.75" style="326" customWidth="1"/>
    <col min="2871" max="2871" width="9" style="326"/>
    <col min="2872" max="2872" width="10.75" style="326" bestFit="1" customWidth="1"/>
    <col min="2873" max="2873" width="11.5" style="326" customWidth="1"/>
    <col min="2874" max="2874" width="13.625" style="326" customWidth="1"/>
    <col min="2875" max="2875" width="10.625" style="326" customWidth="1"/>
    <col min="2876" max="2876" width="10.75" style="326" bestFit="1" customWidth="1"/>
    <col min="2877" max="2877" width="12.375" style="326" customWidth="1"/>
    <col min="2878" max="2880" width="9" style="326"/>
    <col min="2881" max="2881" width="15.75" style="326" customWidth="1"/>
    <col min="2882" max="2882" width="9" style="326"/>
    <col min="2883" max="2883" width="10.75" style="326" bestFit="1" customWidth="1"/>
    <col min="2884" max="2884" width="12.625" style="326" customWidth="1"/>
    <col min="2885" max="2887" width="9" style="326"/>
    <col min="2888" max="2888" width="13.625" style="326" customWidth="1"/>
    <col min="2889" max="2889" width="9" style="326"/>
    <col min="2890" max="2890" width="10.75" style="326" bestFit="1" customWidth="1"/>
    <col min="2891" max="2891" width="12.5" style="326" customWidth="1"/>
    <col min="2892" max="2894" width="9" style="326"/>
    <col min="2895" max="2895" width="12.875" style="326" customWidth="1"/>
    <col min="2896" max="2896" width="9" style="326"/>
    <col min="2897" max="2897" width="10.75" style="326" bestFit="1" customWidth="1"/>
    <col min="2898" max="2898" width="13.875" style="326" customWidth="1"/>
    <col min="2899" max="2901" width="9" style="326"/>
    <col min="2902" max="2902" width="14.125" style="326" customWidth="1"/>
    <col min="2903" max="2903" width="9" style="326"/>
    <col min="2904" max="2904" width="10.75" style="326" bestFit="1" customWidth="1"/>
    <col min="2905" max="2905" width="13.25" style="326" customWidth="1"/>
    <col min="2906" max="2908" width="9" style="326"/>
    <col min="2909" max="2909" width="13.25" style="326" customWidth="1"/>
    <col min="2910" max="2910" width="9" style="326"/>
    <col min="2911" max="2911" width="10.75" style="326" bestFit="1" customWidth="1"/>
    <col min="2912" max="2912" width="13.875" style="326" customWidth="1"/>
    <col min="2913" max="2915" width="9" style="326"/>
    <col min="2916" max="2916" width="13.625" style="326" customWidth="1"/>
    <col min="2917" max="2917" width="9" style="326"/>
    <col min="2918" max="2918" width="10.75" style="326" bestFit="1" customWidth="1"/>
    <col min="2919" max="2919" width="13" style="326" customWidth="1"/>
    <col min="2920" max="3066" width="9" style="326"/>
    <col min="3067" max="3068" width="12.125" style="326" customWidth="1"/>
    <col min="3069" max="3071" width="13" style="326" customWidth="1"/>
    <col min="3072" max="3072" width="12.875" style="326" customWidth="1"/>
    <col min="3073" max="3073" width="13" style="326" customWidth="1"/>
    <col min="3074" max="3074" width="13.125" style="326" customWidth="1"/>
    <col min="3075" max="3076" width="12.125" style="326" customWidth="1"/>
    <col min="3077" max="3077" width="14.375" style="326" bestFit="1" customWidth="1"/>
    <col min="3078" max="3078" width="11" style="326" customWidth="1"/>
    <col min="3079" max="3079" width="10" style="326" customWidth="1"/>
    <col min="3080" max="3080" width="10.875" style="326" customWidth="1"/>
    <col min="3081" max="3081" width="13.75" style="326" customWidth="1"/>
    <col min="3082" max="3082" width="10" style="326" customWidth="1"/>
    <col min="3083" max="3083" width="13.25" style="326" customWidth="1"/>
    <col min="3084" max="3084" width="14.375" style="326" customWidth="1"/>
    <col min="3085" max="3085" width="10" style="326" customWidth="1"/>
    <col min="3086" max="3086" width="10.875" style="326" customWidth="1"/>
    <col min="3087" max="3087" width="11.375" style="326" customWidth="1"/>
    <col min="3088" max="3088" width="15.375" style="326" customWidth="1"/>
    <col min="3089" max="3090" width="10.75" style="326" customWidth="1"/>
    <col min="3091" max="3091" width="14.375" style="326" customWidth="1"/>
    <col min="3092" max="3092" width="10.75" style="326" customWidth="1"/>
    <col min="3093" max="3093" width="11.75" style="326" customWidth="1"/>
    <col min="3094" max="3094" width="10" style="326" customWidth="1"/>
    <col min="3095" max="3095" width="15.375" style="326" customWidth="1"/>
    <col min="3096" max="3096" width="10" style="326" customWidth="1"/>
    <col min="3097" max="3097" width="10.75" style="326" customWidth="1"/>
    <col min="3098" max="3098" width="14.875" style="326" customWidth="1"/>
    <col min="3099" max="3099" width="11.5" style="326" customWidth="1"/>
    <col min="3100" max="3100" width="10" style="326" customWidth="1"/>
    <col min="3101" max="3101" width="10.75" style="326" customWidth="1"/>
    <col min="3102" max="3102" width="13.5" style="326" customWidth="1"/>
    <col min="3103" max="3103" width="9" style="326"/>
    <col min="3104" max="3104" width="10.75" style="326" bestFit="1" customWidth="1"/>
    <col min="3105" max="3105" width="13.75" style="326" customWidth="1"/>
    <col min="3106" max="3106" width="9" style="326"/>
    <col min="3107" max="3107" width="10.625" style="326" customWidth="1"/>
    <col min="3108" max="3108" width="9" style="326"/>
    <col min="3109" max="3109" width="14.25" style="326" customWidth="1"/>
    <col min="3110" max="3110" width="10.75" style="326" bestFit="1" customWidth="1"/>
    <col min="3111" max="3111" width="11.625" style="326" customWidth="1"/>
    <col min="3112" max="3112" width="13.75" style="326" customWidth="1"/>
    <col min="3113" max="3113" width="10.625" style="326" customWidth="1"/>
    <col min="3114" max="3115" width="9" style="326"/>
    <col min="3116" max="3116" width="14.125" style="326" customWidth="1"/>
    <col min="3117" max="3117" width="11" style="326" customWidth="1"/>
    <col min="3118" max="3118" width="10.75" style="326" bestFit="1" customWidth="1"/>
    <col min="3119" max="3119" width="13.5" style="326" customWidth="1"/>
    <col min="3120" max="3121" width="9" style="326"/>
    <col min="3122" max="3122" width="10.75" style="326" bestFit="1" customWidth="1"/>
    <col min="3123" max="3123" width="14" style="326" customWidth="1"/>
    <col min="3124" max="3124" width="9" style="326"/>
    <col min="3125" max="3125" width="10.75" style="326" customWidth="1"/>
    <col min="3126" max="3126" width="12.75" style="326" customWidth="1"/>
    <col min="3127" max="3127" width="9" style="326"/>
    <col min="3128" max="3128" width="10.75" style="326" bestFit="1" customWidth="1"/>
    <col min="3129" max="3129" width="11.5" style="326" customWidth="1"/>
    <col min="3130" max="3130" width="13.625" style="326" customWidth="1"/>
    <col min="3131" max="3131" width="10.625" style="326" customWidth="1"/>
    <col min="3132" max="3132" width="10.75" style="326" bestFit="1" customWidth="1"/>
    <col min="3133" max="3133" width="12.375" style="326" customWidth="1"/>
    <col min="3134" max="3136" width="9" style="326"/>
    <col min="3137" max="3137" width="15.75" style="326" customWidth="1"/>
    <col min="3138" max="3138" width="9" style="326"/>
    <col min="3139" max="3139" width="10.75" style="326" bestFit="1" customWidth="1"/>
    <col min="3140" max="3140" width="12.625" style="326" customWidth="1"/>
    <col min="3141" max="3143" width="9" style="326"/>
    <col min="3144" max="3144" width="13.625" style="326" customWidth="1"/>
    <col min="3145" max="3145" width="9" style="326"/>
    <col min="3146" max="3146" width="10.75" style="326" bestFit="1" customWidth="1"/>
    <col min="3147" max="3147" width="12.5" style="326" customWidth="1"/>
    <col min="3148" max="3150" width="9" style="326"/>
    <col min="3151" max="3151" width="12.875" style="326" customWidth="1"/>
    <col min="3152" max="3152" width="9" style="326"/>
    <col min="3153" max="3153" width="10.75" style="326" bestFit="1" customWidth="1"/>
    <col min="3154" max="3154" width="13.875" style="326" customWidth="1"/>
    <col min="3155" max="3157" width="9" style="326"/>
    <col min="3158" max="3158" width="14.125" style="326" customWidth="1"/>
    <col min="3159" max="3159" width="9" style="326"/>
    <col min="3160" max="3160" width="10.75" style="326" bestFit="1" customWidth="1"/>
    <col min="3161" max="3161" width="13.25" style="326" customWidth="1"/>
    <col min="3162" max="3164" width="9" style="326"/>
    <col min="3165" max="3165" width="13.25" style="326" customWidth="1"/>
    <col min="3166" max="3166" width="9" style="326"/>
    <col min="3167" max="3167" width="10.75" style="326" bestFit="1" customWidth="1"/>
    <col min="3168" max="3168" width="13.875" style="326" customWidth="1"/>
    <col min="3169" max="3171" width="9" style="326"/>
    <col min="3172" max="3172" width="13.625" style="326" customWidth="1"/>
    <col min="3173" max="3173" width="9" style="326"/>
    <col min="3174" max="3174" width="10.75" style="326" bestFit="1" customWidth="1"/>
    <col min="3175" max="3175" width="13" style="326" customWidth="1"/>
    <col min="3176" max="3322" width="9" style="326"/>
    <col min="3323" max="3324" width="12.125" style="326" customWidth="1"/>
    <col min="3325" max="3327" width="13" style="326" customWidth="1"/>
    <col min="3328" max="3328" width="12.875" style="326" customWidth="1"/>
    <col min="3329" max="3329" width="13" style="326" customWidth="1"/>
    <col min="3330" max="3330" width="13.125" style="326" customWidth="1"/>
    <col min="3331" max="3332" width="12.125" style="326" customWidth="1"/>
    <col min="3333" max="3333" width="14.375" style="326" bestFit="1" customWidth="1"/>
    <col min="3334" max="3334" width="11" style="326" customWidth="1"/>
    <col min="3335" max="3335" width="10" style="326" customWidth="1"/>
    <col min="3336" max="3336" width="10.875" style="326" customWidth="1"/>
    <col min="3337" max="3337" width="13.75" style="326" customWidth="1"/>
    <col min="3338" max="3338" width="10" style="326" customWidth="1"/>
    <col min="3339" max="3339" width="13.25" style="326" customWidth="1"/>
    <col min="3340" max="3340" width="14.375" style="326" customWidth="1"/>
    <col min="3341" max="3341" width="10" style="326" customWidth="1"/>
    <col min="3342" max="3342" width="10.875" style="326" customWidth="1"/>
    <col min="3343" max="3343" width="11.375" style="326" customWidth="1"/>
    <col min="3344" max="3344" width="15.375" style="326" customWidth="1"/>
    <col min="3345" max="3346" width="10.75" style="326" customWidth="1"/>
    <col min="3347" max="3347" width="14.375" style="326" customWidth="1"/>
    <col min="3348" max="3348" width="10.75" style="326" customWidth="1"/>
    <col min="3349" max="3349" width="11.75" style="326" customWidth="1"/>
    <col min="3350" max="3350" width="10" style="326" customWidth="1"/>
    <col min="3351" max="3351" width="15.375" style="326" customWidth="1"/>
    <col min="3352" max="3352" width="10" style="326" customWidth="1"/>
    <col min="3353" max="3353" width="10.75" style="326" customWidth="1"/>
    <col min="3354" max="3354" width="14.875" style="326" customWidth="1"/>
    <col min="3355" max="3355" width="11.5" style="326" customWidth="1"/>
    <col min="3356" max="3356" width="10" style="326" customWidth="1"/>
    <col min="3357" max="3357" width="10.75" style="326" customWidth="1"/>
    <col min="3358" max="3358" width="13.5" style="326" customWidth="1"/>
    <col min="3359" max="3359" width="9" style="326"/>
    <col min="3360" max="3360" width="10.75" style="326" bestFit="1" customWidth="1"/>
    <col min="3361" max="3361" width="13.75" style="326" customWidth="1"/>
    <col min="3362" max="3362" width="9" style="326"/>
    <col min="3363" max="3363" width="10.625" style="326" customWidth="1"/>
    <col min="3364" max="3364" width="9" style="326"/>
    <col min="3365" max="3365" width="14.25" style="326" customWidth="1"/>
    <col min="3366" max="3366" width="10.75" style="326" bestFit="1" customWidth="1"/>
    <col min="3367" max="3367" width="11.625" style="326" customWidth="1"/>
    <col min="3368" max="3368" width="13.75" style="326" customWidth="1"/>
    <col min="3369" max="3369" width="10.625" style="326" customWidth="1"/>
    <col min="3370" max="3371" width="9" style="326"/>
    <col min="3372" max="3372" width="14.125" style="326" customWidth="1"/>
    <col min="3373" max="3373" width="11" style="326" customWidth="1"/>
    <col min="3374" max="3374" width="10.75" style="326" bestFit="1" customWidth="1"/>
    <col min="3375" max="3375" width="13.5" style="326" customWidth="1"/>
    <col min="3376" max="3377" width="9" style="326"/>
    <col min="3378" max="3378" width="10.75" style="326" bestFit="1" customWidth="1"/>
    <col min="3379" max="3379" width="14" style="326" customWidth="1"/>
    <col min="3380" max="3380" width="9" style="326"/>
    <col min="3381" max="3381" width="10.75" style="326" customWidth="1"/>
    <col min="3382" max="3382" width="12.75" style="326" customWidth="1"/>
    <col min="3383" max="3383" width="9" style="326"/>
    <col min="3384" max="3384" width="10.75" style="326" bestFit="1" customWidth="1"/>
    <col min="3385" max="3385" width="11.5" style="326" customWidth="1"/>
    <col min="3386" max="3386" width="13.625" style="326" customWidth="1"/>
    <col min="3387" max="3387" width="10.625" style="326" customWidth="1"/>
    <col min="3388" max="3388" width="10.75" style="326" bestFit="1" customWidth="1"/>
    <col min="3389" max="3389" width="12.375" style="326" customWidth="1"/>
    <col min="3390" max="3392" width="9" style="326"/>
    <col min="3393" max="3393" width="15.75" style="326" customWidth="1"/>
    <col min="3394" max="3394" width="9" style="326"/>
    <col min="3395" max="3395" width="10.75" style="326" bestFit="1" customWidth="1"/>
    <col min="3396" max="3396" width="12.625" style="326" customWidth="1"/>
    <col min="3397" max="3399" width="9" style="326"/>
    <col min="3400" max="3400" width="13.625" style="326" customWidth="1"/>
    <col min="3401" max="3401" width="9" style="326"/>
    <col min="3402" max="3402" width="10.75" style="326" bestFit="1" customWidth="1"/>
    <col min="3403" max="3403" width="12.5" style="326" customWidth="1"/>
    <col min="3404" max="3406" width="9" style="326"/>
    <col min="3407" max="3407" width="12.875" style="326" customWidth="1"/>
    <col min="3408" max="3408" width="9" style="326"/>
    <col min="3409" max="3409" width="10.75" style="326" bestFit="1" customWidth="1"/>
    <col min="3410" max="3410" width="13.875" style="326" customWidth="1"/>
    <col min="3411" max="3413" width="9" style="326"/>
    <col min="3414" max="3414" width="14.125" style="326" customWidth="1"/>
    <col min="3415" max="3415" width="9" style="326"/>
    <col min="3416" max="3416" width="10.75" style="326" bestFit="1" customWidth="1"/>
    <col min="3417" max="3417" width="13.25" style="326" customWidth="1"/>
    <col min="3418" max="3420" width="9" style="326"/>
    <col min="3421" max="3421" width="13.25" style="326" customWidth="1"/>
    <col min="3422" max="3422" width="9" style="326"/>
    <col min="3423" max="3423" width="10.75" style="326" bestFit="1" customWidth="1"/>
    <col min="3424" max="3424" width="13.875" style="326" customWidth="1"/>
    <col min="3425" max="3427" width="9" style="326"/>
    <col min="3428" max="3428" width="13.625" style="326" customWidth="1"/>
    <col min="3429" max="3429" width="9" style="326"/>
    <col min="3430" max="3430" width="10.75" style="326" bestFit="1" customWidth="1"/>
    <col min="3431" max="3431" width="13" style="326" customWidth="1"/>
    <col min="3432" max="3578" width="9" style="326"/>
    <col min="3579" max="3580" width="12.125" style="326" customWidth="1"/>
    <col min="3581" max="3583" width="13" style="326" customWidth="1"/>
    <col min="3584" max="3584" width="12.875" style="326" customWidth="1"/>
    <col min="3585" max="3585" width="13" style="326" customWidth="1"/>
    <col min="3586" max="3586" width="13.125" style="326" customWidth="1"/>
    <col min="3587" max="3588" width="12.125" style="326" customWidth="1"/>
    <col min="3589" max="3589" width="14.375" style="326" bestFit="1" customWidth="1"/>
    <col min="3590" max="3590" width="11" style="326" customWidth="1"/>
    <col min="3591" max="3591" width="10" style="326" customWidth="1"/>
    <col min="3592" max="3592" width="10.875" style="326" customWidth="1"/>
    <col min="3593" max="3593" width="13.75" style="326" customWidth="1"/>
    <col min="3594" max="3594" width="10" style="326" customWidth="1"/>
    <col min="3595" max="3595" width="13.25" style="326" customWidth="1"/>
    <col min="3596" max="3596" width="14.375" style="326" customWidth="1"/>
    <col min="3597" max="3597" width="10" style="326" customWidth="1"/>
    <col min="3598" max="3598" width="10.875" style="326" customWidth="1"/>
    <col min="3599" max="3599" width="11.375" style="326" customWidth="1"/>
    <col min="3600" max="3600" width="15.375" style="326" customWidth="1"/>
    <col min="3601" max="3602" width="10.75" style="326" customWidth="1"/>
    <col min="3603" max="3603" width="14.375" style="326" customWidth="1"/>
    <col min="3604" max="3604" width="10.75" style="326" customWidth="1"/>
    <col min="3605" max="3605" width="11.75" style="326" customWidth="1"/>
    <col min="3606" max="3606" width="10" style="326" customWidth="1"/>
    <col min="3607" max="3607" width="15.375" style="326" customWidth="1"/>
    <col min="3608" max="3608" width="10" style="326" customWidth="1"/>
    <col min="3609" max="3609" width="10.75" style="326" customWidth="1"/>
    <col min="3610" max="3610" width="14.875" style="326" customWidth="1"/>
    <col min="3611" max="3611" width="11.5" style="326" customWidth="1"/>
    <col min="3612" max="3612" width="10" style="326" customWidth="1"/>
    <col min="3613" max="3613" width="10.75" style="326" customWidth="1"/>
    <col min="3614" max="3614" width="13.5" style="326" customWidth="1"/>
    <col min="3615" max="3615" width="9" style="326"/>
    <col min="3616" max="3616" width="10.75" style="326" bestFit="1" customWidth="1"/>
    <col min="3617" max="3617" width="13.75" style="326" customWidth="1"/>
    <col min="3618" max="3618" width="9" style="326"/>
    <col min="3619" max="3619" width="10.625" style="326" customWidth="1"/>
    <col min="3620" max="3620" width="9" style="326"/>
    <col min="3621" max="3621" width="14.25" style="326" customWidth="1"/>
    <col min="3622" max="3622" width="10.75" style="326" bestFit="1" customWidth="1"/>
    <col min="3623" max="3623" width="11.625" style="326" customWidth="1"/>
    <col min="3624" max="3624" width="13.75" style="326" customWidth="1"/>
    <col min="3625" max="3625" width="10.625" style="326" customWidth="1"/>
    <col min="3626" max="3627" width="9" style="326"/>
    <col min="3628" max="3628" width="14.125" style="326" customWidth="1"/>
    <col min="3629" max="3629" width="11" style="326" customWidth="1"/>
    <col min="3630" max="3630" width="10.75" style="326" bestFit="1" customWidth="1"/>
    <col min="3631" max="3631" width="13.5" style="326" customWidth="1"/>
    <col min="3632" max="3633" width="9" style="326"/>
    <col min="3634" max="3634" width="10.75" style="326" bestFit="1" customWidth="1"/>
    <col min="3635" max="3635" width="14" style="326" customWidth="1"/>
    <col min="3636" max="3636" width="9" style="326"/>
    <col min="3637" max="3637" width="10.75" style="326" customWidth="1"/>
    <col min="3638" max="3638" width="12.75" style="326" customWidth="1"/>
    <col min="3639" max="3639" width="9" style="326"/>
    <col min="3640" max="3640" width="10.75" style="326" bestFit="1" customWidth="1"/>
    <col min="3641" max="3641" width="11.5" style="326" customWidth="1"/>
    <col min="3642" max="3642" width="13.625" style="326" customWidth="1"/>
    <col min="3643" max="3643" width="10.625" style="326" customWidth="1"/>
    <col min="3644" max="3644" width="10.75" style="326" bestFit="1" customWidth="1"/>
    <col min="3645" max="3645" width="12.375" style="326" customWidth="1"/>
    <col min="3646" max="3648" width="9" style="326"/>
    <col min="3649" max="3649" width="15.75" style="326" customWidth="1"/>
    <col min="3650" max="3650" width="9" style="326"/>
    <col min="3651" max="3651" width="10.75" style="326" bestFit="1" customWidth="1"/>
    <col min="3652" max="3652" width="12.625" style="326" customWidth="1"/>
    <col min="3653" max="3655" width="9" style="326"/>
    <col min="3656" max="3656" width="13.625" style="326" customWidth="1"/>
    <col min="3657" max="3657" width="9" style="326"/>
    <col min="3658" max="3658" width="10.75" style="326" bestFit="1" customWidth="1"/>
    <col min="3659" max="3659" width="12.5" style="326" customWidth="1"/>
    <col min="3660" max="3662" width="9" style="326"/>
    <col min="3663" max="3663" width="12.875" style="326" customWidth="1"/>
    <col min="3664" max="3664" width="9" style="326"/>
    <col min="3665" max="3665" width="10.75" style="326" bestFit="1" customWidth="1"/>
    <col min="3666" max="3666" width="13.875" style="326" customWidth="1"/>
    <col min="3667" max="3669" width="9" style="326"/>
    <col min="3670" max="3670" width="14.125" style="326" customWidth="1"/>
    <col min="3671" max="3671" width="9" style="326"/>
    <col min="3672" max="3672" width="10.75" style="326" bestFit="1" customWidth="1"/>
    <col min="3673" max="3673" width="13.25" style="326" customWidth="1"/>
    <col min="3674" max="3676" width="9" style="326"/>
    <col min="3677" max="3677" width="13.25" style="326" customWidth="1"/>
    <col min="3678" max="3678" width="9" style="326"/>
    <col min="3679" max="3679" width="10.75" style="326" bestFit="1" customWidth="1"/>
    <col min="3680" max="3680" width="13.875" style="326" customWidth="1"/>
    <col min="3681" max="3683" width="9" style="326"/>
    <col min="3684" max="3684" width="13.625" style="326" customWidth="1"/>
    <col min="3685" max="3685" width="9" style="326"/>
    <col min="3686" max="3686" width="10.75" style="326" bestFit="1" customWidth="1"/>
    <col min="3687" max="3687" width="13" style="326" customWidth="1"/>
    <col min="3688" max="3834" width="9" style="326"/>
    <col min="3835" max="3836" width="12.125" style="326" customWidth="1"/>
    <col min="3837" max="3839" width="13" style="326" customWidth="1"/>
    <col min="3840" max="3840" width="12.875" style="326" customWidth="1"/>
    <col min="3841" max="3841" width="13" style="326" customWidth="1"/>
    <col min="3842" max="3842" width="13.125" style="326" customWidth="1"/>
    <col min="3843" max="3844" width="12.125" style="326" customWidth="1"/>
    <col min="3845" max="3845" width="14.375" style="326" bestFit="1" customWidth="1"/>
    <col min="3846" max="3846" width="11" style="326" customWidth="1"/>
    <col min="3847" max="3847" width="10" style="326" customWidth="1"/>
    <col min="3848" max="3848" width="10.875" style="326" customWidth="1"/>
    <col min="3849" max="3849" width="13.75" style="326" customWidth="1"/>
    <col min="3850" max="3850" width="10" style="326" customWidth="1"/>
    <col min="3851" max="3851" width="13.25" style="326" customWidth="1"/>
    <col min="3852" max="3852" width="14.375" style="326" customWidth="1"/>
    <col min="3853" max="3853" width="10" style="326" customWidth="1"/>
    <col min="3854" max="3854" width="10.875" style="326" customWidth="1"/>
    <col min="3855" max="3855" width="11.375" style="326" customWidth="1"/>
    <col min="3856" max="3856" width="15.375" style="326" customWidth="1"/>
    <col min="3857" max="3858" width="10.75" style="326" customWidth="1"/>
    <col min="3859" max="3859" width="14.375" style="326" customWidth="1"/>
    <col min="3860" max="3860" width="10.75" style="326" customWidth="1"/>
    <col min="3861" max="3861" width="11.75" style="326" customWidth="1"/>
    <col min="3862" max="3862" width="10" style="326" customWidth="1"/>
    <col min="3863" max="3863" width="15.375" style="326" customWidth="1"/>
    <col min="3864" max="3864" width="10" style="326" customWidth="1"/>
    <col min="3865" max="3865" width="10.75" style="326" customWidth="1"/>
    <col min="3866" max="3866" width="14.875" style="326" customWidth="1"/>
    <col min="3867" max="3867" width="11.5" style="326" customWidth="1"/>
    <col min="3868" max="3868" width="10" style="326" customWidth="1"/>
    <col min="3869" max="3869" width="10.75" style="326" customWidth="1"/>
    <col min="3870" max="3870" width="13.5" style="326" customWidth="1"/>
    <col min="3871" max="3871" width="9" style="326"/>
    <col min="3872" max="3872" width="10.75" style="326" bestFit="1" customWidth="1"/>
    <col min="3873" max="3873" width="13.75" style="326" customWidth="1"/>
    <col min="3874" max="3874" width="9" style="326"/>
    <col min="3875" max="3875" width="10.625" style="326" customWidth="1"/>
    <col min="3876" max="3876" width="9" style="326"/>
    <col min="3877" max="3877" width="14.25" style="326" customWidth="1"/>
    <col min="3878" max="3878" width="10.75" style="326" bestFit="1" customWidth="1"/>
    <col min="3879" max="3879" width="11.625" style="326" customWidth="1"/>
    <col min="3880" max="3880" width="13.75" style="326" customWidth="1"/>
    <col min="3881" max="3881" width="10.625" style="326" customWidth="1"/>
    <col min="3882" max="3883" width="9" style="326"/>
    <col min="3884" max="3884" width="14.125" style="326" customWidth="1"/>
    <col min="3885" max="3885" width="11" style="326" customWidth="1"/>
    <col min="3886" max="3886" width="10.75" style="326" bestFit="1" customWidth="1"/>
    <col min="3887" max="3887" width="13.5" style="326" customWidth="1"/>
    <col min="3888" max="3889" width="9" style="326"/>
    <col min="3890" max="3890" width="10.75" style="326" bestFit="1" customWidth="1"/>
    <col min="3891" max="3891" width="14" style="326" customWidth="1"/>
    <col min="3892" max="3892" width="9" style="326"/>
    <col min="3893" max="3893" width="10.75" style="326" customWidth="1"/>
    <col min="3894" max="3894" width="12.75" style="326" customWidth="1"/>
    <col min="3895" max="3895" width="9" style="326"/>
    <col min="3896" max="3896" width="10.75" style="326" bestFit="1" customWidth="1"/>
    <col min="3897" max="3897" width="11.5" style="326" customWidth="1"/>
    <col min="3898" max="3898" width="13.625" style="326" customWidth="1"/>
    <col min="3899" max="3899" width="10.625" style="326" customWidth="1"/>
    <col min="3900" max="3900" width="10.75" style="326" bestFit="1" customWidth="1"/>
    <col min="3901" max="3901" width="12.375" style="326" customWidth="1"/>
    <col min="3902" max="3904" width="9" style="326"/>
    <col min="3905" max="3905" width="15.75" style="326" customWidth="1"/>
    <col min="3906" max="3906" width="9" style="326"/>
    <col min="3907" max="3907" width="10.75" style="326" bestFit="1" customWidth="1"/>
    <col min="3908" max="3908" width="12.625" style="326" customWidth="1"/>
    <col min="3909" max="3911" width="9" style="326"/>
    <col min="3912" max="3912" width="13.625" style="326" customWidth="1"/>
    <col min="3913" max="3913" width="9" style="326"/>
    <col min="3914" max="3914" width="10.75" style="326" bestFit="1" customWidth="1"/>
    <col min="3915" max="3915" width="12.5" style="326" customWidth="1"/>
    <col min="3916" max="3918" width="9" style="326"/>
    <col min="3919" max="3919" width="12.875" style="326" customWidth="1"/>
    <col min="3920" max="3920" width="9" style="326"/>
    <col min="3921" max="3921" width="10.75" style="326" bestFit="1" customWidth="1"/>
    <col min="3922" max="3922" width="13.875" style="326" customWidth="1"/>
    <col min="3923" max="3925" width="9" style="326"/>
    <col min="3926" max="3926" width="14.125" style="326" customWidth="1"/>
    <col min="3927" max="3927" width="9" style="326"/>
    <col min="3928" max="3928" width="10.75" style="326" bestFit="1" customWidth="1"/>
    <col min="3929" max="3929" width="13.25" style="326" customWidth="1"/>
    <col min="3930" max="3932" width="9" style="326"/>
    <col min="3933" max="3933" width="13.25" style="326" customWidth="1"/>
    <col min="3934" max="3934" width="9" style="326"/>
    <col min="3935" max="3935" width="10.75" style="326" bestFit="1" customWidth="1"/>
    <col min="3936" max="3936" width="13.875" style="326" customWidth="1"/>
    <col min="3937" max="3939" width="9" style="326"/>
    <col min="3940" max="3940" width="13.625" style="326" customWidth="1"/>
    <col min="3941" max="3941" width="9" style="326"/>
    <col min="3942" max="3942" width="10.75" style="326" bestFit="1" customWidth="1"/>
    <col min="3943" max="3943" width="13" style="326" customWidth="1"/>
    <col min="3944" max="4090" width="9" style="326"/>
    <col min="4091" max="4092" width="12.125" style="326" customWidth="1"/>
    <col min="4093" max="4095" width="13" style="326" customWidth="1"/>
    <col min="4096" max="4096" width="12.875" style="326" customWidth="1"/>
    <col min="4097" max="4097" width="13" style="326" customWidth="1"/>
    <col min="4098" max="4098" width="13.125" style="326" customWidth="1"/>
    <col min="4099" max="4100" width="12.125" style="326" customWidth="1"/>
    <col min="4101" max="4101" width="14.375" style="326" bestFit="1" customWidth="1"/>
    <col min="4102" max="4102" width="11" style="326" customWidth="1"/>
    <col min="4103" max="4103" width="10" style="326" customWidth="1"/>
    <col min="4104" max="4104" width="10.875" style="326" customWidth="1"/>
    <col min="4105" max="4105" width="13.75" style="326" customWidth="1"/>
    <col min="4106" max="4106" width="10" style="326" customWidth="1"/>
    <col min="4107" max="4107" width="13.25" style="326" customWidth="1"/>
    <col min="4108" max="4108" width="14.375" style="326" customWidth="1"/>
    <col min="4109" max="4109" width="10" style="326" customWidth="1"/>
    <col min="4110" max="4110" width="10.875" style="326" customWidth="1"/>
    <col min="4111" max="4111" width="11.375" style="326" customWidth="1"/>
    <col min="4112" max="4112" width="15.375" style="326" customWidth="1"/>
    <col min="4113" max="4114" width="10.75" style="326" customWidth="1"/>
    <col min="4115" max="4115" width="14.375" style="326" customWidth="1"/>
    <col min="4116" max="4116" width="10.75" style="326" customWidth="1"/>
    <col min="4117" max="4117" width="11.75" style="326" customWidth="1"/>
    <col min="4118" max="4118" width="10" style="326" customWidth="1"/>
    <col min="4119" max="4119" width="15.375" style="326" customWidth="1"/>
    <col min="4120" max="4120" width="10" style="326" customWidth="1"/>
    <col min="4121" max="4121" width="10.75" style="326" customWidth="1"/>
    <col min="4122" max="4122" width="14.875" style="326" customWidth="1"/>
    <col min="4123" max="4123" width="11.5" style="326" customWidth="1"/>
    <col min="4124" max="4124" width="10" style="326" customWidth="1"/>
    <col min="4125" max="4125" width="10.75" style="326" customWidth="1"/>
    <col min="4126" max="4126" width="13.5" style="326" customWidth="1"/>
    <col min="4127" max="4127" width="9" style="326"/>
    <col min="4128" max="4128" width="10.75" style="326" bestFit="1" customWidth="1"/>
    <col min="4129" max="4129" width="13.75" style="326" customWidth="1"/>
    <col min="4130" max="4130" width="9" style="326"/>
    <col min="4131" max="4131" width="10.625" style="326" customWidth="1"/>
    <col min="4132" max="4132" width="9" style="326"/>
    <col min="4133" max="4133" width="14.25" style="326" customWidth="1"/>
    <col min="4134" max="4134" width="10.75" style="326" bestFit="1" customWidth="1"/>
    <col min="4135" max="4135" width="11.625" style="326" customWidth="1"/>
    <col min="4136" max="4136" width="13.75" style="326" customWidth="1"/>
    <col min="4137" max="4137" width="10.625" style="326" customWidth="1"/>
    <col min="4138" max="4139" width="9" style="326"/>
    <col min="4140" max="4140" width="14.125" style="326" customWidth="1"/>
    <col min="4141" max="4141" width="11" style="326" customWidth="1"/>
    <col min="4142" max="4142" width="10.75" style="326" bestFit="1" customWidth="1"/>
    <col min="4143" max="4143" width="13.5" style="326" customWidth="1"/>
    <col min="4144" max="4145" width="9" style="326"/>
    <col min="4146" max="4146" width="10.75" style="326" bestFit="1" customWidth="1"/>
    <col min="4147" max="4147" width="14" style="326" customWidth="1"/>
    <col min="4148" max="4148" width="9" style="326"/>
    <col min="4149" max="4149" width="10.75" style="326" customWidth="1"/>
    <col min="4150" max="4150" width="12.75" style="326" customWidth="1"/>
    <col min="4151" max="4151" width="9" style="326"/>
    <col min="4152" max="4152" width="10.75" style="326" bestFit="1" customWidth="1"/>
    <col min="4153" max="4153" width="11.5" style="326" customWidth="1"/>
    <col min="4154" max="4154" width="13.625" style="326" customWidth="1"/>
    <col min="4155" max="4155" width="10.625" style="326" customWidth="1"/>
    <col min="4156" max="4156" width="10.75" style="326" bestFit="1" customWidth="1"/>
    <col min="4157" max="4157" width="12.375" style="326" customWidth="1"/>
    <col min="4158" max="4160" width="9" style="326"/>
    <col min="4161" max="4161" width="15.75" style="326" customWidth="1"/>
    <col min="4162" max="4162" width="9" style="326"/>
    <col min="4163" max="4163" width="10.75" style="326" bestFit="1" customWidth="1"/>
    <col min="4164" max="4164" width="12.625" style="326" customWidth="1"/>
    <col min="4165" max="4167" width="9" style="326"/>
    <col min="4168" max="4168" width="13.625" style="326" customWidth="1"/>
    <col min="4169" max="4169" width="9" style="326"/>
    <col min="4170" max="4170" width="10.75" style="326" bestFit="1" customWidth="1"/>
    <col min="4171" max="4171" width="12.5" style="326" customWidth="1"/>
    <col min="4172" max="4174" width="9" style="326"/>
    <col min="4175" max="4175" width="12.875" style="326" customWidth="1"/>
    <col min="4176" max="4176" width="9" style="326"/>
    <col min="4177" max="4177" width="10.75" style="326" bestFit="1" customWidth="1"/>
    <col min="4178" max="4178" width="13.875" style="326" customWidth="1"/>
    <col min="4179" max="4181" width="9" style="326"/>
    <col min="4182" max="4182" width="14.125" style="326" customWidth="1"/>
    <col min="4183" max="4183" width="9" style="326"/>
    <col min="4184" max="4184" width="10.75" style="326" bestFit="1" customWidth="1"/>
    <col min="4185" max="4185" width="13.25" style="326" customWidth="1"/>
    <col min="4186" max="4188" width="9" style="326"/>
    <col min="4189" max="4189" width="13.25" style="326" customWidth="1"/>
    <col min="4190" max="4190" width="9" style="326"/>
    <col min="4191" max="4191" width="10.75" style="326" bestFit="1" customWidth="1"/>
    <col min="4192" max="4192" width="13.875" style="326" customWidth="1"/>
    <col min="4193" max="4195" width="9" style="326"/>
    <col min="4196" max="4196" width="13.625" style="326" customWidth="1"/>
    <col min="4197" max="4197" width="9" style="326"/>
    <col min="4198" max="4198" width="10.75" style="326" bestFit="1" customWidth="1"/>
    <col min="4199" max="4199" width="13" style="326" customWidth="1"/>
    <col min="4200" max="4346" width="9" style="326"/>
    <col min="4347" max="4348" width="12.125" style="326" customWidth="1"/>
    <col min="4349" max="4351" width="13" style="326" customWidth="1"/>
    <col min="4352" max="4352" width="12.875" style="326" customWidth="1"/>
    <col min="4353" max="4353" width="13" style="326" customWidth="1"/>
    <col min="4354" max="4354" width="13.125" style="326" customWidth="1"/>
    <col min="4355" max="4356" width="12.125" style="326" customWidth="1"/>
    <col min="4357" max="4357" width="14.375" style="326" bestFit="1" customWidth="1"/>
    <col min="4358" max="4358" width="11" style="326" customWidth="1"/>
    <col min="4359" max="4359" width="10" style="326" customWidth="1"/>
    <col min="4360" max="4360" width="10.875" style="326" customWidth="1"/>
    <col min="4361" max="4361" width="13.75" style="326" customWidth="1"/>
    <col min="4362" max="4362" width="10" style="326" customWidth="1"/>
    <col min="4363" max="4363" width="13.25" style="326" customWidth="1"/>
    <col min="4364" max="4364" width="14.375" style="326" customWidth="1"/>
    <col min="4365" max="4365" width="10" style="326" customWidth="1"/>
    <col min="4366" max="4366" width="10.875" style="326" customWidth="1"/>
    <col min="4367" max="4367" width="11.375" style="326" customWidth="1"/>
    <col min="4368" max="4368" width="15.375" style="326" customWidth="1"/>
    <col min="4369" max="4370" width="10.75" style="326" customWidth="1"/>
    <col min="4371" max="4371" width="14.375" style="326" customWidth="1"/>
    <col min="4372" max="4372" width="10.75" style="326" customWidth="1"/>
    <col min="4373" max="4373" width="11.75" style="326" customWidth="1"/>
    <col min="4374" max="4374" width="10" style="326" customWidth="1"/>
    <col min="4375" max="4375" width="15.375" style="326" customWidth="1"/>
    <col min="4376" max="4376" width="10" style="326" customWidth="1"/>
    <col min="4377" max="4377" width="10.75" style="326" customWidth="1"/>
    <col min="4378" max="4378" width="14.875" style="326" customWidth="1"/>
    <col min="4379" max="4379" width="11.5" style="326" customWidth="1"/>
    <col min="4380" max="4380" width="10" style="326" customWidth="1"/>
    <col min="4381" max="4381" width="10.75" style="326" customWidth="1"/>
    <col min="4382" max="4382" width="13.5" style="326" customWidth="1"/>
    <col min="4383" max="4383" width="9" style="326"/>
    <col min="4384" max="4384" width="10.75" style="326" bestFit="1" customWidth="1"/>
    <col min="4385" max="4385" width="13.75" style="326" customWidth="1"/>
    <col min="4386" max="4386" width="9" style="326"/>
    <col min="4387" max="4387" width="10.625" style="326" customWidth="1"/>
    <col min="4388" max="4388" width="9" style="326"/>
    <col min="4389" max="4389" width="14.25" style="326" customWidth="1"/>
    <col min="4390" max="4390" width="10.75" style="326" bestFit="1" customWidth="1"/>
    <col min="4391" max="4391" width="11.625" style="326" customWidth="1"/>
    <col min="4392" max="4392" width="13.75" style="326" customWidth="1"/>
    <col min="4393" max="4393" width="10.625" style="326" customWidth="1"/>
    <col min="4394" max="4395" width="9" style="326"/>
    <col min="4396" max="4396" width="14.125" style="326" customWidth="1"/>
    <col min="4397" max="4397" width="11" style="326" customWidth="1"/>
    <col min="4398" max="4398" width="10.75" style="326" bestFit="1" customWidth="1"/>
    <col min="4399" max="4399" width="13.5" style="326" customWidth="1"/>
    <col min="4400" max="4401" width="9" style="326"/>
    <col min="4402" max="4402" width="10.75" style="326" bestFit="1" customWidth="1"/>
    <col min="4403" max="4403" width="14" style="326" customWidth="1"/>
    <col min="4404" max="4404" width="9" style="326"/>
    <col min="4405" max="4405" width="10.75" style="326" customWidth="1"/>
    <col min="4406" max="4406" width="12.75" style="326" customWidth="1"/>
    <col min="4407" max="4407" width="9" style="326"/>
    <col min="4408" max="4408" width="10.75" style="326" bestFit="1" customWidth="1"/>
    <col min="4409" max="4409" width="11.5" style="326" customWidth="1"/>
    <col min="4410" max="4410" width="13.625" style="326" customWidth="1"/>
    <col min="4411" max="4411" width="10.625" style="326" customWidth="1"/>
    <col min="4412" max="4412" width="10.75" style="326" bestFit="1" customWidth="1"/>
    <col min="4413" max="4413" width="12.375" style="326" customWidth="1"/>
    <col min="4414" max="4416" width="9" style="326"/>
    <col min="4417" max="4417" width="15.75" style="326" customWidth="1"/>
    <col min="4418" max="4418" width="9" style="326"/>
    <col min="4419" max="4419" width="10.75" style="326" bestFit="1" customWidth="1"/>
    <col min="4420" max="4420" width="12.625" style="326" customWidth="1"/>
    <col min="4421" max="4423" width="9" style="326"/>
    <col min="4424" max="4424" width="13.625" style="326" customWidth="1"/>
    <col min="4425" max="4425" width="9" style="326"/>
    <col min="4426" max="4426" width="10.75" style="326" bestFit="1" customWidth="1"/>
    <col min="4427" max="4427" width="12.5" style="326" customWidth="1"/>
    <col min="4428" max="4430" width="9" style="326"/>
    <col min="4431" max="4431" width="12.875" style="326" customWidth="1"/>
    <col min="4432" max="4432" width="9" style="326"/>
    <col min="4433" max="4433" width="10.75" style="326" bestFit="1" customWidth="1"/>
    <col min="4434" max="4434" width="13.875" style="326" customWidth="1"/>
    <col min="4435" max="4437" width="9" style="326"/>
    <col min="4438" max="4438" width="14.125" style="326" customWidth="1"/>
    <col min="4439" max="4439" width="9" style="326"/>
    <col min="4440" max="4440" width="10.75" style="326" bestFit="1" customWidth="1"/>
    <col min="4441" max="4441" width="13.25" style="326" customWidth="1"/>
    <col min="4442" max="4444" width="9" style="326"/>
    <col min="4445" max="4445" width="13.25" style="326" customWidth="1"/>
    <col min="4446" max="4446" width="9" style="326"/>
    <col min="4447" max="4447" width="10.75" style="326" bestFit="1" customWidth="1"/>
    <col min="4448" max="4448" width="13.875" style="326" customWidth="1"/>
    <col min="4449" max="4451" width="9" style="326"/>
    <col min="4452" max="4452" width="13.625" style="326" customWidth="1"/>
    <col min="4453" max="4453" width="9" style="326"/>
    <col min="4454" max="4454" width="10.75" style="326" bestFit="1" customWidth="1"/>
    <col min="4455" max="4455" width="13" style="326" customWidth="1"/>
    <col min="4456" max="4602" width="9" style="326"/>
    <col min="4603" max="4604" width="12.125" style="326" customWidth="1"/>
    <col min="4605" max="4607" width="13" style="326" customWidth="1"/>
    <col min="4608" max="4608" width="12.875" style="326" customWidth="1"/>
    <col min="4609" max="4609" width="13" style="326" customWidth="1"/>
    <col min="4610" max="4610" width="13.125" style="326" customWidth="1"/>
    <col min="4611" max="4612" width="12.125" style="326" customWidth="1"/>
    <col min="4613" max="4613" width="14.375" style="326" bestFit="1" customWidth="1"/>
    <col min="4614" max="4614" width="11" style="326" customWidth="1"/>
    <col min="4615" max="4615" width="10" style="326" customWidth="1"/>
    <col min="4616" max="4616" width="10.875" style="326" customWidth="1"/>
    <col min="4617" max="4617" width="13.75" style="326" customWidth="1"/>
    <col min="4618" max="4618" width="10" style="326" customWidth="1"/>
    <col min="4619" max="4619" width="13.25" style="326" customWidth="1"/>
    <col min="4620" max="4620" width="14.375" style="326" customWidth="1"/>
    <col min="4621" max="4621" width="10" style="326" customWidth="1"/>
    <col min="4622" max="4622" width="10.875" style="326" customWidth="1"/>
    <col min="4623" max="4623" width="11.375" style="326" customWidth="1"/>
    <col min="4624" max="4624" width="15.375" style="326" customWidth="1"/>
    <col min="4625" max="4626" width="10.75" style="326" customWidth="1"/>
    <col min="4627" max="4627" width="14.375" style="326" customWidth="1"/>
    <col min="4628" max="4628" width="10.75" style="326" customWidth="1"/>
    <col min="4629" max="4629" width="11.75" style="326" customWidth="1"/>
    <col min="4630" max="4630" width="10" style="326" customWidth="1"/>
    <col min="4631" max="4631" width="15.375" style="326" customWidth="1"/>
    <col min="4632" max="4632" width="10" style="326" customWidth="1"/>
    <col min="4633" max="4633" width="10.75" style="326" customWidth="1"/>
    <col min="4634" max="4634" width="14.875" style="326" customWidth="1"/>
    <col min="4635" max="4635" width="11.5" style="326" customWidth="1"/>
    <col min="4636" max="4636" width="10" style="326" customWidth="1"/>
    <col min="4637" max="4637" width="10.75" style="326" customWidth="1"/>
    <col min="4638" max="4638" width="13.5" style="326" customWidth="1"/>
    <col min="4639" max="4639" width="9" style="326"/>
    <col min="4640" max="4640" width="10.75" style="326" bestFit="1" customWidth="1"/>
    <col min="4641" max="4641" width="13.75" style="326" customWidth="1"/>
    <col min="4642" max="4642" width="9" style="326"/>
    <col min="4643" max="4643" width="10.625" style="326" customWidth="1"/>
    <col min="4644" max="4644" width="9" style="326"/>
    <col min="4645" max="4645" width="14.25" style="326" customWidth="1"/>
    <col min="4646" max="4646" width="10.75" style="326" bestFit="1" customWidth="1"/>
    <col min="4647" max="4647" width="11.625" style="326" customWidth="1"/>
    <col min="4648" max="4648" width="13.75" style="326" customWidth="1"/>
    <col min="4649" max="4649" width="10.625" style="326" customWidth="1"/>
    <col min="4650" max="4651" width="9" style="326"/>
    <col min="4652" max="4652" width="14.125" style="326" customWidth="1"/>
    <col min="4653" max="4653" width="11" style="326" customWidth="1"/>
    <col min="4654" max="4654" width="10.75" style="326" bestFit="1" customWidth="1"/>
    <col min="4655" max="4655" width="13.5" style="326" customWidth="1"/>
    <col min="4656" max="4657" width="9" style="326"/>
    <col min="4658" max="4658" width="10.75" style="326" bestFit="1" customWidth="1"/>
    <col min="4659" max="4659" width="14" style="326" customWidth="1"/>
    <col min="4660" max="4660" width="9" style="326"/>
    <col min="4661" max="4661" width="10.75" style="326" customWidth="1"/>
    <col min="4662" max="4662" width="12.75" style="326" customWidth="1"/>
    <col min="4663" max="4663" width="9" style="326"/>
    <col min="4664" max="4664" width="10.75" style="326" bestFit="1" customWidth="1"/>
    <col min="4665" max="4665" width="11.5" style="326" customWidth="1"/>
    <col min="4666" max="4666" width="13.625" style="326" customWidth="1"/>
    <col min="4667" max="4667" width="10.625" style="326" customWidth="1"/>
    <col min="4668" max="4668" width="10.75" style="326" bestFit="1" customWidth="1"/>
    <col min="4669" max="4669" width="12.375" style="326" customWidth="1"/>
    <col min="4670" max="4672" width="9" style="326"/>
    <col min="4673" max="4673" width="15.75" style="326" customWidth="1"/>
    <col min="4674" max="4674" width="9" style="326"/>
    <col min="4675" max="4675" width="10.75" style="326" bestFit="1" customWidth="1"/>
    <col min="4676" max="4676" width="12.625" style="326" customWidth="1"/>
    <col min="4677" max="4679" width="9" style="326"/>
    <col min="4680" max="4680" width="13.625" style="326" customWidth="1"/>
    <col min="4681" max="4681" width="9" style="326"/>
    <col min="4682" max="4682" width="10.75" style="326" bestFit="1" customWidth="1"/>
    <col min="4683" max="4683" width="12.5" style="326" customWidth="1"/>
    <col min="4684" max="4686" width="9" style="326"/>
    <col min="4687" max="4687" width="12.875" style="326" customWidth="1"/>
    <col min="4688" max="4688" width="9" style="326"/>
    <col min="4689" max="4689" width="10.75" style="326" bestFit="1" customWidth="1"/>
    <col min="4690" max="4690" width="13.875" style="326" customWidth="1"/>
    <col min="4691" max="4693" width="9" style="326"/>
    <col min="4694" max="4694" width="14.125" style="326" customWidth="1"/>
    <col min="4695" max="4695" width="9" style="326"/>
    <col min="4696" max="4696" width="10.75" style="326" bestFit="1" customWidth="1"/>
    <col min="4697" max="4697" width="13.25" style="326" customWidth="1"/>
    <col min="4698" max="4700" width="9" style="326"/>
    <col min="4701" max="4701" width="13.25" style="326" customWidth="1"/>
    <col min="4702" max="4702" width="9" style="326"/>
    <col min="4703" max="4703" width="10.75" style="326" bestFit="1" customWidth="1"/>
    <col min="4704" max="4704" width="13.875" style="326" customWidth="1"/>
    <col min="4705" max="4707" width="9" style="326"/>
    <col min="4708" max="4708" width="13.625" style="326" customWidth="1"/>
    <col min="4709" max="4709" width="9" style="326"/>
    <col min="4710" max="4710" width="10.75" style="326" bestFit="1" customWidth="1"/>
    <col min="4711" max="4711" width="13" style="326" customWidth="1"/>
    <col min="4712" max="4858" width="9" style="326"/>
    <col min="4859" max="4860" width="12.125" style="326" customWidth="1"/>
    <col min="4861" max="4863" width="13" style="326" customWidth="1"/>
    <col min="4864" max="4864" width="12.875" style="326" customWidth="1"/>
    <col min="4865" max="4865" width="13" style="326" customWidth="1"/>
    <col min="4866" max="4866" width="13.125" style="326" customWidth="1"/>
    <col min="4867" max="4868" width="12.125" style="326" customWidth="1"/>
    <col min="4869" max="4869" width="14.375" style="326" bestFit="1" customWidth="1"/>
    <col min="4870" max="4870" width="11" style="326" customWidth="1"/>
    <col min="4871" max="4871" width="10" style="326" customWidth="1"/>
    <col min="4872" max="4872" width="10.875" style="326" customWidth="1"/>
    <col min="4873" max="4873" width="13.75" style="326" customWidth="1"/>
    <col min="4874" max="4874" width="10" style="326" customWidth="1"/>
    <col min="4875" max="4875" width="13.25" style="326" customWidth="1"/>
    <col min="4876" max="4876" width="14.375" style="326" customWidth="1"/>
    <col min="4877" max="4877" width="10" style="326" customWidth="1"/>
    <col min="4878" max="4878" width="10.875" style="326" customWidth="1"/>
    <col min="4879" max="4879" width="11.375" style="326" customWidth="1"/>
    <col min="4880" max="4880" width="15.375" style="326" customWidth="1"/>
    <col min="4881" max="4882" width="10.75" style="326" customWidth="1"/>
    <col min="4883" max="4883" width="14.375" style="326" customWidth="1"/>
    <col min="4884" max="4884" width="10.75" style="326" customWidth="1"/>
    <col min="4885" max="4885" width="11.75" style="326" customWidth="1"/>
    <col min="4886" max="4886" width="10" style="326" customWidth="1"/>
    <col min="4887" max="4887" width="15.375" style="326" customWidth="1"/>
    <col min="4888" max="4888" width="10" style="326" customWidth="1"/>
    <col min="4889" max="4889" width="10.75" style="326" customWidth="1"/>
    <col min="4890" max="4890" width="14.875" style="326" customWidth="1"/>
    <col min="4891" max="4891" width="11.5" style="326" customWidth="1"/>
    <col min="4892" max="4892" width="10" style="326" customWidth="1"/>
    <col min="4893" max="4893" width="10.75" style="326" customWidth="1"/>
    <col min="4894" max="4894" width="13.5" style="326" customWidth="1"/>
    <col min="4895" max="4895" width="9" style="326"/>
    <col min="4896" max="4896" width="10.75" style="326" bestFit="1" customWidth="1"/>
    <col min="4897" max="4897" width="13.75" style="326" customWidth="1"/>
    <col min="4898" max="4898" width="9" style="326"/>
    <col min="4899" max="4899" width="10.625" style="326" customWidth="1"/>
    <col min="4900" max="4900" width="9" style="326"/>
    <col min="4901" max="4901" width="14.25" style="326" customWidth="1"/>
    <col min="4902" max="4902" width="10.75" style="326" bestFit="1" customWidth="1"/>
    <col min="4903" max="4903" width="11.625" style="326" customWidth="1"/>
    <col min="4904" max="4904" width="13.75" style="326" customWidth="1"/>
    <col min="4905" max="4905" width="10.625" style="326" customWidth="1"/>
    <col min="4906" max="4907" width="9" style="326"/>
    <col min="4908" max="4908" width="14.125" style="326" customWidth="1"/>
    <col min="4909" max="4909" width="11" style="326" customWidth="1"/>
    <col min="4910" max="4910" width="10.75" style="326" bestFit="1" customWidth="1"/>
    <col min="4911" max="4911" width="13.5" style="326" customWidth="1"/>
    <col min="4912" max="4913" width="9" style="326"/>
    <col min="4914" max="4914" width="10.75" style="326" bestFit="1" customWidth="1"/>
    <col min="4915" max="4915" width="14" style="326" customWidth="1"/>
    <col min="4916" max="4916" width="9" style="326"/>
    <col min="4917" max="4917" width="10.75" style="326" customWidth="1"/>
    <col min="4918" max="4918" width="12.75" style="326" customWidth="1"/>
    <col min="4919" max="4919" width="9" style="326"/>
    <col min="4920" max="4920" width="10.75" style="326" bestFit="1" customWidth="1"/>
    <col min="4921" max="4921" width="11.5" style="326" customWidth="1"/>
    <col min="4922" max="4922" width="13.625" style="326" customWidth="1"/>
    <col min="4923" max="4923" width="10.625" style="326" customWidth="1"/>
    <col min="4924" max="4924" width="10.75" style="326" bestFit="1" customWidth="1"/>
    <col min="4925" max="4925" width="12.375" style="326" customWidth="1"/>
    <col min="4926" max="4928" width="9" style="326"/>
    <col min="4929" max="4929" width="15.75" style="326" customWidth="1"/>
    <col min="4930" max="4930" width="9" style="326"/>
    <col min="4931" max="4931" width="10.75" style="326" bestFit="1" customWidth="1"/>
    <col min="4932" max="4932" width="12.625" style="326" customWidth="1"/>
    <col min="4933" max="4935" width="9" style="326"/>
    <col min="4936" max="4936" width="13.625" style="326" customWidth="1"/>
    <col min="4937" max="4937" width="9" style="326"/>
    <col min="4938" max="4938" width="10.75" style="326" bestFit="1" customWidth="1"/>
    <col min="4939" max="4939" width="12.5" style="326" customWidth="1"/>
    <col min="4940" max="4942" width="9" style="326"/>
    <col min="4943" max="4943" width="12.875" style="326" customWidth="1"/>
    <col min="4944" max="4944" width="9" style="326"/>
    <col min="4945" max="4945" width="10.75" style="326" bestFit="1" customWidth="1"/>
    <col min="4946" max="4946" width="13.875" style="326" customWidth="1"/>
    <col min="4947" max="4949" width="9" style="326"/>
    <col min="4950" max="4950" width="14.125" style="326" customWidth="1"/>
    <col min="4951" max="4951" width="9" style="326"/>
    <col min="4952" max="4952" width="10.75" style="326" bestFit="1" customWidth="1"/>
    <col min="4953" max="4953" width="13.25" style="326" customWidth="1"/>
    <col min="4954" max="4956" width="9" style="326"/>
    <col min="4957" max="4957" width="13.25" style="326" customWidth="1"/>
    <col min="4958" max="4958" width="9" style="326"/>
    <col min="4959" max="4959" width="10.75" style="326" bestFit="1" customWidth="1"/>
    <col min="4960" max="4960" width="13.875" style="326" customWidth="1"/>
    <col min="4961" max="4963" width="9" style="326"/>
    <col min="4964" max="4964" width="13.625" style="326" customWidth="1"/>
    <col min="4965" max="4965" width="9" style="326"/>
    <col min="4966" max="4966" width="10.75" style="326" bestFit="1" customWidth="1"/>
    <col min="4967" max="4967" width="13" style="326" customWidth="1"/>
    <col min="4968" max="5114" width="9" style="326"/>
    <col min="5115" max="5116" width="12.125" style="326" customWidth="1"/>
    <col min="5117" max="5119" width="13" style="326" customWidth="1"/>
    <col min="5120" max="5120" width="12.875" style="326" customWidth="1"/>
    <col min="5121" max="5121" width="13" style="326" customWidth="1"/>
    <col min="5122" max="5122" width="13.125" style="326" customWidth="1"/>
    <col min="5123" max="5124" width="12.125" style="326" customWidth="1"/>
    <col min="5125" max="5125" width="14.375" style="326" bestFit="1" customWidth="1"/>
    <col min="5126" max="5126" width="11" style="326" customWidth="1"/>
    <col min="5127" max="5127" width="10" style="326" customWidth="1"/>
    <col min="5128" max="5128" width="10.875" style="326" customWidth="1"/>
    <col min="5129" max="5129" width="13.75" style="326" customWidth="1"/>
    <col min="5130" max="5130" width="10" style="326" customWidth="1"/>
    <col min="5131" max="5131" width="13.25" style="326" customWidth="1"/>
    <col min="5132" max="5132" width="14.375" style="326" customWidth="1"/>
    <col min="5133" max="5133" width="10" style="326" customWidth="1"/>
    <col min="5134" max="5134" width="10.875" style="326" customWidth="1"/>
    <col min="5135" max="5135" width="11.375" style="326" customWidth="1"/>
    <col min="5136" max="5136" width="15.375" style="326" customWidth="1"/>
    <col min="5137" max="5138" width="10.75" style="326" customWidth="1"/>
    <col min="5139" max="5139" width="14.375" style="326" customWidth="1"/>
    <col min="5140" max="5140" width="10.75" style="326" customWidth="1"/>
    <col min="5141" max="5141" width="11.75" style="326" customWidth="1"/>
    <col min="5142" max="5142" width="10" style="326" customWidth="1"/>
    <col min="5143" max="5143" width="15.375" style="326" customWidth="1"/>
    <col min="5144" max="5144" width="10" style="326" customWidth="1"/>
    <col min="5145" max="5145" width="10.75" style="326" customWidth="1"/>
    <col min="5146" max="5146" width="14.875" style="326" customWidth="1"/>
    <col min="5147" max="5147" width="11.5" style="326" customWidth="1"/>
    <col min="5148" max="5148" width="10" style="326" customWidth="1"/>
    <col min="5149" max="5149" width="10.75" style="326" customWidth="1"/>
    <col min="5150" max="5150" width="13.5" style="326" customWidth="1"/>
    <col min="5151" max="5151" width="9" style="326"/>
    <col min="5152" max="5152" width="10.75" style="326" bestFit="1" customWidth="1"/>
    <col min="5153" max="5153" width="13.75" style="326" customWidth="1"/>
    <col min="5154" max="5154" width="9" style="326"/>
    <col min="5155" max="5155" width="10.625" style="326" customWidth="1"/>
    <col min="5156" max="5156" width="9" style="326"/>
    <col min="5157" max="5157" width="14.25" style="326" customWidth="1"/>
    <col min="5158" max="5158" width="10.75" style="326" bestFit="1" customWidth="1"/>
    <col min="5159" max="5159" width="11.625" style="326" customWidth="1"/>
    <col min="5160" max="5160" width="13.75" style="326" customWidth="1"/>
    <col min="5161" max="5161" width="10.625" style="326" customWidth="1"/>
    <col min="5162" max="5163" width="9" style="326"/>
    <col min="5164" max="5164" width="14.125" style="326" customWidth="1"/>
    <col min="5165" max="5165" width="11" style="326" customWidth="1"/>
    <col min="5166" max="5166" width="10.75" style="326" bestFit="1" customWidth="1"/>
    <col min="5167" max="5167" width="13.5" style="326" customWidth="1"/>
    <col min="5168" max="5169" width="9" style="326"/>
    <col min="5170" max="5170" width="10.75" style="326" bestFit="1" customWidth="1"/>
    <col min="5171" max="5171" width="14" style="326" customWidth="1"/>
    <col min="5172" max="5172" width="9" style="326"/>
    <col min="5173" max="5173" width="10.75" style="326" customWidth="1"/>
    <col min="5174" max="5174" width="12.75" style="326" customWidth="1"/>
    <col min="5175" max="5175" width="9" style="326"/>
    <col min="5176" max="5176" width="10.75" style="326" bestFit="1" customWidth="1"/>
    <col min="5177" max="5177" width="11.5" style="326" customWidth="1"/>
    <col min="5178" max="5178" width="13.625" style="326" customWidth="1"/>
    <col min="5179" max="5179" width="10.625" style="326" customWidth="1"/>
    <col min="5180" max="5180" width="10.75" style="326" bestFit="1" customWidth="1"/>
    <col min="5181" max="5181" width="12.375" style="326" customWidth="1"/>
    <col min="5182" max="5184" width="9" style="326"/>
    <col min="5185" max="5185" width="15.75" style="326" customWidth="1"/>
    <col min="5186" max="5186" width="9" style="326"/>
    <col min="5187" max="5187" width="10.75" style="326" bestFit="1" customWidth="1"/>
    <col min="5188" max="5188" width="12.625" style="326" customWidth="1"/>
    <col min="5189" max="5191" width="9" style="326"/>
    <col min="5192" max="5192" width="13.625" style="326" customWidth="1"/>
    <col min="5193" max="5193" width="9" style="326"/>
    <col min="5194" max="5194" width="10.75" style="326" bestFit="1" customWidth="1"/>
    <col min="5195" max="5195" width="12.5" style="326" customWidth="1"/>
    <col min="5196" max="5198" width="9" style="326"/>
    <col min="5199" max="5199" width="12.875" style="326" customWidth="1"/>
    <col min="5200" max="5200" width="9" style="326"/>
    <col min="5201" max="5201" width="10.75" style="326" bestFit="1" customWidth="1"/>
    <col min="5202" max="5202" width="13.875" style="326" customWidth="1"/>
    <col min="5203" max="5205" width="9" style="326"/>
    <col min="5206" max="5206" width="14.125" style="326" customWidth="1"/>
    <col min="5207" max="5207" width="9" style="326"/>
    <col min="5208" max="5208" width="10.75" style="326" bestFit="1" customWidth="1"/>
    <col min="5209" max="5209" width="13.25" style="326" customWidth="1"/>
    <col min="5210" max="5212" width="9" style="326"/>
    <col min="5213" max="5213" width="13.25" style="326" customWidth="1"/>
    <col min="5214" max="5214" width="9" style="326"/>
    <col min="5215" max="5215" width="10.75" style="326" bestFit="1" customWidth="1"/>
    <col min="5216" max="5216" width="13.875" style="326" customWidth="1"/>
    <col min="5217" max="5219" width="9" style="326"/>
    <col min="5220" max="5220" width="13.625" style="326" customWidth="1"/>
    <col min="5221" max="5221" width="9" style="326"/>
    <col min="5222" max="5222" width="10.75" style="326" bestFit="1" customWidth="1"/>
    <col min="5223" max="5223" width="13" style="326" customWidth="1"/>
    <col min="5224" max="5370" width="9" style="326"/>
    <col min="5371" max="5372" width="12.125" style="326" customWidth="1"/>
    <col min="5373" max="5375" width="13" style="326" customWidth="1"/>
    <col min="5376" max="5376" width="12.875" style="326" customWidth="1"/>
    <col min="5377" max="5377" width="13" style="326" customWidth="1"/>
    <col min="5378" max="5378" width="13.125" style="326" customWidth="1"/>
    <col min="5379" max="5380" width="12.125" style="326" customWidth="1"/>
    <col min="5381" max="5381" width="14.375" style="326" bestFit="1" customWidth="1"/>
    <col min="5382" max="5382" width="11" style="326" customWidth="1"/>
    <col min="5383" max="5383" width="10" style="326" customWidth="1"/>
    <col min="5384" max="5384" width="10.875" style="326" customWidth="1"/>
    <col min="5385" max="5385" width="13.75" style="326" customWidth="1"/>
    <col min="5386" max="5386" width="10" style="326" customWidth="1"/>
    <col min="5387" max="5387" width="13.25" style="326" customWidth="1"/>
    <col min="5388" max="5388" width="14.375" style="326" customWidth="1"/>
    <col min="5389" max="5389" width="10" style="326" customWidth="1"/>
    <col min="5390" max="5390" width="10.875" style="326" customWidth="1"/>
    <col min="5391" max="5391" width="11.375" style="326" customWidth="1"/>
    <col min="5392" max="5392" width="15.375" style="326" customWidth="1"/>
    <col min="5393" max="5394" width="10.75" style="326" customWidth="1"/>
    <col min="5395" max="5395" width="14.375" style="326" customWidth="1"/>
    <col min="5396" max="5396" width="10.75" style="326" customWidth="1"/>
    <col min="5397" max="5397" width="11.75" style="326" customWidth="1"/>
    <col min="5398" max="5398" width="10" style="326" customWidth="1"/>
    <col min="5399" max="5399" width="15.375" style="326" customWidth="1"/>
    <col min="5400" max="5400" width="10" style="326" customWidth="1"/>
    <col min="5401" max="5401" width="10.75" style="326" customWidth="1"/>
    <col min="5402" max="5402" width="14.875" style="326" customWidth="1"/>
    <col min="5403" max="5403" width="11.5" style="326" customWidth="1"/>
    <col min="5404" max="5404" width="10" style="326" customWidth="1"/>
    <col min="5405" max="5405" width="10.75" style="326" customWidth="1"/>
    <col min="5406" max="5406" width="13.5" style="326" customWidth="1"/>
    <col min="5407" max="5407" width="9" style="326"/>
    <col min="5408" max="5408" width="10.75" style="326" bestFit="1" customWidth="1"/>
    <col min="5409" max="5409" width="13.75" style="326" customWidth="1"/>
    <col min="5410" max="5410" width="9" style="326"/>
    <col min="5411" max="5411" width="10.625" style="326" customWidth="1"/>
    <col min="5412" max="5412" width="9" style="326"/>
    <col min="5413" max="5413" width="14.25" style="326" customWidth="1"/>
    <col min="5414" max="5414" width="10.75" style="326" bestFit="1" customWidth="1"/>
    <col min="5415" max="5415" width="11.625" style="326" customWidth="1"/>
    <col min="5416" max="5416" width="13.75" style="326" customWidth="1"/>
    <col min="5417" max="5417" width="10.625" style="326" customWidth="1"/>
    <col min="5418" max="5419" width="9" style="326"/>
    <col min="5420" max="5420" width="14.125" style="326" customWidth="1"/>
    <col min="5421" max="5421" width="11" style="326" customWidth="1"/>
    <col min="5422" max="5422" width="10.75" style="326" bestFit="1" customWidth="1"/>
    <col min="5423" max="5423" width="13.5" style="326" customWidth="1"/>
    <col min="5424" max="5425" width="9" style="326"/>
    <col min="5426" max="5426" width="10.75" style="326" bestFit="1" customWidth="1"/>
    <col min="5427" max="5427" width="14" style="326" customWidth="1"/>
    <col min="5428" max="5428" width="9" style="326"/>
    <col min="5429" max="5429" width="10.75" style="326" customWidth="1"/>
    <col min="5430" max="5430" width="12.75" style="326" customWidth="1"/>
    <col min="5431" max="5431" width="9" style="326"/>
    <col min="5432" max="5432" width="10.75" style="326" bestFit="1" customWidth="1"/>
    <col min="5433" max="5433" width="11.5" style="326" customWidth="1"/>
    <col min="5434" max="5434" width="13.625" style="326" customWidth="1"/>
    <col min="5435" max="5435" width="10.625" style="326" customWidth="1"/>
    <col min="5436" max="5436" width="10.75" style="326" bestFit="1" customWidth="1"/>
    <col min="5437" max="5437" width="12.375" style="326" customWidth="1"/>
    <col min="5438" max="5440" width="9" style="326"/>
    <col min="5441" max="5441" width="15.75" style="326" customWidth="1"/>
    <col min="5442" max="5442" width="9" style="326"/>
    <col min="5443" max="5443" width="10.75" style="326" bestFit="1" customWidth="1"/>
    <col min="5444" max="5444" width="12.625" style="326" customWidth="1"/>
    <col min="5445" max="5447" width="9" style="326"/>
    <col min="5448" max="5448" width="13.625" style="326" customWidth="1"/>
    <col min="5449" max="5449" width="9" style="326"/>
    <col min="5450" max="5450" width="10.75" style="326" bestFit="1" customWidth="1"/>
    <col min="5451" max="5451" width="12.5" style="326" customWidth="1"/>
    <col min="5452" max="5454" width="9" style="326"/>
    <col min="5455" max="5455" width="12.875" style="326" customWidth="1"/>
    <col min="5456" max="5456" width="9" style="326"/>
    <col min="5457" max="5457" width="10.75" style="326" bestFit="1" customWidth="1"/>
    <col min="5458" max="5458" width="13.875" style="326" customWidth="1"/>
    <col min="5459" max="5461" width="9" style="326"/>
    <col min="5462" max="5462" width="14.125" style="326" customWidth="1"/>
    <col min="5463" max="5463" width="9" style="326"/>
    <col min="5464" max="5464" width="10.75" style="326" bestFit="1" customWidth="1"/>
    <col min="5465" max="5465" width="13.25" style="326" customWidth="1"/>
    <col min="5466" max="5468" width="9" style="326"/>
    <col min="5469" max="5469" width="13.25" style="326" customWidth="1"/>
    <col min="5470" max="5470" width="9" style="326"/>
    <col min="5471" max="5471" width="10.75" style="326" bestFit="1" customWidth="1"/>
    <col min="5472" max="5472" width="13.875" style="326" customWidth="1"/>
    <col min="5473" max="5475" width="9" style="326"/>
    <col min="5476" max="5476" width="13.625" style="326" customWidth="1"/>
    <col min="5477" max="5477" width="9" style="326"/>
    <col min="5478" max="5478" width="10.75" style="326" bestFit="1" customWidth="1"/>
    <col min="5479" max="5479" width="13" style="326" customWidth="1"/>
    <col min="5480" max="5626" width="9" style="326"/>
    <col min="5627" max="5628" width="12.125" style="326" customWidth="1"/>
    <col min="5629" max="5631" width="13" style="326" customWidth="1"/>
    <col min="5632" max="5632" width="12.875" style="326" customWidth="1"/>
    <col min="5633" max="5633" width="13" style="326" customWidth="1"/>
    <col min="5634" max="5634" width="13.125" style="326" customWidth="1"/>
    <col min="5635" max="5636" width="12.125" style="326" customWidth="1"/>
    <col min="5637" max="5637" width="14.375" style="326" bestFit="1" customWidth="1"/>
    <col min="5638" max="5638" width="11" style="326" customWidth="1"/>
    <col min="5639" max="5639" width="10" style="326" customWidth="1"/>
    <col min="5640" max="5640" width="10.875" style="326" customWidth="1"/>
    <col min="5641" max="5641" width="13.75" style="326" customWidth="1"/>
    <col min="5642" max="5642" width="10" style="326" customWidth="1"/>
    <col min="5643" max="5643" width="13.25" style="326" customWidth="1"/>
    <col min="5644" max="5644" width="14.375" style="326" customWidth="1"/>
    <col min="5645" max="5645" width="10" style="326" customWidth="1"/>
    <col min="5646" max="5646" width="10.875" style="326" customWidth="1"/>
    <col min="5647" max="5647" width="11.375" style="326" customWidth="1"/>
    <col min="5648" max="5648" width="15.375" style="326" customWidth="1"/>
    <col min="5649" max="5650" width="10.75" style="326" customWidth="1"/>
    <col min="5651" max="5651" width="14.375" style="326" customWidth="1"/>
    <col min="5652" max="5652" width="10.75" style="326" customWidth="1"/>
    <col min="5653" max="5653" width="11.75" style="326" customWidth="1"/>
    <col min="5654" max="5654" width="10" style="326" customWidth="1"/>
    <col min="5655" max="5655" width="15.375" style="326" customWidth="1"/>
    <col min="5656" max="5656" width="10" style="326" customWidth="1"/>
    <col min="5657" max="5657" width="10.75" style="326" customWidth="1"/>
    <col min="5658" max="5658" width="14.875" style="326" customWidth="1"/>
    <col min="5659" max="5659" width="11.5" style="326" customWidth="1"/>
    <col min="5660" max="5660" width="10" style="326" customWidth="1"/>
    <col min="5661" max="5661" width="10.75" style="326" customWidth="1"/>
    <col min="5662" max="5662" width="13.5" style="326" customWidth="1"/>
    <col min="5663" max="5663" width="9" style="326"/>
    <col min="5664" max="5664" width="10.75" style="326" bestFit="1" customWidth="1"/>
    <col min="5665" max="5665" width="13.75" style="326" customWidth="1"/>
    <col min="5666" max="5666" width="9" style="326"/>
    <col min="5667" max="5667" width="10.625" style="326" customWidth="1"/>
    <col min="5668" max="5668" width="9" style="326"/>
    <col min="5669" max="5669" width="14.25" style="326" customWidth="1"/>
    <col min="5670" max="5670" width="10.75" style="326" bestFit="1" customWidth="1"/>
    <col min="5671" max="5671" width="11.625" style="326" customWidth="1"/>
    <col min="5672" max="5672" width="13.75" style="326" customWidth="1"/>
    <col min="5673" max="5673" width="10.625" style="326" customWidth="1"/>
    <col min="5674" max="5675" width="9" style="326"/>
    <col min="5676" max="5676" width="14.125" style="326" customWidth="1"/>
    <col min="5677" max="5677" width="11" style="326" customWidth="1"/>
    <col min="5678" max="5678" width="10.75" style="326" bestFit="1" customWidth="1"/>
    <col min="5679" max="5679" width="13.5" style="326" customWidth="1"/>
    <col min="5680" max="5681" width="9" style="326"/>
    <col min="5682" max="5682" width="10.75" style="326" bestFit="1" customWidth="1"/>
    <col min="5683" max="5683" width="14" style="326" customWidth="1"/>
    <col min="5684" max="5684" width="9" style="326"/>
    <col min="5685" max="5685" width="10.75" style="326" customWidth="1"/>
    <col min="5686" max="5686" width="12.75" style="326" customWidth="1"/>
    <col min="5687" max="5687" width="9" style="326"/>
    <col min="5688" max="5688" width="10.75" style="326" bestFit="1" customWidth="1"/>
    <col min="5689" max="5689" width="11.5" style="326" customWidth="1"/>
    <col min="5690" max="5690" width="13.625" style="326" customWidth="1"/>
    <col min="5691" max="5691" width="10.625" style="326" customWidth="1"/>
    <col min="5692" max="5692" width="10.75" style="326" bestFit="1" customWidth="1"/>
    <col min="5693" max="5693" width="12.375" style="326" customWidth="1"/>
    <col min="5694" max="5696" width="9" style="326"/>
    <col min="5697" max="5697" width="15.75" style="326" customWidth="1"/>
    <col min="5698" max="5698" width="9" style="326"/>
    <col min="5699" max="5699" width="10.75" style="326" bestFit="1" customWidth="1"/>
    <col min="5700" max="5700" width="12.625" style="326" customWidth="1"/>
    <col min="5701" max="5703" width="9" style="326"/>
    <col min="5704" max="5704" width="13.625" style="326" customWidth="1"/>
    <col min="5705" max="5705" width="9" style="326"/>
    <col min="5706" max="5706" width="10.75" style="326" bestFit="1" customWidth="1"/>
    <col min="5707" max="5707" width="12.5" style="326" customWidth="1"/>
    <col min="5708" max="5710" width="9" style="326"/>
    <col min="5711" max="5711" width="12.875" style="326" customWidth="1"/>
    <col min="5712" max="5712" width="9" style="326"/>
    <col min="5713" max="5713" width="10.75" style="326" bestFit="1" customWidth="1"/>
    <col min="5714" max="5714" width="13.875" style="326" customWidth="1"/>
    <col min="5715" max="5717" width="9" style="326"/>
    <col min="5718" max="5718" width="14.125" style="326" customWidth="1"/>
    <col min="5719" max="5719" width="9" style="326"/>
    <col min="5720" max="5720" width="10.75" style="326" bestFit="1" customWidth="1"/>
    <col min="5721" max="5721" width="13.25" style="326" customWidth="1"/>
    <col min="5722" max="5724" width="9" style="326"/>
    <col min="5725" max="5725" width="13.25" style="326" customWidth="1"/>
    <col min="5726" max="5726" width="9" style="326"/>
    <col min="5727" max="5727" width="10.75" style="326" bestFit="1" customWidth="1"/>
    <col min="5728" max="5728" width="13.875" style="326" customWidth="1"/>
    <col min="5729" max="5731" width="9" style="326"/>
    <col min="5732" max="5732" width="13.625" style="326" customWidth="1"/>
    <col min="5733" max="5733" width="9" style="326"/>
    <col min="5734" max="5734" width="10.75" style="326" bestFit="1" customWidth="1"/>
    <col min="5735" max="5735" width="13" style="326" customWidth="1"/>
    <col min="5736" max="5882" width="9" style="326"/>
    <col min="5883" max="5884" width="12.125" style="326" customWidth="1"/>
    <col min="5885" max="5887" width="13" style="326" customWidth="1"/>
    <col min="5888" max="5888" width="12.875" style="326" customWidth="1"/>
    <col min="5889" max="5889" width="13" style="326" customWidth="1"/>
    <col min="5890" max="5890" width="13.125" style="326" customWidth="1"/>
    <col min="5891" max="5892" width="12.125" style="326" customWidth="1"/>
    <col min="5893" max="5893" width="14.375" style="326" bestFit="1" customWidth="1"/>
    <col min="5894" max="5894" width="11" style="326" customWidth="1"/>
    <col min="5895" max="5895" width="10" style="326" customWidth="1"/>
    <col min="5896" max="5896" width="10.875" style="326" customWidth="1"/>
    <col min="5897" max="5897" width="13.75" style="326" customWidth="1"/>
    <col min="5898" max="5898" width="10" style="326" customWidth="1"/>
    <col min="5899" max="5899" width="13.25" style="326" customWidth="1"/>
    <col min="5900" max="5900" width="14.375" style="326" customWidth="1"/>
    <col min="5901" max="5901" width="10" style="326" customWidth="1"/>
    <col min="5902" max="5902" width="10.875" style="326" customWidth="1"/>
    <col min="5903" max="5903" width="11.375" style="326" customWidth="1"/>
    <col min="5904" max="5904" width="15.375" style="326" customWidth="1"/>
    <col min="5905" max="5906" width="10.75" style="326" customWidth="1"/>
    <col min="5907" max="5907" width="14.375" style="326" customWidth="1"/>
    <col min="5908" max="5908" width="10.75" style="326" customWidth="1"/>
    <col min="5909" max="5909" width="11.75" style="326" customWidth="1"/>
    <col min="5910" max="5910" width="10" style="326" customWidth="1"/>
    <col min="5911" max="5911" width="15.375" style="326" customWidth="1"/>
    <col min="5912" max="5912" width="10" style="326" customWidth="1"/>
    <col min="5913" max="5913" width="10.75" style="326" customWidth="1"/>
    <col min="5914" max="5914" width="14.875" style="326" customWidth="1"/>
    <col min="5915" max="5915" width="11.5" style="326" customWidth="1"/>
    <col min="5916" max="5916" width="10" style="326" customWidth="1"/>
    <col min="5917" max="5917" width="10.75" style="326" customWidth="1"/>
    <col min="5918" max="5918" width="13.5" style="326" customWidth="1"/>
    <col min="5919" max="5919" width="9" style="326"/>
    <col min="5920" max="5920" width="10.75" style="326" bestFit="1" customWidth="1"/>
    <col min="5921" max="5921" width="13.75" style="326" customWidth="1"/>
    <col min="5922" max="5922" width="9" style="326"/>
    <col min="5923" max="5923" width="10.625" style="326" customWidth="1"/>
    <col min="5924" max="5924" width="9" style="326"/>
    <col min="5925" max="5925" width="14.25" style="326" customWidth="1"/>
    <col min="5926" max="5926" width="10.75" style="326" bestFit="1" customWidth="1"/>
    <col min="5927" max="5927" width="11.625" style="326" customWidth="1"/>
    <col min="5928" max="5928" width="13.75" style="326" customWidth="1"/>
    <col min="5929" max="5929" width="10.625" style="326" customWidth="1"/>
    <col min="5930" max="5931" width="9" style="326"/>
    <col min="5932" max="5932" width="14.125" style="326" customWidth="1"/>
    <col min="5933" max="5933" width="11" style="326" customWidth="1"/>
    <col min="5934" max="5934" width="10.75" style="326" bestFit="1" customWidth="1"/>
    <col min="5935" max="5935" width="13.5" style="326" customWidth="1"/>
    <col min="5936" max="5937" width="9" style="326"/>
    <col min="5938" max="5938" width="10.75" style="326" bestFit="1" customWidth="1"/>
    <col min="5939" max="5939" width="14" style="326" customWidth="1"/>
    <col min="5940" max="5940" width="9" style="326"/>
    <col min="5941" max="5941" width="10.75" style="326" customWidth="1"/>
    <col min="5942" max="5942" width="12.75" style="326" customWidth="1"/>
    <col min="5943" max="5943" width="9" style="326"/>
    <col min="5944" max="5944" width="10.75" style="326" bestFit="1" customWidth="1"/>
    <col min="5945" max="5945" width="11.5" style="326" customWidth="1"/>
    <col min="5946" max="5946" width="13.625" style="326" customWidth="1"/>
    <col min="5947" max="5947" width="10.625" style="326" customWidth="1"/>
    <col min="5948" max="5948" width="10.75" style="326" bestFit="1" customWidth="1"/>
    <col min="5949" max="5949" width="12.375" style="326" customWidth="1"/>
    <col min="5950" max="5952" width="9" style="326"/>
    <col min="5953" max="5953" width="15.75" style="326" customWidth="1"/>
    <col min="5954" max="5954" width="9" style="326"/>
    <col min="5955" max="5955" width="10.75" style="326" bestFit="1" customWidth="1"/>
    <col min="5956" max="5956" width="12.625" style="326" customWidth="1"/>
    <col min="5957" max="5959" width="9" style="326"/>
    <col min="5960" max="5960" width="13.625" style="326" customWidth="1"/>
    <col min="5961" max="5961" width="9" style="326"/>
    <col min="5962" max="5962" width="10.75" style="326" bestFit="1" customWidth="1"/>
    <col min="5963" max="5963" width="12.5" style="326" customWidth="1"/>
    <col min="5964" max="5966" width="9" style="326"/>
    <col min="5967" max="5967" width="12.875" style="326" customWidth="1"/>
    <col min="5968" max="5968" width="9" style="326"/>
    <col min="5969" max="5969" width="10.75" style="326" bestFit="1" customWidth="1"/>
    <col min="5970" max="5970" width="13.875" style="326" customWidth="1"/>
    <col min="5971" max="5973" width="9" style="326"/>
    <col min="5974" max="5974" width="14.125" style="326" customWidth="1"/>
    <col min="5975" max="5975" width="9" style="326"/>
    <col min="5976" max="5976" width="10.75" style="326" bestFit="1" customWidth="1"/>
    <col min="5977" max="5977" width="13.25" style="326" customWidth="1"/>
    <col min="5978" max="5980" width="9" style="326"/>
    <col min="5981" max="5981" width="13.25" style="326" customWidth="1"/>
    <col min="5982" max="5982" width="9" style="326"/>
    <col min="5983" max="5983" width="10.75" style="326" bestFit="1" customWidth="1"/>
    <col min="5984" max="5984" width="13.875" style="326" customWidth="1"/>
    <col min="5985" max="5987" width="9" style="326"/>
    <col min="5988" max="5988" width="13.625" style="326" customWidth="1"/>
    <col min="5989" max="5989" width="9" style="326"/>
    <col min="5990" max="5990" width="10.75" style="326" bestFit="1" customWidth="1"/>
    <col min="5991" max="5991" width="13" style="326" customWidth="1"/>
    <col min="5992" max="6138" width="9" style="326"/>
    <col min="6139" max="6140" width="12.125" style="326" customWidth="1"/>
    <col min="6141" max="6143" width="13" style="326" customWidth="1"/>
    <col min="6144" max="6144" width="12.875" style="326" customWidth="1"/>
    <col min="6145" max="6145" width="13" style="326" customWidth="1"/>
    <col min="6146" max="6146" width="13.125" style="326" customWidth="1"/>
    <col min="6147" max="6148" width="12.125" style="326" customWidth="1"/>
    <col min="6149" max="6149" width="14.375" style="326" bestFit="1" customWidth="1"/>
    <col min="6150" max="6150" width="11" style="326" customWidth="1"/>
    <col min="6151" max="6151" width="10" style="326" customWidth="1"/>
    <col min="6152" max="6152" width="10.875" style="326" customWidth="1"/>
    <col min="6153" max="6153" width="13.75" style="326" customWidth="1"/>
    <col min="6154" max="6154" width="10" style="326" customWidth="1"/>
    <col min="6155" max="6155" width="13.25" style="326" customWidth="1"/>
    <col min="6156" max="6156" width="14.375" style="326" customWidth="1"/>
    <col min="6157" max="6157" width="10" style="326" customWidth="1"/>
    <col min="6158" max="6158" width="10.875" style="326" customWidth="1"/>
    <col min="6159" max="6159" width="11.375" style="326" customWidth="1"/>
    <col min="6160" max="6160" width="15.375" style="326" customWidth="1"/>
    <col min="6161" max="6162" width="10.75" style="326" customWidth="1"/>
    <col min="6163" max="6163" width="14.375" style="326" customWidth="1"/>
    <col min="6164" max="6164" width="10.75" style="326" customWidth="1"/>
    <col min="6165" max="6165" width="11.75" style="326" customWidth="1"/>
    <col min="6166" max="6166" width="10" style="326" customWidth="1"/>
    <col min="6167" max="6167" width="15.375" style="326" customWidth="1"/>
    <col min="6168" max="6168" width="10" style="326" customWidth="1"/>
    <col min="6169" max="6169" width="10.75" style="326" customWidth="1"/>
    <col min="6170" max="6170" width="14.875" style="326" customWidth="1"/>
    <col min="6171" max="6171" width="11.5" style="326" customWidth="1"/>
    <col min="6172" max="6172" width="10" style="326" customWidth="1"/>
    <col min="6173" max="6173" width="10.75" style="326" customWidth="1"/>
    <col min="6174" max="6174" width="13.5" style="326" customWidth="1"/>
    <col min="6175" max="6175" width="9" style="326"/>
    <col min="6176" max="6176" width="10.75" style="326" bestFit="1" customWidth="1"/>
    <col min="6177" max="6177" width="13.75" style="326" customWidth="1"/>
    <col min="6178" max="6178" width="9" style="326"/>
    <col min="6179" max="6179" width="10.625" style="326" customWidth="1"/>
    <col min="6180" max="6180" width="9" style="326"/>
    <col min="6181" max="6181" width="14.25" style="326" customWidth="1"/>
    <col min="6182" max="6182" width="10.75" style="326" bestFit="1" customWidth="1"/>
    <col min="6183" max="6183" width="11.625" style="326" customWidth="1"/>
    <col min="6184" max="6184" width="13.75" style="326" customWidth="1"/>
    <col min="6185" max="6185" width="10.625" style="326" customWidth="1"/>
    <col min="6186" max="6187" width="9" style="326"/>
    <col min="6188" max="6188" width="14.125" style="326" customWidth="1"/>
    <col min="6189" max="6189" width="11" style="326" customWidth="1"/>
    <col min="6190" max="6190" width="10.75" style="326" bestFit="1" customWidth="1"/>
    <col min="6191" max="6191" width="13.5" style="326" customWidth="1"/>
    <col min="6192" max="6193" width="9" style="326"/>
    <col min="6194" max="6194" width="10.75" style="326" bestFit="1" customWidth="1"/>
    <col min="6195" max="6195" width="14" style="326" customWidth="1"/>
    <col min="6196" max="6196" width="9" style="326"/>
    <col min="6197" max="6197" width="10.75" style="326" customWidth="1"/>
    <col min="6198" max="6198" width="12.75" style="326" customWidth="1"/>
    <col min="6199" max="6199" width="9" style="326"/>
    <col min="6200" max="6200" width="10.75" style="326" bestFit="1" customWidth="1"/>
    <col min="6201" max="6201" width="11.5" style="326" customWidth="1"/>
    <col min="6202" max="6202" width="13.625" style="326" customWidth="1"/>
    <col min="6203" max="6203" width="10.625" style="326" customWidth="1"/>
    <col min="6204" max="6204" width="10.75" style="326" bestFit="1" customWidth="1"/>
    <col min="6205" max="6205" width="12.375" style="326" customWidth="1"/>
    <col min="6206" max="6208" width="9" style="326"/>
    <col min="6209" max="6209" width="15.75" style="326" customWidth="1"/>
    <col min="6210" max="6210" width="9" style="326"/>
    <col min="6211" max="6211" width="10.75" style="326" bestFit="1" customWidth="1"/>
    <col min="6212" max="6212" width="12.625" style="326" customWidth="1"/>
    <col min="6213" max="6215" width="9" style="326"/>
    <col min="6216" max="6216" width="13.625" style="326" customWidth="1"/>
    <col min="6217" max="6217" width="9" style="326"/>
    <col min="6218" max="6218" width="10.75" style="326" bestFit="1" customWidth="1"/>
    <col min="6219" max="6219" width="12.5" style="326" customWidth="1"/>
    <col min="6220" max="6222" width="9" style="326"/>
    <col min="6223" max="6223" width="12.875" style="326" customWidth="1"/>
    <col min="6224" max="6224" width="9" style="326"/>
    <col min="6225" max="6225" width="10.75" style="326" bestFit="1" customWidth="1"/>
    <col min="6226" max="6226" width="13.875" style="326" customWidth="1"/>
    <col min="6227" max="6229" width="9" style="326"/>
    <col min="6230" max="6230" width="14.125" style="326" customWidth="1"/>
    <col min="6231" max="6231" width="9" style="326"/>
    <col min="6232" max="6232" width="10.75" style="326" bestFit="1" customWidth="1"/>
    <col min="6233" max="6233" width="13.25" style="326" customWidth="1"/>
    <col min="6234" max="6236" width="9" style="326"/>
    <col min="6237" max="6237" width="13.25" style="326" customWidth="1"/>
    <col min="6238" max="6238" width="9" style="326"/>
    <col min="6239" max="6239" width="10.75" style="326" bestFit="1" customWidth="1"/>
    <col min="6240" max="6240" width="13.875" style="326" customWidth="1"/>
    <col min="6241" max="6243" width="9" style="326"/>
    <col min="6244" max="6244" width="13.625" style="326" customWidth="1"/>
    <col min="6245" max="6245" width="9" style="326"/>
    <col min="6246" max="6246" width="10.75" style="326" bestFit="1" customWidth="1"/>
    <col min="6247" max="6247" width="13" style="326" customWidth="1"/>
    <col min="6248" max="6394" width="9" style="326"/>
    <col min="6395" max="6396" width="12.125" style="326" customWidth="1"/>
    <col min="6397" max="6399" width="13" style="326" customWidth="1"/>
    <col min="6400" max="6400" width="12.875" style="326" customWidth="1"/>
    <col min="6401" max="6401" width="13" style="326" customWidth="1"/>
    <col min="6402" max="6402" width="13.125" style="326" customWidth="1"/>
    <col min="6403" max="6404" width="12.125" style="326" customWidth="1"/>
    <col min="6405" max="6405" width="14.375" style="326" bestFit="1" customWidth="1"/>
    <col min="6406" max="6406" width="11" style="326" customWidth="1"/>
    <col min="6407" max="6407" width="10" style="326" customWidth="1"/>
    <col min="6408" max="6408" width="10.875" style="326" customWidth="1"/>
    <col min="6409" max="6409" width="13.75" style="326" customWidth="1"/>
    <col min="6410" max="6410" width="10" style="326" customWidth="1"/>
    <col min="6411" max="6411" width="13.25" style="326" customWidth="1"/>
    <col min="6412" max="6412" width="14.375" style="326" customWidth="1"/>
    <col min="6413" max="6413" width="10" style="326" customWidth="1"/>
    <col min="6414" max="6414" width="10.875" style="326" customWidth="1"/>
    <col min="6415" max="6415" width="11.375" style="326" customWidth="1"/>
    <col min="6416" max="6416" width="15.375" style="326" customWidth="1"/>
    <col min="6417" max="6418" width="10.75" style="326" customWidth="1"/>
    <col min="6419" max="6419" width="14.375" style="326" customWidth="1"/>
    <col min="6420" max="6420" width="10.75" style="326" customWidth="1"/>
    <col min="6421" max="6421" width="11.75" style="326" customWidth="1"/>
    <col min="6422" max="6422" width="10" style="326" customWidth="1"/>
    <col min="6423" max="6423" width="15.375" style="326" customWidth="1"/>
    <col min="6424" max="6424" width="10" style="326" customWidth="1"/>
    <col min="6425" max="6425" width="10.75" style="326" customWidth="1"/>
    <col min="6426" max="6426" width="14.875" style="326" customWidth="1"/>
    <col min="6427" max="6427" width="11.5" style="326" customWidth="1"/>
    <col min="6428" max="6428" width="10" style="326" customWidth="1"/>
    <col min="6429" max="6429" width="10.75" style="326" customWidth="1"/>
    <col min="6430" max="6430" width="13.5" style="326" customWidth="1"/>
    <col min="6431" max="6431" width="9" style="326"/>
    <col min="6432" max="6432" width="10.75" style="326" bestFit="1" customWidth="1"/>
    <col min="6433" max="6433" width="13.75" style="326" customWidth="1"/>
    <col min="6434" max="6434" width="9" style="326"/>
    <col min="6435" max="6435" width="10.625" style="326" customWidth="1"/>
    <col min="6436" max="6436" width="9" style="326"/>
    <col min="6437" max="6437" width="14.25" style="326" customWidth="1"/>
    <col min="6438" max="6438" width="10.75" style="326" bestFit="1" customWidth="1"/>
    <col min="6439" max="6439" width="11.625" style="326" customWidth="1"/>
    <col min="6440" max="6440" width="13.75" style="326" customWidth="1"/>
    <col min="6441" max="6441" width="10.625" style="326" customWidth="1"/>
    <col min="6442" max="6443" width="9" style="326"/>
    <col min="6444" max="6444" width="14.125" style="326" customWidth="1"/>
    <col min="6445" max="6445" width="11" style="326" customWidth="1"/>
    <col min="6446" max="6446" width="10.75" style="326" bestFit="1" customWidth="1"/>
    <col min="6447" max="6447" width="13.5" style="326" customWidth="1"/>
    <col min="6448" max="6449" width="9" style="326"/>
    <col min="6450" max="6450" width="10.75" style="326" bestFit="1" customWidth="1"/>
    <col min="6451" max="6451" width="14" style="326" customWidth="1"/>
    <col min="6452" max="6452" width="9" style="326"/>
    <col min="6453" max="6453" width="10.75" style="326" customWidth="1"/>
    <col min="6454" max="6454" width="12.75" style="326" customWidth="1"/>
    <col min="6455" max="6455" width="9" style="326"/>
    <col min="6456" max="6456" width="10.75" style="326" bestFit="1" customWidth="1"/>
    <col min="6457" max="6457" width="11.5" style="326" customWidth="1"/>
    <col min="6458" max="6458" width="13.625" style="326" customWidth="1"/>
    <col min="6459" max="6459" width="10.625" style="326" customWidth="1"/>
    <col min="6460" max="6460" width="10.75" style="326" bestFit="1" customWidth="1"/>
    <col min="6461" max="6461" width="12.375" style="326" customWidth="1"/>
    <col min="6462" max="6464" width="9" style="326"/>
    <col min="6465" max="6465" width="15.75" style="326" customWidth="1"/>
    <col min="6466" max="6466" width="9" style="326"/>
    <col min="6467" max="6467" width="10.75" style="326" bestFit="1" customWidth="1"/>
    <col min="6468" max="6468" width="12.625" style="326" customWidth="1"/>
    <col min="6469" max="6471" width="9" style="326"/>
    <col min="6472" max="6472" width="13.625" style="326" customWidth="1"/>
    <col min="6473" max="6473" width="9" style="326"/>
    <col min="6474" max="6474" width="10.75" style="326" bestFit="1" customWidth="1"/>
    <col min="6475" max="6475" width="12.5" style="326" customWidth="1"/>
    <col min="6476" max="6478" width="9" style="326"/>
    <col min="6479" max="6479" width="12.875" style="326" customWidth="1"/>
    <col min="6480" max="6480" width="9" style="326"/>
    <col min="6481" max="6481" width="10.75" style="326" bestFit="1" customWidth="1"/>
    <col min="6482" max="6482" width="13.875" style="326" customWidth="1"/>
    <col min="6483" max="6485" width="9" style="326"/>
    <col min="6486" max="6486" width="14.125" style="326" customWidth="1"/>
    <col min="6487" max="6487" width="9" style="326"/>
    <col min="6488" max="6488" width="10.75" style="326" bestFit="1" customWidth="1"/>
    <col min="6489" max="6489" width="13.25" style="326" customWidth="1"/>
    <col min="6490" max="6492" width="9" style="326"/>
    <col min="6493" max="6493" width="13.25" style="326" customWidth="1"/>
    <col min="6494" max="6494" width="9" style="326"/>
    <col min="6495" max="6495" width="10.75" style="326" bestFit="1" customWidth="1"/>
    <col min="6496" max="6496" width="13.875" style="326" customWidth="1"/>
    <col min="6497" max="6499" width="9" style="326"/>
    <col min="6500" max="6500" width="13.625" style="326" customWidth="1"/>
    <col min="6501" max="6501" width="9" style="326"/>
    <col min="6502" max="6502" width="10.75" style="326" bestFit="1" customWidth="1"/>
    <col min="6503" max="6503" width="13" style="326" customWidth="1"/>
    <col min="6504" max="6650" width="9" style="326"/>
    <col min="6651" max="6652" width="12.125" style="326" customWidth="1"/>
    <col min="6653" max="6655" width="13" style="326" customWidth="1"/>
    <col min="6656" max="6656" width="12.875" style="326" customWidth="1"/>
    <col min="6657" max="6657" width="13" style="326" customWidth="1"/>
    <col min="6658" max="6658" width="13.125" style="326" customWidth="1"/>
    <col min="6659" max="6660" width="12.125" style="326" customWidth="1"/>
    <col min="6661" max="6661" width="14.375" style="326" bestFit="1" customWidth="1"/>
    <col min="6662" max="6662" width="11" style="326" customWidth="1"/>
    <col min="6663" max="6663" width="10" style="326" customWidth="1"/>
    <col min="6664" max="6664" width="10.875" style="326" customWidth="1"/>
    <col min="6665" max="6665" width="13.75" style="326" customWidth="1"/>
    <col min="6666" max="6666" width="10" style="326" customWidth="1"/>
    <col min="6667" max="6667" width="13.25" style="326" customWidth="1"/>
    <col min="6668" max="6668" width="14.375" style="326" customWidth="1"/>
    <col min="6669" max="6669" width="10" style="326" customWidth="1"/>
    <col min="6670" max="6670" width="10.875" style="326" customWidth="1"/>
    <col min="6671" max="6671" width="11.375" style="326" customWidth="1"/>
    <col min="6672" max="6672" width="15.375" style="326" customWidth="1"/>
    <col min="6673" max="6674" width="10.75" style="326" customWidth="1"/>
    <col min="6675" max="6675" width="14.375" style="326" customWidth="1"/>
    <col min="6676" max="6676" width="10.75" style="326" customWidth="1"/>
    <col min="6677" max="6677" width="11.75" style="326" customWidth="1"/>
    <col min="6678" max="6678" width="10" style="326" customWidth="1"/>
    <col min="6679" max="6679" width="15.375" style="326" customWidth="1"/>
    <col min="6680" max="6680" width="10" style="326" customWidth="1"/>
    <col min="6681" max="6681" width="10.75" style="326" customWidth="1"/>
    <col min="6682" max="6682" width="14.875" style="326" customWidth="1"/>
    <col min="6683" max="6683" width="11.5" style="326" customWidth="1"/>
    <col min="6684" max="6684" width="10" style="326" customWidth="1"/>
    <col min="6685" max="6685" width="10.75" style="326" customWidth="1"/>
    <col min="6686" max="6686" width="13.5" style="326" customWidth="1"/>
    <col min="6687" max="6687" width="9" style="326"/>
    <col min="6688" max="6688" width="10.75" style="326" bestFit="1" customWidth="1"/>
    <col min="6689" max="6689" width="13.75" style="326" customWidth="1"/>
    <col min="6690" max="6690" width="9" style="326"/>
    <col min="6691" max="6691" width="10.625" style="326" customWidth="1"/>
    <col min="6692" max="6692" width="9" style="326"/>
    <col min="6693" max="6693" width="14.25" style="326" customWidth="1"/>
    <col min="6694" max="6694" width="10.75" style="326" bestFit="1" customWidth="1"/>
    <col min="6695" max="6695" width="11.625" style="326" customWidth="1"/>
    <col min="6696" max="6696" width="13.75" style="326" customWidth="1"/>
    <col min="6697" max="6697" width="10.625" style="326" customWidth="1"/>
    <col min="6698" max="6699" width="9" style="326"/>
    <col min="6700" max="6700" width="14.125" style="326" customWidth="1"/>
    <col min="6701" max="6701" width="11" style="326" customWidth="1"/>
    <col min="6702" max="6702" width="10.75" style="326" bestFit="1" customWidth="1"/>
    <col min="6703" max="6703" width="13.5" style="326" customWidth="1"/>
    <col min="6704" max="6705" width="9" style="326"/>
    <col min="6706" max="6706" width="10.75" style="326" bestFit="1" customWidth="1"/>
    <col min="6707" max="6707" width="14" style="326" customWidth="1"/>
    <col min="6708" max="6708" width="9" style="326"/>
    <col min="6709" max="6709" width="10.75" style="326" customWidth="1"/>
    <col min="6710" max="6710" width="12.75" style="326" customWidth="1"/>
    <col min="6711" max="6711" width="9" style="326"/>
    <col min="6712" max="6712" width="10.75" style="326" bestFit="1" customWidth="1"/>
    <col min="6713" max="6713" width="11.5" style="326" customWidth="1"/>
    <col min="6714" max="6714" width="13.625" style="326" customWidth="1"/>
    <col min="6715" max="6715" width="10.625" style="326" customWidth="1"/>
    <col min="6716" max="6716" width="10.75" style="326" bestFit="1" customWidth="1"/>
    <col min="6717" max="6717" width="12.375" style="326" customWidth="1"/>
    <col min="6718" max="6720" width="9" style="326"/>
    <col min="6721" max="6721" width="15.75" style="326" customWidth="1"/>
    <col min="6722" max="6722" width="9" style="326"/>
    <col min="6723" max="6723" width="10.75" style="326" bestFit="1" customWidth="1"/>
    <col min="6724" max="6724" width="12.625" style="326" customWidth="1"/>
    <col min="6725" max="6727" width="9" style="326"/>
    <col min="6728" max="6728" width="13.625" style="326" customWidth="1"/>
    <col min="6729" max="6729" width="9" style="326"/>
    <col min="6730" max="6730" width="10.75" style="326" bestFit="1" customWidth="1"/>
    <col min="6731" max="6731" width="12.5" style="326" customWidth="1"/>
    <col min="6732" max="6734" width="9" style="326"/>
    <col min="6735" max="6735" width="12.875" style="326" customWidth="1"/>
    <col min="6736" max="6736" width="9" style="326"/>
    <col min="6737" max="6737" width="10.75" style="326" bestFit="1" customWidth="1"/>
    <col min="6738" max="6738" width="13.875" style="326" customWidth="1"/>
    <col min="6739" max="6741" width="9" style="326"/>
    <col min="6742" max="6742" width="14.125" style="326" customWidth="1"/>
    <col min="6743" max="6743" width="9" style="326"/>
    <col min="6744" max="6744" width="10.75" style="326" bestFit="1" customWidth="1"/>
    <col min="6745" max="6745" width="13.25" style="326" customWidth="1"/>
    <col min="6746" max="6748" width="9" style="326"/>
    <col min="6749" max="6749" width="13.25" style="326" customWidth="1"/>
    <col min="6750" max="6750" width="9" style="326"/>
    <col min="6751" max="6751" width="10.75" style="326" bestFit="1" customWidth="1"/>
    <col min="6752" max="6752" width="13.875" style="326" customWidth="1"/>
    <col min="6753" max="6755" width="9" style="326"/>
    <col min="6756" max="6756" width="13.625" style="326" customWidth="1"/>
    <col min="6757" max="6757" width="9" style="326"/>
    <col min="6758" max="6758" width="10.75" style="326" bestFit="1" customWidth="1"/>
    <col min="6759" max="6759" width="13" style="326" customWidth="1"/>
    <col min="6760" max="6906" width="9" style="326"/>
    <col min="6907" max="6908" width="12.125" style="326" customWidth="1"/>
    <col min="6909" max="6911" width="13" style="326" customWidth="1"/>
    <col min="6912" max="6912" width="12.875" style="326" customWidth="1"/>
    <col min="6913" max="6913" width="13" style="326" customWidth="1"/>
    <col min="6914" max="6914" width="13.125" style="326" customWidth="1"/>
    <col min="6915" max="6916" width="12.125" style="326" customWidth="1"/>
    <col min="6917" max="6917" width="14.375" style="326" bestFit="1" customWidth="1"/>
    <col min="6918" max="6918" width="11" style="326" customWidth="1"/>
    <col min="6919" max="6919" width="10" style="326" customWidth="1"/>
    <col min="6920" max="6920" width="10.875" style="326" customWidth="1"/>
    <col min="6921" max="6921" width="13.75" style="326" customWidth="1"/>
    <col min="6922" max="6922" width="10" style="326" customWidth="1"/>
    <col min="6923" max="6923" width="13.25" style="326" customWidth="1"/>
    <col min="6924" max="6924" width="14.375" style="326" customWidth="1"/>
    <col min="6925" max="6925" width="10" style="326" customWidth="1"/>
    <col min="6926" max="6926" width="10.875" style="326" customWidth="1"/>
    <col min="6927" max="6927" width="11.375" style="326" customWidth="1"/>
    <col min="6928" max="6928" width="15.375" style="326" customWidth="1"/>
    <col min="6929" max="6930" width="10.75" style="326" customWidth="1"/>
    <col min="6931" max="6931" width="14.375" style="326" customWidth="1"/>
    <col min="6932" max="6932" width="10.75" style="326" customWidth="1"/>
    <col min="6933" max="6933" width="11.75" style="326" customWidth="1"/>
    <col min="6934" max="6934" width="10" style="326" customWidth="1"/>
    <col min="6935" max="6935" width="15.375" style="326" customWidth="1"/>
    <col min="6936" max="6936" width="10" style="326" customWidth="1"/>
    <col min="6937" max="6937" width="10.75" style="326" customWidth="1"/>
    <col min="6938" max="6938" width="14.875" style="326" customWidth="1"/>
    <col min="6939" max="6939" width="11.5" style="326" customWidth="1"/>
    <col min="6940" max="6940" width="10" style="326" customWidth="1"/>
    <col min="6941" max="6941" width="10.75" style="326" customWidth="1"/>
    <col min="6942" max="6942" width="13.5" style="326" customWidth="1"/>
    <col min="6943" max="6943" width="9" style="326"/>
    <col min="6944" max="6944" width="10.75" style="326" bestFit="1" customWidth="1"/>
    <col min="6945" max="6945" width="13.75" style="326" customWidth="1"/>
    <col min="6946" max="6946" width="9" style="326"/>
    <col min="6947" max="6947" width="10.625" style="326" customWidth="1"/>
    <col min="6948" max="6948" width="9" style="326"/>
    <col min="6949" max="6949" width="14.25" style="326" customWidth="1"/>
    <col min="6950" max="6950" width="10.75" style="326" bestFit="1" customWidth="1"/>
    <col min="6951" max="6951" width="11.625" style="326" customWidth="1"/>
    <col min="6952" max="6952" width="13.75" style="326" customWidth="1"/>
    <col min="6953" max="6953" width="10.625" style="326" customWidth="1"/>
    <col min="6954" max="6955" width="9" style="326"/>
    <col min="6956" max="6956" width="14.125" style="326" customWidth="1"/>
    <col min="6957" max="6957" width="11" style="326" customWidth="1"/>
    <col min="6958" max="6958" width="10.75" style="326" bestFit="1" customWidth="1"/>
    <col min="6959" max="6959" width="13.5" style="326" customWidth="1"/>
    <col min="6960" max="6961" width="9" style="326"/>
    <col min="6962" max="6962" width="10.75" style="326" bestFit="1" customWidth="1"/>
    <col min="6963" max="6963" width="14" style="326" customWidth="1"/>
    <col min="6964" max="6964" width="9" style="326"/>
    <col min="6965" max="6965" width="10.75" style="326" customWidth="1"/>
    <col min="6966" max="6966" width="12.75" style="326" customWidth="1"/>
    <col min="6967" max="6967" width="9" style="326"/>
    <col min="6968" max="6968" width="10.75" style="326" bestFit="1" customWidth="1"/>
    <col min="6969" max="6969" width="11.5" style="326" customWidth="1"/>
    <col min="6970" max="6970" width="13.625" style="326" customWidth="1"/>
    <col min="6971" max="6971" width="10.625" style="326" customWidth="1"/>
    <col min="6972" max="6972" width="10.75" style="326" bestFit="1" customWidth="1"/>
    <col min="6973" max="6973" width="12.375" style="326" customWidth="1"/>
    <col min="6974" max="6976" width="9" style="326"/>
    <col min="6977" max="6977" width="15.75" style="326" customWidth="1"/>
    <col min="6978" max="6978" width="9" style="326"/>
    <col min="6979" max="6979" width="10.75" style="326" bestFit="1" customWidth="1"/>
    <col min="6980" max="6980" width="12.625" style="326" customWidth="1"/>
    <col min="6981" max="6983" width="9" style="326"/>
    <col min="6984" max="6984" width="13.625" style="326" customWidth="1"/>
    <col min="6985" max="6985" width="9" style="326"/>
    <col min="6986" max="6986" width="10.75" style="326" bestFit="1" customWidth="1"/>
    <col min="6987" max="6987" width="12.5" style="326" customWidth="1"/>
    <col min="6988" max="6990" width="9" style="326"/>
    <col min="6991" max="6991" width="12.875" style="326" customWidth="1"/>
    <col min="6992" max="6992" width="9" style="326"/>
    <col min="6993" max="6993" width="10.75" style="326" bestFit="1" customWidth="1"/>
    <col min="6994" max="6994" width="13.875" style="326" customWidth="1"/>
    <col min="6995" max="6997" width="9" style="326"/>
    <col min="6998" max="6998" width="14.125" style="326" customWidth="1"/>
    <col min="6999" max="6999" width="9" style="326"/>
    <col min="7000" max="7000" width="10.75" style="326" bestFit="1" customWidth="1"/>
    <col min="7001" max="7001" width="13.25" style="326" customWidth="1"/>
    <col min="7002" max="7004" width="9" style="326"/>
    <col min="7005" max="7005" width="13.25" style="326" customWidth="1"/>
    <col min="7006" max="7006" width="9" style="326"/>
    <col min="7007" max="7007" width="10.75" style="326" bestFit="1" customWidth="1"/>
    <col min="7008" max="7008" width="13.875" style="326" customWidth="1"/>
    <col min="7009" max="7011" width="9" style="326"/>
    <col min="7012" max="7012" width="13.625" style="326" customWidth="1"/>
    <col min="7013" max="7013" width="9" style="326"/>
    <col min="7014" max="7014" width="10.75" style="326" bestFit="1" customWidth="1"/>
    <col min="7015" max="7015" width="13" style="326" customWidth="1"/>
    <col min="7016" max="7162" width="9" style="326"/>
    <col min="7163" max="7164" width="12.125" style="326" customWidth="1"/>
    <col min="7165" max="7167" width="13" style="326" customWidth="1"/>
    <col min="7168" max="7168" width="12.875" style="326" customWidth="1"/>
    <col min="7169" max="7169" width="13" style="326" customWidth="1"/>
    <col min="7170" max="7170" width="13.125" style="326" customWidth="1"/>
    <col min="7171" max="7172" width="12.125" style="326" customWidth="1"/>
    <col min="7173" max="7173" width="14.375" style="326" bestFit="1" customWidth="1"/>
    <col min="7174" max="7174" width="11" style="326" customWidth="1"/>
    <col min="7175" max="7175" width="10" style="326" customWidth="1"/>
    <col min="7176" max="7176" width="10.875" style="326" customWidth="1"/>
    <col min="7177" max="7177" width="13.75" style="326" customWidth="1"/>
    <col min="7178" max="7178" width="10" style="326" customWidth="1"/>
    <col min="7179" max="7179" width="13.25" style="326" customWidth="1"/>
    <col min="7180" max="7180" width="14.375" style="326" customWidth="1"/>
    <col min="7181" max="7181" width="10" style="326" customWidth="1"/>
    <col min="7182" max="7182" width="10.875" style="326" customWidth="1"/>
    <col min="7183" max="7183" width="11.375" style="326" customWidth="1"/>
    <col min="7184" max="7184" width="15.375" style="326" customWidth="1"/>
    <col min="7185" max="7186" width="10.75" style="326" customWidth="1"/>
    <col min="7187" max="7187" width="14.375" style="326" customWidth="1"/>
    <col min="7188" max="7188" width="10.75" style="326" customWidth="1"/>
    <col min="7189" max="7189" width="11.75" style="326" customWidth="1"/>
    <col min="7190" max="7190" width="10" style="326" customWidth="1"/>
    <col min="7191" max="7191" width="15.375" style="326" customWidth="1"/>
    <col min="7192" max="7192" width="10" style="326" customWidth="1"/>
    <col min="7193" max="7193" width="10.75" style="326" customWidth="1"/>
    <col min="7194" max="7194" width="14.875" style="326" customWidth="1"/>
    <col min="7195" max="7195" width="11.5" style="326" customWidth="1"/>
    <col min="7196" max="7196" width="10" style="326" customWidth="1"/>
    <col min="7197" max="7197" width="10.75" style="326" customWidth="1"/>
    <col min="7198" max="7198" width="13.5" style="326" customWidth="1"/>
    <col min="7199" max="7199" width="9" style="326"/>
    <col min="7200" max="7200" width="10.75" style="326" bestFit="1" customWidth="1"/>
    <col min="7201" max="7201" width="13.75" style="326" customWidth="1"/>
    <col min="7202" max="7202" width="9" style="326"/>
    <col min="7203" max="7203" width="10.625" style="326" customWidth="1"/>
    <col min="7204" max="7204" width="9" style="326"/>
    <col min="7205" max="7205" width="14.25" style="326" customWidth="1"/>
    <col min="7206" max="7206" width="10.75" style="326" bestFit="1" customWidth="1"/>
    <col min="7207" max="7207" width="11.625" style="326" customWidth="1"/>
    <col min="7208" max="7208" width="13.75" style="326" customWidth="1"/>
    <col min="7209" max="7209" width="10.625" style="326" customWidth="1"/>
    <col min="7210" max="7211" width="9" style="326"/>
    <col min="7212" max="7212" width="14.125" style="326" customWidth="1"/>
    <col min="7213" max="7213" width="11" style="326" customWidth="1"/>
    <col min="7214" max="7214" width="10.75" style="326" bestFit="1" customWidth="1"/>
    <col min="7215" max="7215" width="13.5" style="326" customWidth="1"/>
    <col min="7216" max="7217" width="9" style="326"/>
    <col min="7218" max="7218" width="10.75" style="326" bestFit="1" customWidth="1"/>
    <col min="7219" max="7219" width="14" style="326" customWidth="1"/>
    <col min="7220" max="7220" width="9" style="326"/>
    <col min="7221" max="7221" width="10.75" style="326" customWidth="1"/>
    <col min="7222" max="7222" width="12.75" style="326" customWidth="1"/>
    <col min="7223" max="7223" width="9" style="326"/>
    <col min="7224" max="7224" width="10.75" style="326" bestFit="1" customWidth="1"/>
    <col min="7225" max="7225" width="11.5" style="326" customWidth="1"/>
    <col min="7226" max="7226" width="13.625" style="326" customWidth="1"/>
    <col min="7227" max="7227" width="10.625" style="326" customWidth="1"/>
    <col min="7228" max="7228" width="10.75" style="326" bestFit="1" customWidth="1"/>
    <col min="7229" max="7229" width="12.375" style="326" customWidth="1"/>
    <col min="7230" max="7232" width="9" style="326"/>
    <col min="7233" max="7233" width="15.75" style="326" customWidth="1"/>
    <col min="7234" max="7234" width="9" style="326"/>
    <col min="7235" max="7235" width="10.75" style="326" bestFit="1" customWidth="1"/>
    <col min="7236" max="7236" width="12.625" style="326" customWidth="1"/>
    <col min="7237" max="7239" width="9" style="326"/>
    <col min="7240" max="7240" width="13.625" style="326" customWidth="1"/>
    <col min="7241" max="7241" width="9" style="326"/>
    <col min="7242" max="7242" width="10.75" style="326" bestFit="1" customWidth="1"/>
    <col min="7243" max="7243" width="12.5" style="326" customWidth="1"/>
    <col min="7244" max="7246" width="9" style="326"/>
    <col min="7247" max="7247" width="12.875" style="326" customWidth="1"/>
    <col min="7248" max="7248" width="9" style="326"/>
    <col min="7249" max="7249" width="10.75" style="326" bestFit="1" customWidth="1"/>
    <col min="7250" max="7250" width="13.875" style="326" customWidth="1"/>
    <col min="7251" max="7253" width="9" style="326"/>
    <col min="7254" max="7254" width="14.125" style="326" customWidth="1"/>
    <col min="7255" max="7255" width="9" style="326"/>
    <col min="7256" max="7256" width="10.75" style="326" bestFit="1" customWidth="1"/>
    <col min="7257" max="7257" width="13.25" style="326" customWidth="1"/>
    <col min="7258" max="7260" width="9" style="326"/>
    <col min="7261" max="7261" width="13.25" style="326" customWidth="1"/>
    <col min="7262" max="7262" width="9" style="326"/>
    <col min="7263" max="7263" width="10.75" style="326" bestFit="1" customWidth="1"/>
    <col min="7264" max="7264" width="13.875" style="326" customWidth="1"/>
    <col min="7265" max="7267" width="9" style="326"/>
    <col min="7268" max="7268" width="13.625" style="326" customWidth="1"/>
    <col min="7269" max="7269" width="9" style="326"/>
    <col min="7270" max="7270" width="10.75" style="326" bestFit="1" customWidth="1"/>
    <col min="7271" max="7271" width="13" style="326" customWidth="1"/>
    <col min="7272" max="7418" width="9" style="326"/>
    <col min="7419" max="7420" width="12.125" style="326" customWidth="1"/>
    <col min="7421" max="7423" width="13" style="326" customWidth="1"/>
    <col min="7424" max="7424" width="12.875" style="326" customWidth="1"/>
    <col min="7425" max="7425" width="13" style="326" customWidth="1"/>
    <col min="7426" max="7426" width="13.125" style="326" customWidth="1"/>
    <col min="7427" max="7428" width="12.125" style="326" customWidth="1"/>
    <col min="7429" max="7429" width="14.375" style="326" bestFit="1" customWidth="1"/>
    <col min="7430" max="7430" width="11" style="326" customWidth="1"/>
    <col min="7431" max="7431" width="10" style="326" customWidth="1"/>
    <col min="7432" max="7432" width="10.875" style="326" customWidth="1"/>
    <col min="7433" max="7433" width="13.75" style="326" customWidth="1"/>
    <col min="7434" max="7434" width="10" style="326" customWidth="1"/>
    <col min="7435" max="7435" width="13.25" style="326" customWidth="1"/>
    <col min="7436" max="7436" width="14.375" style="326" customWidth="1"/>
    <col min="7437" max="7437" width="10" style="326" customWidth="1"/>
    <col min="7438" max="7438" width="10.875" style="326" customWidth="1"/>
    <col min="7439" max="7439" width="11.375" style="326" customWidth="1"/>
    <col min="7440" max="7440" width="15.375" style="326" customWidth="1"/>
    <col min="7441" max="7442" width="10.75" style="326" customWidth="1"/>
    <col min="7443" max="7443" width="14.375" style="326" customWidth="1"/>
    <col min="7444" max="7444" width="10.75" style="326" customWidth="1"/>
    <col min="7445" max="7445" width="11.75" style="326" customWidth="1"/>
    <col min="7446" max="7446" width="10" style="326" customWidth="1"/>
    <col min="7447" max="7447" width="15.375" style="326" customWidth="1"/>
    <col min="7448" max="7448" width="10" style="326" customWidth="1"/>
    <col min="7449" max="7449" width="10.75" style="326" customWidth="1"/>
    <col min="7450" max="7450" width="14.875" style="326" customWidth="1"/>
    <col min="7451" max="7451" width="11.5" style="326" customWidth="1"/>
    <col min="7452" max="7452" width="10" style="326" customWidth="1"/>
    <col min="7453" max="7453" width="10.75" style="326" customWidth="1"/>
    <col min="7454" max="7454" width="13.5" style="326" customWidth="1"/>
    <col min="7455" max="7455" width="9" style="326"/>
    <col min="7456" max="7456" width="10.75" style="326" bestFit="1" customWidth="1"/>
    <col min="7457" max="7457" width="13.75" style="326" customWidth="1"/>
    <col min="7458" max="7458" width="9" style="326"/>
    <col min="7459" max="7459" width="10.625" style="326" customWidth="1"/>
    <col min="7460" max="7460" width="9" style="326"/>
    <col min="7461" max="7461" width="14.25" style="326" customWidth="1"/>
    <col min="7462" max="7462" width="10.75" style="326" bestFit="1" customWidth="1"/>
    <col min="7463" max="7463" width="11.625" style="326" customWidth="1"/>
    <col min="7464" max="7464" width="13.75" style="326" customWidth="1"/>
    <col min="7465" max="7465" width="10.625" style="326" customWidth="1"/>
    <col min="7466" max="7467" width="9" style="326"/>
    <col min="7468" max="7468" width="14.125" style="326" customWidth="1"/>
    <col min="7469" max="7469" width="11" style="326" customWidth="1"/>
    <col min="7470" max="7470" width="10.75" style="326" bestFit="1" customWidth="1"/>
    <col min="7471" max="7471" width="13.5" style="326" customWidth="1"/>
    <col min="7472" max="7473" width="9" style="326"/>
    <col min="7474" max="7474" width="10.75" style="326" bestFit="1" customWidth="1"/>
    <col min="7475" max="7475" width="14" style="326" customWidth="1"/>
    <col min="7476" max="7476" width="9" style="326"/>
    <col min="7477" max="7477" width="10.75" style="326" customWidth="1"/>
    <col min="7478" max="7478" width="12.75" style="326" customWidth="1"/>
    <col min="7479" max="7479" width="9" style="326"/>
    <col min="7480" max="7480" width="10.75" style="326" bestFit="1" customWidth="1"/>
    <col min="7481" max="7481" width="11.5" style="326" customWidth="1"/>
    <col min="7482" max="7482" width="13.625" style="326" customWidth="1"/>
    <col min="7483" max="7483" width="10.625" style="326" customWidth="1"/>
    <col min="7484" max="7484" width="10.75" style="326" bestFit="1" customWidth="1"/>
    <col min="7485" max="7485" width="12.375" style="326" customWidth="1"/>
    <col min="7486" max="7488" width="9" style="326"/>
    <col min="7489" max="7489" width="15.75" style="326" customWidth="1"/>
    <col min="7490" max="7490" width="9" style="326"/>
    <col min="7491" max="7491" width="10.75" style="326" bestFit="1" customWidth="1"/>
    <col min="7492" max="7492" width="12.625" style="326" customWidth="1"/>
    <col min="7493" max="7495" width="9" style="326"/>
    <col min="7496" max="7496" width="13.625" style="326" customWidth="1"/>
    <col min="7497" max="7497" width="9" style="326"/>
    <col min="7498" max="7498" width="10.75" style="326" bestFit="1" customWidth="1"/>
    <col min="7499" max="7499" width="12.5" style="326" customWidth="1"/>
    <col min="7500" max="7502" width="9" style="326"/>
    <col min="7503" max="7503" width="12.875" style="326" customWidth="1"/>
    <col min="7504" max="7504" width="9" style="326"/>
    <col min="7505" max="7505" width="10.75" style="326" bestFit="1" customWidth="1"/>
    <col min="7506" max="7506" width="13.875" style="326" customWidth="1"/>
    <col min="7507" max="7509" width="9" style="326"/>
    <col min="7510" max="7510" width="14.125" style="326" customWidth="1"/>
    <col min="7511" max="7511" width="9" style="326"/>
    <col min="7512" max="7512" width="10.75" style="326" bestFit="1" customWidth="1"/>
    <col min="7513" max="7513" width="13.25" style="326" customWidth="1"/>
    <col min="7514" max="7516" width="9" style="326"/>
    <col min="7517" max="7517" width="13.25" style="326" customWidth="1"/>
    <col min="7518" max="7518" width="9" style="326"/>
    <col min="7519" max="7519" width="10.75" style="326" bestFit="1" customWidth="1"/>
    <col min="7520" max="7520" width="13.875" style="326" customWidth="1"/>
    <col min="7521" max="7523" width="9" style="326"/>
    <col min="7524" max="7524" width="13.625" style="326" customWidth="1"/>
    <col min="7525" max="7525" width="9" style="326"/>
    <col min="7526" max="7526" width="10.75" style="326" bestFit="1" customWidth="1"/>
    <col min="7527" max="7527" width="13" style="326" customWidth="1"/>
    <col min="7528" max="7674" width="9" style="326"/>
    <col min="7675" max="7676" width="12.125" style="326" customWidth="1"/>
    <col min="7677" max="7679" width="13" style="326" customWidth="1"/>
    <col min="7680" max="7680" width="12.875" style="326" customWidth="1"/>
    <col min="7681" max="7681" width="13" style="326" customWidth="1"/>
    <col min="7682" max="7682" width="13.125" style="326" customWidth="1"/>
    <col min="7683" max="7684" width="12.125" style="326" customWidth="1"/>
    <col min="7685" max="7685" width="14.375" style="326" bestFit="1" customWidth="1"/>
    <col min="7686" max="7686" width="11" style="326" customWidth="1"/>
    <col min="7687" max="7687" width="10" style="326" customWidth="1"/>
    <col min="7688" max="7688" width="10.875" style="326" customWidth="1"/>
    <col min="7689" max="7689" width="13.75" style="326" customWidth="1"/>
    <col min="7690" max="7690" width="10" style="326" customWidth="1"/>
    <col min="7691" max="7691" width="13.25" style="326" customWidth="1"/>
    <col min="7692" max="7692" width="14.375" style="326" customWidth="1"/>
    <col min="7693" max="7693" width="10" style="326" customWidth="1"/>
    <col min="7694" max="7694" width="10.875" style="326" customWidth="1"/>
    <col min="7695" max="7695" width="11.375" style="326" customWidth="1"/>
    <col min="7696" max="7696" width="15.375" style="326" customWidth="1"/>
    <col min="7697" max="7698" width="10.75" style="326" customWidth="1"/>
    <col min="7699" max="7699" width="14.375" style="326" customWidth="1"/>
    <col min="7700" max="7700" width="10.75" style="326" customWidth="1"/>
    <col min="7701" max="7701" width="11.75" style="326" customWidth="1"/>
    <col min="7702" max="7702" width="10" style="326" customWidth="1"/>
    <col min="7703" max="7703" width="15.375" style="326" customWidth="1"/>
    <col min="7704" max="7704" width="10" style="326" customWidth="1"/>
    <col min="7705" max="7705" width="10.75" style="326" customWidth="1"/>
    <col min="7706" max="7706" width="14.875" style="326" customWidth="1"/>
    <col min="7707" max="7707" width="11.5" style="326" customWidth="1"/>
    <col min="7708" max="7708" width="10" style="326" customWidth="1"/>
    <col min="7709" max="7709" width="10.75" style="326" customWidth="1"/>
    <col min="7710" max="7710" width="13.5" style="326" customWidth="1"/>
    <col min="7711" max="7711" width="9" style="326"/>
    <col min="7712" max="7712" width="10.75" style="326" bestFit="1" customWidth="1"/>
    <col min="7713" max="7713" width="13.75" style="326" customWidth="1"/>
    <col min="7714" max="7714" width="9" style="326"/>
    <col min="7715" max="7715" width="10.625" style="326" customWidth="1"/>
    <col min="7716" max="7716" width="9" style="326"/>
    <col min="7717" max="7717" width="14.25" style="326" customWidth="1"/>
    <col min="7718" max="7718" width="10.75" style="326" bestFit="1" customWidth="1"/>
    <col min="7719" max="7719" width="11.625" style="326" customWidth="1"/>
    <col min="7720" max="7720" width="13.75" style="326" customWidth="1"/>
    <col min="7721" max="7721" width="10.625" style="326" customWidth="1"/>
    <col min="7722" max="7723" width="9" style="326"/>
    <col min="7724" max="7724" width="14.125" style="326" customWidth="1"/>
    <col min="7725" max="7725" width="11" style="326" customWidth="1"/>
    <col min="7726" max="7726" width="10.75" style="326" bestFit="1" customWidth="1"/>
    <col min="7727" max="7727" width="13.5" style="326" customWidth="1"/>
    <col min="7728" max="7729" width="9" style="326"/>
    <col min="7730" max="7730" width="10.75" style="326" bestFit="1" customWidth="1"/>
    <col min="7731" max="7731" width="14" style="326" customWidth="1"/>
    <col min="7732" max="7732" width="9" style="326"/>
    <col min="7733" max="7733" width="10.75" style="326" customWidth="1"/>
    <col min="7734" max="7734" width="12.75" style="326" customWidth="1"/>
    <col min="7735" max="7735" width="9" style="326"/>
    <col min="7736" max="7736" width="10.75" style="326" bestFit="1" customWidth="1"/>
    <col min="7737" max="7737" width="11.5" style="326" customWidth="1"/>
    <col min="7738" max="7738" width="13.625" style="326" customWidth="1"/>
    <col min="7739" max="7739" width="10.625" style="326" customWidth="1"/>
    <col min="7740" max="7740" width="10.75" style="326" bestFit="1" customWidth="1"/>
    <col min="7741" max="7741" width="12.375" style="326" customWidth="1"/>
    <col min="7742" max="7744" width="9" style="326"/>
    <col min="7745" max="7745" width="15.75" style="326" customWidth="1"/>
    <col min="7746" max="7746" width="9" style="326"/>
    <col min="7747" max="7747" width="10.75" style="326" bestFit="1" customWidth="1"/>
    <col min="7748" max="7748" width="12.625" style="326" customWidth="1"/>
    <col min="7749" max="7751" width="9" style="326"/>
    <col min="7752" max="7752" width="13.625" style="326" customWidth="1"/>
    <col min="7753" max="7753" width="9" style="326"/>
    <col min="7754" max="7754" width="10.75" style="326" bestFit="1" customWidth="1"/>
    <col min="7755" max="7755" width="12.5" style="326" customWidth="1"/>
    <col min="7756" max="7758" width="9" style="326"/>
    <col min="7759" max="7759" width="12.875" style="326" customWidth="1"/>
    <col min="7760" max="7760" width="9" style="326"/>
    <col min="7761" max="7761" width="10.75" style="326" bestFit="1" customWidth="1"/>
    <col min="7762" max="7762" width="13.875" style="326" customWidth="1"/>
    <col min="7763" max="7765" width="9" style="326"/>
    <col min="7766" max="7766" width="14.125" style="326" customWidth="1"/>
    <col min="7767" max="7767" width="9" style="326"/>
    <col min="7768" max="7768" width="10.75" style="326" bestFit="1" customWidth="1"/>
    <col min="7769" max="7769" width="13.25" style="326" customWidth="1"/>
    <col min="7770" max="7772" width="9" style="326"/>
    <col min="7773" max="7773" width="13.25" style="326" customWidth="1"/>
    <col min="7774" max="7774" width="9" style="326"/>
    <col min="7775" max="7775" width="10.75" style="326" bestFit="1" customWidth="1"/>
    <col min="7776" max="7776" width="13.875" style="326" customWidth="1"/>
    <col min="7777" max="7779" width="9" style="326"/>
    <col min="7780" max="7780" width="13.625" style="326" customWidth="1"/>
    <col min="7781" max="7781" width="9" style="326"/>
    <col min="7782" max="7782" width="10.75" style="326" bestFit="1" customWidth="1"/>
    <col min="7783" max="7783" width="13" style="326" customWidth="1"/>
    <col min="7784" max="7930" width="9" style="326"/>
    <col min="7931" max="7932" width="12.125" style="326" customWidth="1"/>
    <col min="7933" max="7935" width="13" style="326" customWidth="1"/>
    <col min="7936" max="7936" width="12.875" style="326" customWidth="1"/>
    <col min="7937" max="7937" width="13" style="326" customWidth="1"/>
    <col min="7938" max="7938" width="13.125" style="326" customWidth="1"/>
    <col min="7939" max="7940" width="12.125" style="326" customWidth="1"/>
    <col min="7941" max="7941" width="14.375" style="326" bestFit="1" customWidth="1"/>
    <col min="7942" max="7942" width="11" style="326" customWidth="1"/>
    <col min="7943" max="7943" width="10" style="326" customWidth="1"/>
    <col min="7944" max="7944" width="10.875" style="326" customWidth="1"/>
    <col min="7945" max="7945" width="13.75" style="326" customWidth="1"/>
    <col min="7946" max="7946" width="10" style="326" customWidth="1"/>
    <col min="7947" max="7947" width="13.25" style="326" customWidth="1"/>
    <col min="7948" max="7948" width="14.375" style="326" customWidth="1"/>
    <col min="7949" max="7949" width="10" style="326" customWidth="1"/>
    <col min="7950" max="7950" width="10.875" style="326" customWidth="1"/>
    <col min="7951" max="7951" width="11.375" style="326" customWidth="1"/>
    <col min="7952" max="7952" width="15.375" style="326" customWidth="1"/>
    <col min="7953" max="7954" width="10.75" style="326" customWidth="1"/>
    <col min="7955" max="7955" width="14.375" style="326" customWidth="1"/>
    <col min="7956" max="7956" width="10.75" style="326" customWidth="1"/>
    <col min="7957" max="7957" width="11.75" style="326" customWidth="1"/>
    <col min="7958" max="7958" width="10" style="326" customWidth="1"/>
    <col min="7959" max="7959" width="15.375" style="326" customWidth="1"/>
    <col min="7960" max="7960" width="10" style="326" customWidth="1"/>
    <col min="7961" max="7961" width="10.75" style="326" customWidth="1"/>
    <col min="7962" max="7962" width="14.875" style="326" customWidth="1"/>
    <col min="7963" max="7963" width="11.5" style="326" customWidth="1"/>
    <col min="7964" max="7964" width="10" style="326" customWidth="1"/>
    <col min="7965" max="7965" width="10.75" style="326" customWidth="1"/>
    <col min="7966" max="7966" width="13.5" style="326" customWidth="1"/>
    <col min="7967" max="7967" width="9" style="326"/>
    <col min="7968" max="7968" width="10.75" style="326" bestFit="1" customWidth="1"/>
    <col min="7969" max="7969" width="13.75" style="326" customWidth="1"/>
    <col min="7970" max="7970" width="9" style="326"/>
    <col min="7971" max="7971" width="10.625" style="326" customWidth="1"/>
    <col min="7972" max="7972" width="9" style="326"/>
    <col min="7973" max="7973" width="14.25" style="326" customWidth="1"/>
    <col min="7974" max="7974" width="10.75" style="326" bestFit="1" customWidth="1"/>
    <col min="7975" max="7975" width="11.625" style="326" customWidth="1"/>
    <col min="7976" max="7976" width="13.75" style="326" customWidth="1"/>
    <col min="7977" max="7977" width="10.625" style="326" customWidth="1"/>
    <col min="7978" max="7979" width="9" style="326"/>
    <col min="7980" max="7980" width="14.125" style="326" customWidth="1"/>
    <col min="7981" max="7981" width="11" style="326" customWidth="1"/>
    <col min="7982" max="7982" width="10.75" style="326" bestFit="1" customWidth="1"/>
    <col min="7983" max="7983" width="13.5" style="326" customWidth="1"/>
    <col min="7984" max="7985" width="9" style="326"/>
    <col min="7986" max="7986" width="10.75" style="326" bestFit="1" customWidth="1"/>
    <col min="7987" max="7987" width="14" style="326" customWidth="1"/>
    <col min="7988" max="7988" width="9" style="326"/>
    <col min="7989" max="7989" width="10.75" style="326" customWidth="1"/>
    <col min="7990" max="7990" width="12.75" style="326" customWidth="1"/>
    <col min="7991" max="7991" width="9" style="326"/>
    <col min="7992" max="7992" width="10.75" style="326" bestFit="1" customWidth="1"/>
    <col min="7993" max="7993" width="11.5" style="326" customWidth="1"/>
    <col min="7994" max="7994" width="13.625" style="326" customWidth="1"/>
    <col min="7995" max="7995" width="10.625" style="326" customWidth="1"/>
    <col min="7996" max="7996" width="10.75" style="326" bestFit="1" customWidth="1"/>
    <col min="7997" max="7997" width="12.375" style="326" customWidth="1"/>
    <col min="7998" max="8000" width="9" style="326"/>
    <col min="8001" max="8001" width="15.75" style="326" customWidth="1"/>
    <col min="8002" max="8002" width="9" style="326"/>
    <col min="8003" max="8003" width="10.75" style="326" bestFit="1" customWidth="1"/>
    <col min="8004" max="8004" width="12.625" style="326" customWidth="1"/>
    <col min="8005" max="8007" width="9" style="326"/>
    <col min="8008" max="8008" width="13.625" style="326" customWidth="1"/>
    <col min="8009" max="8009" width="9" style="326"/>
    <col min="8010" max="8010" width="10.75" style="326" bestFit="1" customWidth="1"/>
    <col min="8011" max="8011" width="12.5" style="326" customWidth="1"/>
    <col min="8012" max="8014" width="9" style="326"/>
    <col min="8015" max="8015" width="12.875" style="326" customWidth="1"/>
    <col min="8016" max="8016" width="9" style="326"/>
    <col min="8017" max="8017" width="10.75" style="326" bestFit="1" customWidth="1"/>
    <col min="8018" max="8018" width="13.875" style="326" customWidth="1"/>
    <col min="8019" max="8021" width="9" style="326"/>
    <col min="8022" max="8022" width="14.125" style="326" customWidth="1"/>
    <col min="8023" max="8023" width="9" style="326"/>
    <col min="8024" max="8024" width="10.75" style="326" bestFit="1" customWidth="1"/>
    <col min="8025" max="8025" width="13.25" style="326" customWidth="1"/>
    <col min="8026" max="8028" width="9" style="326"/>
    <col min="8029" max="8029" width="13.25" style="326" customWidth="1"/>
    <col min="8030" max="8030" width="9" style="326"/>
    <col min="8031" max="8031" width="10.75" style="326" bestFit="1" customWidth="1"/>
    <col min="8032" max="8032" width="13.875" style="326" customWidth="1"/>
    <col min="8033" max="8035" width="9" style="326"/>
    <col min="8036" max="8036" width="13.625" style="326" customWidth="1"/>
    <col min="8037" max="8037" width="9" style="326"/>
    <col min="8038" max="8038" width="10.75" style="326" bestFit="1" customWidth="1"/>
    <col min="8039" max="8039" width="13" style="326" customWidth="1"/>
    <col min="8040" max="8186" width="9" style="326"/>
    <col min="8187" max="8188" width="12.125" style="326" customWidth="1"/>
    <col min="8189" max="8191" width="13" style="326" customWidth="1"/>
    <col min="8192" max="8192" width="12.875" style="326" customWidth="1"/>
    <col min="8193" max="8193" width="13" style="326" customWidth="1"/>
    <col min="8194" max="8194" width="13.125" style="326" customWidth="1"/>
    <col min="8195" max="8196" width="12.125" style="326" customWidth="1"/>
    <col min="8197" max="8197" width="14.375" style="326" bestFit="1" customWidth="1"/>
    <col min="8198" max="8198" width="11" style="326" customWidth="1"/>
    <col min="8199" max="8199" width="10" style="326" customWidth="1"/>
    <col min="8200" max="8200" width="10.875" style="326" customWidth="1"/>
    <col min="8201" max="8201" width="13.75" style="326" customWidth="1"/>
    <col min="8202" max="8202" width="10" style="326" customWidth="1"/>
    <col min="8203" max="8203" width="13.25" style="326" customWidth="1"/>
    <col min="8204" max="8204" width="14.375" style="326" customWidth="1"/>
    <col min="8205" max="8205" width="10" style="326" customWidth="1"/>
    <col min="8206" max="8206" width="10.875" style="326" customWidth="1"/>
    <col min="8207" max="8207" width="11.375" style="326" customWidth="1"/>
    <col min="8208" max="8208" width="15.375" style="326" customWidth="1"/>
    <col min="8209" max="8210" width="10.75" style="326" customWidth="1"/>
    <col min="8211" max="8211" width="14.375" style="326" customWidth="1"/>
    <col min="8212" max="8212" width="10.75" style="326" customWidth="1"/>
    <col min="8213" max="8213" width="11.75" style="326" customWidth="1"/>
    <col min="8214" max="8214" width="10" style="326" customWidth="1"/>
    <col min="8215" max="8215" width="15.375" style="326" customWidth="1"/>
    <col min="8216" max="8216" width="10" style="326" customWidth="1"/>
    <col min="8217" max="8217" width="10.75" style="326" customWidth="1"/>
    <col min="8218" max="8218" width="14.875" style="326" customWidth="1"/>
    <col min="8219" max="8219" width="11.5" style="326" customWidth="1"/>
    <col min="8220" max="8220" width="10" style="326" customWidth="1"/>
    <col min="8221" max="8221" width="10.75" style="326" customWidth="1"/>
    <col min="8222" max="8222" width="13.5" style="326" customWidth="1"/>
    <col min="8223" max="8223" width="9" style="326"/>
    <col min="8224" max="8224" width="10.75" style="326" bestFit="1" customWidth="1"/>
    <col min="8225" max="8225" width="13.75" style="326" customWidth="1"/>
    <col min="8226" max="8226" width="9" style="326"/>
    <col min="8227" max="8227" width="10.625" style="326" customWidth="1"/>
    <col min="8228" max="8228" width="9" style="326"/>
    <col min="8229" max="8229" width="14.25" style="326" customWidth="1"/>
    <col min="8230" max="8230" width="10.75" style="326" bestFit="1" customWidth="1"/>
    <col min="8231" max="8231" width="11.625" style="326" customWidth="1"/>
    <col min="8232" max="8232" width="13.75" style="326" customWidth="1"/>
    <col min="8233" max="8233" width="10.625" style="326" customWidth="1"/>
    <col min="8234" max="8235" width="9" style="326"/>
    <col min="8236" max="8236" width="14.125" style="326" customWidth="1"/>
    <col min="8237" max="8237" width="11" style="326" customWidth="1"/>
    <col min="8238" max="8238" width="10.75" style="326" bestFit="1" customWidth="1"/>
    <col min="8239" max="8239" width="13.5" style="326" customWidth="1"/>
    <col min="8240" max="8241" width="9" style="326"/>
    <col min="8242" max="8242" width="10.75" style="326" bestFit="1" customWidth="1"/>
    <col min="8243" max="8243" width="14" style="326" customWidth="1"/>
    <col min="8244" max="8244" width="9" style="326"/>
    <col min="8245" max="8245" width="10.75" style="326" customWidth="1"/>
    <col min="8246" max="8246" width="12.75" style="326" customWidth="1"/>
    <col min="8247" max="8247" width="9" style="326"/>
    <col min="8248" max="8248" width="10.75" style="326" bestFit="1" customWidth="1"/>
    <col min="8249" max="8249" width="11.5" style="326" customWidth="1"/>
    <col min="8250" max="8250" width="13.625" style="326" customWidth="1"/>
    <col min="8251" max="8251" width="10.625" style="326" customWidth="1"/>
    <col min="8252" max="8252" width="10.75" style="326" bestFit="1" customWidth="1"/>
    <col min="8253" max="8253" width="12.375" style="326" customWidth="1"/>
    <col min="8254" max="8256" width="9" style="326"/>
    <col min="8257" max="8257" width="15.75" style="326" customWidth="1"/>
    <col min="8258" max="8258" width="9" style="326"/>
    <col min="8259" max="8259" width="10.75" style="326" bestFit="1" customWidth="1"/>
    <col min="8260" max="8260" width="12.625" style="326" customWidth="1"/>
    <col min="8261" max="8263" width="9" style="326"/>
    <col min="8264" max="8264" width="13.625" style="326" customWidth="1"/>
    <col min="8265" max="8265" width="9" style="326"/>
    <col min="8266" max="8266" width="10.75" style="326" bestFit="1" customWidth="1"/>
    <col min="8267" max="8267" width="12.5" style="326" customWidth="1"/>
    <col min="8268" max="8270" width="9" style="326"/>
    <col min="8271" max="8271" width="12.875" style="326" customWidth="1"/>
    <col min="8272" max="8272" width="9" style="326"/>
    <col min="8273" max="8273" width="10.75" style="326" bestFit="1" customWidth="1"/>
    <col min="8274" max="8274" width="13.875" style="326" customWidth="1"/>
    <col min="8275" max="8277" width="9" style="326"/>
    <col min="8278" max="8278" width="14.125" style="326" customWidth="1"/>
    <col min="8279" max="8279" width="9" style="326"/>
    <col min="8280" max="8280" width="10.75" style="326" bestFit="1" customWidth="1"/>
    <col min="8281" max="8281" width="13.25" style="326" customWidth="1"/>
    <col min="8282" max="8284" width="9" style="326"/>
    <col min="8285" max="8285" width="13.25" style="326" customWidth="1"/>
    <col min="8286" max="8286" width="9" style="326"/>
    <col min="8287" max="8287" width="10.75" style="326" bestFit="1" customWidth="1"/>
    <col min="8288" max="8288" width="13.875" style="326" customWidth="1"/>
    <col min="8289" max="8291" width="9" style="326"/>
    <col min="8292" max="8292" width="13.625" style="326" customWidth="1"/>
    <col min="8293" max="8293" width="9" style="326"/>
    <col min="8294" max="8294" width="10.75" style="326" bestFit="1" customWidth="1"/>
    <col min="8295" max="8295" width="13" style="326" customWidth="1"/>
    <col min="8296" max="8442" width="9" style="326"/>
    <col min="8443" max="8444" width="12.125" style="326" customWidth="1"/>
    <col min="8445" max="8447" width="13" style="326" customWidth="1"/>
    <col min="8448" max="8448" width="12.875" style="326" customWidth="1"/>
    <col min="8449" max="8449" width="13" style="326" customWidth="1"/>
    <col min="8450" max="8450" width="13.125" style="326" customWidth="1"/>
    <col min="8451" max="8452" width="12.125" style="326" customWidth="1"/>
    <col min="8453" max="8453" width="14.375" style="326" bestFit="1" customWidth="1"/>
    <col min="8454" max="8454" width="11" style="326" customWidth="1"/>
    <col min="8455" max="8455" width="10" style="326" customWidth="1"/>
    <col min="8456" max="8456" width="10.875" style="326" customWidth="1"/>
    <col min="8457" max="8457" width="13.75" style="326" customWidth="1"/>
    <col min="8458" max="8458" width="10" style="326" customWidth="1"/>
    <col min="8459" max="8459" width="13.25" style="326" customWidth="1"/>
    <col min="8460" max="8460" width="14.375" style="326" customWidth="1"/>
    <col min="8461" max="8461" width="10" style="326" customWidth="1"/>
    <col min="8462" max="8462" width="10.875" style="326" customWidth="1"/>
    <col min="8463" max="8463" width="11.375" style="326" customWidth="1"/>
    <col min="8464" max="8464" width="15.375" style="326" customWidth="1"/>
    <col min="8465" max="8466" width="10.75" style="326" customWidth="1"/>
    <col min="8467" max="8467" width="14.375" style="326" customWidth="1"/>
    <col min="8468" max="8468" width="10.75" style="326" customWidth="1"/>
    <col min="8469" max="8469" width="11.75" style="326" customWidth="1"/>
    <col min="8470" max="8470" width="10" style="326" customWidth="1"/>
    <col min="8471" max="8471" width="15.375" style="326" customWidth="1"/>
    <col min="8472" max="8472" width="10" style="326" customWidth="1"/>
    <col min="8473" max="8473" width="10.75" style="326" customWidth="1"/>
    <col min="8474" max="8474" width="14.875" style="326" customWidth="1"/>
    <col min="8475" max="8475" width="11.5" style="326" customWidth="1"/>
    <col min="8476" max="8476" width="10" style="326" customWidth="1"/>
    <col min="8477" max="8477" width="10.75" style="326" customWidth="1"/>
    <col min="8478" max="8478" width="13.5" style="326" customWidth="1"/>
    <col min="8479" max="8479" width="9" style="326"/>
    <col min="8480" max="8480" width="10.75" style="326" bestFit="1" customWidth="1"/>
    <col min="8481" max="8481" width="13.75" style="326" customWidth="1"/>
    <col min="8482" max="8482" width="9" style="326"/>
    <col min="8483" max="8483" width="10.625" style="326" customWidth="1"/>
    <col min="8484" max="8484" width="9" style="326"/>
    <col min="8485" max="8485" width="14.25" style="326" customWidth="1"/>
    <col min="8486" max="8486" width="10.75" style="326" bestFit="1" customWidth="1"/>
    <col min="8487" max="8487" width="11.625" style="326" customWidth="1"/>
    <col min="8488" max="8488" width="13.75" style="326" customWidth="1"/>
    <col min="8489" max="8489" width="10.625" style="326" customWidth="1"/>
    <col min="8490" max="8491" width="9" style="326"/>
    <col min="8492" max="8492" width="14.125" style="326" customWidth="1"/>
    <col min="8493" max="8493" width="11" style="326" customWidth="1"/>
    <col min="8494" max="8494" width="10.75" style="326" bestFit="1" customWidth="1"/>
    <col min="8495" max="8495" width="13.5" style="326" customWidth="1"/>
    <col min="8496" max="8497" width="9" style="326"/>
    <col min="8498" max="8498" width="10.75" style="326" bestFit="1" customWidth="1"/>
    <col min="8499" max="8499" width="14" style="326" customWidth="1"/>
    <col min="8500" max="8500" width="9" style="326"/>
    <col min="8501" max="8501" width="10.75" style="326" customWidth="1"/>
    <col min="8502" max="8502" width="12.75" style="326" customWidth="1"/>
    <col min="8503" max="8503" width="9" style="326"/>
    <col min="8504" max="8504" width="10.75" style="326" bestFit="1" customWidth="1"/>
    <col min="8505" max="8505" width="11.5" style="326" customWidth="1"/>
    <col min="8506" max="8506" width="13.625" style="326" customWidth="1"/>
    <col min="8507" max="8507" width="10.625" style="326" customWidth="1"/>
    <col min="8508" max="8508" width="10.75" style="326" bestFit="1" customWidth="1"/>
    <col min="8509" max="8509" width="12.375" style="326" customWidth="1"/>
    <col min="8510" max="8512" width="9" style="326"/>
    <col min="8513" max="8513" width="15.75" style="326" customWidth="1"/>
    <col min="8514" max="8514" width="9" style="326"/>
    <col min="8515" max="8515" width="10.75" style="326" bestFit="1" customWidth="1"/>
    <col min="8516" max="8516" width="12.625" style="326" customWidth="1"/>
    <col min="8517" max="8519" width="9" style="326"/>
    <col min="8520" max="8520" width="13.625" style="326" customWidth="1"/>
    <col min="8521" max="8521" width="9" style="326"/>
    <col min="8522" max="8522" width="10.75" style="326" bestFit="1" customWidth="1"/>
    <col min="8523" max="8523" width="12.5" style="326" customWidth="1"/>
    <col min="8524" max="8526" width="9" style="326"/>
    <col min="8527" max="8527" width="12.875" style="326" customWidth="1"/>
    <col min="8528" max="8528" width="9" style="326"/>
    <col min="8529" max="8529" width="10.75" style="326" bestFit="1" customWidth="1"/>
    <col min="8530" max="8530" width="13.875" style="326" customWidth="1"/>
    <col min="8531" max="8533" width="9" style="326"/>
    <col min="8534" max="8534" width="14.125" style="326" customWidth="1"/>
    <col min="8535" max="8535" width="9" style="326"/>
    <col min="8536" max="8536" width="10.75" style="326" bestFit="1" customWidth="1"/>
    <col min="8537" max="8537" width="13.25" style="326" customWidth="1"/>
    <col min="8538" max="8540" width="9" style="326"/>
    <col min="8541" max="8541" width="13.25" style="326" customWidth="1"/>
    <col min="8542" max="8542" width="9" style="326"/>
    <col min="8543" max="8543" width="10.75" style="326" bestFit="1" customWidth="1"/>
    <col min="8544" max="8544" width="13.875" style="326" customWidth="1"/>
    <col min="8545" max="8547" width="9" style="326"/>
    <col min="8548" max="8548" width="13.625" style="326" customWidth="1"/>
    <col min="8549" max="8549" width="9" style="326"/>
    <col min="8550" max="8550" width="10.75" style="326" bestFit="1" customWidth="1"/>
    <col min="8551" max="8551" width="13" style="326" customWidth="1"/>
    <col min="8552" max="8698" width="9" style="326"/>
    <col min="8699" max="8700" width="12.125" style="326" customWidth="1"/>
    <col min="8701" max="8703" width="13" style="326" customWidth="1"/>
    <col min="8704" max="8704" width="12.875" style="326" customWidth="1"/>
    <col min="8705" max="8705" width="13" style="326" customWidth="1"/>
    <col min="8706" max="8706" width="13.125" style="326" customWidth="1"/>
    <col min="8707" max="8708" width="12.125" style="326" customWidth="1"/>
    <col min="8709" max="8709" width="14.375" style="326" bestFit="1" customWidth="1"/>
    <col min="8710" max="8710" width="11" style="326" customWidth="1"/>
    <col min="8711" max="8711" width="10" style="326" customWidth="1"/>
    <col min="8712" max="8712" width="10.875" style="326" customWidth="1"/>
    <col min="8713" max="8713" width="13.75" style="326" customWidth="1"/>
    <col min="8714" max="8714" width="10" style="326" customWidth="1"/>
    <col min="8715" max="8715" width="13.25" style="326" customWidth="1"/>
    <col min="8716" max="8716" width="14.375" style="326" customWidth="1"/>
    <col min="8717" max="8717" width="10" style="326" customWidth="1"/>
    <col min="8718" max="8718" width="10.875" style="326" customWidth="1"/>
    <col min="8719" max="8719" width="11.375" style="326" customWidth="1"/>
    <col min="8720" max="8720" width="15.375" style="326" customWidth="1"/>
    <col min="8721" max="8722" width="10.75" style="326" customWidth="1"/>
    <col min="8723" max="8723" width="14.375" style="326" customWidth="1"/>
    <col min="8724" max="8724" width="10.75" style="326" customWidth="1"/>
    <col min="8725" max="8725" width="11.75" style="326" customWidth="1"/>
    <col min="8726" max="8726" width="10" style="326" customWidth="1"/>
    <col min="8727" max="8727" width="15.375" style="326" customWidth="1"/>
    <col min="8728" max="8728" width="10" style="326" customWidth="1"/>
    <col min="8729" max="8729" width="10.75" style="326" customWidth="1"/>
    <col min="8730" max="8730" width="14.875" style="326" customWidth="1"/>
    <col min="8731" max="8731" width="11.5" style="326" customWidth="1"/>
    <col min="8732" max="8732" width="10" style="326" customWidth="1"/>
    <col min="8733" max="8733" width="10.75" style="326" customWidth="1"/>
    <col min="8734" max="8734" width="13.5" style="326" customWidth="1"/>
    <col min="8735" max="8735" width="9" style="326"/>
    <col min="8736" max="8736" width="10.75" style="326" bestFit="1" customWidth="1"/>
    <col min="8737" max="8737" width="13.75" style="326" customWidth="1"/>
    <col min="8738" max="8738" width="9" style="326"/>
    <col min="8739" max="8739" width="10.625" style="326" customWidth="1"/>
    <col min="8740" max="8740" width="9" style="326"/>
    <col min="8741" max="8741" width="14.25" style="326" customWidth="1"/>
    <col min="8742" max="8742" width="10.75" style="326" bestFit="1" customWidth="1"/>
    <col min="8743" max="8743" width="11.625" style="326" customWidth="1"/>
    <col min="8744" max="8744" width="13.75" style="326" customWidth="1"/>
    <col min="8745" max="8745" width="10.625" style="326" customWidth="1"/>
    <col min="8746" max="8747" width="9" style="326"/>
    <col min="8748" max="8748" width="14.125" style="326" customWidth="1"/>
    <col min="8749" max="8749" width="11" style="326" customWidth="1"/>
    <col min="8750" max="8750" width="10.75" style="326" bestFit="1" customWidth="1"/>
    <col min="8751" max="8751" width="13.5" style="326" customWidth="1"/>
    <col min="8752" max="8753" width="9" style="326"/>
    <col min="8754" max="8754" width="10.75" style="326" bestFit="1" customWidth="1"/>
    <col min="8755" max="8755" width="14" style="326" customWidth="1"/>
    <col min="8756" max="8756" width="9" style="326"/>
    <col min="8757" max="8757" width="10.75" style="326" customWidth="1"/>
    <col min="8758" max="8758" width="12.75" style="326" customWidth="1"/>
    <col min="8759" max="8759" width="9" style="326"/>
    <col min="8760" max="8760" width="10.75" style="326" bestFit="1" customWidth="1"/>
    <col min="8761" max="8761" width="11.5" style="326" customWidth="1"/>
    <col min="8762" max="8762" width="13.625" style="326" customWidth="1"/>
    <col min="8763" max="8763" width="10.625" style="326" customWidth="1"/>
    <col min="8764" max="8764" width="10.75" style="326" bestFit="1" customWidth="1"/>
    <col min="8765" max="8765" width="12.375" style="326" customWidth="1"/>
    <col min="8766" max="8768" width="9" style="326"/>
    <col min="8769" max="8769" width="15.75" style="326" customWidth="1"/>
    <col min="8770" max="8770" width="9" style="326"/>
    <col min="8771" max="8771" width="10.75" style="326" bestFit="1" customWidth="1"/>
    <col min="8772" max="8772" width="12.625" style="326" customWidth="1"/>
    <col min="8773" max="8775" width="9" style="326"/>
    <col min="8776" max="8776" width="13.625" style="326" customWidth="1"/>
    <col min="8777" max="8777" width="9" style="326"/>
    <col min="8778" max="8778" width="10.75" style="326" bestFit="1" customWidth="1"/>
    <col min="8779" max="8779" width="12.5" style="326" customWidth="1"/>
    <col min="8780" max="8782" width="9" style="326"/>
    <col min="8783" max="8783" width="12.875" style="326" customWidth="1"/>
    <col min="8784" max="8784" width="9" style="326"/>
    <col min="8785" max="8785" width="10.75" style="326" bestFit="1" customWidth="1"/>
    <col min="8786" max="8786" width="13.875" style="326" customWidth="1"/>
    <col min="8787" max="8789" width="9" style="326"/>
    <col min="8790" max="8790" width="14.125" style="326" customWidth="1"/>
    <col min="8791" max="8791" width="9" style="326"/>
    <col min="8792" max="8792" width="10.75" style="326" bestFit="1" customWidth="1"/>
    <col min="8793" max="8793" width="13.25" style="326" customWidth="1"/>
    <col min="8794" max="8796" width="9" style="326"/>
    <col min="8797" max="8797" width="13.25" style="326" customWidth="1"/>
    <col min="8798" max="8798" width="9" style="326"/>
    <col min="8799" max="8799" width="10.75" style="326" bestFit="1" customWidth="1"/>
    <col min="8800" max="8800" width="13.875" style="326" customWidth="1"/>
    <col min="8801" max="8803" width="9" style="326"/>
    <col min="8804" max="8804" width="13.625" style="326" customWidth="1"/>
    <col min="8805" max="8805" width="9" style="326"/>
    <col min="8806" max="8806" width="10.75" style="326" bestFit="1" customWidth="1"/>
    <col min="8807" max="8807" width="13" style="326" customWidth="1"/>
    <col min="8808" max="8954" width="9" style="326"/>
    <col min="8955" max="8956" width="12.125" style="326" customWidth="1"/>
    <col min="8957" max="8959" width="13" style="326" customWidth="1"/>
    <col min="8960" max="8960" width="12.875" style="326" customWidth="1"/>
    <col min="8961" max="8961" width="13" style="326" customWidth="1"/>
    <col min="8962" max="8962" width="13.125" style="326" customWidth="1"/>
    <col min="8963" max="8964" width="12.125" style="326" customWidth="1"/>
    <col min="8965" max="8965" width="14.375" style="326" bestFit="1" customWidth="1"/>
    <col min="8966" max="8966" width="11" style="326" customWidth="1"/>
    <col min="8967" max="8967" width="10" style="326" customWidth="1"/>
    <col min="8968" max="8968" width="10.875" style="326" customWidth="1"/>
    <col min="8969" max="8969" width="13.75" style="326" customWidth="1"/>
    <col min="8970" max="8970" width="10" style="326" customWidth="1"/>
    <col min="8971" max="8971" width="13.25" style="326" customWidth="1"/>
    <col min="8972" max="8972" width="14.375" style="326" customWidth="1"/>
    <col min="8973" max="8973" width="10" style="326" customWidth="1"/>
    <col min="8974" max="8974" width="10.875" style="326" customWidth="1"/>
    <col min="8975" max="8975" width="11.375" style="326" customWidth="1"/>
    <col min="8976" max="8976" width="15.375" style="326" customWidth="1"/>
    <col min="8977" max="8978" width="10.75" style="326" customWidth="1"/>
    <col min="8979" max="8979" width="14.375" style="326" customWidth="1"/>
    <col min="8980" max="8980" width="10.75" style="326" customWidth="1"/>
    <col min="8981" max="8981" width="11.75" style="326" customWidth="1"/>
    <col min="8982" max="8982" width="10" style="326" customWidth="1"/>
    <col min="8983" max="8983" width="15.375" style="326" customWidth="1"/>
    <col min="8984" max="8984" width="10" style="326" customWidth="1"/>
    <col min="8985" max="8985" width="10.75" style="326" customWidth="1"/>
    <col min="8986" max="8986" width="14.875" style="326" customWidth="1"/>
    <col min="8987" max="8987" width="11.5" style="326" customWidth="1"/>
    <col min="8988" max="8988" width="10" style="326" customWidth="1"/>
    <col min="8989" max="8989" width="10.75" style="326" customWidth="1"/>
    <col min="8990" max="8990" width="13.5" style="326" customWidth="1"/>
    <col min="8991" max="8991" width="9" style="326"/>
    <col min="8992" max="8992" width="10.75" style="326" bestFit="1" customWidth="1"/>
    <col min="8993" max="8993" width="13.75" style="326" customWidth="1"/>
    <col min="8994" max="8994" width="9" style="326"/>
    <col min="8995" max="8995" width="10.625" style="326" customWidth="1"/>
    <col min="8996" max="8996" width="9" style="326"/>
    <col min="8997" max="8997" width="14.25" style="326" customWidth="1"/>
    <col min="8998" max="8998" width="10.75" style="326" bestFit="1" customWidth="1"/>
    <col min="8999" max="8999" width="11.625" style="326" customWidth="1"/>
    <col min="9000" max="9000" width="13.75" style="326" customWidth="1"/>
    <col min="9001" max="9001" width="10.625" style="326" customWidth="1"/>
    <col min="9002" max="9003" width="9" style="326"/>
    <col min="9004" max="9004" width="14.125" style="326" customWidth="1"/>
    <col min="9005" max="9005" width="11" style="326" customWidth="1"/>
    <col min="9006" max="9006" width="10.75" style="326" bestFit="1" customWidth="1"/>
    <col min="9007" max="9007" width="13.5" style="326" customWidth="1"/>
    <col min="9008" max="9009" width="9" style="326"/>
    <col min="9010" max="9010" width="10.75" style="326" bestFit="1" customWidth="1"/>
    <col min="9011" max="9011" width="14" style="326" customWidth="1"/>
    <col min="9012" max="9012" width="9" style="326"/>
    <col min="9013" max="9013" width="10.75" style="326" customWidth="1"/>
    <col min="9014" max="9014" width="12.75" style="326" customWidth="1"/>
    <col min="9015" max="9015" width="9" style="326"/>
    <col min="9016" max="9016" width="10.75" style="326" bestFit="1" customWidth="1"/>
    <col min="9017" max="9017" width="11.5" style="326" customWidth="1"/>
    <col min="9018" max="9018" width="13.625" style="326" customWidth="1"/>
    <col min="9019" max="9019" width="10.625" style="326" customWidth="1"/>
    <col min="9020" max="9020" width="10.75" style="326" bestFit="1" customWidth="1"/>
    <col min="9021" max="9021" width="12.375" style="326" customWidth="1"/>
    <col min="9022" max="9024" width="9" style="326"/>
    <col min="9025" max="9025" width="15.75" style="326" customWidth="1"/>
    <col min="9026" max="9026" width="9" style="326"/>
    <col min="9027" max="9027" width="10.75" style="326" bestFit="1" customWidth="1"/>
    <col min="9028" max="9028" width="12.625" style="326" customWidth="1"/>
    <col min="9029" max="9031" width="9" style="326"/>
    <col min="9032" max="9032" width="13.625" style="326" customWidth="1"/>
    <col min="9033" max="9033" width="9" style="326"/>
    <col min="9034" max="9034" width="10.75" style="326" bestFit="1" customWidth="1"/>
    <col min="9035" max="9035" width="12.5" style="326" customWidth="1"/>
    <col min="9036" max="9038" width="9" style="326"/>
    <col min="9039" max="9039" width="12.875" style="326" customWidth="1"/>
    <col min="9040" max="9040" width="9" style="326"/>
    <col min="9041" max="9041" width="10.75" style="326" bestFit="1" customWidth="1"/>
    <col min="9042" max="9042" width="13.875" style="326" customWidth="1"/>
    <col min="9043" max="9045" width="9" style="326"/>
    <col min="9046" max="9046" width="14.125" style="326" customWidth="1"/>
    <col min="9047" max="9047" width="9" style="326"/>
    <col min="9048" max="9048" width="10.75" style="326" bestFit="1" customWidth="1"/>
    <col min="9049" max="9049" width="13.25" style="326" customWidth="1"/>
    <col min="9050" max="9052" width="9" style="326"/>
    <col min="9053" max="9053" width="13.25" style="326" customWidth="1"/>
    <col min="9054" max="9054" width="9" style="326"/>
    <col min="9055" max="9055" width="10.75" style="326" bestFit="1" customWidth="1"/>
    <col min="9056" max="9056" width="13.875" style="326" customWidth="1"/>
    <col min="9057" max="9059" width="9" style="326"/>
    <col min="9060" max="9060" width="13.625" style="326" customWidth="1"/>
    <col min="9061" max="9061" width="9" style="326"/>
    <col min="9062" max="9062" width="10.75" style="326" bestFit="1" customWidth="1"/>
    <col min="9063" max="9063" width="13" style="326" customWidth="1"/>
    <col min="9064" max="9210" width="9" style="326"/>
    <col min="9211" max="9212" width="12.125" style="326" customWidth="1"/>
    <col min="9213" max="9215" width="13" style="326" customWidth="1"/>
    <col min="9216" max="9216" width="12.875" style="326" customWidth="1"/>
    <col min="9217" max="9217" width="13" style="326" customWidth="1"/>
    <col min="9218" max="9218" width="13.125" style="326" customWidth="1"/>
    <col min="9219" max="9220" width="12.125" style="326" customWidth="1"/>
    <col min="9221" max="9221" width="14.375" style="326" bestFit="1" customWidth="1"/>
    <col min="9222" max="9222" width="11" style="326" customWidth="1"/>
    <col min="9223" max="9223" width="10" style="326" customWidth="1"/>
    <col min="9224" max="9224" width="10.875" style="326" customWidth="1"/>
    <col min="9225" max="9225" width="13.75" style="326" customWidth="1"/>
    <col min="9226" max="9226" width="10" style="326" customWidth="1"/>
    <col min="9227" max="9227" width="13.25" style="326" customWidth="1"/>
    <col min="9228" max="9228" width="14.375" style="326" customWidth="1"/>
    <col min="9229" max="9229" width="10" style="326" customWidth="1"/>
    <col min="9230" max="9230" width="10.875" style="326" customWidth="1"/>
    <col min="9231" max="9231" width="11.375" style="326" customWidth="1"/>
    <col min="9232" max="9232" width="15.375" style="326" customWidth="1"/>
    <col min="9233" max="9234" width="10.75" style="326" customWidth="1"/>
    <col min="9235" max="9235" width="14.375" style="326" customWidth="1"/>
    <col min="9236" max="9236" width="10.75" style="326" customWidth="1"/>
    <col min="9237" max="9237" width="11.75" style="326" customWidth="1"/>
    <col min="9238" max="9238" width="10" style="326" customWidth="1"/>
    <col min="9239" max="9239" width="15.375" style="326" customWidth="1"/>
    <col min="9240" max="9240" width="10" style="326" customWidth="1"/>
    <col min="9241" max="9241" width="10.75" style="326" customWidth="1"/>
    <col min="9242" max="9242" width="14.875" style="326" customWidth="1"/>
    <col min="9243" max="9243" width="11.5" style="326" customWidth="1"/>
    <col min="9244" max="9244" width="10" style="326" customWidth="1"/>
    <col min="9245" max="9245" width="10.75" style="326" customWidth="1"/>
    <col min="9246" max="9246" width="13.5" style="326" customWidth="1"/>
    <col min="9247" max="9247" width="9" style="326"/>
    <col min="9248" max="9248" width="10.75" style="326" bestFit="1" customWidth="1"/>
    <col min="9249" max="9249" width="13.75" style="326" customWidth="1"/>
    <col min="9250" max="9250" width="9" style="326"/>
    <col min="9251" max="9251" width="10.625" style="326" customWidth="1"/>
    <col min="9252" max="9252" width="9" style="326"/>
    <col min="9253" max="9253" width="14.25" style="326" customWidth="1"/>
    <col min="9254" max="9254" width="10.75" style="326" bestFit="1" customWidth="1"/>
    <col min="9255" max="9255" width="11.625" style="326" customWidth="1"/>
    <col min="9256" max="9256" width="13.75" style="326" customWidth="1"/>
    <col min="9257" max="9257" width="10.625" style="326" customWidth="1"/>
    <col min="9258" max="9259" width="9" style="326"/>
    <col min="9260" max="9260" width="14.125" style="326" customWidth="1"/>
    <col min="9261" max="9261" width="11" style="326" customWidth="1"/>
    <col min="9262" max="9262" width="10.75" style="326" bestFit="1" customWidth="1"/>
    <col min="9263" max="9263" width="13.5" style="326" customWidth="1"/>
    <col min="9264" max="9265" width="9" style="326"/>
    <col min="9266" max="9266" width="10.75" style="326" bestFit="1" customWidth="1"/>
    <col min="9267" max="9267" width="14" style="326" customWidth="1"/>
    <col min="9268" max="9268" width="9" style="326"/>
    <col min="9269" max="9269" width="10.75" style="326" customWidth="1"/>
    <col min="9270" max="9270" width="12.75" style="326" customWidth="1"/>
    <col min="9271" max="9271" width="9" style="326"/>
    <col min="9272" max="9272" width="10.75" style="326" bestFit="1" customWidth="1"/>
    <col min="9273" max="9273" width="11.5" style="326" customWidth="1"/>
    <col min="9274" max="9274" width="13.625" style="326" customWidth="1"/>
    <col min="9275" max="9275" width="10.625" style="326" customWidth="1"/>
    <col min="9276" max="9276" width="10.75" style="326" bestFit="1" customWidth="1"/>
    <col min="9277" max="9277" width="12.375" style="326" customWidth="1"/>
    <col min="9278" max="9280" width="9" style="326"/>
    <col min="9281" max="9281" width="15.75" style="326" customWidth="1"/>
    <col min="9282" max="9282" width="9" style="326"/>
    <col min="9283" max="9283" width="10.75" style="326" bestFit="1" customWidth="1"/>
    <col min="9284" max="9284" width="12.625" style="326" customWidth="1"/>
    <col min="9285" max="9287" width="9" style="326"/>
    <col min="9288" max="9288" width="13.625" style="326" customWidth="1"/>
    <col min="9289" max="9289" width="9" style="326"/>
    <col min="9290" max="9290" width="10.75" style="326" bestFit="1" customWidth="1"/>
    <col min="9291" max="9291" width="12.5" style="326" customWidth="1"/>
    <col min="9292" max="9294" width="9" style="326"/>
    <col min="9295" max="9295" width="12.875" style="326" customWidth="1"/>
    <col min="9296" max="9296" width="9" style="326"/>
    <col min="9297" max="9297" width="10.75" style="326" bestFit="1" customWidth="1"/>
    <col min="9298" max="9298" width="13.875" style="326" customWidth="1"/>
    <col min="9299" max="9301" width="9" style="326"/>
    <col min="9302" max="9302" width="14.125" style="326" customWidth="1"/>
    <col min="9303" max="9303" width="9" style="326"/>
    <col min="9304" max="9304" width="10.75" style="326" bestFit="1" customWidth="1"/>
    <col min="9305" max="9305" width="13.25" style="326" customWidth="1"/>
    <col min="9306" max="9308" width="9" style="326"/>
    <col min="9309" max="9309" width="13.25" style="326" customWidth="1"/>
    <col min="9310" max="9310" width="9" style="326"/>
    <col min="9311" max="9311" width="10.75" style="326" bestFit="1" customWidth="1"/>
    <col min="9312" max="9312" width="13.875" style="326" customWidth="1"/>
    <col min="9313" max="9315" width="9" style="326"/>
    <col min="9316" max="9316" width="13.625" style="326" customWidth="1"/>
    <col min="9317" max="9317" width="9" style="326"/>
    <col min="9318" max="9318" width="10.75" style="326" bestFit="1" customWidth="1"/>
    <col min="9319" max="9319" width="13" style="326" customWidth="1"/>
    <col min="9320" max="9466" width="9" style="326"/>
    <col min="9467" max="9468" width="12.125" style="326" customWidth="1"/>
    <col min="9469" max="9471" width="13" style="326" customWidth="1"/>
    <col min="9472" max="9472" width="12.875" style="326" customWidth="1"/>
    <col min="9473" max="9473" width="13" style="326" customWidth="1"/>
    <col min="9474" max="9474" width="13.125" style="326" customWidth="1"/>
    <col min="9475" max="9476" width="12.125" style="326" customWidth="1"/>
    <col min="9477" max="9477" width="14.375" style="326" bestFit="1" customWidth="1"/>
    <col min="9478" max="9478" width="11" style="326" customWidth="1"/>
    <col min="9479" max="9479" width="10" style="326" customWidth="1"/>
    <col min="9480" max="9480" width="10.875" style="326" customWidth="1"/>
    <col min="9481" max="9481" width="13.75" style="326" customWidth="1"/>
    <col min="9482" max="9482" width="10" style="326" customWidth="1"/>
    <col min="9483" max="9483" width="13.25" style="326" customWidth="1"/>
    <col min="9484" max="9484" width="14.375" style="326" customWidth="1"/>
    <col min="9485" max="9485" width="10" style="326" customWidth="1"/>
    <col min="9486" max="9486" width="10.875" style="326" customWidth="1"/>
    <col min="9487" max="9487" width="11.375" style="326" customWidth="1"/>
    <col min="9488" max="9488" width="15.375" style="326" customWidth="1"/>
    <col min="9489" max="9490" width="10.75" style="326" customWidth="1"/>
    <col min="9491" max="9491" width="14.375" style="326" customWidth="1"/>
    <col min="9492" max="9492" width="10.75" style="326" customWidth="1"/>
    <col min="9493" max="9493" width="11.75" style="326" customWidth="1"/>
    <col min="9494" max="9494" width="10" style="326" customWidth="1"/>
    <col min="9495" max="9495" width="15.375" style="326" customWidth="1"/>
    <col min="9496" max="9496" width="10" style="326" customWidth="1"/>
    <col min="9497" max="9497" width="10.75" style="326" customWidth="1"/>
    <col min="9498" max="9498" width="14.875" style="326" customWidth="1"/>
    <col min="9499" max="9499" width="11.5" style="326" customWidth="1"/>
    <col min="9500" max="9500" width="10" style="326" customWidth="1"/>
    <col min="9501" max="9501" width="10.75" style="326" customWidth="1"/>
    <col min="9502" max="9502" width="13.5" style="326" customWidth="1"/>
    <col min="9503" max="9503" width="9" style="326"/>
    <col min="9504" max="9504" width="10.75" style="326" bestFit="1" customWidth="1"/>
    <col min="9505" max="9505" width="13.75" style="326" customWidth="1"/>
    <col min="9506" max="9506" width="9" style="326"/>
    <col min="9507" max="9507" width="10.625" style="326" customWidth="1"/>
    <col min="9508" max="9508" width="9" style="326"/>
    <col min="9509" max="9509" width="14.25" style="326" customWidth="1"/>
    <col min="9510" max="9510" width="10.75" style="326" bestFit="1" customWidth="1"/>
    <col min="9511" max="9511" width="11.625" style="326" customWidth="1"/>
    <col min="9512" max="9512" width="13.75" style="326" customWidth="1"/>
    <col min="9513" max="9513" width="10.625" style="326" customWidth="1"/>
    <col min="9514" max="9515" width="9" style="326"/>
    <col min="9516" max="9516" width="14.125" style="326" customWidth="1"/>
    <col min="9517" max="9517" width="11" style="326" customWidth="1"/>
    <col min="9518" max="9518" width="10.75" style="326" bestFit="1" customWidth="1"/>
    <col min="9519" max="9519" width="13.5" style="326" customWidth="1"/>
    <col min="9520" max="9521" width="9" style="326"/>
    <col min="9522" max="9522" width="10.75" style="326" bestFit="1" customWidth="1"/>
    <col min="9523" max="9523" width="14" style="326" customWidth="1"/>
    <col min="9524" max="9524" width="9" style="326"/>
    <col min="9525" max="9525" width="10.75" style="326" customWidth="1"/>
    <col min="9526" max="9526" width="12.75" style="326" customWidth="1"/>
    <col min="9527" max="9527" width="9" style="326"/>
    <col min="9528" max="9528" width="10.75" style="326" bestFit="1" customWidth="1"/>
    <col min="9529" max="9529" width="11.5" style="326" customWidth="1"/>
    <col min="9530" max="9530" width="13.625" style="326" customWidth="1"/>
    <col min="9531" max="9531" width="10.625" style="326" customWidth="1"/>
    <col min="9532" max="9532" width="10.75" style="326" bestFit="1" customWidth="1"/>
    <col min="9533" max="9533" width="12.375" style="326" customWidth="1"/>
    <col min="9534" max="9536" width="9" style="326"/>
    <col min="9537" max="9537" width="15.75" style="326" customWidth="1"/>
    <col min="9538" max="9538" width="9" style="326"/>
    <col min="9539" max="9539" width="10.75" style="326" bestFit="1" customWidth="1"/>
    <col min="9540" max="9540" width="12.625" style="326" customWidth="1"/>
    <col min="9541" max="9543" width="9" style="326"/>
    <col min="9544" max="9544" width="13.625" style="326" customWidth="1"/>
    <col min="9545" max="9545" width="9" style="326"/>
    <col min="9546" max="9546" width="10.75" style="326" bestFit="1" customWidth="1"/>
    <col min="9547" max="9547" width="12.5" style="326" customWidth="1"/>
    <col min="9548" max="9550" width="9" style="326"/>
    <col min="9551" max="9551" width="12.875" style="326" customWidth="1"/>
    <col min="9552" max="9552" width="9" style="326"/>
    <col min="9553" max="9553" width="10.75" style="326" bestFit="1" customWidth="1"/>
    <col min="9554" max="9554" width="13.875" style="326" customWidth="1"/>
    <col min="9555" max="9557" width="9" style="326"/>
    <col min="9558" max="9558" width="14.125" style="326" customWidth="1"/>
    <col min="9559" max="9559" width="9" style="326"/>
    <col min="9560" max="9560" width="10.75" style="326" bestFit="1" customWidth="1"/>
    <col min="9561" max="9561" width="13.25" style="326" customWidth="1"/>
    <col min="9562" max="9564" width="9" style="326"/>
    <col min="9565" max="9565" width="13.25" style="326" customWidth="1"/>
    <col min="9566" max="9566" width="9" style="326"/>
    <col min="9567" max="9567" width="10.75" style="326" bestFit="1" customWidth="1"/>
    <col min="9568" max="9568" width="13.875" style="326" customWidth="1"/>
    <col min="9569" max="9571" width="9" style="326"/>
    <col min="9572" max="9572" width="13.625" style="326" customWidth="1"/>
    <col min="9573" max="9573" width="9" style="326"/>
    <col min="9574" max="9574" width="10.75" style="326" bestFit="1" customWidth="1"/>
    <col min="9575" max="9575" width="13" style="326" customWidth="1"/>
    <col min="9576" max="9722" width="9" style="326"/>
    <col min="9723" max="9724" width="12.125" style="326" customWidth="1"/>
    <col min="9725" max="9727" width="13" style="326" customWidth="1"/>
    <col min="9728" max="9728" width="12.875" style="326" customWidth="1"/>
    <col min="9729" max="9729" width="13" style="326" customWidth="1"/>
    <col min="9730" max="9730" width="13.125" style="326" customWidth="1"/>
    <col min="9731" max="9732" width="12.125" style="326" customWidth="1"/>
    <col min="9733" max="9733" width="14.375" style="326" bestFit="1" customWidth="1"/>
    <col min="9734" max="9734" width="11" style="326" customWidth="1"/>
    <col min="9735" max="9735" width="10" style="326" customWidth="1"/>
    <col min="9736" max="9736" width="10.875" style="326" customWidth="1"/>
    <col min="9737" max="9737" width="13.75" style="326" customWidth="1"/>
    <col min="9738" max="9738" width="10" style="326" customWidth="1"/>
    <col min="9739" max="9739" width="13.25" style="326" customWidth="1"/>
    <col min="9740" max="9740" width="14.375" style="326" customWidth="1"/>
    <col min="9741" max="9741" width="10" style="326" customWidth="1"/>
    <col min="9742" max="9742" width="10.875" style="326" customWidth="1"/>
    <col min="9743" max="9743" width="11.375" style="326" customWidth="1"/>
    <col min="9744" max="9744" width="15.375" style="326" customWidth="1"/>
    <col min="9745" max="9746" width="10.75" style="326" customWidth="1"/>
    <col min="9747" max="9747" width="14.375" style="326" customWidth="1"/>
    <col min="9748" max="9748" width="10.75" style="326" customWidth="1"/>
    <col min="9749" max="9749" width="11.75" style="326" customWidth="1"/>
    <col min="9750" max="9750" width="10" style="326" customWidth="1"/>
    <col min="9751" max="9751" width="15.375" style="326" customWidth="1"/>
    <col min="9752" max="9752" width="10" style="326" customWidth="1"/>
    <col min="9753" max="9753" width="10.75" style="326" customWidth="1"/>
    <col min="9754" max="9754" width="14.875" style="326" customWidth="1"/>
    <col min="9755" max="9755" width="11.5" style="326" customWidth="1"/>
    <col min="9756" max="9756" width="10" style="326" customWidth="1"/>
    <col min="9757" max="9757" width="10.75" style="326" customWidth="1"/>
    <col min="9758" max="9758" width="13.5" style="326" customWidth="1"/>
    <col min="9759" max="9759" width="9" style="326"/>
    <col min="9760" max="9760" width="10.75" style="326" bestFit="1" customWidth="1"/>
    <col min="9761" max="9761" width="13.75" style="326" customWidth="1"/>
    <col min="9762" max="9762" width="9" style="326"/>
    <col min="9763" max="9763" width="10.625" style="326" customWidth="1"/>
    <col min="9764" max="9764" width="9" style="326"/>
    <col min="9765" max="9765" width="14.25" style="326" customWidth="1"/>
    <col min="9766" max="9766" width="10.75" style="326" bestFit="1" customWidth="1"/>
    <col min="9767" max="9767" width="11.625" style="326" customWidth="1"/>
    <col min="9768" max="9768" width="13.75" style="326" customWidth="1"/>
    <col min="9769" max="9769" width="10.625" style="326" customWidth="1"/>
    <col min="9770" max="9771" width="9" style="326"/>
    <col min="9772" max="9772" width="14.125" style="326" customWidth="1"/>
    <col min="9773" max="9773" width="11" style="326" customWidth="1"/>
    <col min="9774" max="9774" width="10.75" style="326" bestFit="1" customWidth="1"/>
    <col min="9775" max="9775" width="13.5" style="326" customWidth="1"/>
    <col min="9776" max="9777" width="9" style="326"/>
    <col min="9778" max="9778" width="10.75" style="326" bestFit="1" customWidth="1"/>
    <col min="9779" max="9779" width="14" style="326" customWidth="1"/>
    <col min="9780" max="9780" width="9" style="326"/>
    <col min="9781" max="9781" width="10.75" style="326" customWidth="1"/>
    <col min="9782" max="9782" width="12.75" style="326" customWidth="1"/>
    <col min="9783" max="9783" width="9" style="326"/>
    <col min="9784" max="9784" width="10.75" style="326" bestFit="1" customWidth="1"/>
    <col min="9785" max="9785" width="11.5" style="326" customWidth="1"/>
    <col min="9786" max="9786" width="13.625" style="326" customWidth="1"/>
    <col min="9787" max="9787" width="10.625" style="326" customWidth="1"/>
    <col min="9788" max="9788" width="10.75" style="326" bestFit="1" customWidth="1"/>
    <col min="9789" max="9789" width="12.375" style="326" customWidth="1"/>
    <col min="9790" max="9792" width="9" style="326"/>
    <col min="9793" max="9793" width="15.75" style="326" customWidth="1"/>
    <col min="9794" max="9794" width="9" style="326"/>
    <col min="9795" max="9795" width="10.75" style="326" bestFit="1" customWidth="1"/>
    <col min="9796" max="9796" width="12.625" style="326" customWidth="1"/>
    <col min="9797" max="9799" width="9" style="326"/>
    <col min="9800" max="9800" width="13.625" style="326" customWidth="1"/>
    <col min="9801" max="9801" width="9" style="326"/>
    <col min="9802" max="9802" width="10.75" style="326" bestFit="1" customWidth="1"/>
    <col min="9803" max="9803" width="12.5" style="326" customWidth="1"/>
    <col min="9804" max="9806" width="9" style="326"/>
    <col min="9807" max="9807" width="12.875" style="326" customWidth="1"/>
    <col min="9808" max="9808" width="9" style="326"/>
    <col min="9809" max="9809" width="10.75" style="326" bestFit="1" customWidth="1"/>
    <col min="9810" max="9810" width="13.875" style="326" customWidth="1"/>
    <col min="9811" max="9813" width="9" style="326"/>
    <col min="9814" max="9814" width="14.125" style="326" customWidth="1"/>
    <col min="9815" max="9815" width="9" style="326"/>
    <col min="9816" max="9816" width="10.75" style="326" bestFit="1" customWidth="1"/>
    <col min="9817" max="9817" width="13.25" style="326" customWidth="1"/>
    <col min="9818" max="9820" width="9" style="326"/>
    <col min="9821" max="9821" width="13.25" style="326" customWidth="1"/>
    <col min="9822" max="9822" width="9" style="326"/>
    <col min="9823" max="9823" width="10.75" style="326" bestFit="1" customWidth="1"/>
    <col min="9824" max="9824" width="13.875" style="326" customWidth="1"/>
    <col min="9825" max="9827" width="9" style="326"/>
    <col min="9828" max="9828" width="13.625" style="326" customWidth="1"/>
    <col min="9829" max="9829" width="9" style="326"/>
    <col min="9830" max="9830" width="10.75" style="326" bestFit="1" customWidth="1"/>
    <col min="9831" max="9831" width="13" style="326" customWidth="1"/>
    <col min="9832" max="9978" width="9" style="326"/>
    <col min="9979" max="9980" width="12.125" style="326" customWidth="1"/>
    <col min="9981" max="9983" width="13" style="326" customWidth="1"/>
    <col min="9984" max="9984" width="12.875" style="326" customWidth="1"/>
    <col min="9985" max="9985" width="13" style="326" customWidth="1"/>
    <col min="9986" max="9986" width="13.125" style="326" customWidth="1"/>
    <col min="9987" max="9988" width="12.125" style="326" customWidth="1"/>
    <col min="9989" max="9989" width="14.375" style="326" bestFit="1" customWidth="1"/>
    <col min="9990" max="9990" width="11" style="326" customWidth="1"/>
    <col min="9991" max="9991" width="10" style="326" customWidth="1"/>
    <col min="9992" max="9992" width="10.875" style="326" customWidth="1"/>
    <col min="9993" max="9993" width="13.75" style="326" customWidth="1"/>
    <col min="9994" max="9994" width="10" style="326" customWidth="1"/>
    <col min="9995" max="9995" width="13.25" style="326" customWidth="1"/>
    <col min="9996" max="9996" width="14.375" style="326" customWidth="1"/>
    <col min="9997" max="9997" width="10" style="326" customWidth="1"/>
    <col min="9998" max="9998" width="10.875" style="326" customWidth="1"/>
    <col min="9999" max="9999" width="11.375" style="326" customWidth="1"/>
    <col min="10000" max="10000" width="15.375" style="326" customWidth="1"/>
    <col min="10001" max="10002" width="10.75" style="326" customWidth="1"/>
    <col min="10003" max="10003" width="14.375" style="326" customWidth="1"/>
    <col min="10004" max="10004" width="10.75" style="326" customWidth="1"/>
    <col min="10005" max="10005" width="11.75" style="326" customWidth="1"/>
    <col min="10006" max="10006" width="10" style="326" customWidth="1"/>
    <col min="10007" max="10007" width="15.375" style="326" customWidth="1"/>
    <col min="10008" max="10008" width="10" style="326" customWidth="1"/>
    <col min="10009" max="10009" width="10.75" style="326" customWidth="1"/>
    <col min="10010" max="10010" width="14.875" style="326" customWidth="1"/>
    <col min="10011" max="10011" width="11.5" style="326" customWidth="1"/>
    <col min="10012" max="10012" width="10" style="326" customWidth="1"/>
    <col min="10013" max="10013" width="10.75" style="326" customWidth="1"/>
    <col min="10014" max="10014" width="13.5" style="326" customWidth="1"/>
    <col min="10015" max="10015" width="9" style="326"/>
    <col min="10016" max="10016" width="10.75" style="326" bestFit="1" customWidth="1"/>
    <col min="10017" max="10017" width="13.75" style="326" customWidth="1"/>
    <col min="10018" max="10018" width="9" style="326"/>
    <col min="10019" max="10019" width="10.625" style="326" customWidth="1"/>
    <col min="10020" max="10020" width="9" style="326"/>
    <col min="10021" max="10021" width="14.25" style="326" customWidth="1"/>
    <col min="10022" max="10022" width="10.75" style="326" bestFit="1" customWidth="1"/>
    <col min="10023" max="10023" width="11.625" style="326" customWidth="1"/>
    <col min="10024" max="10024" width="13.75" style="326" customWidth="1"/>
    <col min="10025" max="10025" width="10.625" style="326" customWidth="1"/>
    <col min="10026" max="10027" width="9" style="326"/>
    <col min="10028" max="10028" width="14.125" style="326" customWidth="1"/>
    <col min="10029" max="10029" width="11" style="326" customWidth="1"/>
    <col min="10030" max="10030" width="10.75" style="326" bestFit="1" customWidth="1"/>
    <col min="10031" max="10031" width="13.5" style="326" customWidth="1"/>
    <col min="10032" max="10033" width="9" style="326"/>
    <col min="10034" max="10034" width="10.75" style="326" bestFit="1" customWidth="1"/>
    <col min="10035" max="10035" width="14" style="326" customWidth="1"/>
    <col min="10036" max="10036" width="9" style="326"/>
    <col min="10037" max="10037" width="10.75" style="326" customWidth="1"/>
    <col min="10038" max="10038" width="12.75" style="326" customWidth="1"/>
    <col min="10039" max="10039" width="9" style="326"/>
    <col min="10040" max="10040" width="10.75" style="326" bestFit="1" customWidth="1"/>
    <col min="10041" max="10041" width="11.5" style="326" customWidth="1"/>
    <col min="10042" max="10042" width="13.625" style="326" customWidth="1"/>
    <col min="10043" max="10043" width="10.625" style="326" customWidth="1"/>
    <col min="10044" max="10044" width="10.75" style="326" bestFit="1" customWidth="1"/>
    <col min="10045" max="10045" width="12.375" style="326" customWidth="1"/>
    <col min="10046" max="10048" width="9" style="326"/>
    <col min="10049" max="10049" width="15.75" style="326" customWidth="1"/>
    <col min="10050" max="10050" width="9" style="326"/>
    <col min="10051" max="10051" width="10.75" style="326" bestFit="1" customWidth="1"/>
    <col min="10052" max="10052" width="12.625" style="326" customWidth="1"/>
    <col min="10053" max="10055" width="9" style="326"/>
    <col min="10056" max="10056" width="13.625" style="326" customWidth="1"/>
    <col min="10057" max="10057" width="9" style="326"/>
    <col min="10058" max="10058" width="10.75" style="326" bestFit="1" customWidth="1"/>
    <col min="10059" max="10059" width="12.5" style="326" customWidth="1"/>
    <col min="10060" max="10062" width="9" style="326"/>
    <col min="10063" max="10063" width="12.875" style="326" customWidth="1"/>
    <col min="10064" max="10064" width="9" style="326"/>
    <col min="10065" max="10065" width="10.75" style="326" bestFit="1" customWidth="1"/>
    <col min="10066" max="10066" width="13.875" style="326" customWidth="1"/>
    <col min="10067" max="10069" width="9" style="326"/>
    <col min="10070" max="10070" width="14.125" style="326" customWidth="1"/>
    <col min="10071" max="10071" width="9" style="326"/>
    <col min="10072" max="10072" width="10.75" style="326" bestFit="1" customWidth="1"/>
    <col min="10073" max="10073" width="13.25" style="326" customWidth="1"/>
    <col min="10074" max="10076" width="9" style="326"/>
    <col min="10077" max="10077" width="13.25" style="326" customWidth="1"/>
    <col min="10078" max="10078" width="9" style="326"/>
    <col min="10079" max="10079" width="10.75" style="326" bestFit="1" customWidth="1"/>
    <col min="10080" max="10080" width="13.875" style="326" customWidth="1"/>
    <col min="10081" max="10083" width="9" style="326"/>
    <col min="10084" max="10084" width="13.625" style="326" customWidth="1"/>
    <col min="10085" max="10085" width="9" style="326"/>
    <col min="10086" max="10086" width="10.75" style="326" bestFit="1" customWidth="1"/>
    <col min="10087" max="10087" width="13" style="326" customWidth="1"/>
    <col min="10088" max="10234" width="9" style="326"/>
    <col min="10235" max="10236" width="12.125" style="326" customWidth="1"/>
    <col min="10237" max="10239" width="13" style="326" customWidth="1"/>
    <col min="10240" max="10240" width="12.875" style="326" customWidth="1"/>
    <col min="10241" max="10241" width="13" style="326" customWidth="1"/>
    <col min="10242" max="10242" width="13.125" style="326" customWidth="1"/>
    <col min="10243" max="10244" width="12.125" style="326" customWidth="1"/>
    <col min="10245" max="10245" width="14.375" style="326" bestFit="1" customWidth="1"/>
    <col min="10246" max="10246" width="11" style="326" customWidth="1"/>
    <col min="10247" max="10247" width="10" style="326" customWidth="1"/>
    <col min="10248" max="10248" width="10.875" style="326" customWidth="1"/>
    <col min="10249" max="10249" width="13.75" style="326" customWidth="1"/>
    <col min="10250" max="10250" width="10" style="326" customWidth="1"/>
    <col min="10251" max="10251" width="13.25" style="326" customWidth="1"/>
    <col min="10252" max="10252" width="14.375" style="326" customWidth="1"/>
    <col min="10253" max="10253" width="10" style="326" customWidth="1"/>
    <col min="10254" max="10254" width="10.875" style="326" customWidth="1"/>
    <col min="10255" max="10255" width="11.375" style="326" customWidth="1"/>
    <col min="10256" max="10256" width="15.375" style="326" customWidth="1"/>
    <col min="10257" max="10258" width="10.75" style="326" customWidth="1"/>
    <col min="10259" max="10259" width="14.375" style="326" customWidth="1"/>
    <col min="10260" max="10260" width="10.75" style="326" customWidth="1"/>
    <col min="10261" max="10261" width="11.75" style="326" customWidth="1"/>
    <col min="10262" max="10262" width="10" style="326" customWidth="1"/>
    <col min="10263" max="10263" width="15.375" style="326" customWidth="1"/>
    <col min="10264" max="10264" width="10" style="326" customWidth="1"/>
    <col min="10265" max="10265" width="10.75" style="326" customWidth="1"/>
    <col min="10266" max="10266" width="14.875" style="326" customWidth="1"/>
    <col min="10267" max="10267" width="11.5" style="326" customWidth="1"/>
    <col min="10268" max="10268" width="10" style="326" customWidth="1"/>
    <col min="10269" max="10269" width="10.75" style="326" customWidth="1"/>
    <col min="10270" max="10270" width="13.5" style="326" customWidth="1"/>
    <col min="10271" max="10271" width="9" style="326"/>
    <col min="10272" max="10272" width="10.75" style="326" bestFit="1" customWidth="1"/>
    <col min="10273" max="10273" width="13.75" style="326" customWidth="1"/>
    <col min="10274" max="10274" width="9" style="326"/>
    <col min="10275" max="10275" width="10.625" style="326" customWidth="1"/>
    <col min="10276" max="10276" width="9" style="326"/>
    <col min="10277" max="10277" width="14.25" style="326" customWidth="1"/>
    <col min="10278" max="10278" width="10.75" style="326" bestFit="1" customWidth="1"/>
    <col min="10279" max="10279" width="11.625" style="326" customWidth="1"/>
    <col min="10280" max="10280" width="13.75" style="326" customWidth="1"/>
    <col min="10281" max="10281" width="10.625" style="326" customWidth="1"/>
    <col min="10282" max="10283" width="9" style="326"/>
    <col min="10284" max="10284" width="14.125" style="326" customWidth="1"/>
    <col min="10285" max="10285" width="11" style="326" customWidth="1"/>
    <col min="10286" max="10286" width="10.75" style="326" bestFit="1" customWidth="1"/>
    <col min="10287" max="10287" width="13.5" style="326" customWidth="1"/>
    <col min="10288" max="10289" width="9" style="326"/>
    <col min="10290" max="10290" width="10.75" style="326" bestFit="1" customWidth="1"/>
    <col min="10291" max="10291" width="14" style="326" customWidth="1"/>
    <col min="10292" max="10292" width="9" style="326"/>
    <col min="10293" max="10293" width="10.75" style="326" customWidth="1"/>
    <col min="10294" max="10294" width="12.75" style="326" customWidth="1"/>
    <col min="10295" max="10295" width="9" style="326"/>
    <col min="10296" max="10296" width="10.75" style="326" bestFit="1" customWidth="1"/>
    <col min="10297" max="10297" width="11.5" style="326" customWidth="1"/>
    <col min="10298" max="10298" width="13.625" style="326" customWidth="1"/>
    <col min="10299" max="10299" width="10.625" style="326" customWidth="1"/>
    <col min="10300" max="10300" width="10.75" style="326" bestFit="1" customWidth="1"/>
    <col min="10301" max="10301" width="12.375" style="326" customWidth="1"/>
    <col min="10302" max="10304" width="9" style="326"/>
    <col min="10305" max="10305" width="15.75" style="326" customWidth="1"/>
    <col min="10306" max="10306" width="9" style="326"/>
    <col min="10307" max="10307" width="10.75" style="326" bestFit="1" customWidth="1"/>
    <col min="10308" max="10308" width="12.625" style="326" customWidth="1"/>
    <col min="10309" max="10311" width="9" style="326"/>
    <col min="10312" max="10312" width="13.625" style="326" customWidth="1"/>
    <col min="10313" max="10313" width="9" style="326"/>
    <col min="10314" max="10314" width="10.75" style="326" bestFit="1" customWidth="1"/>
    <col min="10315" max="10315" width="12.5" style="326" customWidth="1"/>
    <col min="10316" max="10318" width="9" style="326"/>
    <col min="10319" max="10319" width="12.875" style="326" customWidth="1"/>
    <col min="10320" max="10320" width="9" style="326"/>
    <col min="10321" max="10321" width="10.75" style="326" bestFit="1" customWidth="1"/>
    <col min="10322" max="10322" width="13.875" style="326" customWidth="1"/>
    <col min="10323" max="10325" width="9" style="326"/>
    <col min="10326" max="10326" width="14.125" style="326" customWidth="1"/>
    <col min="10327" max="10327" width="9" style="326"/>
    <col min="10328" max="10328" width="10.75" style="326" bestFit="1" customWidth="1"/>
    <col min="10329" max="10329" width="13.25" style="326" customWidth="1"/>
    <col min="10330" max="10332" width="9" style="326"/>
    <col min="10333" max="10333" width="13.25" style="326" customWidth="1"/>
    <col min="10334" max="10334" width="9" style="326"/>
    <col min="10335" max="10335" width="10.75" style="326" bestFit="1" customWidth="1"/>
    <col min="10336" max="10336" width="13.875" style="326" customWidth="1"/>
    <col min="10337" max="10339" width="9" style="326"/>
    <col min="10340" max="10340" width="13.625" style="326" customWidth="1"/>
    <col min="10341" max="10341" width="9" style="326"/>
    <col min="10342" max="10342" width="10.75" style="326" bestFit="1" customWidth="1"/>
    <col min="10343" max="10343" width="13" style="326" customWidth="1"/>
    <col min="10344" max="10490" width="9" style="326"/>
    <col min="10491" max="10492" width="12.125" style="326" customWidth="1"/>
    <col min="10493" max="10495" width="13" style="326" customWidth="1"/>
    <col min="10496" max="10496" width="12.875" style="326" customWidth="1"/>
    <col min="10497" max="10497" width="13" style="326" customWidth="1"/>
    <col min="10498" max="10498" width="13.125" style="326" customWidth="1"/>
    <col min="10499" max="10500" width="12.125" style="326" customWidth="1"/>
    <col min="10501" max="10501" width="14.375" style="326" bestFit="1" customWidth="1"/>
    <col min="10502" max="10502" width="11" style="326" customWidth="1"/>
    <col min="10503" max="10503" width="10" style="326" customWidth="1"/>
    <col min="10504" max="10504" width="10.875" style="326" customWidth="1"/>
    <col min="10505" max="10505" width="13.75" style="326" customWidth="1"/>
    <col min="10506" max="10506" width="10" style="326" customWidth="1"/>
    <col min="10507" max="10507" width="13.25" style="326" customWidth="1"/>
    <col min="10508" max="10508" width="14.375" style="326" customWidth="1"/>
    <col min="10509" max="10509" width="10" style="326" customWidth="1"/>
    <col min="10510" max="10510" width="10.875" style="326" customWidth="1"/>
    <col min="10511" max="10511" width="11.375" style="326" customWidth="1"/>
    <col min="10512" max="10512" width="15.375" style="326" customWidth="1"/>
    <col min="10513" max="10514" width="10.75" style="326" customWidth="1"/>
    <col min="10515" max="10515" width="14.375" style="326" customWidth="1"/>
    <col min="10516" max="10516" width="10.75" style="326" customWidth="1"/>
    <col min="10517" max="10517" width="11.75" style="326" customWidth="1"/>
    <col min="10518" max="10518" width="10" style="326" customWidth="1"/>
    <col min="10519" max="10519" width="15.375" style="326" customWidth="1"/>
    <col min="10520" max="10520" width="10" style="326" customWidth="1"/>
    <col min="10521" max="10521" width="10.75" style="326" customWidth="1"/>
    <col min="10522" max="10522" width="14.875" style="326" customWidth="1"/>
    <col min="10523" max="10523" width="11.5" style="326" customWidth="1"/>
    <col min="10524" max="10524" width="10" style="326" customWidth="1"/>
    <col min="10525" max="10525" width="10.75" style="326" customWidth="1"/>
    <col min="10526" max="10526" width="13.5" style="326" customWidth="1"/>
    <col min="10527" max="10527" width="9" style="326"/>
    <col min="10528" max="10528" width="10.75" style="326" bestFit="1" customWidth="1"/>
    <col min="10529" max="10529" width="13.75" style="326" customWidth="1"/>
    <col min="10530" max="10530" width="9" style="326"/>
    <col min="10531" max="10531" width="10.625" style="326" customWidth="1"/>
    <col min="10532" max="10532" width="9" style="326"/>
    <col min="10533" max="10533" width="14.25" style="326" customWidth="1"/>
    <col min="10534" max="10534" width="10.75" style="326" bestFit="1" customWidth="1"/>
    <col min="10535" max="10535" width="11.625" style="326" customWidth="1"/>
    <col min="10536" max="10536" width="13.75" style="326" customWidth="1"/>
    <col min="10537" max="10537" width="10.625" style="326" customWidth="1"/>
    <col min="10538" max="10539" width="9" style="326"/>
    <col min="10540" max="10540" width="14.125" style="326" customWidth="1"/>
    <col min="10541" max="10541" width="11" style="326" customWidth="1"/>
    <col min="10542" max="10542" width="10.75" style="326" bestFit="1" customWidth="1"/>
    <col min="10543" max="10543" width="13.5" style="326" customWidth="1"/>
    <col min="10544" max="10545" width="9" style="326"/>
    <col min="10546" max="10546" width="10.75" style="326" bestFit="1" customWidth="1"/>
    <col min="10547" max="10547" width="14" style="326" customWidth="1"/>
    <col min="10548" max="10548" width="9" style="326"/>
    <col min="10549" max="10549" width="10.75" style="326" customWidth="1"/>
    <col min="10550" max="10550" width="12.75" style="326" customWidth="1"/>
    <col min="10551" max="10551" width="9" style="326"/>
    <col min="10552" max="10552" width="10.75" style="326" bestFit="1" customWidth="1"/>
    <col min="10553" max="10553" width="11.5" style="326" customWidth="1"/>
    <col min="10554" max="10554" width="13.625" style="326" customWidth="1"/>
    <col min="10555" max="10555" width="10.625" style="326" customWidth="1"/>
    <col min="10556" max="10556" width="10.75" style="326" bestFit="1" customWidth="1"/>
    <col min="10557" max="10557" width="12.375" style="326" customWidth="1"/>
    <col min="10558" max="10560" width="9" style="326"/>
    <col min="10561" max="10561" width="15.75" style="326" customWidth="1"/>
    <col min="10562" max="10562" width="9" style="326"/>
    <col min="10563" max="10563" width="10.75" style="326" bestFit="1" customWidth="1"/>
    <col min="10564" max="10564" width="12.625" style="326" customWidth="1"/>
    <col min="10565" max="10567" width="9" style="326"/>
    <col min="10568" max="10568" width="13.625" style="326" customWidth="1"/>
    <col min="10569" max="10569" width="9" style="326"/>
    <col min="10570" max="10570" width="10.75" style="326" bestFit="1" customWidth="1"/>
    <col min="10571" max="10571" width="12.5" style="326" customWidth="1"/>
    <col min="10572" max="10574" width="9" style="326"/>
    <col min="10575" max="10575" width="12.875" style="326" customWidth="1"/>
    <col min="10576" max="10576" width="9" style="326"/>
    <col min="10577" max="10577" width="10.75" style="326" bestFit="1" customWidth="1"/>
    <col min="10578" max="10578" width="13.875" style="326" customWidth="1"/>
    <col min="10579" max="10581" width="9" style="326"/>
    <col min="10582" max="10582" width="14.125" style="326" customWidth="1"/>
    <col min="10583" max="10583" width="9" style="326"/>
    <col min="10584" max="10584" width="10.75" style="326" bestFit="1" customWidth="1"/>
    <col min="10585" max="10585" width="13.25" style="326" customWidth="1"/>
    <col min="10586" max="10588" width="9" style="326"/>
    <col min="10589" max="10589" width="13.25" style="326" customWidth="1"/>
    <col min="10590" max="10590" width="9" style="326"/>
    <col min="10591" max="10591" width="10.75" style="326" bestFit="1" customWidth="1"/>
    <col min="10592" max="10592" width="13.875" style="326" customWidth="1"/>
    <col min="10593" max="10595" width="9" style="326"/>
    <col min="10596" max="10596" width="13.625" style="326" customWidth="1"/>
    <col min="10597" max="10597" width="9" style="326"/>
    <col min="10598" max="10598" width="10.75" style="326" bestFit="1" customWidth="1"/>
    <col min="10599" max="10599" width="13" style="326" customWidth="1"/>
    <col min="10600" max="10746" width="9" style="326"/>
    <col min="10747" max="10748" width="12.125" style="326" customWidth="1"/>
    <col min="10749" max="10751" width="13" style="326" customWidth="1"/>
    <col min="10752" max="10752" width="12.875" style="326" customWidth="1"/>
    <col min="10753" max="10753" width="13" style="326" customWidth="1"/>
    <col min="10754" max="10754" width="13.125" style="326" customWidth="1"/>
    <col min="10755" max="10756" width="12.125" style="326" customWidth="1"/>
    <col min="10757" max="10757" width="14.375" style="326" bestFit="1" customWidth="1"/>
    <col min="10758" max="10758" width="11" style="326" customWidth="1"/>
    <col min="10759" max="10759" width="10" style="326" customWidth="1"/>
    <col min="10760" max="10760" width="10.875" style="326" customWidth="1"/>
    <col min="10761" max="10761" width="13.75" style="326" customWidth="1"/>
    <col min="10762" max="10762" width="10" style="326" customWidth="1"/>
    <col min="10763" max="10763" width="13.25" style="326" customWidth="1"/>
    <col min="10764" max="10764" width="14.375" style="326" customWidth="1"/>
    <col min="10765" max="10765" width="10" style="326" customWidth="1"/>
    <col min="10766" max="10766" width="10.875" style="326" customWidth="1"/>
    <col min="10767" max="10767" width="11.375" style="326" customWidth="1"/>
    <col min="10768" max="10768" width="15.375" style="326" customWidth="1"/>
    <col min="10769" max="10770" width="10.75" style="326" customWidth="1"/>
    <col min="10771" max="10771" width="14.375" style="326" customWidth="1"/>
    <col min="10772" max="10772" width="10.75" style="326" customWidth="1"/>
    <col min="10773" max="10773" width="11.75" style="326" customWidth="1"/>
    <col min="10774" max="10774" width="10" style="326" customWidth="1"/>
    <col min="10775" max="10775" width="15.375" style="326" customWidth="1"/>
    <col min="10776" max="10776" width="10" style="326" customWidth="1"/>
    <col min="10777" max="10777" width="10.75" style="326" customWidth="1"/>
    <col min="10778" max="10778" width="14.875" style="326" customWidth="1"/>
    <col min="10779" max="10779" width="11.5" style="326" customWidth="1"/>
    <col min="10780" max="10780" width="10" style="326" customWidth="1"/>
    <col min="10781" max="10781" width="10.75" style="326" customWidth="1"/>
    <col min="10782" max="10782" width="13.5" style="326" customWidth="1"/>
    <col min="10783" max="10783" width="9" style="326"/>
    <col min="10784" max="10784" width="10.75" style="326" bestFit="1" customWidth="1"/>
    <col min="10785" max="10785" width="13.75" style="326" customWidth="1"/>
    <col min="10786" max="10786" width="9" style="326"/>
    <col min="10787" max="10787" width="10.625" style="326" customWidth="1"/>
    <col min="10788" max="10788" width="9" style="326"/>
    <col min="10789" max="10789" width="14.25" style="326" customWidth="1"/>
    <col min="10790" max="10790" width="10.75" style="326" bestFit="1" customWidth="1"/>
    <col min="10791" max="10791" width="11.625" style="326" customWidth="1"/>
    <col min="10792" max="10792" width="13.75" style="326" customWidth="1"/>
    <col min="10793" max="10793" width="10.625" style="326" customWidth="1"/>
    <col min="10794" max="10795" width="9" style="326"/>
    <col min="10796" max="10796" width="14.125" style="326" customWidth="1"/>
    <col min="10797" max="10797" width="11" style="326" customWidth="1"/>
    <col min="10798" max="10798" width="10.75" style="326" bestFit="1" customWidth="1"/>
    <col min="10799" max="10799" width="13.5" style="326" customWidth="1"/>
    <col min="10800" max="10801" width="9" style="326"/>
    <col min="10802" max="10802" width="10.75" style="326" bestFit="1" customWidth="1"/>
    <col min="10803" max="10803" width="14" style="326" customWidth="1"/>
    <col min="10804" max="10804" width="9" style="326"/>
    <col min="10805" max="10805" width="10.75" style="326" customWidth="1"/>
    <col min="10806" max="10806" width="12.75" style="326" customWidth="1"/>
    <col min="10807" max="10807" width="9" style="326"/>
    <col min="10808" max="10808" width="10.75" style="326" bestFit="1" customWidth="1"/>
    <col min="10809" max="10809" width="11.5" style="326" customWidth="1"/>
    <col min="10810" max="10810" width="13.625" style="326" customWidth="1"/>
    <col min="10811" max="10811" width="10.625" style="326" customWidth="1"/>
    <col min="10812" max="10812" width="10.75" style="326" bestFit="1" customWidth="1"/>
    <col min="10813" max="10813" width="12.375" style="326" customWidth="1"/>
    <col min="10814" max="10816" width="9" style="326"/>
    <col min="10817" max="10817" width="15.75" style="326" customWidth="1"/>
    <col min="10818" max="10818" width="9" style="326"/>
    <col min="10819" max="10819" width="10.75" style="326" bestFit="1" customWidth="1"/>
    <col min="10820" max="10820" width="12.625" style="326" customWidth="1"/>
    <col min="10821" max="10823" width="9" style="326"/>
    <col min="10824" max="10824" width="13.625" style="326" customWidth="1"/>
    <col min="10825" max="10825" width="9" style="326"/>
    <col min="10826" max="10826" width="10.75" style="326" bestFit="1" customWidth="1"/>
    <col min="10827" max="10827" width="12.5" style="326" customWidth="1"/>
    <col min="10828" max="10830" width="9" style="326"/>
    <col min="10831" max="10831" width="12.875" style="326" customWidth="1"/>
    <col min="10832" max="10832" width="9" style="326"/>
    <col min="10833" max="10833" width="10.75" style="326" bestFit="1" customWidth="1"/>
    <col min="10834" max="10834" width="13.875" style="326" customWidth="1"/>
    <col min="10835" max="10837" width="9" style="326"/>
    <col min="10838" max="10838" width="14.125" style="326" customWidth="1"/>
    <col min="10839" max="10839" width="9" style="326"/>
    <col min="10840" max="10840" width="10.75" style="326" bestFit="1" customWidth="1"/>
    <col min="10841" max="10841" width="13.25" style="326" customWidth="1"/>
    <col min="10842" max="10844" width="9" style="326"/>
    <col min="10845" max="10845" width="13.25" style="326" customWidth="1"/>
    <col min="10846" max="10846" width="9" style="326"/>
    <col min="10847" max="10847" width="10.75" style="326" bestFit="1" customWidth="1"/>
    <col min="10848" max="10848" width="13.875" style="326" customWidth="1"/>
    <col min="10849" max="10851" width="9" style="326"/>
    <col min="10852" max="10852" width="13.625" style="326" customWidth="1"/>
    <col min="10853" max="10853" width="9" style="326"/>
    <col min="10854" max="10854" width="10.75" style="326" bestFit="1" customWidth="1"/>
    <col min="10855" max="10855" width="13" style="326" customWidth="1"/>
    <col min="10856" max="11002" width="9" style="326"/>
    <col min="11003" max="11004" width="12.125" style="326" customWidth="1"/>
    <col min="11005" max="11007" width="13" style="326" customWidth="1"/>
    <col min="11008" max="11008" width="12.875" style="326" customWidth="1"/>
    <col min="11009" max="11009" width="13" style="326" customWidth="1"/>
    <col min="11010" max="11010" width="13.125" style="326" customWidth="1"/>
    <col min="11011" max="11012" width="12.125" style="326" customWidth="1"/>
    <col min="11013" max="11013" width="14.375" style="326" bestFit="1" customWidth="1"/>
    <col min="11014" max="11014" width="11" style="326" customWidth="1"/>
    <col min="11015" max="11015" width="10" style="326" customWidth="1"/>
    <col min="11016" max="11016" width="10.875" style="326" customWidth="1"/>
    <col min="11017" max="11017" width="13.75" style="326" customWidth="1"/>
    <col min="11018" max="11018" width="10" style="326" customWidth="1"/>
    <col min="11019" max="11019" width="13.25" style="326" customWidth="1"/>
    <col min="11020" max="11020" width="14.375" style="326" customWidth="1"/>
    <col min="11021" max="11021" width="10" style="326" customWidth="1"/>
    <col min="11022" max="11022" width="10.875" style="326" customWidth="1"/>
    <col min="11023" max="11023" width="11.375" style="326" customWidth="1"/>
    <col min="11024" max="11024" width="15.375" style="326" customWidth="1"/>
    <col min="11025" max="11026" width="10.75" style="326" customWidth="1"/>
    <col min="11027" max="11027" width="14.375" style="326" customWidth="1"/>
    <col min="11028" max="11028" width="10.75" style="326" customWidth="1"/>
    <col min="11029" max="11029" width="11.75" style="326" customWidth="1"/>
    <col min="11030" max="11030" width="10" style="326" customWidth="1"/>
    <col min="11031" max="11031" width="15.375" style="326" customWidth="1"/>
    <col min="11032" max="11032" width="10" style="326" customWidth="1"/>
    <col min="11033" max="11033" width="10.75" style="326" customWidth="1"/>
    <col min="11034" max="11034" width="14.875" style="326" customWidth="1"/>
    <col min="11035" max="11035" width="11.5" style="326" customWidth="1"/>
    <col min="11036" max="11036" width="10" style="326" customWidth="1"/>
    <col min="11037" max="11037" width="10.75" style="326" customWidth="1"/>
    <col min="11038" max="11038" width="13.5" style="326" customWidth="1"/>
    <col min="11039" max="11039" width="9" style="326"/>
    <col min="11040" max="11040" width="10.75" style="326" bestFit="1" customWidth="1"/>
    <col min="11041" max="11041" width="13.75" style="326" customWidth="1"/>
    <col min="11042" max="11042" width="9" style="326"/>
    <col min="11043" max="11043" width="10.625" style="326" customWidth="1"/>
    <col min="11044" max="11044" width="9" style="326"/>
    <col min="11045" max="11045" width="14.25" style="326" customWidth="1"/>
    <col min="11046" max="11046" width="10.75" style="326" bestFit="1" customWidth="1"/>
    <col min="11047" max="11047" width="11.625" style="326" customWidth="1"/>
    <col min="11048" max="11048" width="13.75" style="326" customWidth="1"/>
    <col min="11049" max="11049" width="10.625" style="326" customWidth="1"/>
    <col min="11050" max="11051" width="9" style="326"/>
    <col min="11052" max="11052" width="14.125" style="326" customWidth="1"/>
    <col min="11053" max="11053" width="11" style="326" customWidth="1"/>
    <col min="11054" max="11054" width="10.75" style="326" bestFit="1" customWidth="1"/>
    <col min="11055" max="11055" width="13.5" style="326" customWidth="1"/>
    <col min="11056" max="11057" width="9" style="326"/>
    <col min="11058" max="11058" width="10.75" style="326" bestFit="1" customWidth="1"/>
    <col min="11059" max="11059" width="14" style="326" customWidth="1"/>
    <col min="11060" max="11060" width="9" style="326"/>
    <col min="11061" max="11061" width="10.75" style="326" customWidth="1"/>
    <col min="11062" max="11062" width="12.75" style="326" customWidth="1"/>
    <col min="11063" max="11063" width="9" style="326"/>
    <col min="11064" max="11064" width="10.75" style="326" bestFit="1" customWidth="1"/>
    <col min="11065" max="11065" width="11.5" style="326" customWidth="1"/>
    <col min="11066" max="11066" width="13.625" style="326" customWidth="1"/>
    <col min="11067" max="11067" width="10.625" style="326" customWidth="1"/>
    <col min="11068" max="11068" width="10.75" style="326" bestFit="1" customWidth="1"/>
    <col min="11069" max="11069" width="12.375" style="326" customWidth="1"/>
    <col min="11070" max="11072" width="9" style="326"/>
    <col min="11073" max="11073" width="15.75" style="326" customWidth="1"/>
    <col min="11074" max="11074" width="9" style="326"/>
    <col min="11075" max="11075" width="10.75" style="326" bestFit="1" customWidth="1"/>
    <col min="11076" max="11076" width="12.625" style="326" customWidth="1"/>
    <col min="11077" max="11079" width="9" style="326"/>
    <col min="11080" max="11080" width="13.625" style="326" customWidth="1"/>
    <col min="11081" max="11081" width="9" style="326"/>
    <col min="11082" max="11082" width="10.75" style="326" bestFit="1" customWidth="1"/>
    <col min="11083" max="11083" width="12.5" style="326" customWidth="1"/>
    <col min="11084" max="11086" width="9" style="326"/>
    <col min="11087" max="11087" width="12.875" style="326" customWidth="1"/>
    <col min="11088" max="11088" width="9" style="326"/>
    <col min="11089" max="11089" width="10.75" style="326" bestFit="1" customWidth="1"/>
    <col min="11090" max="11090" width="13.875" style="326" customWidth="1"/>
    <col min="11091" max="11093" width="9" style="326"/>
    <col min="11094" max="11094" width="14.125" style="326" customWidth="1"/>
    <col min="11095" max="11095" width="9" style="326"/>
    <col min="11096" max="11096" width="10.75" style="326" bestFit="1" customWidth="1"/>
    <col min="11097" max="11097" width="13.25" style="326" customWidth="1"/>
    <col min="11098" max="11100" width="9" style="326"/>
    <col min="11101" max="11101" width="13.25" style="326" customWidth="1"/>
    <col min="11102" max="11102" width="9" style="326"/>
    <col min="11103" max="11103" width="10.75" style="326" bestFit="1" customWidth="1"/>
    <col min="11104" max="11104" width="13.875" style="326" customWidth="1"/>
    <col min="11105" max="11107" width="9" style="326"/>
    <col min="11108" max="11108" width="13.625" style="326" customWidth="1"/>
    <col min="11109" max="11109" width="9" style="326"/>
    <col min="11110" max="11110" width="10.75" style="326" bestFit="1" customWidth="1"/>
    <col min="11111" max="11111" width="13" style="326" customWidth="1"/>
    <col min="11112" max="11258" width="9" style="326"/>
    <col min="11259" max="11260" width="12.125" style="326" customWidth="1"/>
    <col min="11261" max="11263" width="13" style="326" customWidth="1"/>
    <col min="11264" max="11264" width="12.875" style="326" customWidth="1"/>
    <col min="11265" max="11265" width="13" style="326" customWidth="1"/>
    <col min="11266" max="11266" width="13.125" style="326" customWidth="1"/>
    <col min="11267" max="11268" width="12.125" style="326" customWidth="1"/>
    <col min="11269" max="11269" width="14.375" style="326" bestFit="1" customWidth="1"/>
    <col min="11270" max="11270" width="11" style="326" customWidth="1"/>
    <col min="11271" max="11271" width="10" style="326" customWidth="1"/>
    <col min="11272" max="11272" width="10.875" style="326" customWidth="1"/>
    <col min="11273" max="11273" width="13.75" style="326" customWidth="1"/>
    <col min="11274" max="11274" width="10" style="326" customWidth="1"/>
    <col min="11275" max="11275" width="13.25" style="326" customWidth="1"/>
    <col min="11276" max="11276" width="14.375" style="326" customWidth="1"/>
    <col min="11277" max="11277" width="10" style="326" customWidth="1"/>
    <col min="11278" max="11278" width="10.875" style="326" customWidth="1"/>
    <col min="11279" max="11279" width="11.375" style="326" customWidth="1"/>
    <col min="11280" max="11280" width="15.375" style="326" customWidth="1"/>
    <col min="11281" max="11282" width="10.75" style="326" customWidth="1"/>
    <col min="11283" max="11283" width="14.375" style="326" customWidth="1"/>
    <col min="11284" max="11284" width="10.75" style="326" customWidth="1"/>
    <col min="11285" max="11285" width="11.75" style="326" customWidth="1"/>
    <col min="11286" max="11286" width="10" style="326" customWidth="1"/>
    <col min="11287" max="11287" width="15.375" style="326" customWidth="1"/>
    <col min="11288" max="11288" width="10" style="326" customWidth="1"/>
    <col min="11289" max="11289" width="10.75" style="326" customWidth="1"/>
    <col min="11290" max="11290" width="14.875" style="326" customWidth="1"/>
    <col min="11291" max="11291" width="11.5" style="326" customWidth="1"/>
    <col min="11292" max="11292" width="10" style="326" customWidth="1"/>
    <col min="11293" max="11293" width="10.75" style="326" customWidth="1"/>
    <col min="11294" max="11294" width="13.5" style="326" customWidth="1"/>
    <col min="11295" max="11295" width="9" style="326"/>
    <col min="11296" max="11296" width="10.75" style="326" bestFit="1" customWidth="1"/>
    <col min="11297" max="11297" width="13.75" style="326" customWidth="1"/>
    <col min="11298" max="11298" width="9" style="326"/>
    <col min="11299" max="11299" width="10.625" style="326" customWidth="1"/>
    <col min="11300" max="11300" width="9" style="326"/>
    <col min="11301" max="11301" width="14.25" style="326" customWidth="1"/>
    <col min="11302" max="11302" width="10.75" style="326" bestFit="1" customWidth="1"/>
    <col min="11303" max="11303" width="11.625" style="326" customWidth="1"/>
    <col min="11304" max="11304" width="13.75" style="326" customWidth="1"/>
    <col min="11305" max="11305" width="10.625" style="326" customWidth="1"/>
    <col min="11306" max="11307" width="9" style="326"/>
    <col min="11308" max="11308" width="14.125" style="326" customWidth="1"/>
    <col min="11309" max="11309" width="11" style="326" customWidth="1"/>
    <col min="11310" max="11310" width="10.75" style="326" bestFit="1" customWidth="1"/>
    <col min="11311" max="11311" width="13.5" style="326" customWidth="1"/>
    <col min="11312" max="11313" width="9" style="326"/>
    <col min="11314" max="11314" width="10.75" style="326" bestFit="1" customWidth="1"/>
    <col min="11315" max="11315" width="14" style="326" customWidth="1"/>
    <col min="11316" max="11316" width="9" style="326"/>
    <col min="11317" max="11317" width="10.75" style="326" customWidth="1"/>
    <col min="11318" max="11318" width="12.75" style="326" customWidth="1"/>
    <col min="11319" max="11319" width="9" style="326"/>
    <col min="11320" max="11320" width="10.75" style="326" bestFit="1" customWidth="1"/>
    <col min="11321" max="11321" width="11.5" style="326" customWidth="1"/>
    <col min="11322" max="11322" width="13.625" style="326" customWidth="1"/>
    <col min="11323" max="11323" width="10.625" style="326" customWidth="1"/>
    <col min="11324" max="11324" width="10.75" style="326" bestFit="1" customWidth="1"/>
    <col min="11325" max="11325" width="12.375" style="326" customWidth="1"/>
    <col min="11326" max="11328" width="9" style="326"/>
    <col min="11329" max="11329" width="15.75" style="326" customWidth="1"/>
    <col min="11330" max="11330" width="9" style="326"/>
    <col min="11331" max="11331" width="10.75" style="326" bestFit="1" customWidth="1"/>
    <col min="11332" max="11332" width="12.625" style="326" customWidth="1"/>
    <col min="11333" max="11335" width="9" style="326"/>
    <col min="11336" max="11336" width="13.625" style="326" customWidth="1"/>
    <col min="11337" max="11337" width="9" style="326"/>
    <col min="11338" max="11338" width="10.75" style="326" bestFit="1" customWidth="1"/>
    <col min="11339" max="11339" width="12.5" style="326" customWidth="1"/>
    <col min="11340" max="11342" width="9" style="326"/>
    <col min="11343" max="11343" width="12.875" style="326" customWidth="1"/>
    <col min="11344" max="11344" width="9" style="326"/>
    <col min="11345" max="11345" width="10.75" style="326" bestFit="1" customWidth="1"/>
    <col min="11346" max="11346" width="13.875" style="326" customWidth="1"/>
    <col min="11347" max="11349" width="9" style="326"/>
    <col min="11350" max="11350" width="14.125" style="326" customWidth="1"/>
    <col min="11351" max="11351" width="9" style="326"/>
    <col min="11352" max="11352" width="10.75" style="326" bestFit="1" customWidth="1"/>
    <col min="11353" max="11353" width="13.25" style="326" customWidth="1"/>
    <col min="11354" max="11356" width="9" style="326"/>
    <col min="11357" max="11357" width="13.25" style="326" customWidth="1"/>
    <col min="11358" max="11358" width="9" style="326"/>
    <col min="11359" max="11359" width="10.75" style="326" bestFit="1" customWidth="1"/>
    <col min="11360" max="11360" width="13.875" style="326" customWidth="1"/>
    <col min="11361" max="11363" width="9" style="326"/>
    <col min="11364" max="11364" width="13.625" style="326" customWidth="1"/>
    <col min="11365" max="11365" width="9" style="326"/>
    <col min="11366" max="11366" width="10.75" style="326" bestFit="1" customWidth="1"/>
    <col min="11367" max="11367" width="13" style="326" customWidth="1"/>
    <col min="11368" max="11514" width="9" style="326"/>
    <col min="11515" max="11516" width="12.125" style="326" customWidth="1"/>
    <col min="11517" max="11519" width="13" style="326" customWidth="1"/>
    <col min="11520" max="11520" width="12.875" style="326" customWidth="1"/>
    <col min="11521" max="11521" width="13" style="326" customWidth="1"/>
    <col min="11522" max="11522" width="13.125" style="326" customWidth="1"/>
    <col min="11523" max="11524" width="12.125" style="326" customWidth="1"/>
    <col min="11525" max="11525" width="14.375" style="326" bestFit="1" customWidth="1"/>
    <col min="11526" max="11526" width="11" style="326" customWidth="1"/>
    <col min="11527" max="11527" width="10" style="326" customWidth="1"/>
    <col min="11528" max="11528" width="10.875" style="326" customWidth="1"/>
    <col min="11529" max="11529" width="13.75" style="326" customWidth="1"/>
    <col min="11530" max="11530" width="10" style="326" customWidth="1"/>
    <col min="11531" max="11531" width="13.25" style="326" customWidth="1"/>
    <col min="11532" max="11532" width="14.375" style="326" customWidth="1"/>
    <col min="11533" max="11533" width="10" style="326" customWidth="1"/>
    <col min="11534" max="11534" width="10.875" style="326" customWidth="1"/>
    <col min="11535" max="11535" width="11.375" style="326" customWidth="1"/>
    <col min="11536" max="11536" width="15.375" style="326" customWidth="1"/>
    <col min="11537" max="11538" width="10.75" style="326" customWidth="1"/>
    <col min="11539" max="11539" width="14.375" style="326" customWidth="1"/>
    <col min="11540" max="11540" width="10.75" style="326" customWidth="1"/>
    <col min="11541" max="11541" width="11.75" style="326" customWidth="1"/>
    <col min="11542" max="11542" width="10" style="326" customWidth="1"/>
    <col min="11543" max="11543" width="15.375" style="326" customWidth="1"/>
    <col min="11544" max="11544" width="10" style="326" customWidth="1"/>
    <col min="11545" max="11545" width="10.75" style="326" customWidth="1"/>
    <col min="11546" max="11546" width="14.875" style="326" customWidth="1"/>
    <col min="11547" max="11547" width="11.5" style="326" customWidth="1"/>
    <col min="11548" max="11548" width="10" style="326" customWidth="1"/>
    <col min="11549" max="11549" width="10.75" style="326" customWidth="1"/>
    <col min="11550" max="11550" width="13.5" style="326" customWidth="1"/>
    <col min="11551" max="11551" width="9" style="326"/>
    <col min="11552" max="11552" width="10.75" style="326" bestFit="1" customWidth="1"/>
    <col min="11553" max="11553" width="13.75" style="326" customWidth="1"/>
    <col min="11554" max="11554" width="9" style="326"/>
    <col min="11555" max="11555" width="10.625" style="326" customWidth="1"/>
    <col min="11556" max="11556" width="9" style="326"/>
    <col min="11557" max="11557" width="14.25" style="326" customWidth="1"/>
    <col min="11558" max="11558" width="10.75" style="326" bestFit="1" customWidth="1"/>
    <col min="11559" max="11559" width="11.625" style="326" customWidth="1"/>
    <col min="11560" max="11560" width="13.75" style="326" customWidth="1"/>
    <col min="11561" max="11561" width="10.625" style="326" customWidth="1"/>
    <col min="11562" max="11563" width="9" style="326"/>
    <col min="11564" max="11564" width="14.125" style="326" customWidth="1"/>
    <col min="11565" max="11565" width="11" style="326" customWidth="1"/>
    <col min="11566" max="11566" width="10.75" style="326" bestFit="1" customWidth="1"/>
    <col min="11567" max="11567" width="13.5" style="326" customWidth="1"/>
    <col min="11568" max="11569" width="9" style="326"/>
    <col min="11570" max="11570" width="10.75" style="326" bestFit="1" customWidth="1"/>
    <col min="11571" max="11571" width="14" style="326" customWidth="1"/>
    <col min="11572" max="11572" width="9" style="326"/>
    <col min="11573" max="11573" width="10.75" style="326" customWidth="1"/>
    <col min="11574" max="11574" width="12.75" style="326" customWidth="1"/>
    <col min="11575" max="11575" width="9" style="326"/>
    <col min="11576" max="11576" width="10.75" style="326" bestFit="1" customWidth="1"/>
    <col min="11577" max="11577" width="11.5" style="326" customWidth="1"/>
    <col min="11578" max="11578" width="13.625" style="326" customWidth="1"/>
    <col min="11579" max="11579" width="10.625" style="326" customWidth="1"/>
    <col min="11580" max="11580" width="10.75" style="326" bestFit="1" customWidth="1"/>
    <col min="11581" max="11581" width="12.375" style="326" customWidth="1"/>
    <col min="11582" max="11584" width="9" style="326"/>
    <col min="11585" max="11585" width="15.75" style="326" customWidth="1"/>
    <col min="11586" max="11586" width="9" style="326"/>
    <col min="11587" max="11587" width="10.75" style="326" bestFit="1" customWidth="1"/>
    <col min="11588" max="11588" width="12.625" style="326" customWidth="1"/>
    <col min="11589" max="11591" width="9" style="326"/>
    <col min="11592" max="11592" width="13.625" style="326" customWidth="1"/>
    <col min="11593" max="11593" width="9" style="326"/>
    <col min="11594" max="11594" width="10.75" style="326" bestFit="1" customWidth="1"/>
    <col min="11595" max="11595" width="12.5" style="326" customWidth="1"/>
    <col min="11596" max="11598" width="9" style="326"/>
    <col min="11599" max="11599" width="12.875" style="326" customWidth="1"/>
    <col min="11600" max="11600" width="9" style="326"/>
    <col min="11601" max="11601" width="10.75" style="326" bestFit="1" customWidth="1"/>
    <col min="11602" max="11602" width="13.875" style="326" customWidth="1"/>
    <col min="11603" max="11605" width="9" style="326"/>
    <col min="11606" max="11606" width="14.125" style="326" customWidth="1"/>
    <col min="11607" max="11607" width="9" style="326"/>
    <col min="11608" max="11608" width="10.75" style="326" bestFit="1" customWidth="1"/>
    <col min="11609" max="11609" width="13.25" style="326" customWidth="1"/>
    <col min="11610" max="11612" width="9" style="326"/>
    <col min="11613" max="11613" width="13.25" style="326" customWidth="1"/>
    <col min="11614" max="11614" width="9" style="326"/>
    <col min="11615" max="11615" width="10.75" style="326" bestFit="1" customWidth="1"/>
    <col min="11616" max="11616" width="13.875" style="326" customWidth="1"/>
    <col min="11617" max="11619" width="9" style="326"/>
    <col min="11620" max="11620" width="13.625" style="326" customWidth="1"/>
    <col min="11621" max="11621" width="9" style="326"/>
    <col min="11622" max="11622" width="10.75" style="326" bestFit="1" customWidth="1"/>
    <col min="11623" max="11623" width="13" style="326" customWidth="1"/>
    <col min="11624" max="11770" width="9" style="326"/>
    <col min="11771" max="11772" width="12.125" style="326" customWidth="1"/>
    <col min="11773" max="11775" width="13" style="326" customWidth="1"/>
    <col min="11776" max="11776" width="12.875" style="326" customWidth="1"/>
    <col min="11777" max="11777" width="13" style="326" customWidth="1"/>
    <col min="11778" max="11778" width="13.125" style="326" customWidth="1"/>
    <col min="11779" max="11780" width="12.125" style="326" customWidth="1"/>
    <col min="11781" max="11781" width="14.375" style="326" bestFit="1" customWidth="1"/>
    <col min="11782" max="11782" width="11" style="326" customWidth="1"/>
    <col min="11783" max="11783" width="10" style="326" customWidth="1"/>
    <col min="11784" max="11784" width="10.875" style="326" customWidth="1"/>
    <col min="11785" max="11785" width="13.75" style="326" customWidth="1"/>
    <col min="11786" max="11786" width="10" style="326" customWidth="1"/>
    <col min="11787" max="11787" width="13.25" style="326" customWidth="1"/>
    <col min="11788" max="11788" width="14.375" style="326" customWidth="1"/>
    <col min="11789" max="11789" width="10" style="326" customWidth="1"/>
    <col min="11790" max="11790" width="10.875" style="326" customWidth="1"/>
    <col min="11791" max="11791" width="11.375" style="326" customWidth="1"/>
    <col min="11792" max="11792" width="15.375" style="326" customWidth="1"/>
    <col min="11793" max="11794" width="10.75" style="326" customWidth="1"/>
    <col min="11795" max="11795" width="14.375" style="326" customWidth="1"/>
    <col min="11796" max="11796" width="10.75" style="326" customWidth="1"/>
    <col min="11797" max="11797" width="11.75" style="326" customWidth="1"/>
    <col min="11798" max="11798" width="10" style="326" customWidth="1"/>
    <col min="11799" max="11799" width="15.375" style="326" customWidth="1"/>
    <col min="11800" max="11800" width="10" style="326" customWidth="1"/>
    <col min="11801" max="11801" width="10.75" style="326" customWidth="1"/>
    <col min="11802" max="11802" width="14.875" style="326" customWidth="1"/>
    <col min="11803" max="11803" width="11.5" style="326" customWidth="1"/>
    <col min="11804" max="11804" width="10" style="326" customWidth="1"/>
    <col min="11805" max="11805" width="10.75" style="326" customWidth="1"/>
    <col min="11806" max="11806" width="13.5" style="326" customWidth="1"/>
    <col min="11807" max="11807" width="9" style="326"/>
    <col min="11808" max="11808" width="10.75" style="326" bestFit="1" customWidth="1"/>
    <col min="11809" max="11809" width="13.75" style="326" customWidth="1"/>
    <col min="11810" max="11810" width="9" style="326"/>
    <col min="11811" max="11811" width="10.625" style="326" customWidth="1"/>
    <col min="11812" max="11812" width="9" style="326"/>
    <col min="11813" max="11813" width="14.25" style="326" customWidth="1"/>
    <col min="11814" max="11814" width="10.75" style="326" bestFit="1" customWidth="1"/>
    <col min="11815" max="11815" width="11.625" style="326" customWidth="1"/>
    <col min="11816" max="11816" width="13.75" style="326" customWidth="1"/>
    <col min="11817" max="11817" width="10.625" style="326" customWidth="1"/>
    <col min="11818" max="11819" width="9" style="326"/>
    <col min="11820" max="11820" width="14.125" style="326" customWidth="1"/>
    <col min="11821" max="11821" width="11" style="326" customWidth="1"/>
    <col min="11822" max="11822" width="10.75" style="326" bestFit="1" customWidth="1"/>
    <col min="11823" max="11823" width="13.5" style="326" customWidth="1"/>
    <col min="11824" max="11825" width="9" style="326"/>
    <col min="11826" max="11826" width="10.75" style="326" bestFit="1" customWidth="1"/>
    <col min="11827" max="11827" width="14" style="326" customWidth="1"/>
    <col min="11828" max="11828" width="9" style="326"/>
    <col min="11829" max="11829" width="10.75" style="326" customWidth="1"/>
    <col min="11830" max="11830" width="12.75" style="326" customWidth="1"/>
    <col min="11831" max="11831" width="9" style="326"/>
    <col min="11832" max="11832" width="10.75" style="326" bestFit="1" customWidth="1"/>
    <col min="11833" max="11833" width="11.5" style="326" customWidth="1"/>
    <col min="11834" max="11834" width="13.625" style="326" customWidth="1"/>
    <col min="11835" max="11835" width="10.625" style="326" customWidth="1"/>
    <col min="11836" max="11836" width="10.75" style="326" bestFit="1" customWidth="1"/>
    <col min="11837" max="11837" width="12.375" style="326" customWidth="1"/>
    <col min="11838" max="11840" width="9" style="326"/>
    <col min="11841" max="11841" width="15.75" style="326" customWidth="1"/>
    <col min="11842" max="11842" width="9" style="326"/>
    <col min="11843" max="11843" width="10.75" style="326" bestFit="1" customWidth="1"/>
    <col min="11844" max="11844" width="12.625" style="326" customWidth="1"/>
    <col min="11845" max="11847" width="9" style="326"/>
    <col min="11848" max="11848" width="13.625" style="326" customWidth="1"/>
    <col min="11849" max="11849" width="9" style="326"/>
    <col min="11850" max="11850" width="10.75" style="326" bestFit="1" customWidth="1"/>
    <col min="11851" max="11851" width="12.5" style="326" customWidth="1"/>
    <col min="11852" max="11854" width="9" style="326"/>
    <col min="11855" max="11855" width="12.875" style="326" customWidth="1"/>
    <col min="11856" max="11856" width="9" style="326"/>
    <col min="11857" max="11857" width="10.75" style="326" bestFit="1" customWidth="1"/>
    <col min="11858" max="11858" width="13.875" style="326" customWidth="1"/>
    <col min="11859" max="11861" width="9" style="326"/>
    <col min="11862" max="11862" width="14.125" style="326" customWidth="1"/>
    <col min="11863" max="11863" width="9" style="326"/>
    <col min="11864" max="11864" width="10.75" style="326" bestFit="1" customWidth="1"/>
    <col min="11865" max="11865" width="13.25" style="326" customWidth="1"/>
    <col min="11866" max="11868" width="9" style="326"/>
    <col min="11869" max="11869" width="13.25" style="326" customWidth="1"/>
    <col min="11870" max="11870" width="9" style="326"/>
    <col min="11871" max="11871" width="10.75" style="326" bestFit="1" customWidth="1"/>
    <col min="11872" max="11872" width="13.875" style="326" customWidth="1"/>
    <col min="11873" max="11875" width="9" style="326"/>
    <col min="11876" max="11876" width="13.625" style="326" customWidth="1"/>
    <col min="11877" max="11877" width="9" style="326"/>
    <col min="11878" max="11878" width="10.75" style="326" bestFit="1" customWidth="1"/>
    <col min="11879" max="11879" width="13" style="326" customWidth="1"/>
    <col min="11880" max="12026" width="9" style="326"/>
    <col min="12027" max="12028" width="12.125" style="326" customWidth="1"/>
    <col min="12029" max="12031" width="13" style="326" customWidth="1"/>
    <col min="12032" max="12032" width="12.875" style="326" customWidth="1"/>
    <col min="12033" max="12033" width="13" style="326" customWidth="1"/>
    <col min="12034" max="12034" width="13.125" style="326" customWidth="1"/>
    <col min="12035" max="12036" width="12.125" style="326" customWidth="1"/>
    <col min="12037" max="12037" width="14.375" style="326" bestFit="1" customWidth="1"/>
    <col min="12038" max="12038" width="11" style="326" customWidth="1"/>
    <col min="12039" max="12039" width="10" style="326" customWidth="1"/>
    <col min="12040" max="12040" width="10.875" style="326" customWidth="1"/>
    <col min="12041" max="12041" width="13.75" style="326" customWidth="1"/>
    <col min="12042" max="12042" width="10" style="326" customWidth="1"/>
    <col min="12043" max="12043" width="13.25" style="326" customWidth="1"/>
    <col min="12044" max="12044" width="14.375" style="326" customWidth="1"/>
    <col min="12045" max="12045" width="10" style="326" customWidth="1"/>
    <col min="12046" max="12046" width="10.875" style="326" customWidth="1"/>
    <col min="12047" max="12047" width="11.375" style="326" customWidth="1"/>
    <col min="12048" max="12048" width="15.375" style="326" customWidth="1"/>
    <col min="12049" max="12050" width="10.75" style="326" customWidth="1"/>
    <col min="12051" max="12051" width="14.375" style="326" customWidth="1"/>
    <col min="12052" max="12052" width="10.75" style="326" customWidth="1"/>
    <col min="12053" max="12053" width="11.75" style="326" customWidth="1"/>
    <col min="12054" max="12054" width="10" style="326" customWidth="1"/>
    <col min="12055" max="12055" width="15.375" style="326" customWidth="1"/>
    <col min="12056" max="12056" width="10" style="326" customWidth="1"/>
    <col min="12057" max="12057" width="10.75" style="326" customWidth="1"/>
    <col min="12058" max="12058" width="14.875" style="326" customWidth="1"/>
    <col min="12059" max="12059" width="11.5" style="326" customWidth="1"/>
    <col min="12060" max="12060" width="10" style="326" customWidth="1"/>
    <col min="12061" max="12061" width="10.75" style="326" customWidth="1"/>
    <col min="12062" max="12062" width="13.5" style="326" customWidth="1"/>
    <col min="12063" max="12063" width="9" style="326"/>
    <col min="12064" max="12064" width="10.75" style="326" bestFit="1" customWidth="1"/>
    <col min="12065" max="12065" width="13.75" style="326" customWidth="1"/>
    <col min="12066" max="12066" width="9" style="326"/>
    <col min="12067" max="12067" width="10.625" style="326" customWidth="1"/>
    <col min="12068" max="12068" width="9" style="326"/>
    <col min="12069" max="12069" width="14.25" style="326" customWidth="1"/>
    <col min="12070" max="12070" width="10.75" style="326" bestFit="1" customWidth="1"/>
    <col min="12071" max="12071" width="11.625" style="326" customWidth="1"/>
    <col min="12072" max="12072" width="13.75" style="326" customWidth="1"/>
    <col min="12073" max="12073" width="10.625" style="326" customWidth="1"/>
    <col min="12074" max="12075" width="9" style="326"/>
    <col min="12076" max="12076" width="14.125" style="326" customWidth="1"/>
    <col min="12077" max="12077" width="11" style="326" customWidth="1"/>
    <col min="12078" max="12078" width="10.75" style="326" bestFit="1" customWidth="1"/>
    <col min="12079" max="12079" width="13.5" style="326" customWidth="1"/>
    <col min="12080" max="12081" width="9" style="326"/>
    <col min="12082" max="12082" width="10.75" style="326" bestFit="1" customWidth="1"/>
    <col min="12083" max="12083" width="14" style="326" customWidth="1"/>
    <col min="12084" max="12084" width="9" style="326"/>
    <col min="12085" max="12085" width="10.75" style="326" customWidth="1"/>
    <col min="12086" max="12086" width="12.75" style="326" customWidth="1"/>
    <col min="12087" max="12087" width="9" style="326"/>
    <col min="12088" max="12088" width="10.75" style="326" bestFit="1" customWidth="1"/>
    <col min="12089" max="12089" width="11.5" style="326" customWidth="1"/>
    <col min="12090" max="12090" width="13.625" style="326" customWidth="1"/>
    <col min="12091" max="12091" width="10.625" style="326" customWidth="1"/>
    <col min="12092" max="12092" width="10.75" style="326" bestFit="1" customWidth="1"/>
    <col min="12093" max="12093" width="12.375" style="326" customWidth="1"/>
    <col min="12094" max="12096" width="9" style="326"/>
    <col min="12097" max="12097" width="15.75" style="326" customWidth="1"/>
    <col min="12098" max="12098" width="9" style="326"/>
    <col min="12099" max="12099" width="10.75" style="326" bestFit="1" customWidth="1"/>
    <col min="12100" max="12100" width="12.625" style="326" customWidth="1"/>
    <col min="12101" max="12103" width="9" style="326"/>
    <col min="12104" max="12104" width="13.625" style="326" customWidth="1"/>
    <col min="12105" max="12105" width="9" style="326"/>
    <col min="12106" max="12106" width="10.75" style="326" bestFit="1" customWidth="1"/>
    <col min="12107" max="12107" width="12.5" style="326" customWidth="1"/>
    <col min="12108" max="12110" width="9" style="326"/>
    <col min="12111" max="12111" width="12.875" style="326" customWidth="1"/>
    <col min="12112" max="12112" width="9" style="326"/>
    <col min="12113" max="12113" width="10.75" style="326" bestFit="1" customWidth="1"/>
    <col min="12114" max="12114" width="13.875" style="326" customWidth="1"/>
    <col min="12115" max="12117" width="9" style="326"/>
    <col min="12118" max="12118" width="14.125" style="326" customWidth="1"/>
    <col min="12119" max="12119" width="9" style="326"/>
    <col min="12120" max="12120" width="10.75" style="326" bestFit="1" customWidth="1"/>
    <col min="12121" max="12121" width="13.25" style="326" customWidth="1"/>
    <col min="12122" max="12124" width="9" style="326"/>
    <col min="12125" max="12125" width="13.25" style="326" customWidth="1"/>
    <col min="12126" max="12126" width="9" style="326"/>
    <col min="12127" max="12127" width="10.75" style="326" bestFit="1" customWidth="1"/>
    <col min="12128" max="12128" width="13.875" style="326" customWidth="1"/>
    <col min="12129" max="12131" width="9" style="326"/>
    <col min="12132" max="12132" width="13.625" style="326" customWidth="1"/>
    <col min="12133" max="12133" width="9" style="326"/>
    <col min="12134" max="12134" width="10.75" style="326" bestFit="1" customWidth="1"/>
    <col min="12135" max="12135" width="13" style="326" customWidth="1"/>
    <col min="12136" max="12282" width="9" style="326"/>
    <col min="12283" max="12284" width="12.125" style="326" customWidth="1"/>
    <col min="12285" max="12287" width="13" style="326" customWidth="1"/>
    <col min="12288" max="12288" width="12.875" style="326" customWidth="1"/>
    <col min="12289" max="12289" width="13" style="326" customWidth="1"/>
    <col min="12290" max="12290" width="13.125" style="326" customWidth="1"/>
    <col min="12291" max="12292" width="12.125" style="326" customWidth="1"/>
    <col min="12293" max="12293" width="14.375" style="326" bestFit="1" customWidth="1"/>
    <col min="12294" max="12294" width="11" style="326" customWidth="1"/>
    <col min="12295" max="12295" width="10" style="326" customWidth="1"/>
    <col min="12296" max="12296" width="10.875" style="326" customWidth="1"/>
    <col min="12297" max="12297" width="13.75" style="326" customWidth="1"/>
    <col min="12298" max="12298" width="10" style="326" customWidth="1"/>
    <col min="12299" max="12299" width="13.25" style="326" customWidth="1"/>
    <col min="12300" max="12300" width="14.375" style="326" customWidth="1"/>
    <col min="12301" max="12301" width="10" style="326" customWidth="1"/>
    <col min="12302" max="12302" width="10.875" style="326" customWidth="1"/>
    <col min="12303" max="12303" width="11.375" style="326" customWidth="1"/>
    <col min="12304" max="12304" width="15.375" style="326" customWidth="1"/>
    <col min="12305" max="12306" width="10.75" style="326" customWidth="1"/>
    <col min="12307" max="12307" width="14.375" style="326" customWidth="1"/>
    <col min="12308" max="12308" width="10.75" style="326" customWidth="1"/>
    <col min="12309" max="12309" width="11.75" style="326" customWidth="1"/>
    <col min="12310" max="12310" width="10" style="326" customWidth="1"/>
    <col min="12311" max="12311" width="15.375" style="326" customWidth="1"/>
    <col min="12312" max="12312" width="10" style="326" customWidth="1"/>
    <col min="12313" max="12313" width="10.75" style="326" customWidth="1"/>
    <col min="12314" max="12314" width="14.875" style="326" customWidth="1"/>
    <col min="12315" max="12315" width="11.5" style="326" customWidth="1"/>
    <col min="12316" max="12316" width="10" style="326" customWidth="1"/>
    <col min="12317" max="12317" width="10.75" style="326" customWidth="1"/>
    <col min="12318" max="12318" width="13.5" style="326" customWidth="1"/>
    <col min="12319" max="12319" width="9" style="326"/>
    <col min="12320" max="12320" width="10.75" style="326" bestFit="1" customWidth="1"/>
    <col min="12321" max="12321" width="13.75" style="326" customWidth="1"/>
    <col min="12322" max="12322" width="9" style="326"/>
    <col min="12323" max="12323" width="10.625" style="326" customWidth="1"/>
    <col min="12324" max="12324" width="9" style="326"/>
    <col min="12325" max="12325" width="14.25" style="326" customWidth="1"/>
    <col min="12326" max="12326" width="10.75" style="326" bestFit="1" customWidth="1"/>
    <col min="12327" max="12327" width="11.625" style="326" customWidth="1"/>
    <col min="12328" max="12328" width="13.75" style="326" customWidth="1"/>
    <col min="12329" max="12329" width="10.625" style="326" customWidth="1"/>
    <col min="12330" max="12331" width="9" style="326"/>
    <col min="12332" max="12332" width="14.125" style="326" customWidth="1"/>
    <col min="12333" max="12333" width="11" style="326" customWidth="1"/>
    <col min="12334" max="12334" width="10.75" style="326" bestFit="1" customWidth="1"/>
    <col min="12335" max="12335" width="13.5" style="326" customWidth="1"/>
    <col min="12336" max="12337" width="9" style="326"/>
    <col min="12338" max="12338" width="10.75" style="326" bestFit="1" customWidth="1"/>
    <col min="12339" max="12339" width="14" style="326" customWidth="1"/>
    <col min="12340" max="12340" width="9" style="326"/>
    <col min="12341" max="12341" width="10.75" style="326" customWidth="1"/>
    <col min="12342" max="12342" width="12.75" style="326" customWidth="1"/>
    <col min="12343" max="12343" width="9" style="326"/>
    <col min="12344" max="12344" width="10.75" style="326" bestFit="1" customWidth="1"/>
    <col min="12345" max="12345" width="11.5" style="326" customWidth="1"/>
    <col min="12346" max="12346" width="13.625" style="326" customWidth="1"/>
    <col min="12347" max="12347" width="10.625" style="326" customWidth="1"/>
    <col min="12348" max="12348" width="10.75" style="326" bestFit="1" customWidth="1"/>
    <col min="12349" max="12349" width="12.375" style="326" customWidth="1"/>
    <col min="12350" max="12352" width="9" style="326"/>
    <col min="12353" max="12353" width="15.75" style="326" customWidth="1"/>
    <col min="12354" max="12354" width="9" style="326"/>
    <col min="12355" max="12355" width="10.75" style="326" bestFit="1" customWidth="1"/>
    <col min="12356" max="12356" width="12.625" style="326" customWidth="1"/>
    <col min="12357" max="12359" width="9" style="326"/>
    <col min="12360" max="12360" width="13.625" style="326" customWidth="1"/>
    <col min="12361" max="12361" width="9" style="326"/>
    <col min="12362" max="12362" width="10.75" style="326" bestFit="1" customWidth="1"/>
    <col min="12363" max="12363" width="12.5" style="326" customWidth="1"/>
    <col min="12364" max="12366" width="9" style="326"/>
    <col min="12367" max="12367" width="12.875" style="326" customWidth="1"/>
    <col min="12368" max="12368" width="9" style="326"/>
    <col min="12369" max="12369" width="10.75" style="326" bestFit="1" customWidth="1"/>
    <col min="12370" max="12370" width="13.875" style="326" customWidth="1"/>
    <col min="12371" max="12373" width="9" style="326"/>
    <col min="12374" max="12374" width="14.125" style="326" customWidth="1"/>
    <col min="12375" max="12375" width="9" style="326"/>
    <col min="12376" max="12376" width="10.75" style="326" bestFit="1" customWidth="1"/>
    <col min="12377" max="12377" width="13.25" style="326" customWidth="1"/>
    <col min="12378" max="12380" width="9" style="326"/>
    <col min="12381" max="12381" width="13.25" style="326" customWidth="1"/>
    <col min="12382" max="12382" width="9" style="326"/>
    <col min="12383" max="12383" width="10.75" style="326" bestFit="1" customWidth="1"/>
    <col min="12384" max="12384" width="13.875" style="326" customWidth="1"/>
    <col min="12385" max="12387" width="9" style="326"/>
    <col min="12388" max="12388" width="13.625" style="326" customWidth="1"/>
    <col min="12389" max="12389" width="9" style="326"/>
    <col min="12390" max="12390" width="10.75" style="326" bestFit="1" customWidth="1"/>
    <col min="12391" max="12391" width="13" style="326" customWidth="1"/>
    <col min="12392" max="12538" width="9" style="326"/>
    <col min="12539" max="12540" width="12.125" style="326" customWidth="1"/>
    <col min="12541" max="12543" width="13" style="326" customWidth="1"/>
    <col min="12544" max="12544" width="12.875" style="326" customWidth="1"/>
    <col min="12545" max="12545" width="13" style="326" customWidth="1"/>
    <col min="12546" max="12546" width="13.125" style="326" customWidth="1"/>
    <col min="12547" max="12548" width="12.125" style="326" customWidth="1"/>
    <col min="12549" max="12549" width="14.375" style="326" bestFit="1" customWidth="1"/>
    <col min="12550" max="12550" width="11" style="326" customWidth="1"/>
    <col min="12551" max="12551" width="10" style="326" customWidth="1"/>
    <col min="12552" max="12552" width="10.875" style="326" customWidth="1"/>
    <col min="12553" max="12553" width="13.75" style="326" customWidth="1"/>
    <col min="12554" max="12554" width="10" style="326" customWidth="1"/>
    <col min="12555" max="12555" width="13.25" style="326" customWidth="1"/>
    <col min="12556" max="12556" width="14.375" style="326" customWidth="1"/>
    <col min="12557" max="12557" width="10" style="326" customWidth="1"/>
    <col min="12558" max="12558" width="10.875" style="326" customWidth="1"/>
    <col min="12559" max="12559" width="11.375" style="326" customWidth="1"/>
    <col min="12560" max="12560" width="15.375" style="326" customWidth="1"/>
    <col min="12561" max="12562" width="10.75" style="326" customWidth="1"/>
    <col min="12563" max="12563" width="14.375" style="326" customWidth="1"/>
    <col min="12564" max="12564" width="10.75" style="326" customWidth="1"/>
    <col min="12565" max="12565" width="11.75" style="326" customWidth="1"/>
    <col min="12566" max="12566" width="10" style="326" customWidth="1"/>
    <col min="12567" max="12567" width="15.375" style="326" customWidth="1"/>
    <col min="12568" max="12568" width="10" style="326" customWidth="1"/>
    <col min="12569" max="12569" width="10.75" style="326" customWidth="1"/>
    <col min="12570" max="12570" width="14.875" style="326" customWidth="1"/>
    <col min="12571" max="12571" width="11.5" style="326" customWidth="1"/>
    <col min="12572" max="12572" width="10" style="326" customWidth="1"/>
    <col min="12573" max="12573" width="10.75" style="326" customWidth="1"/>
    <col min="12574" max="12574" width="13.5" style="326" customWidth="1"/>
    <col min="12575" max="12575" width="9" style="326"/>
    <col min="12576" max="12576" width="10.75" style="326" bestFit="1" customWidth="1"/>
    <col min="12577" max="12577" width="13.75" style="326" customWidth="1"/>
    <col min="12578" max="12578" width="9" style="326"/>
    <col min="12579" max="12579" width="10.625" style="326" customWidth="1"/>
    <col min="12580" max="12580" width="9" style="326"/>
    <col min="12581" max="12581" width="14.25" style="326" customWidth="1"/>
    <col min="12582" max="12582" width="10.75" style="326" bestFit="1" customWidth="1"/>
    <col min="12583" max="12583" width="11.625" style="326" customWidth="1"/>
    <col min="12584" max="12584" width="13.75" style="326" customWidth="1"/>
    <col min="12585" max="12585" width="10.625" style="326" customWidth="1"/>
    <col min="12586" max="12587" width="9" style="326"/>
    <col min="12588" max="12588" width="14.125" style="326" customWidth="1"/>
    <col min="12589" max="12589" width="11" style="326" customWidth="1"/>
    <col min="12590" max="12590" width="10.75" style="326" bestFit="1" customWidth="1"/>
    <col min="12591" max="12591" width="13.5" style="326" customWidth="1"/>
    <col min="12592" max="12593" width="9" style="326"/>
    <col min="12594" max="12594" width="10.75" style="326" bestFit="1" customWidth="1"/>
    <col min="12595" max="12595" width="14" style="326" customWidth="1"/>
    <col min="12596" max="12596" width="9" style="326"/>
    <col min="12597" max="12597" width="10.75" style="326" customWidth="1"/>
    <col min="12598" max="12598" width="12.75" style="326" customWidth="1"/>
    <col min="12599" max="12599" width="9" style="326"/>
    <col min="12600" max="12600" width="10.75" style="326" bestFit="1" customWidth="1"/>
    <col min="12601" max="12601" width="11.5" style="326" customWidth="1"/>
    <col min="12602" max="12602" width="13.625" style="326" customWidth="1"/>
    <col min="12603" max="12603" width="10.625" style="326" customWidth="1"/>
    <col min="12604" max="12604" width="10.75" style="326" bestFit="1" customWidth="1"/>
    <col min="12605" max="12605" width="12.375" style="326" customWidth="1"/>
    <col min="12606" max="12608" width="9" style="326"/>
    <col min="12609" max="12609" width="15.75" style="326" customWidth="1"/>
    <col min="12610" max="12610" width="9" style="326"/>
    <col min="12611" max="12611" width="10.75" style="326" bestFit="1" customWidth="1"/>
    <col min="12612" max="12612" width="12.625" style="326" customWidth="1"/>
    <col min="12613" max="12615" width="9" style="326"/>
    <col min="12616" max="12616" width="13.625" style="326" customWidth="1"/>
    <col min="12617" max="12617" width="9" style="326"/>
    <col min="12618" max="12618" width="10.75" style="326" bestFit="1" customWidth="1"/>
    <col min="12619" max="12619" width="12.5" style="326" customWidth="1"/>
    <col min="12620" max="12622" width="9" style="326"/>
    <col min="12623" max="12623" width="12.875" style="326" customWidth="1"/>
    <col min="12624" max="12624" width="9" style="326"/>
    <col min="12625" max="12625" width="10.75" style="326" bestFit="1" customWidth="1"/>
    <col min="12626" max="12626" width="13.875" style="326" customWidth="1"/>
    <col min="12627" max="12629" width="9" style="326"/>
    <col min="12630" max="12630" width="14.125" style="326" customWidth="1"/>
    <col min="12631" max="12631" width="9" style="326"/>
    <col min="12632" max="12632" width="10.75" style="326" bestFit="1" customWidth="1"/>
    <col min="12633" max="12633" width="13.25" style="326" customWidth="1"/>
    <col min="12634" max="12636" width="9" style="326"/>
    <col min="12637" max="12637" width="13.25" style="326" customWidth="1"/>
    <col min="12638" max="12638" width="9" style="326"/>
    <col min="12639" max="12639" width="10.75" style="326" bestFit="1" customWidth="1"/>
    <col min="12640" max="12640" width="13.875" style="326" customWidth="1"/>
    <col min="12641" max="12643" width="9" style="326"/>
    <col min="12644" max="12644" width="13.625" style="326" customWidth="1"/>
    <col min="12645" max="12645" width="9" style="326"/>
    <col min="12646" max="12646" width="10.75" style="326" bestFit="1" customWidth="1"/>
    <col min="12647" max="12647" width="13" style="326" customWidth="1"/>
    <col min="12648" max="12794" width="9" style="326"/>
    <col min="12795" max="12796" width="12.125" style="326" customWidth="1"/>
    <col min="12797" max="12799" width="13" style="326" customWidth="1"/>
    <col min="12800" max="12800" width="12.875" style="326" customWidth="1"/>
    <col min="12801" max="12801" width="13" style="326" customWidth="1"/>
    <col min="12802" max="12802" width="13.125" style="326" customWidth="1"/>
    <col min="12803" max="12804" width="12.125" style="326" customWidth="1"/>
    <col min="12805" max="12805" width="14.375" style="326" bestFit="1" customWidth="1"/>
    <col min="12806" max="12806" width="11" style="326" customWidth="1"/>
    <col min="12807" max="12807" width="10" style="326" customWidth="1"/>
    <col min="12808" max="12808" width="10.875" style="326" customWidth="1"/>
    <col min="12809" max="12809" width="13.75" style="326" customWidth="1"/>
    <col min="12810" max="12810" width="10" style="326" customWidth="1"/>
    <col min="12811" max="12811" width="13.25" style="326" customWidth="1"/>
    <col min="12812" max="12812" width="14.375" style="326" customWidth="1"/>
    <col min="12813" max="12813" width="10" style="326" customWidth="1"/>
    <col min="12814" max="12814" width="10.875" style="326" customWidth="1"/>
    <col min="12815" max="12815" width="11.375" style="326" customWidth="1"/>
    <col min="12816" max="12816" width="15.375" style="326" customWidth="1"/>
    <col min="12817" max="12818" width="10.75" style="326" customWidth="1"/>
    <col min="12819" max="12819" width="14.375" style="326" customWidth="1"/>
    <col min="12820" max="12820" width="10.75" style="326" customWidth="1"/>
    <col min="12821" max="12821" width="11.75" style="326" customWidth="1"/>
    <col min="12822" max="12822" width="10" style="326" customWidth="1"/>
    <col min="12823" max="12823" width="15.375" style="326" customWidth="1"/>
    <col min="12824" max="12824" width="10" style="326" customWidth="1"/>
    <col min="12825" max="12825" width="10.75" style="326" customWidth="1"/>
    <col min="12826" max="12826" width="14.875" style="326" customWidth="1"/>
    <col min="12827" max="12827" width="11.5" style="326" customWidth="1"/>
    <col min="12828" max="12828" width="10" style="326" customWidth="1"/>
    <col min="12829" max="12829" width="10.75" style="326" customWidth="1"/>
    <col min="12830" max="12830" width="13.5" style="326" customWidth="1"/>
    <col min="12831" max="12831" width="9" style="326"/>
    <col min="12832" max="12832" width="10.75" style="326" bestFit="1" customWidth="1"/>
    <col min="12833" max="12833" width="13.75" style="326" customWidth="1"/>
    <col min="12834" max="12834" width="9" style="326"/>
    <col min="12835" max="12835" width="10.625" style="326" customWidth="1"/>
    <col min="12836" max="12836" width="9" style="326"/>
    <col min="12837" max="12837" width="14.25" style="326" customWidth="1"/>
    <col min="12838" max="12838" width="10.75" style="326" bestFit="1" customWidth="1"/>
    <col min="12839" max="12839" width="11.625" style="326" customWidth="1"/>
    <col min="12840" max="12840" width="13.75" style="326" customWidth="1"/>
    <col min="12841" max="12841" width="10.625" style="326" customWidth="1"/>
    <col min="12842" max="12843" width="9" style="326"/>
    <col min="12844" max="12844" width="14.125" style="326" customWidth="1"/>
    <col min="12845" max="12845" width="11" style="326" customWidth="1"/>
    <col min="12846" max="12846" width="10.75" style="326" bestFit="1" customWidth="1"/>
    <col min="12847" max="12847" width="13.5" style="326" customWidth="1"/>
    <col min="12848" max="12849" width="9" style="326"/>
    <col min="12850" max="12850" width="10.75" style="326" bestFit="1" customWidth="1"/>
    <col min="12851" max="12851" width="14" style="326" customWidth="1"/>
    <col min="12852" max="12852" width="9" style="326"/>
    <col min="12853" max="12853" width="10.75" style="326" customWidth="1"/>
    <col min="12854" max="12854" width="12.75" style="326" customWidth="1"/>
    <col min="12855" max="12855" width="9" style="326"/>
    <col min="12856" max="12856" width="10.75" style="326" bestFit="1" customWidth="1"/>
    <col min="12857" max="12857" width="11.5" style="326" customWidth="1"/>
    <col min="12858" max="12858" width="13.625" style="326" customWidth="1"/>
    <col min="12859" max="12859" width="10.625" style="326" customWidth="1"/>
    <col min="12860" max="12860" width="10.75" style="326" bestFit="1" customWidth="1"/>
    <col min="12861" max="12861" width="12.375" style="326" customWidth="1"/>
    <col min="12862" max="12864" width="9" style="326"/>
    <col min="12865" max="12865" width="15.75" style="326" customWidth="1"/>
    <col min="12866" max="12866" width="9" style="326"/>
    <col min="12867" max="12867" width="10.75" style="326" bestFit="1" customWidth="1"/>
    <col min="12868" max="12868" width="12.625" style="326" customWidth="1"/>
    <col min="12869" max="12871" width="9" style="326"/>
    <col min="12872" max="12872" width="13.625" style="326" customWidth="1"/>
    <col min="12873" max="12873" width="9" style="326"/>
    <col min="12874" max="12874" width="10.75" style="326" bestFit="1" customWidth="1"/>
    <col min="12875" max="12875" width="12.5" style="326" customWidth="1"/>
    <col min="12876" max="12878" width="9" style="326"/>
    <col min="12879" max="12879" width="12.875" style="326" customWidth="1"/>
    <col min="12880" max="12880" width="9" style="326"/>
    <col min="12881" max="12881" width="10.75" style="326" bestFit="1" customWidth="1"/>
    <col min="12882" max="12882" width="13.875" style="326" customWidth="1"/>
    <col min="12883" max="12885" width="9" style="326"/>
    <col min="12886" max="12886" width="14.125" style="326" customWidth="1"/>
    <col min="12887" max="12887" width="9" style="326"/>
    <col min="12888" max="12888" width="10.75" style="326" bestFit="1" customWidth="1"/>
    <col min="12889" max="12889" width="13.25" style="326" customWidth="1"/>
    <col min="12890" max="12892" width="9" style="326"/>
    <col min="12893" max="12893" width="13.25" style="326" customWidth="1"/>
    <col min="12894" max="12894" width="9" style="326"/>
    <col min="12895" max="12895" width="10.75" style="326" bestFit="1" customWidth="1"/>
    <col min="12896" max="12896" width="13.875" style="326" customWidth="1"/>
    <col min="12897" max="12899" width="9" style="326"/>
    <col min="12900" max="12900" width="13.625" style="326" customWidth="1"/>
    <col min="12901" max="12901" width="9" style="326"/>
    <col min="12902" max="12902" width="10.75" style="326" bestFit="1" customWidth="1"/>
    <col min="12903" max="12903" width="13" style="326" customWidth="1"/>
    <col min="12904" max="13050" width="9" style="326"/>
    <col min="13051" max="13052" width="12.125" style="326" customWidth="1"/>
    <col min="13053" max="13055" width="13" style="326" customWidth="1"/>
    <col min="13056" max="13056" width="12.875" style="326" customWidth="1"/>
    <col min="13057" max="13057" width="13" style="326" customWidth="1"/>
    <col min="13058" max="13058" width="13.125" style="326" customWidth="1"/>
    <col min="13059" max="13060" width="12.125" style="326" customWidth="1"/>
    <col min="13061" max="13061" width="14.375" style="326" bestFit="1" customWidth="1"/>
    <col min="13062" max="13062" width="11" style="326" customWidth="1"/>
    <col min="13063" max="13063" width="10" style="326" customWidth="1"/>
    <col min="13064" max="13064" width="10.875" style="326" customWidth="1"/>
    <col min="13065" max="13065" width="13.75" style="326" customWidth="1"/>
    <col min="13066" max="13066" width="10" style="326" customWidth="1"/>
    <col min="13067" max="13067" width="13.25" style="326" customWidth="1"/>
    <col min="13068" max="13068" width="14.375" style="326" customWidth="1"/>
    <col min="13069" max="13069" width="10" style="326" customWidth="1"/>
    <col min="13070" max="13070" width="10.875" style="326" customWidth="1"/>
    <col min="13071" max="13071" width="11.375" style="326" customWidth="1"/>
    <col min="13072" max="13072" width="15.375" style="326" customWidth="1"/>
    <col min="13073" max="13074" width="10.75" style="326" customWidth="1"/>
    <col min="13075" max="13075" width="14.375" style="326" customWidth="1"/>
    <col min="13076" max="13076" width="10.75" style="326" customWidth="1"/>
    <col min="13077" max="13077" width="11.75" style="326" customWidth="1"/>
    <col min="13078" max="13078" width="10" style="326" customWidth="1"/>
    <col min="13079" max="13079" width="15.375" style="326" customWidth="1"/>
    <col min="13080" max="13080" width="10" style="326" customWidth="1"/>
    <col min="13081" max="13081" width="10.75" style="326" customWidth="1"/>
    <col min="13082" max="13082" width="14.875" style="326" customWidth="1"/>
    <col min="13083" max="13083" width="11.5" style="326" customWidth="1"/>
    <col min="13084" max="13084" width="10" style="326" customWidth="1"/>
    <col min="13085" max="13085" width="10.75" style="326" customWidth="1"/>
    <col min="13086" max="13086" width="13.5" style="326" customWidth="1"/>
    <col min="13087" max="13087" width="9" style="326"/>
    <col min="13088" max="13088" width="10.75" style="326" bestFit="1" customWidth="1"/>
    <col min="13089" max="13089" width="13.75" style="326" customWidth="1"/>
    <col min="13090" max="13090" width="9" style="326"/>
    <col min="13091" max="13091" width="10.625" style="326" customWidth="1"/>
    <col min="13092" max="13092" width="9" style="326"/>
    <col min="13093" max="13093" width="14.25" style="326" customWidth="1"/>
    <col min="13094" max="13094" width="10.75" style="326" bestFit="1" customWidth="1"/>
    <col min="13095" max="13095" width="11.625" style="326" customWidth="1"/>
    <col min="13096" max="13096" width="13.75" style="326" customWidth="1"/>
    <col min="13097" max="13097" width="10.625" style="326" customWidth="1"/>
    <col min="13098" max="13099" width="9" style="326"/>
    <col min="13100" max="13100" width="14.125" style="326" customWidth="1"/>
    <col min="13101" max="13101" width="11" style="326" customWidth="1"/>
    <col min="13102" max="13102" width="10.75" style="326" bestFit="1" customWidth="1"/>
    <col min="13103" max="13103" width="13.5" style="326" customWidth="1"/>
    <col min="13104" max="13105" width="9" style="326"/>
    <col min="13106" max="13106" width="10.75" style="326" bestFit="1" customWidth="1"/>
    <col min="13107" max="13107" width="14" style="326" customWidth="1"/>
    <col min="13108" max="13108" width="9" style="326"/>
    <col min="13109" max="13109" width="10.75" style="326" customWidth="1"/>
    <col min="13110" max="13110" width="12.75" style="326" customWidth="1"/>
    <col min="13111" max="13111" width="9" style="326"/>
    <col min="13112" max="13112" width="10.75" style="326" bestFit="1" customWidth="1"/>
    <col min="13113" max="13113" width="11.5" style="326" customWidth="1"/>
    <col min="13114" max="13114" width="13.625" style="326" customWidth="1"/>
    <col min="13115" max="13115" width="10.625" style="326" customWidth="1"/>
    <col min="13116" max="13116" width="10.75" style="326" bestFit="1" customWidth="1"/>
    <col min="13117" max="13117" width="12.375" style="326" customWidth="1"/>
    <col min="13118" max="13120" width="9" style="326"/>
    <col min="13121" max="13121" width="15.75" style="326" customWidth="1"/>
    <col min="13122" max="13122" width="9" style="326"/>
    <col min="13123" max="13123" width="10.75" style="326" bestFit="1" customWidth="1"/>
    <col min="13124" max="13124" width="12.625" style="326" customWidth="1"/>
    <col min="13125" max="13127" width="9" style="326"/>
    <col min="13128" max="13128" width="13.625" style="326" customWidth="1"/>
    <col min="13129" max="13129" width="9" style="326"/>
    <col min="13130" max="13130" width="10.75" style="326" bestFit="1" customWidth="1"/>
    <col min="13131" max="13131" width="12.5" style="326" customWidth="1"/>
    <col min="13132" max="13134" width="9" style="326"/>
    <col min="13135" max="13135" width="12.875" style="326" customWidth="1"/>
    <col min="13136" max="13136" width="9" style="326"/>
    <col min="13137" max="13137" width="10.75" style="326" bestFit="1" customWidth="1"/>
    <col min="13138" max="13138" width="13.875" style="326" customWidth="1"/>
    <col min="13139" max="13141" width="9" style="326"/>
    <col min="13142" max="13142" width="14.125" style="326" customWidth="1"/>
    <col min="13143" max="13143" width="9" style="326"/>
    <col min="13144" max="13144" width="10.75" style="326" bestFit="1" customWidth="1"/>
    <col min="13145" max="13145" width="13.25" style="326" customWidth="1"/>
    <col min="13146" max="13148" width="9" style="326"/>
    <col min="13149" max="13149" width="13.25" style="326" customWidth="1"/>
    <col min="13150" max="13150" width="9" style="326"/>
    <col min="13151" max="13151" width="10.75" style="326" bestFit="1" customWidth="1"/>
    <col min="13152" max="13152" width="13.875" style="326" customWidth="1"/>
    <col min="13153" max="13155" width="9" style="326"/>
    <col min="13156" max="13156" width="13.625" style="326" customWidth="1"/>
    <col min="13157" max="13157" width="9" style="326"/>
    <col min="13158" max="13158" width="10.75" style="326" bestFit="1" customWidth="1"/>
    <col min="13159" max="13159" width="13" style="326" customWidth="1"/>
    <col min="13160" max="13306" width="9" style="326"/>
    <col min="13307" max="13308" width="12.125" style="326" customWidth="1"/>
    <col min="13309" max="13311" width="13" style="326" customWidth="1"/>
    <col min="13312" max="13312" width="12.875" style="326" customWidth="1"/>
    <col min="13313" max="13313" width="13" style="326" customWidth="1"/>
    <col min="13314" max="13314" width="13.125" style="326" customWidth="1"/>
    <col min="13315" max="13316" width="12.125" style="326" customWidth="1"/>
    <col min="13317" max="13317" width="14.375" style="326" bestFit="1" customWidth="1"/>
    <col min="13318" max="13318" width="11" style="326" customWidth="1"/>
    <col min="13319" max="13319" width="10" style="326" customWidth="1"/>
    <col min="13320" max="13320" width="10.875" style="326" customWidth="1"/>
    <col min="13321" max="13321" width="13.75" style="326" customWidth="1"/>
    <col min="13322" max="13322" width="10" style="326" customWidth="1"/>
    <col min="13323" max="13323" width="13.25" style="326" customWidth="1"/>
    <col min="13324" max="13324" width="14.375" style="326" customWidth="1"/>
    <col min="13325" max="13325" width="10" style="326" customWidth="1"/>
    <col min="13326" max="13326" width="10.875" style="326" customWidth="1"/>
    <col min="13327" max="13327" width="11.375" style="326" customWidth="1"/>
    <col min="13328" max="13328" width="15.375" style="326" customWidth="1"/>
    <col min="13329" max="13330" width="10.75" style="326" customWidth="1"/>
    <col min="13331" max="13331" width="14.375" style="326" customWidth="1"/>
    <col min="13332" max="13332" width="10.75" style="326" customWidth="1"/>
    <col min="13333" max="13333" width="11.75" style="326" customWidth="1"/>
    <col min="13334" max="13334" width="10" style="326" customWidth="1"/>
    <col min="13335" max="13335" width="15.375" style="326" customWidth="1"/>
    <col min="13336" max="13336" width="10" style="326" customWidth="1"/>
    <col min="13337" max="13337" width="10.75" style="326" customWidth="1"/>
    <col min="13338" max="13338" width="14.875" style="326" customWidth="1"/>
    <col min="13339" max="13339" width="11.5" style="326" customWidth="1"/>
    <col min="13340" max="13340" width="10" style="326" customWidth="1"/>
    <col min="13341" max="13341" width="10.75" style="326" customWidth="1"/>
    <col min="13342" max="13342" width="13.5" style="326" customWidth="1"/>
    <col min="13343" max="13343" width="9" style="326"/>
    <col min="13344" max="13344" width="10.75" style="326" bestFit="1" customWidth="1"/>
    <col min="13345" max="13345" width="13.75" style="326" customWidth="1"/>
    <col min="13346" max="13346" width="9" style="326"/>
    <col min="13347" max="13347" width="10.625" style="326" customWidth="1"/>
    <col min="13348" max="13348" width="9" style="326"/>
    <col min="13349" max="13349" width="14.25" style="326" customWidth="1"/>
    <col min="13350" max="13350" width="10.75" style="326" bestFit="1" customWidth="1"/>
    <col min="13351" max="13351" width="11.625" style="326" customWidth="1"/>
    <col min="13352" max="13352" width="13.75" style="326" customWidth="1"/>
    <col min="13353" max="13353" width="10.625" style="326" customWidth="1"/>
    <col min="13354" max="13355" width="9" style="326"/>
    <col min="13356" max="13356" width="14.125" style="326" customWidth="1"/>
    <col min="13357" max="13357" width="11" style="326" customWidth="1"/>
    <col min="13358" max="13358" width="10.75" style="326" bestFit="1" customWidth="1"/>
    <col min="13359" max="13359" width="13.5" style="326" customWidth="1"/>
    <col min="13360" max="13361" width="9" style="326"/>
    <col min="13362" max="13362" width="10.75" style="326" bestFit="1" customWidth="1"/>
    <col min="13363" max="13363" width="14" style="326" customWidth="1"/>
    <col min="13364" max="13364" width="9" style="326"/>
    <col min="13365" max="13365" width="10.75" style="326" customWidth="1"/>
    <col min="13366" max="13366" width="12.75" style="326" customWidth="1"/>
    <col min="13367" max="13367" width="9" style="326"/>
    <col min="13368" max="13368" width="10.75" style="326" bestFit="1" customWidth="1"/>
    <col min="13369" max="13369" width="11.5" style="326" customWidth="1"/>
    <col min="13370" max="13370" width="13.625" style="326" customWidth="1"/>
    <col min="13371" max="13371" width="10.625" style="326" customWidth="1"/>
    <col min="13372" max="13372" width="10.75" style="326" bestFit="1" customWidth="1"/>
    <col min="13373" max="13373" width="12.375" style="326" customWidth="1"/>
    <col min="13374" max="13376" width="9" style="326"/>
    <col min="13377" max="13377" width="15.75" style="326" customWidth="1"/>
    <col min="13378" max="13378" width="9" style="326"/>
    <col min="13379" max="13379" width="10.75" style="326" bestFit="1" customWidth="1"/>
    <col min="13380" max="13380" width="12.625" style="326" customWidth="1"/>
    <col min="13381" max="13383" width="9" style="326"/>
    <col min="13384" max="13384" width="13.625" style="326" customWidth="1"/>
    <col min="13385" max="13385" width="9" style="326"/>
    <col min="13386" max="13386" width="10.75" style="326" bestFit="1" customWidth="1"/>
    <col min="13387" max="13387" width="12.5" style="326" customWidth="1"/>
    <col min="13388" max="13390" width="9" style="326"/>
    <col min="13391" max="13391" width="12.875" style="326" customWidth="1"/>
    <col min="13392" max="13392" width="9" style="326"/>
    <col min="13393" max="13393" width="10.75" style="326" bestFit="1" customWidth="1"/>
    <col min="13394" max="13394" width="13.875" style="326" customWidth="1"/>
    <col min="13395" max="13397" width="9" style="326"/>
    <col min="13398" max="13398" width="14.125" style="326" customWidth="1"/>
    <col min="13399" max="13399" width="9" style="326"/>
    <col min="13400" max="13400" width="10.75" style="326" bestFit="1" customWidth="1"/>
    <col min="13401" max="13401" width="13.25" style="326" customWidth="1"/>
    <col min="13402" max="13404" width="9" style="326"/>
    <col min="13405" max="13405" width="13.25" style="326" customWidth="1"/>
    <col min="13406" max="13406" width="9" style="326"/>
    <col min="13407" max="13407" width="10.75" style="326" bestFit="1" customWidth="1"/>
    <col min="13408" max="13408" width="13.875" style="326" customWidth="1"/>
    <col min="13409" max="13411" width="9" style="326"/>
    <col min="13412" max="13412" width="13.625" style="326" customWidth="1"/>
    <col min="13413" max="13413" width="9" style="326"/>
    <col min="13414" max="13414" width="10.75" style="326" bestFit="1" customWidth="1"/>
    <col min="13415" max="13415" width="13" style="326" customWidth="1"/>
    <col min="13416" max="13562" width="9" style="326"/>
    <col min="13563" max="13564" width="12.125" style="326" customWidth="1"/>
    <col min="13565" max="13567" width="13" style="326" customWidth="1"/>
    <col min="13568" max="13568" width="12.875" style="326" customWidth="1"/>
    <col min="13569" max="13569" width="13" style="326" customWidth="1"/>
    <col min="13570" max="13570" width="13.125" style="326" customWidth="1"/>
    <col min="13571" max="13572" width="12.125" style="326" customWidth="1"/>
    <col min="13573" max="13573" width="14.375" style="326" bestFit="1" customWidth="1"/>
    <col min="13574" max="13574" width="11" style="326" customWidth="1"/>
    <col min="13575" max="13575" width="10" style="326" customWidth="1"/>
    <col min="13576" max="13576" width="10.875" style="326" customWidth="1"/>
    <col min="13577" max="13577" width="13.75" style="326" customWidth="1"/>
    <col min="13578" max="13578" width="10" style="326" customWidth="1"/>
    <col min="13579" max="13579" width="13.25" style="326" customWidth="1"/>
    <col min="13580" max="13580" width="14.375" style="326" customWidth="1"/>
    <col min="13581" max="13581" width="10" style="326" customWidth="1"/>
    <col min="13582" max="13582" width="10.875" style="326" customWidth="1"/>
    <col min="13583" max="13583" width="11.375" style="326" customWidth="1"/>
    <col min="13584" max="13584" width="15.375" style="326" customWidth="1"/>
    <col min="13585" max="13586" width="10.75" style="326" customWidth="1"/>
    <col min="13587" max="13587" width="14.375" style="326" customWidth="1"/>
    <col min="13588" max="13588" width="10.75" style="326" customWidth="1"/>
    <col min="13589" max="13589" width="11.75" style="326" customWidth="1"/>
    <col min="13590" max="13590" width="10" style="326" customWidth="1"/>
    <col min="13591" max="13591" width="15.375" style="326" customWidth="1"/>
    <col min="13592" max="13592" width="10" style="326" customWidth="1"/>
    <col min="13593" max="13593" width="10.75" style="326" customWidth="1"/>
    <col min="13594" max="13594" width="14.875" style="326" customWidth="1"/>
    <col min="13595" max="13595" width="11.5" style="326" customWidth="1"/>
    <col min="13596" max="13596" width="10" style="326" customWidth="1"/>
    <col min="13597" max="13597" width="10.75" style="326" customWidth="1"/>
    <col min="13598" max="13598" width="13.5" style="326" customWidth="1"/>
    <col min="13599" max="13599" width="9" style="326"/>
    <col min="13600" max="13600" width="10.75" style="326" bestFit="1" customWidth="1"/>
    <col min="13601" max="13601" width="13.75" style="326" customWidth="1"/>
    <col min="13602" max="13602" width="9" style="326"/>
    <col min="13603" max="13603" width="10.625" style="326" customWidth="1"/>
    <col min="13604" max="13604" width="9" style="326"/>
    <col min="13605" max="13605" width="14.25" style="326" customWidth="1"/>
    <col min="13606" max="13606" width="10.75" style="326" bestFit="1" customWidth="1"/>
    <col min="13607" max="13607" width="11.625" style="326" customWidth="1"/>
    <col min="13608" max="13608" width="13.75" style="326" customWidth="1"/>
    <col min="13609" max="13609" width="10.625" style="326" customWidth="1"/>
    <col min="13610" max="13611" width="9" style="326"/>
    <col min="13612" max="13612" width="14.125" style="326" customWidth="1"/>
    <col min="13613" max="13613" width="11" style="326" customWidth="1"/>
    <col min="13614" max="13614" width="10.75" style="326" bestFit="1" customWidth="1"/>
    <col min="13615" max="13615" width="13.5" style="326" customWidth="1"/>
    <col min="13616" max="13617" width="9" style="326"/>
    <col min="13618" max="13618" width="10.75" style="326" bestFit="1" customWidth="1"/>
    <col min="13619" max="13619" width="14" style="326" customWidth="1"/>
    <col min="13620" max="13620" width="9" style="326"/>
    <col min="13621" max="13621" width="10.75" style="326" customWidth="1"/>
    <col min="13622" max="13622" width="12.75" style="326" customWidth="1"/>
    <col min="13623" max="13623" width="9" style="326"/>
    <col min="13624" max="13624" width="10.75" style="326" bestFit="1" customWidth="1"/>
    <col min="13625" max="13625" width="11.5" style="326" customWidth="1"/>
    <col min="13626" max="13626" width="13.625" style="326" customWidth="1"/>
    <col min="13627" max="13627" width="10.625" style="326" customWidth="1"/>
    <col min="13628" max="13628" width="10.75" style="326" bestFit="1" customWidth="1"/>
    <col min="13629" max="13629" width="12.375" style="326" customWidth="1"/>
    <col min="13630" max="13632" width="9" style="326"/>
    <col min="13633" max="13633" width="15.75" style="326" customWidth="1"/>
    <col min="13634" max="13634" width="9" style="326"/>
    <col min="13635" max="13635" width="10.75" style="326" bestFit="1" customWidth="1"/>
    <col min="13636" max="13636" width="12.625" style="326" customWidth="1"/>
    <col min="13637" max="13639" width="9" style="326"/>
    <col min="13640" max="13640" width="13.625" style="326" customWidth="1"/>
    <col min="13641" max="13641" width="9" style="326"/>
    <col min="13642" max="13642" width="10.75" style="326" bestFit="1" customWidth="1"/>
    <col min="13643" max="13643" width="12.5" style="326" customWidth="1"/>
    <col min="13644" max="13646" width="9" style="326"/>
    <col min="13647" max="13647" width="12.875" style="326" customWidth="1"/>
    <col min="13648" max="13648" width="9" style="326"/>
    <col min="13649" max="13649" width="10.75" style="326" bestFit="1" customWidth="1"/>
    <col min="13650" max="13650" width="13.875" style="326" customWidth="1"/>
    <col min="13651" max="13653" width="9" style="326"/>
    <col min="13654" max="13654" width="14.125" style="326" customWidth="1"/>
    <col min="13655" max="13655" width="9" style="326"/>
    <col min="13656" max="13656" width="10.75" style="326" bestFit="1" customWidth="1"/>
    <col min="13657" max="13657" width="13.25" style="326" customWidth="1"/>
    <col min="13658" max="13660" width="9" style="326"/>
    <col min="13661" max="13661" width="13.25" style="326" customWidth="1"/>
    <col min="13662" max="13662" width="9" style="326"/>
    <col min="13663" max="13663" width="10.75" style="326" bestFit="1" customWidth="1"/>
    <col min="13664" max="13664" width="13.875" style="326" customWidth="1"/>
    <col min="13665" max="13667" width="9" style="326"/>
    <col min="13668" max="13668" width="13.625" style="326" customWidth="1"/>
    <col min="13669" max="13669" width="9" style="326"/>
    <col min="13670" max="13670" width="10.75" style="326" bestFit="1" customWidth="1"/>
    <col min="13671" max="13671" width="13" style="326" customWidth="1"/>
    <col min="13672" max="13818" width="9" style="326"/>
    <col min="13819" max="13820" width="12.125" style="326" customWidth="1"/>
    <col min="13821" max="13823" width="13" style="326" customWidth="1"/>
    <col min="13824" max="13824" width="12.875" style="326" customWidth="1"/>
    <col min="13825" max="13825" width="13" style="326" customWidth="1"/>
    <col min="13826" max="13826" width="13.125" style="326" customWidth="1"/>
    <col min="13827" max="13828" width="12.125" style="326" customWidth="1"/>
    <col min="13829" max="13829" width="14.375" style="326" bestFit="1" customWidth="1"/>
    <col min="13830" max="13830" width="11" style="326" customWidth="1"/>
    <col min="13831" max="13831" width="10" style="326" customWidth="1"/>
    <col min="13832" max="13832" width="10.875" style="326" customWidth="1"/>
    <col min="13833" max="13833" width="13.75" style="326" customWidth="1"/>
    <col min="13834" max="13834" width="10" style="326" customWidth="1"/>
    <col min="13835" max="13835" width="13.25" style="326" customWidth="1"/>
    <col min="13836" max="13836" width="14.375" style="326" customWidth="1"/>
    <col min="13837" max="13837" width="10" style="326" customWidth="1"/>
    <col min="13838" max="13838" width="10.875" style="326" customWidth="1"/>
    <col min="13839" max="13839" width="11.375" style="326" customWidth="1"/>
    <col min="13840" max="13840" width="15.375" style="326" customWidth="1"/>
    <col min="13841" max="13842" width="10.75" style="326" customWidth="1"/>
    <col min="13843" max="13843" width="14.375" style="326" customWidth="1"/>
    <col min="13844" max="13844" width="10.75" style="326" customWidth="1"/>
    <col min="13845" max="13845" width="11.75" style="326" customWidth="1"/>
    <col min="13846" max="13846" width="10" style="326" customWidth="1"/>
    <col min="13847" max="13847" width="15.375" style="326" customWidth="1"/>
    <col min="13848" max="13848" width="10" style="326" customWidth="1"/>
    <col min="13849" max="13849" width="10.75" style="326" customWidth="1"/>
    <col min="13850" max="13850" width="14.875" style="326" customWidth="1"/>
    <col min="13851" max="13851" width="11.5" style="326" customWidth="1"/>
    <col min="13852" max="13852" width="10" style="326" customWidth="1"/>
    <col min="13853" max="13853" width="10.75" style="326" customWidth="1"/>
    <col min="13854" max="13854" width="13.5" style="326" customWidth="1"/>
    <col min="13855" max="13855" width="9" style="326"/>
    <col min="13856" max="13856" width="10.75" style="326" bestFit="1" customWidth="1"/>
    <col min="13857" max="13857" width="13.75" style="326" customWidth="1"/>
    <col min="13858" max="13858" width="9" style="326"/>
    <col min="13859" max="13859" width="10.625" style="326" customWidth="1"/>
    <col min="13860" max="13860" width="9" style="326"/>
    <col min="13861" max="13861" width="14.25" style="326" customWidth="1"/>
    <col min="13862" max="13862" width="10.75" style="326" bestFit="1" customWidth="1"/>
    <col min="13863" max="13863" width="11.625" style="326" customWidth="1"/>
    <col min="13864" max="13864" width="13.75" style="326" customWidth="1"/>
    <col min="13865" max="13865" width="10.625" style="326" customWidth="1"/>
    <col min="13866" max="13867" width="9" style="326"/>
    <col min="13868" max="13868" width="14.125" style="326" customWidth="1"/>
    <col min="13869" max="13869" width="11" style="326" customWidth="1"/>
    <col min="13870" max="13870" width="10.75" style="326" bestFit="1" customWidth="1"/>
    <col min="13871" max="13871" width="13.5" style="326" customWidth="1"/>
    <col min="13872" max="13873" width="9" style="326"/>
    <col min="13874" max="13874" width="10.75" style="326" bestFit="1" customWidth="1"/>
    <col min="13875" max="13875" width="14" style="326" customWidth="1"/>
    <col min="13876" max="13876" width="9" style="326"/>
    <col min="13877" max="13877" width="10.75" style="326" customWidth="1"/>
    <col min="13878" max="13878" width="12.75" style="326" customWidth="1"/>
    <col min="13879" max="13879" width="9" style="326"/>
    <col min="13880" max="13880" width="10.75" style="326" bestFit="1" customWidth="1"/>
    <col min="13881" max="13881" width="11.5" style="326" customWidth="1"/>
    <col min="13882" max="13882" width="13.625" style="326" customWidth="1"/>
    <col min="13883" max="13883" width="10.625" style="326" customWidth="1"/>
    <col min="13884" max="13884" width="10.75" style="326" bestFit="1" customWidth="1"/>
    <col min="13885" max="13885" width="12.375" style="326" customWidth="1"/>
    <col min="13886" max="13888" width="9" style="326"/>
    <col min="13889" max="13889" width="15.75" style="326" customWidth="1"/>
    <col min="13890" max="13890" width="9" style="326"/>
    <col min="13891" max="13891" width="10.75" style="326" bestFit="1" customWidth="1"/>
    <col min="13892" max="13892" width="12.625" style="326" customWidth="1"/>
    <col min="13893" max="13895" width="9" style="326"/>
    <col min="13896" max="13896" width="13.625" style="326" customWidth="1"/>
    <col min="13897" max="13897" width="9" style="326"/>
    <col min="13898" max="13898" width="10.75" style="326" bestFit="1" customWidth="1"/>
    <col min="13899" max="13899" width="12.5" style="326" customWidth="1"/>
    <col min="13900" max="13902" width="9" style="326"/>
    <col min="13903" max="13903" width="12.875" style="326" customWidth="1"/>
    <col min="13904" max="13904" width="9" style="326"/>
    <col min="13905" max="13905" width="10.75" style="326" bestFit="1" customWidth="1"/>
    <col min="13906" max="13906" width="13.875" style="326" customWidth="1"/>
    <col min="13907" max="13909" width="9" style="326"/>
    <col min="13910" max="13910" width="14.125" style="326" customWidth="1"/>
    <col min="13911" max="13911" width="9" style="326"/>
    <col min="13912" max="13912" width="10.75" style="326" bestFit="1" customWidth="1"/>
    <col min="13913" max="13913" width="13.25" style="326" customWidth="1"/>
    <col min="13914" max="13916" width="9" style="326"/>
    <col min="13917" max="13917" width="13.25" style="326" customWidth="1"/>
    <col min="13918" max="13918" width="9" style="326"/>
    <col min="13919" max="13919" width="10.75" style="326" bestFit="1" customWidth="1"/>
    <col min="13920" max="13920" width="13.875" style="326" customWidth="1"/>
    <col min="13921" max="13923" width="9" style="326"/>
    <col min="13924" max="13924" width="13.625" style="326" customWidth="1"/>
    <col min="13925" max="13925" width="9" style="326"/>
    <col min="13926" max="13926" width="10.75" style="326" bestFit="1" customWidth="1"/>
    <col min="13927" max="13927" width="13" style="326" customWidth="1"/>
    <col min="13928" max="14074" width="9" style="326"/>
    <col min="14075" max="14076" width="12.125" style="326" customWidth="1"/>
    <col min="14077" max="14079" width="13" style="326" customWidth="1"/>
    <col min="14080" max="14080" width="12.875" style="326" customWidth="1"/>
    <col min="14081" max="14081" width="13" style="326" customWidth="1"/>
    <col min="14082" max="14082" width="13.125" style="326" customWidth="1"/>
    <col min="14083" max="14084" width="12.125" style="326" customWidth="1"/>
    <col min="14085" max="14085" width="14.375" style="326" bestFit="1" customWidth="1"/>
    <col min="14086" max="14086" width="11" style="326" customWidth="1"/>
    <col min="14087" max="14087" width="10" style="326" customWidth="1"/>
    <col min="14088" max="14088" width="10.875" style="326" customWidth="1"/>
    <col min="14089" max="14089" width="13.75" style="326" customWidth="1"/>
    <col min="14090" max="14090" width="10" style="326" customWidth="1"/>
    <col min="14091" max="14091" width="13.25" style="326" customWidth="1"/>
    <col min="14092" max="14092" width="14.375" style="326" customWidth="1"/>
    <col min="14093" max="14093" width="10" style="326" customWidth="1"/>
    <col min="14094" max="14094" width="10.875" style="326" customWidth="1"/>
    <col min="14095" max="14095" width="11.375" style="326" customWidth="1"/>
    <col min="14096" max="14096" width="15.375" style="326" customWidth="1"/>
    <col min="14097" max="14098" width="10.75" style="326" customWidth="1"/>
    <col min="14099" max="14099" width="14.375" style="326" customWidth="1"/>
    <col min="14100" max="14100" width="10.75" style="326" customWidth="1"/>
    <col min="14101" max="14101" width="11.75" style="326" customWidth="1"/>
    <col min="14102" max="14102" width="10" style="326" customWidth="1"/>
    <col min="14103" max="14103" width="15.375" style="326" customWidth="1"/>
    <col min="14104" max="14104" width="10" style="326" customWidth="1"/>
    <col min="14105" max="14105" width="10.75" style="326" customWidth="1"/>
    <col min="14106" max="14106" width="14.875" style="326" customWidth="1"/>
    <col min="14107" max="14107" width="11.5" style="326" customWidth="1"/>
    <col min="14108" max="14108" width="10" style="326" customWidth="1"/>
    <col min="14109" max="14109" width="10.75" style="326" customWidth="1"/>
    <col min="14110" max="14110" width="13.5" style="326" customWidth="1"/>
    <col min="14111" max="14111" width="9" style="326"/>
    <col min="14112" max="14112" width="10.75" style="326" bestFit="1" customWidth="1"/>
    <col min="14113" max="14113" width="13.75" style="326" customWidth="1"/>
    <col min="14114" max="14114" width="9" style="326"/>
    <col min="14115" max="14115" width="10.625" style="326" customWidth="1"/>
    <col min="14116" max="14116" width="9" style="326"/>
    <col min="14117" max="14117" width="14.25" style="326" customWidth="1"/>
    <col min="14118" max="14118" width="10.75" style="326" bestFit="1" customWidth="1"/>
    <col min="14119" max="14119" width="11.625" style="326" customWidth="1"/>
    <col min="14120" max="14120" width="13.75" style="326" customWidth="1"/>
    <col min="14121" max="14121" width="10.625" style="326" customWidth="1"/>
    <col min="14122" max="14123" width="9" style="326"/>
    <col min="14124" max="14124" width="14.125" style="326" customWidth="1"/>
    <col min="14125" max="14125" width="11" style="326" customWidth="1"/>
    <col min="14126" max="14126" width="10.75" style="326" bestFit="1" customWidth="1"/>
    <col min="14127" max="14127" width="13.5" style="326" customWidth="1"/>
    <col min="14128" max="14129" width="9" style="326"/>
    <col min="14130" max="14130" width="10.75" style="326" bestFit="1" customWidth="1"/>
    <col min="14131" max="14131" width="14" style="326" customWidth="1"/>
    <col min="14132" max="14132" width="9" style="326"/>
    <col min="14133" max="14133" width="10.75" style="326" customWidth="1"/>
    <col min="14134" max="14134" width="12.75" style="326" customWidth="1"/>
    <col min="14135" max="14135" width="9" style="326"/>
    <col min="14136" max="14136" width="10.75" style="326" bestFit="1" customWidth="1"/>
    <col min="14137" max="14137" width="11.5" style="326" customWidth="1"/>
    <col min="14138" max="14138" width="13.625" style="326" customWidth="1"/>
    <col min="14139" max="14139" width="10.625" style="326" customWidth="1"/>
    <col min="14140" max="14140" width="10.75" style="326" bestFit="1" customWidth="1"/>
    <col min="14141" max="14141" width="12.375" style="326" customWidth="1"/>
    <col min="14142" max="14144" width="9" style="326"/>
    <col min="14145" max="14145" width="15.75" style="326" customWidth="1"/>
    <col min="14146" max="14146" width="9" style="326"/>
    <col min="14147" max="14147" width="10.75" style="326" bestFit="1" customWidth="1"/>
    <col min="14148" max="14148" width="12.625" style="326" customWidth="1"/>
    <col min="14149" max="14151" width="9" style="326"/>
    <col min="14152" max="14152" width="13.625" style="326" customWidth="1"/>
    <col min="14153" max="14153" width="9" style="326"/>
    <col min="14154" max="14154" width="10.75" style="326" bestFit="1" customWidth="1"/>
    <col min="14155" max="14155" width="12.5" style="326" customWidth="1"/>
    <col min="14156" max="14158" width="9" style="326"/>
    <col min="14159" max="14159" width="12.875" style="326" customWidth="1"/>
    <col min="14160" max="14160" width="9" style="326"/>
    <col min="14161" max="14161" width="10.75" style="326" bestFit="1" customWidth="1"/>
    <col min="14162" max="14162" width="13.875" style="326" customWidth="1"/>
    <col min="14163" max="14165" width="9" style="326"/>
    <col min="14166" max="14166" width="14.125" style="326" customWidth="1"/>
    <col min="14167" max="14167" width="9" style="326"/>
    <col min="14168" max="14168" width="10.75" style="326" bestFit="1" customWidth="1"/>
    <col min="14169" max="14169" width="13.25" style="326" customWidth="1"/>
    <col min="14170" max="14172" width="9" style="326"/>
    <col min="14173" max="14173" width="13.25" style="326" customWidth="1"/>
    <col min="14174" max="14174" width="9" style="326"/>
    <col min="14175" max="14175" width="10.75" style="326" bestFit="1" customWidth="1"/>
    <col min="14176" max="14176" width="13.875" style="326" customWidth="1"/>
    <col min="14177" max="14179" width="9" style="326"/>
    <col min="14180" max="14180" width="13.625" style="326" customWidth="1"/>
    <col min="14181" max="14181" width="9" style="326"/>
    <col min="14182" max="14182" width="10.75" style="326" bestFit="1" customWidth="1"/>
    <col min="14183" max="14183" width="13" style="326" customWidth="1"/>
    <col min="14184" max="14330" width="9" style="326"/>
    <col min="14331" max="14332" width="12.125" style="326" customWidth="1"/>
    <col min="14333" max="14335" width="13" style="326" customWidth="1"/>
    <col min="14336" max="14336" width="12.875" style="326" customWidth="1"/>
    <col min="14337" max="14337" width="13" style="326" customWidth="1"/>
    <col min="14338" max="14338" width="13.125" style="326" customWidth="1"/>
    <col min="14339" max="14340" width="12.125" style="326" customWidth="1"/>
    <col min="14341" max="14341" width="14.375" style="326" bestFit="1" customWidth="1"/>
    <col min="14342" max="14342" width="11" style="326" customWidth="1"/>
    <col min="14343" max="14343" width="10" style="326" customWidth="1"/>
    <col min="14344" max="14344" width="10.875" style="326" customWidth="1"/>
    <col min="14345" max="14345" width="13.75" style="326" customWidth="1"/>
    <col min="14346" max="14346" width="10" style="326" customWidth="1"/>
    <col min="14347" max="14347" width="13.25" style="326" customWidth="1"/>
    <col min="14348" max="14348" width="14.375" style="326" customWidth="1"/>
    <col min="14349" max="14349" width="10" style="326" customWidth="1"/>
    <col min="14350" max="14350" width="10.875" style="326" customWidth="1"/>
    <col min="14351" max="14351" width="11.375" style="326" customWidth="1"/>
    <col min="14352" max="14352" width="15.375" style="326" customWidth="1"/>
    <col min="14353" max="14354" width="10.75" style="326" customWidth="1"/>
    <col min="14355" max="14355" width="14.375" style="326" customWidth="1"/>
    <col min="14356" max="14356" width="10.75" style="326" customWidth="1"/>
    <col min="14357" max="14357" width="11.75" style="326" customWidth="1"/>
    <col min="14358" max="14358" width="10" style="326" customWidth="1"/>
    <col min="14359" max="14359" width="15.375" style="326" customWidth="1"/>
    <col min="14360" max="14360" width="10" style="326" customWidth="1"/>
    <col min="14361" max="14361" width="10.75" style="326" customWidth="1"/>
    <col min="14362" max="14362" width="14.875" style="326" customWidth="1"/>
    <col min="14363" max="14363" width="11.5" style="326" customWidth="1"/>
    <col min="14364" max="14364" width="10" style="326" customWidth="1"/>
    <col min="14365" max="14365" width="10.75" style="326" customWidth="1"/>
    <col min="14366" max="14366" width="13.5" style="326" customWidth="1"/>
    <col min="14367" max="14367" width="9" style="326"/>
    <col min="14368" max="14368" width="10.75" style="326" bestFit="1" customWidth="1"/>
    <col min="14369" max="14369" width="13.75" style="326" customWidth="1"/>
    <col min="14370" max="14370" width="9" style="326"/>
    <col min="14371" max="14371" width="10.625" style="326" customWidth="1"/>
    <col min="14372" max="14372" width="9" style="326"/>
    <col min="14373" max="14373" width="14.25" style="326" customWidth="1"/>
    <col min="14374" max="14374" width="10.75" style="326" bestFit="1" customWidth="1"/>
    <col min="14375" max="14375" width="11.625" style="326" customWidth="1"/>
    <col min="14376" max="14376" width="13.75" style="326" customWidth="1"/>
    <col min="14377" max="14377" width="10.625" style="326" customWidth="1"/>
    <col min="14378" max="14379" width="9" style="326"/>
    <col min="14380" max="14380" width="14.125" style="326" customWidth="1"/>
    <col min="14381" max="14381" width="11" style="326" customWidth="1"/>
    <col min="14382" max="14382" width="10.75" style="326" bestFit="1" customWidth="1"/>
    <col min="14383" max="14383" width="13.5" style="326" customWidth="1"/>
    <col min="14384" max="14385" width="9" style="326"/>
    <col min="14386" max="14386" width="10.75" style="326" bestFit="1" customWidth="1"/>
    <col min="14387" max="14387" width="14" style="326" customWidth="1"/>
    <col min="14388" max="14388" width="9" style="326"/>
    <col min="14389" max="14389" width="10.75" style="326" customWidth="1"/>
    <col min="14390" max="14390" width="12.75" style="326" customWidth="1"/>
    <col min="14391" max="14391" width="9" style="326"/>
    <col min="14392" max="14392" width="10.75" style="326" bestFit="1" customWidth="1"/>
    <col min="14393" max="14393" width="11.5" style="326" customWidth="1"/>
    <col min="14394" max="14394" width="13.625" style="326" customWidth="1"/>
    <col min="14395" max="14395" width="10.625" style="326" customWidth="1"/>
    <col min="14396" max="14396" width="10.75" style="326" bestFit="1" customWidth="1"/>
    <col min="14397" max="14397" width="12.375" style="326" customWidth="1"/>
    <col min="14398" max="14400" width="9" style="326"/>
    <col min="14401" max="14401" width="15.75" style="326" customWidth="1"/>
    <col min="14402" max="14402" width="9" style="326"/>
    <col min="14403" max="14403" width="10.75" style="326" bestFit="1" customWidth="1"/>
    <col min="14404" max="14404" width="12.625" style="326" customWidth="1"/>
    <col min="14405" max="14407" width="9" style="326"/>
    <col min="14408" max="14408" width="13.625" style="326" customWidth="1"/>
    <col min="14409" max="14409" width="9" style="326"/>
    <col min="14410" max="14410" width="10.75" style="326" bestFit="1" customWidth="1"/>
    <col min="14411" max="14411" width="12.5" style="326" customWidth="1"/>
    <col min="14412" max="14414" width="9" style="326"/>
    <col min="14415" max="14415" width="12.875" style="326" customWidth="1"/>
    <col min="14416" max="14416" width="9" style="326"/>
    <col min="14417" max="14417" width="10.75" style="326" bestFit="1" customWidth="1"/>
    <col min="14418" max="14418" width="13.875" style="326" customWidth="1"/>
    <col min="14419" max="14421" width="9" style="326"/>
    <col min="14422" max="14422" width="14.125" style="326" customWidth="1"/>
    <col min="14423" max="14423" width="9" style="326"/>
    <col min="14424" max="14424" width="10.75" style="326" bestFit="1" customWidth="1"/>
    <col min="14425" max="14425" width="13.25" style="326" customWidth="1"/>
    <col min="14426" max="14428" width="9" style="326"/>
    <col min="14429" max="14429" width="13.25" style="326" customWidth="1"/>
    <col min="14430" max="14430" width="9" style="326"/>
    <col min="14431" max="14431" width="10.75" style="326" bestFit="1" customWidth="1"/>
    <col min="14432" max="14432" width="13.875" style="326" customWidth="1"/>
    <col min="14433" max="14435" width="9" style="326"/>
    <col min="14436" max="14436" width="13.625" style="326" customWidth="1"/>
    <col min="14437" max="14437" width="9" style="326"/>
    <col min="14438" max="14438" width="10.75" style="326" bestFit="1" customWidth="1"/>
    <col min="14439" max="14439" width="13" style="326" customWidth="1"/>
    <col min="14440" max="14586" width="9" style="326"/>
    <col min="14587" max="14588" width="12.125" style="326" customWidth="1"/>
    <col min="14589" max="14591" width="13" style="326" customWidth="1"/>
    <col min="14592" max="14592" width="12.875" style="326" customWidth="1"/>
    <col min="14593" max="14593" width="13" style="326" customWidth="1"/>
    <col min="14594" max="14594" width="13.125" style="326" customWidth="1"/>
    <col min="14595" max="14596" width="12.125" style="326" customWidth="1"/>
    <col min="14597" max="14597" width="14.375" style="326" bestFit="1" customWidth="1"/>
    <col min="14598" max="14598" width="11" style="326" customWidth="1"/>
    <col min="14599" max="14599" width="10" style="326" customWidth="1"/>
    <col min="14600" max="14600" width="10.875" style="326" customWidth="1"/>
    <col min="14601" max="14601" width="13.75" style="326" customWidth="1"/>
    <col min="14602" max="14602" width="10" style="326" customWidth="1"/>
    <col min="14603" max="14603" width="13.25" style="326" customWidth="1"/>
    <col min="14604" max="14604" width="14.375" style="326" customWidth="1"/>
    <col min="14605" max="14605" width="10" style="326" customWidth="1"/>
    <col min="14606" max="14606" width="10.875" style="326" customWidth="1"/>
    <col min="14607" max="14607" width="11.375" style="326" customWidth="1"/>
    <col min="14608" max="14608" width="15.375" style="326" customWidth="1"/>
    <col min="14609" max="14610" width="10.75" style="326" customWidth="1"/>
    <col min="14611" max="14611" width="14.375" style="326" customWidth="1"/>
    <col min="14612" max="14612" width="10.75" style="326" customWidth="1"/>
    <col min="14613" max="14613" width="11.75" style="326" customWidth="1"/>
    <col min="14614" max="14614" width="10" style="326" customWidth="1"/>
    <col min="14615" max="14615" width="15.375" style="326" customWidth="1"/>
    <col min="14616" max="14616" width="10" style="326" customWidth="1"/>
    <col min="14617" max="14617" width="10.75" style="326" customWidth="1"/>
    <col min="14618" max="14618" width="14.875" style="326" customWidth="1"/>
    <col min="14619" max="14619" width="11.5" style="326" customWidth="1"/>
    <col min="14620" max="14620" width="10" style="326" customWidth="1"/>
    <col min="14621" max="14621" width="10.75" style="326" customWidth="1"/>
    <col min="14622" max="14622" width="13.5" style="326" customWidth="1"/>
    <col min="14623" max="14623" width="9" style="326"/>
    <col min="14624" max="14624" width="10.75" style="326" bestFit="1" customWidth="1"/>
    <col min="14625" max="14625" width="13.75" style="326" customWidth="1"/>
    <col min="14626" max="14626" width="9" style="326"/>
    <col min="14627" max="14627" width="10.625" style="326" customWidth="1"/>
    <col min="14628" max="14628" width="9" style="326"/>
    <col min="14629" max="14629" width="14.25" style="326" customWidth="1"/>
    <col min="14630" max="14630" width="10.75" style="326" bestFit="1" customWidth="1"/>
    <col min="14631" max="14631" width="11.625" style="326" customWidth="1"/>
    <col min="14632" max="14632" width="13.75" style="326" customWidth="1"/>
    <col min="14633" max="14633" width="10.625" style="326" customWidth="1"/>
    <col min="14634" max="14635" width="9" style="326"/>
    <col min="14636" max="14636" width="14.125" style="326" customWidth="1"/>
    <col min="14637" max="14637" width="11" style="326" customWidth="1"/>
    <col min="14638" max="14638" width="10.75" style="326" bestFit="1" customWidth="1"/>
    <col min="14639" max="14639" width="13.5" style="326" customWidth="1"/>
    <col min="14640" max="14641" width="9" style="326"/>
    <col min="14642" max="14642" width="10.75" style="326" bestFit="1" customWidth="1"/>
    <col min="14643" max="14643" width="14" style="326" customWidth="1"/>
    <col min="14644" max="14644" width="9" style="326"/>
    <col min="14645" max="14645" width="10.75" style="326" customWidth="1"/>
    <col min="14646" max="14646" width="12.75" style="326" customWidth="1"/>
    <col min="14647" max="14647" width="9" style="326"/>
    <col min="14648" max="14648" width="10.75" style="326" bestFit="1" customWidth="1"/>
    <col min="14649" max="14649" width="11.5" style="326" customWidth="1"/>
    <col min="14650" max="14650" width="13.625" style="326" customWidth="1"/>
    <col min="14651" max="14651" width="10.625" style="326" customWidth="1"/>
    <col min="14652" max="14652" width="10.75" style="326" bestFit="1" customWidth="1"/>
    <col min="14653" max="14653" width="12.375" style="326" customWidth="1"/>
    <col min="14654" max="14656" width="9" style="326"/>
    <col min="14657" max="14657" width="15.75" style="326" customWidth="1"/>
    <col min="14658" max="14658" width="9" style="326"/>
    <col min="14659" max="14659" width="10.75" style="326" bestFit="1" customWidth="1"/>
    <col min="14660" max="14660" width="12.625" style="326" customWidth="1"/>
    <col min="14661" max="14663" width="9" style="326"/>
    <col min="14664" max="14664" width="13.625" style="326" customWidth="1"/>
    <col min="14665" max="14665" width="9" style="326"/>
    <col min="14666" max="14666" width="10.75" style="326" bestFit="1" customWidth="1"/>
    <col min="14667" max="14667" width="12.5" style="326" customWidth="1"/>
    <col min="14668" max="14670" width="9" style="326"/>
    <col min="14671" max="14671" width="12.875" style="326" customWidth="1"/>
    <col min="14672" max="14672" width="9" style="326"/>
    <col min="14673" max="14673" width="10.75" style="326" bestFit="1" customWidth="1"/>
    <col min="14674" max="14674" width="13.875" style="326" customWidth="1"/>
    <col min="14675" max="14677" width="9" style="326"/>
    <col min="14678" max="14678" width="14.125" style="326" customWidth="1"/>
    <col min="14679" max="14679" width="9" style="326"/>
    <col min="14680" max="14680" width="10.75" style="326" bestFit="1" customWidth="1"/>
    <col min="14681" max="14681" width="13.25" style="326" customWidth="1"/>
    <col min="14682" max="14684" width="9" style="326"/>
    <col min="14685" max="14685" width="13.25" style="326" customWidth="1"/>
    <col min="14686" max="14686" width="9" style="326"/>
    <col min="14687" max="14687" width="10.75" style="326" bestFit="1" customWidth="1"/>
    <col min="14688" max="14688" width="13.875" style="326" customWidth="1"/>
    <col min="14689" max="14691" width="9" style="326"/>
    <col min="14692" max="14692" width="13.625" style="326" customWidth="1"/>
    <col min="14693" max="14693" width="9" style="326"/>
    <col min="14694" max="14694" width="10.75" style="326" bestFit="1" customWidth="1"/>
    <col min="14695" max="14695" width="13" style="326" customWidth="1"/>
    <col min="14696" max="14842" width="9" style="326"/>
    <col min="14843" max="14844" width="12.125" style="326" customWidth="1"/>
    <col min="14845" max="14847" width="13" style="326" customWidth="1"/>
    <col min="14848" max="14848" width="12.875" style="326" customWidth="1"/>
    <col min="14849" max="14849" width="13" style="326" customWidth="1"/>
    <col min="14850" max="14850" width="13.125" style="326" customWidth="1"/>
    <col min="14851" max="14852" width="12.125" style="326" customWidth="1"/>
    <col min="14853" max="14853" width="14.375" style="326" bestFit="1" customWidth="1"/>
    <col min="14854" max="14854" width="11" style="326" customWidth="1"/>
    <col min="14855" max="14855" width="10" style="326" customWidth="1"/>
    <col min="14856" max="14856" width="10.875" style="326" customWidth="1"/>
    <col min="14857" max="14857" width="13.75" style="326" customWidth="1"/>
    <col min="14858" max="14858" width="10" style="326" customWidth="1"/>
    <col min="14859" max="14859" width="13.25" style="326" customWidth="1"/>
    <col min="14860" max="14860" width="14.375" style="326" customWidth="1"/>
    <col min="14861" max="14861" width="10" style="326" customWidth="1"/>
    <col min="14862" max="14862" width="10.875" style="326" customWidth="1"/>
    <col min="14863" max="14863" width="11.375" style="326" customWidth="1"/>
    <col min="14864" max="14864" width="15.375" style="326" customWidth="1"/>
    <col min="14865" max="14866" width="10.75" style="326" customWidth="1"/>
    <col min="14867" max="14867" width="14.375" style="326" customWidth="1"/>
    <col min="14868" max="14868" width="10.75" style="326" customWidth="1"/>
    <col min="14869" max="14869" width="11.75" style="326" customWidth="1"/>
    <col min="14870" max="14870" width="10" style="326" customWidth="1"/>
    <col min="14871" max="14871" width="15.375" style="326" customWidth="1"/>
    <col min="14872" max="14872" width="10" style="326" customWidth="1"/>
    <col min="14873" max="14873" width="10.75" style="326" customWidth="1"/>
    <col min="14874" max="14874" width="14.875" style="326" customWidth="1"/>
    <col min="14875" max="14875" width="11.5" style="326" customWidth="1"/>
    <col min="14876" max="14876" width="10" style="326" customWidth="1"/>
    <col min="14877" max="14877" width="10.75" style="326" customWidth="1"/>
    <col min="14878" max="14878" width="13.5" style="326" customWidth="1"/>
    <col min="14879" max="14879" width="9" style="326"/>
    <col min="14880" max="14880" width="10.75" style="326" bestFit="1" customWidth="1"/>
    <col min="14881" max="14881" width="13.75" style="326" customWidth="1"/>
    <col min="14882" max="14882" width="9" style="326"/>
    <col min="14883" max="14883" width="10.625" style="326" customWidth="1"/>
    <col min="14884" max="14884" width="9" style="326"/>
    <col min="14885" max="14885" width="14.25" style="326" customWidth="1"/>
    <col min="14886" max="14886" width="10.75" style="326" bestFit="1" customWidth="1"/>
    <col min="14887" max="14887" width="11.625" style="326" customWidth="1"/>
    <col min="14888" max="14888" width="13.75" style="326" customWidth="1"/>
    <col min="14889" max="14889" width="10.625" style="326" customWidth="1"/>
    <col min="14890" max="14891" width="9" style="326"/>
    <col min="14892" max="14892" width="14.125" style="326" customWidth="1"/>
    <col min="14893" max="14893" width="11" style="326" customWidth="1"/>
    <col min="14894" max="14894" width="10.75" style="326" bestFit="1" customWidth="1"/>
    <col min="14895" max="14895" width="13.5" style="326" customWidth="1"/>
    <col min="14896" max="14897" width="9" style="326"/>
    <col min="14898" max="14898" width="10.75" style="326" bestFit="1" customWidth="1"/>
    <col min="14899" max="14899" width="14" style="326" customWidth="1"/>
    <col min="14900" max="14900" width="9" style="326"/>
    <col min="14901" max="14901" width="10.75" style="326" customWidth="1"/>
    <col min="14902" max="14902" width="12.75" style="326" customWidth="1"/>
    <col min="14903" max="14903" width="9" style="326"/>
    <col min="14904" max="14904" width="10.75" style="326" bestFit="1" customWidth="1"/>
    <col min="14905" max="14905" width="11.5" style="326" customWidth="1"/>
    <col min="14906" max="14906" width="13.625" style="326" customWidth="1"/>
    <col min="14907" max="14907" width="10.625" style="326" customWidth="1"/>
    <col min="14908" max="14908" width="10.75" style="326" bestFit="1" customWidth="1"/>
    <col min="14909" max="14909" width="12.375" style="326" customWidth="1"/>
    <col min="14910" max="14912" width="9" style="326"/>
    <col min="14913" max="14913" width="15.75" style="326" customWidth="1"/>
    <col min="14914" max="14914" width="9" style="326"/>
    <col min="14915" max="14915" width="10.75" style="326" bestFit="1" customWidth="1"/>
    <col min="14916" max="14916" width="12.625" style="326" customWidth="1"/>
    <col min="14917" max="14919" width="9" style="326"/>
    <col min="14920" max="14920" width="13.625" style="326" customWidth="1"/>
    <col min="14921" max="14921" width="9" style="326"/>
    <col min="14922" max="14922" width="10.75" style="326" bestFit="1" customWidth="1"/>
    <col min="14923" max="14923" width="12.5" style="326" customWidth="1"/>
    <col min="14924" max="14926" width="9" style="326"/>
    <col min="14927" max="14927" width="12.875" style="326" customWidth="1"/>
    <col min="14928" max="14928" width="9" style="326"/>
    <col min="14929" max="14929" width="10.75" style="326" bestFit="1" customWidth="1"/>
    <col min="14930" max="14930" width="13.875" style="326" customWidth="1"/>
    <col min="14931" max="14933" width="9" style="326"/>
    <col min="14934" max="14934" width="14.125" style="326" customWidth="1"/>
    <col min="14935" max="14935" width="9" style="326"/>
    <col min="14936" max="14936" width="10.75" style="326" bestFit="1" customWidth="1"/>
    <col min="14937" max="14937" width="13.25" style="326" customWidth="1"/>
    <col min="14938" max="14940" width="9" style="326"/>
    <col min="14941" max="14941" width="13.25" style="326" customWidth="1"/>
    <col min="14942" max="14942" width="9" style="326"/>
    <col min="14943" max="14943" width="10.75" style="326" bestFit="1" customWidth="1"/>
    <col min="14944" max="14944" width="13.875" style="326" customWidth="1"/>
    <col min="14945" max="14947" width="9" style="326"/>
    <col min="14948" max="14948" width="13.625" style="326" customWidth="1"/>
    <col min="14949" max="14949" width="9" style="326"/>
    <col min="14950" max="14950" width="10.75" style="326" bestFit="1" customWidth="1"/>
    <col min="14951" max="14951" width="13" style="326" customWidth="1"/>
    <col min="14952" max="15098" width="9" style="326"/>
    <col min="15099" max="15100" width="12.125" style="326" customWidth="1"/>
    <col min="15101" max="15103" width="13" style="326" customWidth="1"/>
    <col min="15104" max="15104" width="12.875" style="326" customWidth="1"/>
    <col min="15105" max="15105" width="13" style="326" customWidth="1"/>
    <col min="15106" max="15106" width="13.125" style="326" customWidth="1"/>
    <col min="15107" max="15108" width="12.125" style="326" customWidth="1"/>
    <col min="15109" max="15109" width="14.375" style="326" bestFit="1" customWidth="1"/>
    <col min="15110" max="15110" width="11" style="326" customWidth="1"/>
    <col min="15111" max="15111" width="10" style="326" customWidth="1"/>
    <col min="15112" max="15112" width="10.875" style="326" customWidth="1"/>
    <col min="15113" max="15113" width="13.75" style="326" customWidth="1"/>
    <col min="15114" max="15114" width="10" style="326" customWidth="1"/>
    <col min="15115" max="15115" width="13.25" style="326" customWidth="1"/>
    <col min="15116" max="15116" width="14.375" style="326" customWidth="1"/>
    <col min="15117" max="15117" width="10" style="326" customWidth="1"/>
    <col min="15118" max="15118" width="10.875" style="326" customWidth="1"/>
    <col min="15119" max="15119" width="11.375" style="326" customWidth="1"/>
    <col min="15120" max="15120" width="15.375" style="326" customWidth="1"/>
    <col min="15121" max="15122" width="10.75" style="326" customWidth="1"/>
    <col min="15123" max="15123" width="14.375" style="326" customWidth="1"/>
    <col min="15124" max="15124" width="10.75" style="326" customWidth="1"/>
    <col min="15125" max="15125" width="11.75" style="326" customWidth="1"/>
    <col min="15126" max="15126" width="10" style="326" customWidth="1"/>
    <col min="15127" max="15127" width="15.375" style="326" customWidth="1"/>
    <col min="15128" max="15128" width="10" style="326" customWidth="1"/>
    <col min="15129" max="15129" width="10.75" style="326" customWidth="1"/>
    <col min="15130" max="15130" width="14.875" style="326" customWidth="1"/>
    <col min="15131" max="15131" width="11.5" style="326" customWidth="1"/>
    <col min="15132" max="15132" width="10" style="326" customWidth="1"/>
    <col min="15133" max="15133" width="10.75" style="326" customWidth="1"/>
    <col min="15134" max="15134" width="13.5" style="326" customWidth="1"/>
    <col min="15135" max="15135" width="9" style="326"/>
    <col min="15136" max="15136" width="10.75" style="326" bestFit="1" customWidth="1"/>
    <col min="15137" max="15137" width="13.75" style="326" customWidth="1"/>
    <col min="15138" max="15138" width="9" style="326"/>
    <col min="15139" max="15139" width="10.625" style="326" customWidth="1"/>
    <col min="15140" max="15140" width="9" style="326"/>
    <col min="15141" max="15141" width="14.25" style="326" customWidth="1"/>
    <col min="15142" max="15142" width="10.75" style="326" bestFit="1" customWidth="1"/>
    <col min="15143" max="15143" width="11.625" style="326" customWidth="1"/>
    <col min="15144" max="15144" width="13.75" style="326" customWidth="1"/>
    <col min="15145" max="15145" width="10.625" style="326" customWidth="1"/>
    <col min="15146" max="15147" width="9" style="326"/>
    <col min="15148" max="15148" width="14.125" style="326" customWidth="1"/>
    <col min="15149" max="15149" width="11" style="326" customWidth="1"/>
    <col min="15150" max="15150" width="10.75" style="326" bestFit="1" customWidth="1"/>
    <col min="15151" max="15151" width="13.5" style="326" customWidth="1"/>
    <col min="15152" max="15153" width="9" style="326"/>
    <col min="15154" max="15154" width="10.75" style="326" bestFit="1" customWidth="1"/>
    <col min="15155" max="15155" width="14" style="326" customWidth="1"/>
    <col min="15156" max="15156" width="9" style="326"/>
    <col min="15157" max="15157" width="10.75" style="326" customWidth="1"/>
    <col min="15158" max="15158" width="12.75" style="326" customWidth="1"/>
    <col min="15159" max="15159" width="9" style="326"/>
    <col min="15160" max="15160" width="10.75" style="326" bestFit="1" customWidth="1"/>
    <col min="15161" max="15161" width="11.5" style="326" customWidth="1"/>
    <col min="15162" max="15162" width="13.625" style="326" customWidth="1"/>
    <col min="15163" max="15163" width="10.625" style="326" customWidth="1"/>
    <col min="15164" max="15164" width="10.75" style="326" bestFit="1" customWidth="1"/>
    <col min="15165" max="15165" width="12.375" style="326" customWidth="1"/>
    <col min="15166" max="15168" width="9" style="326"/>
    <col min="15169" max="15169" width="15.75" style="326" customWidth="1"/>
    <col min="15170" max="15170" width="9" style="326"/>
    <col min="15171" max="15171" width="10.75" style="326" bestFit="1" customWidth="1"/>
    <col min="15172" max="15172" width="12.625" style="326" customWidth="1"/>
    <col min="15173" max="15175" width="9" style="326"/>
    <col min="15176" max="15176" width="13.625" style="326" customWidth="1"/>
    <col min="15177" max="15177" width="9" style="326"/>
    <col min="15178" max="15178" width="10.75" style="326" bestFit="1" customWidth="1"/>
    <col min="15179" max="15179" width="12.5" style="326" customWidth="1"/>
    <col min="15180" max="15182" width="9" style="326"/>
    <col min="15183" max="15183" width="12.875" style="326" customWidth="1"/>
    <col min="15184" max="15184" width="9" style="326"/>
    <col min="15185" max="15185" width="10.75" style="326" bestFit="1" customWidth="1"/>
    <col min="15186" max="15186" width="13.875" style="326" customWidth="1"/>
    <col min="15187" max="15189" width="9" style="326"/>
    <col min="15190" max="15190" width="14.125" style="326" customWidth="1"/>
    <col min="15191" max="15191" width="9" style="326"/>
    <col min="15192" max="15192" width="10.75" style="326" bestFit="1" customWidth="1"/>
    <col min="15193" max="15193" width="13.25" style="326" customWidth="1"/>
    <col min="15194" max="15196" width="9" style="326"/>
    <col min="15197" max="15197" width="13.25" style="326" customWidth="1"/>
    <col min="15198" max="15198" width="9" style="326"/>
    <col min="15199" max="15199" width="10.75" style="326" bestFit="1" customWidth="1"/>
    <col min="15200" max="15200" width="13.875" style="326" customWidth="1"/>
    <col min="15201" max="15203" width="9" style="326"/>
    <col min="15204" max="15204" width="13.625" style="326" customWidth="1"/>
    <col min="15205" max="15205" width="9" style="326"/>
    <col min="15206" max="15206" width="10.75" style="326" bestFit="1" customWidth="1"/>
    <col min="15207" max="15207" width="13" style="326" customWidth="1"/>
    <col min="15208" max="15354" width="9" style="326"/>
    <col min="15355" max="15356" width="12.125" style="326" customWidth="1"/>
    <col min="15357" max="15359" width="13" style="326" customWidth="1"/>
    <col min="15360" max="15360" width="12.875" style="326" customWidth="1"/>
    <col min="15361" max="15361" width="13" style="326" customWidth="1"/>
    <col min="15362" max="15362" width="13.125" style="326" customWidth="1"/>
    <col min="15363" max="15364" width="12.125" style="326" customWidth="1"/>
    <col min="15365" max="15365" width="14.375" style="326" bestFit="1" customWidth="1"/>
    <col min="15366" max="15366" width="11" style="326" customWidth="1"/>
    <col min="15367" max="15367" width="10" style="326" customWidth="1"/>
    <col min="15368" max="15368" width="10.875" style="326" customWidth="1"/>
    <col min="15369" max="15369" width="13.75" style="326" customWidth="1"/>
    <col min="15370" max="15370" width="10" style="326" customWidth="1"/>
    <col min="15371" max="15371" width="13.25" style="326" customWidth="1"/>
    <col min="15372" max="15372" width="14.375" style="326" customWidth="1"/>
    <col min="15373" max="15373" width="10" style="326" customWidth="1"/>
    <col min="15374" max="15374" width="10.875" style="326" customWidth="1"/>
    <col min="15375" max="15375" width="11.375" style="326" customWidth="1"/>
    <col min="15376" max="15376" width="15.375" style="326" customWidth="1"/>
    <col min="15377" max="15378" width="10.75" style="326" customWidth="1"/>
    <col min="15379" max="15379" width="14.375" style="326" customWidth="1"/>
    <col min="15380" max="15380" width="10.75" style="326" customWidth="1"/>
    <col min="15381" max="15381" width="11.75" style="326" customWidth="1"/>
    <col min="15382" max="15382" width="10" style="326" customWidth="1"/>
    <col min="15383" max="15383" width="15.375" style="326" customWidth="1"/>
    <col min="15384" max="15384" width="10" style="326" customWidth="1"/>
    <col min="15385" max="15385" width="10.75" style="326" customWidth="1"/>
    <col min="15386" max="15386" width="14.875" style="326" customWidth="1"/>
    <col min="15387" max="15387" width="11.5" style="326" customWidth="1"/>
    <col min="15388" max="15388" width="10" style="326" customWidth="1"/>
    <col min="15389" max="15389" width="10.75" style="326" customWidth="1"/>
    <col min="15390" max="15390" width="13.5" style="326" customWidth="1"/>
    <col min="15391" max="15391" width="9" style="326"/>
    <col min="15392" max="15392" width="10.75" style="326" bestFit="1" customWidth="1"/>
    <col min="15393" max="15393" width="13.75" style="326" customWidth="1"/>
    <col min="15394" max="15394" width="9" style="326"/>
    <col min="15395" max="15395" width="10.625" style="326" customWidth="1"/>
    <col min="15396" max="15396" width="9" style="326"/>
    <col min="15397" max="15397" width="14.25" style="326" customWidth="1"/>
    <col min="15398" max="15398" width="10.75" style="326" bestFit="1" customWidth="1"/>
    <col min="15399" max="15399" width="11.625" style="326" customWidth="1"/>
    <col min="15400" max="15400" width="13.75" style="326" customWidth="1"/>
    <col min="15401" max="15401" width="10.625" style="326" customWidth="1"/>
    <col min="15402" max="15403" width="9" style="326"/>
    <col min="15404" max="15404" width="14.125" style="326" customWidth="1"/>
    <col min="15405" max="15405" width="11" style="326" customWidth="1"/>
    <col min="15406" max="15406" width="10.75" style="326" bestFit="1" customWidth="1"/>
    <col min="15407" max="15407" width="13.5" style="326" customWidth="1"/>
    <col min="15408" max="15409" width="9" style="326"/>
    <col min="15410" max="15410" width="10.75" style="326" bestFit="1" customWidth="1"/>
    <col min="15411" max="15411" width="14" style="326" customWidth="1"/>
    <col min="15412" max="15412" width="9" style="326"/>
    <col min="15413" max="15413" width="10.75" style="326" customWidth="1"/>
    <col min="15414" max="15414" width="12.75" style="326" customWidth="1"/>
    <col min="15415" max="15415" width="9" style="326"/>
    <col min="15416" max="15416" width="10.75" style="326" bestFit="1" customWidth="1"/>
    <col min="15417" max="15417" width="11.5" style="326" customWidth="1"/>
    <col min="15418" max="15418" width="13.625" style="326" customWidth="1"/>
    <col min="15419" max="15419" width="10.625" style="326" customWidth="1"/>
    <col min="15420" max="15420" width="10.75" style="326" bestFit="1" customWidth="1"/>
    <col min="15421" max="15421" width="12.375" style="326" customWidth="1"/>
    <col min="15422" max="15424" width="9" style="326"/>
    <col min="15425" max="15425" width="15.75" style="326" customWidth="1"/>
    <col min="15426" max="15426" width="9" style="326"/>
    <col min="15427" max="15427" width="10.75" style="326" bestFit="1" customWidth="1"/>
    <col min="15428" max="15428" width="12.625" style="326" customWidth="1"/>
    <col min="15429" max="15431" width="9" style="326"/>
    <col min="15432" max="15432" width="13.625" style="326" customWidth="1"/>
    <col min="15433" max="15433" width="9" style="326"/>
    <col min="15434" max="15434" width="10.75" style="326" bestFit="1" customWidth="1"/>
    <col min="15435" max="15435" width="12.5" style="326" customWidth="1"/>
    <col min="15436" max="15438" width="9" style="326"/>
    <col min="15439" max="15439" width="12.875" style="326" customWidth="1"/>
    <col min="15440" max="15440" width="9" style="326"/>
    <col min="15441" max="15441" width="10.75" style="326" bestFit="1" customWidth="1"/>
    <col min="15442" max="15442" width="13.875" style="326" customWidth="1"/>
    <col min="15443" max="15445" width="9" style="326"/>
    <col min="15446" max="15446" width="14.125" style="326" customWidth="1"/>
    <col min="15447" max="15447" width="9" style="326"/>
    <col min="15448" max="15448" width="10.75" style="326" bestFit="1" customWidth="1"/>
    <col min="15449" max="15449" width="13.25" style="326" customWidth="1"/>
    <col min="15450" max="15452" width="9" style="326"/>
    <col min="15453" max="15453" width="13.25" style="326" customWidth="1"/>
    <col min="15454" max="15454" width="9" style="326"/>
    <col min="15455" max="15455" width="10.75" style="326" bestFit="1" customWidth="1"/>
    <col min="15456" max="15456" width="13.875" style="326" customWidth="1"/>
    <col min="15457" max="15459" width="9" style="326"/>
    <col min="15460" max="15460" width="13.625" style="326" customWidth="1"/>
    <col min="15461" max="15461" width="9" style="326"/>
    <col min="15462" max="15462" width="10.75" style="326" bestFit="1" customWidth="1"/>
    <col min="15463" max="15463" width="13" style="326" customWidth="1"/>
    <col min="15464" max="15610" width="9" style="326"/>
    <col min="15611" max="15612" width="12.125" style="326" customWidth="1"/>
    <col min="15613" max="15615" width="13" style="326" customWidth="1"/>
    <col min="15616" max="15616" width="12.875" style="326" customWidth="1"/>
    <col min="15617" max="15617" width="13" style="326" customWidth="1"/>
    <col min="15618" max="15618" width="13.125" style="326" customWidth="1"/>
    <col min="15619" max="15620" width="12.125" style="326" customWidth="1"/>
    <col min="15621" max="15621" width="14.375" style="326" bestFit="1" customWidth="1"/>
    <col min="15622" max="15622" width="11" style="326" customWidth="1"/>
    <col min="15623" max="15623" width="10" style="326" customWidth="1"/>
    <col min="15624" max="15624" width="10.875" style="326" customWidth="1"/>
    <col min="15625" max="15625" width="13.75" style="326" customWidth="1"/>
    <col min="15626" max="15626" width="10" style="326" customWidth="1"/>
    <col min="15627" max="15627" width="13.25" style="326" customWidth="1"/>
    <col min="15628" max="15628" width="14.375" style="326" customWidth="1"/>
    <col min="15629" max="15629" width="10" style="326" customWidth="1"/>
    <col min="15630" max="15630" width="10.875" style="326" customWidth="1"/>
    <col min="15631" max="15631" width="11.375" style="326" customWidth="1"/>
    <col min="15632" max="15632" width="15.375" style="326" customWidth="1"/>
    <col min="15633" max="15634" width="10.75" style="326" customWidth="1"/>
    <col min="15635" max="15635" width="14.375" style="326" customWidth="1"/>
    <col min="15636" max="15636" width="10.75" style="326" customWidth="1"/>
    <col min="15637" max="15637" width="11.75" style="326" customWidth="1"/>
    <col min="15638" max="15638" width="10" style="326" customWidth="1"/>
    <col min="15639" max="15639" width="15.375" style="326" customWidth="1"/>
    <col min="15640" max="15640" width="10" style="326" customWidth="1"/>
    <col min="15641" max="15641" width="10.75" style="326" customWidth="1"/>
    <col min="15642" max="15642" width="14.875" style="326" customWidth="1"/>
    <col min="15643" max="15643" width="11.5" style="326" customWidth="1"/>
    <col min="15644" max="15644" width="10" style="326" customWidth="1"/>
    <col min="15645" max="15645" width="10.75" style="326" customWidth="1"/>
    <col min="15646" max="15646" width="13.5" style="326" customWidth="1"/>
    <col min="15647" max="15647" width="9" style="326"/>
    <col min="15648" max="15648" width="10.75" style="326" bestFit="1" customWidth="1"/>
    <col min="15649" max="15649" width="13.75" style="326" customWidth="1"/>
    <col min="15650" max="15650" width="9" style="326"/>
    <col min="15651" max="15651" width="10.625" style="326" customWidth="1"/>
    <col min="15652" max="15652" width="9" style="326"/>
    <col min="15653" max="15653" width="14.25" style="326" customWidth="1"/>
    <col min="15654" max="15654" width="10.75" style="326" bestFit="1" customWidth="1"/>
    <col min="15655" max="15655" width="11.625" style="326" customWidth="1"/>
    <col min="15656" max="15656" width="13.75" style="326" customWidth="1"/>
    <col min="15657" max="15657" width="10.625" style="326" customWidth="1"/>
    <col min="15658" max="15659" width="9" style="326"/>
    <col min="15660" max="15660" width="14.125" style="326" customWidth="1"/>
    <col min="15661" max="15661" width="11" style="326" customWidth="1"/>
    <col min="15662" max="15662" width="10.75" style="326" bestFit="1" customWidth="1"/>
    <col min="15663" max="15663" width="13.5" style="326" customWidth="1"/>
    <col min="15664" max="15665" width="9" style="326"/>
    <col min="15666" max="15666" width="10.75" style="326" bestFit="1" customWidth="1"/>
    <col min="15667" max="15667" width="14" style="326" customWidth="1"/>
    <col min="15668" max="15668" width="9" style="326"/>
    <col min="15669" max="15669" width="10.75" style="326" customWidth="1"/>
    <col min="15670" max="15670" width="12.75" style="326" customWidth="1"/>
    <col min="15671" max="15671" width="9" style="326"/>
    <col min="15672" max="15672" width="10.75" style="326" bestFit="1" customWidth="1"/>
    <col min="15673" max="15673" width="11.5" style="326" customWidth="1"/>
    <col min="15674" max="15674" width="13.625" style="326" customWidth="1"/>
    <col min="15675" max="15675" width="10.625" style="326" customWidth="1"/>
    <col min="15676" max="15676" width="10.75" style="326" bestFit="1" customWidth="1"/>
    <col min="15677" max="15677" width="12.375" style="326" customWidth="1"/>
    <col min="15678" max="15680" width="9" style="326"/>
    <col min="15681" max="15681" width="15.75" style="326" customWidth="1"/>
    <col min="15682" max="15682" width="9" style="326"/>
    <col min="15683" max="15683" width="10.75" style="326" bestFit="1" customWidth="1"/>
    <col min="15684" max="15684" width="12.625" style="326" customWidth="1"/>
    <col min="15685" max="15687" width="9" style="326"/>
    <col min="15688" max="15688" width="13.625" style="326" customWidth="1"/>
    <col min="15689" max="15689" width="9" style="326"/>
    <col min="15690" max="15690" width="10.75" style="326" bestFit="1" customWidth="1"/>
    <col min="15691" max="15691" width="12.5" style="326" customWidth="1"/>
    <col min="15692" max="15694" width="9" style="326"/>
    <col min="15695" max="15695" width="12.875" style="326" customWidth="1"/>
    <col min="15696" max="15696" width="9" style="326"/>
    <col min="15697" max="15697" width="10.75" style="326" bestFit="1" customWidth="1"/>
    <col min="15698" max="15698" width="13.875" style="326" customWidth="1"/>
    <col min="15699" max="15701" width="9" style="326"/>
    <col min="15702" max="15702" width="14.125" style="326" customWidth="1"/>
    <col min="15703" max="15703" width="9" style="326"/>
    <col min="15704" max="15704" width="10.75" style="326" bestFit="1" customWidth="1"/>
    <col min="15705" max="15705" width="13.25" style="326" customWidth="1"/>
    <col min="15706" max="15708" width="9" style="326"/>
    <col min="15709" max="15709" width="13.25" style="326" customWidth="1"/>
    <col min="15710" max="15710" width="9" style="326"/>
    <col min="15711" max="15711" width="10.75" style="326" bestFit="1" customWidth="1"/>
    <col min="15712" max="15712" width="13.875" style="326" customWidth="1"/>
    <col min="15713" max="15715" width="9" style="326"/>
    <col min="15716" max="15716" width="13.625" style="326" customWidth="1"/>
    <col min="15717" max="15717" width="9" style="326"/>
    <col min="15718" max="15718" width="10.75" style="326" bestFit="1" customWidth="1"/>
    <col min="15719" max="15719" width="13" style="326" customWidth="1"/>
    <col min="15720" max="15866" width="9" style="326"/>
    <col min="15867" max="15868" width="12.125" style="326" customWidth="1"/>
    <col min="15869" max="15871" width="13" style="326" customWidth="1"/>
    <col min="15872" max="15872" width="12.875" style="326" customWidth="1"/>
    <col min="15873" max="15873" width="13" style="326" customWidth="1"/>
    <col min="15874" max="15874" width="13.125" style="326" customWidth="1"/>
    <col min="15875" max="15876" width="12.125" style="326" customWidth="1"/>
    <col min="15877" max="15877" width="14.375" style="326" bestFit="1" customWidth="1"/>
    <col min="15878" max="15878" width="11" style="326" customWidth="1"/>
    <col min="15879" max="15879" width="10" style="326" customWidth="1"/>
    <col min="15880" max="15880" width="10.875" style="326" customWidth="1"/>
    <col min="15881" max="15881" width="13.75" style="326" customWidth="1"/>
    <col min="15882" max="15882" width="10" style="326" customWidth="1"/>
    <col min="15883" max="15883" width="13.25" style="326" customWidth="1"/>
    <col min="15884" max="15884" width="14.375" style="326" customWidth="1"/>
    <col min="15885" max="15885" width="10" style="326" customWidth="1"/>
    <col min="15886" max="15886" width="10.875" style="326" customWidth="1"/>
    <col min="15887" max="15887" width="11.375" style="326" customWidth="1"/>
    <col min="15888" max="15888" width="15.375" style="326" customWidth="1"/>
    <col min="15889" max="15890" width="10.75" style="326" customWidth="1"/>
    <col min="15891" max="15891" width="14.375" style="326" customWidth="1"/>
    <col min="15892" max="15892" width="10.75" style="326" customWidth="1"/>
    <col min="15893" max="15893" width="11.75" style="326" customWidth="1"/>
    <col min="15894" max="15894" width="10" style="326" customWidth="1"/>
    <col min="15895" max="15895" width="15.375" style="326" customWidth="1"/>
    <col min="15896" max="15896" width="10" style="326" customWidth="1"/>
    <col min="15897" max="15897" width="10.75" style="326" customWidth="1"/>
    <col min="15898" max="15898" width="14.875" style="326" customWidth="1"/>
    <col min="15899" max="15899" width="11.5" style="326" customWidth="1"/>
    <col min="15900" max="15900" width="10" style="326" customWidth="1"/>
    <col min="15901" max="15901" width="10.75" style="326" customWidth="1"/>
    <col min="15902" max="15902" width="13.5" style="326" customWidth="1"/>
    <col min="15903" max="15903" width="9" style="326"/>
    <col min="15904" max="15904" width="10.75" style="326" bestFit="1" customWidth="1"/>
    <col min="15905" max="15905" width="13.75" style="326" customWidth="1"/>
    <col min="15906" max="15906" width="9" style="326"/>
    <col min="15907" max="15907" width="10.625" style="326" customWidth="1"/>
    <col min="15908" max="15908" width="9" style="326"/>
    <col min="15909" max="15909" width="14.25" style="326" customWidth="1"/>
    <col min="15910" max="15910" width="10.75" style="326" bestFit="1" customWidth="1"/>
    <col min="15911" max="15911" width="11.625" style="326" customWidth="1"/>
    <col min="15912" max="15912" width="13.75" style="326" customWidth="1"/>
    <col min="15913" max="15913" width="10.625" style="326" customWidth="1"/>
    <col min="15914" max="15915" width="9" style="326"/>
    <col min="15916" max="15916" width="14.125" style="326" customWidth="1"/>
    <col min="15917" max="15917" width="11" style="326" customWidth="1"/>
    <col min="15918" max="15918" width="10.75" style="326" bestFit="1" customWidth="1"/>
    <col min="15919" max="15919" width="13.5" style="326" customWidth="1"/>
    <col min="15920" max="15921" width="9" style="326"/>
    <col min="15922" max="15922" width="10.75" style="326" bestFit="1" customWidth="1"/>
    <col min="15923" max="15923" width="14" style="326" customWidth="1"/>
    <col min="15924" max="15924" width="9" style="326"/>
    <col min="15925" max="15925" width="10.75" style="326" customWidth="1"/>
    <col min="15926" max="15926" width="12.75" style="326" customWidth="1"/>
    <col min="15927" max="15927" width="9" style="326"/>
    <col min="15928" max="15928" width="10.75" style="326" bestFit="1" customWidth="1"/>
    <col min="15929" max="15929" width="11.5" style="326" customWidth="1"/>
    <col min="15930" max="15930" width="13.625" style="326" customWidth="1"/>
    <col min="15931" max="15931" width="10.625" style="326" customWidth="1"/>
    <col min="15932" max="15932" width="10.75" style="326" bestFit="1" customWidth="1"/>
    <col min="15933" max="15933" width="12.375" style="326" customWidth="1"/>
    <col min="15934" max="15936" width="9" style="326"/>
    <col min="15937" max="15937" width="15.75" style="326" customWidth="1"/>
    <col min="15938" max="15938" width="9" style="326"/>
    <col min="15939" max="15939" width="10.75" style="326" bestFit="1" customWidth="1"/>
    <col min="15940" max="15940" width="12.625" style="326" customWidth="1"/>
    <col min="15941" max="15943" width="9" style="326"/>
    <col min="15944" max="15944" width="13.625" style="326" customWidth="1"/>
    <col min="15945" max="15945" width="9" style="326"/>
    <col min="15946" max="15946" width="10.75" style="326" bestFit="1" customWidth="1"/>
    <col min="15947" max="15947" width="12.5" style="326" customWidth="1"/>
    <col min="15948" max="15950" width="9" style="326"/>
    <col min="15951" max="15951" width="12.875" style="326" customWidth="1"/>
    <col min="15952" max="15952" width="9" style="326"/>
    <col min="15953" max="15953" width="10.75" style="326" bestFit="1" customWidth="1"/>
    <col min="15954" max="15954" width="13.875" style="326" customWidth="1"/>
    <col min="15955" max="15957" width="9" style="326"/>
    <col min="15958" max="15958" width="14.125" style="326" customWidth="1"/>
    <col min="15959" max="15959" width="9" style="326"/>
    <col min="15960" max="15960" width="10.75" style="326" bestFit="1" customWidth="1"/>
    <col min="15961" max="15961" width="13.25" style="326" customWidth="1"/>
    <col min="15962" max="15964" width="9" style="326"/>
    <col min="15965" max="15965" width="13.25" style="326" customWidth="1"/>
    <col min="15966" max="15966" width="9" style="326"/>
    <col min="15967" max="15967" width="10.75" style="326" bestFit="1" customWidth="1"/>
    <col min="15968" max="15968" width="13.875" style="326" customWidth="1"/>
    <col min="15969" max="15971" width="9" style="326"/>
    <col min="15972" max="15972" width="13.625" style="326" customWidth="1"/>
    <col min="15973" max="15973" width="9" style="326"/>
    <col min="15974" max="15974" width="10.75" style="326" bestFit="1" customWidth="1"/>
    <col min="15975" max="15975" width="13" style="326" customWidth="1"/>
    <col min="15976" max="16122" width="9" style="326"/>
    <col min="16123" max="16124" width="12.125" style="326" customWidth="1"/>
    <col min="16125" max="16127" width="13" style="326" customWidth="1"/>
    <col min="16128" max="16128" width="12.875" style="326" customWidth="1"/>
    <col min="16129" max="16129" width="13" style="326" customWidth="1"/>
    <col min="16130" max="16130" width="13.125" style="326" customWidth="1"/>
    <col min="16131" max="16132" width="12.125" style="326" customWidth="1"/>
    <col min="16133" max="16133" width="14.375" style="326" bestFit="1" customWidth="1"/>
    <col min="16134" max="16134" width="11" style="326" customWidth="1"/>
    <col min="16135" max="16135" width="10" style="326" customWidth="1"/>
    <col min="16136" max="16136" width="10.875" style="326" customWidth="1"/>
    <col min="16137" max="16137" width="13.75" style="326" customWidth="1"/>
    <col min="16138" max="16138" width="10" style="326" customWidth="1"/>
    <col min="16139" max="16139" width="13.25" style="326" customWidth="1"/>
    <col min="16140" max="16140" width="14.375" style="326" customWidth="1"/>
    <col min="16141" max="16141" width="10" style="326" customWidth="1"/>
    <col min="16142" max="16142" width="10.875" style="326" customWidth="1"/>
    <col min="16143" max="16143" width="11.375" style="326" customWidth="1"/>
    <col min="16144" max="16144" width="15.375" style="326" customWidth="1"/>
    <col min="16145" max="16146" width="10.75" style="326" customWidth="1"/>
    <col min="16147" max="16147" width="14.375" style="326" customWidth="1"/>
    <col min="16148" max="16148" width="10.75" style="326" customWidth="1"/>
    <col min="16149" max="16149" width="11.75" style="326" customWidth="1"/>
    <col min="16150" max="16150" width="10" style="326" customWidth="1"/>
    <col min="16151" max="16151" width="15.375" style="326" customWidth="1"/>
    <col min="16152" max="16152" width="10" style="326" customWidth="1"/>
    <col min="16153" max="16153" width="10.75" style="326" customWidth="1"/>
    <col min="16154" max="16154" width="14.875" style="326" customWidth="1"/>
    <col min="16155" max="16155" width="11.5" style="326" customWidth="1"/>
    <col min="16156" max="16156" width="10" style="326" customWidth="1"/>
    <col min="16157" max="16157" width="10.75" style="326" customWidth="1"/>
    <col min="16158" max="16158" width="13.5" style="326" customWidth="1"/>
    <col min="16159" max="16159" width="9" style="326"/>
    <col min="16160" max="16160" width="10.75" style="326" bestFit="1" customWidth="1"/>
    <col min="16161" max="16161" width="13.75" style="326" customWidth="1"/>
    <col min="16162" max="16162" width="9" style="326"/>
    <col min="16163" max="16163" width="10.625" style="326" customWidth="1"/>
    <col min="16164" max="16164" width="9" style="326"/>
    <col min="16165" max="16165" width="14.25" style="326" customWidth="1"/>
    <col min="16166" max="16166" width="10.75" style="326" bestFit="1" customWidth="1"/>
    <col min="16167" max="16167" width="11.625" style="326" customWidth="1"/>
    <col min="16168" max="16168" width="13.75" style="326" customWidth="1"/>
    <col min="16169" max="16169" width="10.625" style="326" customWidth="1"/>
    <col min="16170" max="16171" width="9" style="326"/>
    <col min="16172" max="16172" width="14.125" style="326" customWidth="1"/>
    <col min="16173" max="16173" width="11" style="326" customWidth="1"/>
    <col min="16174" max="16174" width="10.75" style="326" bestFit="1" customWidth="1"/>
    <col min="16175" max="16175" width="13.5" style="326" customWidth="1"/>
    <col min="16176" max="16177" width="9" style="326"/>
    <col min="16178" max="16178" width="10.75" style="326" bestFit="1" customWidth="1"/>
    <col min="16179" max="16179" width="14" style="326" customWidth="1"/>
    <col min="16180" max="16180" width="9" style="326"/>
    <col min="16181" max="16181" width="10.75" style="326" customWidth="1"/>
    <col min="16182" max="16182" width="12.75" style="326" customWidth="1"/>
    <col min="16183" max="16183" width="9" style="326"/>
    <col min="16184" max="16184" width="10.75" style="326" bestFit="1" customWidth="1"/>
    <col min="16185" max="16185" width="11.5" style="326" customWidth="1"/>
    <col min="16186" max="16186" width="13.625" style="326" customWidth="1"/>
    <col min="16187" max="16187" width="10.625" style="326" customWidth="1"/>
    <col min="16188" max="16188" width="10.75" style="326" bestFit="1" customWidth="1"/>
    <col min="16189" max="16189" width="12.375" style="326" customWidth="1"/>
    <col min="16190" max="16192" width="9" style="326"/>
    <col min="16193" max="16193" width="15.75" style="326" customWidth="1"/>
    <col min="16194" max="16194" width="9" style="326"/>
    <col min="16195" max="16195" width="10.75" style="326" bestFit="1" customWidth="1"/>
    <col min="16196" max="16196" width="12.625" style="326" customWidth="1"/>
    <col min="16197" max="16199" width="9" style="326"/>
    <col min="16200" max="16200" width="13.625" style="326" customWidth="1"/>
    <col min="16201" max="16201" width="9" style="326"/>
    <col min="16202" max="16202" width="10.75" style="326" bestFit="1" customWidth="1"/>
    <col min="16203" max="16203" width="12.5" style="326" customWidth="1"/>
    <col min="16204" max="16206" width="9" style="326"/>
    <col min="16207" max="16207" width="12.875" style="326" customWidth="1"/>
    <col min="16208" max="16208" width="9" style="326"/>
    <col min="16209" max="16209" width="10.75" style="326" bestFit="1" customWidth="1"/>
    <col min="16210" max="16210" width="13.875" style="326" customWidth="1"/>
    <col min="16211" max="16213" width="9" style="326"/>
    <col min="16214" max="16214" width="14.125" style="326" customWidth="1"/>
    <col min="16215" max="16215" width="9" style="326"/>
    <col min="16216" max="16216" width="10.75" style="326" bestFit="1" customWidth="1"/>
    <col min="16217" max="16217" width="13.25" style="326" customWidth="1"/>
    <col min="16218" max="16220" width="9" style="326"/>
    <col min="16221" max="16221" width="13.25" style="326" customWidth="1"/>
    <col min="16222" max="16222" width="9" style="326"/>
    <col min="16223" max="16223" width="10.75" style="326" bestFit="1" customWidth="1"/>
    <col min="16224" max="16224" width="13.875" style="326" customWidth="1"/>
    <col min="16225" max="16227" width="9" style="326"/>
    <col min="16228" max="16228" width="13.625" style="326" customWidth="1"/>
    <col min="16229" max="16229" width="9" style="326"/>
    <col min="16230" max="16230" width="10.75" style="326" bestFit="1" customWidth="1"/>
    <col min="16231" max="16231" width="13" style="326" customWidth="1"/>
    <col min="16232" max="16384" width="9" style="326"/>
  </cols>
  <sheetData>
    <row r="1" spans="1:41" ht="18.75" customHeight="1">
      <c r="D1" s="325" t="s">
        <v>262</v>
      </c>
      <c r="E1" s="327">
        <f>A5</f>
        <v>2006</v>
      </c>
      <c r="F1" s="326" t="s">
        <v>345</v>
      </c>
      <c r="G1" s="328">
        <v>0</v>
      </c>
      <c r="H1" s="329"/>
      <c r="I1" s="328"/>
    </row>
    <row r="2" spans="1:41" ht="24.95" customHeight="1">
      <c r="A2" s="330" t="s">
        <v>1214</v>
      </c>
      <c r="C2" s="330"/>
    </row>
    <row r="3" spans="1:41" ht="9.9499999999999993" customHeight="1">
      <c r="A3" s="2262"/>
      <c r="B3" s="425"/>
      <c r="C3" s="426"/>
      <c r="D3" s="426"/>
      <c r="E3" s="426"/>
      <c r="F3" s="426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2"/>
      <c r="Z3" s="331"/>
      <c r="AA3" s="332"/>
      <c r="AB3" s="333"/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1"/>
      <c r="AN3" s="331"/>
      <c r="AO3" s="332"/>
    </row>
    <row r="4" spans="1:41" s="344" customFormat="1" ht="14.1" customHeight="1">
      <c r="A4" s="334" t="s">
        <v>264</v>
      </c>
      <c r="B4" s="335" t="s">
        <v>265</v>
      </c>
      <c r="C4" s="336" t="s">
        <v>266</v>
      </c>
      <c r="D4" s="337" t="s">
        <v>267</v>
      </c>
      <c r="E4" s="337" t="s">
        <v>268</v>
      </c>
      <c r="F4" s="338" t="s">
        <v>269</v>
      </c>
      <c r="G4" s="339" t="s">
        <v>270</v>
      </c>
      <c r="H4" s="340" t="s">
        <v>271</v>
      </c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41"/>
      <c r="W4" s="341"/>
      <c r="X4" s="341"/>
      <c r="Y4" s="342"/>
      <c r="Z4" s="341"/>
      <c r="AA4" s="342"/>
      <c r="AB4" s="343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341"/>
      <c r="AN4" s="341"/>
      <c r="AO4" s="342"/>
    </row>
    <row r="5" spans="1:41" s="344" customFormat="1" ht="14.1" customHeight="1">
      <c r="A5" s="345">
        <v>2006</v>
      </c>
      <c r="B5" s="346">
        <f>+'1.1.2 인구분석'!E77</f>
        <v>3455</v>
      </c>
      <c r="C5" s="347">
        <f>I65</f>
        <v>3401</v>
      </c>
      <c r="D5" s="348">
        <f>I104</f>
        <v>3401</v>
      </c>
      <c r="E5" s="349">
        <f>I142</f>
        <v>3453</v>
      </c>
      <c r="F5" s="350">
        <f>I178</f>
        <v>3401</v>
      </c>
      <c r="G5" s="351">
        <f t="shared" ref="G5:G34" si="0">ROUND(SUMIF(C$38:H$38,"○",C5:H5),$G$1)</f>
        <v>6854</v>
      </c>
      <c r="H5" s="352">
        <f>B5</f>
        <v>3455</v>
      </c>
      <c r="I5" s="2316" t="s">
        <v>272</v>
      </c>
      <c r="J5" s="2317"/>
      <c r="K5" s="353"/>
      <c r="L5" s="341"/>
      <c r="M5" s="341"/>
      <c r="N5" s="341"/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2"/>
      <c r="Z5" s="341"/>
      <c r="AA5" s="342"/>
      <c r="AB5" s="343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2"/>
    </row>
    <row r="6" spans="1:41" s="344" customFormat="1" ht="14.1" customHeight="1">
      <c r="A6" s="354">
        <v>2007</v>
      </c>
      <c r="B6" s="355">
        <f>+'1.1.2 인구분석'!E78</f>
        <v>3377</v>
      </c>
      <c r="C6" s="356">
        <f t="shared" ref="C6:C37" si="1">I66</f>
        <v>3387</v>
      </c>
      <c r="D6" s="357">
        <f t="shared" ref="D6:D37" si="2">I105</f>
        <v>3387</v>
      </c>
      <c r="E6" s="358">
        <f t="shared" ref="E6:E37" si="3">I143</f>
        <v>3388</v>
      </c>
      <c r="F6" s="359">
        <f t="shared" ref="F6:F37" si="4">I179</f>
        <v>3387</v>
      </c>
      <c r="G6" s="351">
        <f t="shared" si="0"/>
        <v>6775</v>
      </c>
      <c r="H6" s="352">
        <f>B6</f>
        <v>3377</v>
      </c>
      <c r="I6" s="360" t="s">
        <v>273</v>
      </c>
      <c r="J6" s="361">
        <f>ROUND(((B15/B10)^(1/(A15-A10))-1)*100,2)</f>
        <v>0.06</v>
      </c>
      <c r="K6" s="353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2"/>
      <c r="Z6" s="341"/>
      <c r="AA6" s="342"/>
      <c r="AB6" s="343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2"/>
    </row>
    <row r="7" spans="1:41" s="344" customFormat="1" ht="14.1" customHeight="1">
      <c r="A7" s="354">
        <v>2008</v>
      </c>
      <c r="B7" s="355">
        <f>+'1.1.2 인구분석'!E79</f>
        <v>3359</v>
      </c>
      <c r="C7" s="356">
        <f t="shared" si="1"/>
        <v>3373</v>
      </c>
      <c r="D7" s="357">
        <f t="shared" si="2"/>
        <v>3373</v>
      </c>
      <c r="E7" s="358">
        <f t="shared" si="3"/>
        <v>3357</v>
      </c>
      <c r="F7" s="359">
        <f t="shared" si="4"/>
        <v>3373</v>
      </c>
      <c r="G7" s="351">
        <f t="shared" si="0"/>
        <v>6730</v>
      </c>
      <c r="H7" s="352">
        <f t="shared" ref="H7:H15" si="5">B7</f>
        <v>3359</v>
      </c>
      <c r="I7" s="360" t="s">
        <v>274</v>
      </c>
      <c r="J7" s="360">
        <f>ROUND(((B15/B5)^(1/(A15-A5))-1)*100,2)</f>
        <v>-0.41</v>
      </c>
      <c r="K7" s="353"/>
      <c r="L7" s="362"/>
      <c r="M7" s="363"/>
      <c r="N7" s="341"/>
      <c r="O7" s="341"/>
      <c r="P7" s="341"/>
      <c r="Q7" s="341"/>
      <c r="R7" s="341"/>
      <c r="S7" s="341"/>
      <c r="T7" s="341"/>
      <c r="U7" s="341"/>
      <c r="V7" s="341"/>
      <c r="W7" s="341"/>
      <c r="X7" s="341"/>
      <c r="Y7" s="342"/>
      <c r="Z7" s="341"/>
      <c r="AA7" s="342"/>
      <c r="AB7" s="343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2"/>
    </row>
    <row r="8" spans="1:41" s="344" customFormat="1" ht="14.1" customHeight="1">
      <c r="A8" s="354">
        <v>2009</v>
      </c>
      <c r="B8" s="355">
        <f>+'1.1.2 인구분석'!E80</f>
        <v>3318</v>
      </c>
      <c r="C8" s="356">
        <f t="shared" si="1"/>
        <v>3360</v>
      </c>
      <c r="D8" s="357">
        <f t="shared" si="2"/>
        <v>3359</v>
      </c>
      <c r="E8" s="358">
        <f t="shared" si="3"/>
        <v>3337</v>
      </c>
      <c r="F8" s="359">
        <f t="shared" si="4"/>
        <v>3359</v>
      </c>
      <c r="G8" s="351">
        <f t="shared" si="0"/>
        <v>6696</v>
      </c>
      <c r="H8" s="352">
        <f t="shared" si="5"/>
        <v>3318</v>
      </c>
      <c r="I8" s="341"/>
      <c r="J8" s="341"/>
      <c r="K8" s="341"/>
      <c r="L8" s="341"/>
      <c r="M8" s="341"/>
      <c r="N8" s="341"/>
      <c r="O8" s="341"/>
      <c r="P8" s="341"/>
      <c r="Q8" s="341"/>
      <c r="R8" s="341"/>
      <c r="S8" s="341"/>
      <c r="T8" s="341"/>
      <c r="U8" s="341"/>
      <c r="V8" s="341"/>
      <c r="W8" s="341"/>
      <c r="X8" s="341"/>
      <c r="Y8" s="342"/>
      <c r="Z8" s="341"/>
      <c r="AA8" s="342"/>
      <c r="AB8" s="343"/>
      <c r="AC8" s="341"/>
      <c r="AD8" s="341"/>
      <c r="AE8" s="341"/>
      <c r="AF8" s="341"/>
      <c r="AG8" s="341"/>
      <c r="AH8" s="341"/>
      <c r="AI8" s="341"/>
      <c r="AJ8" s="341"/>
      <c r="AK8" s="341"/>
      <c r="AL8" s="341"/>
      <c r="AM8" s="341"/>
      <c r="AN8" s="341"/>
      <c r="AO8" s="342"/>
    </row>
    <row r="9" spans="1:41" s="344" customFormat="1" ht="14.1" customHeight="1">
      <c r="A9" s="354">
        <v>2010</v>
      </c>
      <c r="B9" s="355">
        <f>+'1.1.2 인구분석'!E81</f>
        <v>3364</v>
      </c>
      <c r="C9" s="356">
        <f t="shared" si="1"/>
        <v>3346</v>
      </c>
      <c r="D9" s="357">
        <f t="shared" si="2"/>
        <v>3345</v>
      </c>
      <c r="E9" s="358">
        <f t="shared" si="3"/>
        <v>3323</v>
      </c>
      <c r="F9" s="359">
        <f t="shared" si="4"/>
        <v>3345</v>
      </c>
      <c r="G9" s="351">
        <f t="shared" si="0"/>
        <v>6668</v>
      </c>
      <c r="H9" s="352">
        <f t="shared" si="5"/>
        <v>3364</v>
      </c>
      <c r="I9" s="341"/>
      <c r="J9" s="341"/>
      <c r="K9" s="353"/>
      <c r="L9" s="341"/>
      <c r="M9" s="341"/>
      <c r="N9" s="341"/>
      <c r="O9" s="341"/>
      <c r="P9" s="341"/>
      <c r="Q9" s="341"/>
      <c r="R9" s="341"/>
      <c r="S9" s="341"/>
      <c r="T9" s="341"/>
      <c r="U9" s="341"/>
      <c r="V9" s="341"/>
      <c r="W9" s="341"/>
      <c r="X9" s="341"/>
      <c r="Y9" s="342"/>
      <c r="Z9" s="341"/>
      <c r="AA9" s="342"/>
      <c r="AB9" s="343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2"/>
    </row>
    <row r="10" spans="1:41" s="344" customFormat="1" ht="14.1" customHeight="1">
      <c r="A10" s="354">
        <v>2011</v>
      </c>
      <c r="B10" s="355">
        <f>+'1.1.2 인구분석'!E82</f>
        <v>3307</v>
      </c>
      <c r="C10" s="356">
        <f t="shared" si="1"/>
        <v>3332</v>
      </c>
      <c r="D10" s="357">
        <f t="shared" si="2"/>
        <v>3331</v>
      </c>
      <c r="E10" s="358">
        <f t="shared" si="3"/>
        <v>3312</v>
      </c>
      <c r="F10" s="359">
        <f t="shared" si="4"/>
        <v>3331</v>
      </c>
      <c r="G10" s="351">
        <f t="shared" si="0"/>
        <v>6643</v>
      </c>
      <c r="H10" s="352">
        <f t="shared" si="5"/>
        <v>3307</v>
      </c>
      <c r="I10" s="341"/>
      <c r="J10" s="341"/>
      <c r="K10" s="353"/>
      <c r="L10" s="341"/>
      <c r="M10" s="341"/>
      <c r="N10" s="341"/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2"/>
      <c r="Z10" s="341"/>
      <c r="AA10" s="342"/>
      <c r="AB10" s="343"/>
      <c r="AC10" s="341"/>
      <c r="AD10" s="341"/>
      <c r="AE10" s="341"/>
      <c r="AF10" s="341"/>
      <c r="AG10" s="341"/>
      <c r="AH10" s="341"/>
      <c r="AI10" s="341"/>
      <c r="AJ10" s="341"/>
      <c r="AK10" s="341"/>
      <c r="AL10" s="341"/>
      <c r="AM10" s="341"/>
      <c r="AN10" s="341"/>
      <c r="AO10" s="342"/>
    </row>
    <row r="11" spans="1:41" s="344" customFormat="1" ht="14.1" customHeight="1">
      <c r="A11" s="354">
        <v>2012</v>
      </c>
      <c r="B11" s="355">
        <f>+'1.1.2 인구분석'!E83</f>
        <v>3313</v>
      </c>
      <c r="C11" s="356">
        <f t="shared" si="1"/>
        <v>3318</v>
      </c>
      <c r="D11" s="357">
        <f t="shared" si="2"/>
        <v>3317</v>
      </c>
      <c r="E11" s="358">
        <f t="shared" si="3"/>
        <v>3304</v>
      </c>
      <c r="F11" s="359">
        <f t="shared" si="4"/>
        <v>3317</v>
      </c>
      <c r="G11" s="351">
        <f t="shared" si="0"/>
        <v>6621</v>
      </c>
      <c r="H11" s="352">
        <f t="shared" si="5"/>
        <v>3313</v>
      </c>
      <c r="I11" s="341"/>
      <c r="J11" s="341"/>
      <c r="K11" s="353"/>
      <c r="L11" s="341"/>
      <c r="M11" s="341"/>
      <c r="N11" s="341"/>
      <c r="O11" s="341"/>
      <c r="P11" s="341"/>
      <c r="Q11" s="341"/>
      <c r="R11" s="341"/>
      <c r="S11" s="341"/>
      <c r="T11" s="341"/>
      <c r="U11" s="341"/>
      <c r="V11" s="341"/>
      <c r="W11" s="341"/>
      <c r="X11" s="341"/>
      <c r="Y11" s="342"/>
      <c r="Z11" s="341"/>
      <c r="AA11" s="342"/>
      <c r="AB11" s="343"/>
      <c r="AC11" s="341"/>
      <c r="AD11" s="341"/>
      <c r="AE11" s="341"/>
      <c r="AF11" s="341"/>
      <c r="AG11" s="341"/>
      <c r="AH11" s="341"/>
      <c r="AI11" s="341"/>
      <c r="AJ11" s="341"/>
      <c r="AK11" s="341"/>
      <c r="AL11" s="341"/>
      <c r="AM11" s="341"/>
      <c r="AN11" s="341"/>
      <c r="AO11" s="342"/>
    </row>
    <row r="12" spans="1:41" s="344" customFormat="1" ht="14.1" customHeight="1">
      <c r="A12" s="354">
        <v>2013</v>
      </c>
      <c r="B12" s="355">
        <f>+'1.1.2 인구분석'!E84</f>
        <v>3326</v>
      </c>
      <c r="C12" s="356">
        <f t="shared" si="1"/>
        <v>3304</v>
      </c>
      <c r="D12" s="357">
        <f t="shared" si="2"/>
        <v>3304</v>
      </c>
      <c r="E12" s="358">
        <f t="shared" si="3"/>
        <v>3297</v>
      </c>
      <c r="F12" s="359">
        <f t="shared" si="4"/>
        <v>3304</v>
      </c>
      <c r="G12" s="351">
        <f t="shared" si="0"/>
        <v>6601</v>
      </c>
      <c r="H12" s="352">
        <f t="shared" si="5"/>
        <v>3326</v>
      </c>
      <c r="I12" s="341"/>
      <c r="J12" s="341"/>
      <c r="K12" s="353"/>
      <c r="L12" s="341"/>
      <c r="M12" s="341"/>
      <c r="N12" s="341"/>
      <c r="O12" s="341"/>
      <c r="P12" s="341"/>
      <c r="Q12" s="341"/>
      <c r="R12" s="341"/>
      <c r="S12" s="341"/>
      <c r="T12" s="341"/>
      <c r="U12" s="341"/>
      <c r="V12" s="341"/>
      <c r="W12" s="341"/>
      <c r="X12" s="341"/>
      <c r="Y12" s="342"/>
      <c r="Z12" s="341"/>
      <c r="AA12" s="342"/>
      <c r="AB12" s="343"/>
      <c r="AC12" s="341"/>
      <c r="AD12" s="341"/>
      <c r="AE12" s="341"/>
      <c r="AF12" s="341"/>
      <c r="AG12" s="341"/>
      <c r="AH12" s="341"/>
      <c r="AI12" s="341"/>
      <c r="AJ12" s="341"/>
      <c r="AK12" s="341"/>
      <c r="AL12" s="341"/>
      <c r="AM12" s="341"/>
      <c r="AN12" s="341"/>
      <c r="AO12" s="342"/>
    </row>
    <row r="13" spans="1:41" s="344" customFormat="1" ht="14.1" customHeight="1">
      <c r="A13" s="354">
        <v>2014</v>
      </c>
      <c r="B13" s="355">
        <f>+'1.1.2 인구분석'!E85</f>
        <v>3270</v>
      </c>
      <c r="C13" s="356">
        <f t="shared" si="1"/>
        <v>3290</v>
      </c>
      <c r="D13" s="357">
        <f t="shared" si="2"/>
        <v>3290</v>
      </c>
      <c r="E13" s="358">
        <f t="shared" si="3"/>
        <v>3291</v>
      </c>
      <c r="F13" s="359">
        <f t="shared" si="4"/>
        <v>3290</v>
      </c>
      <c r="G13" s="351">
        <f t="shared" si="0"/>
        <v>6581</v>
      </c>
      <c r="H13" s="352">
        <f t="shared" si="5"/>
        <v>3270</v>
      </c>
      <c r="I13" s="341"/>
      <c r="J13" s="341"/>
      <c r="K13" s="353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2"/>
      <c r="Z13" s="341"/>
      <c r="AA13" s="342"/>
      <c r="AB13" s="343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2"/>
    </row>
    <row r="14" spans="1:41" s="344" customFormat="1" ht="14.1" customHeight="1">
      <c r="A14" s="386">
        <v>2015</v>
      </c>
      <c r="B14" s="2071">
        <f>+'1.1.2 인구분석'!E86</f>
        <v>3243</v>
      </c>
      <c r="C14" s="2072">
        <f t="shared" si="1"/>
        <v>3276</v>
      </c>
      <c r="D14" s="2073">
        <f t="shared" si="2"/>
        <v>3276</v>
      </c>
      <c r="E14" s="2074">
        <f t="shared" si="3"/>
        <v>3285</v>
      </c>
      <c r="F14" s="2075">
        <f t="shared" si="4"/>
        <v>3276</v>
      </c>
      <c r="G14" s="2076">
        <f t="shared" si="0"/>
        <v>6561</v>
      </c>
      <c r="H14" s="2077">
        <f t="shared" si="5"/>
        <v>3243</v>
      </c>
      <c r="I14" s="383"/>
      <c r="J14" s="383"/>
      <c r="K14" s="2078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2079"/>
      <c r="Z14" s="341"/>
      <c r="AA14" s="342"/>
      <c r="AB14" s="343"/>
      <c r="AC14" s="341"/>
      <c r="AD14" s="341"/>
      <c r="AE14" s="341"/>
      <c r="AF14" s="341"/>
      <c r="AG14" s="341"/>
      <c r="AH14" s="341"/>
      <c r="AI14" s="341"/>
      <c r="AJ14" s="341"/>
      <c r="AK14" s="341"/>
      <c r="AL14" s="341"/>
      <c r="AM14" s="341"/>
      <c r="AN14" s="341"/>
      <c r="AO14" s="342"/>
    </row>
    <row r="15" spans="1:41" s="344" customFormat="1" ht="14.1" customHeight="1" thickBot="1">
      <c r="A15" s="2010">
        <v>2016</v>
      </c>
      <c r="B15" s="2014">
        <f>+'1.1.2 인구분석'!E87</f>
        <v>3317</v>
      </c>
      <c r="C15" s="2011">
        <f t="shared" si="1"/>
        <v>3262</v>
      </c>
      <c r="D15" s="2012">
        <f t="shared" si="2"/>
        <v>3263</v>
      </c>
      <c r="E15" s="2011">
        <f t="shared" si="3"/>
        <v>3281</v>
      </c>
      <c r="F15" s="2013">
        <f t="shared" si="4"/>
        <v>3263</v>
      </c>
      <c r="G15" s="351">
        <f t="shared" si="0"/>
        <v>6544</v>
      </c>
      <c r="H15" s="352">
        <f t="shared" si="5"/>
        <v>3317</v>
      </c>
      <c r="I15" s="341"/>
      <c r="J15" s="341"/>
      <c r="K15" s="353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2"/>
      <c r="AB15" s="343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  <c r="AN15" s="341"/>
      <c r="AO15" s="342"/>
    </row>
    <row r="16" spans="1:41" s="344" customFormat="1" ht="14.1" customHeight="1" thickTop="1">
      <c r="A16" s="2114">
        <v>2017</v>
      </c>
      <c r="B16" s="2115"/>
      <c r="C16" s="2116">
        <f t="shared" si="1"/>
        <v>3248</v>
      </c>
      <c r="D16" s="2117">
        <f t="shared" si="2"/>
        <v>3249</v>
      </c>
      <c r="E16" s="2116">
        <f t="shared" si="3"/>
        <v>3277</v>
      </c>
      <c r="F16" s="2118">
        <f t="shared" si="4"/>
        <v>3249</v>
      </c>
      <c r="G16" s="364">
        <f t="shared" si="0"/>
        <v>6526</v>
      </c>
      <c r="H16" s="365"/>
      <c r="I16" s="341"/>
      <c r="J16" s="341"/>
      <c r="K16" s="353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2"/>
      <c r="AB16" s="343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  <c r="AM16" s="341"/>
      <c r="AN16" s="341"/>
      <c r="AO16" s="342"/>
    </row>
    <row r="17" spans="1:41" s="381" customFormat="1" ht="14.1" customHeight="1">
      <c r="A17" s="345">
        <v>2018</v>
      </c>
      <c r="B17" s="346"/>
      <c r="C17" s="347">
        <f t="shared" si="1"/>
        <v>3234</v>
      </c>
      <c r="D17" s="2168">
        <f t="shared" si="2"/>
        <v>3236</v>
      </c>
      <c r="E17" s="347">
        <f t="shared" si="3"/>
        <v>3273</v>
      </c>
      <c r="F17" s="2169">
        <f t="shared" si="4"/>
        <v>3236</v>
      </c>
      <c r="G17" s="2170">
        <f t="shared" si="0"/>
        <v>6509</v>
      </c>
      <c r="H17" s="2171"/>
      <c r="I17" s="2172"/>
      <c r="J17" s="2172"/>
      <c r="K17" s="2173"/>
      <c r="L17" s="2172"/>
      <c r="M17" s="2172"/>
      <c r="N17" s="2172"/>
      <c r="O17" s="2172"/>
      <c r="P17" s="2172"/>
      <c r="Q17" s="2172"/>
      <c r="R17" s="2172"/>
      <c r="S17" s="2172"/>
      <c r="T17" s="2172"/>
      <c r="U17" s="2172"/>
      <c r="V17" s="2172"/>
      <c r="W17" s="2172"/>
      <c r="X17" s="2172"/>
      <c r="Y17" s="2174"/>
      <c r="Z17" s="378"/>
      <c r="AA17" s="379"/>
      <c r="AB17" s="380"/>
      <c r="AC17" s="378"/>
      <c r="AD17" s="378"/>
      <c r="AE17" s="378"/>
      <c r="AF17" s="378"/>
      <c r="AG17" s="378"/>
      <c r="AH17" s="378"/>
      <c r="AI17" s="378"/>
      <c r="AJ17" s="378"/>
      <c r="AK17" s="378"/>
      <c r="AL17" s="378"/>
      <c r="AM17" s="378"/>
      <c r="AN17" s="378"/>
      <c r="AO17" s="379"/>
    </row>
    <row r="18" spans="1:41" s="381" customFormat="1" ht="14.1" customHeight="1">
      <c r="A18" s="354">
        <v>2019</v>
      </c>
      <c r="B18" s="355"/>
      <c r="C18" s="356">
        <f t="shared" si="1"/>
        <v>3221</v>
      </c>
      <c r="D18" s="371">
        <f t="shared" si="2"/>
        <v>3222</v>
      </c>
      <c r="E18" s="356">
        <f t="shared" si="3"/>
        <v>3270</v>
      </c>
      <c r="F18" s="372">
        <f t="shared" si="4"/>
        <v>3222</v>
      </c>
      <c r="G18" s="376">
        <f t="shared" si="0"/>
        <v>6492</v>
      </c>
      <c r="H18" s="377"/>
      <c r="I18" s="378"/>
      <c r="J18" s="378"/>
      <c r="K18" s="1912"/>
      <c r="L18" s="378"/>
      <c r="M18" s="378"/>
      <c r="N18" s="378"/>
      <c r="O18" s="378"/>
      <c r="P18" s="378"/>
      <c r="Q18" s="378"/>
      <c r="R18" s="378"/>
      <c r="S18" s="378"/>
      <c r="T18" s="378"/>
      <c r="U18" s="378"/>
      <c r="V18" s="378"/>
      <c r="W18" s="378"/>
      <c r="X18" s="378"/>
      <c r="Y18" s="379"/>
      <c r="Z18" s="378"/>
      <c r="AA18" s="379"/>
      <c r="AB18" s="380"/>
      <c r="AC18" s="378"/>
      <c r="AD18" s="378"/>
      <c r="AE18" s="378"/>
      <c r="AF18" s="378"/>
      <c r="AG18" s="378"/>
      <c r="AH18" s="378"/>
      <c r="AI18" s="378"/>
      <c r="AJ18" s="378"/>
      <c r="AK18" s="378"/>
      <c r="AL18" s="378"/>
      <c r="AM18" s="378"/>
      <c r="AN18" s="378"/>
      <c r="AO18" s="379"/>
    </row>
    <row r="19" spans="1:41" s="1929" customFormat="1" ht="14.1" customHeight="1">
      <c r="A19" s="366">
        <v>2020</v>
      </c>
      <c r="B19" s="367"/>
      <c r="C19" s="368">
        <f t="shared" si="1"/>
        <v>3207</v>
      </c>
      <c r="D19" s="369">
        <f t="shared" si="2"/>
        <v>3209</v>
      </c>
      <c r="E19" s="368">
        <f t="shared" si="3"/>
        <v>3267</v>
      </c>
      <c r="F19" s="370">
        <f t="shared" si="4"/>
        <v>3209</v>
      </c>
      <c r="G19" s="374">
        <f t="shared" si="0"/>
        <v>6476</v>
      </c>
      <c r="H19" s="373"/>
      <c r="I19" s="1925"/>
      <c r="J19" s="1925"/>
      <c r="K19" s="1926"/>
      <c r="L19" s="1925"/>
      <c r="M19" s="1925"/>
      <c r="N19" s="1925"/>
      <c r="O19" s="1925"/>
      <c r="P19" s="1925"/>
      <c r="Q19" s="1925"/>
      <c r="R19" s="1925"/>
      <c r="S19" s="1925"/>
      <c r="T19" s="1925"/>
      <c r="U19" s="1925"/>
      <c r="V19" s="1925"/>
      <c r="W19" s="1925"/>
      <c r="X19" s="1925"/>
      <c r="Y19" s="1927"/>
      <c r="Z19" s="1925"/>
      <c r="AA19" s="1927"/>
      <c r="AB19" s="1928"/>
      <c r="AC19" s="1925"/>
      <c r="AD19" s="1925"/>
      <c r="AE19" s="1925"/>
      <c r="AF19" s="1925"/>
      <c r="AG19" s="1925"/>
      <c r="AH19" s="1925"/>
      <c r="AI19" s="1925"/>
      <c r="AJ19" s="1925"/>
      <c r="AK19" s="1925"/>
      <c r="AL19" s="1925"/>
      <c r="AM19" s="1925"/>
      <c r="AN19" s="1925"/>
      <c r="AO19" s="1927"/>
    </row>
    <row r="20" spans="1:41" s="381" customFormat="1" ht="14.1" customHeight="1">
      <c r="A20" s="354">
        <v>2021</v>
      </c>
      <c r="B20" s="355"/>
      <c r="C20" s="356">
        <f t="shared" si="1"/>
        <v>3193</v>
      </c>
      <c r="D20" s="371">
        <f t="shared" si="2"/>
        <v>3196</v>
      </c>
      <c r="E20" s="356">
        <f t="shared" si="3"/>
        <v>3264</v>
      </c>
      <c r="F20" s="372">
        <f t="shared" si="4"/>
        <v>3196</v>
      </c>
      <c r="G20" s="376">
        <f t="shared" si="0"/>
        <v>6460</v>
      </c>
      <c r="H20" s="1913"/>
      <c r="I20" s="378"/>
      <c r="J20" s="378"/>
      <c r="K20" s="1912"/>
      <c r="L20" s="378"/>
      <c r="M20" s="378"/>
      <c r="N20" s="378"/>
      <c r="O20" s="378"/>
      <c r="P20" s="378"/>
      <c r="Q20" s="378"/>
      <c r="R20" s="378"/>
      <c r="S20" s="378"/>
      <c r="T20" s="378"/>
      <c r="U20" s="378"/>
      <c r="V20" s="378"/>
      <c r="W20" s="378"/>
      <c r="X20" s="378"/>
      <c r="Y20" s="379"/>
      <c r="Z20" s="378"/>
      <c r="AA20" s="379"/>
      <c r="AB20" s="380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9"/>
    </row>
    <row r="21" spans="1:41" s="381" customFormat="1" ht="14.1" customHeight="1">
      <c r="A21" s="354">
        <v>2022</v>
      </c>
      <c r="B21" s="355"/>
      <c r="C21" s="356">
        <f t="shared" si="1"/>
        <v>3179</v>
      </c>
      <c r="D21" s="371">
        <f t="shared" si="2"/>
        <v>3183</v>
      </c>
      <c r="E21" s="356">
        <f t="shared" si="3"/>
        <v>3262</v>
      </c>
      <c r="F21" s="372">
        <f t="shared" si="4"/>
        <v>3182</v>
      </c>
      <c r="G21" s="376">
        <f t="shared" si="0"/>
        <v>6444</v>
      </c>
      <c r="H21" s="377"/>
      <c r="I21" s="378"/>
      <c r="J21" s="378"/>
      <c r="K21" s="1912"/>
      <c r="L21" s="378"/>
      <c r="M21" s="378"/>
      <c r="N21" s="378"/>
      <c r="O21" s="378"/>
      <c r="P21" s="378"/>
      <c r="Q21" s="378"/>
      <c r="R21" s="378"/>
      <c r="S21" s="378"/>
      <c r="T21" s="378"/>
      <c r="U21" s="378"/>
      <c r="V21" s="378"/>
      <c r="W21" s="378"/>
      <c r="X21" s="378"/>
      <c r="Y21" s="379"/>
      <c r="Z21" s="378"/>
      <c r="AA21" s="379"/>
      <c r="AB21" s="380"/>
      <c r="AC21" s="378"/>
      <c r="AD21" s="378"/>
      <c r="AE21" s="378"/>
      <c r="AF21" s="378"/>
      <c r="AG21" s="378"/>
      <c r="AH21" s="378"/>
      <c r="AI21" s="378"/>
      <c r="AJ21" s="378"/>
      <c r="AK21" s="378"/>
      <c r="AL21" s="378"/>
      <c r="AM21" s="378"/>
      <c r="AN21" s="378"/>
      <c r="AO21" s="379"/>
    </row>
    <row r="22" spans="1:41" s="381" customFormat="1" ht="14.1" customHeight="1">
      <c r="A22" s="354">
        <v>2023</v>
      </c>
      <c r="B22" s="355"/>
      <c r="C22" s="356">
        <f t="shared" si="1"/>
        <v>3165</v>
      </c>
      <c r="D22" s="371">
        <f t="shared" si="2"/>
        <v>3169</v>
      </c>
      <c r="E22" s="356">
        <f t="shared" si="3"/>
        <v>3260</v>
      </c>
      <c r="F22" s="372">
        <f t="shared" si="4"/>
        <v>3169</v>
      </c>
      <c r="G22" s="376">
        <f t="shared" si="0"/>
        <v>6429</v>
      </c>
      <c r="H22" s="377"/>
      <c r="I22" s="378"/>
      <c r="J22" s="378"/>
      <c r="K22" s="1912"/>
      <c r="L22" s="378"/>
      <c r="M22" s="378"/>
      <c r="N22" s="378"/>
      <c r="O22" s="378"/>
      <c r="P22" s="378"/>
      <c r="Q22" s="378"/>
      <c r="R22" s="378"/>
      <c r="S22" s="378"/>
      <c r="T22" s="378"/>
      <c r="U22" s="378"/>
      <c r="V22" s="378"/>
      <c r="W22" s="378"/>
      <c r="X22" s="378"/>
      <c r="Y22" s="379"/>
      <c r="Z22" s="378"/>
      <c r="AA22" s="379"/>
      <c r="AB22" s="380"/>
      <c r="AC22" s="378"/>
      <c r="AD22" s="378"/>
      <c r="AE22" s="378"/>
      <c r="AF22" s="378"/>
      <c r="AG22" s="378"/>
      <c r="AH22" s="378"/>
      <c r="AI22" s="378"/>
      <c r="AJ22" s="378"/>
      <c r="AK22" s="378"/>
      <c r="AL22" s="378"/>
      <c r="AM22" s="378"/>
      <c r="AN22" s="378"/>
      <c r="AO22" s="379"/>
    </row>
    <row r="23" spans="1:41" s="381" customFormat="1" ht="14.1" customHeight="1">
      <c r="A23" s="354">
        <v>2024</v>
      </c>
      <c r="B23" s="355"/>
      <c r="C23" s="356">
        <f t="shared" si="1"/>
        <v>3151</v>
      </c>
      <c r="D23" s="371">
        <f t="shared" si="2"/>
        <v>3156</v>
      </c>
      <c r="E23" s="356">
        <f t="shared" si="3"/>
        <v>3257</v>
      </c>
      <c r="F23" s="372">
        <f t="shared" si="4"/>
        <v>3156</v>
      </c>
      <c r="G23" s="376">
        <f t="shared" si="0"/>
        <v>6413</v>
      </c>
      <c r="H23" s="377"/>
      <c r="I23" s="378"/>
      <c r="J23" s="378"/>
      <c r="K23" s="1912"/>
      <c r="L23" s="378"/>
      <c r="M23" s="378"/>
      <c r="N23" s="378"/>
      <c r="O23" s="378"/>
      <c r="P23" s="378"/>
      <c r="Q23" s="378"/>
      <c r="R23" s="378"/>
      <c r="S23" s="378"/>
      <c r="T23" s="378"/>
      <c r="U23" s="378"/>
      <c r="V23" s="378"/>
      <c r="W23" s="378"/>
      <c r="X23" s="378"/>
      <c r="Y23" s="379"/>
      <c r="Z23" s="378"/>
      <c r="AA23" s="379"/>
      <c r="AB23" s="380"/>
      <c r="AC23" s="378"/>
      <c r="AD23" s="378"/>
      <c r="AE23" s="378"/>
      <c r="AF23" s="378"/>
      <c r="AG23" s="378"/>
      <c r="AH23" s="378"/>
      <c r="AI23" s="378"/>
      <c r="AJ23" s="378"/>
      <c r="AK23" s="378"/>
      <c r="AL23" s="378"/>
      <c r="AM23" s="378"/>
      <c r="AN23" s="378"/>
      <c r="AO23" s="379"/>
    </row>
    <row r="24" spans="1:41" s="1929" customFormat="1" ht="14.1" customHeight="1">
      <c r="A24" s="366">
        <v>2025</v>
      </c>
      <c r="B24" s="367"/>
      <c r="C24" s="368">
        <f t="shared" si="1"/>
        <v>3137</v>
      </c>
      <c r="D24" s="369">
        <f t="shared" si="2"/>
        <v>3143</v>
      </c>
      <c r="E24" s="368">
        <f t="shared" si="3"/>
        <v>3255</v>
      </c>
      <c r="F24" s="370">
        <f t="shared" si="4"/>
        <v>3143</v>
      </c>
      <c r="G24" s="374">
        <f t="shared" si="0"/>
        <v>6398</v>
      </c>
      <c r="H24" s="373"/>
      <c r="I24" s="1925"/>
      <c r="J24" s="1925"/>
      <c r="K24" s="1926"/>
      <c r="L24" s="1925"/>
      <c r="M24" s="1925"/>
      <c r="N24" s="1925"/>
      <c r="O24" s="1925"/>
      <c r="P24" s="1925"/>
      <c r="Q24" s="1925"/>
      <c r="R24" s="1925"/>
      <c r="S24" s="1925"/>
      <c r="T24" s="1925"/>
      <c r="U24" s="1925"/>
      <c r="V24" s="1925"/>
      <c r="W24" s="1925"/>
      <c r="X24" s="1925"/>
      <c r="Y24" s="1927"/>
      <c r="Z24" s="1925"/>
      <c r="AA24" s="1927"/>
      <c r="AB24" s="1928"/>
      <c r="AC24" s="1925"/>
      <c r="AD24" s="1925"/>
      <c r="AE24" s="1925"/>
      <c r="AF24" s="1925"/>
      <c r="AG24" s="1925"/>
      <c r="AH24" s="1925"/>
      <c r="AI24" s="1925"/>
      <c r="AJ24" s="1925"/>
      <c r="AK24" s="1925"/>
      <c r="AL24" s="1925"/>
      <c r="AM24" s="1925"/>
      <c r="AN24" s="1925"/>
      <c r="AO24" s="1927"/>
    </row>
    <row r="25" spans="1:41" s="381" customFormat="1" ht="14.1" customHeight="1">
      <c r="A25" s="354">
        <v>2026</v>
      </c>
      <c r="B25" s="355"/>
      <c r="C25" s="356">
        <f t="shared" si="1"/>
        <v>3123</v>
      </c>
      <c r="D25" s="371">
        <f t="shared" si="2"/>
        <v>3130</v>
      </c>
      <c r="E25" s="356">
        <f t="shared" si="3"/>
        <v>3254</v>
      </c>
      <c r="F25" s="372">
        <f t="shared" si="4"/>
        <v>3130</v>
      </c>
      <c r="G25" s="376">
        <f t="shared" si="0"/>
        <v>6384</v>
      </c>
      <c r="H25" s="1913"/>
      <c r="I25" s="378"/>
      <c r="J25" s="378"/>
      <c r="K25" s="1912"/>
      <c r="L25" s="378"/>
      <c r="M25" s="378"/>
      <c r="N25" s="378"/>
      <c r="O25" s="378"/>
      <c r="P25" s="378"/>
      <c r="Q25" s="378"/>
      <c r="R25" s="378"/>
      <c r="S25" s="378"/>
      <c r="T25" s="378"/>
      <c r="U25" s="378"/>
      <c r="V25" s="378"/>
      <c r="W25" s="378"/>
      <c r="X25" s="378"/>
      <c r="Y25" s="379"/>
      <c r="Z25" s="378"/>
      <c r="AA25" s="379"/>
      <c r="AB25" s="380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9"/>
    </row>
    <row r="26" spans="1:41" s="381" customFormat="1" ht="14.1" customHeight="1">
      <c r="A26" s="354">
        <v>2027</v>
      </c>
      <c r="B26" s="355"/>
      <c r="C26" s="356">
        <f t="shared" si="1"/>
        <v>3109</v>
      </c>
      <c r="D26" s="371">
        <f t="shared" si="2"/>
        <v>3117</v>
      </c>
      <c r="E26" s="356">
        <f t="shared" si="3"/>
        <v>3252</v>
      </c>
      <c r="F26" s="372">
        <f t="shared" si="4"/>
        <v>3117</v>
      </c>
      <c r="G26" s="376">
        <f t="shared" si="0"/>
        <v>6369</v>
      </c>
      <c r="H26" s="375"/>
      <c r="I26" s="378"/>
      <c r="J26" s="378"/>
      <c r="K26" s="1914"/>
      <c r="L26" s="378"/>
      <c r="M26" s="378"/>
      <c r="N26" s="378"/>
      <c r="O26" s="378"/>
      <c r="P26" s="378"/>
      <c r="Q26" s="378"/>
      <c r="R26" s="378"/>
      <c r="S26" s="378"/>
      <c r="T26" s="378"/>
      <c r="U26" s="378"/>
      <c r="V26" s="378"/>
      <c r="W26" s="378"/>
      <c r="X26" s="378"/>
      <c r="Y26" s="379"/>
      <c r="Z26" s="378"/>
      <c r="AA26" s="379"/>
      <c r="AB26" s="380"/>
      <c r="AC26" s="378"/>
      <c r="AD26" s="378"/>
      <c r="AE26" s="378"/>
      <c r="AF26" s="378"/>
      <c r="AG26" s="378"/>
      <c r="AH26" s="378"/>
      <c r="AI26" s="378"/>
      <c r="AJ26" s="378"/>
      <c r="AK26" s="378"/>
      <c r="AL26" s="378"/>
      <c r="AM26" s="378"/>
      <c r="AN26" s="378"/>
      <c r="AO26" s="379"/>
    </row>
    <row r="27" spans="1:41" s="381" customFormat="1" ht="14.1" customHeight="1">
      <c r="A27" s="354">
        <v>2028</v>
      </c>
      <c r="B27" s="382"/>
      <c r="C27" s="356">
        <f t="shared" si="1"/>
        <v>3096</v>
      </c>
      <c r="D27" s="371">
        <f t="shared" si="2"/>
        <v>3104</v>
      </c>
      <c r="E27" s="356">
        <f t="shared" si="3"/>
        <v>3250</v>
      </c>
      <c r="F27" s="372">
        <f t="shared" si="4"/>
        <v>3104</v>
      </c>
      <c r="G27" s="376">
        <f t="shared" si="0"/>
        <v>6354</v>
      </c>
      <c r="H27" s="377"/>
      <c r="I27" s="378"/>
      <c r="J27" s="378"/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9"/>
      <c r="Z27" s="378"/>
      <c r="AA27" s="379"/>
      <c r="AB27" s="380"/>
      <c r="AC27" s="378"/>
      <c r="AD27" s="378"/>
      <c r="AE27" s="378"/>
      <c r="AF27" s="378"/>
      <c r="AG27" s="378"/>
      <c r="AH27" s="378"/>
      <c r="AI27" s="378"/>
      <c r="AJ27" s="378"/>
      <c r="AK27" s="378"/>
      <c r="AL27" s="378"/>
      <c r="AM27" s="378"/>
      <c r="AN27" s="378"/>
      <c r="AO27" s="379"/>
    </row>
    <row r="28" spans="1:41" s="381" customFormat="1" ht="14.1" customHeight="1">
      <c r="A28" s="386">
        <v>2029</v>
      </c>
      <c r="B28" s="387"/>
      <c r="C28" s="2072">
        <f t="shared" si="1"/>
        <v>3082</v>
      </c>
      <c r="D28" s="2175">
        <f t="shared" si="2"/>
        <v>3091</v>
      </c>
      <c r="E28" s="2072">
        <f t="shared" si="3"/>
        <v>3249</v>
      </c>
      <c r="F28" s="2176">
        <f t="shared" si="4"/>
        <v>3091</v>
      </c>
      <c r="G28" s="2177">
        <f t="shared" si="0"/>
        <v>6340</v>
      </c>
      <c r="H28" s="2178"/>
      <c r="I28" s="1916"/>
      <c r="J28" s="1916"/>
      <c r="K28" s="1916"/>
      <c r="L28" s="1916"/>
      <c r="M28" s="1916"/>
      <c r="N28" s="1916"/>
      <c r="O28" s="1916"/>
      <c r="P28" s="1916"/>
      <c r="Q28" s="1916"/>
      <c r="R28" s="1916"/>
      <c r="S28" s="1916"/>
      <c r="T28" s="1916"/>
      <c r="U28" s="1916"/>
      <c r="V28" s="1916"/>
      <c r="W28" s="1916"/>
      <c r="X28" s="1916"/>
      <c r="Y28" s="1917"/>
      <c r="Z28" s="378"/>
      <c r="AA28" s="379"/>
      <c r="AB28" s="1915"/>
      <c r="AC28" s="1916"/>
      <c r="AD28" s="1916"/>
      <c r="AE28" s="1916"/>
      <c r="AF28" s="1916"/>
      <c r="AG28" s="1916"/>
      <c r="AH28" s="1916"/>
      <c r="AI28" s="1916"/>
      <c r="AJ28" s="1916"/>
      <c r="AK28" s="1916"/>
      <c r="AL28" s="1916"/>
      <c r="AM28" s="1916"/>
      <c r="AN28" s="1916"/>
      <c r="AO28" s="1917"/>
    </row>
    <row r="29" spans="1:41" s="1929" customFormat="1" ht="14.1" customHeight="1">
      <c r="A29" s="2135">
        <v>2030</v>
      </c>
      <c r="B29" s="1911"/>
      <c r="C29" s="2136">
        <f t="shared" si="1"/>
        <v>3068</v>
      </c>
      <c r="D29" s="2137">
        <f t="shared" si="2"/>
        <v>3079</v>
      </c>
      <c r="E29" s="2136">
        <f t="shared" si="3"/>
        <v>3247</v>
      </c>
      <c r="F29" s="2138">
        <f t="shared" si="4"/>
        <v>3078</v>
      </c>
      <c r="G29" s="374">
        <f t="shared" si="0"/>
        <v>6325</v>
      </c>
      <c r="H29" s="373"/>
      <c r="I29" s="1925"/>
      <c r="J29" s="1925"/>
      <c r="K29" s="1925"/>
      <c r="L29" s="1925"/>
      <c r="M29" s="1925"/>
      <c r="N29" s="1925"/>
      <c r="O29" s="1925"/>
      <c r="P29" s="1925"/>
      <c r="Q29" s="1925"/>
      <c r="R29" s="1925"/>
      <c r="S29" s="1925"/>
      <c r="T29" s="1925"/>
      <c r="U29" s="1925"/>
      <c r="V29" s="1925"/>
      <c r="W29" s="1925"/>
      <c r="X29" s="1925"/>
      <c r="Y29" s="1925"/>
      <c r="Z29" s="1925"/>
      <c r="AA29" s="1927"/>
    </row>
    <row r="30" spans="1:41" s="381" customFormat="1" ht="14.1" customHeight="1">
      <c r="A30" s="354">
        <v>2031</v>
      </c>
      <c r="B30" s="355"/>
      <c r="C30" s="356">
        <f t="shared" si="1"/>
        <v>3054</v>
      </c>
      <c r="D30" s="371">
        <f t="shared" si="2"/>
        <v>3066</v>
      </c>
      <c r="E30" s="356">
        <f t="shared" si="3"/>
        <v>3246</v>
      </c>
      <c r="F30" s="372">
        <f t="shared" si="4"/>
        <v>3065</v>
      </c>
      <c r="G30" s="376">
        <f t="shared" si="0"/>
        <v>6311</v>
      </c>
      <c r="H30" s="1913"/>
      <c r="I30" s="378"/>
      <c r="J30" s="378"/>
      <c r="K30" s="378"/>
      <c r="L30" s="378"/>
      <c r="M30" s="378"/>
      <c r="N30" s="378"/>
      <c r="O30" s="378"/>
      <c r="P30" s="378"/>
      <c r="Q30" s="378"/>
      <c r="R30" s="378"/>
      <c r="S30" s="378"/>
      <c r="T30" s="378"/>
      <c r="U30" s="378"/>
      <c r="V30" s="378"/>
      <c r="W30" s="378"/>
      <c r="X30" s="378"/>
      <c r="Y30" s="378"/>
      <c r="Z30" s="378"/>
      <c r="AA30" s="379"/>
    </row>
    <row r="31" spans="1:41" s="381" customFormat="1" ht="14.1" customHeight="1">
      <c r="A31" s="354">
        <v>2032</v>
      </c>
      <c r="B31" s="382"/>
      <c r="C31" s="356">
        <f t="shared" si="1"/>
        <v>3040</v>
      </c>
      <c r="D31" s="371">
        <f t="shared" si="2"/>
        <v>3053</v>
      </c>
      <c r="E31" s="356">
        <f t="shared" si="3"/>
        <v>3244</v>
      </c>
      <c r="F31" s="372">
        <f t="shared" si="4"/>
        <v>3053</v>
      </c>
      <c r="G31" s="376">
        <f t="shared" si="0"/>
        <v>6297</v>
      </c>
      <c r="H31" s="377"/>
      <c r="I31" s="378"/>
      <c r="J31" s="378"/>
      <c r="K31" s="378"/>
      <c r="L31" s="378"/>
      <c r="M31" s="378"/>
      <c r="N31" s="378"/>
      <c r="O31" s="378"/>
      <c r="P31" s="378"/>
      <c r="Q31" s="378"/>
      <c r="R31" s="378"/>
      <c r="S31" s="378"/>
      <c r="T31" s="378"/>
      <c r="U31" s="378"/>
      <c r="V31" s="378"/>
      <c r="W31" s="378"/>
      <c r="X31" s="378"/>
      <c r="Y31" s="378"/>
      <c r="Z31" s="378"/>
      <c r="AA31" s="379"/>
    </row>
    <row r="32" spans="1:41" s="381" customFormat="1" ht="14.1" customHeight="1">
      <c r="A32" s="354">
        <v>2033</v>
      </c>
      <c r="B32" s="382"/>
      <c r="C32" s="356">
        <f t="shared" si="1"/>
        <v>3026</v>
      </c>
      <c r="D32" s="371">
        <f t="shared" si="2"/>
        <v>3040</v>
      </c>
      <c r="E32" s="356">
        <f t="shared" si="3"/>
        <v>3243</v>
      </c>
      <c r="F32" s="372">
        <f t="shared" si="4"/>
        <v>3040</v>
      </c>
      <c r="G32" s="376">
        <f t="shared" si="0"/>
        <v>6283</v>
      </c>
      <c r="H32" s="377"/>
      <c r="I32" s="378"/>
      <c r="J32" s="378"/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  <c r="Y32" s="378"/>
      <c r="Z32" s="378"/>
      <c r="AA32" s="379"/>
    </row>
    <row r="33" spans="1:40" s="381" customFormat="1" ht="14.1" customHeight="1">
      <c r="A33" s="354">
        <v>2034</v>
      </c>
      <c r="B33" s="382"/>
      <c r="C33" s="356">
        <f t="shared" si="1"/>
        <v>3012</v>
      </c>
      <c r="D33" s="371">
        <f t="shared" si="2"/>
        <v>3028</v>
      </c>
      <c r="E33" s="356">
        <f t="shared" si="3"/>
        <v>3242</v>
      </c>
      <c r="F33" s="372">
        <f t="shared" si="4"/>
        <v>3027</v>
      </c>
      <c r="G33" s="376">
        <f t="shared" si="0"/>
        <v>6269</v>
      </c>
      <c r="H33" s="377"/>
      <c r="I33" s="378"/>
      <c r="J33" s="378"/>
      <c r="K33" s="378"/>
      <c r="L33" s="378"/>
      <c r="M33" s="378"/>
      <c r="N33" s="378"/>
      <c r="O33" s="378"/>
      <c r="P33" s="378"/>
      <c r="Q33" s="378"/>
      <c r="R33" s="378"/>
      <c r="S33" s="378"/>
      <c r="T33" s="378"/>
      <c r="U33" s="378"/>
      <c r="V33" s="378"/>
      <c r="W33" s="378"/>
      <c r="X33" s="378"/>
      <c r="Y33" s="378"/>
      <c r="Z33" s="378"/>
      <c r="AA33" s="379"/>
    </row>
    <row r="34" spans="1:40" s="1929" customFormat="1" ht="14.1" customHeight="1">
      <c r="A34" s="366">
        <v>2035</v>
      </c>
      <c r="B34" s="367"/>
      <c r="C34" s="368">
        <f t="shared" si="1"/>
        <v>2998</v>
      </c>
      <c r="D34" s="369">
        <f t="shared" si="2"/>
        <v>3015</v>
      </c>
      <c r="E34" s="368">
        <f t="shared" si="3"/>
        <v>3241</v>
      </c>
      <c r="F34" s="370">
        <f t="shared" si="4"/>
        <v>3015</v>
      </c>
      <c r="G34" s="374">
        <f t="shared" si="0"/>
        <v>6256</v>
      </c>
      <c r="H34" s="384"/>
      <c r="I34" s="1925"/>
      <c r="J34" s="1925"/>
      <c r="K34" s="1925"/>
      <c r="L34" s="1930"/>
      <c r="M34" s="1925"/>
      <c r="N34" s="1925"/>
      <c r="O34" s="1925"/>
      <c r="P34" s="1925"/>
      <c r="Q34" s="1925"/>
      <c r="R34" s="1925"/>
      <c r="S34" s="1925"/>
      <c r="T34" s="1925"/>
      <c r="U34" s="1925"/>
      <c r="V34" s="1925"/>
      <c r="W34" s="1925"/>
      <c r="X34" s="1925"/>
      <c r="Y34" s="1925"/>
      <c r="Z34" s="1925"/>
      <c r="AA34" s="1927"/>
    </row>
    <row r="35" spans="1:40" s="381" customFormat="1" ht="14.1" customHeight="1">
      <c r="A35" s="354">
        <v>2036</v>
      </c>
      <c r="B35" s="385"/>
      <c r="C35" s="356">
        <f t="shared" si="1"/>
        <v>2984</v>
      </c>
      <c r="D35" s="371">
        <f t="shared" si="2"/>
        <v>3003</v>
      </c>
      <c r="E35" s="356">
        <f t="shared" si="3"/>
        <v>3240</v>
      </c>
      <c r="F35" s="372">
        <f t="shared" si="4"/>
        <v>3002</v>
      </c>
      <c r="G35" s="376"/>
      <c r="H35" s="377"/>
      <c r="I35" s="378"/>
      <c r="J35" s="378"/>
      <c r="K35" s="378"/>
      <c r="L35" s="410"/>
      <c r="M35" s="378"/>
      <c r="N35" s="378"/>
      <c r="O35" s="378"/>
      <c r="P35" s="378"/>
      <c r="Q35" s="378"/>
      <c r="R35" s="378"/>
      <c r="S35" s="378"/>
      <c r="T35" s="378"/>
      <c r="U35" s="378"/>
      <c r="V35" s="378"/>
      <c r="W35" s="378"/>
      <c r="X35" s="378"/>
      <c r="Y35" s="378"/>
      <c r="Z35" s="378"/>
      <c r="AA35" s="379"/>
    </row>
    <row r="36" spans="1:40" s="381" customFormat="1" ht="14.1" customHeight="1">
      <c r="A36" s="354">
        <v>2037</v>
      </c>
      <c r="B36" s="385"/>
      <c r="C36" s="356">
        <f t="shared" si="1"/>
        <v>2971</v>
      </c>
      <c r="D36" s="371">
        <f t="shared" si="2"/>
        <v>2990</v>
      </c>
      <c r="E36" s="356">
        <f t="shared" si="3"/>
        <v>3239</v>
      </c>
      <c r="F36" s="372">
        <f t="shared" si="4"/>
        <v>2990</v>
      </c>
      <c r="G36" s="376"/>
      <c r="H36" s="377"/>
      <c r="I36" s="378"/>
      <c r="J36" s="378"/>
      <c r="K36" s="378"/>
      <c r="L36" s="410"/>
      <c r="M36" s="378"/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9"/>
    </row>
    <row r="37" spans="1:40" s="381" customFormat="1" ht="14.1" customHeight="1">
      <c r="A37" s="354">
        <f t="shared" ref="A37" si="6">A36+1</f>
        <v>2038</v>
      </c>
      <c r="B37" s="385"/>
      <c r="C37" s="356">
        <f t="shared" si="1"/>
        <v>2957</v>
      </c>
      <c r="D37" s="371">
        <f t="shared" si="2"/>
        <v>2978</v>
      </c>
      <c r="E37" s="356">
        <f t="shared" si="3"/>
        <v>3238</v>
      </c>
      <c r="F37" s="372">
        <f t="shared" si="4"/>
        <v>2977</v>
      </c>
      <c r="G37" s="376"/>
      <c r="H37" s="377"/>
      <c r="I37" s="378"/>
      <c r="J37" s="378"/>
      <c r="K37" s="378"/>
      <c r="L37" s="410"/>
      <c r="M37" s="378"/>
      <c r="N37" s="378"/>
      <c r="O37" s="378"/>
      <c r="P37" s="378"/>
      <c r="Q37" s="378"/>
      <c r="R37" s="378"/>
      <c r="S37" s="378"/>
      <c r="T37" s="378"/>
      <c r="U37" s="378"/>
      <c r="V37" s="378"/>
      <c r="W37" s="378"/>
      <c r="X37" s="378"/>
      <c r="Y37" s="378"/>
      <c r="Z37" s="378"/>
      <c r="AA37" s="379"/>
    </row>
    <row r="38" spans="1:40" s="381" customFormat="1" ht="14.1" customHeight="1">
      <c r="A38" s="386" t="s">
        <v>275</v>
      </c>
      <c r="B38" s="387"/>
      <c r="C38" s="387" t="str">
        <f>IF(OR(C42=1,C42=2),"○","")</f>
        <v/>
      </c>
      <c r="D38" s="387"/>
      <c r="E38" s="387" t="str">
        <f>IF(OR(E42=1,E42=2),"○","")</f>
        <v>○</v>
      </c>
      <c r="F38" s="1918" t="str">
        <f>IF(OR(F42=1,F42=2),"○","")</f>
        <v>○</v>
      </c>
      <c r="G38" s="1919"/>
      <c r="H38" s="1920"/>
      <c r="I38" s="378"/>
      <c r="J38" s="378"/>
      <c r="K38" s="1921"/>
      <c r="L38" s="1921"/>
      <c r="M38" s="1921"/>
      <c r="N38" s="1921"/>
      <c r="O38" s="1921"/>
      <c r="P38" s="1921"/>
      <c r="Q38" s="1921"/>
      <c r="R38" s="1921"/>
      <c r="S38" s="1921"/>
      <c r="T38" s="1922"/>
      <c r="U38" s="1922"/>
      <c r="V38" s="410"/>
      <c r="W38" s="410"/>
      <c r="X38" s="410"/>
      <c r="Y38" s="410"/>
      <c r="Z38" s="410"/>
      <c r="AA38" s="1923"/>
      <c r="AB38" s="1924"/>
      <c r="AC38" s="1924"/>
      <c r="AD38" s="1924"/>
      <c r="AE38" s="1924"/>
      <c r="AF38" s="1924"/>
      <c r="AG38" s="1924"/>
      <c r="AH38" s="1924"/>
      <c r="AI38" s="1924"/>
      <c r="AJ38" s="1924"/>
      <c r="AK38" s="1924"/>
      <c r="AL38" s="1924"/>
      <c r="AM38" s="1924"/>
      <c r="AN38" s="1924"/>
    </row>
    <row r="39" spans="1:40" s="344" customFormat="1" ht="14.1" customHeight="1">
      <c r="A39" s="2318" t="s">
        <v>276</v>
      </c>
      <c r="B39" s="2319"/>
      <c r="C39" s="392">
        <f>F70</f>
        <v>0.65909274408679752</v>
      </c>
      <c r="D39" s="393">
        <f>G115</f>
        <v>0.66579412116731695</v>
      </c>
      <c r="E39" s="393">
        <f>H153</f>
        <v>0.79608307042233639</v>
      </c>
      <c r="F39" s="394">
        <f>G190</f>
        <v>0.66579412116731695</v>
      </c>
      <c r="G39" s="395"/>
      <c r="H39" s="396"/>
      <c r="I39" s="341"/>
      <c r="J39" s="341"/>
      <c r="K39" s="362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90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</row>
    <row r="40" spans="1:40" s="344" customFormat="1" ht="14.1" customHeight="1">
      <c r="A40" s="2318" t="s">
        <v>294</v>
      </c>
      <c r="B40" s="2319"/>
      <c r="C40" s="397">
        <f>F71</f>
        <v>10.948</v>
      </c>
      <c r="D40" s="398">
        <f>G116</f>
        <v>10.735000000000001</v>
      </c>
      <c r="E40" s="398">
        <f>H154</f>
        <v>6.6190000000000007</v>
      </c>
      <c r="F40" s="399">
        <f>G191</f>
        <v>10.735000000000001</v>
      </c>
      <c r="G40" s="400"/>
      <c r="H40" s="401"/>
      <c r="I40" s="341"/>
      <c r="J40" s="341"/>
      <c r="K40" s="388"/>
      <c r="L40" s="388"/>
      <c r="M40" s="388"/>
      <c r="N40" s="388"/>
      <c r="O40" s="388"/>
      <c r="P40" s="388"/>
      <c r="Q40" s="388"/>
      <c r="R40" s="388"/>
      <c r="S40" s="388"/>
      <c r="T40" s="389"/>
      <c r="U40" s="389"/>
      <c r="V40" s="362"/>
      <c r="W40" s="362"/>
      <c r="X40" s="362"/>
      <c r="Y40" s="362"/>
      <c r="Z40" s="362"/>
      <c r="AA40" s="390"/>
      <c r="AB40" s="391"/>
      <c r="AC40" s="391"/>
      <c r="AD40" s="391"/>
      <c r="AE40" s="391"/>
      <c r="AF40" s="391"/>
      <c r="AG40" s="391"/>
      <c r="AH40" s="391"/>
      <c r="AI40" s="391"/>
      <c r="AJ40" s="391"/>
      <c r="AK40" s="391"/>
      <c r="AL40" s="391"/>
      <c r="AM40" s="391"/>
      <c r="AN40" s="391"/>
    </row>
    <row r="41" spans="1:40" s="344" customFormat="1" ht="14.1" customHeight="1">
      <c r="A41" s="2318" t="s">
        <v>278</v>
      </c>
      <c r="B41" s="2319"/>
      <c r="C41" s="402">
        <f>F72</f>
        <v>0.81203943345665375</v>
      </c>
      <c r="D41" s="403">
        <f>G117</f>
        <v>0.80376826473953755</v>
      </c>
      <c r="E41" s="403">
        <f>H155</f>
        <v>0.5956336013238831</v>
      </c>
      <c r="F41" s="404">
        <f>G192</f>
        <v>0.40188413236976878</v>
      </c>
      <c r="G41" s="405"/>
      <c r="H41" s="401"/>
      <c r="I41" s="383"/>
      <c r="J41" s="383"/>
      <c r="K41" s="406"/>
      <c r="L41" s="406"/>
      <c r="M41" s="406"/>
      <c r="N41" s="406"/>
      <c r="O41" s="406"/>
      <c r="P41" s="406"/>
      <c r="Q41" s="406"/>
      <c r="R41" s="406"/>
      <c r="S41" s="406"/>
      <c r="T41" s="407"/>
      <c r="U41" s="407"/>
      <c r="V41" s="408"/>
      <c r="W41" s="408"/>
      <c r="X41" s="408"/>
      <c r="Y41" s="408"/>
      <c r="Z41" s="408"/>
      <c r="AA41" s="409"/>
      <c r="AB41" s="391"/>
      <c r="AC41" s="391"/>
      <c r="AD41" s="391"/>
      <c r="AE41" s="391"/>
      <c r="AF41" s="391"/>
      <c r="AG41" s="391"/>
      <c r="AH41" s="391"/>
      <c r="AI41" s="391"/>
      <c r="AJ41" s="391"/>
      <c r="AK41" s="391"/>
      <c r="AL41" s="391"/>
      <c r="AM41" s="391"/>
      <c r="AN41" s="391"/>
    </row>
    <row r="42" spans="1:40" s="344" customFormat="1" ht="20.100000000000001" customHeight="1">
      <c r="A42" s="410"/>
      <c r="B42" s="411"/>
      <c r="C42" s="1007">
        <f>RANK(C39,$C$39:$F$39)</f>
        <v>4</v>
      </c>
      <c r="D42" s="1007">
        <f>RANK(D39,$C$39:$F$39)</f>
        <v>2</v>
      </c>
      <c r="E42" s="1007">
        <f>RANK(E39,$C$39:$F$39)</f>
        <v>1</v>
      </c>
      <c r="F42" s="1007">
        <f>RANK(F39,$C$39:$F$39)</f>
        <v>2</v>
      </c>
      <c r="G42" s="341"/>
      <c r="H42" s="341"/>
      <c r="I42" s="341"/>
      <c r="J42" s="413"/>
      <c r="K42" s="391"/>
      <c r="L42" s="391"/>
      <c r="M42" s="391"/>
      <c r="N42" s="391"/>
      <c r="O42" s="391"/>
      <c r="P42" s="391"/>
      <c r="Q42" s="391"/>
      <c r="R42" s="391"/>
      <c r="S42" s="391"/>
      <c r="T42" s="391"/>
      <c r="U42" s="391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391"/>
      <c r="AG42" s="391"/>
      <c r="AH42" s="391"/>
      <c r="AI42" s="391"/>
      <c r="AJ42" s="391"/>
      <c r="AK42" s="391"/>
      <c r="AL42" s="391"/>
      <c r="AM42" s="391"/>
    </row>
    <row r="43" spans="1:40" s="344" customFormat="1" ht="18.95" customHeight="1">
      <c r="A43" s="414" t="s">
        <v>85</v>
      </c>
      <c r="B43" s="415" t="s">
        <v>279</v>
      </c>
      <c r="C43" s="415" t="s">
        <v>280</v>
      </c>
      <c r="D43" s="415" t="s">
        <v>281</v>
      </c>
      <c r="E43" s="415" t="s">
        <v>282</v>
      </c>
      <c r="F43" s="360" t="s">
        <v>5</v>
      </c>
      <c r="G43" s="341"/>
      <c r="H43" s="341"/>
      <c r="I43" s="341"/>
      <c r="J43" s="413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  <c r="AM43" s="391"/>
    </row>
    <row r="44" spans="1:40" s="344" customFormat="1" ht="18.95" customHeight="1">
      <c r="A44" s="416" t="s">
        <v>251</v>
      </c>
      <c r="B44" s="417">
        <f>+C19</f>
        <v>3207</v>
      </c>
      <c r="C44" s="417">
        <f>+C24</f>
        <v>3137</v>
      </c>
      <c r="D44" s="417">
        <f>+C29</f>
        <v>3068</v>
      </c>
      <c r="E44" s="418">
        <f>+C34</f>
        <v>2998</v>
      </c>
      <c r="F44" s="419" t="str">
        <f>IF(C38="","제외","")</f>
        <v>제외</v>
      </c>
      <c r="G44" s="341"/>
      <c r="H44" s="341"/>
      <c r="I44" s="341"/>
      <c r="J44" s="413"/>
      <c r="K44" s="391"/>
      <c r="L44" s="391"/>
      <c r="M44" s="391"/>
      <c r="N44" s="391"/>
      <c r="O44" s="391"/>
      <c r="P44" s="391"/>
      <c r="Q44" s="391"/>
      <c r="R44" s="391"/>
      <c r="S44" s="391"/>
      <c r="T44" s="391"/>
      <c r="U44" s="391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391"/>
      <c r="AG44" s="391"/>
      <c r="AH44" s="391"/>
      <c r="AI44" s="391"/>
      <c r="AJ44" s="391"/>
      <c r="AK44" s="391"/>
      <c r="AL44" s="391"/>
      <c r="AM44" s="391"/>
    </row>
    <row r="45" spans="1:40" s="344" customFormat="1" ht="18.95" customHeight="1">
      <c r="A45" s="416" t="s">
        <v>253</v>
      </c>
      <c r="B45" s="417">
        <f>+D19</f>
        <v>3209</v>
      </c>
      <c r="C45" s="417">
        <f>+D24</f>
        <v>3143</v>
      </c>
      <c r="D45" s="417">
        <f>+D29</f>
        <v>3079</v>
      </c>
      <c r="E45" s="418">
        <f>+D34</f>
        <v>3015</v>
      </c>
      <c r="F45" s="419" t="str">
        <f>IF(D38="","제외","")</f>
        <v>제외</v>
      </c>
      <c r="G45" s="341"/>
      <c r="H45" s="341"/>
      <c r="I45" s="341"/>
      <c r="J45" s="413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1"/>
    </row>
    <row r="46" spans="1:40" s="344" customFormat="1" ht="18.95" customHeight="1">
      <c r="A46" s="416" t="s">
        <v>254</v>
      </c>
      <c r="B46" s="417">
        <f>+E19</f>
        <v>3267</v>
      </c>
      <c r="C46" s="417">
        <f>+E24</f>
        <v>3255</v>
      </c>
      <c r="D46" s="417">
        <f>+E29</f>
        <v>3247</v>
      </c>
      <c r="E46" s="418">
        <f>+E34</f>
        <v>3241</v>
      </c>
      <c r="F46" s="419" t="str">
        <f>IF(E38="","제외","")</f>
        <v/>
      </c>
      <c r="G46" s="341"/>
      <c r="H46" s="341"/>
      <c r="I46" s="341"/>
      <c r="J46" s="413"/>
      <c r="K46" s="391"/>
      <c r="L46" s="391"/>
      <c r="M46" s="391"/>
      <c r="N46" s="391"/>
      <c r="O46" s="391"/>
      <c r="P46" s="391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  <c r="AM46" s="391"/>
    </row>
    <row r="47" spans="1:40" s="344" customFormat="1" ht="18.95" customHeight="1">
      <c r="A47" s="416" t="s">
        <v>256</v>
      </c>
      <c r="B47" s="417">
        <f>+F19</f>
        <v>3209</v>
      </c>
      <c r="C47" s="417">
        <f>+F24</f>
        <v>3143</v>
      </c>
      <c r="D47" s="417">
        <f>+F29</f>
        <v>3078</v>
      </c>
      <c r="E47" s="418">
        <f>+F34</f>
        <v>3015</v>
      </c>
      <c r="F47" s="419" t="str">
        <f>IF(F38="","제외","")</f>
        <v/>
      </c>
      <c r="G47" s="341"/>
      <c r="H47" s="341"/>
      <c r="I47" s="341"/>
      <c r="J47" s="413"/>
      <c r="K47" s="391"/>
      <c r="L47" s="391"/>
      <c r="M47" s="391"/>
      <c r="N47" s="391"/>
      <c r="O47" s="391"/>
      <c r="P47" s="391"/>
      <c r="Q47" s="391"/>
      <c r="R47" s="391"/>
      <c r="S47" s="391"/>
      <c r="T47" s="391"/>
      <c r="U47" s="391"/>
      <c r="V47" s="391"/>
      <c r="W47" s="391"/>
      <c r="X47" s="391"/>
      <c r="Y47" s="391"/>
      <c r="Z47" s="391"/>
      <c r="AA47" s="391"/>
      <c r="AB47" s="391"/>
      <c r="AC47" s="391"/>
      <c r="AD47" s="391"/>
      <c r="AE47" s="391"/>
      <c r="AF47" s="391"/>
      <c r="AG47" s="391"/>
      <c r="AH47" s="391"/>
      <c r="AI47" s="391"/>
      <c r="AJ47" s="391"/>
      <c r="AK47" s="391"/>
      <c r="AL47" s="391"/>
      <c r="AM47" s="391"/>
    </row>
    <row r="48" spans="1:40" s="344" customFormat="1" ht="18.95" customHeight="1">
      <c r="A48" s="416" t="s">
        <v>283</v>
      </c>
      <c r="B48" s="420">
        <f>ROUND(AVERAGE(B45,B47),0)</f>
        <v>3209</v>
      </c>
      <c r="C48" s="420">
        <f t="shared" ref="C48:E48" si="7">ROUND(AVERAGE(C45,C47),0)</f>
        <v>3143</v>
      </c>
      <c r="D48" s="420">
        <f t="shared" si="7"/>
        <v>3079</v>
      </c>
      <c r="E48" s="420">
        <f t="shared" si="7"/>
        <v>3015</v>
      </c>
      <c r="F48" s="419"/>
      <c r="G48" s="341"/>
      <c r="H48" s="341"/>
      <c r="I48" s="341"/>
      <c r="J48" s="413"/>
      <c r="K48" s="391"/>
      <c r="L48" s="391"/>
      <c r="M48" s="391"/>
      <c r="N48" s="391"/>
      <c r="O48" s="391"/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  <c r="AM48" s="391"/>
    </row>
    <row r="49" spans="1:40" s="344" customFormat="1" ht="18.95" customHeight="1">
      <c r="A49" s="416" t="s">
        <v>284</v>
      </c>
      <c r="B49" s="420">
        <f>B48</f>
        <v>3209</v>
      </c>
      <c r="C49" s="420">
        <f>C48</f>
        <v>3143</v>
      </c>
      <c r="D49" s="420">
        <f>D48</f>
        <v>3079</v>
      </c>
      <c r="E49" s="420">
        <f>E48</f>
        <v>3015</v>
      </c>
      <c r="F49" s="419"/>
      <c r="G49" s="341"/>
      <c r="H49" s="341"/>
      <c r="I49" s="341"/>
      <c r="J49" s="413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391"/>
      <c r="AG49" s="391"/>
      <c r="AH49" s="391"/>
      <c r="AI49" s="391"/>
      <c r="AJ49" s="391"/>
      <c r="AK49" s="391"/>
      <c r="AL49" s="391"/>
      <c r="AM49" s="391"/>
    </row>
    <row r="50" spans="1:40" s="344" customFormat="1" ht="20.100000000000001" customHeight="1">
      <c r="A50" s="410"/>
      <c r="B50" s="411"/>
      <c r="C50" s="421">
        <f>C48-B48</f>
        <v>-66</v>
      </c>
      <c r="D50" s="421">
        <f>D48-C48</f>
        <v>-64</v>
      </c>
      <c r="E50" s="421">
        <f>E48-D48</f>
        <v>-64</v>
      </c>
      <c r="F50" s="341"/>
      <c r="G50" s="341"/>
      <c r="H50" s="341"/>
      <c r="I50" s="341"/>
      <c r="J50" s="413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391"/>
      <c r="AG50" s="391"/>
      <c r="AH50" s="391"/>
      <c r="AI50" s="391"/>
      <c r="AJ50" s="391"/>
      <c r="AK50" s="391"/>
      <c r="AL50" s="391"/>
      <c r="AM50" s="391"/>
    </row>
    <row r="51" spans="1:40" s="344" customFormat="1" ht="20.100000000000001" customHeight="1">
      <c r="A51" s="410"/>
      <c r="B51" s="422"/>
      <c r="C51" s="423">
        <f>ROUND((C48/B48)^(1/5)-1,4)</f>
        <v>-4.1000000000000003E-3</v>
      </c>
      <c r="D51" s="423">
        <f>ROUND((D48/C48)^(1/5)-1,4)</f>
        <v>-4.1000000000000003E-3</v>
      </c>
      <c r="E51" s="423">
        <f>ROUND((E48/D48)^(1/5)-1,4)</f>
        <v>-4.1999999999999997E-3</v>
      </c>
      <c r="F51" s="341"/>
      <c r="G51" s="341"/>
      <c r="H51" s="341"/>
      <c r="I51" s="341"/>
      <c r="J51" s="413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391"/>
      <c r="AG51" s="391"/>
      <c r="AH51" s="391"/>
      <c r="AI51" s="391"/>
      <c r="AJ51" s="391"/>
      <c r="AK51" s="391"/>
      <c r="AL51" s="391"/>
      <c r="AM51" s="391"/>
    </row>
    <row r="52" spans="1:40" s="344" customFormat="1" ht="20.100000000000001" customHeight="1">
      <c r="A52" s="410"/>
      <c r="B52" s="411"/>
      <c r="C52" s="423"/>
      <c r="D52" s="423"/>
      <c r="E52" s="423"/>
      <c r="F52" s="341"/>
      <c r="G52" s="341"/>
      <c r="H52" s="341"/>
      <c r="I52" s="341"/>
      <c r="J52" s="413"/>
      <c r="K52" s="391"/>
      <c r="L52" s="391"/>
      <c r="M52" s="391"/>
      <c r="N52" s="391"/>
      <c r="O52" s="391"/>
      <c r="P52" s="391"/>
      <c r="Q52" s="391"/>
      <c r="R52" s="391"/>
      <c r="S52" s="391"/>
      <c r="T52" s="391"/>
      <c r="U52" s="391"/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391"/>
      <c r="AG52" s="391"/>
      <c r="AH52" s="391"/>
      <c r="AI52" s="391"/>
      <c r="AJ52" s="391"/>
      <c r="AK52" s="391"/>
      <c r="AL52" s="391"/>
      <c r="AM52" s="391"/>
    </row>
    <row r="53" spans="1:40" s="344" customFormat="1" ht="20.100000000000001" customHeight="1">
      <c r="A53" s="410"/>
      <c r="B53" s="411"/>
      <c r="C53" s="412"/>
      <c r="D53" s="412"/>
      <c r="E53" s="412"/>
      <c r="F53" s="341"/>
      <c r="G53" s="341"/>
      <c r="H53" s="341"/>
      <c r="I53" s="341"/>
      <c r="J53" s="413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  <c r="AF53" s="391"/>
      <c r="AG53" s="391"/>
      <c r="AH53" s="391"/>
      <c r="AI53" s="391"/>
      <c r="AJ53" s="391"/>
      <c r="AK53" s="391"/>
      <c r="AL53" s="391"/>
      <c r="AM53" s="391"/>
    </row>
    <row r="54" spans="1:40" s="344" customFormat="1" ht="20.100000000000001" customHeight="1">
      <c r="A54" s="410"/>
      <c r="B54" s="411"/>
      <c r="C54" s="412"/>
      <c r="D54" s="412"/>
      <c r="E54" s="412"/>
      <c r="F54" s="341"/>
      <c r="G54" s="341"/>
      <c r="H54" s="341"/>
      <c r="I54" s="341"/>
      <c r="J54" s="413"/>
      <c r="K54" s="391"/>
      <c r="L54" s="391"/>
      <c r="M54" s="391"/>
      <c r="N54" s="391"/>
      <c r="O54" s="391"/>
      <c r="P54" s="391"/>
      <c r="Q54" s="391"/>
      <c r="R54" s="391"/>
      <c r="S54" s="391"/>
      <c r="T54" s="391"/>
      <c r="U54" s="391"/>
      <c r="V54" s="391"/>
      <c r="W54" s="391"/>
      <c r="X54" s="391"/>
      <c r="Y54" s="391"/>
      <c r="Z54" s="391"/>
      <c r="AA54" s="391"/>
      <c r="AB54" s="391"/>
      <c r="AC54" s="391"/>
      <c r="AD54" s="391"/>
      <c r="AE54" s="391"/>
      <c r="AF54" s="391"/>
      <c r="AG54" s="391"/>
      <c r="AH54" s="391"/>
      <c r="AI54" s="391"/>
      <c r="AJ54" s="391"/>
      <c r="AK54" s="391"/>
      <c r="AL54" s="391"/>
      <c r="AM54" s="391"/>
    </row>
    <row r="55" spans="1:40" s="344" customFormat="1" ht="20.100000000000001" customHeight="1">
      <c r="A55" s="410"/>
      <c r="B55" s="411"/>
      <c r="C55" s="412"/>
      <c r="D55" s="412"/>
      <c r="E55" s="412"/>
      <c r="F55" s="341"/>
      <c r="G55" s="341"/>
      <c r="H55" s="341"/>
      <c r="I55" s="341"/>
      <c r="J55" s="413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1"/>
    </row>
    <row r="56" spans="1:40" s="344" customFormat="1" ht="20.100000000000001" customHeight="1">
      <c r="A56" s="410"/>
      <c r="B56" s="411"/>
      <c r="C56" s="412"/>
      <c r="D56" s="412"/>
      <c r="E56" s="412"/>
      <c r="F56" s="341"/>
      <c r="G56" s="341"/>
      <c r="H56" s="341"/>
      <c r="I56" s="341"/>
      <c r="J56" s="413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  <c r="AF56" s="391"/>
      <c r="AG56" s="391"/>
      <c r="AH56" s="391"/>
      <c r="AI56" s="391"/>
      <c r="AJ56" s="391"/>
      <c r="AK56" s="391"/>
      <c r="AL56" s="391"/>
      <c r="AM56" s="391"/>
    </row>
    <row r="57" spans="1:40" s="344" customFormat="1" ht="20.100000000000001" customHeight="1">
      <c r="A57" s="410"/>
      <c r="B57" s="411"/>
      <c r="C57" s="412"/>
      <c r="D57" s="412"/>
      <c r="E57" s="412"/>
      <c r="F57" s="341"/>
      <c r="G57" s="341"/>
      <c r="H57" s="341"/>
      <c r="I57" s="341"/>
      <c r="J57" s="413"/>
      <c r="K57" s="391"/>
      <c r="L57" s="391"/>
      <c r="M57" s="391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91"/>
      <c r="Y57" s="391"/>
      <c r="Z57" s="391"/>
      <c r="AA57" s="391"/>
      <c r="AB57" s="391"/>
      <c r="AC57" s="391"/>
      <c r="AD57" s="391"/>
      <c r="AE57" s="391"/>
      <c r="AF57" s="391"/>
      <c r="AG57" s="391"/>
      <c r="AH57" s="391"/>
      <c r="AI57" s="391"/>
      <c r="AJ57" s="391"/>
      <c r="AK57" s="391"/>
      <c r="AL57" s="391"/>
      <c r="AM57" s="391"/>
    </row>
    <row r="58" spans="1:40" s="344" customFormat="1" ht="20.100000000000001" customHeight="1">
      <c r="A58" s="410"/>
      <c r="B58" s="411"/>
      <c r="C58" s="412"/>
      <c r="D58" s="412"/>
      <c r="E58" s="412"/>
      <c r="F58" s="341"/>
      <c r="G58" s="341"/>
      <c r="H58" s="341"/>
      <c r="I58" s="341"/>
      <c r="J58" s="413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1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  <c r="AF58" s="391"/>
      <c r="AG58" s="391"/>
      <c r="AH58" s="391"/>
      <c r="AI58" s="391"/>
      <c r="AJ58" s="391"/>
      <c r="AK58" s="391"/>
      <c r="AL58" s="391"/>
      <c r="AM58" s="391"/>
    </row>
    <row r="59" spans="1:40" s="344" customFormat="1" ht="20.100000000000001" customHeight="1">
      <c r="A59" s="410"/>
      <c r="B59" s="411"/>
      <c r="C59" s="412"/>
      <c r="D59" s="412"/>
      <c r="E59" s="412"/>
      <c r="F59" s="341"/>
      <c r="G59" s="341"/>
      <c r="H59" s="341"/>
      <c r="I59" s="341"/>
      <c r="J59" s="413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  <c r="AF59" s="391"/>
      <c r="AG59" s="391"/>
      <c r="AH59" s="391"/>
      <c r="AI59" s="391"/>
      <c r="AJ59" s="391"/>
      <c r="AK59" s="391"/>
      <c r="AL59" s="391"/>
      <c r="AM59" s="391"/>
    </row>
    <row r="60" spans="1:40" s="344" customFormat="1" ht="20.100000000000001" customHeight="1">
      <c r="A60" s="410"/>
      <c r="B60" s="411"/>
      <c r="C60" s="412"/>
      <c r="D60" s="412"/>
      <c r="E60" s="412"/>
      <c r="F60" s="341"/>
      <c r="G60" s="341"/>
      <c r="H60" s="341"/>
      <c r="I60" s="341"/>
      <c r="J60" s="413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  <c r="Z60" s="391"/>
      <c r="AA60" s="391"/>
      <c r="AB60" s="391"/>
      <c r="AC60" s="391"/>
      <c r="AD60" s="391"/>
      <c r="AE60" s="391"/>
      <c r="AF60" s="391"/>
      <c r="AG60" s="391"/>
      <c r="AH60" s="391"/>
      <c r="AI60" s="391"/>
      <c r="AJ60" s="391"/>
      <c r="AK60" s="391"/>
      <c r="AL60" s="391"/>
      <c r="AM60" s="391"/>
    </row>
    <row r="61" spans="1:40" s="344" customFormat="1" ht="20.100000000000001" customHeight="1">
      <c r="A61" s="410"/>
      <c r="B61" s="411"/>
      <c r="C61" s="412"/>
      <c r="D61" s="412"/>
      <c r="E61" s="412"/>
      <c r="F61" s="341"/>
      <c r="G61" s="341"/>
      <c r="H61" s="341"/>
      <c r="I61" s="341"/>
      <c r="J61" s="413"/>
      <c r="K61" s="391"/>
      <c r="L61" s="391"/>
      <c r="M61" s="391"/>
      <c r="N61" s="391"/>
      <c r="O61" s="391"/>
      <c r="P61" s="391"/>
      <c r="Q61" s="391"/>
      <c r="R61" s="391"/>
      <c r="S61" s="391"/>
      <c r="T61" s="391"/>
      <c r="U61" s="391"/>
      <c r="V61" s="391"/>
      <c r="W61" s="391"/>
      <c r="X61" s="391"/>
      <c r="Y61" s="391"/>
      <c r="Z61" s="391"/>
      <c r="AA61" s="391"/>
      <c r="AB61" s="391"/>
      <c r="AC61" s="391"/>
      <c r="AD61" s="391"/>
      <c r="AE61" s="391"/>
      <c r="AF61" s="391"/>
      <c r="AG61" s="391"/>
      <c r="AH61" s="391"/>
      <c r="AI61" s="391"/>
      <c r="AJ61" s="391"/>
      <c r="AK61" s="391"/>
      <c r="AL61" s="391"/>
      <c r="AM61" s="391"/>
    </row>
    <row r="62" spans="1:40" s="344" customFormat="1" ht="20.100000000000001" customHeight="1">
      <c r="A62" s="410"/>
      <c r="B62" s="411"/>
      <c r="C62" s="412"/>
      <c r="D62" s="412"/>
      <c r="E62" s="412"/>
      <c r="F62" s="341"/>
      <c r="G62" s="341"/>
      <c r="H62" s="341"/>
      <c r="I62" s="341"/>
      <c r="J62" s="413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  <c r="Z62" s="391"/>
      <c r="AA62" s="391"/>
      <c r="AB62" s="391"/>
      <c r="AC62" s="391"/>
      <c r="AD62" s="391"/>
      <c r="AE62" s="391"/>
      <c r="AF62" s="391"/>
      <c r="AG62" s="391"/>
      <c r="AH62" s="391"/>
      <c r="AI62" s="391"/>
      <c r="AJ62" s="391"/>
      <c r="AK62" s="391"/>
      <c r="AL62" s="391"/>
      <c r="AM62" s="391"/>
      <c r="AN62" s="391"/>
    </row>
    <row r="63" spans="1:40" ht="15" customHeight="1">
      <c r="A63" s="424" t="s">
        <v>285</v>
      </c>
      <c r="B63" s="425"/>
      <c r="I63" s="426"/>
    </row>
    <row r="64" spans="1:40" ht="15" customHeight="1">
      <c r="A64" s="427" t="s">
        <v>264</v>
      </c>
      <c r="B64" s="428" t="s">
        <v>286</v>
      </c>
      <c r="C64" s="429" t="s">
        <v>287</v>
      </c>
      <c r="D64" s="430"/>
      <c r="E64" s="430"/>
      <c r="F64" s="431"/>
      <c r="G64" s="432"/>
      <c r="H64" s="432" t="s">
        <v>288</v>
      </c>
      <c r="I64" s="433">
        <f>RSQ(I65:I75,B65:B75)</f>
        <v>0.65909274408679752</v>
      </c>
      <c r="J64" s="434" t="s">
        <v>289</v>
      </c>
      <c r="K64" s="435" t="s">
        <v>290</v>
      </c>
    </row>
    <row r="65" spans="1:14" ht="15" customHeight="1">
      <c r="A65" s="436">
        <f>A5</f>
        <v>2006</v>
      </c>
      <c r="B65" s="437">
        <f>B5</f>
        <v>3455</v>
      </c>
      <c r="C65" s="438">
        <v>1</v>
      </c>
      <c r="D65" s="439" t="s">
        <v>291</v>
      </c>
      <c r="E65" s="440"/>
      <c r="F65" s="440"/>
      <c r="G65" s="441"/>
      <c r="H65" s="442"/>
      <c r="I65" s="443">
        <f t="shared" ref="I65:I97" si="8">ROUND($E$66*C65+$E$67,$G$1)</f>
        <v>3401</v>
      </c>
      <c r="J65" s="444">
        <f t="shared" ref="J65:J75" si="9">ABS(B65-I65)/B65*100</f>
        <v>1.5629522431259046</v>
      </c>
      <c r="K65" s="443">
        <f t="shared" ref="K65:K75" si="10">(B65-I65)^2/1000</f>
        <v>2.9159999999999999</v>
      </c>
      <c r="L65" s="445"/>
    </row>
    <row r="66" spans="1:14" ht="15" customHeight="1">
      <c r="A66" s="436">
        <f t="shared" ref="A66:A97" si="11">A65+1</f>
        <v>2007</v>
      </c>
      <c r="B66" s="437">
        <f t="shared" ref="B66:B75" si="12">B6</f>
        <v>3377</v>
      </c>
      <c r="C66" s="438">
        <f t="shared" ref="C66:C75" si="13">C65+1</f>
        <v>2</v>
      </c>
      <c r="D66" s="439" t="s">
        <v>292</v>
      </c>
      <c r="E66" s="363">
        <f>INDEX(LINEST(B65:B75,C65:C75),1)</f>
        <v>-13.890909090909094</v>
      </c>
      <c r="F66" s="440"/>
      <c r="G66" s="441"/>
      <c r="H66" s="442"/>
      <c r="I66" s="443">
        <f t="shared" si="8"/>
        <v>3387</v>
      </c>
      <c r="J66" s="446">
        <f t="shared" si="9"/>
        <v>0.29612081729345574</v>
      </c>
      <c r="K66" s="443">
        <f>(B66-I66)^2/1000</f>
        <v>0.1</v>
      </c>
      <c r="L66" s="445">
        <f t="shared" ref="L66:L97" si="14">+I66-I65</f>
        <v>-14</v>
      </c>
      <c r="M66" s="445"/>
    </row>
    <row r="67" spans="1:14" ht="15" customHeight="1">
      <c r="A67" s="436">
        <f t="shared" si="11"/>
        <v>2008</v>
      </c>
      <c r="B67" s="437">
        <f t="shared" si="12"/>
        <v>3359</v>
      </c>
      <c r="C67" s="438">
        <f t="shared" si="13"/>
        <v>3</v>
      </c>
      <c r="D67" s="439" t="s">
        <v>293</v>
      </c>
      <c r="E67" s="363">
        <f>INDEX(LINEST(B65:B75,C65:C75),2)</f>
        <v>3415.0727272727272</v>
      </c>
      <c r="G67" s="441"/>
      <c r="H67" s="442"/>
      <c r="I67" s="443">
        <f t="shared" si="8"/>
        <v>3373</v>
      </c>
      <c r="J67" s="446">
        <f t="shared" si="9"/>
        <v>0.41679071152128611</v>
      </c>
      <c r="K67" s="443">
        <f>(B67-I67)^2/1000</f>
        <v>0.19600000000000001</v>
      </c>
      <c r="L67" s="445">
        <f t="shared" si="14"/>
        <v>-14</v>
      </c>
      <c r="M67" s="445"/>
    </row>
    <row r="68" spans="1:14" ht="15" customHeight="1">
      <c r="A68" s="436">
        <f t="shared" si="11"/>
        <v>2009</v>
      </c>
      <c r="B68" s="437">
        <f t="shared" si="12"/>
        <v>3318</v>
      </c>
      <c r="C68" s="438">
        <f t="shared" si="13"/>
        <v>4</v>
      </c>
      <c r="G68" s="442"/>
      <c r="H68" s="442"/>
      <c r="I68" s="443">
        <f t="shared" si="8"/>
        <v>3360</v>
      </c>
      <c r="J68" s="446">
        <f t="shared" si="9"/>
        <v>1.2658227848101267</v>
      </c>
      <c r="K68" s="443">
        <f t="shared" si="10"/>
        <v>1.764</v>
      </c>
      <c r="L68" s="445">
        <f t="shared" si="14"/>
        <v>-13</v>
      </c>
      <c r="M68" s="445"/>
    </row>
    <row r="69" spans="1:14" ht="15" customHeight="1">
      <c r="A69" s="436">
        <f t="shared" si="11"/>
        <v>2010</v>
      </c>
      <c r="B69" s="437">
        <f t="shared" si="12"/>
        <v>3364</v>
      </c>
      <c r="C69" s="438">
        <f t="shared" si="13"/>
        <v>5</v>
      </c>
      <c r="G69" s="442"/>
      <c r="H69" s="442"/>
      <c r="I69" s="443">
        <f t="shared" si="8"/>
        <v>3346</v>
      </c>
      <c r="J69" s="446">
        <f t="shared" si="9"/>
        <v>0.53507728894173601</v>
      </c>
      <c r="K69" s="443">
        <f t="shared" si="10"/>
        <v>0.32400000000000001</v>
      </c>
      <c r="L69" s="445">
        <f t="shared" si="14"/>
        <v>-14</v>
      </c>
      <c r="M69" s="445"/>
    </row>
    <row r="70" spans="1:14" ht="15" customHeight="1">
      <c r="A70" s="436">
        <f t="shared" si="11"/>
        <v>2011</v>
      </c>
      <c r="B70" s="437">
        <f t="shared" si="12"/>
        <v>3307</v>
      </c>
      <c r="C70" s="438">
        <f t="shared" si="13"/>
        <v>6</v>
      </c>
      <c r="D70" s="2318" t="s">
        <v>276</v>
      </c>
      <c r="E70" s="2320"/>
      <c r="F70" s="447">
        <f>I64</f>
        <v>0.65909274408679752</v>
      </c>
      <c r="G70" s="442"/>
      <c r="H70" s="442"/>
      <c r="I70" s="443">
        <f t="shared" si="8"/>
        <v>3332</v>
      </c>
      <c r="J70" s="446">
        <f t="shared" si="9"/>
        <v>0.75597218022376778</v>
      </c>
      <c r="K70" s="443">
        <f t="shared" si="10"/>
        <v>0.625</v>
      </c>
      <c r="L70" s="445">
        <f t="shared" si="14"/>
        <v>-14</v>
      </c>
      <c r="M70" s="445"/>
    </row>
    <row r="71" spans="1:14" ht="15" customHeight="1">
      <c r="A71" s="436">
        <f t="shared" si="11"/>
        <v>2012</v>
      </c>
      <c r="B71" s="437">
        <f t="shared" si="12"/>
        <v>3313</v>
      </c>
      <c r="C71" s="438">
        <f t="shared" si="13"/>
        <v>7</v>
      </c>
      <c r="D71" s="2318" t="s">
        <v>294</v>
      </c>
      <c r="E71" s="2320"/>
      <c r="F71" s="448">
        <f>SUM(K65:K75)</f>
        <v>10.948</v>
      </c>
      <c r="G71" s="442"/>
      <c r="H71" s="442"/>
      <c r="I71" s="443">
        <f t="shared" si="8"/>
        <v>3318</v>
      </c>
      <c r="J71" s="446">
        <f t="shared" si="9"/>
        <v>0.15092061575611229</v>
      </c>
      <c r="K71" s="443">
        <f t="shared" si="10"/>
        <v>2.5000000000000001E-2</v>
      </c>
      <c r="L71" s="445">
        <f t="shared" si="14"/>
        <v>-14</v>
      </c>
      <c r="M71" s="445"/>
    </row>
    <row r="72" spans="1:14" ht="15" customHeight="1">
      <c r="A72" s="436">
        <f t="shared" si="11"/>
        <v>2013</v>
      </c>
      <c r="B72" s="437">
        <f t="shared" si="12"/>
        <v>3326</v>
      </c>
      <c r="C72" s="438">
        <f t="shared" si="13"/>
        <v>8</v>
      </c>
      <c r="D72" s="2318" t="s">
        <v>295</v>
      </c>
      <c r="E72" s="2321"/>
      <c r="F72" s="449">
        <f>SUM(J65:J75)/C75</f>
        <v>0.81203943345665375</v>
      </c>
      <c r="G72" s="442"/>
      <c r="H72" s="442"/>
      <c r="I72" s="443">
        <f t="shared" si="8"/>
        <v>3304</v>
      </c>
      <c r="J72" s="446">
        <f t="shared" si="9"/>
        <v>0.66145520144317504</v>
      </c>
      <c r="K72" s="443">
        <f t="shared" si="10"/>
        <v>0.48399999999999999</v>
      </c>
      <c r="L72" s="445">
        <f t="shared" si="14"/>
        <v>-14</v>
      </c>
      <c r="M72" s="445"/>
    </row>
    <row r="73" spans="1:14" ht="15" customHeight="1">
      <c r="A73" s="436">
        <f t="shared" si="11"/>
        <v>2014</v>
      </c>
      <c r="B73" s="437">
        <f t="shared" si="12"/>
        <v>3270</v>
      </c>
      <c r="C73" s="438">
        <f t="shared" si="13"/>
        <v>9</v>
      </c>
      <c r="D73" s="2322"/>
      <c r="E73" s="2322"/>
      <c r="F73" s="450"/>
      <c r="G73" s="442"/>
      <c r="H73" s="442"/>
      <c r="I73" s="443">
        <f t="shared" si="8"/>
        <v>3290</v>
      </c>
      <c r="J73" s="446">
        <f t="shared" si="9"/>
        <v>0.6116207951070336</v>
      </c>
      <c r="K73" s="443">
        <f t="shared" si="10"/>
        <v>0.4</v>
      </c>
      <c r="L73" s="445">
        <f t="shared" si="14"/>
        <v>-14</v>
      </c>
      <c r="M73" s="445"/>
    </row>
    <row r="74" spans="1:14" ht="15" customHeight="1">
      <c r="A74" s="436">
        <f t="shared" si="11"/>
        <v>2015</v>
      </c>
      <c r="B74" s="437">
        <f t="shared" si="12"/>
        <v>3243</v>
      </c>
      <c r="C74" s="438">
        <f t="shared" si="13"/>
        <v>10</v>
      </c>
      <c r="G74" s="439"/>
      <c r="H74" s="451"/>
      <c r="I74" s="443">
        <f t="shared" si="8"/>
        <v>3276</v>
      </c>
      <c r="J74" s="446">
        <f t="shared" si="9"/>
        <v>1.0175763182238668</v>
      </c>
      <c r="K74" s="443">
        <f t="shared" si="10"/>
        <v>1.089</v>
      </c>
      <c r="L74" s="445">
        <f t="shared" si="14"/>
        <v>-14</v>
      </c>
      <c r="M74" s="445"/>
    </row>
    <row r="75" spans="1:14" ht="15" customHeight="1" thickBot="1">
      <c r="A75" s="452">
        <f t="shared" si="11"/>
        <v>2016</v>
      </c>
      <c r="B75" s="453">
        <f t="shared" si="12"/>
        <v>3317</v>
      </c>
      <c r="C75" s="438">
        <f t="shared" si="13"/>
        <v>11</v>
      </c>
      <c r="D75" s="454"/>
      <c r="E75" s="454"/>
      <c r="F75" s="454"/>
      <c r="G75" s="455"/>
      <c r="H75" s="454"/>
      <c r="I75" s="456">
        <f t="shared" si="8"/>
        <v>3262</v>
      </c>
      <c r="J75" s="457">
        <f t="shared" si="9"/>
        <v>1.658124811576726</v>
      </c>
      <c r="K75" s="456">
        <f t="shared" si="10"/>
        <v>3.0249999999999999</v>
      </c>
      <c r="L75" s="445">
        <f t="shared" si="14"/>
        <v>-14</v>
      </c>
      <c r="M75" s="445"/>
    </row>
    <row r="76" spans="1:14" ht="15" customHeight="1" thickTop="1">
      <c r="A76" s="458">
        <f t="shared" si="11"/>
        <v>2017</v>
      </c>
      <c r="B76" s="459">
        <f t="shared" ref="B76:B97" si="15">ROUND($E$66*C76+$E$67,$G$1)</f>
        <v>3248</v>
      </c>
      <c r="C76" s="460">
        <f>C75+1</f>
        <v>12</v>
      </c>
      <c r="D76" s="461"/>
      <c r="E76" s="461"/>
      <c r="F76" s="461"/>
      <c r="G76" s="462"/>
      <c r="H76" s="461"/>
      <c r="I76" s="443">
        <f t="shared" si="8"/>
        <v>3248</v>
      </c>
      <c r="J76" s="463"/>
      <c r="K76" s="464"/>
      <c r="L76" s="445">
        <f t="shared" si="14"/>
        <v>-14</v>
      </c>
    </row>
    <row r="77" spans="1:14" ht="15" customHeight="1">
      <c r="A77" s="465">
        <f t="shared" si="11"/>
        <v>2018</v>
      </c>
      <c r="B77" s="437">
        <f t="shared" si="15"/>
        <v>3234</v>
      </c>
      <c r="C77" s="466">
        <f>C76+1</f>
        <v>13</v>
      </c>
      <c r="F77" s="451"/>
      <c r="G77" s="439"/>
      <c r="H77" s="451"/>
      <c r="I77" s="443">
        <f t="shared" si="8"/>
        <v>3234</v>
      </c>
      <c r="J77" s="467"/>
      <c r="K77" s="443"/>
      <c r="L77" s="445">
        <f t="shared" si="14"/>
        <v>-14</v>
      </c>
    </row>
    <row r="78" spans="1:14" ht="15" customHeight="1">
      <c r="A78" s="465">
        <f t="shared" si="11"/>
        <v>2019</v>
      </c>
      <c r="B78" s="437">
        <f t="shared" si="15"/>
        <v>3221</v>
      </c>
      <c r="C78" s="466">
        <f t="shared" ref="C78:C94" si="16">C77+1</f>
        <v>14</v>
      </c>
      <c r="F78" s="451"/>
      <c r="G78" s="439"/>
      <c r="H78" s="451"/>
      <c r="I78" s="443">
        <f t="shared" si="8"/>
        <v>3221</v>
      </c>
      <c r="J78" s="467"/>
      <c r="K78" s="443"/>
      <c r="L78" s="445">
        <f t="shared" si="14"/>
        <v>-13</v>
      </c>
    </row>
    <row r="79" spans="1:14" ht="15" customHeight="1">
      <c r="A79" s="465">
        <f t="shared" si="11"/>
        <v>2020</v>
      </c>
      <c r="B79" s="437">
        <f t="shared" si="15"/>
        <v>3207</v>
      </c>
      <c r="C79" s="466">
        <f t="shared" si="16"/>
        <v>15</v>
      </c>
      <c r="F79" s="451"/>
      <c r="G79" s="439"/>
      <c r="H79" s="451"/>
      <c r="I79" s="443">
        <f t="shared" si="8"/>
        <v>3207</v>
      </c>
      <c r="J79" s="467"/>
      <c r="K79" s="443"/>
      <c r="L79" s="445">
        <f t="shared" si="14"/>
        <v>-14</v>
      </c>
      <c r="N79" s="326">
        <f>1/0.75</f>
        <v>1.3333333333333333</v>
      </c>
    </row>
    <row r="80" spans="1:14" ht="15" customHeight="1">
      <c r="A80" s="465">
        <f t="shared" si="11"/>
        <v>2021</v>
      </c>
      <c r="B80" s="437">
        <f t="shared" si="15"/>
        <v>3193</v>
      </c>
      <c r="C80" s="466">
        <f t="shared" si="16"/>
        <v>16</v>
      </c>
      <c r="F80" s="451"/>
      <c r="G80" s="439"/>
      <c r="H80" s="451"/>
      <c r="I80" s="443">
        <f t="shared" si="8"/>
        <v>3193</v>
      </c>
      <c r="J80" s="467"/>
      <c r="K80" s="443"/>
      <c r="L80" s="445">
        <f t="shared" si="14"/>
        <v>-14</v>
      </c>
    </row>
    <row r="81" spans="1:12" ht="15" customHeight="1">
      <c r="A81" s="465">
        <f t="shared" si="11"/>
        <v>2022</v>
      </c>
      <c r="B81" s="437">
        <f t="shared" si="15"/>
        <v>3179</v>
      </c>
      <c r="C81" s="466">
        <f t="shared" si="16"/>
        <v>17</v>
      </c>
      <c r="D81" s="439"/>
      <c r="E81" s="439"/>
      <c r="F81" s="451"/>
      <c r="G81" s="439"/>
      <c r="H81" s="451"/>
      <c r="I81" s="443">
        <f t="shared" si="8"/>
        <v>3179</v>
      </c>
      <c r="J81" s="467"/>
      <c r="K81" s="443"/>
      <c r="L81" s="445">
        <f t="shared" si="14"/>
        <v>-14</v>
      </c>
    </row>
    <row r="82" spans="1:12" ht="15" customHeight="1">
      <c r="A82" s="465">
        <f t="shared" si="11"/>
        <v>2023</v>
      </c>
      <c r="B82" s="437">
        <f t="shared" si="15"/>
        <v>3165</v>
      </c>
      <c r="C82" s="466">
        <f t="shared" si="16"/>
        <v>18</v>
      </c>
      <c r="D82" s="439"/>
      <c r="E82" s="439"/>
      <c r="F82" s="451"/>
      <c r="G82" s="439"/>
      <c r="H82" s="451"/>
      <c r="I82" s="443">
        <f t="shared" si="8"/>
        <v>3165</v>
      </c>
      <c r="J82" s="467"/>
      <c r="K82" s="443"/>
      <c r="L82" s="445">
        <f t="shared" si="14"/>
        <v>-14</v>
      </c>
    </row>
    <row r="83" spans="1:12" s="451" customFormat="1" ht="15" customHeight="1">
      <c r="A83" s="465">
        <f t="shared" si="11"/>
        <v>2024</v>
      </c>
      <c r="B83" s="437">
        <f t="shared" si="15"/>
        <v>3151</v>
      </c>
      <c r="C83" s="466">
        <f t="shared" si="16"/>
        <v>19</v>
      </c>
      <c r="G83" s="439"/>
      <c r="H83" s="439"/>
      <c r="I83" s="443">
        <f t="shared" si="8"/>
        <v>3151</v>
      </c>
      <c r="J83" s="467"/>
      <c r="K83" s="443"/>
      <c r="L83" s="445">
        <f t="shared" si="14"/>
        <v>-14</v>
      </c>
    </row>
    <row r="84" spans="1:12" ht="15" customHeight="1">
      <c r="A84" s="465">
        <f t="shared" si="11"/>
        <v>2025</v>
      </c>
      <c r="B84" s="437">
        <f t="shared" si="15"/>
        <v>3137</v>
      </c>
      <c r="C84" s="466">
        <f t="shared" si="16"/>
        <v>20</v>
      </c>
      <c r="D84" s="451"/>
      <c r="E84" s="451"/>
      <c r="F84" s="451"/>
      <c r="G84" s="439"/>
      <c r="H84" s="451"/>
      <c r="I84" s="443">
        <f t="shared" si="8"/>
        <v>3137</v>
      </c>
      <c r="J84" s="467"/>
      <c r="K84" s="443"/>
      <c r="L84" s="445">
        <f t="shared" si="14"/>
        <v>-14</v>
      </c>
    </row>
    <row r="85" spans="1:12" s="451" customFormat="1" ht="15" customHeight="1">
      <c r="A85" s="465">
        <f t="shared" si="11"/>
        <v>2026</v>
      </c>
      <c r="B85" s="437">
        <f t="shared" si="15"/>
        <v>3123</v>
      </c>
      <c r="C85" s="466">
        <f t="shared" si="16"/>
        <v>21</v>
      </c>
      <c r="G85" s="439"/>
      <c r="I85" s="443">
        <f t="shared" si="8"/>
        <v>3123</v>
      </c>
      <c r="J85" s="467"/>
      <c r="K85" s="443"/>
      <c r="L85" s="445">
        <f t="shared" si="14"/>
        <v>-14</v>
      </c>
    </row>
    <row r="86" spans="1:12" s="451" customFormat="1" ht="15" customHeight="1">
      <c r="A86" s="465">
        <f t="shared" si="11"/>
        <v>2027</v>
      </c>
      <c r="B86" s="437">
        <f t="shared" si="15"/>
        <v>3109</v>
      </c>
      <c r="C86" s="466">
        <f t="shared" si="16"/>
        <v>22</v>
      </c>
      <c r="G86" s="439"/>
      <c r="I86" s="443">
        <f t="shared" si="8"/>
        <v>3109</v>
      </c>
      <c r="J86" s="467"/>
      <c r="K86" s="443"/>
      <c r="L86" s="445">
        <f t="shared" si="14"/>
        <v>-14</v>
      </c>
    </row>
    <row r="87" spans="1:12" s="451" customFormat="1" ht="15" customHeight="1">
      <c r="A87" s="465">
        <f t="shared" si="11"/>
        <v>2028</v>
      </c>
      <c r="B87" s="437">
        <f t="shared" si="15"/>
        <v>3096</v>
      </c>
      <c r="C87" s="466">
        <f t="shared" si="16"/>
        <v>23</v>
      </c>
      <c r="D87" s="468"/>
      <c r="E87" s="468"/>
      <c r="I87" s="443">
        <f t="shared" si="8"/>
        <v>3096</v>
      </c>
      <c r="J87" s="469"/>
      <c r="K87" s="469"/>
      <c r="L87" s="445">
        <f t="shared" si="14"/>
        <v>-13</v>
      </c>
    </row>
    <row r="88" spans="1:12" ht="15" customHeight="1">
      <c r="A88" s="465">
        <f t="shared" si="11"/>
        <v>2029</v>
      </c>
      <c r="B88" s="437">
        <f t="shared" si="15"/>
        <v>3082</v>
      </c>
      <c r="C88" s="466">
        <f t="shared" si="16"/>
        <v>24</v>
      </c>
      <c r="D88" s="468"/>
      <c r="E88" s="468"/>
      <c r="F88" s="451"/>
      <c r="G88" s="451"/>
      <c r="H88" s="451"/>
      <c r="I88" s="443">
        <f t="shared" si="8"/>
        <v>3082</v>
      </c>
      <c r="J88" s="469"/>
      <c r="K88" s="469"/>
      <c r="L88" s="445">
        <f t="shared" si="14"/>
        <v>-14</v>
      </c>
    </row>
    <row r="89" spans="1:12" ht="15" customHeight="1">
      <c r="A89" s="465">
        <f t="shared" si="11"/>
        <v>2030</v>
      </c>
      <c r="B89" s="437">
        <f t="shared" si="15"/>
        <v>3068</v>
      </c>
      <c r="C89" s="466">
        <f t="shared" si="16"/>
        <v>25</v>
      </c>
      <c r="D89" s="468"/>
      <c r="E89" s="468"/>
      <c r="F89" s="451"/>
      <c r="G89" s="451"/>
      <c r="H89" s="451"/>
      <c r="I89" s="443">
        <f t="shared" si="8"/>
        <v>3068</v>
      </c>
      <c r="J89" s="469"/>
      <c r="K89" s="469"/>
      <c r="L89" s="445">
        <f t="shared" si="14"/>
        <v>-14</v>
      </c>
    </row>
    <row r="90" spans="1:12" ht="15" customHeight="1">
      <c r="A90" s="465">
        <f t="shared" si="11"/>
        <v>2031</v>
      </c>
      <c r="B90" s="437">
        <f t="shared" si="15"/>
        <v>3054</v>
      </c>
      <c r="C90" s="466">
        <f t="shared" si="16"/>
        <v>26</v>
      </c>
      <c r="D90" s="468"/>
      <c r="E90" s="468"/>
      <c r="F90" s="451"/>
      <c r="G90" s="451"/>
      <c r="H90" s="451"/>
      <c r="I90" s="443">
        <f t="shared" si="8"/>
        <v>3054</v>
      </c>
      <c r="J90" s="469"/>
      <c r="K90" s="469"/>
      <c r="L90" s="445">
        <f t="shared" si="14"/>
        <v>-14</v>
      </c>
    </row>
    <row r="91" spans="1:12" ht="15" customHeight="1">
      <c r="A91" s="465">
        <f t="shared" si="11"/>
        <v>2032</v>
      </c>
      <c r="B91" s="437">
        <f t="shared" si="15"/>
        <v>3040</v>
      </c>
      <c r="C91" s="466">
        <f t="shared" si="16"/>
        <v>27</v>
      </c>
      <c r="D91" s="468"/>
      <c r="E91" s="468"/>
      <c r="F91" s="451"/>
      <c r="G91" s="451"/>
      <c r="H91" s="451"/>
      <c r="I91" s="443">
        <f t="shared" si="8"/>
        <v>3040</v>
      </c>
      <c r="J91" s="469"/>
      <c r="K91" s="469"/>
      <c r="L91" s="445">
        <f t="shared" si="14"/>
        <v>-14</v>
      </c>
    </row>
    <row r="92" spans="1:12" ht="15" customHeight="1">
      <c r="A92" s="465">
        <f t="shared" si="11"/>
        <v>2033</v>
      </c>
      <c r="B92" s="437">
        <f t="shared" si="15"/>
        <v>3026</v>
      </c>
      <c r="C92" s="466">
        <f t="shared" si="16"/>
        <v>28</v>
      </c>
      <c r="D92" s="468"/>
      <c r="E92" s="468"/>
      <c r="F92" s="451"/>
      <c r="G92" s="451"/>
      <c r="H92" s="451"/>
      <c r="I92" s="443">
        <f t="shared" si="8"/>
        <v>3026</v>
      </c>
      <c r="J92" s="469"/>
      <c r="K92" s="469"/>
      <c r="L92" s="445">
        <f t="shared" si="14"/>
        <v>-14</v>
      </c>
    </row>
    <row r="93" spans="1:12" ht="15" customHeight="1">
      <c r="A93" s="465">
        <f t="shared" si="11"/>
        <v>2034</v>
      </c>
      <c r="B93" s="437">
        <f t="shared" si="15"/>
        <v>3012</v>
      </c>
      <c r="C93" s="466">
        <f t="shared" si="16"/>
        <v>29</v>
      </c>
      <c r="D93" s="468"/>
      <c r="E93" s="468"/>
      <c r="F93" s="451"/>
      <c r="G93" s="451"/>
      <c r="H93" s="451"/>
      <c r="I93" s="443">
        <f t="shared" si="8"/>
        <v>3012</v>
      </c>
      <c r="J93" s="469"/>
      <c r="K93" s="469"/>
      <c r="L93" s="445">
        <f t="shared" si="14"/>
        <v>-14</v>
      </c>
    </row>
    <row r="94" spans="1:12" ht="15" customHeight="1">
      <c r="A94" s="470">
        <f t="shared" si="11"/>
        <v>2035</v>
      </c>
      <c r="B94" s="471">
        <f t="shared" si="15"/>
        <v>2998</v>
      </c>
      <c r="C94" s="472">
        <f t="shared" si="16"/>
        <v>30</v>
      </c>
      <c r="D94" s="473"/>
      <c r="E94" s="473"/>
      <c r="F94" s="474"/>
      <c r="G94" s="474"/>
      <c r="H94" s="474"/>
      <c r="I94" s="471">
        <f t="shared" si="8"/>
        <v>2998</v>
      </c>
      <c r="J94" s="475"/>
      <c r="K94" s="476"/>
      <c r="L94" s="445">
        <f t="shared" si="14"/>
        <v>-14</v>
      </c>
    </row>
    <row r="95" spans="1:12" ht="15" customHeight="1">
      <c r="A95" s="477">
        <f t="shared" si="11"/>
        <v>2036</v>
      </c>
      <c r="B95" s="478">
        <f t="shared" si="15"/>
        <v>2984</v>
      </c>
      <c r="C95" s="479">
        <v>31</v>
      </c>
      <c r="D95" s="480"/>
      <c r="E95" s="480"/>
      <c r="F95" s="481"/>
      <c r="G95" s="481"/>
      <c r="H95" s="481"/>
      <c r="I95" s="478">
        <f t="shared" si="8"/>
        <v>2984</v>
      </c>
      <c r="J95" s="482"/>
      <c r="K95" s="483"/>
      <c r="L95" s="445">
        <f t="shared" si="14"/>
        <v>-14</v>
      </c>
    </row>
    <row r="96" spans="1:12" ht="15" customHeight="1">
      <c r="A96" s="477">
        <f t="shared" si="11"/>
        <v>2037</v>
      </c>
      <c r="B96" s="478">
        <f t="shared" si="15"/>
        <v>2971</v>
      </c>
      <c r="C96" s="479">
        <v>32</v>
      </c>
      <c r="D96" s="480"/>
      <c r="E96" s="480"/>
      <c r="F96" s="481"/>
      <c r="G96" s="481"/>
      <c r="H96" s="481"/>
      <c r="I96" s="478">
        <f t="shared" si="8"/>
        <v>2971</v>
      </c>
      <c r="J96" s="482"/>
      <c r="K96" s="483"/>
      <c r="L96" s="445">
        <f t="shared" si="14"/>
        <v>-13</v>
      </c>
    </row>
    <row r="97" spans="1:13" ht="15" customHeight="1">
      <c r="A97" s="484">
        <f t="shared" si="11"/>
        <v>2038</v>
      </c>
      <c r="B97" s="485">
        <f t="shared" si="15"/>
        <v>2957</v>
      </c>
      <c r="C97" s="486">
        <v>33</v>
      </c>
      <c r="D97" s="487"/>
      <c r="E97" s="487"/>
      <c r="F97" s="488"/>
      <c r="G97" s="488"/>
      <c r="H97" s="488"/>
      <c r="I97" s="485">
        <f t="shared" si="8"/>
        <v>2957</v>
      </c>
      <c r="J97" s="489"/>
      <c r="K97" s="490"/>
      <c r="L97" s="445">
        <f t="shared" si="14"/>
        <v>-14</v>
      </c>
    </row>
    <row r="98" spans="1:13" ht="15" customHeight="1">
      <c r="A98" s="491"/>
      <c r="B98" s="492"/>
      <c r="C98" s="439"/>
      <c r="D98" s="468"/>
      <c r="E98" s="468"/>
      <c r="F98" s="451"/>
      <c r="G98" s="451"/>
      <c r="H98" s="451"/>
      <c r="I98" s="492"/>
      <c r="J98" s="493"/>
      <c r="K98" s="493"/>
      <c r="L98" s="445"/>
    </row>
    <row r="99" spans="1:13" ht="15" customHeight="1">
      <c r="A99" s="491"/>
      <c r="B99" s="492"/>
      <c r="C99" s="439"/>
      <c r="D99" s="468"/>
      <c r="E99" s="468"/>
      <c r="F99" s="451"/>
      <c r="G99" s="451"/>
      <c r="H99" s="451"/>
      <c r="I99" s="492"/>
      <c r="J99" s="493"/>
      <c r="K99" s="493"/>
      <c r="L99" s="445"/>
    </row>
    <row r="100" spans="1:13" ht="15" customHeight="1">
      <c r="A100" s="491"/>
      <c r="B100" s="492"/>
      <c r="C100" s="439"/>
      <c r="D100" s="468"/>
      <c r="E100" s="468"/>
      <c r="F100" s="451"/>
      <c r="G100" s="451"/>
      <c r="H100" s="451"/>
      <c r="I100" s="492"/>
      <c r="J100" s="493"/>
      <c r="K100" s="493"/>
      <c r="L100" s="445"/>
    </row>
    <row r="101" spans="1:13" ht="15" customHeight="1">
      <c r="A101" s="491"/>
      <c r="B101" s="494"/>
      <c r="C101" s="439"/>
      <c r="D101" s="468"/>
      <c r="E101" s="468"/>
      <c r="F101" s="451"/>
      <c r="G101" s="451"/>
      <c r="H101" s="451"/>
      <c r="I101" s="495"/>
      <c r="J101" s="495"/>
    </row>
    <row r="102" spans="1:13" ht="15" customHeight="1">
      <c r="A102" s="424" t="s">
        <v>296</v>
      </c>
    </row>
    <row r="103" spans="1:13" ht="15" customHeight="1">
      <c r="A103" s="427" t="s">
        <v>264</v>
      </c>
      <c r="B103" s="428" t="s">
        <v>286</v>
      </c>
      <c r="C103" s="429" t="s">
        <v>297</v>
      </c>
      <c r="D103" s="429" t="s">
        <v>287</v>
      </c>
      <c r="E103" s="496"/>
      <c r="F103" s="430"/>
      <c r="G103" s="431"/>
      <c r="H103" s="432" t="s">
        <v>288</v>
      </c>
      <c r="I103" s="433">
        <f>RSQ(I104:I114,B104:B114)</f>
        <v>0.66579412116731695</v>
      </c>
      <c r="J103" s="434" t="s">
        <v>289</v>
      </c>
      <c r="K103" s="435" t="s">
        <v>290</v>
      </c>
    </row>
    <row r="104" spans="1:13" ht="15" customHeight="1">
      <c r="A104" s="436">
        <f t="shared" ref="A104:B119" si="17">A65</f>
        <v>2006</v>
      </c>
      <c r="B104" s="437">
        <f t="shared" si="17"/>
        <v>3455</v>
      </c>
      <c r="C104" s="497">
        <f t="shared" ref="C104:C114" si="18">LN(B104)</f>
        <v>8.1475777362017698</v>
      </c>
      <c r="D104" s="438">
        <f>C65</f>
        <v>1</v>
      </c>
      <c r="E104" s="498" t="s">
        <v>298</v>
      </c>
      <c r="F104" s="499"/>
      <c r="G104" s="500"/>
      <c r="H104" s="501"/>
      <c r="I104" s="502">
        <f t="shared" ref="I104:I136" si="19">ROUND($F$111*(1+$F$112)^D104,$G$1)</f>
        <v>3401</v>
      </c>
      <c r="J104" s="444">
        <f t="shared" ref="J104:J114" si="20">ABS(B104-I104)/B104*100</f>
        <v>1.5629522431259046</v>
      </c>
      <c r="K104" s="443">
        <f t="shared" ref="K104:K114" si="21">(B104-I104)^2/1000</f>
        <v>2.9159999999999999</v>
      </c>
      <c r="L104" s="503"/>
    </row>
    <row r="105" spans="1:13" ht="15" customHeight="1">
      <c r="A105" s="436">
        <f t="shared" si="17"/>
        <v>2007</v>
      </c>
      <c r="B105" s="437">
        <f t="shared" si="17"/>
        <v>3377</v>
      </c>
      <c r="C105" s="497">
        <f>LN(B105)</f>
        <v>8.1247430203855675</v>
      </c>
      <c r="D105" s="438">
        <f t="shared" ref="D105:D136" si="22">D104+1</f>
        <v>2</v>
      </c>
      <c r="E105" s="498" t="s">
        <v>299</v>
      </c>
      <c r="F105" s="439"/>
      <c r="G105" s="500"/>
      <c r="H105" s="501"/>
      <c r="I105" s="443">
        <f t="shared" si="19"/>
        <v>3387</v>
      </c>
      <c r="J105" s="446">
        <f t="shared" si="20"/>
        <v>0.29612081729345574</v>
      </c>
      <c r="K105" s="443">
        <f t="shared" si="21"/>
        <v>0.1</v>
      </c>
      <c r="L105" s="503">
        <f>ROUND((I105/I104)^(1/1)-1,4)</f>
        <v>-4.1000000000000003E-3</v>
      </c>
    </row>
    <row r="106" spans="1:13" ht="15" customHeight="1">
      <c r="A106" s="436">
        <f t="shared" si="17"/>
        <v>2008</v>
      </c>
      <c r="B106" s="437">
        <f t="shared" si="17"/>
        <v>3359</v>
      </c>
      <c r="C106" s="497">
        <f>LN(B106)</f>
        <v>8.1193985896122935</v>
      </c>
      <c r="D106" s="438">
        <f t="shared" si="22"/>
        <v>3</v>
      </c>
      <c r="E106" s="326" t="s">
        <v>300</v>
      </c>
      <c r="G106" s="451"/>
      <c r="H106" s="442"/>
      <c r="I106" s="443">
        <f t="shared" si="19"/>
        <v>3373</v>
      </c>
      <c r="J106" s="446">
        <f t="shared" si="20"/>
        <v>0.41679071152128611</v>
      </c>
      <c r="K106" s="443">
        <f t="shared" si="21"/>
        <v>0.19600000000000001</v>
      </c>
      <c r="L106" s="503">
        <f t="shared" ref="L106:L136" si="23">ROUND((I106/I105)^(1/1)-1,4)</f>
        <v>-4.1000000000000003E-3</v>
      </c>
      <c r="M106" s="503"/>
    </row>
    <row r="107" spans="1:13" ht="15" customHeight="1">
      <c r="A107" s="436">
        <f t="shared" si="17"/>
        <v>2009</v>
      </c>
      <c r="B107" s="437">
        <f t="shared" si="17"/>
        <v>3318</v>
      </c>
      <c r="C107" s="497">
        <f t="shared" si="18"/>
        <v>8.1071174707503904</v>
      </c>
      <c r="D107" s="438">
        <f t="shared" si="22"/>
        <v>4</v>
      </c>
      <c r="G107" s="451"/>
      <c r="H107" s="442"/>
      <c r="I107" s="443">
        <f t="shared" si="19"/>
        <v>3359</v>
      </c>
      <c r="J107" s="446">
        <f t="shared" si="20"/>
        <v>1.2356841470765521</v>
      </c>
      <c r="K107" s="443">
        <f t="shared" si="21"/>
        <v>1.681</v>
      </c>
      <c r="L107" s="503">
        <f t="shared" si="23"/>
        <v>-4.1999999999999997E-3</v>
      </c>
      <c r="M107" s="503"/>
    </row>
    <row r="108" spans="1:13" ht="15" customHeight="1">
      <c r="A108" s="436">
        <f t="shared" si="17"/>
        <v>2010</v>
      </c>
      <c r="B108" s="437">
        <f t="shared" si="17"/>
        <v>3364</v>
      </c>
      <c r="C108" s="497">
        <f t="shared" si="18"/>
        <v>8.1208860210928382</v>
      </c>
      <c r="D108" s="438">
        <f t="shared" si="22"/>
        <v>5</v>
      </c>
      <c r="E108" s="329" t="s">
        <v>301</v>
      </c>
      <c r="F108" s="442" t="s">
        <v>302</v>
      </c>
      <c r="G108" s="504">
        <f>INDEX(LINEST(C104:C114,D104:D114),2)</f>
        <v>8.1360309671405098</v>
      </c>
      <c r="H108" s="442"/>
      <c r="I108" s="443">
        <f t="shared" si="19"/>
        <v>3345</v>
      </c>
      <c r="J108" s="446">
        <f t="shared" si="20"/>
        <v>0.56480380499405469</v>
      </c>
      <c r="K108" s="443">
        <f t="shared" si="21"/>
        <v>0.36099999999999999</v>
      </c>
      <c r="L108" s="503">
        <f t="shared" si="23"/>
        <v>-4.1999999999999997E-3</v>
      </c>
      <c r="M108" s="503"/>
    </row>
    <row r="109" spans="1:13" ht="15" customHeight="1">
      <c r="A109" s="436">
        <f t="shared" si="17"/>
        <v>2011</v>
      </c>
      <c r="B109" s="437">
        <f t="shared" si="17"/>
        <v>3307</v>
      </c>
      <c r="C109" s="497">
        <f t="shared" si="18"/>
        <v>8.1037967129817936</v>
      </c>
      <c r="D109" s="438">
        <f t="shared" si="22"/>
        <v>6</v>
      </c>
      <c r="E109" s="329" t="s">
        <v>303</v>
      </c>
      <c r="F109" s="442" t="s">
        <v>304</v>
      </c>
      <c r="G109" s="504">
        <f>INDEX(LINEST(C104:C114,D104:D114),1)</f>
        <v>-4.1525850957958837E-3</v>
      </c>
      <c r="H109" s="442"/>
      <c r="I109" s="443">
        <f t="shared" si="19"/>
        <v>3331</v>
      </c>
      <c r="J109" s="446">
        <f t="shared" si="20"/>
        <v>0.72573329301481704</v>
      </c>
      <c r="K109" s="443">
        <f t="shared" si="21"/>
        <v>0.57599999999999996</v>
      </c>
      <c r="L109" s="503">
        <f t="shared" si="23"/>
        <v>-4.1999999999999997E-3</v>
      </c>
      <c r="M109" s="503"/>
    </row>
    <row r="110" spans="1:13" ht="15" customHeight="1">
      <c r="A110" s="436">
        <f t="shared" si="17"/>
        <v>2012</v>
      </c>
      <c r="B110" s="437">
        <f t="shared" si="17"/>
        <v>3313</v>
      </c>
      <c r="C110" s="497">
        <f t="shared" si="18"/>
        <v>8.1056094022998959</v>
      </c>
      <c r="D110" s="438">
        <f t="shared" si="22"/>
        <v>7</v>
      </c>
      <c r="H110" s="442"/>
      <c r="I110" s="443">
        <f t="shared" si="19"/>
        <v>3317</v>
      </c>
      <c r="J110" s="446">
        <f t="shared" si="20"/>
        <v>0.12073649260488982</v>
      </c>
      <c r="K110" s="443">
        <f t="shared" si="21"/>
        <v>1.6E-2</v>
      </c>
      <c r="L110" s="503">
        <f t="shared" si="23"/>
        <v>-4.1999999999999997E-3</v>
      </c>
      <c r="M110" s="503"/>
    </row>
    <row r="111" spans="1:13" ht="15" customHeight="1">
      <c r="A111" s="436">
        <f t="shared" si="17"/>
        <v>2013</v>
      </c>
      <c r="B111" s="437">
        <f t="shared" si="17"/>
        <v>3326</v>
      </c>
      <c r="C111" s="497">
        <f t="shared" si="18"/>
        <v>8.1095256597528724</v>
      </c>
      <c r="D111" s="438">
        <f t="shared" si="22"/>
        <v>8</v>
      </c>
      <c r="E111" s="329" t="s">
        <v>305</v>
      </c>
      <c r="F111" s="505">
        <f>EXP(G108)</f>
        <v>3415.3353528528801</v>
      </c>
      <c r="G111" s="451"/>
      <c r="H111" s="442"/>
      <c r="I111" s="443">
        <f t="shared" si="19"/>
        <v>3304</v>
      </c>
      <c r="J111" s="446">
        <f t="shared" si="20"/>
        <v>0.66145520144317504</v>
      </c>
      <c r="K111" s="443">
        <f t="shared" si="21"/>
        <v>0.48399999999999999</v>
      </c>
      <c r="L111" s="503">
        <f t="shared" si="23"/>
        <v>-3.8999999999999998E-3</v>
      </c>
      <c r="M111" s="503"/>
    </row>
    <row r="112" spans="1:13" ht="15" customHeight="1">
      <c r="A112" s="436">
        <f t="shared" si="17"/>
        <v>2014</v>
      </c>
      <c r="B112" s="437">
        <f t="shared" si="17"/>
        <v>3270</v>
      </c>
      <c r="C112" s="506">
        <f t="shared" si="18"/>
        <v>8.0925452638912994</v>
      </c>
      <c r="D112" s="438">
        <f t="shared" si="22"/>
        <v>9</v>
      </c>
      <c r="E112" s="329" t="s">
        <v>397</v>
      </c>
      <c r="F112" s="507">
        <f>EXP(G109)-1</f>
        <v>-4.1439750364313799E-3</v>
      </c>
      <c r="G112" s="451"/>
      <c r="H112" s="442"/>
      <c r="I112" s="443">
        <f t="shared" si="19"/>
        <v>3290</v>
      </c>
      <c r="J112" s="467">
        <f t="shared" si="20"/>
        <v>0.6116207951070336</v>
      </c>
      <c r="K112" s="443">
        <f t="shared" si="21"/>
        <v>0.4</v>
      </c>
      <c r="L112" s="503">
        <f t="shared" si="23"/>
        <v>-4.1999999999999997E-3</v>
      </c>
      <c r="M112" s="503"/>
    </row>
    <row r="113" spans="1:13" ht="15" customHeight="1">
      <c r="A113" s="436">
        <f t="shared" si="17"/>
        <v>2015</v>
      </c>
      <c r="B113" s="437">
        <f t="shared" si="17"/>
        <v>3243</v>
      </c>
      <c r="C113" s="506">
        <f t="shared" si="18"/>
        <v>8.0842541063073181</v>
      </c>
      <c r="D113" s="508">
        <f t="shared" si="22"/>
        <v>10</v>
      </c>
      <c r="H113" s="509"/>
      <c r="I113" s="443">
        <f t="shared" si="19"/>
        <v>3276</v>
      </c>
      <c r="J113" s="467">
        <f t="shared" si="20"/>
        <v>1.0175763182238668</v>
      </c>
      <c r="K113" s="443">
        <f t="shared" si="21"/>
        <v>1.089</v>
      </c>
      <c r="L113" s="503">
        <f t="shared" si="23"/>
        <v>-4.3E-3</v>
      </c>
      <c r="M113" s="503"/>
    </row>
    <row r="114" spans="1:13" ht="15" customHeight="1" thickBot="1">
      <c r="A114" s="436">
        <f t="shared" si="17"/>
        <v>2016</v>
      </c>
      <c r="B114" s="437">
        <f t="shared" si="17"/>
        <v>3317</v>
      </c>
      <c r="C114" s="506">
        <f t="shared" si="18"/>
        <v>8.106816038947052</v>
      </c>
      <c r="D114" s="508">
        <f t="shared" si="22"/>
        <v>11</v>
      </c>
      <c r="G114" s="510"/>
      <c r="H114" s="509"/>
      <c r="I114" s="443">
        <f t="shared" si="19"/>
        <v>3263</v>
      </c>
      <c r="J114" s="467">
        <f t="shared" si="20"/>
        <v>1.6279770877298765</v>
      </c>
      <c r="K114" s="443">
        <f t="shared" si="21"/>
        <v>2.9159999999999999</v>
      </c>
      <c r="L114" s="503">
        <f t="shared" si="23"/>
        <v>-4.0000000000000001E-3</v>
      </c>
      <c r="M114" s="503"/>
    </row>
    <row r="115" spans="1:13" ht="15" customHeight="1" thickTop="1">
      <c r="A115" s="511">
        <f t="shared" si="17"/>
        <v>2017</v>
      </c>
      <c r="B115" s="459">
        <f t="shared" ref="B115:B136" si="24">ROUND($F$111*(1+$F$112)^D115,$G$1)</f>
        <v>3249</v>
      </c>
      <c r="C115" s="512"/>
      <c r="D115" s="513">
        <f t="shared" si="22"/>
        <v>12</v>
      </c>
      <c r="E115" s="2314" t="s">
        <v>398</v>
      </c>
      <c r="F115" s="2315"/>
      <c r="G115" s="514">
        <f>I103</f>
        <v>0.66579412116731695</v>
      </c>
      <c r="H115" s="515"/>
      <c r="I115" s="464">
        <f t="shared" si="19"/>
        <v>3249</v>
      </c>
      <c r="J115" s="463"/>
      <c r="K115" s="464"/>
      <c r="L115" s="503">
        <f t="shared" si="23"/>
        <v>-4.3E-3</v>
      </c>
      <c r="M115" s="503"/>
    </row>
    <row r="116" spans="1:13" ht="15" customHeight="1">
      <c r="A116" s="436">
        <f t="shared" si="17"/>
        <v>2018</v>
      </c>
      <c r="B116" s="437">
        <f t="shared" si="24"/>
        <v>3236</v>
      </c>
      <c r="C116" s="506"/>
      <c r="D116" s="508">
        <f t="shared" si="22"/>
        <v>13</v>
      </c>
      <c r="E116" s="2318" t="s">
        <v>294</v>
      </c>
      <c r="F116" s="2320"/>
      <c r="G116" s="448">
        <f>SUM(K104:K114)</f>
        <v>10.735000000000001</v>
      </c>
      <c r="H116" s="509"/>
      <c r="I116" s="443">
        <f t="shared" si="19"/>
        <v>3236</v>
      </c>
      <c r="J116" s="467"/>
      <c r="K116" s="443"/>
      <c r="L116" s="503">
        <f t="shared" si="23"/>
        <v>-4.0000000000000001E-3</v>
      </c>
      <c r="M116" s="503"/>
    </row>
    <row r="117" spans="1:13" ht="15" customHeight="1">
      <c r="A117" s="436">
        <f t="shared" si="17"/>
        <v>2019</v>
      </c>
      <c r="B117" s="437">
        <f t="shared" si="24"/>
        <v>3222</v>
      </c>
      <c r="C117" s="506"/>
      <c r="D117" s="508">
        <f t="shared" si="22"/>
        <v>14</v>
      </c>
      <c r="E117" s="2318" t="s">
        <v>278</v>
      </c>
      <c r="F117" s="2320"/>
      <c r="G117" s="449">
        <f>SUM(J104:J114)/D114</f>
        <v>0.80376826473953755</v>
      </c>
      <c r="H117" s="509"/>
      <c r="I117" s="443">
        <f t="shared" si="19"/>
        <v>3222</v>
      </c>
      <c r="J117" s="467"/>
      <c r="K117" s="443"/>
      <c r="L117" s="503">
        <f t="shared" si="23"/>
        <v>-4.3E-3</v>
      </c>
      <c r="M117" s="503"/>
    </row>
    <row r="118" spans="1:13" ht="15" customHeight="1">
      <c r="A118" s="436">
        <f t="shared" si="17"/>
        <v>2020</v>
      </c>
      <c r="B118" s="437">
        <f t="shared" si="24"/>
        <v>3209</v>
      </c>
      <c r="C118" s="506"/>
      <c r="D118" s="508">
        <f t="shared" si="22"/>
        <v>15</v>
      </c>
      <c r="H118" s="509"/>
      <c r="I118" s="443">
        <f t="shared" si="19"/>
        <v>3209</v>
      </c>
      <c r="J118" s="467"/>
      <c r="K118" s="443"/>
      <c r="L118" s="503">
        <f t="shared" si="23"/>
        <v>-4.0000000000000001E-3</v>
      </c>
      <c r="M118" s="503"/>
    </row>
    <row r="119" spans="1:13" ht="15" customHeight="1">
      <c r="A119" s="436">
        <f t="shared" si="17"/>
        <v>2021</v>
      </c>
      <c r="B119" s="437">
        <f t="shared" si="24"/>
        <v>3196</v>
      </c>
      <c r="C119" s="506"/>
      <c r="D119" s="508">
        <f t="shared" si="22"/>
        <v>16</v>
      </c>
      <c r="E119" s="451"/>
      <c r="F119" s="451"/>
      <c r="G119" s="451"/>
      <c r="H119" s="509"/>
      <c r="I119" s="443">
        <f t="shared" si="19"/>
        <v>3196</v>
      </c>
      <c r="J119" s="467"/>
      <c r="K119" s="443"/>
      <c r="L119" s="503">
        <f t="shared" si="23"/>
        <v>-4.1000000000000003E-3</v>
      </c>
      <c r="M119" s="503"/>
    </row>
    <row r="120" spans="1:13" ht="15" customHeight="1">
      <c r="A120" s="436">
        <f t="shared" ref="A120:A136" si="25">A81</f>
        <v>2022</v>
      </c>
      <c r="B120" s="437">
        <f t="shared" si="24"/>
        <v>3183</v>
      </c>
      <c r="C120" s="506"/>
      <c r="D120" s="508">
        <f t="shared" si="22"/>
        <v>17</v>
      </c>
      <c r="E120" s="516"/>
      <c r="F120" s="517"/>
      <c r="G120" s="509"/>
      <c r="H120" s="509"/>
      <c r="I120" s="443">
        <f t="shared" si="19"/>
        <v>3183</v>
      </c>
      <c r="J120" s="467"/>
      <c r="K120" s="443"/>
      <c r="L120" s="503">
        <f t="shared" si="23"/>
        <v>-4.1000000000000003E-3</v>
      </c>
      <c r="M120" s="503"/>
    </row>
    <row r="121" spans="1:13" ht="15" customHeight="1">
      <c r="A121" s="436">
        <f t="shared" si="25"/>
        <v>2023</v>
      </c>
      <c r="B121" s="437">
        <f t="shared" si="24"/>
        <v>3169</v>
      </c>
      <c r="C121" s="506"/>
      <c r="D121" s="508">
        <f t="shared" si="22"/>
        <v>18</v>
      </c>
      <c r="E121" s="509"/>
      <c r="F121" s="509"/>
      <c r="G121" s="518"/>
      <c r="H121" s="509"/>
      <c r="I121" s="443">
        <f t="shared" si="19"/>
        <v>3169</v>
      </c>
      <c r="J121" s="467"/>
      <c r="K121" s="443"/>
      <c r="L121" s="503">
        <f t="shared" si="23"/>
        <v>-4.4000000000000003E-3</v>
      </c>
      <c r="M121" s="503"/>
    </row>
    <row r="122" spans="1:13" s="451" customFormat="1" ht="15" customHeight="1">
      <c r="A122" s="436">
        <f t="shared" si="25"/>
        <v>2024</v>
      </c>
      <c r="B122" s="437">
        <f t="shared" si="24"/>
        <v>3156</v>
      </c>
      <c r="C122" s="506"/>
      <c r="D122" s="508">
        <f t="shared" si="22"/>
        <v>19</v>
      </c>
      <c r="G122" s="518"/>
      <c r="H122" s="509"/>
      <c r="I122" s="443">
        <f t="shared" si="19"/>
        <v>3156</v>
      </c>
      <c r="J122" s="467"/>
      <c r="K122" s="443"/>
      <c r="L122" s="503">
        <f t="shared" si="23"/>
        <v>-4.1000000000000003E-3</v>
      </c>
      <c r="M122" s="503"/>
    </row>
    <row r="123" spans="1:13" ht="15" customHeight="1">
      <c r="A123" s="436">
        <f t="shared" si="25"/>
        <v>2025</v>
      </c>
      <c r="B123" s="437">
        <f t="shared" si="24"/>
        <v>3143</v>
      </c>
      <c r="C123" s="506"/>
      <c r="D123" s="508">
        <f t="shared" si="22"/>
        <v>20</v>
      </c>
      <c r="E123" s="519"/>
      <c r="F123" s="451"/>
      <c r="G123" s="451"/>
      <c r="H123" s="451"/>
      <c r="I123" s="443">
        <f t="shared" si="19"/>
        <v>3143</v>
      </c>
      <c r="J123" s="467"/>
      <c r="K123" s="443"/>
      <c r="L123" s="503">
        <f t="shared" si="23"/>
        <v>-4.1000000000000003E-3</v>
      </c>
      <c r="M123" s="503"/>
    </row>
    <row r="124" spans="1:13" s="451" customFormat="1" ht="15" customHeight="1">
      <c r="A124" s="436">
        <f t="shared" si="25"/>
        <v>2026</v>
      </c>
      <c r="B124" s="437">
        <f t="shared" si="24"/>
        <v>3130</v>
      </c>
      <c r="C124" s="506"/>
      <c r="D124" s="508">
        <f t="shared" si="22"/>
        <v>21</v>
      </c>
      <c r="E124" s="519"/>
      <c r="I124" s="443">
        <f t="shared" si="19"/>
        <v>3130</v>
      </c>
      <c r="J124" s="467"/>
      <c r="K124" s="443"/>
      <c r="L124" s="503">
        <f t="shared" si="23"/>
        <v>-4.1000000000000003E-3</v>
      </c>
      <c r="M124" s="503"/>
    </row>
    <row r="125" spans="1:13" s="451" customFormat="1" ht="15" customHeight="1">
      <c r="A125" s="436">
        <f t="shared" si="25"/>
        <v>2027</v>
      </c>
      <c r="B125" s="437">
        <f t="shared" si="24"/>
        <v>3117</v>
      </c>
      <c r="C125" s="506"/>
      <c r="D125" s="508">
        <f t="shared" si="22"/>
        <v>22</v>
      </c>
      <c r="E125" s="519"/>
      <c r="I125" s="443">
        <f t="shared" si="19"/>
        <v>3117</v>
      </c>
      <c r="J125" s="467"/>
      <c r="K125" s="443"/>
      <c r="L125" s="503">
        <f t="shared" si="23"/>
        <v>-4.1999999999999997E-3</v>
      </c>
      <c r="M125" s="503"/>
    </row>
    <row r="126" spans="1:13" ht="15" customHeight="1">
      <c r="A126" s="436">
        <f t="shared" si="25"/>
        <v>2028</v>
      </c>
      <c r="B126" s="437">
        <f t="shared" si="24"/>
        <v>3104</v>
      </c>
      <c r="C126" s="520"/>
      <c r="D126" s="508">
        <f t="shared" si="22"/>
        <v>23</v>
      </c>
      <c r="E126" s="521"/>
      <c r="F126" s="468"/>
      <c r="G126" s="451"/>
      <c r="H126" s="451"/>
      <c r="I126" s="443">
        <f t="shared" si="19"/>
        <v>3104</v>
      </c>
      <c r="J126" s="469"/>
      <c r="K126" s="469"/>
      <c r="L126" s="503">
        <f t="shared" si="23"/>
        <v>-4.1999999999999997E-3</v>
      </c>
      <c r="M126" s="503"/>
    </row>
    <row r="127" spans="1:13" ht="15" customHeight="1">
      <c r="A127" s="436">
        <f t="shared" si="25"/>
        <v>2029</v>
      </c>
      <c r="B127" s="437">
        <f t="shared" si="24"/>
        <v>3091</v>
      </c>
      <c r="C127" s="520"/>
      <c r="D127" s="508">
        <f t="shared" si="22"/>
        <v>24</v>
      </c>
      <c r="E127" s="521"/>
      <c r="F127" s="468"/>
      <c r="G127" s="451"/>
      <c r="H127" s="451"/>
      <c r="I127" s="443">
        <f t="shared" si="19"/>
        <v>3091</v>
      </c>
      <c r="J127" s="469"/>
      <c r="K127" s="469"/>
      <c r="L127" s="503">
        <f t="shared" si="23"/>
        <v>-4.1999999999999997E-3</v>
      </c>
      <c r="M127" s="503"/>
    </row>
    <row r="128" spans="1:13" ht="15" customHeight="1">
      <c r="A128" s="436">
        <f t="shared" si="25"/>
        <v>2030</v>
      </c>
      <c r="B128" s="437">
        <f t="shared" si="24"/>
        <v>3079</v>
      </c>
      <c r="C128" s="520"/>
      <c r="D128" s="508">
        <f t="shared" si="22"/>
        <v>25</v>
      </c>
      <c r="E128" s="521"/>
      <c r="F128" s="468"/>
      <c r="G128" s="451"/>
      <c r="H128" s="451"/>
      <c r="I128" s="443">
        <f t="shared" si="19"/>
        <v>3079</v>
      </c>
      <c r="J128" s="469"/>
      <c r="K128" s="469"/>
      <c r="L128" s="503">
        <f t="shared" si="23"/>
        <v>-3.8999999999999998E-3</v>
      </c>
      <c r="M128" s="503"/>
    </row>
    <row r="129" spans="1:102" ht="15" customHeight="1">
      <c r="A129" s="436">
        <f t="shared" si="25"/>
        <v>2031</v>
      </c>
      <c r="B129" s="437">
        <f t="shared" si="24"/>
        <v>3066</v>
      </c>
      <c r="C129" s="520"/>
      <c r="D129" s="508">
        <f t="shared" si="22"/>
        <v>26</v>
      </c>
      <c r="E129" s="521"/>
      <c r="F129" s="468"/>
      <c r="G129" s="451"/>
      <c r="H129" s="451"/>
      <c r="I129" s="443">
        <f t="shared" si="19"/>
        <v>3066</v>
      </c>
      <c r="J129" s="469"/>
      <c r="K129" s="469"/>
      <c r="L129" s="503">
        <f t="shared" si="23"/>
        <v>-4.1999999999999997E-3</v>
      </c>
      <c r="M129" s="503"/>
    </row>
    <row r="130" spans="1:102" ht="15" customHeight="1">
      <c r="A130" s="436">
        <f t="shared" si="25"/>
        <v>2032</v>
      </c>
      <c r="B130" s="437">
        <f t="shared" si="24"/>
        <v>3053</v>
      </c>
      <c r="C130" s="520"/>
      <c r="D130" s="508">
        <f t="shared" si="22"/>
        <v>27</v>
      </c>
      <c r="E130" s="521"/>
      <c r="F130" s="468"/>
      <c r="G130" s="451"/>
      <c r="H130" s="451"/>
      <c r="I130" s="443">
        <f t="shared" si="19"/>
        <v>3053</v>
      </c>
      <c r="J130" s="469"/>
      <c r="K130" s="469"/>
      <c r="L130" s="503">
        <f t="shared" si="23"/>
        <v>-4.1999999999999997E-3</v>
      </c>
      <c r="M130" s="503"/>
    </row>
    <row r="131" spans="1:102" ht="15" customHeight="1">
      <c r="A131" s="436">
        <f t="shared" si="25"/>
        <v>2033</v>
      </c>
      <c r="B131" s="437">
        <f t="shared" si="24"/>
        <v>3040</v>
      </c>
      <c r="C131" s="520"/>
      <c r="D131" s="508">
        <f t="shared" si="22"/>
        <v>28</v>
      </c>
      <c r="E131" s="521"/>
      <c r="F131" s="468"/>
      <c r="G131" s="451"/>
      <c r="H131" s="451"/>
      <c r="I131" s="443">
        <f t="shared" si="19"/>
        <v>3040</v>
      </c>
      <c r="J131" s="469"/>
      <c r="K131" s="469"/>
      <c r="L131" s="503">
        <f t="shared" si="23"/>
        <v>-4.3E-3</v>
      </c>
      <c r="M131" s="503"/>
    </row>
    <row r="132" spans="1:102" ht="15" customHeight="1">
      <c r="A132" s="436">
        <f t="shared" si="25"/>
        <v>2034</v>
      </c>
      <c r="B132" s="437">
        <f t="shared" si="24"/>
        <v>3028</v>
      </c>
      <c r="C132" s="520"/>
      <c r="D132" s="508">
        <f t="shared" si="22"/>
        <v>29</v>
      </c>
      <c r="E132" s="521"/>
      <c r="F132" s="468"/>
      <c r="G132" s="451"/>
      <c r="H132" s="451"/>
      <c r="I132" s="443">
        <f t="shared" si="19"/>
        <v>3028</v>
      </c>
      <c r="J132" s="469"/>
      <c r="K132" s="469"/>
      <c r="L132" s="503">
        <f t="shared" si="23"/>
        <v>-3.8999999999999998E-3</v>
      </c>
      <c r="M132" s="503"/>
    </row>
    <row r="133" spans="1:102" ht="15" customHeight="1">
      <c r="A133" s="522">
        <f t="shared" si="25"/>
        <v>2035</v>
      </c>
      <c r="B133" s="523">
        <f t="shared" si="24"/>
        <v>3015</v>
      </c>
      <c r="C133" s="524"/>
      <c r="D133" s="525">
        <f t="shared" si="22"/>
        <v>30</v>
      </c>
      <c r="E133" s="526"/>
      <c r="F133" s="527"/>
      <c r="G133" s="426"/>
      <c r="H133" s="426"/>
      <c r="I133" s="528">
        <f t="shared" si="19"/>
        <v>3015</v>
      </c>
      <c r="J133" s="529"/>
      <c r="K133" s="529"/>
      <c r="L133" s="503">
        <f t="shared" si="23"/>
        <v>-4.3E-3</v>
      </c>
      <c r="M133" s="503"/>
    </row>
    <row r="134" spans="1:102" ht="15" customHeight="1">
      <c r="A134" s="522">
        <f t="shared" si="25"/>
        <v>2036</v>
      </c>
      <c r="B134" s="523">
        <f t="shared" si="24"/>
        <v>3003</v>
      </c>
      <c r="C134" s="524"/>
      <c r="D134" s="525">
        <f t="shared" si="22"/>
        <v>31</v>
      </c>
      <c r="E134" s="526"/>
      <c r="F134" s="527"/>
      <c r="G134" s="426"/>
      <c r="H134" s="426"/>
      <c r="I134" s="528">
        <f t="shared" si="19"/>
        <v>3003</v>
      </c>
      <c r="J134" s="529"/>
      <c r="K134" s="529"/>
      <c r="L134" s="503">
        <f t="shared" si="23"/>
        <v>-4.0000000000000001E-3</v>
      </c>
      <c r="M134" s="503"/>
    </row>
    <row r="135" spans="1:102" ht="15" customHeight="1">
      <c r="A135" s="522">
        <f t="shared" si="25"/>
        <v>2037</v>
      </c>
      <c r="B135" s="523">
        <f t="shared" si="24"/>
        <v>2990</v>
      </c>
      <c r="C135" s="524"/>
      <c r="D135" s="525">
        <f t="shared" si="22"/>
        <v>32</v>
      </c>
      <c r="E135" s="526"/>
      <c r="F135" s="527"/>
      <c r="G135" s="426"/>
      <c r="H135" s="426"/>
      <c r="I135" s="528">
        <f t="shared" si="19"/>
        <v>2990</v>
      </c>
      <c r="J135" s="529"/>
      <c r="K135" s="529"/>
      <c r="L135" s="503">
        <f t="shared" si="23"/>
        <v>-4.3E-3</v>
      </c>
      <c r="M135" s="503"/>
    </row>
    <row r="136" spans="1:102" ht="15" customHeight="1">
      <c r="A136" s="522">
        <f t="shared" si="25"/>
        <v>2038</v>
      </c>
      <c r="B136" s="523">
        <f t="shared" si="24"/>
        <v>2978</v>
      </c>
      <c r="C136" s="524"/>
      <c r="D136" s="525">
        <f t="shared" si="22"/>
        <v>33</v>
      </c>
      <c r="E136" s="526"/>
      <c r="F136" s="527"/>
      <c r="G136" s="426"/>
      <c r="H136" s="426"/>
      <c r="I136" s="528">
        <f t="shared" si="19"/>
        <v>2978</v>
      </c>
      <c r="J136" s="529"/>
      <c r="K136" s="529"/>
      <c r="L136" s="503">
        <f t="shared" si="23"/>
        <v>-4.0000000000000001E-3</v>
      </c>
      <c r="M136" s="503"/>
    </row>
    <row r="137" spans="1:102" ht="15" customHeight="1">
      <c r="A137" s="491"/>
      <c r="B137" s="492"/>
      <c r="C137" s="451"/>
      <c r="D137" s="439"/>
      <c r="E137" s="530"/>
      <c r="F137" s="468"/>
      <c r="G137" s="451"/>
      <c r="H137" s="451"/>
      <c r="I137" s="492"/>
      <c r="J137" s="493"/>
      <c r="K137" s="493"/>
      <c r="L137" s="503"/>
      <c r="M137" s="503"/>
    </row>
    <row r="138" spans="1:102" ht="15" customHeight="1">
      <c r="A138" s="491"/>
      <c r="B138" s="492"/>
      <c r="C138" s="451"/>
      <c r="D138" s="439"/>
      <c r="E138" s="530"/>
      <c r="F138" s="468"/>
      <c r="G138" s="451"/>
      <c r="H138" s="451"/>
      <c r="I138" s="492"/>
      <c r="J138" s="493"/>
      <c r="K138" s="493"/>
      <c r="L138" s="503"/>
      <c r="M138" s="503"/>
    </row>
    <row r="139" spans="1:102" ht="15" customHeight="1">
      <c r="A139" s="491"/>
      <c r="B139" s="493"/>
      <c r="C139" s="451"/>
      <c r="D139" s="439"/>
      <c r="E139" s="530"/>
      <c r="F139" s="468"/>
      <c r="G139" s="451"/>
      <c r="H139" s="451"/>
      <c r="I139" s="531"/>
      <c r="J139" s="531"/>
    </row>
    <row r="140" spans="1:102" ht="15" customHeight="1">
      <c r="A140" s="424" t="s">
        <v>399</v>
      </c>
    </row>
    <row r="141" spans="1:102" ht="15" customHeight="1">
      <c r="A141" s="427" t="s">
        <v>264</v>
      </c>
      <c r="B141" s="428" t="s">
        <v>400</v>
      </c>
      <c r="C141" s="429" t="s">
        <v>401</v>
      </c>
      <c r="D141" s="429" t="s">
        <v>402</v>
      </c>
      <c r="E141" s="429" t="s">
        <v>403</v>
      </c>
      <c r="F141" s="496"/>
      <c r="G141" s="430"/>
      <c r="H141" s="432" t="s">
        <v>404</v>
      </c>
      <c r="I141" s="433">
        <f>RSQ(I142:I152,B142:B152)</f>
        <v>0.79608307042233639</v>
      </c>
      <c r="J141" s="434" t="s">
        <v>405</v>
      </c>
      <c r="K141" s="435" t="s">
        <v>406</v>
      </c>
      <c r="M141" s="532" t="s">
        <v>401</v>
      </c>
      <c r="N141" s="431"/>
      <c r="O141" s="432" t="s">
        <v>404</v>
      </c>
      <c r="P141" s="433">
        <f>RSQ($B142:$B152,Q142:Q152)</f>
        <v>0.78582676973661725</v>
      </c>
      <c r="Q141" s="434" t="s">
        <v>407</v>
      </c>
      <c r="R141" s="435" t="s">
        <v>406</v>
      </c>
      <c r="T141" s="532" t="s">
        <v>401</v>
      </c>
      <c r="U141" s="431"/>
      <c r="V141" s="432" t="s">
        <v>404</v>
      </c>
      <c r="W141" s="433">
        <f>RSQ($B142:$B152,X142:X152)</f>
        <v>0.78661710343115321</v>
      </c>
      <c r="X141" s="434" t="s">
        <v>407</v>
      </c>
      <c r="Y141" s="435" t="s">
        <v>406</v>
      </c>
      <c r="AA141" s="532" t="s">
        <v>401</v>
      </c>
      <c r="AB141" s="431"/>
      <c r="AC141" s="432" t="s">
        <v>404</v>
      </c>
      <c r="AD141" s="433">
        <f>RSQ($B142:$B152,AE142:AE152)</f>
        <v>0.79137119837719339</v>
      </c>
      <c r="AE141" s="434" t="s">
        <v>407</v>
      </c>
      <c r="AF141" s="435" t="s">
        <v>406</v>
      </c>
      <c r="AH141" s="532" t="s">
        <v>401</v>
      </c>
      <c r="AI141" s="431"/>
      <c r="AJ141" s="432" t="s">
        <v>404</v>
      </c>
      <c r="AK141" s="433" t="e">
        <f>RSQ($B142:$B152,AL142:AL152)</f>
        <v>#VALUE!</v>
      </c>
      <c r="AL141" s="434" t="s">
        <v>407</v>
      </c>
      <c r="AM141" s="435" t="s">
        <v>406</v>
      </c>
      <c r="AO141" s="532" t="s">
        <v>401</v>
      </c>
      <c r="AP141" s="431"/>
      <c r="AQ141" s="432" t="s">
        <v>404</v>
      </c>
      <c r="AR141" s="433">
        <f>RSQ($B142:$B152,AS142:AS152)</f>
        <v>0.79410186470039112</v>
      </c>
      <c r="AS141" s="434" t="s">
        <v>407</v>
      </c>
      <c r="AT141" s="435" t="s">
        <v>406</v>
      </c>
      <c r="AV141" s="532" t="s">
        <v>401</v>
      </c>
      <c r="AW141" s="431"/>
      <c r="AX141" s="432" t="s">
        <v>404</v>
      </c>
      <c r="AY141" s="433">
        <f>RSQ($B142:$B152,AZ142:AZ152)</f>
        <v>0.79170198571691897</v>
      </c>
      <c r="AZ141" s="434" t="s">
        <v>407</v>
      </c>
      <c r="BA141" s="435" t="s">
        <v>406</v>
      </c>
      <c r="BC141" s="532" t="s">
        <v>401</v>
      </c>
      <c r="BD141" s="431"/>
      <c r="BE141" s="432" t="s">
        <v>404</v>
      </c>
      <c r="BF141" s="433" t="e">
        <f>RSQ($B142:$B152,BG142:BG152)</f>
        <v>#VALUE!</v>
      </c>
      <c r="BG141" s="434" t="s">
        <v>407</v>
      </c>
      <c r="BH141" s="435" t="s">
        <v>406</v>
      </c>
      <c r="BJ141" s="532" t="s">
        <v>401</v>
      </c>
      <c r="BK141" s="431"/>
      <c r="BL141" s="432" t="s">
        <v>404</v>
      </c>
      <c r="BM141" s="433">
        <f>RSQ($B142:$B152,BN142:BN152)</f>
        <v>0.79580054546523049</v>
      </c>
      <c r="BN141" s="434" t="s">
        <v>407</v>
      </c>
      <c r="BO141" s="435" t="s">
        <v>406</v>
      </c>
      <c r="BQ141" s="532" t="s">
        <v>401</v>
      </c>
      <c r="BR141" s="431"/>
      <c r="BS141" s="432" t="s">
        <v>404</v>
      </c>
      <c r="BT141" s="433">
        <f>RSQ($B142:$B152,BU142:BU152)</f>
        <v>0.79608307042233639</v>
      </c>
      <c r="BU141" s="434" t="s">
        <v>407</v>
      </c>
      <c r="BV141" s="435" t="s">
        <v>406</v>
      </c>
      <c r="BX141" s="532" t="s">
        <v>401</v>
      </c>
      <c r="BY141" s="431"/>
      <c r="BZ141" s="432" t="s">
        <v>404</v>
      </c>
      <c r="CA141" s="433">
        <f>RSQ($B142:$B152,CB142:CB152)</f>
        <v>0.79569801617175717</v>
      </c>
      <c r="CB141" s="434" t="s">
        <v>407</v>
      </c>
      <c r="CC141" s="435" t="s">
        <v>406</v>
      </c>
      <c r="CE141" s="532" t="s">
        <v>401</v>
      </c>
      <c r="CF141" s="431"/>
      <c r="CG141" s="432" t="s">
        <v>404</v>
      </c>
      <c r="CH141" s="433">
        <f>RSQ($B142:$B152,CI142:CI152)</f>
        <v>0.79541190164404119</v>
      </c>
      <c r="CI141" s="434" t="s">
        <v>407</v>
      </c>
      <c r="CJ141" s="435" t="s">
        <v>406</v>
      </c>
      <c r="CL141" s="532" t="s">
        <v>401</v>
      </c>
      <c r="CM141" s="431"/>
      <c r="CN141" s="432" t="s">
        <v>404</v>
      </c>
      <c r="CO141" s="433">
        <f>RSQ($B142:$B152,CP142:CP152)</f>
        <v>0.79505520506329308</v>
      </c>
      <c r="CP141" s="434" t="s">
        <v>407</v>
      </c>
      <c r="CQ141" s="435" t="s">
        <v>406</v>
      </c>
      <c r="CS141" s="532" t="s">
        <v>401</v>
      </c>
      <c r="CT141" s="431"/>
      <c r="CU141" s="432" t="s">
        <v>404</v>
      </c>
      <c r="CV141" s="433">
        <f>RSQ($B142:$B152,CW142:CW152)</f>
        <v>0.79410186470039112</v>
      </c>
      <c r="CW141" s="434" t="s">
        <v>407</v>
      </c>
      <c r="CX141" s="435" t="s">
        <v>406</v>
      </c>
    </row>
    <row r="142" spans="1:102" ht="15" customHeight="1">
      <c r="A142" s="436">
        <f t="shared" ref="A142:B157" si="26">A104</f>
        <v>2006</v>
      </c>
      <c r="B142" s="437">
        <f t="shared" si="26"/>
        <v>3455</v>
      </c>
      <c r="C142" s="533">
        <f>LN(B142-$G$147)</f>
        <v>5.7525726388256331</v>
      </c>
      <c r="D142" s="438">
        <f t="shared" ref="D142:D174" si="27">C65</f>
        <v>1</v>
      </c>
      <c r="E142" s="534">
        <f>LN(D142)</f>
        <v>0</v>
      </c>
      <c r="F142" s="498" t="s">
        <v>311</v>
      </c>
      <c r="I142" s="502">
        <f t="shared" ref="I142:I174" si="28">ROUND($G$147+$G$150*D142^$G$148,$G$1)</f>
        <v>3453</v>
      </c>
      <c r="J142" s="444">
        <f t="shared" ref="J142:J152" si="29">ABS(B142-I142)/B142*100</f>
        <v>5.7887120115774238E-2</v>
      </c>
      <c r="K142" s="535">
        <f>(B142-I142)^2/1000</f>
        <v>4.0000000000000001E-3</v>
      </c>
      <c r="M142" s="536">
        <f>LN($B142-$O$144)</f>
        <v>7.8058820402286209</v>
      </c>
      <c r="N142" s="331"/>
      <c r="O142" s="331"/>
      <c r="P142" s="331"/>
      <c r="Q142" s="443">
        <f t="shared" ref="Q142:Q152" si="30">ROUND($O$147*D142^$O$145+$O$144,$G$1)</f>
        <v>3440</v>
      </c>
      <c r="R142" s="502">
        <f t="shared" ref="R142:R152" si="31">($B142-Q142)^2/1000</f>
        <v>0.22500000000000001</v>
      </c>
      <c r="T142" s="536">
        <f>LN($B142-$V$144)</f>
        <v>7.2827611796055933</v>
      </c>
      <c r="U142" s="331"/>
      <c r="V142" s="331"/>
      <c r="W142" s="331"/>
      <c r="X142" s="443">
        <f t="shared" ref="X142:X152" si="32">ROUND($V$147*D142^$V$145+$V$144,$G$1)</f>
        <v>3440</v>
      </c>
      <c r="Y142" s="502">
        <f t="shared" ref="Y142:Y152" si="33">($B142-X142)^2/1000</f>
        <v>0.22500000000000001</v>
      </c>
      <c r="AA142" s="536">
        <f>LN($B142-$AC$144)</f>
        <v>6.1202974189509503</v>
      </c>
      <c r="AB142" s="331"/>
      <c r="AC142" s="331"/>
      <c r="AD142" s="331"/>
      <c r="AE142" s="443">
        <f t="shared" ref="AE142:AE152" si="34">ROUND($AC$147*$D142^$AC$145+$AC$144,$G$1)</f>
        <v>3445</v>
      </c>
      <c r="AF142" s="502">
        <f t="shared" ref="AF142:AF152" si="35">($B142-AE142)^2/1000</f>
        <v>0.1</v>
      </c>
      <c r="AH142" s="536" t="e">
        <f>LN($B142-$AJ$144)</f>
        <v>#NUM!</v>
      </c>
      <c r="AI142" s="331"/>
      <c r="AJ142" s="331"/>
      <c r="AK142" s="331"/>
      <c r="AL142" s="443" t="e">
        <f t="shared" ref="AL142:AL152" si="36">ROUND($AJ$147*$D142^$AJ$145+$AJ$144,$G$1)</f>
        <v>#VALUE!</v>
      </c>
      <c r="AM142" s="502" t="e">
        <f t="shared" ref="AM142:AM152" si="37">($B142-AL142)^2/1000</f>
        <v>#VALUE!</v>
      </c>
      <c r="AO142" s="536">
        <f>LN($B142-$AQ$144)</f>
        <v>5.872117789475416</v>
      </c>
      <c r="AP142" s="331"/>
      <c r="AQ142" s="331"/>
      <c r="AR142" s="331"/>
      <c r="AS142" s="443">
        <f t="shared" ref="AS142:AS152" si="38">ROUND($AQ$147*$D142^$AQ$145+$AQ$144,$G$1)</f>
        <v>3450</v>
      </c>
      <c r="AT142" s="502">
        <f t="shared" ref="AT142:AT152" si="39">($B142-AS142)^2/1000</f>
        <v>2.5000000000000001E-2</v>
      </c>
      <c r="AV142" s="536">
        <f>LN($B142-$AX$144)</f>
        <v>5.5412635451584258</v>
      </c>
      <c r="AW142" s="331"/>
      <c r="AX142" s="331"/>
      <c r="AY142" s="331"/>
      <c r="AZ142" s="443">
        <f t="shared" ref="AZ142:AZ152" si="40">ROUND($AX$147*$D142^$AX$145+$AX$144,$G$1)</f>
        <v>3466</v>
      </c>
      <c r="BA142" s="502">
        <f t="shared" ref="BA142:BA152" si="41">($B142-AZ142)^2/1000</f>
        <v>0.121</v>
      </c>
      <c r="BC142" s="536">
        <f>LN($B142-$BE$144)</f>
        <v>5.0434251169192468</v>
      </c>
      <c r="BD142" s="331"/>
      <c r="BE142" s="331"/>
      <c r="BF142" s="331"/>
      <c r="BG142" s="443" t="e">
        <f t="shared" ref="BG142:BG152" si="42">ROUND($BE$147*$D142^$BE$145+$BE$144,$G$1)</f>
        <v>#VALUE!</v>
      </c>
      <c r="BH142" s="502" t="e">
        <f t="shared" ref="BH142:BH152" si="43">($B142-BG142)^2/1000</f>
        <v>#VALUE!</v>
      </c>
      <c r="BJ142" s="536">
        <f>LN($B142-$BL$144)</f>
        <v>5.7203117766074119</v>
      </c>
      <c r="BK142" s="331"/>
      <c r="BL142" s="331"/>
      <c r="BM142" s="331"/>
      <c r="BN142" s="443">
        <f t="shared" ref="BN142:BN152" si="44">ROUND($BL$147*$D142^$BL$145+$BL$144,$G$1)</f>
        <v>3454</v>
      </c>
      <c r="BO142" s="502">
        <f t="shared" ref="BO142:BO152" si="45">($B142-BN142)^2/1000</f>
        <v>1E-3</v>
      </c>
      <c r="BQ142" s="536">
        <f>LN($B142-$BS$144)</f>
        <v>5.7525726388256331</v>
      </c>
      <c r="BR142" s="331"/>
      <c r="BS142" s="331"/>
      <c r="BT142" s="331"/>
      <c r="BU142" s="443">
        <f t="shared" ref="BU142:BU152" si="46">ROUND($BS$147*$D142^$BS$145+$BS$144,$G$1)</f>
        <v>3453</v>
      </c>
      <c r="BV142" s="502">
        <f t="shared" ref="BV142:BV152" si="47">($B142-BU142)^2/1000</f>
        <v>4.0000000000000001E-3</v>
      </c>
      <c r="BX142" s="536">
        <f>LN($B142-$BZ$144)</f>
        <v>5.7838251823297373</v>
      </c>
      <c r="BY142" s="331"/>
      <c r="BZ142" s="331"/>
      <c r="CA142" s="331"/>
      <c r="CB142" s="443">
        <f t="shared" ref="CB142:CB152" si="48">ROUND($BZ$147*$D142^$BZ$145+$BZ$144,$G$1)</f>
        <v>3452</v>
      </c>
      <c r="CC142" s="502">
        <f t="shared" ref="CC142:CC152" si="49">($B142-CB142)^2/1000</f>
        <v>8.9999999999999993E-3</v>
      </c>
      <c r="CE142" s="536">
        <f>LN($B142-$CG$144)</f>
        <v>5.8141305318250662</v>
      </c>
      <c r="CF142" s="331"/>
      <c r="CG142" s="331"/>
      <c r="CH142" s="331"/>
      <c r="CI142" s="443">
        <f t="shared" ref="CI142:CI152" si="50">ROUND($CG$147*$D142^$CG$145+$CG$144,$G$1)</f>
        <v>3451</v>
      </c>
      <c r="CJ142" s="502">
        <f t="shared" ref="CJ142:CJ152" si="51">($B142-CI142)^2/1000</f>
        <v>1.6E-2</v>
      </c>
      <c r="CL142" s="536">
        <f>LN($B142-$CN$144)</f>
        <v>5.8435444170313602</v>
      </c>
      <c r="CM142" s="331"/>
      <c r="CN142" s="331"/>
      <c r="CO142" s="331"/>
      <c r="CP142" s="443">
        <f t="shared" ref="CP142:CP152" si="52">ROUND($CN$147*$D142^$CN$145+$CN$144,$G$1)</f>
        <v>3450</v>
      </c>
      <c r="CQ142" s="502">
        <f t="shared" ref="CQ142:CQ152" si="53">($B142-CP142)^2/1000</f>
        <v>2.5000000000000001E-2</v>
      </c>
      <c r="CS142" s="536">
        <f>LN($B142-$CU$144)</f>
        <v>5.872117789475416</v>
      </c>
      <c r="CT142" s="331"/>
      <c r="CU142" s="331"/>
      <c r="CV142" s="331"/>
      <c r="CW142" s="443">
        <f t="shared" ref="CW142:CW152" si="54">ROUND($CU$147*$D142^$CU$145+$CU$144,$G$1)</f>
        <v>3450</v>
      </c>
      <c r="CX142" s="502">
        <f t="shared" ref="CX142:CX152" si="55">($B142-CW142)^2/1000</f>
        <v>2.5000000000000001E-2</v>
      </c>
    </row>
    <row r="143" spans="1:102" ht="15" customHeight="1">
      <c r="A143" s="436">
        <f t="shared" si="26"/>
        <v>2007</v>
      </c>
      <c r="B143" s="437">
        <f t="shared" si="26"/>
        <v>3377</v>
      </c>
      <c r="C143" s="533">
        <f>LN(B143-$G$147)</f>
        <v>5.4680601411351315</v>
      </c>
      <c r="D143" s="438">
        <f t="shared" si="27"/>
        <v>2</v>
      </c>
      <c r="E143" s="534">
        <f>LN(D143)</f>
        <v>0.69314718055994529</v>
      </c>
      <c r="F143" s="498"/>
      <c r="I143" s="443">
        <f t="shared" si="28"/>
        <v>3388</v>
      </c>
      <c r="J143" s="446">
        <f>ABS(B143-I143)/B143*100</f>
        <v>0.32573289902280134</v>
      </c>
      <c r="K143" s="535">
        <f>(B143-I143)^2/1000</f>
        <v>0.121</v>
      </c>
      <c r="M143" s="536">
        <f t="shared" ref="M143:M152" si="56">LN($B143-$O$144)</f>
        <v>7.7735944673601942</v>
      </c>
      <c r="N143" s="451"/>
      <c r="O143" s="451"/>
      <c r="P143" s="451"/>
      <c r="Q143" s="443">
        <f t="shared" si="30"/>
        <v>3392</v>
      </c>
      <c r="R143" s="443">
        <f t="shared" si="31"/>
        <v>0.22500000000000001</v>
      </c>
      <c r="T143" s="536">
        <f t="shared" ref="T143:T152" si="57">LN($B143-$V$144)</f>
        <v>7.2276624987286544</v>
      </c>
      <c r="U143" s="451"/>
      <c r="V143" s="451"/>
      <c r="W143" s="451"/>
      <c r="X143" s="443">
        <f t="shared" si="32"/>
        <v>3391</v>
      </c>
      <c r="Y143" s="443">
        <f t="shared" si="33"/>
        <v>0.19600000000000001</v>
      </c>
      <c r="AA143" s="536">
        <f t="shared" ref="AA143:AA152" si="58">LN($B143-$AC$144)</f>
        <v>5.9322451874480109</v>
      </c>
      <c r="AB143" s="451"/>
      <c r="AC143" s="451"/>
      <c r="AD143" s="451"/>
      <c r="AE143" s="443">
        <f t="shared" si="34"/>
        <v>3390</v>
      </c>
      <c r="AF143" s="443">
        <f t="shared" si="35"/>
        <v>0.16900000000000001</v>
      </c>
      <c r="AH143" s="536" t="e">
        <f t="shared" ref="AH143:AH152" si="59">LN($B143-$AJ$144)</f>
        <v>#NUM!</v>
      </c>
      <c r="AI143" s="451"/>
      <c r="AJ143" s="451"/>
      <c r="AK143" s="451"/>
      <c r="AL143" s="443" t="e">
        <f t="shared" si="36"/>
        <v>#VALUE!</v>
      </c>
      <c r="AM143" s="443" t="e">
        <f t="shared" si="37"/>
        <v>#VALUE!</v>
      </c>
      <c r="AO143" s="536">
        <f t="shared" ref="AO143:AO152" si="60">LN($B143-$AQ$144)</f>
        <v>5.6240175061873385</v>
      </c>
      <c r="AP143" s="451"/>
      <c r="AQ143" s="451"/>
      <c r="AR143" s="451"/>
      <c r="AS143" s="443">
        <f t="shared" si="38"/>
        <v>3389</v>
      </c>
      <c r="AT143" s="443">
        <f t="shared" si="39"/>
        <v>0.14399999999999999</v>
      </c>
      <c r="AV143" s="536">
        <f t="shared" ref="AV143:AV152" si="61">LN($B143-$AX$144)</f>
        <v>5.1761497325738288</v>
      </c>
      <c r="AW143" s="451"/>
      <c r="AX143" s="451"/>
      <c r="AY143" s="451"/>
      <c r="AZ143" s="443">
        <f t="shared" si="40"/>
        <v>3388</v>
      </c>
      <c r="BA143" s="443">
        <f t="shared" si="41"/>
        <v>0.121</v>
      </c>
      <c r="BC143" s="536">
        <f t="shared" ref="BC143:BC152" si="62">LN($B143-$BE$144)</f>
        <v>4.3438054218536841</v>
      </c>
      <c r="BD143" s="451"/>
      <c r="BE143" s="451"/>
      <c r="BF143" s="451"/>
      <c r="BG143" s="443" t="e">
        <f t="shared" si="42"/>
        <v>#VALUE!</v>
      </c>
      <c r="BH143" s="443" t="e">
        <f t="shared" si="43"/>
        <v>#VALUE!</v>
      </c>
      <c r="BJ143" s="536">
        <f t="shared" ref="BJ143:BJ152" si="63">LN($B143-$BL$144)</f>
        <v>5.4249500174814029</v>
      </c>
      <c r="BK143" s="451"/>
      <c r="BL143" s="451"/>
      <c r="BM143" s="451"/>
      <c r="BN143" s="443">
        <f t="shared" si="44"/>
        <v>3388</v>
      </c>
      <c r="BO143" s="443">
        <f t="shared" si="45"/>
        <v>0.121</v>
      </c>
      <c r="BQ143" s="536">
        <f t="shared" ref="BQ143:BQ152" si="64">LN($B143-$BS$144)</f>
        <v>5.4680601411351315</v>
      </c>
      <c r="BR143" s="451"/>
      <c r="BS143" s="451"/>
      <c r="BT143" s="451"/>
      <c r="BU143" s="443">
        <f t="shared" si="46"/>
        <v>3388</v>
      </c>
      <c r="BV143" s="443">
        <f t="shared" si="47"/>
        <v>0.121</v>
      </c>
      <c r="BX143" s="536">
        <f t="shared" ref="BX143:BX152" si="65">LN($B143-$BZ$144)</f>
        <v>5.5093883366279774</v>
      </c>
      <c r="BY143" s="451"/>
      <c r="BZ143" s="451"/>
      <c r="CA143" s="451"/>
      <c r="CB143" s="443">
        <f t="shared" si="48"/>
        <v>3389</v>
      </c>
      <c r="CC143" s="443">
        <f t="shared" si="49"/>
        <v>0.14399999999999999</v>
      </c>
      <c r="CE143" s="536">
        <f t="shared" ref="CE143:CE152" si="66">LN($B143-$CG$144)</f>
        <v>5.5490760848952201</v>
      </c>
      <c r="CF143" s="451"/>
      <c r="CG143" s="451"/>
      <c r="CH143" s="451"/>
      <c r="CI143" s="443">
        <f t="shared" si="50"/>
        <v>3389</v>
      </c>
      <c r="CJ143" s="443">
        <f t="shared" si="51"/>
        <v>0.14399999999999999</v>
      </c>
      <c r="CL143" s="536">
        <f t="shared" ref="CL143:CL152" si="67">LN($B143-$CN$144)</f>
        <v>5.5872486584002496</v>
      </c>
      <c r="CM143" s="451"/>
      <c r="CN143" s="451"/>
      <c r="CO143" s="451"/>
      <c r="CP143" s="443">
        <f t="shared" si="52"/>
        <v>3389</v>
      </c>
      <c r="CQ143" s="443">
        <f t="shared" si="53"/>
        <v>0.14399999999999999</v>
      </c>
      <c r="CS143" s="536">
        <f t="shared" ref="CS143:CS152" si="68">LN($B143-$CU$144)</f>
        <v>5.6240175061873385</v>
      </c>
      <c r="CT143" s="451"/>
      <c r="CU143" s="451"/>
      <c r="CV143" s="451"/>
      <c r="CW143" s="443">
        <f t="shared" si="54"/>
        <v>3389</v>
      </c>
      <c r="CX143" s="443">
        <f t="shared" si="55"/>
        <v>0.14399999999999999</v>
      </c>
    </row>
    <row r="144" spans="1:102" ht="15" customHeight="1">
      <c r="A144" s="436">
        <f t="shared" si="26"/>
        <v>2008</v>
      </c>
      <c r="B144" s="437">
        <f t="shared" si="26"/>
        <v>3359</v>
      </c>
      <c r="C144" s="533">
        <f>LN(B144-$G$147)</f>
        <v>5.389071729816501</v>
      </c>
      <c r="D144" s="438">
        <f t="shared" si="27"/>
        <v>3</v>
      </c>
      <c r="E144" s="534">
        <f>LN(D144)</f>
        <v>1.0986122886681098</v>
      </c>
      <c r="F144" s="498" t="s">
        <v>312</v>
      </c>
      <c r="I144" s="443">
        <f t="shared" si="28"/>
        <v>3357</v>
      </c>
      <c r="J144" s="446">
        <f>ABS(B144-I144)/B144*100</f>
        <v>5.954153021732659E-2</v>
      </c>
      <c r="K144" s="535">
        <f>(B144-I144)^2/1000</f>
        <v>4.0000000000000001E-3</v>
      </c>
      <c r="M144" s="536">
        <f t="shared" si="56"/>
        <v>7.765993079407675</v>
      </c>
      <c r="N144" s="442" t="s">
        <v>313</v>
      </c>
      <c r="O144" s="537">
        <f>F159</f>
        <v>1000</v>
      </c>
      <c r="P144" s="451"/>
      <c r="Q144" s="443">
        <f t="shared" si="30"/>
        <v>3364</v>
      </c>
      <c r="R144" s="443">
        <f t="shared" si="31"/>
        <v>2.5000000000000001E-2</v>
      </c>
      <c r="T144" s="536">
        <f t="shared" si="57"/>
        <v>7.2145044141511434</v>
      </c>
      <c r="U144" s="442" t="s">
        <v>313</v>
      </c>
      <c r="V144" s="538">
        <f>F160</f>
        <v>2000</v>
      </c>
      <c r="W144" s="451"/>
      <c r="X144" s="443">
        <f t="shared" si="32"/>
        <v>3364</v>
      </c>
      <c r="Y144" s="443">
        <f t="shared" si="33"/>
        <v>2.5000000000000001E-2</v>
      </c>
      <c r="AA144" s="536">
        <f t="shared" si="58"/>
        <v>5.8833223884882786</v>
      </c>
      <c r="AB144" s="442" t="s">
        <v>313</v>
      </c>
      <c r="AC144" s="538">
        <f>F161</f>
        <v>3000</v>
      </c>
      <c r="AD144" s="451"/>
      <c r="AE144" s="443">
        <f t="shared" si="34"/>
        <v>3360</v>
      </c>
      <c r="AF144" s="443">
        <f t="shared" si="35"/>
        <v>1E-3</v>
      </c>
      <c r="AH144" s="536" t="e">
        <f t="shared" si="59"/>
        <v>#NUM!</v>
      </c>
      <c r="AI144" s="442" t="s">
        <v>313</v>
      </c>
      <c r="AJ144" s="538">
        <f>F162</f>
        <v>4000</v>
      </c>
      <c r="AK144" s="451"/>
      <c r="AL144" s="443" t="e">
        <f t="shared" si="36"/>
        <v>#VALUE!</v>
      </c>
      <c r="AM144" s="443" t="e">
        <f t="shared" si="37"/>
        <v>#VALUE!</v>
      </c>
      <c r="AO144" s="536">
        <f t="shared" si="60"/>
        <v>5.5568280616995374</v>
      </c>
      <c r="AP144" s="442" t="s">
        <v>313</v>
      </c>
      <c r="AQ144" s="538">
        <f>F163</f>
        <v>3100</v>
      </c>
      <c r="AR144" s="451"/>
      <c r="AS144" s="443">
        <f t="shared" si="38"/>
        <v>3358</v>
      </c>
      <c r="AT144" s="443">
        <f t="shared" si="39"/>
        <v>1E-3</v>
      </c>
      <c r="AV144" s="536">
        <f t="shared" si="61"/>
        <v>5.0689042022202315</v>
      </c>
      <c r="AW144" s="442" t="s">
        <v>313</v>
      </c>
      <c r="AX144" s="538">
        <f>F164</f>
        <v>3200</v>
      </c>
      <c r="AY144" s="538"/>
      <c r="AZ144" s="443">
        <f t="shared" si="40"/>
        <v>3354</v>
      </c>
      <c r="BA144" s="443">
        <f t="shared" si="41"/>
        <v>2.5000000000000001E-2</v>
      </c>
      <c r="BC144" s="536">
        <f t="shared" si="62"/>
        <v>4.0775374439057197</v>
      </c>
      <c r="BD144" s="442" t="s">
        <v>313</v>
      </c>
      <c r="BE144" s="538">
        <f>F165</f>
        <v>3300</v>
      </c>
      <c r="BF144" s="451"/>
      <c r="BG144" s="443" t="e">
        <f t="shared" si="42"/>
        <v>#VALUE!</v>
      </c>
      <c r="BH144" s="443" t="e">
        <f t="shared" si="43"/>
        <v>#VALUE!</v>
      </c>
      <c r="BJ144" s="536">
        <f t="shared" si="63"/>
        <v>5.3423342519648109</v>
      </c>
      <c r="BK144" s="442" t="s">
        <v>313</v>
      </c>
      <c r="BL144" s="538">
        <f>F166</f>
        <v>3150</v>
      </c>
      <c r="BM144" s="451"/>
      <c r="BN144" s="443">
        <f t="shared" si="44"/>
        <v>3357</v>
      </c>
      <c r="BO144" s="443">
        <f t="shared" si="45"/>
        <v>4.0000000000000001E-3</v>
      </c>
      <c r="BQ144" s="536">
        <f t="shared" si="64"/>
        <v>5.389071729816501</v>
      </c>
      <c r="BR144" s="442" t="s">
        <v>313</v>
      </c>
      <c r="BS144" s="538">
        <f>F167</f>
        <v>3140</v>
      </c>
      <c r="BT144" s="451"/>
      <c r="BU144" s="443">
        <f t="shared" si="46"/>
        <v>3357</v>
      </c>
      <c r="BV144" s="443">
        <f t="shared" si="47"/>
        <v>4.0000000000000001E-3</v>
      </c>
      <c r="BX144" s="536">
        <f t="shared" si="65"/>
        <v>5.43372200355424</v>
      </c>
      <c r="BY144" s="442" t="s">
        <v>313</v>
      </c>
      <c r="BZ144" s="538">
        <f>F168</f>
        <v>3130</v>
      </c>
      <c r="CA144" s="451"/>
      <c r="CB144" s="443">
        <f t="shared" si="48"/>
        <v>3357</v>
      </c>
      <c r="CC144" s="443">
        <f t="shared" si="49"/>
        <v>4.0000000000000001E-3</v>
      </c>
      <c r="CE144" s="536">
        <f t="shared" si="66"/>
        <v>5.476463551931511</v>
      </c>
      <c r="CF144" s="442" t="s">
        <v>313</v>
      </c>
      <c r="CG144" s="538">
        <f>F169</f>
        <v>3120</v>
      </c>
      <c r="CH144" s="451"/>
      <c r="CI144" s="443">
        <f t="shared" si="50"/>
        <v>3358</v>
      </c>
      <c r="CJ144" s="443">
        <f t="shared" si="51"/>
        <v>1E-3</v>
      </c>
      <c r="CL144" s="536">
        <f t="shared" si="67"/>
        <v>5.5174528964647074</v>
      </c>
      <c r="CM144" s="442" t="s">
        <v>313</v>
      </c>
      <c r="CN144" s="538">
        <f>F170</f>
        <v>3110</v>
      </c>
      <c r="CO144" s="451"/>
      <c r="CP144" s="443">
        <f t="shared" si="52"/>
        <v>3358</v>
      </c>
      <c r="CQ144" s="443">
        <f t="shared" si="53"/>
        <v>1E-3</v>
      </c>
      <c r="CS144" s="536">
        <f t="shared" si="68"/>
        <v>5.5568280616995374</v>
      </c>
      <c r="CT144" s="442" t="s">
        <v>313</v>
      </c>
      <c r="CU144" s="538">
        <f>F171</f>
        <v>3100</v>
      </c>
      <c r="CV144" s="451"/>
      <c r="CW144" s="443">
        <f t="shared" si="54"/>
        <v>3358</v>
      </c>
      <c r="CX144" s="443">
        <f t="shared" si="55"/>
        <v>1E-3</v>
      </c>
    </row>
    <row r="145" spans="1:102" ht="15" customHeight="1">
      <c r="A145" s="436">
        <f t="shared" si="26"/>
        <v>2009</v>
      </c>
      <c r="B145" s="437">
        <f t="shared" si="26"/>
        <v>3318</v>
      </c>
      <c r="C145" s="533">
        <f t="shared" ref="C145:C152" si="69">LN(B145-$G$147)</f>
        <v>5.181783550292085</v>
      </c>
      <c r="D145" s="438">
        <f t="shared" si="27"/>
        <v>4</v>
      </c>
      <c r="E145" s="534">
        <f t="shared" ref="E145:E152" si="70">LN(D145)</f>
        <v>1.3862943611198906</v>
      </c>
      <c r="F145" s="451" t="s">
        <v>346</v>
      </c>
      <c r="G145" s="539"/>
      <c r="H145" s="439"/>
      <c r="I145" s="443">
        <f t="shared" si="28"/>
        <v>3337</v>
      </c>
      <c r="J145" s="446">
        <f>ABS(B145-I145)/B145*100</f>
        <v>0.57263411693791433</v>
      </c>
      <c r="K145" s="535">
        <f t="shared" ref="K145:K152" si="71">(B145-I145)^2/1000</f>
        <v>0.36099999999999999</v>
      </c>
      <c r="M145" s="536">
        <f t="shared" si="56"/>
        <v>7.748460023899697</v>
      </c>
      <c r="N145" s="442" t="s">
        <v>306</v>
      </c>
      <c r="O145" s="504">
        <f>INDEX(LINEST(M142:M152,$E142:$E152),1)</f>
        <v>-2.8581216210113322E-2</v>
      </c>
      <c r="Q145" s="443">
        <f t="shared" si="30"/>
        <v>3345</v>
      </c>
      <c r="R145" s="443">
        <f t="shared" si="31"/>
        <v>0.72899999999999998</v>
      </c>
      <c r="T145" s="536">
        <f t="shared" si="57"/>
        <v>7.1838707150624526</v>
      </c>
      <c r="U145" s="442" t="s">
        <v>306</v>
      </c>
      <c r="V145" s="504">
        <f>INDEX(LINEST(T142:T152,$E142:$E152),1)</f>
        <v>-4.9710114244002006E-2</v>
      </c>
      <c r="X145" s="443">
        <f t="shared" si="32"/>
        <v>3344</v>
      </c>
      <c r="Y145" s="443">
        <f t="shared" si="33"/>
        <v>0.67600000000000005</v>
      </c>
      <c r="AA145" s="536">
        <f t="shared" si="58"/>
        <v>5.7620513827801769</v>
      </c>
      <c r="AB145" s="442" t="s">
        <v>306</v>
      </c>
      <c r="AC145" s="504">
        <f>INDEX(LINEST(AA142:AA152,$E142:$E152),1)</f>
        <v>-0.19340094219747025</v>
      </c>
      <c r="AE145" s="443">
        <f t="shared" si="34"/>
        <v>3341</v>
      </c>
      <c r="AF145" s="443">
        <f t="shared" si="35"/>
        <v>0.52900000000000003</v>
      </c>
      <c r="AH145" s="536" t="e">
        <f t="shared" si="59"/>
        <v>#NUM!</v>
      </c>
      <c r="AI145" s="442" t="s">
        <v>306</v>
      </c>
      <c r="AJ145" s="504" t="e">
        <f>INDEX(LINEST(AH142:AH152,$E142:$E152),1)</f>
        <v>#VALUE!</v>
      </c>
      <c r="AL145" s="443" t="e">
        <f t="shared" si="36"/>
        <v>#VALUE!</v>
      </c>
      <c r="AM145" s="443" t="e">
        <f t="shared" si="37"/>
        <v>#VALUE!</v>
      </c>
      <c r="AO145" s="536">
        <f t="shared" si="60"/>
        <v>5.3844950627890888</v>
      </c>
      <c r="AP145" s="442" t="s">
        <v>306</v>
      </c>
      <c r="AQ145" s="504">
        <f>INDEX(LINEST(AO142:AO152,$E142:$E152),1)</f>
        <v>-0.27518097546824943</v>
      </c>
      <c r="AS145" s="443">
        <f t="shared" si="38"/>
        <v>3339</v>
      </c>
      <c r="AT145" s="443">
        <f t="shared" si="39"/>
        <v>0.441</v>
      </c>
      <c r="AV145" s="536">
        <f t="shared" si="61"/>
        <v>4.7706846244656651</v>
      </c>
      <c r="AW145" s="442" t="s">
        <v>306</v>
      </c>
      <c r="AX145" s="504">
        <f>INDEX(LINEST(AV142:AV152,$E142:$E152),1)</f>
        <v>-0.49993193373776995</v>
      </c>
      <c r="AZ145" s="443">
        <f t="shared" si="40"/>
        <v>3333</v>
      </c>
      <c r="BA145" s="443">
        <f t="shared" si="41"/>
        <v>0.22500000000000001</v>
      </c>
      <c r="BC145" s="536">
        <f t="shared" si="62"/>
        <v>2.8903717578961645</v>
      </c>
      <c r="BD145" s="442" t="s">
        <v>306</v>
      </c>
      <c r="BE145" s="504" t="e">
        <f>INDEX(LINEST(BC142:BC152,$E142:$E152),1)</f>
        <v>#VALUE!</v>
      </c>
      <c r="BG145" s="443" t="e">
        <f t="shared" si="42"/>
        <v>#VALUE!</v>
      </c>
      <c r="BH145" s="443" t="e">
        <f t="shared" si="43"/>
        <v>#VALUE!</v>
      </c>
      <c r="BJ145" s="536">
        <f t="shared" si="63"/>
        <v>5.1239639794032588</v>
      </c>
      <c r="BK145" s="442" t="s">
        <v>306</v>
      </c>
      <c r="BL145" s="504">
        <f>INDEX(LINEST(BJ142:BJ152,$E142:$E152),1)</f>
        <v>-0.35183182112422129</v>
      </c>
      <c r="BN145" s="443">
        <f t="shared" si="44"/>
        <v>3337</v>
      </c>
      <c r="BO145" s="443">
        <f t="shared" si="45"/>
        <v>0.36099999999999999</v>
      </c>
      <c r="BQ145" s="536">
        <f t="shared" si="64"/>
        <v>5.181783550292085</v>
      </c>
      <c r="BR145" s="442" t="s">
        <v>306</v>
      </c>
      <c r="BS145" s="504">
        <f>INDEX(LINEST(BQ142:BQ152,$E142:$E152),1)</f>
        <v>-0.33300445970777309</v>
      </c>
      <c r="BU145" s="443">
        <f t="shared" si="46"/>
        <v>3337</v>
      </c>
      <c r="BV145" s="443">
        <f t="shared" si="47"/>
        <v>0.36099999999999999</v>
      </c>
      <c r="BX145" s="536">
        <f t="shared" si="65"/>
        <v>5.2364419628299492</v>
      </c>
      <c r="BY145" s="442" t="s">
        <v>306</v>
      </c>
      <c r="BZ145" s="504">
        <f>INDEX(LINEST(BX142:BX152,$E142:$E152),1)</f>
        <v>-0.31622914501725075</v>
      </c>
      <c r="CB145" s="443">
        <f t="shared" si="48"/>
        <v>3338</v>
      </c>
      <c r="CC145" s="443">
        <f t="shared" si="49"/>
        <v>0.4</v>
      </c>
      <c r="CE145" s="536">
        <f t="shared" si="66"/>
        <v>5.2882670306945352</v>
      </c>
      <c r="CF145" s="442" t="s">
        <v>306</v>
      </c>
      <c r="CG145" s="504">
        <f>INDEX(LINEST(CE142:CE152,$E142:$E152),1)</f>
        <v>-0.3011672376390287</v>
      </c>
      <c r="CI145" s="443">
        <f t="shared" si="50"/>
        <v>3338</v>
      </c>
      <c r="CJ145" s="443">
        <f t="shared" si="51"/>
        <v>0.4</v>
      </c>
      <c r="CL145" s="536">
        <f t="shared" si="67"/>
        <v>5.3375380797013179</v>
      </c>
      <c r="CM145" s="442" t="s">
        <v>306</v>
      </c>
      <c r="CN145" s="504">
        <f>INDEX(LINEST(CL142:CL152,$E142:$E152),1)</f>
        <v>-0.28755451755670913</v>
      </c>
      <c r="CP145" s="443">
        <f t="shared" si="52"/>
        <v>3338</v>
      </c>
      <c r="CQ145" s="443">
        <f t="shared" si="53"/>
        <v>0.4</v>
      </c>
      <c r="CS145" s="536">
        <f t="shared" si="68"/>
        <v>5.3844950627890888</v>
      </c>
      <c r="CT145" s="442" t="s">
        <v>306</v>
      </c>
      <c r="CU145" s="504">
        <f>INDEX(LINEST(CS142:CS152,$E142:$E152),1)</f>
        <v>-0.27518097546824943</v>
      </c>
      <c r="CW145" s="443">
        <f t="shared" si="54"/>
        <v>3339</v>
      </c>
      <c r="CX145" s="443">
        <f t="shared" si="55"/>
        <v>0.441</v>
      </c>
    </row>
    <row r="146" spans="1:102" ht="15" customHeight="1">
      <c r="A146" s="436">
        <f t="shared" si="26"/>
        <v>2010</v>
      </c>
      <c r="B146" s="437">
        <f t="shared" si="26"/>
        <v>3364</v>
      </c>
      <c r="C146" s="533">
        <f t="shared" si="69"/>
        <v>5.4116460518550396</v>
      </c>
      <c r="D146" s="438">
        <f t="shared" si="27"/>
        <v>5</v>
      </c>
      <c r="E146" s="534">
        <f t="shared" si="70"/>
        <v>1.6094379124341003</v>
      </c>
      <c r="I146" s="443">
        <f t="shared" si="28"/>
        <v>3323</v>
      </c>
      <c r="J146" s="446">
        <f>ABS(B146-I146)/B146*100</f>
        <v>1.2187871581450653</v>
      </c>
      <c r="K146" s="443">
        <f t="shared" si="71"/>
        <v>1.681</v>
      </c>
      <c r="M146" s="536">
        <f t="shared" si="56"/>
        <v>7.7681103785259884</v>
      </c>
      <c r="N146" s="442" t="s">
        <v>301</v>
      </c>
      <c r="O146" s="442" t="s">
        <v>347</v>
      </c>
      <c r="P146" s="504">
        <f>INDEX(LINEST(M142:M152,$E142:$E152),2)</f>
        <v>7.7995745142775359</v>
      </c>
      <c r="Q146" s="443">
        <f t="shared" si="30"/>
        <v>3330</v>
      </c>
      <c r="R146" s="443">
        <f t="shared" si="31"/>
        <v>1.1559999999999999</v>
      </c>
      <c r="T146" s="536">
        <f t="shared" si="57"/>
        <v>7.2181768384034077</v>
      </c>
      <c r="U146" s="442" t="s">
        <v>301</v>
      </c>
      <c r="V146" s="442" t="s">
        <v>347</v>
      </c>
      <c r="W146" s="504">
        <f>INDEX(LINEST(T142:T152,$E142:$E152),2)</f>
        <v>7.2725150999893451</v>
      </c>
      <c r="X146" s="443">
        <f t="shared" si="32"/>
        <v>3329</v>
      </c>
      <c r="Y146" s="443">
        <f t="shared" si="33"/>
        <v>1.2250000000000001</v>
      </c>
      <c r="AA146" s="536">
        <f t="shared" si="58"/>
        <v>5.8971538676367405</v>
      </c>
      <c r="AB146" s="442" t="s">
        <v>301</v>
      </c>
      <c r="AC146" s="442" t="s">
        <v>347</v>
      </c>
      <c r="AD146" s="504">
        <f>INDEX(LINEST(AA142:AA152,$E142:$E152),2)</f>
        <v>6.0991242335487827</v>
      </c>
      <c r="AE146" s="443">
        <f t="shared" si="34"/>
        <v>3326</v>
      </c>
      <c r="AF146" s="443">
        <f t="shared" si="35"/>
        <v>1.444</v>
      </c>
      <c r="AH146" s="536" t="e">
        <f t="shared" si="59"/>
        <v>#NUM!</v>
      </c>
      <c r="AI146" s="442" t="s">
        <v>301</v>
      </c>
      <c r="AJ146" s="442" t="s">
        <v>347</v>
      </c>
      <c r="AK146" s="504" t="e">
        <f>INDEX(LINEST(AH142:AH152,$E142:$E152),2)</f>
        <v>#VALUE!</v>
      </c>
      <c r="AL146" s="443" t="e">
        <f t="shared" si="36"/>
        <v>#VALUE!</v>
      </c>
      <c r="AM146" s="443" t="e">
        <f t="shared" si="37"/>
        <v>#VALUE!</v>
      </c>
      <c r="AO146" s="536">
        <f t="shared" si="60"/>
        <v>5.575949103146316</v>
      </c>
      <c r="AP146" s="442" t="s">
        <v>301</v>
      </c>
      <c r="AQ146" s="442" t="s">
        <v>347</v>
      </c>
      <c r="AR146" s="504">
        <f>INDEX(LINEST(AO142:AO152,$E142:$E152),2)</f>
        <v>5.8566178225789614</v>
      </c>
      <c r="AS146" s="443">
        <f t="shared" si="38"/>
        <v>3324</v>
      </c>
      <c r="AT146" s="443">
        <f t="shared" si="39"/>
        <v>1.6</v>
      </c>
      <c r="AV146" s="536">
        <f t="shared" si="61"/>
        <v>5.0998664278241987</v>
      </c>
      <c r="AW146" s="442" t="s">
        <v>301</v>
      </c>
      <c r="AX146" s="442" t="s">
        <v>347</v>
      </c>
      <c r="AY146" s="504">
        <f>INDEX(LINEST(AV142:AV152,$E142:$E152),2)</f>
        <v>5.5831999082882025</v>
      </c>
      <c r="AZ146" s="443">
        <f t="shared" si="40"/>
        <v>3319</v>
      </c>
      <c r="BA146" s="443">
        <f t="shared" si="41"/>
        <v>2.0249999999999999</v>
      </c>
      <c r="BC146" s="536">
        <f t="shared" si="62"/>
        <v>4.1588830833596715</v>
      </c>
      <c r="BD146" s="442" t="s">
        <v>301</v>
      </c>
      <c r="BE146" s="442" t="s">
        <v>347</v>
      </c>
      <c r="BF146" s="504" t="e">
        <f>INDEX(LINEST(BC142:BC152,$E142:$E152),2)</f>
        <v>#VALUE!</v>
      </c>
      <c r="BG146" s="443" t="e">
        <f t="shared" si="42"/>
        <v>#VALUE!</v>
      </c>
      <c r="BH146" s="443" t="e">
        <f t="shared" si="43"/>
        <v>#VALUE!</v>
      </c>
      <c r="BJ146" s="536">
        <f t="shared" si="63"/>
        <v>5.3659760150218512</v>
      </c>
      <c r="BK146" s="442" t="s">
        <v>301</v>
      </c>
      <c r="BL146" s="442" t="s">
        <v>347</v>
      </c>
      <c r="BM146" s="504">
        <f>INDEX(LINEST(BJ142:BJ152,$E142:$E152),2)</f>
        <v>5.7176336303013233</v>
      </c>
      <c r="BN146" s="443">
        <f t="shared" si="44"/>
        <v>3323</v>
      </c>
      <c r="BO146" s="443">
        <f t="shared" si="45"/>
        <v>1.681</v>
      </c>
      <c r="BQ146" s="536">
        <f t="shared" si="64"/>
        <v>5.4116460518550396</v>
      </c>
      <c r="BR146" s="442" t="s">
        <v>301</v>
      </c>
      <c r="BS146" s="442" t="s">
        <v>347</v>
      </c>
      <c r="BT146" s="504">
        <f>INDEX(LINEST(BQ142:BQ152,$E142:$E152),2)</f>
        <v>5.7460841756059571</v>
      </c>
      <c r="BU146" s="443">
        <f t="shared" si="46"/>
        <v>3323</v>
      </c>
      <c r="BV146" s="443">
        <f t="shared" si="47"/>
        <v>1.681</v>
      </c>
      <c r="BX146" s="536">
        <f t="shared" si="65"/>
        <v>5.4553211153577017</v>
      </c>
      <c r="BY146" s="442" t="s">
        <v>301</v>
      </c>
      <c r="BZ146" s="442" t="s">
        <v>347</v>
      </c>
      <c r="CA146" s="504">
        <f>INDEX(LINEST(BX142:BX152,$E142:$E152),2)</f>
        <v>5.7743025317682743</v>
      </c>
      <c r="CB146" s="443">
        <f t="shared" si="48"/>
        <v>3324</v>
      </c>
      <c r="CC146" s="443">
        <f t="shared" si="49"/>
        <v>1.6</v>
      </c>
      <c r="CE146" s="536">
        <f t="shared" si="66"/>
        <v>5.4971682252932021</v>
      </c>
      <c r="CF146" s="442" t="s">
        <v>301</v>
      </c>
      <c r="CG146" s="442" t="s">
        <v>347</v>
      </c>
      <c r="CH146" s="504">
        <f>INDEX(LINEST(CE142:CE152,$E142:$E152),2)</f>
        <v>5.8021750439677247</v>
      </c>
      <c r="CI146" s="443">
        <f t="shared" si="50"/>
        <v>3324</v>
      </c>
      <c r="CJ146" s="443">
        <f t="shared" si="51"/>
        <v>1.6</v>
      </c>
      <c r="CL146" s="536">
        <f t="shared" si="67"/>
        <v>5.5373342670185366</v>
      </c>
      <c r="CM146" s="442" t="s">
        <v>301</v>
      </c>
      <c r="CN146" s="442" t="s">
        <v>347</v>
      </c>
      <c r="CO146" s="504">
        <f>INDEX(LINEST(CL142:CL152,$E142:$E152),2)</f>
        <v>5.829628714504576</v>
      </c>
      <c r="CP146" s="443">
        <f t="shared" si="52"/>
        <v>3324</v>
      </c>
      <c r="CQ146" s="443">
        <f t="shared" si="53"/>
        <v>1.6</v>
      </c>
      <c r="CS146" s="536">
        <f t="shared" si="68"/>
        <v>5.575949103146316</v>
      </c>
      <c r="CT146" s="442" t="s">
        <v>301</v>
      </c>
      <c r="CU146" s="442" t="s">
        <v>347</v>
      </c>
      <c r="CV146" s="504">
        <f>INDEX(LINEST(CS142:CS152,$E142:$E152),2)</f>
        <v>5.8566178225789614</v>
      </c>
      <c r="CW146" s="443">
        <f t="shared" si="54"/>
        <v>3324</v>
      </c>
      <c r="CX146" s="443">
        <f t="shared" si="55"/>
        <v>1.6</v>
      </c>
    </row>
    <row r="147" spans="1:102" ht="15" customHeight="1">
      <c r="A147" s="436">
        <f t="shared" si="26"/>
        <v>2011</v>
      </c>
      <c r="B147" s="437">
        <f t="shared" si="26"/>
        <v>3307</v>
      </c>
      <c r="C147" s="533">
        <f t="shared" si="69"/>
        <v>5.1179938124167554</v>
      </c>
      <c r="D147" s="438">
        <f t="shared" si="27"/>
        <v>6</v>
      </c>
      <c r="E147" s="534">
        <f t="shared" si="70"/>
        <v>1.791759469228055</v>
      </c>
      <c r="F147" s="540" t="s">
        <v>313</v>
      </c>
      <c r="G147" s="541">
        <f>INDEX(F159:L171,MATCH(1,L159:L171,0),1)</f>
        <v>3140</v>
      </c>
      <c r="H147" s="439"/>
      <c r="I147" s="443">
        <f t="shared" si="28"/>
        <v>3312</v>
      </c>
      <c r="J147" s="446">
        <f t="shared" si="29"/>
        <v>0.15119443604475355</v>
      </c>
      <c r="K147" s="443">
        <f t="shared" si="71"/>
        <v>2.5000000000000001E-2</v>
      </c>
      <c r="M147" s="536">
        <f t="shared" si="56"/>
        <v>7.7437032581737535</v>
      </c>
      <c r="N147" s="442" t="s">
        <v>305</v>
      </c>
      <c r="O147" s="542">
        <f>EXP(P146)</f>
        <v>2439.5637572184451</v>
      </c>
      <c r="P147" s="451"/>
      <c r="Q147" s="443">
        <f t="shared" si="30"/>
        <v>3318</v>
      </c>
      <c r="R147" s="443">
        <f t="shared" si="31"/>
        <v>0.121</v>
      </c>
      <c r="T147" s="536">
        <f t="shared" si="57"/>
        <v>7.1754897136242217</v>
      </c>
      <c r="U147" s="442" t="s">
        <v>305</v>
      </c>
      <c r="V147" s="542">
        <f>EXP(W146)</f>
        <v>1440.1680684910193</v>
      </c>
      <c r="W147" s="504"/>
      <c r="X147" s="443">
        <f t="shared" si="32"/>
        <v>3317</v>
      </c>
      <c r="Y147" s="443">
        <f t="shared" si="33"/>
        <v>0.1</v>
      </c>
      <c r="AA147" s="536">
        <f t="shared" si="58"/>
        <v>5.7268477475871968</v>
      </c>
      <c r="AB147" s="442" t="s">
        <v>359</v>
      </c>
      <c r="AC147" s="542">
        <f>EXP(AD146)</f>
        <v>445.46747373463324</v>
      </c>
      <c r="AD147" s="451"/>
      <c r="AE147" s="443">
        <f t="shared" si="34"/>
        <v>3315</v>
      </c>
      <c r="AF147" s="443">
        <f t="shared" si="35"/>
        <v>6.4000000000000001E-2</v>
      </c>
      <c r="AH147" s="536" t="e">
        <f t="shared" si="59"/>
        <v>#NUM!</v>
      </c>
      <c r="AI147" s="442" t="s">
        <v>305</v>
      </c>
      <c r="AJ147" s="542" t="e">
        <f>EXP(AK146)</f>
        <v>#VALUE!</v>
      </c>
      <c r="AK147" s="451"/>
      <c r="AL147" s="443" t="e">
        <f t="shared" si="36"/>
        <v>#VALUE!</v>
      </c>
      <c r="AM147" s="443" t="e">
        <f t="shared" si="37"/>
        <v>#VALUE!</v>
      </c>
      <c r="AO147" s="536">
        <f t="shared" si="60"/>
        <v>5.3327187932653688</v>
      </c>
      <c r="AP147" s="442" t="s">
        <v>305</v>
      </c>
      <c r="AQ147" s="542">
        <f>EXP(AR146)</f>
        <v>349.5399364678762</v>
      </c>
      <c r="AR147" s="451"/>
      <c r="AS147" s="443">
        <f t="shared" si="38"/>
        <v>3313</v>
      </c>
      <c r="AT147" s="443">
        <f t="shared" si="39"/>
        <v>3.5999999999999997E-2</v>
      </c>
      <c r="AV147" s="536">
        <f t="shared" si="61"/>
        <v>4.6728288344619058</v>
      </c>
      <c r="AW147" s="442" t="s">
        <v>305</v>
      </c>
      <c r="AX147" s="542">
        <f>EXP(AY146)</f>
        <v>265.92116915205816</v>
      </c>
      <c r="AY147" s="451"/>
      <c r="AZ147" s="443">
        <f t="shared" si="40"/>
        <v>3309</v>
      </c>
      <c r="BA147" s="443">
        <f t="shared" si="41"/>
        <v>4.0000000000000001E-3</v>
      </c>
      <c r="BC147" s="536">
        <f t="shared" si="62"/>
        <v>1.9459101490553132</v>
      </c>
      <c r="BD147" s="442" t="s">
        <v>359</v>
      </c>
      <c r="BE147" s="542" t="e">
        <f>EXP(BF146)</f>
        <v>#VALUE!</v>
      </c>
      <c r="BF147" s="451"/>
      <c r="BG147" s="443" t="e">
        <f t="shared" si="42"/>
        <v>#VALUE!</v>
      </c>
      <c r="BH147" s="443" t="e">
        <f t="shared" si="43"/>
        <v>#VALUE!</v>
      </c>
      <c r="BJ147" s="536">
        <f t="shared" si="63"/>
        <v>5.0562458053483077</v>
      </c>
      <c r="BK147" s="442" t="s">
        <v>305</v>
      </c>
      <c r="BL147" s="542">
        <f>EXP(BM146)</f>
        <v>304.18425820215776</v>
      </c>
      <c r="BM147" s="451"/>
      <c r="BN147" s="443">
        <f t="shared" si="44"/>
        <v>3312</v>
      </c>
      <c r="BO147" s="443">
        <f t="shared" si="45"/>
        <v>2.5000000000000001E-2</v>
      </c>
      <c r="BQ147" s="536">
        <f t="shared" si="64"/>
        <v>5.1179938124167554</v>
      </c>
      <c r="BR147" s="442" t="s">
        <v>305</v>
      </c>
      <c r="BS147" s="542">
        <f>EXP(BT146)</f>
        <v>312.96275054226146</v>
      </c>
      <c r="BT147" s="451"/>
      <c r="BU147" s="443">
        <f t="shared" si="46"/>
        <v>3312</v>
      </c>
      <c r="BV147" s="443">
        <f t="shared" si="47"/>
        <v>2.5000000000000001E-2</v>
      </c>
      <c r="BX147" s="536">
        <f t="shared" si="65"/>
        <v>5.1761497325738288</v>
      </c>
      <c r="BY147" s="442" t="s">
        <v>305</v>
      </c>
      <c r="BZ147" s="542">
        <f>EXP(CA146)</f>
        <v>321.91982754652184</v>
      </c>
      <c r="CA147" s="451"/>
      <c r="CB147" s="443">
        <f t="shared" si="48"/>
        <v>3313</v>
      </c>
      <c r="CC147" s="443">
        <f t="shared" si="49"/>
        <v>3.5999999999999997E-2</v>
      </c>
      <c r="CE147" s="536">
        <f t="shared" si="66"/>
        <v>5.2311086168545868</v>
      </c>
      <c r="CF147" s="442" t="s">
        <v>305</v>
      </c>
      <c r="CG147" s="542">
        <f>EXP(CH146)</f>
        <v>331.01875783499406</v>
      </c>
      <c r="CH147" s="451"/>
      <c r="CI147" s="443">
        <f t="shared" si="50"/>
        <v>3313</v>
      </c>
      <c r="CJ147" s="443">
        <f t="shared" si="51"/>
        <v>3.5999999999999997E-2</v>
      </c>
      <c r="CL147" s="536">
        <f t="shared" si="67"/>
        <v>5.2832037287379885</v>
      </c>
      <c r="CM147" s="442" t="s">
        <v>305</v>
      </c>
      <c r="CN147" s="542">
        <f>EXP(CO146)</f>
        <v>340.23233228778327</v>
      </c>
      <c r="CO147" s="451"/>
      <c r="CP147" s="443">
        <f t="shared" si="52"/>
        <v>3313</v>
      </c>
      <c r="CQ147" s="443">
        <f t="shared" si="53"/>
        <v>3.5999999999999997E-2</v>
      </c>
      <c r="CS147" s="536">
        <f t="shared" si="68"/>
        <v>5.3327187932653688</v>
      </c>
      <c r="CT147" s="442" t="s">
        <v>305</v>
      </c>
      <c r="CU147" s="542">
        <f>EXP(CV146)</f>
        <v>349.5399364678762</v>
      </c>
      <c r="CV147" s="451"/>
      <c r="CW147" s="443">
        <f t="shared" si="54"/>
        <v>3313</v>
      </c>
      <c r="CX147" s="443">
        <f t="shared" si="55"/>
        <v>3.5999999999999997E-2</v>
      </c>
    </row>
    <row r="148" spans="1:102" ht="15" customHeight="1">
      <c r="A148" s="436">
        <f t="shared" si="26"/>
        <v>2012</v>
      </c>
      <c r="B148" s="437">
        <f t="shared" si="26"/>
        <v>3313</v>
      </c>
      <c r="C148" s="533">
        <f t="shared" si="69"/>
        <v>5.1532915944977793</v>
      </c>
      <c r="D148" s="438">
        <f t="shared" si="27"/>
        <v>7</v>
      </c>
      <c r="E148" s="534">
        <f t="shared" si="70"/>
        <v>1.9459101490553132</v>
      </c>
      <c r="F148" s="540" t="s">
        <v>306</v>
      </c>
      <c r="G148" s="504">
        <f>INDEX(LINEST(C142:C152,E142:E152),1)</f>
        <v>-0.33300445970777309</v>
      </c>
      <c r="H148" s="439"/>
      <c r="I148" s="443">
        <f t="shared" si="28"/>
        <v>3304</v>
      </c>
      <c r="J148" s="446">
        <f t="shared" si="29"/>
        <v>0.27165710836100215</v>
      </c>
      <c r="K148" s="443">
        <f t="shared" si="71"/>
        <v>8.1000000000000003E-2</v>
      </c>
      <c r="M148" s="536">
        <f t="shared" si="56"/>
        <v>7.7463006622314392</v>
      </c>
      <c r="Q148" s="443">
        <f t="shared" si="30"/>
        <v>3308</v>
      </c>
      <c r="R148" s="443">
        <f t="shared" si="31"/>
        <v>2.5000000000000001E-2</v>
      </c>
      <c r="T148" s="536">
        <f t="shared" si="57"/>
        <v>7.180069874302796</v>
      </c>
      <c r="W148" s="451"/>
      <c r="X148" s="443">
        <f t="shared" si="32"/>
        <v>3307</v>
      </c>
      <c r="Y148" s="443">
        <f t="shared" si="33"/>
        <v>3.5999999999999997E-2</v>
      </c>
      <c r="AA148" s="536">
        <f t="shared" si="58"/>
        <v>5.7462031905401529</v>
      </c>
      <c r="AD148" s="451"/>
      <c r="AE148" s="443">
        <f t="shared" si="34"/>
        <v>3306</v>
      </c>
      <c r="AF148" s="443">
        <f t="shared" si="35"/>
        <v>4.9000000000000002E-2</v>
      </c>
      <c r="AH148" s="536" t="e">
        <f t="shared" si="59"/>
        <v>#NUM!</v>
      </c>
      <c r="AK148" s="451"/>
      <c r="AL148" s="443" t="e">
        <f t="shared" si="36"/>
        <v>#VALUE!</v>
      </c>
      <c r="AM148" s="443" t="e">
        <f t="shared" si="37"/>
        <v>#VALUE!</v>
      </c>
      <c r="AO148" s="536">
        <f t="shared" si="60"/>
        <v>5.3612921657094255</v>
      </c>
      <c r="AR148" s="451"/>
      <c r="AS148" s="443">
        <f t="shared" si="38"/>
        <v>3305</v>
      </c>
      <c r="AT148" s="443">
        <f t="shared" si="39"/>
        <v>6.4000000000000001E-2</v>
      </c>
      <c r="AV148" s="536">
        <f t="shared" si="61"/>
        <v>4.7273878187123408</v>
      </c>
      <c r="AY148" s="451"/>
      <c r="AZ148" s="443">
        <f t="shared" si="40"/>
        <v>3301</v>
      </c>
      <c r="BA148" s="443">
        <f t="shared" si="41"/>
        <v>0.14399999999999999</v>
      </c>
      <c r="BC148" s="536">
        <f t="shared" si="62"/>
        <v>2.5649493574615367</v>
      </c>
      <c r="BF148" s="451"/>
      <c r="BG148" s="443" t="e">
        <f t="shared" si="42"/>
        <v>#VALUE!</v>
      </c>
      <c r="BH148" s="443" t="e">
        <f t="shared" si="43"/>
        <v>#VALUE!</v>
      </c>
      <c r="BJ148" s="536">
        <f t="shared" si="63"/>
        <v>5.0937502008067623</v>
      </c>
      <c r="BM148" s="451"/>
      <c r="BN148" s="443">
        <f t="shared" si="44"/>
        <v>3303</v>
      </c>
      <c r="BO148" s="443">
        <f t="shared" si="45"/>
        <v>0.1</v>
      </c>
      <c r="BQ148" s="536">
        <f t="shared" si="64"/>
        <v>5.1532915944977793</v>
      </c>
      <c r="BT148" s="451"/>
      <c r="BU148" s="443">
        <f t="shared" si="46"/>
        <v>3304</v>
      </c>
      <c r="BV148" s="443">
        <f t="shared" si="47"/>
        <v>8.1000000000000003E-2</v>
      </c>
      <c r="BX148" s="536">
        <f t="shared" si="65"/>
        <v>5.2094861528414214</v>
      </c>
      <c r="CA148" s="451"/>
      <c r="CB148" s="443">
        <f t="shared" si="48"/>
        <v>3304</v>
      </c>
      <c r="CC148" s="443">
        <f t="shared" si="49"/>
        <v>8.1000000000000003E-2</v>
      </c>
      <c r="CE148" s="536">
        <f t="shared" si="66"/>
        <v>5.2626901889048856</v>
      </c>
      <c r="CH148" s="451"/>
      <c r="CI148" s="443">
        <f t="shared" si="50"/>
        <v>3304</v>
      </c>
      <c r="CJ148" s="443">
        <f t="shared" si="51"/>
        <v>8.1000000000000003E-2</v>
      </c>
      <c r="CL148" s="536">
        <f t="shared" si="67"/>
        <v>5.3132059790417872</v>
      </c>
      <c r="CO148" s="451"/>
      <c r="CP148" s="443">
        <f t="shared" si="52"/>
        <v>3304</v>
      </c>
      <c r="CQ148" s="443">
        <f t="shared" si="53"/>
        <v>8.1000000000000003E-2</v>
      </c>
      <c r="CS148" s="536">
        <f t="shared" si="68"/>
        <v>5.3612921657094255</v>
      </c>
      <c r="CV148" s="451"/>
      <c r="CW148" s="443">
        <f t="shared" si="54"/>
        <v>3305</v>
      </c>
      <c r="CX148" s="443">
        <f t="shared" si="55"/>
        <v>6.4000000000000001E-2</v>
      </c>
    </row>
    <row r="149" spans="1:102" ht="15" customHeight="1">
      <c r="A149" s="436">
        <f t="shared" si="26"/>
        <v>2013</v>
      </c>
      <c r="B149" s="437">
        <f t="shared" si="26"/>
        <v>3326</v>
      </c>
      <c r="C149" s="533">
        <f t="shared" si="69"/>
        <v>5.2257466737132017</v>
      </c>
      <c r="D149" s="438">
        <f t="shared" si="27"/>
        <v>8</v>
      </c>
      <c r="E149" s="543">
        <f t="shared" si="70"/>
        <v>2.0794415416798357</v>
      </c>
      <c r="F149" s="540" t="s">
        <v>301</v>
      </c>
      <c r="G149" s="504">
        <f>INDEX(LINEST(C142:C152,E142:E152),2)</f>
        <v>5.7460841756059571</v>
      </c>
      <c r="H149" s="544" t="s">
        <v>320</v>
      </c>
      <c r="I149" s="443">
        <f t="shared" si="28"/>
        <v>3297</v>
      </c>
      <c r="J149" s="446">
        <f t="shared" si="29"/>
        <v>0.87191822008418529</v>
      </c>
      <c r="K149" s="443">
        <f t="shared" si="71"/>
        <v>0.84099999999999997</v>
      </c>
      <c r="M149" s="536">
        <f t="shared" si="56"/>
        <v>7.7519053330786098</v>
      </c>
      <c r="P149" s="451"/>
      <c r="Q149" s="443">
        <f t="shared" si="30"/>
        <v>3299</v>
      </c>
      <c r="R149" s="443">
        <f t="shared" si="31"/>
        <v>0.72899999999999998</v>
      </c>
      <c r="T149" s="536">
        <f t="shared" si="57"/>
        <v>7.1899221707458079</v>
      </c>
      <c r="W149" s="451"/>
      <c r="X149" s="443">
        <f t="shared" si="32"/>
        <v>3299</v>
      </c>
      <c r="Y149" s="443">
        <f t="shared" si="33"/>
        <v>0.72899999999999998</v>
      </c>
      <c r="AA149" s="536">
        <f t="shared" si="58"/>
        <v>5.7868973813667077</v>
      </c>
      <c r="AD149" s="451"/>
      <c r="AE149" s="443">
        <f t="shared" si="34"/>
        <v>3298</v>
      </c>
      <c r="AF149" s="443">
        <f t="shared" si="35"/>
        <v>0.78400000000000003</v>
      </c>
      <c r="AH149" s="536" t="e">
        <f t="shared" si="59"/>
        <v>#NUM!</v>
      </c>
      <c r="AK149" s="451"/>
      <c r="AL149" s="443" t="e">
        <f t="shared" si="36"/>
        <v>#VALUE!</v>
      </c>
      <c r="AM149" s="443" t="e">
        <f t="shared" si="37"/>
        <v>#VALUE!</v>
      </c>
      <c r="AO149" s="536">
        <f t="shared" si="60"/>
        <v>5.4205349992722862</v>
      </c>
      <c r="AR149" s="451"/>
      <c r="AS149" s="443">
        <f t="shared" si="38"/>
        <v>3297</v>
      </c>
      <c r="AT149" s="443">
        <f t="shared" si="39"/>
        <v>0.84099999999999997</v>
      </c>
      <c r="AV149" s="536">
        <f t="shared" si="61"/>
        <v>4.836281906951478</v>
      </c>
      <c r="AY149" s="451"/>
      <c r="AZ149" s="443">
        <f t="shared" si="40"/>
        <v>3294</v>
      </c>
      <c r="BA149" s="443">
        <f t="shared" si="41"/>
        <v>1.024</v>
      </c>
      <c r="BC149" s="536">
        <f t="shared" si="62"/>
        <v>3.2580965380214821</v>
      </c>
      <c r="BF149" s="451"/>
      <c r="BG149" s="443" t="e">
        <f t="shared" si="42"/>
        <v>#VALUE!</v>
      </c>
      <c r="BH149" s="443" t="e">
        <f t="shared" si="43"/>
        <v>#VALUE!</v>
      </c>
      <c r="BJ149" s="536">
        <f t="shared" si="63"/>
        <v>5.1704839950381514</v>
      </c>
      <c r="BM149" s="451"/>
      <c r="BN149" s="443">
        <f t="shared" si="44"/>
        <v>3296</v>
      </c>
      <c r="BO149" s="443">
        <f t="shared" si="45"/>
        <v>0.9</v>
      </c>
      <c r="BQ149" s="536">
        <f t="shared" si="64"/>
        <v>5.2257466737132017</v>
      </c>
      <c r="BT149" s="451"/>
      <c r="BU149" s="443">
        <f t="shared" si="46"/>
        <v>3297</v>
      </c>
      <c r="BV149" s="443">
        <f t="shared" si="47"/>
        <v>0.84099999999999997</v>
      </c>
      <c r="BX149" s="536">
        <f t="shared" si="65"/>
        <v>5.2781146592305168</v>
      </c>
      <c r="CA149" s="451"/>
      <c r="CB149" s="443">
        <f t="shared" si="48"/>
        <v>3297</v>
      </c>
      <c r="CC149" s="443">
        <f t="shared" si="49"/>
        <v>0.84099999999999997</v>
      </c>
      <c r="CE149" s="536">
        <f t="shared" si="66"/>
        <v>5.3278761687895813</v>
      </c>
      <c r="CH149" s="451"/>
      <c r="CI149" s="443">
        <f t="shared" si="50"/>
        <v>3297</v>
      </c>
      <c r="CJ149" s="443">
        <f t="shared" si="51"/>
        <v>0.84099999999999997</v>
      </c>
      <c r="CL149" s="536">
        <f t="shared" si="67"/>
        <v>5.3752784076841653</v>
      </c>
      <c r="CO149" s="451"/>
      <c r="CP149" s="443">
        <f t="shared" si="52"/>
        <v>3297</v>
      </c>
      <c r="CQ149" s="443">
        <f t="shared" si="53"/>
        <v>0.84099999999999997</v>
      </c>
      <c r="CS149" s="536">
        <f t="shared" si="68"/>
        <v>5.4205349992722862</v>
      </c>
      <c r="CV149" s="451"/>
      <c r="CW149" s="443">
        <f t="shared" si="54"/>
        <v>3297</v>
      </c>
      <c r="CX149" s="443">
        <f t="shared" si="55"/>
        <v>0.84099999999999997</v>
      </c>
    </row>
    <row r="150" spans="1:102" ht="15" customHeight="1">
      <c r="A150" s="436">
        <f t="shared" si="26"/>
        <v>2014</v>
      </c>
      <c r="B150" s="437">
        <f t="shared" si="26"/>
        <v>3270</v>
      </c>
      <c r="C150" s="545">
        <f t="shared" si="69"/>
        <v>4.8675344504555822</v>
      </c>
      <c r="D150" s="438">
        <f t="shared" si="27"/>
        <v>9</v>
      </c>
      <c r="E150" s="546">
        <f t="shared" si="70"/>
        <v>2.1972245773362196</v>
      </c>
      <c r="F150" s="540" t="s">
        <v>305</v>
      </c>
      <c r="G150" s="547">
        <f>EXP(G149)</f>
        <v>312.96275054226146</v>
      </c>
      <c r="I150" s="443">
        <f t="shared" si="28"/>
        <v>3291</v>
      </c>
      <c r="J150" s="467">
        <f t="shared" si="29"/>
        <v>0.64220183486238536</v>
      </c>
      <c r="K150" s="443">
        <f t="shared" si="71"/>
        <v>0.441</v>
      </c>
      <c r="M150" s="536">
        <f t="shared" si="56"/>
        <v>7.7275351104754479</v>
      </c>
      <c r="N150" s="451"/>
      <c r="O150" s="451"/>
      <c r="P150" s="510"/>
      <c r="Q150" s="443">
        <f t="shared" si="30"/>
        <v>3291</v>
      </c>
      <c r="R150" s="443">
        <f t="shared" si="31"/>
        <v>0.441</v>
      </c>
      <c r="T150" s="536">
        <f t="shared" si="57"/>
        <v>7.1467721794526371</v>
      </c>
      <c r="U150" s="451"/>
      <c r="V150" s="451"/>
      <c r="W150" s="510"/>
      <c r="X150" s="443">
        <f t="shared" si="32"/>
        <v>3291</v>
      </c>
      <c r="Y150" s="443">
        <f t="shared" si="33"/>
        <v>0.441</v>
      </c>
      <c r="AA150" s="536">
        <f t="shared" si="58"/>
        <v>5.598421958998375</v>
      </c>
      <c r="AB150" s="451"/>
      <c r="AC150" s="451"/>
      <c r="AD150" s="510"/>
      <c r="AE150" s="443">
        <f t="shared" si="34"/>
        <v>3291</v>
      </c>
      <c r="AF150" s="443">
        <f t="shared" si="35"/>
        <v>0.441</v>
      </c>
      <c r="AH150" s="536" t="e">
        <f t="shared" si="59"/>
        <v>#NUM!</v>
      </c>
      <c r="AI150" s="451"/>
      <c r="AJ150" s="451"/>
      <c r="AK150" s="510"/>
      <c r="AL150" s="443" t="e">
        <f t="shared" si="36"/>
        <v>#VALUE!</v>
      </c>
      <c r="AM150" s="443" t="e">
        <f t="shared" si="37"/>
        <v>#VALUE!</v>
      </c>
      <c r="AO150" s="536">
        <f t="shared" si="60"/>
        <v>5.1357984370502621</v>
      </c>
      <c r="AP150" s="451"/>
      <c r="AQ150" s="451"/>
      <c r="AR150" s="510"/>
      <c r="AS150" s="443">
        <f t="shared" si="38"/>
        <v>3291</v>
      </c>
      <c r="AT150" s="443">
        <f t="shared" si="39"/>
        <v>0.441</v>
      </c>
      <c r="AV150" s="536">
        <f t="shared" si="61"/>
        <v>4.2484952420493594</v>
      </c>
      <c r="AW150" s="451"/>
      <c r="AX150" s="451"/>
      <c r="AY150" s="510"/>
      <c r="AZ150" s="443">
        <f t="shared" si="40"/>
        <v>3289</v>
      </c>
      <c r="BA150" s="443">
        <f t="shared" si="41"/>
        <v>0.36099999999999999</v>
      </c>
      <c r="BC150" s="536" t="e">
        <f t="shared" si="62"/>
        <v>#NUM!</v>
      </c>
      <c r="BD150" s="451"/>
      <c r="BE150" s="451"/>
      <c r="BF150" s="510"/>
      <c r="BG150" s="443" t="e">
        <f t="shared" si="42"/>
        <v>#VALUE!</v>
      </c>
      <c r="BH150" s="443" t="e">
        <f t="shared" si="43"/>
        <v>#VALUE!</v>
      </c>
      <c r="BJ150" s="536">
        <f t="shared" si="63"/>
        <v>4.7874917427820458</v>
      </c>
      <c r="BK150" s="451"/>
      <c r="BL150" s="451"/>
      <c r="BM150" s="510"/>
      <c r="BN150" s="443">
        <f t="shared" si="44"/>
        <v>3290</v>
      </c>
      <c r="BO150" s="443">
        <f t="shared" si="45"/>
        <v>0.4</v>
      </c>
      <c r="BQ150" s="536">
        <f t="shared" si="64"/>
        <v>4.8675344504555822</v>
      </c>
      <c r="BR150" s="451"/>
      <c r="BS150" s="451"/>
      <c r="BT150" s="510"/>
      <c r="BU150" s="443">
        <f t="shared" si="46"/>
        <v>3291</v>
      </c>
      <c r="BV150" s="443">
        <f t="shared" si="47"/>
        <v>0.441</v>
      </c>
      <c r="BX150" s="536">
        <f t="shared" si="65"/>
        <v>4.9416424226093039</v>
      </c>
      <c r="BY150" s="451"/>
      <c r="BZ150" s="451"/>
      <c r="CA150" s="510"/>
      <c r="CB150" s="443">
        <f t="shared" si="48"/>
        <v>3291</v>
      </c>
      <c r="CC150" s="443">
        <f t="shared" si="49"/>
        <v>0.441</v>
      </c>
      <c r="CE150" s="536">
        <f t="shared" si="66"/>
        <v>5.0106352940962555</v>
      </c>
      <c r="CF150" s="451"/>
      <c r="CG150" s="451"/>
      <c r="CH150" s="510"/>
      <c r="CI150" s="443">
        <f t="shared" si="50"/>
        <v>3291</v>
      </c>
      <c r="CJ150" s="443">
        <f t="shared" si="51"/>
        <v>0.441</v>
      </c>
      <c r="CL150" s="536">
        <f t="shared" si="67"/>
        <v>5.0751738152338266</v>
      </c>
      <c r="CM150" s="451"/>
      <c r="CN150" s="451"/>
      <c r="CO150" s="510"/>
      <c r="CP150" s="443">
        <f t="shared" si="52"/>
        <v>3291</v>
      </c>
      <c r="CQ150" s="443">
        <f t="shared" si="53"/>
        <v>0.441</v>
      </c>
      <c r="CS150" s="536">
        <f t="shared" si="68"/>
        <v>5.1357984370502621</v>
      </c>
      <c r="CT150" s="451"/>
      <c r="CU150" s="451"/>
      <c r="CV150" s="510"/>
      <c r="CW150" s="443">
        <f t="shared" si="54"/>
        <v>3291</v>
      </c>
      <c r="CX150" s="443">
        <f t="shared" si="55"/>
        <v>0.441</v>
      </c>
    </row>
    <row r="151" spans="1:102" ht="15" customHeight="1">
      <c r="A151" s="436">
        <f t="shared" si="26"/>
        <v>2015</v>
      </c>
      <c r="B151" s="437">
        <f t="shared" si="26"/>
        <v>3243</v>
      </c>
      <c r="C151" s="545">
        <f t="shared" si="69"/>
        <v>4.6347289882296359</v>
      </c>
      <c r="D151" s="438">
        <f t="shared" si="27"/>
        <v>10</v>
      </c>
      <c r="E151" s="546">
        <f t="shared" si="70"/>
        <v>2.3025850929940459</v>
      </c>
      <c r="H151" s="439"/>
      <c r="I151" s="443">
        <f t="shared" si="28"/>
        <v>3285</v>
      </c>
      <c r="J151" s="467">
        <f t="shared" si="29"/>
        <v>1.2950971322849214</v>
      </c>
      <c r="K151" s="443">
        <f t="shared" si="71"/>
        <v>1.764</v>
      </c>
      <c r="M151" s="536">
        <f t="shared" si="56"/>
        <v>7.715569534520208</v>
      </c>
      <c r="N151" s="439" t="s">
        <v>321</v>
      </c>
      <c r="O151" s="504">
        <f>P141</f>
        <v>0.78582676973661725</v>
      </c>
      <c r="P151" s="510"/>
      <c r="Q151" s="443">
        <f t="shared" si="30"/>
        <v>3284</v>
      </c>
      <c r="R151" s="443">
        <f t="shared" si="31"/>
        <v>1.681</v>
      </c>
      <c r="T151" s="536">
        <f t="shared" si="57"/>
        <v>7.1252830915107115</v>
      </c>
      <c r="U151" s="439" t="s">
        <v>321</v>
      </c>
      <c r="V151" s="504">
        <f>W141</f>
        <v>0.78661710343115321</v>
      </c>
      <c r="W151" s="510"/>
      <c r="X151" s="443">
        <f t="shared" si="32"/>
        <v>3284</v>
      </c>
      <c r="Y151" s="443">
        <f t="shared" si="33"/>
        <v>1.681</v>
      </c>
      <c r="AA151" s="536">
        <f t="shared" si="58"/>
        <v>5.4930614433405482</v>
      </c>
      <c r="AB151" s="439" t="s">
        <v>321</v>
      </c>
      <c r="AC151" s="504">
        <f>AD141</f>
        <v>0.79137119837719339</v>
      </c>
      <c r="AD151" s="510"/>
      <c r="AE151" s="443">
        <f t="shared" si="34"/>
        <v>3285</v>
      </c>
      <c r="AF151" s="443">
        <f t="shared" si="35"/>
        <v>1.764</v>
      </c>
      <c r="AH151" s="536" t="e">
        <f t="shared" si="59"/>
        <v>#NUM!</v>
      </c>
      <c r="AI151" s="439" t="s">
        <v>321</v>
      </c>
      <c r="AJ151" s="504" t="e">
        <f>AK141</f>
        <v>#VALUE!</v>
      </c>
      <c r="AK151" s="510"/>
      <c r="AL151" s="443" t="e">
        <f t="shared" si="36"/>
        <v>#VALUE!</v>
      </c>
      <c r="AM151" s="443" t="e">
        <f t="shared" si="37"/>
        <v>#VALUE!</v>
      </c>
      <c r="AO151" s="536">
        <f t="shared" si="60"/>
        <v>4.962844630259907</v>
      </c>
      <c r="AP151" s="439" t="s">
        <v>321</v>
      </c>
      <c r="AQ151" s="504">
        <f>AR141</f>
        <v>0.79410186470039112</v>
      </c>
      <c r="AR151" s="510"/>
      <c r="AS151" s="443">
        <f t="shared" si="38"/>
        <v>3285</v>
      </c>
      <c r="AT151" s="443">
        <f t="shared" si="39"/>
        <v>1.764</v>
      </c>
      <c r="AV151" s="536">
        <f t="shared" si="61"/>
        <v>3.7612001156935624</v>
      </c>
      <c r="AW151" s="439" t="s">
        <v>321</v>
      </c>
      <c r="AX151" s="504">
        <f>AY141</f>
        <v>0.79170198571691897</v>
      </c>
      <c r="AY151" s="510"/>
      <c r="AZ151" s="443">
        <f t="shared" si="40"/>
        <v>3284</v>
      </c>
      <c r="BA151" s="443">
        <f t="shared" si="41"/>
        <v>1.681</v>
      </c>
      <c r="BC151" s="536" t="e">
        <f t="shared" si="62"/>
        <v>#NUM!</v>
      </c>
      <c r="BD151" s="439" t="s">
        <v>321</v>
      </c>
      <c r="BE151" s="504" t="e">
        <f>BF141</f>
        <v>#VALUE!</v>
      </c>
      <c r="BF151" s="510"/>
      <c r="BG151" s="443" t="e">
        <f t="shared" si="42"/>
        <v>#VALUE!</v>
      </c>
      <c r="BH151" s="443" t="e">
        <f t="shared" si="43"/>
        <v>#VALUE!</v>
      </c>
      <c r="BJ151" s="536">
        <f t="shared" si="63"/>
        <v>4.5325994931532563</v>
      </c>
      <c r="BK151" s="439" t="s">
        <v>321</v>
      </c>
      <c r="BL151" s="504">
        <f>BM141</f>
        <v>0.79580054546523049</v>
      </c>
      <c r="BM151" s="510"/>
      <c r="BN151" s="443">
        <f t="shared" si="44"/>
        <v>3285</v>
      </c>
      <c r="BO151" s="443">
        <f t="shared" si="45"/>
        <v>1.764</v>
      </c>
      <c r="BQ151" s="536">
        <f t="shared" si="64"/>
        <v>4.6347289882296359</v>
      </c>
      <c r="BR151" s="439" t="s">
        <v>321</v>
      </c>
      <c r="BS151" s="504">
        <f>BT141</f>
        <v>0.79608307042233639</v>
      </c>
      <c r="BT151" s="510"/>
      <c r="BU151" s="443">
        <f t="shared" si="46"/>
        <v>3285</v>
      </c>
      <c r="BV151" s="443">
        <f t="shared" si="47"/>
        <v>1.764</v>
      </c>
      <c r="BX151" s="536">
        <f t="shared" si="65"/>
        <v>4.7273878187123408</v>
      </c>
      <c r="BY151" s="439" t="s">
        <v>321</v>
      </c>
      <c r="BZ151" s="504">
        <f>CA141</f>
        <v>0.79569801617175717</v>
      </c>
      <c r="CA151" s="510"/>
      <c r="CB151" s="443">
        <f t="shared" si="48"/>
        <v>3285</v>
      </c>
      <c r="CC151" s="443">
        <f t="shared" si="49"/>
        <v>1.764</v>
      </c>
      <c r="CE151" s="536">
        <f t="shared" si="66"/>
        <v>4.8121843553724171</v>
      </c>
      <c r="CF151" s="439" t="s">
        <v>321</v>
      </c>
      <c r="CG151" s="504">
        <f>CH141</f>
        <v>0.79541190164404119</v>
      </c>
      <c r="CH151" s="510"/>
      <c r="CI151" s="443">
        <f t="shared" si="50"/>
        <v>3285</v>
      </c>
      <c r="CJ151" s="443">
        <f t="shared" si="51"/>
        <v>1.764</v>
      </c>
      <c r="CL151" s="536">
        <f t="shared" si="67"/>
        <v>4.8903491282217537</v>
      </c>
      <c r="CM151" s="439" t="s">
        <v>408</v>
      </c>
      <c r="CN151" s="504">
        <f>CO141</f>
        <v>0.79505520506329308</v>
      </c>
      <c r="CO151" s="510"/>
      <c r="CP151" s="443">
        <f t="shared" si="52"/>
        <v>3285</v>
      </c>
      <c r="CQ151" s="443">
        <f t="shared" si="53"/>
        <v>1.764</v>
      </c>
      <c r="CS151" s="536">
        <f t="shared" si="68"/>
        <v>4.962844630259907</v>
      </c>
      <c r="CT151" s="439" t="s">
        <v>321</v>
      </c>
      <c r="CU151" s="504">
        <f>CV141</f>
        <v>0.79410186470039112</v>
      </c>
      <c r="CV151" s="510"/>
      <c r="CW151" s="443">
        <f t="shared" si="54"/>
        <v>3285</v>
      </c>
      <c r="CX151" s="443">
        <f t="shared" si="55"/>
        <v>1.764</v>
      </c>
    </row>
    <row r="152" spans="1:102" ht="15" customHeight="1" thickBot="1">
      <c r="A152" s="436">
        <f t="shared" si="26"/>
        <v>2016</v>
      </c>
      <c r="B152" s="437">
        <f t="shared" si="26"/>
        <v>3317</v>
      </c>
      <c r="C152" s="545">
        <f t="shared" si="69"/>
        <v>5.1761497325738288</v>
      </c>
      <c r="D152" s="438">
        <f t="shared" si="27"/>
        <v>11</v>
      </c>
      <c r="E152" s="546">
        <f t="shared" si="70"/>
        <v>2.3978952727983707</v>
      </c>
      <c r="I152" s="443">
        <f t="shared" si="28"/>
        <v>3281</v>
      </c>
      <c r="J152" s="467">
        <f t="shared" si="29"/>
        <v>1.0853180584865842</v>
      </c>
      <c r="K152" s="443">
        <f t="shared" si="71"/>
        <v>1.296</v>
      </c>
      <c r="M152" s="536">
        <f t="shared" si="56"/>
        <v>7.7480285244323763</v>
      </c>
      <c r="N152" s="439" t="s">
        <v>322</v>
      </c>
      <c r="O152" s="548">
        <f>SUM(R142:R152)</f>
        <v>6.8779999999999992</v>
      </c>
      <c r="P152" s="509"/>
      <c r="Q152" s="443">
        <f t="shared" si="30"/>
        <v>3278</v>
      </c>
      <c r="R152" s="443">
        <f t="shared" si="31"/>
        <v>1.5209999999999999</v>
      </c>
      <c r="T152" s="536">
        <f t="shared" si="57"/>
        <v>7.1831117017432806</v>
      </c>
      <c r="U152" s="439" t="s">
        <v>322</v>
      </c>
      <c r="V152" s="548">
        <f>SUM(Y142:Y152)</f>
        <v>6.8550000000000004</v>
      </c>
      <c r="W152" s="509"/>
      <c r="X152" s="443">
        <f t="shared" si="32"/>
        <v>3278</v>
      </c>
      <c r="Y152" s="443">
        <f t="shared" si="33"/>
        <v>1.5209999999999999</v>
      </c>
      <c r="AA152" s="536">
        <f t="shared" si="58"/>
        <v>5.7589017738772803</v>
      </c>
      <c r="AB152" s="439" t="s">
        <v>322</v>
      </c>
      <c r="AC152" s="548">
        <f>SUM(AF142:AF152)</f>
        <v>6.7139999999999995</v>
      </c>
      <c r="AD152" s="509"/>
      <c r="AE152" s="443">
        <f t="shared" si="34"/>
        <v>3280</v>
      </c>
      <c r="AF152" s="443">
        <f t="shared" si="35"/>
        <v>1.369</v>
      </c>
      <c r="AH152" s="536" t="e">
        <f t="shared" si="59"/>
        <v>#NUM!</v>
      </c>
      <c r="AI152" s="439" t="s">
        <v>322</v>
      </c>
      <c r="AJ152" s="548" t="e">
        <f>SUM(AM142:AM152)</f>
        <v>#VALUE!</v>
      </c>
      <c r="AK152" s="509"/>
      <c r="AL152" s="443" t="e">
        <f t="shared" si="36"/>
        <v>#VALUE!</v>
      </c>
      <c r="AM152" s="443" t="e">
        <f t="shared" si="37"/>
        <v>#VALUE!</v>
      </c>
      <c r="AO152" s="536">
        <f t="shared" si="60"/>
        <v>5.3798973535404597</v>
      </c>
      <c r="AP152" s="439" t="s">
        <v>322</v>
      </c>
      <c r="AQ152" s="548">
        <f>SUM(AT142:AT152)</f>
        <v>6.6530000000000005</v>
      </c>
      <c r="AR152" s="509"/>
      <c r="AS152" s="443">
        <f t="shared" si="38"/>
        <v>3281</v>
      </c>
      <c r="AT152" s="443">
        <f t="shared" si="39"/>
        <v>1.296</v>
      </c>
      <c r="AV152" s="536">
        <f t="shared" si="61"/>
        <v>4.7621739347977563</v>
      </c>
      <c r="AW152" s="439" t="s">
        <v>322</v>
      </c>
      <c r="AX152" s="548">
        <f>SUM(BA142:BA152)</f>
        <v>7.1</v>
      </c>
      <c r="AY152" s="509"/>
      <c r="AZ152" s="443">
        <f t="shared" si="40"/>
        <v>3280</v>
      </c>
      <c r="BA152" s="443">
        <f t="shared" si="41"/>
        <v>1.369</v>
      </c>
      <c r="BC152" s="536">
        <f t="shared" si="62"/>
        <v>2.8332133440562162</v>
      </c>
      <c r="BD152" s="439" t="s">
        <v>322</v>
      </c>
      <c r="BE152" s="548" t="e">
        <f>SUM(BH142:BH152)</f>
        <v>#VALUE!</v>
      </c>
      <c r="BF152" s="509"/>
      <c r="BG152" s="443" t="e">
        <f t="shared" si="42"/>
        <v>#VALUE!</v>
      </c>
      <c r="BH152" s="443" t="e">
        <f t="shared" si="43"/>
        <v>#VALUE!</v>
      </c>
      <c r="BJ152" s="536">
        <f t="shared" si="63"/>
        <v>5.1179938124167554</v>
      </c>
      <c r="BK152" s="439" t="s">
        <v>322</v>
      </c>
      <c r="BL152" s="548">
        <f>SUM(BO142:BO152)</f>
        <v>6.6530000000000005</v>
      </c>
      <c r="BM152" s="509"/>
      <c r="BN152" s="443">
        <f t="shared" si="44"/>
        <v>3281</v>
      </c>
      <c r="BO152" s="443">
        <f t="shared" si="45"/>
        <v>1.296</v>
      </c>
      <c r="BQ152" s="536">
        <f t="shared" si="64"/>
        <v>5.1761497325738288</v>
      </c>
      <c r="BR152" s="439" t="s">
        <v>322</v>
      </c>
      <c r="BS152" s="548">
        <f>SUM(BV142:BV152)</f>
        <v>6.6190000000000007</v>
      </c>
      <c r="BT152" s="509"/>
      <c r="BU152" s="443">
        <f t="shared" si="46"/>
        <v>3281</v>
      </c>
      <c r="BV152" s="443">
        <f t="shared" si="47"/>
        <v>1.296</v>
      </c>
      <c r="BX152" s="536">
        <f t="shared" si="65"/>
        <v>5.2311086168545868</v>
      </c>
      <c r="BY152" s="439" t="s">
        <v>322</v>
      </c>
      <c r="BZ152" s="548">
        <f>SUM(CC142:CC152)</f>
        <v>6.6160000000000005</v>
      </c>
      <c r="CA152" s="509"/>
      <c r="CB152" s="443">
        <f t="shared" si="48"/>
        <v>3281</v>
      </c>
      <c r="CC152" s="443">
        <f t="shared" si="49"/>
        <v>1.296</v>
      </c>
      <c r="CE152" s="536">
        <f t="shared" si="66"/>
        <v>5.2832037287379885</v>
      </c>
      <c r="CF152" s="439" t="s">
        <v>322</v>
      </c>
      <c r="CG152" s="548">
        <f>SUM(CJ142:CJ152)</f>
        <v>6.62</v>
      </c>
      <c r="CH152" s="509"/>
      <c r="CI152" s="443">
        <f t="shared" si="50"/>
        <v>3281</v>
      </c>
      <c r="CJ152" s="443">
        <f t="shared" si="51"/>
        <v>1.296</v>
      </c>
      <c r="CL152" s="536">
        <f t="shared" si="67"/>
        <v>5.3327187932653688</v>
      </c>
      <c r="CM152" s="439" t="s">
        <v>322</v>
      </c>
      <c r="CN152" s="548">
        <f>SUM(CQ142:CQ152)</f>
        <v>6.6290000000000004</v>
      </c>
      <c r="CO152" s="509"/>
      <c r="CP152" s="443">
        <f t="shared" si="52"/>
        <v>3281</v>
      </c>
      <c r="CQ152" s="443">
        <f t="shared" si="53"/>
        <v>1.296</v>
      </c>
      <c r="CS152" s="536">
        <f t="shared" si="68"/>
        <v>5.3798973535404597</v>
      </c>
      <c r="CT152" s="439" t="s">
        <v>322</v>
      </c>
      <c r="CU152" s="548">
        <f>SUM(CX142:CX152)</f>
        <v>6.6530000000000005</v>
      </c>
      <c r="CV152" s="509"/>
      <c r="CW152" s="443">
        <f t="shared" si="54"/>
        <v>3281</v>
      </c>
      <c r="CX152" s="443">
        <f t="shared" si="55"/>
        <v>1.296</v>
      </c>
    </row>
    <row r="153" spans="1:102" ht="15" customHeight="1" thickTop="1">
      <c r="A153" s="458">
        <f t="shared" si="26"/>
        <v>2017</v>
      </c>
      <c r="B153" s="459">
        <f>ROUND($G$147+$G$150*D153^$G$148,$G$1)</f>
        <v>3277</v>
      </c>
      <c r="C153" s="549"/>
      <c r="D153" s="550">
        <f t="shared" si="27"/>
        <v>12</v>
      </c>
      <c r="E153" s="551"/>
      <c r="F153" s="2314" t="s">
        <v>276</v>
      </c>
      <c r="G153" s="2315"/>
      <c r="H153" s="514">
        <f>I141</f>
        <v>0.79608307042233639</v>
      </c>
      <c r="I153" s="464">
        <f t="shared" si="28"/>
        <v>3277</v>
      </c>
      <c r="J153" s="463"/>
      <c r="K153" s="464"/>
      <c r="M153" s="552"/>
      <c r="N153" s="553"/>
      <c r="O153" s="554"/>
      <c r="P153" s="331"/>
      <c r="Q153" s="555"/>
      <c r="R153" s="556"/>
      <c r="T153" s="552"/>
      <c r="U153" s="553"/>
      <c r="V153" s="554"/>
      <c r="W153" s="331"/>
      <c r="X153" s="555"/>
      <c r="Y153" s="556"/>
      <c r="AA153" s="552"/>
      <c r="AB153" s="553"/>
      <c r="AC153" s="554"/>
      <c r="AD153" s="331"/>
      <c r="AE153" s="555"/>
      <c r="AF153" s="556"/>
      <c r="AH153" s="552"/>
      <c r="AI153" s="553"/>
      <c r="AJ153" s="554"/>
      <c r="AK153" s="331"/>
      <c r="AL153" s="555"/>
      <c r="AM153" s="556"/>
      <c r="AO153" s="552"/>
      <c r="AP153" s="553"/>
      <c r="AQ153" s="554"/>
      <c r="AR153" s="331"/>
      <c r="AS153" s="555"/>
      <c r="AT153" s="556"/>
      <c r="AV153" s="552"/>
      <c r="AW153" s="553"/>
      <c r="AX153" s="554"/>
      <c r="AY153" s="331"/>
      <c r="AZ153" s="555"/>
      <c r="BA153" s="556"/>
      <c r="BC153" s="552"/>
      <c r="BD153" s="553"/>
      <c r="BE153" s="554"/>
      <c r="BF153" s="331"/>
      <c r="BG153" s="555"/>
      <c r="BH153" s="556"/>
      <c r="BJ153" s="552"/>
      <c r="BK153" s="553"/>
      <c r="BL153" s="554"/>
      <c r="BM153" s="331"/>
      <c r="BN153" s="555"/>
      <c r="BO153" s="556"/>
      <c r="BQ153" s="552"/>
      <c r="BR153" s="553"/>
      <c r="BS153" s="554"/>
      <c r="BT153" s="331"/>
      <c r="BU153" s="555"/>
      <c r="BV153" s="556"/>
      <c r="BX153" s="552"/>
      <c r="BY153" s="553"/>
      <c r="BZ153" s="554"/>
      <c r="CA153" s="331"/>
      <c r="CB153" s="555"/>
      <c r="CC153" s="556"/>
      <c r="CE153" s="552"/>
      <c r="CF153" s="553"/>
      <c r="CG153" s="554"/>
      <c r="CH153" s="331"/>
      <c r="CI153" s="555"/>
      <c r="CJ153" s="556"/>
      <c r="CL153" s="552"/>
      <c r="CM153" s="553"/>
      <c r="CN153" s="554"/>
      <c r="CO153" s="331"/>
      <c r="CP153" s="555"/>
      <c r="CQ153" s="556"/>
      <c r="CS153" s="552"/>
      <c r="CT153" s="553"/>
      <c r="CU153" s="554"/>
      <c r="CV153" s="331"/>
      <c r="CW153" s="555"/>
      <c r="CX153" s="556"/>
    </row>
    <row r="154" spans="1:102" ht="15" customHeight="1">
      <c r="A154" s="436">
        <f t="shared" si="26"/>
        <v>2018</v>
      </c>
      <c r="B154" s="437">
        <f>ROUND($G$147+$G$150*D154^$G$148,$G$1)</f>
        <v>3273</v>
      </c>
      <c r="C154" s="545"/>
      <c r="D154" s="438">
        <f t="shared" si="27"/>
        <v>13</v>
      </c>
      <c r="E154" s="546"/>
      <c r="F154" s="2318" t="s">
        <v>323</v>
      </c>
      <c r="G154" s="2320"/>
      <c r="H154" s="448">
        <f>SUM(K142:K152)</f>
        <v>6.6190000000000007</v>
      </c>
      <c r="I154" s="443">
        <f t="shared" si="28"/>
        <v>3273</v>
      </c>
      <c r="J154" s="467"/>
      <c r="K154" s="443"/>
      <c r="M154" s="557"/>
      <c r="N154" s="439"/>
      <c r="O154" s="548"/>
      <c r="P154" s="451"/>
      <c r="Q154" s="493"/>
      <c r="R154" s="492"/>
      <c r="T154" s="557"/>
      <c r="U154" s="439"/>
      <c r="V154" s="548"/>
      <c r="W154" s="451"/>
      <c r="X154" s="493"/>
      <c r="Y154" s="492"/>
      <c r="AA154" s="557"/>
      <c r="AB154" s="439"/>
      <c r="AC154" s="548"/>
      <c r="AD154" s="451"/>
      <c r="AE154" s="493"/>
      <c r="AF154" s="492"/>
      <c r="AH154" s="557"/>
      <c r="AI154" s="439"/>
      <c r="AJ154" s="548"/>
      <c r="AK154" s="451"/>
      <c r="AL154" s="493"/>
      <c r="AM154" s="492"/>
      <c r="AO154" s="557"/>
      <c r="AP154" s="439"/>
      <c r="AQ154" s="548"/>
      <c r="AR154" s="451"/>
      <c r="AS154" s="493"/>
      <c r="AT154" s="492"/>
      <c r="AV154" s="557"/>
      <c r="AW154" s="439"/>
      <c r="AX154" s="548"/>
      <c r="AY154" s="451"/>
      <c r="AZ154" s="493"/>
      <c r="BA154" s="492"/>
      <c r="BC154" s="557"/>
      <c r="BD154" s="439"/>
      <c r="BE154" s="548"/>
      <c r="BF154" s="451"/>
      <c r="BG154" s="493"/>
      <c r="BH154" s="492"/>
      <c r="BJ154" s="557"/>
      <c r="BK154" s="439"/>
      <c r="BL154" s="548"/>
      <c r="BM154" s="451"/>
      <c r="BN154" s="493"/>
      <c r="BO154" s="492"/>
      <c r="BQ154" s="557"/>
      <c r="BR154" s="439"/>
      <c r="BS154" s="548"/>
      <c r="BT154" s="451"/>
      <c r="BU154" s="493"/>
      <c r="BV154" s="492"/>
      <c r="BX154" s="557"/>
      <c r="BY154" s="439"/>
      <c r="BZ154" s="548"/>
      <c r="CA154" s="451"/>
      <c r="CB154" s="493"/>
      <c r="CC154" s="492"/>
      <c r="CE154" s="557"/>
      <c r="CF154" s="439"/>
      <c r="CG154" s="548"/>
      <c r="CH154" s="451"/>
      <c r="CI154" s="493"/>
      <c r="CJ154" s="492"/>
      <c r="CL154" s="557"/>
      <c r="CM154" s="439"/>
      <c r="CN154" s="548"/>
      <c r="CO154" s="451"/>
      <c r="CP154" s="493"/>
      <c r="CQ154" s="492"/>
      <c r="CS154" s="557"/>
      <c r="CT154" s="439"/>
      <c r="CU154" s="548"/>
      <c r="CV154" s="451"/>
      <c r="CW154" s="493"/>
      <c r="CX154" s="492"/>
    </row>
    <row r="155" spans="1:102" ht="15" customHeight="1">
      <c r="A155" s="436">
        <f t="shared" si="26"/>
        <v>2019</v>
      </c>
      <c r="B155" s="437">
        <f t="shared" ref="B155:B174" si="72">ROUND($G$147+$G$150*D155^$G$148,$G$1)</f>
        <v>3270</v>
      </c>
      <c r="C155" s="545"/>
      <c r="D155" s="438">
        <f t="shared" si="27"/>
        <v>14</v>
      </c>
      <c r="E155" s="546"/>
      <c r="F155" s="2318" t="s">
        <v>324</v>
      </c>
      <c r="G155" s="2320"/>
      <c r="H155" s="449">
        <f>SUM(J142:J152)/D152</f>
        <v>0.5956336013238831</v>
      </c>
      <c r="I155" s="443">
        <f t="shared" si="28"/>
        <v>3270</v>
      </c>
      <c r="J155" s="467"/>
      <c r="K155" s="443"/>
      <c r="M155" s="505" t="s">
        <v>325</v>
      </c>
      <c r="N155" s="505">
        <f>MIN(B142:B152)</f>
        <v>3243</v>
      </c>
      <c r="O155" s="505"/>
      <c r="P155" s="505"/>
      <c r="Q155" s="505"/>
      <c r="R155" s="505"/>
      <c r="S155" s="505"/>
      <c r="T155" s="505" t="s">
        <v>325</v>
      </c>
      <c r="U155" s="505">
        <f>N155</f>
        <v>3243</v>
      </c>
      <c r="V155" s="505"/>
      <c r="W155" s="505"/>
      <c r="X155" s="505"/>
      <c r="Y155" s="505"/>
      <c r="Z155" s="505"/>
      <c r="AA155" s="505" t="s">
        <v>325</v>
      </c>
      <c r="AB155" s="505">
        <f>U155</f>
        <v>3243</v>
      </c>
      <c r="AH155" s="505" t="s">
        <v>325</v>
      </c>
      <c r="AI155" s="505">
        <f>AB155</f>
        <v>3243</v>
      </c>
      <c r="AO155" s="505" t="s">
        <v>325</v>
      </c>
      <c r="AP155" s="505">
        <f>AI155</f>
        <v>3243</v>
      </c>
      <c r="AV155" s="505" t="s">
        <v>360</v>
      </c>
      <c r="AW155" s="505">
        <f>AP155</f>
        <v>3243</v>
      </c>
      <c r="BC155" s="505" t="s">
        <v>325</v>
      </c>
      <c r="BD155" s="505">
        <f>AW155</f>
        <v>3243</v>
      </c>
      <c r="BJ155" s="505" t="s">
        <v>325</v>
      </c>
      <c r="BK155" s="505">
        <f>BD155</f>
        <v>3243</v>
      </c>
      <c r="BQ155" s="505" t="s">
        <v>325</v>
      </c>
      <c r="BR155" s="505">
        <f>BK155</f>
        <v>3243</v>
      </c>
      <c r="BX155" s="505" t="s">
        <v>325</v>
      </c>
      <c r="BY155" s="505">
        <f>BR155</f>
        <v>3243</v>
      </c>
      <c r="CE155" s="505" t="s">
        <v>325</v>
      </c>
      <c r="CF155" s="505">
        <f>BY155</f>
        <v>3243</v>
      </c>
      <c r="CL155" s="505" t="s">
        <v>325</v>
      </c>
      <c r="CM155" s="505">
        <f>CF155</f>
        <v>3243</v>
      </c>
      <c r="CS155" s="505" t="s">
        <v>325</v>
      </c>
      <c r="CT155" s="505">
        <f>CM155</f>
        <v>3243</v>
      </c>
    </row>
    <row r="156" spans="1:102" ht="15" customHeight="1">
      <c r="A156" s="436">
        <f t="shared" si="26"/>
        <v>2020</v>
      </c>
      <c r="B156" s="437">
        <f t="shared" si="72"/>
        <v>3267</v>
      </c>
      <c r="C156" s="545"/>
      <c r="D156" s="438">
        <f t="shared" si="27"/>
        <v>15</v>
      </c>
      <c r="E156" s="546"/>
      <c r="I156" s="443">
        <f t="shared" si="28"/>
        <v>3267</v>
      </c>
      <c r="J156" s="467"/>
      <c r="K156" s="443"/>
      <c r="M156" s="505" t="s">
        <v>326</v>
      </c>
      <c r="N156" s="505">
        <v>3</v>
      </c>
      <c r="O156" s="505"/>
      <c r="P156" s="505"/>
      <c r="Q156" s="505"/>
      <c r="R156" s="505"/>
      <c r="S156" s="505"/>
      <c r="T156" s="505" t="s">
        <v>326</v>
      </c>
      <c r="U156" s="505">
        <f>N156</f>
        <v>3</v>
      </c>
      <c r="V156" s="505"/>
      <c r="W156" s="505"/>
      <c r="X156" s="505"/>
      <c r="Y156" s="505"/>
      <c r="Z156" s="505"/>
      <c r="AA156" s="505" t="s">
        <v>326</v>
      </c>
      <c r="AB156" s="505">
        <f>U156</f>
        <v>3</v>
      </c>
      <c r="AH156" s="505" t="s">
        <v>326</v>
      </c>
      <c r="AI156" s="505">
        <f>AB156</f>
        <v>3</v>
      </c>
      <c r="AO156" s="505" t="s">
        <v>326</v>
      </c>
      <c r="AP156" s="505">
        <f>AI156</f>
        <v>3</v>
      </c>
      <c r="AV156" s="505" t="s">
        <v>326</v>
      </c>
      <c r="AW156" s="505">
        <f>AP156</f>
        <v>3</v>
      </c>
      <c r="BC156" s="505" t="s">
        <v>326</v>
      </c>
      <c r="BD156" s="505">
        <f>AW156</f>
        <v>3</v>
      </c>
      <c r="BJ156" s="505" t="s">
        <v>326</v>
      </c>
      <c r="BK156" s="505">
        <f>BD156</f>
        <v>3</v>
      </c>
      <c r="BQ156" s="505" t="s">
        <v>326</v>
      </c>
      <c r="BR156" s="505">
        <f>BK156</f>
        <v>3</v>
      </c>
      <c r="BX156" s="505" t="s">
        <v>326</v>
      </c>
      <c r="BY156" s="505">
        <f>BR156</f>
        <v>3</v>
      </c>
      <c r="CE156" s="505" t="s">
        <v>326</v>
      </c>
      <c r="CF156" s="505">
        <f>BY156</f>
        <v>3</v>
      </c>
      <c r="CL156" s="505" t="s">
        <v>409</v>
      </c>
      <c r="CM156" s="505">
        <f>CF156</f>
        <v>3</v>
      </c>
      <c r="CS156" s="505" t="s">
        <v>326</v>
      </c>
      <c r="CT156" s="505">
        <f>CM156</f>
        <v>3</v>
      </c>
    </row>
    <row r="157" spans="1:102" ht="15" customHeight="1">
      <c r="A157" s="436">
        <f t="shared" si="26"/>
        <v>2021</v>
      </c>
      <c r="B157" s="437">
        <f t="shared" si="72"/>
        <v>3264</v>
      </c>
      <c r="C157" s="545"/>
      <c r="D157" s="438">
        <f t="shared" si="27"/>
        <v>16</v>
      </c>
      <c r="E157" s="546"/>
      <c r="F157" s="519"/>
      <c r="G157" s="451"/>
      <c r="H157" s="558"/>
      <c r="I157" s="443">
        <f t="shared" si="28"/>
        <v>3264</v>
      </c>
      <c r="J157" s="467"/>
      <c r="K157" s="443"/>
      <c r="M157" s="505" t="s">
        <v>329</v>
      </c>
      <c r="N157" s="559">
        <v>150</v>
      </c>
      <c r="O157" s="505"/>
      <c r="P157" s="505"/>
      <c r="Q157" s="505"/>
      <c r="R157" s="505"/>
      <c r="S157" s="505"/>
      <c r="T157" s="505" t="s">
        <v>329</v>
      </c>
      <c r="U157" s="505">
        <f>N157</f>
        <v>150</v>
      </c>
      <c r="V157" s="505"/>
      <c r="W157" s="505"/>
      <c r="X157" s="505"/>
      <c r="Y157" s="505"/>
      <c r="Z157" s="505"/>
      <c r="AA157" s="505" t="s">
        <v>329</v>
      </c>
      <c r="AB157" s="505">
        <f>U157</f>
        <v>150</v>
      </c>
      <c r="AH157" s="505" t="s">
        <v>329</v>
      </c>
      <c r="AI157" s="505">
        <v>500</v>
      </c>
      <c r="AO157" s="505" t="s">
        <v>329</v>
      </c>
      <c r="AP157" s="505">
        <f>AI157</f>
        <v>500</v>
      </c>
      <c r="AV157" s="505" t="s">
        <v>329</v>
      </c>
      <c r="AW157" s="505">
        <f>AP157</f>
        <v>500</v>
      </c>
      <c r="BC157" s="505" t="s">
        <v>329</v>
      </c>
      <c r="BD157" s="505">
        <f>AW157</f>
        <v>500</v>
      </c>
      <c r="BJ157" s="505" t="s">
        <v>329</v>
      </c>
      <c r="BK157" s="505">
        <f>BD157</f>
        <v>500</v>
      </c>
      <c r="BQ157" s="505" t="s">
        <v>389</v>
      </c>
      <c r="BR157" s="505">
        <f>BK157</f>
        <v>500</v>
      </c>
      <c r="BX157" s="505" t="s">
        <v>329</v>
      </c>
      <c r="BY157" s="505">
        <f>BR157</f>
        <v>500</v>
      </c>
      <c r="CE157" s="505" t="s">
        <v>329</v>
      </c>
      <c r="CF157" s="505">
        <f>BY157</f>
        <v>500</v>
      </c>
      <c r="CL157" s="505" t="s">
        <v>329</v>
      </c>
      <c r="CM157" s="505">
        <f>CF157</f>
        <v>500</v>
      </c>
      <c r="CS157" s="505" t="s">
        <v>329</v>
      </c>
      <c r="CT157" s="505">
        <f>CM157</f>
        <v>500</v>
      </c>
    </row>
    <row r="158" spans="1:102" ht="15" customHeight="1" thickBot="1">
      <c r="A158" s="436">
        <f t="shared" ref="A158:A174" si="73">A120</f>
        <v>2022</v>
      </c>
      <c r="B158" s="437">
        <f t="shared" si="72"/>
        <v>3262</v>
      </c>
      <c r="C158" s="545"/>
      <c r="D158" s="438">
        <f t="shared" si="27"/>
        <v>17</v>
      </c>
      <c r="E158" s="546"/>
      <c r="F158" s="560" t="s">
        <v>331</v>
      </c>
      <c r="G158" s="561" t="s">
        <v>332</v>
      </c>
      <c r="H158" s="562" t="s">
        <v>294</v>
      </c>
      <c r="I158" s="443">
        <f t="shared" si="28"/>
        <v>3262</v>
      </c>
      <c r="J158" s="467"/>
      <c r="K158" s="443"/>
      <c r="M158" s="557"/>
      <c r="N158" s="451"/>
      <c r="O158" s="451"/>
      <c r="P158" s="451"/>
      <c r="Q158" s="493"/>
      <c r="R158" s="492"/>
      <c r="T158" s="557"/>
      <c r="U158" s="451"/>
      <c r="V158" s="451"/>
      <c r="W158" s="451"/>
      <c r="X158" s="493"/>
      <c r="Y158" s="492"/>
      <c r="AA158" s="557"/>
      <c r="AB158" s="451"/>
      <c r="AC158" s="451"/>
      <c r="AD158" s="451"/>
      <c r="AE158" s="493"/>
      <c r="AF158" s="492"/>
      <c r="AH158" s="557"/>
      <c r="AI158" s="451"/>
      <c r="AJ158" s="451"/>
      <c r="AK158" s="451"/>
      <c r="AL158" s="493"/>
      <c r="AM158" s="492"/>
      <c r="AO158" s="557"/>
      <c r="AP158" s="451"/>
      <c r="AQ158" s="451"/>
      <c r="AR158" s="451"/>
      <c r="AS158" s="493"/>
      <c r="AT158" s="492"/>
      <c r="AV158" s="557"/>
      <c r="AW158" s="451"/>
      <c r="AX158" s="451"/>
      <c r="AY158" s="451"/>
      <c r="AZ158" s="493"/>
      <c r="BA158" s="492"/>
      <c r="BC158" s="557"/>
      <c r="BD158" s="451"/>
      <c r="BE158" s="451"/>
      <c r="BF158" s="451"/>
      <c r="BG158" s="493"/>
      <c r="BH158" s="492"/>
      <c r="BJ158" s="557"/>
      <c r="BK158" s="451"/>
      <c r="BL158" s="451"/>
      <c r="BM158" s="451"/>
      <c r="BN158" s="493"/>
      <c r="BO158" s="492"/>
      <c r="BQ158" s="557"/>
      <c r="BR158" s="451"/>
      <c r="BS158" s="451"/>
      <c r="BT158" s="451"/>
      <c r="BU158" s="493"/>
      <c r="BV158" s="492"/>
      <c r="BX158" s="557"/>
      <c r="BY158" s="451"/>
      <c r="BZ158" s="451"/>
      <c r="CA158" s="451"/>
      <c r="CB158" s="493"/>
      <c r="CC158" s="492"/>
      <c r="CE158" s="557"/>
      <c r="CF158" s="451"/>
      <c r="CG158" s="451"/>
      <c r="CH158" s="451"/>
      <c r="CI158" s="493"/>
      <c r="CJ158" s="492"/>
      <c r="CL158" s="557"/>
      <c r="CM158" s="451"/>
      <c r="CN158" s="451"/>
      <c r="CO158" s="451"/>
      <c r="CP158" s="493"/>
      <c r="CQ158" s="492"/>
      <c r="CS158" s="557"/>
      <c r="CT158" s="451"/>
      <c r="CU158" s="451"/>
      <c r="CV158" s="451"/>
      <c r="CW158" s="493"/>
      <c r="CX158" s="492"/>
    </row>
    <row r="159" spans="1:102" ht="15" customHeight="1" thickTop="1">
      <c r="A159" s="436">
        <f t="shared" si="73"/>
        <v>2023</v>
      </c>
      <c r="B159" s="437">
        <f t="shared" si="72"/>
        <v>3260</v>
      </c>
      <c r="C159" s="545"/>
      <c r="D159" s="438">
        <f t="shared" si="27"/>
        <v>18</v>
      </c>
      <c r="E159" s="546"/>
      <c r="F159" s="505">
        <v>1000</v>
      </c>
      <c r="G159" s="563">
        <f>IFERROR(O151,0)</f>
        <v>0.78582676973661725</v>
      </c>
      <c r="H159" s="564">
        <f>O152</f>
        <v>6.8779999999999992</v>
      </c>
      <c r="I159" s="443">
        <f t="shared" si="28"/>
        <v>3260</v>
      </c>
      <c r="J159" s="467"/>
      <c r="K159" s="443"/>
      <c r="L159" s="326">
        <f>RANK(G159,$G$159:$G$171)</f>
        <v>11</v>
      </c>
      <c r="M159" s="557"/>
      <c r="N159" s="451"/>
      <c r="O159" s="451"/>
      <c r="P159" s="451"/>
      <c r="Q159" s="493"/>
      <c r="R159" s="492"/>
      <c r="T159" s="557"/>
      <c r="U159" s="451"/>
      <c r="V159" s="451"/>
      <c r="W159" s="451"/>
      <c r="X159" s="493"/>
      <c r="Y159" s="492"/>
      <c r="AA159" s="557"/>
      <c r="AB159" s="451"/>
      <c r="AC159" s="451"/>
      <c r="AD159" s="451"/>
      <c r="AE159" s="493"/>
      <c r="AF159" s="492"/>
      <c r="AH159" s="557"/>
      <c r="AI159" s="451"/>
      <c r="AJ159" s="451"/>
      <c r="AK159" s="451"/>
      <c r="AL159" s="493"/>
      <c r="AM159" s="492"/>
      <c r="AO159" s="557"/>
      <c r="AP159" s="451"/>
      <c r="AQ159" s="451"/>
      <c r="AR159" s="451"/>
      <c r="AS159" s="493"/>
      <c r="AT159" s="492"/>
      <c r="AV159" s="557"/>
      <c r="AW159" s="451"/>
      <c r="AX159" s="451"/>
      <c r="AY159" s="451"/>
      <c r="AZ159" s="493"/>
      <c r="BA159" s="492"/>
      <c r="BC159" s="557"/>
      <c r="BD159" s="451"/>
      <c r="BE159" s="451"/>
      <c r="BF159" s="451"/>
      <c r="BG159" s="493"/>
      <c r="BH159" s="492"/>
      <c r="BJ159" s="557"/>
      <c r="BK159" s="451"/>
      <c r="BL159" s="451"/>
      <c r="BM159" s="451"/>
      <c r="BN159" s="493"/>
      <c r="BO159" s="492"/>
      <c r="BQ159" s="557"/>
      <c r="BR159" s="451"/>
      <c r="BS159" s="451"/>
      <c r="BT159" s="451"/>
      <c r="BU159" s="493"/>
      <c r="BV159" s="492"/>
      <c r="BX159" s="557"/>
      <c r="BY159" s="451"/>
      <c r="BZ159" s="451"/>
      <c r="CA159" s="451"/>
      <c r="CB159" s="493"/>
      <c r="CC159" s="492"/>
      <c r="CE159" s="557"/>
      <c r="CF159" s="451"/>
      <c r="CG159" s="451"/>
      <c r="CH159" s="451"/>
      <c r="CI159" s="493"/>
      <c r="CJ159" s="492"/>
      <c r="CL159" s="557"/>
      <c r="CM159" s="451"/>
      <c r="CN159" s="451"/>
      <c r="CO159" s="451"/>
      <c r="CP159" s="493"/>
      <c r="CQ159" s="492"/>
      <c r="CS159" s="557"/>
      <c r="CT159" s="451"/>
      <c r="CU159" s="451"/>
      <c r="CV159" s="451"/>
      <c r="CW159" s="493"/>
      <c r="CX159" s="492"/>
    </row>
    <row r="160" spans="1:102" s="451" customFormat="1" ht="15" customHeight="1">
      <c r="A160" s="436">
        <f t="shared" si="73"/>
        <v>2024</v>
      </c>
      <c r="B160" s="437">
        <f t="shared" si="72"/>
        <v>3257</v>
      </c>
      <c r="C160" s="545"/>
      <c r="D160" s="438">
        <f t="shared" si="27"/>
        <v>19</v>
      </c>
      <c r="E160" s="546"/>
      <c r="F160" s="505">
        <v>2000</v>
      </c>
      <c r="G160" s="565">
        <f>IFERROR(V151,0)</f>
        <v>0.78661710343115321</v>
      </c>
      <c r="H160" s="564">
        <f>V152</f>
        <v>6.8550000000000004</v>
      </c>
      <c r="I160" s="443">
        <f t="shared" si="28"/>
        <v>3257</v>
      </c>
      <c r="J160" s="467"/>
      <c r="K160" s="443"/>
      <c r="L160" s="326">
        <f t="shared" ref="L160:L171" si="74">RANK(G160,$G$159:$G$171)</f>
        <v>10</v>
      </c>
      <c r="M160" s="557"/>
      <c r="P160" s="439"/>
      <c r="Q160" s="493"/>
      <c r="R160" s="492"/>
      <c r="T160" s="557"/>
      <c r="W160" s="439"/>
      <c r="X160" s="493"/>
      <c r="Y160" s="492"/>
      <c r="AA160" s="557"/>
      <c r="AD160" s="439"/>
      <c r="AE160" s="493"/>
      <c r="AF160" s="492"/>
      <c r="AH160" s="557"/>
      <c r="AK160" s="439"/>
      <c r="AL160" s="493"/>
      <c r="AM160" s="492"/>
      <c r="AO160" s="557"/>
      <c r="AR160" s="439"/>
      <c r="AS160" s="493"/>
      <c r="AT160" s="492"/>
      <c r="AV160" s="557"/>
      <c r="AY160" s="439"/>
      <c r="AZ160" s="493"/>
      <c r="BA160" s="492"/>
      <c r="BC160" s="557"/>
      <c r="BF160" s="439"/>
      <c r="BG160" s="493"/>
      <c r="BH160" s="492"/>
      <c r="BJ160" s="557"/>
      <c r="BM160" s="439"/>
      <c r="BN160" s="493"/>
      <c r="BO160" s="492"/>
      <c r="BQ160" s="557"/>
      <c r="BT160" s="439"/>
      <c r="BU160" s="493"/>
      <c r="BV160" s="492"/>
      <c r="BX160" s="557"/>
      <c r="CA160" s="439"/>
      <c r="CB160" s="493"/>
      <c r="CC160" s="492"/>
      <c r="CE160" s="557"/>
      <c r="CH160" s="439"/>
      <c r="CI160" s="493"/>
      <c r="CJ160" s="492"/>
      <c r="CL160" s="557"/>
      <c r="CO160" s="439"/>
      <c r="CP160" s="493"/>
      <c r="CQ160" s="492"/>
      <c r="CS160" s="557"/>
      <c r="CV160" s="439"/>
      <c r="CW160" s="493"/>
      <c r="CX160" s="492"/>
    </row>
    <row r="161" spans="1:102" ht="15" customHeight="1">
      <c r="A161" s="436">
        <f t="shared" si="73"/>
        <v>2025</v>
      </c>
      <c r="B161" s="437">
        <f t="shared" si="72"/>
        <v>3255</v>
      </c>
      <c r="C161" s="545"/>
      <c r="D161" s="438">
        <f t="shared" si="27"/>
        <v>20</v>
      </c>
      <c r="E161" s="546"/>
      <c r="F161" s="505">
        <v>3000</v>
      </c>
      <c r="G161" s="565">
        <f>IFERROR(AC151,0)</f>
        <v>0.79137119837719339</v>
      </c>
      <c r="H161" s="505">
        <f>AC152</f>
        <v>6.7139999999999995</v>
      </c>
      <c r="I161" s="443">
        <f t="shared" si="28"/>
        <v>3255</v>
      </c>
      <c r="J161" s="467"/>
      <c r="K161" s="443"/>
      <c r="L161" s="326">
        <f t="shared" si="74"/>
        <v>9</v>
      </c>
      <c r="M161" s="557"/>
      <c r="N161" s="451"/>
      <c r="O161" s="451"/>
      <c r="P161" s="439"/>
      <c r="Q161" s="493"/>
      <c r="R161" s="492"/>
      <c r="T161" s="557"/>
      <c r="U161" s="451"/>
      <c r="V161" s="451"/>
      <c r="W161" s="439"/>
      <c r="X161" s="493"/>
      <c r="Y161" s="492"/>
      <c r="AA161" s="557"/>
      <c r="AB161" s="451"/>
      <c r="AC161" s="451"/>
      <c r="AD161" s="439"/>
      <c r="AE161" s="493"/>
      <c r="AF161" s="492"/>
      <c r="AH161" s="557"/>
      <c r="AI161" s="451"/>
      <c r="AJ161" s="451"/>
      <c r="AK161" s="439"/>
      <c r="AL161" s="493"/>
      <c r="AM161" s="492"/>
      <c r="AO161" s="557"/>
      <c r="AP161" s="451"/>
      <c r="AQ161" s="451"/>
      <c r="AR161" s="439"/>
      <c r="AS161" s="493"/>
      <c r="AT161" s="492"/>
      <c r="AV161" s="557"/>
      <c r="AW161" s="451"/>
      <c r="AX161" s="451"/>
      <c r="AY161" s="439"/>
      <c r="AZ161" s="493"/>
      <c r="BA161" s="492"/>
      <c r="BC161" s="557"/>
      <c r="BD161" s="451"/>
      <c r="BE161" s="451"/>
      <c r="BF161" s="439"/>
      <c r="BG161" s="493"/>
      <c r="BH161" s="492"/>
      <c r="BJ161" s="557"/>
      <c r="BK161" s="451"/>
      <c r="BL161" s="451"/>
      <c r="BM161" s="439"/>
      <c r="BN161" s="493"/>
      <c r="BO161" s="492"/>
      <c r="BQ161" s="557"/>
      <c r="BR161" s="451"/>
      <c r="BS161" s="451"/>
      <c r="BT161" s="439"/>
      <c r="BU161" s="493"/>
      <c r="BV161" s="492"/>
      <c r="BX161" s="557"/>
      <c r="BY161" s="451"/>
      <c r="BZ161" s="451"/>
      <c r="CA161" s="439"/>
      <c r="CB161" s="493"/>
      <c r="CC161" s="492"/>
      <c r="CE161" s="557"/>
      <c r="CF161" s="451"/>
      <c r="CG161" s="451"/>
      <c r="CH161" s="439"/>
      <c r="CI161" s="493"/>
      <c r="CJ161" s="492"/>
      <c r="CL161" s="557"/>
      <c r="CM161" s="451"/>
      <c r="CN161" s="451"/>
      <c r="CO161" s="439"/>
      <c r="CP161" s="493"/>
      <c r="CQ161" s="492"/>
      <c r="CS161" s="557"/>
      <c r="CT161" s="451"/>
      <c r="CU161" s="451"/>
      <c r="CV161" s="439"/>
      <c r="CW161" s="493"/>
      <c r="CX161" s="492"/>
    </row>
    <row r="162" spans="1:102" s="451" customFormat="1" ht="15" customHeight="1">
      <c r="A162" s="436">
        <f t="shared" si="73"/>
        <v>2026</v>
      </c>
      <c r="B162" s="437">
        <f t="shared" si="72"/>
        <v>3254</v>
      </c>
      <c r="C162" s="545"/>
      <c r="D162" s="438">
        <f t="shared" si="27"/>
        <v>21</v>
      </c>
      <c r="E162" s="546"/>
      <c r="F162" s="505">
        <v>4000</v>
      </c>
      <c r="G162" s="565">
        <f>IFERROR(AJ151,0)</f>
        <v>0</v>
      </c>
      <c r="H162" s="505" t="e">
        <f>AJ152</f>
        <v>#VALUE!</v>
      </c>
      <c r="I162" s="443">
        <f t="shared" si="28"/>
        <v>3254</v>
      </c>
      <c r="J162" s="467"/>
      <c r="K162" s="443"/>
      <c r="L162" s="326">
        <f t="shared" si="74"/>
        <v>12</v>
      </c>
      <c r="M162" s="557"/>
      <c r="Q162" s="493"/>
      <c r="R162" s="492"/>
      <c r="T162" s="557"/>
      <c r="X162" s="493"/>
      <c r="Y162" s="492"/>
      <c r="AA162" s="557"/>
      <c r="AE162" s="493"/>
      <c r="AF162" s="492"/>
      <c r="AH162" s="557"/>
      <c r="AL162" s="493"/>
      <c r="AM162" s="492"/>
      <c r="AO162" s="557"/>
      <c r="AS162" s="493"/>
      <c r="AT162" s="492"/>
      <c r="AV162" s="557"/>
      <c r="AZ162" s="493"/>
      <c r="BA162" s="492"/>
      <c r="BC162" s="557"/>
      <c r="BG162" s="493"/>
      <c r="BH162" s="492"/>
      <c r="BJ162" s="557"/>
      <c r="BN162" s="493"/>
      <c r="BO162" s="492"/>
      <c r="BQ162" s="557"/>
      <c r="BU162" s="493"/>
      <c r="BV162" s="492"/>
      <c r="BX162" s="557"/>
      <c r="CB162" s="493"/>
      <c r="CC162" s="492"/>
      <c r="CE162" s="557"/>
      <c r="CI162" s="493"/>
      <c r="CJ162" s="492"/>
      <c r="CL162" s="557"/>
      <c r="CP162" s="493"/>
      <c r="CQ162" s="492"/>
      <c r="CS162" s="557"/>
      <c r="CW162" s="493"/>
      <c r="CX162" s="492"/>
    </row>
    <row r="163" spans="1:102" s="451" customFormat="1" ht="15" customHeight="1">
      <c r="A163" s="436">
        <f t="shared" si="73"/>
        <v>2027</v>
      </c>
      <c r="B163" s="437">
        <f t="shared" si="72"/>
        <v>3252</v>
      </c>
      <c r="C163" s="545"/>
      <c r="D163" s="438">
        <f t="shared" si="27"/>
        <v>22</v>
      </c>
      <c r="E163" s="546"/>
      <c r="F163" s="505">
        <v>3100</v>
      </c>
      <c r="G163" s="565">
        <f>IFERROR(AQ151,0)</f>
        <v>0.79410186470039112</v>
      </c>
      <c r="H163" s="505">
        <f>AQ152</f>
        <v>6.6530000000000005</v>
      </c>
      <c r="I163" s="443">
        <f t="shared" si="28"/>
        <v>3252</v>
      </c>
      <c r="J163" s="467"/>
      <c r="K163" s="443"/>
      <c r="L163" s="326">
        <f t="shared" si="74"/>
        <v>6</v>
      </c>
      <c r="M163" s="557"/>
      <c r="N163" s="538"/>
      <c r="O163" s="538"/>
      <c r="P163" s="566"/>
      <c r="Q163" s="493"/>
      <c r="R163" s="492"/>
      <c r="T163" s="557"/>
      <c r="X163" s="493"/>
      <c r="Y163" s="492"/>
      <c r="AA163" s="557"/>
      <c r="AE163" s="493"/>
      <c r="AF163" s="492"/>
      <c r="AH163" s="557"/>
      <c r="AL163" s="493"/>
      <c r="AM163" s="492"/>
      <c r="AO163" s="557"/>
      <c r="AS163" s="493"/>
      <c r="AT163" s="492"/>
      <c r="AV163" s="557"/>
      <c r="AZ163" s="493"/>
      <c r="BA163" s="492"/>
      <c r="BC163" s="557"/>
      <c r="BG163" s="493"/>
      <c r="BH163" s="492"/>
      <c r="BJ163" s="557"/>
      <c r="BN163" s="493"/>
      <c r="BO163" s="492"/>
      <c r="BQ163" s="557"/>
      <c r="BU163" s="493"/>
      <c r="BV163" s="492"/>
      <c r="BX163" s="557"/>
      <c r="CB163" s="493"/>
      <c r="CC163" s="492"/>
      <c r="CE163" s="557"/>
      <c r="CI163" s="493"/>
      <c r="CJ163" s="492"/>
      <c r="CL163" s="557"/>
      <c r="CP163" s="493"/>
      <c r="CQ163" s="492"/>
      <c r="CS163" s="557"/>
      <c r="CW163" s="493"/>
      <c r="CX163" s="492"/>
    </row>
    <row r="164" spans="1:102" ht="15" customHeight="1">
      <c r="A164" s="436">
        <f t="shared" si="73"/>
        <v>2028</v>
      </c>
      <c r="B164" s="437">
        <f t="shared" si="72"/>
        <v>3250</v>
      </c>
      <c r="C164" s="520"/>
      <c r="D164" s="438">
        <f t="shared" si="27"/>
        <v>23</v>
      </c>
      <c r="E164" s="508"/>
      <c r="F164" s="548">
        <v>3200</v>
      </c>
      <c r="G164" s="565">
        <f>IFERROR(AX151,0)</f>
        <v>0.79170198571691897</v>
      </c>
      <c r="H164" s="548">
        <f>AX152</f>
        <v>7.1</v>
      </c>
      <c r="I164" s="443">
        <f t="shared" si="28"/>
        <v>3250</v>
      </c>
      <c r="J164" s="469"/>
      <c r="K164" s="469"/>
      <c r="L164" s="326">
        <f t="shared" si="74"/>
        <v>8</v>
      </c>
    </row>
    <row r="165" spans="1:102" ht="15" customHeight="1">
      <c r="A165" s="436">
        <f t="shared" si="73"/>
        <v>2029</v>
      </c>
      <c r="B165" s="437">
        <f t="shared" si="72"/>
        <v>3249</v>
      </c>
      <c r="C165" s="520"/>
      <c r="D165" s="438">
        <f t="shared" si="27"/>
        <v>24</v>
      </c>
      <c r="E165" s="508"/>
      <c r="F165" s="548">
        <v>3300</v>
      </c>
      <c r="G165" s="565">
        <f>IFERROR(BE151,0)</f>
        <v>0</v>
      </c>
      <c r="H165" s="548" t="e">
        <f>BE152</f>
        <v>#VALUE!</v>
      </c>
      <c r="I165" s="443">
        <f t="shared" si="28"/>
        <v>3249</v>
      </c>
      <c r="J165" s="469"/>
      <c r="K165" s="469"/>
      <c r="L165" s="326">
        <f t="shared" si="74"/>
        <v>12</v>
      </c>
    </row>
    <row r="166" spans="1:102" ht="15" customHeight="1">
      <c r="A166" s="436">
        <f t="shared" si="73"/>
        <v>2030</v>
      </c>
      <c r="B166" s="437">
        <f t="shared" si="72"/>
        <v>3247</v>
      </c>
      <c r="C166" s="520"/>
      <c r="D166" s="438">
        <f t="shared" si="27"/>
        <v>25</v>
      </c>
      <c r="E166" s="508"/>
      <c r="F166" s="567">
        <v>3150</v>
      </c>
      <c r="G166" s="568">
        <f>IFERROR(BL151,0)</f>
        <v>0.79580054546523049</v>
      </c>
      <c r="H166" s="567">
        <f>BL152</f>
        <v>6.6530000000000005</v>
      </c>
      <c r="I166" s="443">
        <f t="shared" si="28"/>
        <v>3247</v>
      </c>
      <c r="J166" s="469"/>
      <c r="K166" s="469"/>
      <c r="L166" s="326">
        <f t="shared" si="74"/>
        <v>2</v>
      </c>
    </row>
    <row r="167" spans="1:102" ht="15" customHeight="1">
      <c r="A167" s="436">
        <f t="shared" si="73"/>
        <v>2031</v>
      </c>
      <c r="B167" s="437">
        <f t="shared" si="72"/>
        <v>3246</v>
      </c>
      <c r="C167" s="520"/>
      <c r="D167" s="438">
        <f t="shared" si="27"/>
        <v>26</v>
      </c>
      <c r="E167" s="508"/>
      <c r="F167" s="567">
        <v>3140</v>
      </c>
      <c r="G167" s="568">
        <f>IFERROR(BS151,0)</f>
        <v>0.79608307042233639</v>
      </c>
      <c r="H167" s="567">
        <f>BS152</f>
        <v>6.6190000000000007</v>
      </c>
      <c r="I167" s="443">
        <f t="shared" si="28"/>
        <v>3246</v>
      </c>
      <c r="J167" s="469"/>
      <c r="K167" s="469"/>
      <c r="L167" s="326">
        <f t="shared" si="74"/>
        <v>1</v>
      </c>
    </row>
    <row r="168" spans="1:102" ht="15" customHeight="1">
      <c r="A168" s="436">
        <f t="shared" si="73"/>
        <v>2032</v>
      </c>
      <c r="B168" s="437">
        <f t="shared" si="72"/>
        <v>3244</v>
      </c>
      <c r="C168" s="520"/>
      <c r="D168" s="438">
        <f t="shared" si="27"/>
        <v>27</v>
      </c>
      <c r="E168" s="508"/>
      <c r="F168" s="567">
        <v>3130</v>
      </c>
      <c r="G168" s="568">
        <f>IFERROR(BZ151,0)</f>
        <v>0.79569801617175717</v>
      </c>
      <c r="H168" s="567">
        <f>BZ152</f>
        <v>6.6160000000000005</v>
      </c>
      <c r="I168" s="443">
        <f t="shared" si="28"/>
        <v>3244</v>
      </c>
      <c r="J168" s="469"/>
      <c r="K168" s="469"/>
      <c r="L168" s="326">
        <f t="shared" si="74"/>
        <v>3</v>
      </c>
    </row>
    <row r="169" spans="1:102" ht="15" customHeight="1">
      <c r="A169" s="436">
        <f t="shared" si="73"/>
        <v>2033</v>
      </c>
      <c r="B169" s="437">
        <f t="shared" si="72"/>
        <v>3243</v>
      </c>
      <c r="C169" s="520"/>
      <c r="D169" s="438">
        <f t="shared" si="27"/>
        <v>28</v>
      </c>
      <c r="E169" s="508"/>
      <c r="F169" s="567">
        <v>3120</v>
      </c>
      <c r="G169" s="568">
        <f>IFERROR(CG151,0)</f>
        <v>0.79541190164404119</v>
      </c>
      <c r="H169" s="567">
        <f>CG152</f>
        <v>6.62</v>
      </c>
      <c r="I169" s="443">
        <f t="shared" si="28"/>
        <v>3243</v>
      </c>
      <c r="J169" s="469"/>
      <c r="K169" s="469"/>
      <c r="L169" s="326">
        <f t="shared" si="74"/>
        <v>4</v>
      </c>
    </row>
    <row r="170" spans="1:102" ht="15" customHeight="1">
      <c r="A170" s="436">
        <f t="shared" si="73"/>
        <v>2034</v>
      </c>
      <c r="B170" s="437">
        <f t="shared" si="72"/>
        <v>3242</v>
      </c>
      <c r="C170" s="520"/>
      <c r="D170" s="438">
        <f t="shared" si="27"/>
        <v>29</v>
      </c>
      <c r="E170" s="508"/>
      <c r="F170" s="567">
        <v>3110</v>
      </c>
      <c r="G170" s="568">
        <f>IFERROR(CN151,0)</f>
        <v>0.79505520506329308</v>
      </c>
      <c r="H170" s="567">
        <f>CN152</f>
        <v>6.6290000000000004</v>
      </c>
      <c r="I170" s="443">
        <f t="shared" si="28"/>
        <v>3242</v>
      </c>
      <c r="J170" s="469"/>
      <c r="K170" s="469"/>
      <c r="L170" s="326">
        <f t="shared" si="74"/>
        <v>5</v>
      </c>
    </row>
    <row r="171" spans="1:102" ht="15" customHeight="1">
      <c r="A171" s="522">
        <f t="shared" si="73"/>
        <v>2035</v>
      </c>
      <c r="B171" s="523">
        <f t="shared" si="72"/>
        <v>3241</v>
      </c>
      <c r="C171" s="524"/>
      <c r="D171" s="569">
        <f t="shared" si="27"/>
        <v>30</v>
      </c>
      <c r="E171" s="525"/>
      <c r="F171" s="570">
        <v>3100</v>
      </c>
      <c r="G171" s="571">
        <f>IFERROR(CU151,0)</f>
        <v>0.79410186470039112</v>
      </c>
      <c r="H171" s="570">
        <f>CU152</f>
        <v>6.6530000000000005</v>
      </c>
      <c r="I171" s="528">
        <f t="shared" si="28"/>
        <v>3241</v>
      </c>
      <c r="J171" s="529"/>
      <c r="K171" s="529"/>
      <c r="L171" s="326">
        <f t="shared" si="74"/>
        <v>6</v>
      </c>
    </row>
    <row r="172" spans="1:102" ht="15" customHeight="1">
      <c r="A172" s="522">
        <f t="shared" si="73"/>
        <v>2036</v>
      </c>
      <c r="B172" s="523">
        <f t="shared" si="72"/>
        <v>3240</v>
      </c>
      <c r="C172" s="524"/>
      <c r="D172" s="569">
        <f t="shared" si="27"/>
        <v>31</v>
      </c>
      <c r="E172" s="525"/>
      <c r="F172" s="570"/>
      <c r="G172" s="571"/>
      <c r="H172" s="570"/>
      <c r="I172" s="528">
        <f t="shared" si="28"/>
        <v>3240</v>
      </c>
      <c r="J172" s="529"/>
      <c r="K172" s="529"/>
    </row>
    <row r="173" spans="1:102" ht="15" customHeight="1">
      <c r="A173" s="522">
        <f t="shared" si="73"/>
        <v>2037</v>
      </c>
      <c r="B173" s="523">
        <f t="shared" si="72"/>
        <v>3239</v>
      </c>
      <c r="C173" s="524"/>
      <c r="D173" s="569">
        <f t="shared" si="27"/>
        <v>32</v>
      </c>
      <c r="E173" s="525"/>
      <c r="F173" s="570"/>
      <c r="G173" s="571"/>
      <c r="H173" s="570"/>
      <c r="I173" s="528">
        <f t="shared" si="28"/>
        <v>3239</v>
      </c>
      <c r="J173" s="529"/>
      <c r="K173" s="529"/>
    </row>
    <row r="174" spans="1:102" ht="15" customHeight="1">
      <c r="A174" s="522">
        <f t="shared" si="73"/>
        <v>2038</v>
      </c>
      <c r="B174" s="523">
        <f t="shared" si="72"/>
        <v>3238</v>
      </c>
      <c r="C174" s="524"/>
      <c r="D174" s="569">
        <f t="shared" si="27"/>
        <v>33</v>
      </c>
      <c r="E174" s="525"/>
      <c r="F174" s="570"/>
      <c r="G174" s="571"/>
      <c r="H174" s="570"/>
      <c r="I174" s="528">
        <f t="shared" si="28"/>
        <v>3238</v>
      </c>
      <c r="J174" s="529"/>
      <c r="K174" s="529"/>
    </row>
    <row r="175" spans="1:102" ht="15" customHeight="1">
      <c r="A175" s="491"/>
      <c r="B175" s="494"/>
      <c r="C175" s="451"/>
      <c r="D175" s="439"/>
      <c r="E175" s="439"/>
      <c r="F175" s="530"/>
      <c r="G175" s="572"/>
      <c r="H175" s="451"/>
      <c r="I175" s="538"/>
      <c r="J175" s="538"/>
      <c r="O175" s="573"/>
    </row>
    <row r="176" spans="1:102" ht="15" customHeight="1">
      <c r="A176" s="424" t="s">
        <v>410</v>
      </c>
    </row>
    <row r="177" spans="1:60" ht="15" customHeight="1">
      <c r="A177" s="427" t="s">
        <v>264</v>
      </c>
      <c r="B177" s="428" t="s">
        <v>411</v>
      </c>
      <c r="C177" s="429" t="s">
        <v>412</v>
      </c>
      <c r="D177" s="429" t="s">
        <v>413</v>
      </c>
      <c r="E177" s="496"/>
      <c r="F177" s="430"/>
      <c r="G177" s="431"/>
      <c r="H177" s="432" t="s">
        <v>414</v>
      </c>
      <c r="I177" s="433">
        <f>RSQ(I178:I188,B178:B188)</f>
        <v>0.66579412116731695</v>
      </c>
      <c r="J177" s="434" t="s">
        <v>415</v>
      </c>
      <c r="K177" s="435" t="s">
        <v>416</v>
      </c>
      <c r="M177" s="532" t="s">
        <v>412</v>
      </c>
      <c r="N177" s="430"/>
      <c r="O177" s="432" t="s">
        <v>414</v>
      </c>
      <c r="P177" s="433">
        <f>RSQ($B178:$B188,P178:P188)</f>
        <v>0.66550467787919887</v>
      </c>
      <c r="Q177" s="435" t="s">
        <v>416</v>
      </c>
      <c r="S177" s="532" t="s">
        <v>412</v>
      </c>
      <c r="T177" s="430"/>
      <c r="U177" s="432" t="s">
        <v>414</v>
      </c>
      <c r="V177" s="433">
        <f>RSQ($B178:$B188,V178:V188)</f>
        <v>0.66550467787919887</v>
      </c>
      <c r="W177" s="435" t="s">
        <v>416</v>
      </c>
      <c r="Y177" s="532" t="s">
        <v>412</v>
      </c>
      <c r="Z177" s="430"/>
      <c r="AA177" s="432" t="s">
        <v>414</v>
      </c>
      <c r="AB177" s="433">
        <f>RSQ($B178:$B188,AB178:AB188)</f>
        <v>0.66550467787919887</v>
      </c>
      <c r="AC177" s="435" t="s">
        <v>416</v>
      </c>
      <c r="AE177" s="532" t="s">
        <v>412</v>
      </c>
      <c r="AF177" s="430"/>
      <c r="AG177" s="432" t="s">
        <v>414</v>
      </c>
      <c r="AH177" s="433">
        <f>RSQ($B178:$B188,AH178:AH188)</f>
        <v>0.66550467787919887</v>
      </c>
      <c r="AI177" s="435" t="s">
        <v>416</v>
      </c>
      <c r="AK177" s="532" t="s">
        <v>412</v>
      </c>
      <c r="AL177" s="430"/>
      <c r="AM177" s="432" t="s">
        <v>414</v>
      </c>
      <c r="AN177" s="433">
        <f>RSQ($B178:$B188,AN178:AN188)</f>
        <v>0.66550467787919887</v>
      </c>
      <c r="AO177" s="435" t="s">
        <v>416</v>
      </c>
      <c r="AQ177" s="532" t="s">
        <v>412</v>
      </c>
      <c r="AR177" s="430"/>
      <c r="AS177" s="432" t="s">
        <v>414</v>
      </c>
      <c r="AT177" s="433">
        <f>RSQ($B178:$B188,AT178:AT188)</f>
        <v>0.66579412116731695</v>
      </c>
      <c r="AU177" s="435" t="s">
        <v>416</v>
      </c>
      <c r="AW177" s="532" t="s">
        <v>412</v>
      </c>
      <c r="AX177" s="430"/>
      <c r="AY177" s="432" t="s">
        <v>414</v>
      </c>
      <c r="AZ177" s="433">
        <f>RSQ($B178:$B188,AZ178:AZ188)</f>
        <v>0.66579412116731695</v>
      </c>
      <c r="BA177" s="435" t="s">
        <v>416</v>
      </c>
      <c r="BC177" s="532" t="s">
        <v>412</v>
      </c>
      <c r="BD177" s="430"/>
      <c r="BE177" s="432" t="s">
        <v>414</v>
      </c>
      <c r="BF177" s="433">
        <f>RSQ($B178:$B188,BF178:BF188)</f>
        <v>0.66579412116731695</v>
      </c>
      <c r="BG177" s="435" t="s">
        <v>416</v>
      </c>
    </row>
    <row r="178" spans="1:60" ht="15" customHeight="1">
      <c r="A178" s="436">
        <f t="shared" ref="A178:B189" si="75">A142</f>
        <v>2006</v>
      </c>
      <c r="B178" s="437">
        <f t="shared" si="75"/>
        <v>3455</v>
      </c>
      <c r="C178" s="533">
        <f t="shared" ref="C178:C188" si="76">LN(F$182/B178-1)</f>
        <v>3.330186763674869</v>
      </c>
      <c r="D178" s="438">
        <f t="shared" ref="D178:D184" si="77">D142</f>
        <v>1</v>
      </c>
      <c r="E178" s="498" t="s">
        <v>335</v>
      </c>
      <c r="F178" s="439"/>
      <c r="H178" s="574"/>
      <c r="I178" s="502">
        <f t="shared" ref="I178:I210" si="78">ROUND($F$182/(1+EXP($F$187+$F$186*D178)),$G$1)</f>
        <v>3401</v>
      </c>
      <c r="J178" s="444">
        <f t="shared" ref="J178:J188" si="79">ABS(B178-I178)/B178*100</f>
        <v>1.5629522431259046</v>
      </c>
      <c r="K178" s="443">
        <f t="shared" ref="K178:K188" si="80">(B178-I178)^2/1000</f>
        <v>2.9159999999999999</v>
      </c>
      <c r="M178" s="575">
        <f t="shared" ref="M178:M188" si="81">LN($O$181/B178-1)</f>
        <v>2.6005971293488201</v>
      </c>
      <c r="N178" s="539" t="s">
        <v>335</v>
      </c>
      <c r="O178" s="439"/>
      <c r="P178" s="469">
        <f t="shared" ref="P178:P188" si="82">ROUND(O$181/(1+EXP(O$185+O$184*$D178)),$G$1)</f>
        <v>3401</v>
      </c>
      <c r="Q178" s="502">
        <f t="shared" ref="Q178:Q183" si="83">($B178-P178)^2/1000</f>
        <v>2.9159999999999999</v>
      </c>
      <c r="S178" s="575">
        <f>LN($U$181/$B178-1)</f>
        <v>2.7952143241036569</v>
      </c>
      <c r="T178" s="539" t="s">
        <v>335</v>
      </c>
      <c r="U178" s="439"/>
      <c r="V178" s="469">
        <f t="shared" ref="V178:V188" si="84">ROUND(U$181/(1+EXP(U$185+U$184*$D178)),$G$1)</f>
        <v>3401</v>
      </c>
      <c r="W178" s="502">
        <f t="shared" ref="W178:W183" si="85">($B178-V178)^2/1000</f>
        <v>2.9159999999999999</v>
      </c>
      <c r="Y178" s="575">
        <f>LN($AA$181/$B178-1)</f>
        <v>2.9580559533188864</v>
      </c>
      <c r="Z178" s="539" t="s">
        <v>335</v>
      </c>
      <c r="AA178" s="439"/>
      <c r="AB178" s="469">
        <f t="shared" ref="AB178:AB188" si="86">ROUND(AA$181/(1+EXP(AA$185+AA$184*$D178)),$G$1)</f>
        <v>3401</v>
      </c>
      <c r="AC178" s="502">
        <f t="shared" ref="AC178:AC185" si="87">($B178-AB178)^2/1000</f>
        <v>2.9159999999999999</v>
      </c>
      <c r="AE178" s="575">
        <f>LN($AG$181/$B178-1)</f>
        <v>3.098056345964411</v>
      </c>
      <c r="AF178" s="539" t="s">
        <v>335</v>
      </c>
      <c r="AG178" s="439"/>
      <c r="AH178" s="469">
        <f t="shared" ref="AH178:AH188" si="88">ROUND(AG$181/(1+EXP(AG$185+AG$184*$D178)),$G$1)</f>
        <v>3401</v>
      </c>
      <c r="AI178" s="502">
        <f t="shared" ref="AI178:AI185" si="89">($B178-AH178)^2/1000</f>
        <v>2.9159999999999999</v>
      </c>
      <c r="AK178" s="575">
        <f>LN($AM$181/$B178-1)</f>
        <v>3.2208420526587287</v>
      </c>
      <c r="AL178" s="539" t="s">
        <v>335</v>
      </c>
      <c r="AM178" s="439"/>
      <c r="AN178" s="469">
        <f t="shared" ref="AN178:AN188" si="90">ROUND(AM$181/(1+EXP(AM$185+AM$184*$D178)),$G$1)</f>
        <v>3401</v>
      </c>
      <c r="AO178" s="502">
        <f t="shared" ref="AO178:AO187" si="91">($B178-AN178)^2/1000</f>
        <v>2.9159999999999999</v>
      </c>
      <c r="AQ178" s="575">
        <f>LN($AS$181/$B178-1)</f>
        <v>3.330186763674869</v>
      </c>
      <c r="AR178" s="539" t="s">
        <v>335</v>
      </c>
      <c r="AS178" s="439"/>
      <c r="AT178" s="469">
        <f t="shared" ref="AT178:AT188" si="92">ROUND(AS$181/(1+EXP(AS$185+AS$184*$D178)),$G$1)</f>
        <v>3401</v>
      </c>
      <c r="AU178" s="502">
        <f t="shared" ref="AU178:AU185" si="93">($B178-AT178)^2/1000</f>
        <v>2.9159999999999999</v>
      </c>
      <c r="AW178" s="575">
        <f>LN($AY$181/$B178-1)</f>
        <v>4.0410689555050254</v>
      </c>
      <c r="AX178" s="539" t="s">
        <v>335</v>
      </c>
      <c r="AY178" s="439"/>
      <c r="AZ178" s="469">
        <f t="shared" ref="AZ178:AZ188" si="94">ROUND(AY$181/(1+EXP(AY$185+AY$184*$D178)),$G$1)</f>
        <v>3401</v>
      </c>
      <c r="BA178" s="502">
        <f t="shared" ref="BA178:BA185" si="95">($B178-AZ178)^2/1000</f>
        <v>2.9159999999999999</v>
      </c>
      <c r="BC178" s="575">
        <f>LN($BE$181/$B178-1)</f>
        <v>4.4523765203598185</v>
      </c>
      <c r="BD178" s="539" t="s">
        <v>335</v>
      </c>
      <c r="BE178" s="439"/>
      <c r="BF178" s="469">
        <f t="shared" ref="BF178:BF188" si="96">ROUND(BE$181/(1+EXP(BE$185+BE$184*$D178)),$G$1)</f>
        <v>3401</v>
      </c>
      <c r="BG178" s="502">
        <f t="shared" ref="BG178:BG185" si="97">($B178-BF178)^2/1000</f>
        <v>2.9159999999999999</v>
      </c>
    </row>
    <row r="179" spans="1:60" ht="15" customHeight="1">
      <c r="A179" s="436">
        <f t="shared" si="75"/>
        <v>2007</v>
      </c>
      <c r="B179" s="437">
        <f t="shared" si="75"/>
        <v>3377</v>
      </c>
      <c r="C179" s="533">
        <f t="shared" si="76"/>
        <v>3.3538290667129642</v>
      </c>
      <c r="D179" s="438">
        <f t="shared" si="77"/>
        <v>2</v>
      </c>
      <c r="E179" s="498" t="s">
        <v>336</v>
      </c>
      <c r="F179" s="439"/>
      <c r="H179" s="574"/>
      <c r="I179" s="443">
        <f t="shared" si="78"/>
        <v>3387</v>
      </c>
      <c r="J179" s="446">
        <f t="shared" si="79"/>
        <v>0.29612081729345574</v>
      </c>
      <c r="K179" s="443">
        <f t="shared" si="80"/>
        <v>0.1</v>
      </c>
      <c r="M179" s="576">
        <f t="shared" si="81"/>
        <v>2.625106240198154</v>
      </c>
      <c r="N179" s="539"/>
      <c r="O179" s="439"/>
      <c r="P179" s="469">
        <f t="shared" si="82"/>
        <v>3387</v>
      </c>
      <c r="Q179" s="443">
        <f t="shared" si="83"/>
        <v>0.1</v>
      </c>
      <c r="S179" s="576">
        <f t="shared" ref="S179:S188" si="98">LN($U$181/$B179-1)</f>
        <v>2.8194275216876981</v>
      </c>
      <c r="T179" s="539"/>
      <c r="U179" s="439"/>
      <c r="V179" s="469">
        <f t="shared" si="84"/>
        <v>3387</v>
      </c>
      <c r="W179" s="443">
        <f t="shared" si="85"/>
        <v>0.1</v>
      </c>
      <c r="Y179" s="576">
        <f t="shared" ref="Y179:Y188" si="99">LN($AA$181/$B179-1)</f>
        <v>2.9820621218702796</v>
      </c>
      <c r="Z179" s="539"/>
      <c r="AA179" s="439"/>
      <c r="AB179" s="469">
        <f t="shared" si="86"/>
        <v>3387</v>
      </c>
      <c r="AC179" s="443">
        <f t="shared" si="87"/>
        <v>0.1</v>
      </c>
      <c r="AE179" s="576">
        <f t="shared" ref="AE179:AE188" si="100">LN($AG$181/$B179-1)</f>
        <v>3.1219095513703792</v>
      </c>
      <c r="AF179" s="539"/>
      <c r="AG179" s="439"/>
      <c r="AH179" s="469">
        <f t="shared" si="88"/>
        <v>3387</v>
      </c>
      <c r="AI179" s="443">
        <f t="shared" si="89"/>
        <v>0.1</v>
      </c>
      <c r="AK179" s="576">
        <f t="shared" ref="AK179:AK188" si="101">LN($AM$181/$B179-1)</f>
        <v>3.2445776278170162</v>
      </c>
      <c r="AL179" s="539"/>
      <c r="AM179" s="439"/>
      <c r="AN179" s="469">
        <f t="shared" si="90"/>
        <v>3387</v>
      </c>
      <c r="AO179" s="443">
        <f t="shared" si="91"/>
        <v>0.1</v>
      </c>
      <c r="AQ179" s="576">
        <f t="shared" ref="AQ179:AQ188" si="102">LN($AS$181/$B179-1)</f>
        <v>3.3538290667129642</v>
      </c>
      <c r="AR179" s="539"/>
      <c r="AS179" s="439"/>
      <c r="AT179" s="469">
        <f t="shared" si="92"/>
        <v>3387</v>
      </c>
      <c r="AU179" s="443">
        <f t="shared" si="93"/>
        <v>0.1</v>
      </c>
      <c r="AW179" s="576">
        <f t="shared" ref="AW179:AW188" si="103">LN($AY$181/$B179-1)</f>
        <v>4.064300448276744</v>
      </c>
      <c r="AX179" s="539"/>
      <c r="AY179" s="439"/>
      <c r="AZ179" s="469">
        <f t="shared" si="94"/>
        <v>3387</v>
      </c>
      <c r="BA179" s="443">
        <f t="shared" si="95"/>
        <v>0.1</v>
      </c>
      <c r="BC179" s="576">
        <f t="shared" ref="BC179:BC188" si="104">LN($BE$181/$B179-1)</f>
        <v>4.4754742308097493</v>
      </c>
      <c r="BD179" s="539"/>
      <c r="BE179" s="439"/>
      <c r="BF179" s="469">
        <f t="shared" si="96"/>
        <v>3387</v>
      </c>
      <c r="BG179" s="443">
        <f t="shared" si="97"/>
        <v>0.1</v>
      </c>
    </row>
    <row r="180" spans="1:60" ht="15" customHeight="1">
      <c r="A180" s="436">
        <f t="shared" si="75"/>
        <v>2008</v>
      </c>
      <c r="B180" s="437">
        <f t="shared" si="75"/>
        <v>3359</v>
      </c>
      <c r="C180" s="533">
        <f t="shared" si="76"/>
        <v>3.3593597711849315</v>
      </c>
      <c r="D180" s="438">
        <f t="shared" si="77"/>
        <v>3</v>
      </c>
      <c r="H180" s="574"/>
      <c r="I180" s="443">
        <f t="shared" si="78"/>
        <v>3373</v>
      </c>
      <c r="J180" s="446">
        <f t="shared" si="79"/>
        <v>0.41679071152128611</v>
      </c>
      <c r="K180" s="443">
        <f t="shared" si="80"/>
        <v>0.19600000000000001</v>
      </c>
      <c r="M180" s="576">
        <f t="shared" si="81"/>
        <v>2.6308366720055578</v>
      </c>
      <c r="N180" s="539" t="s">
        <v>336</v>
      </c>
      <c r="O180" s="439"/>
      <c r="P180" s="469">
        <f t="shared" si="82"/>
        <v>3373</v>
      </c>
      <c r="Q180" s="443">
        <f t="shared" si="83"/>
        <v>0.19600000000000001</v>
      </c>
      <c r="S180" s="576">
        <f t="shared" si="98"/>
        <v>2.8250897939666859</v>
      </c>
      <c r="T180" s="539" t="s">
        <v>336</v>
      </c>
      <c r="U180" s="439"/>
      <c r="V180" s="469">
        <f t="shared" si="84"/>
        <v>3373</v>
      </c>
      <c r="W180" s="443">
        <f t="shared" si="85"/>
        <v>0.19600000000000001</v>
      </c>
      <c r="Y180" s="576">
        <f t="shared" si="99"/>
        <v>2.9876766931182437</v>
      </c>
      <c r="Z180" s="539" t="s">
        <v>336</v>
      </c>
      <c r="AA180" s="439"/>
      <c r="AB180" s="469">
        <f t="shared" si="86"/>
        <v>3373</v>
      </c>
      <c r="AC180" s="443">
        <f t="shared" si="87"/>
        <v>0.19600000000000001</v>
      </c>
      <c r="AE180" s="576">
        <f t="shared" si="100"/>
        <v>3.1274888709640263</v>
      </c>
      <c r="AF180" s="539" t="s">
        <v>336</v>
      </c>
      <c r="AG180" s="439"/>
      <c r="AH180" s="469">
        <f t="shared" si="88"/>
        <v>3373</v>
      </c>
      <c r="AI180" s="443">
        <f t="shared" si="89"/>
        <v>0.19600000000000001</v>
      </c>
      <c r="AK180" s="576">
        <f t="shared" si="101"/>
        <v>3.2501298340088978</v>
      </c>
      <c r="AL180" s="539" t="s">
        <v>336</v>
      </c>
      <c r="AM180" s="439"/>
      <c r="AN180" s="469">
        <f t="shared" si="90"/>
        <v>3373</v>
      </c>
      <c r="AO180" s="443">
        <f t="shared" si="91"/>
        <v>0.19600000000000001</v>
      </c>
      <c r="AQ180" s="576">
        <f t="shared" si="102"/>
        <v>3.3593597711849315</v>
      </c>
      <c r="AR180" s="539" t="s">
        <v>336</v>
      </c>
      <c r="AS180" s="439"/>
      <c r="AT180" s="469">
        <f t="shared" si="92"/>
        <v>3373</v>
      </c>
      <c r="AU180" s="443">
        <f t="shared" si="93"/>
        <v>0.19600000000000001</v>
      </c>
      <c r="AW180" s="576">
        <f t="shared" si="103"/>
        <v>4.0697364206099511</v>
      </c>
      <c r="AX180" s="539" t="s">
        <v>336</v>
      </c>
      <c r="AY180" s="439"/>
      <c r="AZ180" s="469">
        <f t="shared" si="94"/>
        <v>3373</v>
      </c>
      <c r="BA180" s="443">
        <f t="shared" si="95"/>
        <v>0.19600000000000001</v>
      </c>
      <c r="BC180" s="576">
        <f t="shared" si="104"/>
        <v>4.480879342831189</v>
      </c>
      <c r="BD180" s="539" t="s">
        <v>336</v>
      </c>
      <c r="BE180" s="439"/>
      <c r="BF180" s="469">
        <f t="shared" si="96"/>
        <v>3373</v>
      </c>
      <c r="BG180" s="443">
        <f t="shared" si="97"/>
        <v>0.19600000000000001</v>
      </c>
    </row>
    <row r="181" spans="1:60" ht="15" customHeight="1">
      <c r="A181" s="436">
        <f t="shared" si="75"/>
        <v>2009</v>
      </c>
      <c r="B181" s="437">
        <f t="shared" si="75"/>
        <v>3318</v>
      </c>
      <c r="C181" s="533">
        <f t="shared" si="76"/>
        <v>3.3720650506548808</v>
      </c>
      <c r="D181" s="438">
        <f t="shared" si="77"/>
        <v>4</v>
      </c>
      <c r="E181" s="540"/>
      <c r="G181" s="451"/>
      <c r="H181" s="442"/>
      <c r="I181" s="443">
        <f t="shared" si="78"/>
        <v>3359</v>
      </c>
      <c r="J181" s="446">
        <f t="shared" si="79"/>
        <v>1.2356841470765521</v>
      </c>
      <c r="K181" s="443">
        <f t="shared" si="80"/>
        <v>1.681</v>
      </c>
      <c r="M181" s="576">
        <f t="shared" si="81"/>
        <v>2.6439964596337426</v>
      </c>
      <c r="N181" s="439" t="s">
        <v>337</v>
      </c>
      <c r="O181" s="577">
        <f>E200</f>
        <v>50000</v>
      </c>
      <c r="P181" s="469">
        <f t="shared" si="82"/>
        <v>3359</v>
      </c>
      <c r="Q181" s="443">
        <f t="shared" si="83"/>
        <v>1.681</v>
      </c>
      <c r="S181" s="576">
        <f t="shared" si="98"/>
        <v>2.8380945082467997</v>
      </c>
      <c r="T181" s="439" t="s">
        <v>337</v>
      </c>
      <c r="U181" s="363">
        <f>E201</f>
        <v>60000</v>
      </c>
      <c r="V181" s="469">
        <f t="shared" si="84"/>
        <v>3359</v>
      </c>
      <c r="W181" s="443">
        <f t="shared" si="85"/>
        <v>1.681</v>
      </c>
      <c r="Y181" s="576">
        <f t="shared" si="99"/>
        <v>3.0005728596657293</v>
      </c>
      <c r="Z181" s="439" t="s">
        <v>337</v>
      </c>
      <c r="AA181" s="363">
        <f>E202</f>
        <v>70000</v>
      </c>
      <c r="AB181" s="469">
        <f t="shared" si="86"/>
        <v>3359</v>
      </c>
      <c r="AC181" s="443">
        <f t="shared" si="87"/>
        <v>1.681</v>
      </c>
      <c r="AE181" s="576">
        <f t="shared" si="100"/>
        <v>3.1403048084894993</v>
      </c>
      <c r="AF181" s="439" t="s">
        <v>337</v>
      </c>
      <c r="AG181" s="363">
        <f>E203</f>
        <v>80000</v>
      </c>
      <c r="AH181" s="469">
        <f t="shared" si="88"/>
        <v>3359</v>
      </c>
      <c r="AI181" s="443">
        <f t="shared" si="89"/>
        <v>1.681</v>
      </c>
      <c r="AK181" s="576">
        <f t="shared" si="101"/>
        <v>3.2628840580070464</v>
      </c>
      <c r="AL181" s="439" t="s">
        <v>337</v>
      </c>
      <c r="AM181" s="363">
        <f>E204</f>
        <v>90000</v>
      </c>
      <c r="AN181" s="469">
        <f t="shared" si="90"/>
        <v>3359</v>
      </c>
      <c r="AO181" s="443">
        <f t="shared" si="91"/>
        <v>1.681</v>
      </c>
      <c r="AQ181" s="576">
        <f t="shared" si="102"/>
        <v>3.3720650506548808</v>
      </c>
      <c r="AR181" s="439" t="s">
        <v>337</v>
      </c>
      <c r="AS181" s="363">
        <f>E205</f>
        <v>100000</v>
      </c>
      <c r="AT181" s="469">
        <f t="shared" si="92"/>
        <v>3359</v>
      </c>
      <c r="AU181" s="443">
        <f t="shared" si="93"/>
        <v>1.681</v>
      </c>
      <c r="AW181" s="576">
        <f t="shared" si="103"/>
        <v>4.0822260195258995</v>
      </c>
      <c r="AX181" s="439" t="s">
        <v>337</v>
      </c>
      <c r="AY181" s="363">
        <f>E206</f>
        <v>200000</v>
      </c>
      <c r="AZ181" s="469">
        <f t="shared" si="94"/>
        <v>3359</v>
      </c>
      <c r="BA181" s="443">
        <f t="shared" si="95"/>
        <v>1.681</v>
      </c>
      <c r="BC181" s="576">
        <f t="shared" si="104"/>
        <v>4.4932986663474379</v>
      </c>
      <c r="BD181" s="439" t="s">
        <v>337</v>
      </c>
      <c r="BE181" s="363">
        <f>E207</f>
        <v>300000</v>
      </c>
      <c r="BF181" s="469">
        <f t="shared" si="96"/>
        <v>3359</v>
      </c>
      <c r="BG181" s="443">
        <f t="shared" si="97"/>
        <v>1.681</v>
      </c>
    </row>
    <row r="182" spans="1:60" ht="15" customHeight="1">
      <c r="A182" s="436">
        <f t="shared" si="75"/>
        <v>2010</v>
      </c>
      <c r="B182" s="437">
        <f t="shared" si="75"/>
        <v>3364</v>
      </c>
      <c r="C182" s="533">
        <f t="shared" si="76"/>
        <v>3.3578206004907067</v>
      </c>
      <c r="D182" s="438">
        <f t="shared" si="77"/>
        <v>5</v>
      </c>
      <c r="E182" s="540" t="s">
        <v>337</v>
      </c>
      <c r="F182" s="577">
        <f>INDEX(E200:L207,MATCH(1,L200:L207,0),1)</f>
        <v>100000</v>
      </c>
      <c r="G182" s="451"/>
      <c r="I182" s="443">
        <f t="shared" si="78"/>
        <v>3345</v>
      </c>
      <c r="J182" s="446">
        <f t="shared" si="79"/>
        <v>0.56480380499405469</v>
      </c>
      <c r="K182" s="443">
        <f t="shared" si="80"/>
        <v>0.36099999999999999</v>
      </c>
      <c r="M182" s="576">
        <f t="shared" si="81"/>
        <v>2.6292420329603434</v>
      </c>
      <c r="N182" s="578" t="s">
        <v>417</v>
      </c>
      <c r="O182" s="505">
        <f>MAX($B178:$B188)</f>
        <v>3455</v>
      </c>
      <c r="P182" s="469">
        <f t="shared" si="82"/>
        <v>3345</v>
      </c>
      <c r="Q182" s="443">
        <f t="shared" si="83"/>
        <v>0.36099999999999999</v>
      </c>
      <c r="S182" s="576">
        <f t="shared" si="98"/>
        <v>2.8235140833120229</v>
      </c>
      <c r="T182" s="578" t="s">
        <v>417</v>
      </c>
      <c r="U182" s="505">
        <f>MAX($B178:$B188)</f>
        <v>3455</v>
      </c>
      <c r="V182" s="469">
        <f t="shared" si="84"/>
        <v>3345</v>
      </c>
      <c r="W182" s="443">
        <f t="shared" si="85"/>
        <v>0.36099999999999999</v>
      </c>
      <c r="Y182" s="576">
        <f t="shared" si="99"/>
        <v>2.9861142299367689</v>
      </c>
      <c r="Z182" s="578" t="s">
        <v>417</v>
      </c>
      <c r="AA182" s="505">
        <f>MAX($B178:$B188)</f>
        <v>3455</v>
      </c>
      <c r="AB182" s="469">
        <f t="shared" si="86"/>
        <v>3345</v>
      </c>
      <c r="AC182" s="443">
        <f t="shared" si="87"/>
        <v>0.36099999999999999</v>
      </c>
      <c r="AE182" s="576">
        <f t="shared" si="100"/>
        <v>3.1259361981230445</v>
      </c>
      <c r="AF182" s="578" t="s">
        <v>417</v>
      </c>
      <c r="AG182" s="505">
        <f>MAX($B178:$B188)</f>
        <v>3455</v>
      </c>
      <c r="AH182" s="469">
        <f t="shared" si="88"/>
        <v>3345</v>
      </c>
      <c r="AI182" s="443">
        <f t="shared" si="89"/>
        <v>0.36099999999999999</v>
      </c>
      <c r="AK182" s="576">
        <f t="shared" si="101"/>
        <v>3.248584691464548</v>
      </c>
      <c r="AL182" s="578" t="s">
        <v>417</v>
      </c>
      <c r="AM182" s="505">
        <f>MAX($B178:$B188)</f>
        <v>3455</v>
      </c>
      <c r="AN182" s="469">
        <f t="shared" si="90"/>
        <v>3345</v>
      </c>
      <c r="AO182" s="443">
        <f t="shared" si="91"/>
        <v>0.36099999999999999</v>
      </c>
      <c r="AQ182" s="576">
        <f t="shared" si="102"/>
        <v>3.3578206004907067</v>
      </c>
      <c r="AR182" s="578" t="s">
        <v>417</v>
      </c>
      <c r="AS182" s="505">
        <f>MAX($B178:$B188)</f>
        <v>3455</v>
      </c>
      <c r="AT182" s="469">
        <f t="shared" si="92"/>
        <v>3345</v>
      </c>
      <c r="AU182" s="443">
        <f t="shared" si="93"/>
        <v>0.36099999999999999</v>
      </c>
      <c r="AW182" s="576">
        <f t="shared" si="103"/>
        <v>4.0682235617588738</v>
      </c>
      <c r="AX182" s="578" t="s">
        <v>417</v>
      </c>
      <c r="AY182" s="505">
        <f>MAX($B178:$B188)</f>
        <v>3455</v>
      </c>
      <c r="AZ182" s="469">
        <f t="shared" si="94"/>
        <v>3345</v>
      </c>
      <c r="BA182" s="443">
        <f t="shared" si="95"/>
        <v>0.36099999999999999</v>
      </c>
      <c r="BC182" s="576">
        <f t="shared" si="104"/>
        <v>4.4793750558177292</v>
      </c>
      <c r="BD182" s="578" t="s">
        <v>417</v>
      </c>
      <c r="BE182" s="505">
        <f>MAX($B178:$B188)</f>
        <v>3455</v>
      </c>
      <c r="BF182" s="469">
        <f t="shared" si="96"/>
        <v>3345</v>
      </c>
      <c r="BG182" s="443">
        <f t="shared" si="97"/>
        <v>0.36099999999999999</v>
      </c>
    </row>
    <row r="183" spans="1:60" ht="15" customHeight="1">
      <c r="A183" s="436">
        <f t="shared" si="75"/>
        <v>2011</v>
      </c>
      <c r="B183" s="437">
        <f t="shared" si="75"/>
        <v>3307</v>
      </c>
      <c r="C183" s="533">
        <f t="shared" si="76"/>
        <v>3.3754995770079574</v>
      </c>
      <c r="D183" s="438">
        <f t="shared" si="77"/>
        <v>6</v>
      </c>
      <c r="E183" s="578" t="s">
        <v>417</v>
      </c>
      <c r="F183" s="505">
        <f>MAX(B178:B188)</f>
        <v>3455</v>
      </c>
      <c r="G183" s="451"/>
      <c r="H183" s="442"/>
      <c r="I183" s="443">
        <f t="shared" si="78"/>
        <v>3331</v>
      </c>
      <c r="J183" s="446">
        <f t="shared" si="79"/>
        <v>0.72573329301481704</v>
      </c>
      <c r="K183" s="443">
        <f t="shared" si="80"/>
        <v>0.57599999999999996</v>
      </c>
      <c r="M183" s="576">
        <f t="shared" si="81"/>
        <v>2.6475528265065087</v>
      </c>
      <c r="N183" s="578" t="s">
        <v>418</v>
      </c>
      <c r="O183" s="505">
        <f>AVERAGE($B184:$B188)</f>
        <v>3293.8</v>
      </c>
      <c r="P183" s="469">
        <f t="shared" si="82"/>
        <v>3331</v>
      </c>
      <c r="Q183" s="443">
        <f t="shared" si="83"/>
        <v>0.57599999999999996</v>
      </c>
      <c r="S183" s="576">
        <f t="shared" si="98"/>
        <v>2.8416093123225106</v>
      </c>
      <c r="T183" s="578" t="s">
        <v>418</v>
      </c>
      <c r="U183" s="505">
        <f>AVERAGE($B184:$B188)</f>
        <v>3293.8</v>
      </c>
      <c r="V183" s="469">
        <f t="shared" si="84"/>
        <v>3331</v>
      </c>
      <c r="W183" s="443">
        <f t="shared" si="85"/>
        <v>0.57599999999999996</v>
      </c>
      <c r="Y183" s="576">
        <f t="shared" si="99"/>
        <v>3.0040585658883083</v>
      </c>
      <c r="Z183" s="578" t="s">
        <v>418</v>
      </c>
      <c r="AA183" s="505">
        <f>AVERAGE($B184:$B188)</f>
        <v>3293.8</v>
      </c>
      <c r="AB183" s="469">
        <f t="shared" si="86"/>
        <v>3331</v>
      </c>
      <c r="AC183" s="443">
        <f t="shared" si="87"/>
        <v>0.57599999999999996</v>
      </c>
      <c r="AE183" s="576">
        <f t="shared" si="100"/>
        <v>3.1437690055411456</v>
      </c>
      <c r="AF183" s="578" t="s">
        <v>418</v>
      </c>
      <c r="AG183" s="505">
        <f>AVERAGE($B184:$B188)</f>
        <v>3293.8</v>
      </c>
      <c r="AH183" s="469">
        <f t="shared" si="88"/>
        <v>3331</v>
      </c>
      <c r="AI183" s="443">
        <f t="shared" si="89"/>
        <v>0.57599999999999996</v>
      </c>
      <c r="AK183" s="576">
        <f t="shared" si="101"/>
        <v>3.2663317083497141</v>
      </c>
      <c r="AL183" s="578" t="s">
        <v>418</v>
      </c>
      <c r="AM183" s="505">
        <f>AVERAGE($B184:$B188)</f>
        <v>3293.8</v>
      </c>
      <c r="AN183" s="469">
        <f t="shared" si="90"/>
        <v>3331</v>
      </c>
      <c r="AO183" s="443">
        <f t="shared" si="91"/>
        <v>0.57599999999999996</v>
      </c>
      <c r="AQ183" s="576">
        <f t="shared" si="102"/>
        <v>3.3754995770079574</v>
      </c>
      <c r="AR183" s="578" t="s">
        <v>418</v>
      </c>
      <c r="AS183" s="505">
        <f>AVERAGE($B184:$B188)</f>
        <v>3293.8</v>
      </c>
      <c r="AT183" s="469">
        <f t="shared" si="92"/>
        <v>3331</v>
      </c>
      <c r="AU183" s="443">
        <f t="shared" si="93"/>
        <v>0.57599999999999996</v>
      </c>
      <c r="AW183" s="576">
        <f t="shared" si="103"/>
        <v>4.0856027035735067</v>
      </c>
      <c r="AX183" s="578" t="s">
        <v>418</v>
      </c>
      <c r="AY183" s="505">
        <f>AVERAGE($B184:$B188)</f>
        <v>3293.8</v>
      </c>
      <c r="AZ183" s="469">
        <f t="shared" si="94"/>
        <v>3331</v>
      </c>
      <c r="BA183" s="443">
        <f t="shared" si="95"/>
        <v>0.57599999999999996</v>
      </c>
      <c r="BC183" s="576">
        <f t="shared" si="104"/>
        <v>4.496656500164069</v>
      </c>
      <c r="BD183" s="578" t="s">
        <v>418</v>
      </c>
      <c r="BE183" s="505">
        <f>AVERAGE($B184:$B188)</f>
        <v>3293.8</v>
      </c>
      <c r="BF183" s="469">
        <f t="shared" si="96"/>
        <v>3331</v>
      </c>
      <c r="BG183" s="443">
        <f t="shared" si="97"/>
        <v>0.57599999999999996</v>
      </c>
    </row>
    <row r="184" spans="1:60" ht="15" customHeight="1">
      <c r="A184" s="436">
        <f t="shared" si="75"/>
        <v>2012</v>
      </c>
      <c r="B184" s="437">
        <f t="shared" si="75"/>
        <v>3313</v>
      </c>
      <c r="C184" s="533">
        <f t="shared" si="76"/>
        <v>3.3736248337028658</v>
      </c>
      <c r="D184" s="438">
        <f t="shared" si="77"/>
        <v>7</v>
      </c>
      <c r="E184" s="578" t="s">
        <v>418</v>
      </c>
      <c r="F184" s="505">
        <f>AVERAGE(B184:B188)</f>
        <v>3293.8</v>
      </c>
      <c r="G184" s="451"/>
      <c r="H184" s="442"/>
      <c r="I184" s="443">
        <f t="shared" si="78"/>
        <v>3317</v>
      </c>
      <c r="J184" s="446">
        <f t="shared" si="79"/>
        <v>0.12073649260488982</v>
      </c>
      <c r="K184" s="443">
        <f t="shared" si="80"/>
        <v>1.6E-2</v>
      </c>
      <c r="M184" s="576">
        <f t="shared" si="81"/>
        <v>2.6456116300132448</v>
      </c>
      <c r="N184" s="579" t="s">
        <v>419</v>
      </c>
      <c r="O184" s="504">
        <f>INDEX(LINEST(M178:M188,$D178:$D188),1)</f>
        <v>4.4503281817490584E-3</v>
      </c>
      <c r="P184" s="469">
        <f t="shared" si="82"/>
        <v>3318</v>
      </c>
      <c r="Q184" s="443">
        <f>($B184-P184)^2/1000</f>
        <v>2.5000000000000001E-2</v>
      </c>
      <c r="S184" s="576">
        <f t="shared" si="98"/>
        <v>2.839690784232038</v>
      </c>
      <c r="T184" s="579" t="s">
        <v>419</v>
      </c>
      <c r="U184" s="504">
        <f>INDEX(LINEST(S178:S188,$D178:$D188),1)</f>
        <v>4.3977735021642119E-3</v>
      </c>
      <c r="V184" s="469">
        <f t="shared" si="84"/>
        <v>3318</v>
      </c>
      <c r="W184" s="443">
        <f>($B184-V184)^2/1000</f>
        <v>2.5000000000000001E-2</v>
      </c>
      <c r="Y184" s="576">
        <f t="shared" si="99"/>
        <v>3.0021559080591236</v>
      </c>
      <c r="Z184" s="579" t="s">
        <v>419</v>
      </c>
      <c r="AA184" s="504">
        <f>INDEX(LINEST(Y178:Y188,$D178:$D188),1)</f>
        <v>4.3609882410791641E-3</v>
      </c>
      <c r="AB184" s="469">
        <f t="shared" si="86"/>
        <v>3318</v>
      </c>
      <c r="AC184" s="443">
        <f t="shared" si="87"/>
        <v>2.5000000000000001E-2</v>
      </c>
      <c r="AE184" s="576">
        <f t="shared" si="100"/>
        <v>3.1418780791647163</v>
      </c>
      <c r="AF184" s="579" t="s">
        <v>419</v>
      </c>
      <c r="AG184" s="504">
        <f>INDEX(LINEST(AE178:AE188,$D178:$D188),1)</f>
        <v>4.3338007276829769E-3</v>
      </c>
      <c r="AH184" s="469">
        <f t="shared" si="88"/>
        <v>3318</v>
      </c>
      <c r="AI184" s="443">
        <f t="shared" si="89"/>
        <v>2.5000000000000001E-2</v>
      </c>
      <c r="AK184" s="576">
        <f t="shared" si="101"/>
        <v>3.2644498068963892</v>
      </c>
      <c r="AL184" s="579" t="s">
        <v>419</v>
      </c>
      <c r="AM184" s="504">
        <f>INDEX(LINEST(AK178:AK188,$D178:$D188),1)</f>
        <v>4.3128881757450929E-3</v>
      </c>
      <c r="AN184" s="469">
        <f t="shared" si="90"/>
        <v>3318</v>
      </c>
      <c r="AO184" s="443">
        <f t="shared" si="91"/>
        <v>2.5000000000000001E-2</v>
      </c>
      <c r="AQ184" s="576">
        <f t="shared" si="102"/>
        <v>3.3736248337028658</v>
      </c>
      <c r="AR184" s="579" t="s">
        <v>419</v>
      </c>
      <c r="AS184" s="504">
        <f>INDEX(LINEST(AQ178:AQ188,$D178:$D188),1)</f>
        <v>4.2963029268799687E-3</v>
      </c>
      <c r="AT184" s="469">
        <f t="shared" si="92"/>
        <v>3317</v>
      </c>
      <c r="AU184" s="443">
        <f t="shared" si="93"/>
        <v>1.6E-2</v>
      </c>
      <c r="AW184" s="576">
        <f t="shared" si="103"/>
        <v>4.0837595094000454</v>
      </c>
      <c r="AX184" s="579" t="s">
        <v>419</v>
      </c>
      <c r="AY184" s="504">
        <f>INDEX(LINEST(AW178:AW188,$D178:$D188),1)</f>
        <v>4.2232213666603367E-3</v>
      </c>
      <c r="AZ184" s="469">
        <f t="shared" si="94"/>
        <v>3317</v>
      </c>
      <c r="BA184" s="443">
        <f t="shared" si="95"/>
        <v>1.6E-2</v>
      </c>
      <c r="BC184" s="576">
        <f t="shared" si="104"/>
        <v>4.4948235877174474</v>
      </c>
      <c r="BD184" s="579" t="s">
        <v>419</v>
      </c>
      <c r="BE184" s="504">
        <f>INDEX(LINEST(BC178:BC188,$D178:$D188),1)</f>
        <v>4.1994103747438876E-3</v>
      </c>
      <c r="BF184" s="469">
        <f t="shared" si="96"/>
        <v>3317</v>
      </c>
      <c r="BG184" s="443">
        <f t="shared" si="97"/>
        <v>1.6E-2</v>
      </c>
    </row>
    <row r="185" spans="1:60" ht="15" customHeight="1">
      <c r="A185" s="436">
        <f t="shared" si="75"/>
        <v>2013</v>
      </c>
      <c r="B185" s="437">
        <f t="shared" si="75"/>
        <v>3326</v>
      </c>
      <c r="C185" s="533">
        <f t="shared" si="76"/>
        <v>3.3695741127332584</v>
      </c>
      <c r="D185" s="438">
        <f t="shared" ref="D185:D210" si="105">D184+1</f>
        <v>8</v>
      </c>
      <c r="G185" s="451"/>
      <c r="H185" s="442"/>
      <c r="I185" s="443">
        <f t="shared" si="78"/>
        <v>3304</v>
      </c>
      <c r="J185" s="446">
        <f t="shared" si="79"/>
        <v>0.66145520144317504</v>
      </c>
      <c r="K185" s="443">
        <f t="shared" si="80"/>
        <v>0.48399999999999999</v>
      </c>
      <c r="M185" s="576">
        <f t="shared" si="81"/>
        <v>2.641416883681956</v>
      </c>
      <c r="N185" s="439" t="s">
        <v>385</v>
      </c>
      <c r="O185" s="504">
        <f>INDEX(LINEST(M178:M188,$D178:$D188),2)</f>
        <v>2.6130017317016052</v>
      </c>
      <c r="P185" s="469">
        <f t="shared" si="82"/>
        <v>3304</v>
      </c>
      <c r="Q185" s="443">
        <f>($B185-P185)^2/1000</f>
        <v>0.48399999999999999</v>
      </c>
      <c r="S185" s="576">
        <f t="shared" si="98"/>
        <v>2.8355451710031421</v>
      </c>
      <c r="T185" s="439" t="s">
        <v>385</v>
      </c>
      <c r="U185" s="504">
        <f>INDEX(LINEST(S178:S188,$D178:$D188),2)</f>
        <v>2.8074672168897981</v>
      </c>
      <c r="V185" s="469">
        <f t="shared" si="84"/>
        <v>3304</v>
      </c>
      <c r="W185" s="443">
        <f>($B185-V185)^2/1000</f>
        <v>0.48399999999999999</v>
      </c>
      <c r="Y185" s="576">
        <f t="shared" si="99"/>
        <v>2.9980446910596346</v>
      </c>
      <c r="Z185" s="439" t="s">
        <v>385</v>
      </c>
      <c r="AA185" s="504">
        <f>INDEX(LINEST(Y178:Y188,$D178:$D188),2)</f>
        <v>2.9702027329354719</v>
      </c>
      <c r="AB185" s="469">
        <f t="shared" si="86"/>
        <v>3304</v>
      </c>
      <c r="AC185" s="443">
        <f t="shared" si="87"/>
        <v>0.48399999999999999</v>
      </c>
      <c r="AE185" s="576">
        <f t="shared" si="100"/>
        <v>3.1377922870838852</v>
      </c>
      <c r="AF185" s="439" t="s">
        <v>385</v>
      </c>
      <c r="AG185" s="504">
        <f>INDEX(LINEST(AE178:AE188,$D178:$D188),2)</f>
        <v>3.1101247382933854</v>
      </c>
      <c r="AH185" s="469">
        <f t="shared" si="88"/>
        <v>3304</v>
      </c>
      <c r="AI185" s="443">
        <f t="shared" si="89"/>
        <v>0.48399999999999999</v>
      </c>
      <c r="AK185" s="576">
        <f t="shared" si="101"/>
        <v>3.2603835733816178</v>
      </c>
      <c r="AL185" s="439" t="s">
        <v>385</v>
      </c>
      <c r="AM185" s="504">
        <f>INDEX(LINEST(AK178:AK188,$D178:$D188),2)</f>
        <v>3.2328501726204855</v>
      </c>
      <c r="AN185" s="469">
        <f t="shared" si="90"/>
        <v>3304</v>
      </c>
      <c r="AO185" s="443">
        <f t="shared" si="91"/>
        <v>0.48399999999999999</v>
      </c>
      <c r="AQ185" s="576">
        <f t="shared" si="102"/>
        <v>3.3695741127332584</v>
      </c>
      <c r="AR185" s="439" t="s">
        <v>385</v>
      </c>
      <c r="AS185" s="504">
        <f>INDEX(LINEST(AQ178:AQ188,$D178:$D188),2)</f>
        <v>3.3421470972049079</v>
      </c>
      <c r="AT185" s="469">
        <f t="shared" si="92"/>
        <v>3304</v>
      </c>
      <c r="AU185" s="443">
        <f t="shared" si="93"/>
        <v>0.48399999999999999</v>
      </c>
      <c r="AW185" s="576">
        <f t="shared" si="103"/>
        <v>4.0797771549013273</v>
      </c>
      <c r="AX185" s="439" t="s">
        <v>385</v>
      </c>
      <c r="AY185" s="504">
        <f>INDEX(LINEST(AW178:AW188,$D178:$D188),2)</f>
        <v>4.0528188710800697</v>
      </c>
      <c r="AZ185" s="469">
        <f t="shared" si="94"/>
        <v>3304</v>
      </c>
      <c r="BA185" s="443">
        <f t="shared" si="95"/>
        <v>0.48399999999999999</v>
      </c>
      <c r="BC185" s="576">
        <f t="shared" si="104"/>
        <v>4.4908635120829512</v>
      </c>
      <c r="BD185" s="439" t="s">
        <v>385</v>
      </c>
      <c r="BE185" s="504">
        <f>INDEX(LINEST(BC178:BC188,$D178:$D188),2)</f>
        <v>4.4640579313119364</v>
      </c>
      <c r="BF185" s="469">
        <f t="shared" si="96"/>
        <v>3304</v>
      </c>
      <c r="BG185" s="443">
        <f t="shared" si="97"/>
        <v>0.48399999999999999</v>
      </c>
    </row>
    <row r="186" spans="1:60" ht="15" customHeight="1">
      <c r="A186" s="436">
        <f t="shared" si="75"/>
        <v>2014</v>
      </c>
      <c r="B186" s="437">
        <f t="shared" si="75"/>
        <v>3270</v>
      </c>
      <c r="C186" s="580">
        <f t="shared" si="76"/>
        <v>3.3871336072852936</v>
      </c>
      <c r="D186" s="508">
        <f t="shared" si="105"/>
        <v>9</v>
      </c>
      <c r="E186" s="581" t="s">
        <v>419</v>
      </c>
      <c r="F186" s="504">
        <f>INDEX(LINEST(C178:C188,D178:D188),1)</f>
        <v>4.2963029268799687E-3</v>
      </c>
      <c r="G186" s="582"/>
      <c r="H186" s="442"/>
      <c r="I186" s="443">
        <f t="shared" si="78"/>
        <v>3290</v>
      </c>
      <c r="J186" s="467">
        <f t="shared" si="79"/>
        <v>0.6116207951070336</v>
      </c>
      <c r="K186" s="443">
        <f t="shared" si="80"/>
        <v>0.4</v>
      </c>
      <c r="M186" s="576">
        <f t="shared" si="81"/>
        <v>2.6595963718031728</v>
      </c>
      <c r="N186" s="578" t="s">
        <v>381</v>
      </c>
      <c r="O186" s="583">
        <f>O184*-1</f>
        <v>-4.4503281817490584E-3</v>
      </c>
      <c r="P186" s="469">
        <f t="shared" si="82"/>
        <v>3290</v>
      </c>
      <c r="Q186" s="443">
        <f>($B186-P186)^2/1000</f>
        <v>0.4</v>
      </c>
      <c r="S186" s="576">
        <f t="shared" si="98"/>
        <v>2.8535131864293137</v>
      </c>
      <c r="T186" s="578" t="s">
        <v>381</v>
      </c>
      <c r="U186" s="583">
        <f>U184*-1</f>
        <v>-4.3977735021642119E-3</v>
      </c>
      <c r="V186" s="469">
        <f t="shared" si="84"/>
        <v>3290</v>
      </c>
      <c r="W186" s="443">
        <f>($B186-V186)^2/1000</f>
        <v>0.4</v>
      </c>
      <c r="Y186" s="576">
        <f t="shared" si="99"/>
        <v>3.0158646420063531</v>
      </c>
      <c r="Z186" s="578" t="s">
        <v>381</v>
      </c>
      <c r="AA186" s="583">
        <f>AA184*-1</f>
        <v>-4.3609882410791641E-3</v>
      </c>
      <c r="AB186" s="469">
        <f t="shared" si="86"/>
        <v>3290</v>
      </c>
      <c r="AC186" s="443">
        <f>($B186-AB186)^2/1000</f>
        <v>0.4</v>
      </c>
      <c r="AE186" s="576">
        <f t="shared" si="100"/>
        <v>3.1555027812804117</v>
      </c>
      <c r="AF186" s="578" t="s">
        <v>381</v>
      </c>
      <c r="AG186" s="583">
        <f>AG184*-1</f>
        <v>-4.3338007276829769E-3</v>
      </c>
      <c r="AH186" s="469">
        <f t="shared" si="88"/>
        <v>3290</v>
      </c>
      <c r="AI186" s="443">
        <f>($B186-AH186)^2/1000</f>
        <v>0.4</v>
      </c>
      <c r="AK186" s="576">
        <f t="shared" si="101"/>
        <v>3.2780098597872023</v>
      </c>
      <c r="AL186" s="578" t="s">
        <v>381</v>
      </c>
      <c r="AM186" s="583">
        <f>AM184*-1</f>
        <v>-4.3128881757450929E-3</v>
      </c>
      <c r="AN186" s="469">
        <f t="shared" si="90"/>
        <v>3290</v>
      </c>
      <c r="AO186" s="443">
        <f t="shared" si="91"/>
        <v>0.4</v>
      </c>
      <c r="AQ186" s="576">
        <f t="shared" si="102"/>
        <v>3.3871336072852936</v>
      </c>
      <c r="AR186" s="578" t="s">
        <v>381</v>
      </c>
      <c r="AS186" s="583">
        <f>AS184*-1</f>
        <v>-4.2963029268799687E-3</v>
      </c>
      <c r="AT186" s="469">
        <f t="shared" si="92"/>
        <v>3290</v>
      </c>
      <c r="AU186" s="443">
        <f>($B186-AT186)^2/1000</f>
        <v>0.4</v>
      </c>
      <c r="AW186" s="576">
        <f t="shared" si="103"/>
        <v>4.0970422453790123</v>
      </c>
      <c r="AX186" s="578" t="s">
        <v>381</v>
      </c>
      <c r="AY186" s="583">
        <f>AY184*-1</f>
        <v>-4.2232213666603367E-3</v>
      </c>
      <c r="AZ186" s="469">
        <f t="shared" si="94"/>
        <v>3290</v>
      </c>
      <c r="BA186" s="443">
        <f>($B186-AZ186)^2/1000</f>
        <v>0.4</v>
      </c>
      <c r="BC186" s="576">
        <f t="shared" si="104"/>
        <v>4.5080326495106968</v>
      </c>
      <c r="BD186" s="578" t="s">
        <v>381</v>
      </c>
      <c r="BE186" s="583">
        <f>BE184*-1</f>
        <v>-4.1994103747438876E-3</v>
      </c>
      <c r="BF186" s="469">
        <f t="shared" si="96"/>
        <v>3290</v>
      </c>
      <c r="BG186" s="443">
        <f>($B186-BF186)^2/1000</f>
        <v>0.4</v>
      </c>
    </row>
    <row r="187" spans="1:60" ht="15" customHeight="1">
      <c r="A187" s="436">
        <f t="shared" si="75"/>
        <v>2015</v>
      </c>
      <c r="B187" s="437">
        <f t="shared" si="75"/>
        <v>3243</v>
      </c>
      <c r="C187" s="580">
        <f t="shared" si="76"/>
        <v>3.3957038533886612</v>
      </c>
      <c r="D187" s="508">
        <f t="shared" si="105"/>
        <v>10</v>
      </c>
      <c r="E187" s="540" t="s">
        <v>385</v>
      </c>
      <c r="F187" s="504">
        <f>INDEX(LINEST(C178:C188,D178:D188),2)</f>
        <v>3.3421470972049079</v>
      </c>
      <c r="G187" s="451"/>
      <c r="H187" s="439"/>
      <c r="I187" s="443">
        <f t="shared" si="78"/>
        <v>3276</v>
      </c>
      <c r="J187" s="467">
        <f t="shared" si="79"/>
        <v>1.0175763182238668</v>
      </c>
      <c r="K187" s="443">
        <f t="shared" si="80"/>
        <v>1.089</v>
      </c>
      <c r="M187" s="576">
        <f t="shared" si="81"/>
        <v>2.6684651498210261</v>
      </c>
      <c r="N187" s="439" t="s">
        <v>348</v>
      </c>
      <c r="O187" s="504">
        <f>P177</f>
        <v>0.66550467787919887</v>
      </c>
      <c r="P187" s="469">
        <f t="shared" si="82"/>
        <v>3276</v>
      </c>
      <c r="Q187" s="443">
        <f>($B187-P187)^2/1000</f>
        <v>1.089</v>
      </c>
      <c r="S187" s="576">
        <f t="shared" si="98"/>
        <v>2.8622801694472111</v>
      </c>
      <c r="T187" s="439" t="s">
        <v>348</v>
      </c>
      <c r="U187" s="504">
        <f>V177</f>
        <v>0.66550467787919887</v>
      </c>
      <c r="V187" s="469">
        <f t="shared" si="84"/>
        <v>3276</v>
      </c>
      <c r="W187" s="443">
        <f>($B187-V187)^2/1000</f>
        <v>1.089</v>
      </c>
      <c r="Y187" s="576">
        <f t="shared" si="99"/>
        <v>3.0245603333706756</v>
      </c>
      <c r="Z187" s="439" t="s">
        <v>321</v>
      </c>
      <c r="AA187" s="504">
        <f>AB177</f>
        <v>0.66550467787919887</v>
      </c>
      <c r="AB187" s="469">
        <f t="shared" si="86"/>
        <v>3276</v>
      </c>
      <c r="AC187" s="443">
        <f>($B187-AB187)^2/1000</f>
        <v>1.089</v>
      </c>
      <c r="AE187" s="576">
        <f t="shared" si="100"/>
        <v>3.1641457601949097</v>
      </c>
      <c r="AF187" s="439" t="s">
        <v>321</v>
      </c>
      <c r="AG187" s="504">
        <f>AH177</f>
        <v>0.66550467787919887</v>
      </c>
      <c r="AH187" s="469">
        <f t="shared" si="88"/>
        <v>3276</v>
      </c>
      <c r="AI187" s="443">
        <f>($B187-AH187)^2/1000</f>
        <v>1.089</v>
      </c>
      <c r="AK187" s="576">
        <f t="shared" si="101"/>
        <v>3.2866122798890434</v>
      </c>
      <c r="AL187" s="439" t="s">
        <v>321</v>
      </c>
      <c r="AM187" s="504">
        <f>AN177</f>
        <v>0.66550467787919887</v>
      </c>
      <c r="AN187" s="469">
        <f t="shared" si="90"/>
        <v>3276</v>
      </c>
      <c r="AO187" s="443">
        <f t="shared" si="91"/>
        <v>1.089</v>
      </c>
      <c r="AQ187" s="576">
        <f t="shared" si="102"/>
        <v>3.3957038533886612</v>
      </c>
      <c r="AR187" s="439" t="s">
        <v>321</v>
      </c>
      <c r="AS187" s="504">
        <f>AT177</f>
        <v>0.66579412116731695</v>
      </c>
      <c r="AT187" s="469">
        <f t="shared" si="92"/>
        <v>3276</v>
      </c>
      <c r="AU187" s="443">
        <f>($B187-AT187)^2/1000</f>
        <v>1.089</v>
      </c>
      <c r="AW187" s="576">
        <f t="shared" si="103"/>
        <v>4.1054706374842986</v>
      </c>
      <c r="AX187" s="439" t="s">
        <v>321</v>
      </c>
      <c r="AY187" s="504">
        <f>AZ177</f>
        <v>0.66579412116731695</v>
      </c>
      <c r="AZ187" s="469">
        <f t="shared" si="94"/>
        <v>3276</v>
      </c>
      <c r="BA187" s="443">
        <f>($B187-AZ187)^2/1000</f>
        <v>1.089</v>
      </c>
      <c r="BC187" s="576">
        <f t="shared" si="104"/>
        <v>4.5164147947659119</v>
      </c>
      <c r="BD187" s="439" t="s">
        <v>321</v>
      </c>
      <c r="BE187" s="504">
        <f>BF177</f>
        <v>0.66579412116731695</v>
      </c>
      <c r="BF187" s="469">
        <f t="shared" si="96"/>
        <v>3276</v>
      </c>
      <c r="BG187" s="443">
        <f>($B187-BF187)^2/1000</f>
        <v>1.089</v>
      </c>
    </row>
    <row r="188" spans="1:60" ht="15" customHeight="1" thickBot="1">
      <c r="A188" s="436">
        <f t="shared" si="75"/>
        <v>2016</v>
      </c>
      <c r="B188" s="437">
        <f t="shared" si="75"/>
        <v>3317</v>
      </c>
      <c r="C188" s="580">
        <f t="shared" si="76"/>
        <v>3.3723768255916706</v>
      </c>
      <c r="D188" s="508">
        <f t="shared" si="105"/>
        <v>11</v>
      </c>
      <c r="E188" s="578" t="s">
        <v>306</v>
      </c>
      <c r="F188" s="583">
        <f>F186*-1</f>
        <v>-4.2963029268799687E-3</v>
      </c>
      <c r="H188" s="558"/>
      <c r="I188" s="443">
        <f t="shared" si="78"/>
        <v>3263</v>
      </c>
      <c r="J188" s="467">
        <f t="shared" si="79"/>
        <v>1.6279770877298765</v>
      </c>
      <c r="K188" s="443">
        <f t="shared" si="80"/>
        <v>2.9159999999999999</v>
      </c>
      <c r="M188" s="576">
        <f t="shared" si="81"/>
        <v>2.6443193127405671</v>
      </c>
      <c r="N188" s="439" t="s">
        <v>322</v>
      </c>
      <c r="O188" s="363">
        <f>SUM(Q178:Q188)</f>
        <v>10.744000000000002</v>
      </c>
      <c r="P188" s="469">
        <f t="shared" si="82"/>
        <v>3263</v>
      </c>
      <c r="Q188" s="443">
        <f>($B188-P188)^2/1000</f>
        <v>2.9159999999999999</v>
      </c>
      <c r="S188" s="584">
        <f t="shared" si="98"/>
        <v>2.8384135821795424</v>
      </c>
      <c r="T188" s="439" t="s">
        <v>322</v>
      </c>
      <c r="U188" s="363">
        <f>SUM(W178:W188)</f>
        <v>10.744000000000002</v>
      </c>
      <c r="V188" s="469">
        <f t="shared" si="84"/>
        <v>3263</v>
      </c>
      <c r="W188" s="443">
        <f>($B188-V188)^2/1000</f>
        <v>2.9159999999999999</v>
      </c>
      <c r="Y188" s="584">
        <f t="shared" si="99"/>
        <v>3.0008892879074125</v>
      </c>
      <c r="Z188" s="439" t="s">
        <v>322</v>
      </c>
      <c r="AA188" s="363">
        <f>SUM(AC178:AC188)</f>
        <v>10.744000000000002</v>
      </c>
      <c r="AB188" s="469">
        <f t="shared" si="86"/>
        <v>3263</v>
      </c>
      <c r="AC188" s="443">
        <f>($B188-AB188)^2/1000</f>
        <v>2.9159999999999999</v>
      </c>
      <c r="AE188" s="584">
        <f t="shared" si="100"/>
        <v>3.1406192810778921</v>
      </c>
      <c r="AF188" s="439" t="s">
        <v>322</v>
      </c>
      <c r="AG188" s="363">
        <f>SUM(AI178:AI188)</f>
        <v>10.744000000000002</v>
      </c>
      <c r="AH188" s="469">
        <f t="shared" si="88"/>
        <v>3263</v>
      </c>
      <c r="AI188" s="443">
        <f>($B188-AH188)^2/1000</f>
        <v>2.9159999999999999</v>
      </c>
      <c r="AK188" s="584">
        <f t="shared" si="101"/>
        <v>3.2631970261643195</v>
      </c>
      <c r="AL188" s="439" t="s">
        <v>322</v>
      </c>
      <c r="AM188" s="363">
        <f>SUM(AO178:AO188)</f>
        <v>10.744000000000002</v>
      </c>
      <c r="AN188" s="469">
        <f t="shared" si="90"/>
        <v>3263</v>
      </c>
      <c r="AO188" s="443">
        <f>($B188-AN188)^2/1000</f>
        <v>2.9159999999999999</v>
      </c>
      <c r="AQ188" s="584">
        <f t="shared" si="102"/>
        <v>3.3723768255916706</v>
      </c>
      <c r="AR188" s="439" t="s">
        <v>322</v>
      </c>
      <c r="AS188" s="363">
        <f>SUM(AU178:AU188)</f>
        <v>10.735000000000001</v>
      </c>
      <c r="AT188" s="469">
        <f t="shared" si="92"/>
        <v>3263</v>
      </c>
      <c r="AU188" s="443">
        <f>($B188-AT188)^2/1000</f>
        <v>2.9159999999999999</v>
      </c>
      <c r="AW188" s="584">
        <f t="shared" si="103"/>
        <v>4.082532535665667</v>
      </c>
      <c r="AX188" s="439" t="s">
        <v>322</v>
      </c>
      <c r="AY188" s="363">
        <f>SUM(BA178:BA188)</f>
        <v>10.735000000000001</v>
      </c>
      <c r="AZ188" s="469">
        <f t="shared" si="94"/>
        <v>3263</v>
      </c>
      <c r="BA188" s="443">
        <f>($B188-AZ188)^2/1000</f>
        <v>2.9159999999999999</v>
      </c>
      <c r="BC188" s="584">
        <f t="shared" si="104"/>
        <v>4.4936034687574002</v>
      </c>
      <c r="BD188" s="439" t="s">
        <v>322</v>
      </c>
      <c r="BE188" s="363">
        <f>SUM(BG178:BG188)</f>
        <v>10.735000000000001</v>
      </c>
      <c r="BF188" s="469">
        <f t="shared" si="96"/>
        <v>3263</v>
      </c>
      <c r="BG188" s="443">
        <f>($B188-BF188)^2/1000</f>
        <v>2.9159999999999999</v>
      </c>
    </row>
    <row r="189" spans="1:60" ht="15" customHeight="1" thickTop="1">
      <c r="A189" s="511">
        <f t="shared" si="75"/>
        <v>2017</v>
      </c>
      <c r="B189" s="459">
        <f t="shared" si="75"/>
        <v>3277</v>
      </c>
      <c r="C189" s="585"/>
      <c r="D189" s="513">
        <f t="shared" si="105"/>
        <v>12</v>
      </c>
      <c r="E189" s="462"/>
      <c r="F189" s="461"/>
      <c r="G189" s="461"/>
      <c r="H189" s="586"/>
      <c r="I189" s="464">
        <f t="shared" si="78"/>
        <v>3249</v>
      </c>
      <c r="J189" s="463"/>
      <c r="K189" s="464"/>
      <c r="M189" s="587"/>
      <c r="N189" s="461"/>
      <c r="O189" s="461"/>
      <c r="P189" s="588"/>
      <c r="Q189" s="589"/>
      <c r="S189" s="587"/>
      <c r="T189" s="461"/>
      <c r="U189" s="461"/>
      <c r="V189" s="588"/>
      <c r="W189" s="589"/>
      <c r="Y189" s="587"/>
      <c r="Z189" s="461"/>
      <c r="AA189" s="461"/>
      <c r="AB189" s="588"/>
      <c r="AC189" s="589"/>
      <c r="AE189" s="587"/>
      <c r="AF189" s="461"/>
      <c r="AG189" s="461"/>
      <c r="AH189" s="588"/>
      <c r="AI189" s="589"/>
      <c r="AK189" s="587"/>
      <c r="AL189" s="461"/>
      <c r="AM189" s="461"/>
      <c r="AN189" s="588"/>
      <c r="AO189" s="589"/>
      <c r="AQ189" s="587"/>
      <c r="AR189" s="461"/>
      <c r="AS189" s="461"/>
      <c r="AT189" s="588"/>
      <c r="AU189" s="589"/>
      <c r="AW189" s="587"/>
      <c r="AX189" s="461"/>
      <c r="AY189" s="461"/>
      <c r="AZ189" s="588"/>
      <c r="BA189" s="589"/>
      <c r="BC189" s="587"/>
      <c r="BD189" s="461"/>
      <c r="BE189" s="461"/>
      <c r="BF189" s="588"/>
      <c r="BG189" s="589"/>
    </row>
    <row r="190" spans="1:60" ht="15" customHeight="1">
      <c r="A190" s="436">
        <f>A154</f>
        <v>2018</v>
      </c>
      <c r="B190" s="437">
        <f t="shared" ref="B190:B210" si="106">ROUND(F$182/(1+EXP(F$187+F$186*D190)),$G$1)</f>
        <v>3236</v>
      </c>
      <c r="C190" s="580"/>
      <c r="D190" s="508">
        <f t="shared" si="105"/>
        <v>13</v>
      </c>
      <c r="E190" s="2318" t="s">
        <v>276</v>
      </c>
      <c r="F190" s="2320"/>
      <c r="G190" s="447">
        <f>I177</f>
        <v>0.66579412116731695</v>
      </c>
      <c r="H190" s="558"/>
      <c r="I190" s="443">
        <f t="shared" si="78"/>
        <v>3236</v>
      </c>
      <c r="J190" s="467"/>
      <c r="K190" s="443"/>
      <c r="M190" s="590"/>
      <c r="N190" s="451"/>
      <c r="O190" s="451"/>
      <c r="P190" s="493"/>
      <c r="Q190" s="492"/>
      <c r="S190" s="590"/>
      <c r="T190" s="451"/>
      <c r="U190" s="451"/>
      <c r="V190" s="493"/>
      <c r="W190" s="492"/>
      <c r="Y190" s="590"/>
      <c r="Z190" s="451"/>
      <c r="AA190" s="451"/>
      <c r="AB190" s="493"/>
      <c r="AC190" s="492"/>
      <c r="AE190" s="590"/>
      <c r="AF190" s="451"/>
      <c r="AG190" s="451"/>
      <c r="AH190" s="493"/>
      <c r="AI190" s="492"/>
      <c r="AK190" s="590"/>
      <c r="AL190" s="451"/>
      <c r="AM190" s="451"/>
      <c r="AN190" s="493"/>
      <c r="AO190" s="492"/>
      <c r="AQ190" s="590"/>
      <c r="AR190" s="451"/>
      <c r="AS190" s="451"/>
      <c r="AT190" s="493"/>
      <c r="AU190" s="492"/>
      <c r="AW190" s="590"/>
      <c r="AX190" s="451"/>
      <c r="AY190" s="451"/>
      <c r="AZ190" s="493"/>
      <c r="BA190" s="492"/>
      <c r="BC190" s="590"/>
      <c r="BD190" s="451"/>
      <c r="BE190" s="451"/>
      <c r="BF190" s="493"/>
      <c r="BG190" s="492"/>
    </row>
    <row r="191" spans="1:60" ht="15" customHeight="1">
      <c r="A191" s="436">
        <f>A155</f>
        <v>2019</v>
      </c>
      <c r="B191" s="437">
        <f t="shared" si="106"/>
        <v>3222</v>
      </c>
      <c r="C191" s="580"/>
      <c r="D191" s="508">
        <f t="shared" si="105"/>
        <v>14</v>
      </c>
      <c r="E191" s="2318" t="s">
        <v>323</v>
      </c>
      <c r="F191" s="2320"/>
      <c r="G191" s="448">
        <f>SUM(K178:K188)</f>
        <v>10.735000000000001</v>
      </c>
      <c r="H191" s="558"/>
      <c r="I191" s="443">
        <f t="shared" si="78"/>
        <v>3222</v>
      </c>
      <c r="J191" s="467"/>
      <c r="K191" s="443"/>
      <c r="M191" s="505" t="str">
        <f>E183</f>
        <v>max(y) =</v>
      </c>
      <c r="N191" s="505">
        <f>F183</f>
        <v>3455</v>
      </c>
      <c r="O191" s="505"/>
      <c r="P191" s="505"/>
      <c r="Q191" s="505"/>
      <c r="R191" s="505"/>
      <c r="S191" s="505" t="str">
        <f>M191</f>
        <v>max(y) =</v>
      </c>
      <c r="T191" s="505">
        <f>N191</f>
        <v>3455</v>
      </c>
      <c r="U191" s="505"/>
      <c r="V191" s="505"/>
      <c r="W191" s="505"/>
      <c r="X191" s="505"/>
      <c r="Y191" s="505" t="str">
        <f>S191</f>
        <v>max(y) =</v>
      </c>
      <c r="Z191" s="505">
        <f>T191</f>
        <v>3455</v>
      </c>
      <c r="AA191" s="505"/>
      <c r="AB191" s="505"/>
      <c r="AC191" s="505"/>
      <c r="AD191" s="505"/>
      <c r="AE191" s="505" t="str">
        <f>Y191</f>
        <v>max(y) =</v>
      </c>
      <c r="AF191" s="505">
        <f>Z191</f>
        <v>3455</v>
      </c>
      <c r="AG191" s="505"/>
      <c r="AH191" s="505"/>
      <c r="AI191" s="505"/>
      <c r="AJ191" s="505"/>
      <c r="AK191" s="505" t="str">
        <f>AE191</f>
        <v>max(y) =</v>
      </c>
      <c r="AL191" s="505">
        <f>AF191</f>
        <v>3455</v>
      </c>
      <c r="AM191" s="505"/>
      <c r="AN191" s="505"/>
      <c r="AO191" s="505"/>
      <c r="AP191" s="505"/>
      <c r="AQ191" s="505" t="str">
        <f>AK191</f>
        <v>max(y) =</v>
      </c>
      <c r="AR191" s="505">
        <f>AL191</f>
        <v>3455</v>
      </c>
      <c r="AS191" s="505"/>
      <c r="AT191" s="505"/>
      <c r="AU191" s="505"/>
      <c r="AV191" s="505"/>
      <c r="AW191" s="505" t="str">
        <f>AQ191</f>
        <v>max(y) =</v>
      </c>
      <c r="AX191" s="505">
        <f>AR191</f>
        <v>3455</v>
      </c>
      <c r="AY191" s="505"/>
      <c r="AZ191" s="505"/>
      <c r="BA191" s="505"/>
      <c r="BB191" s="505"/>
      <c r="BC191" s="505" t="str">
        <f>AW191</f>
        <v>max(y) =</v>
      </c>
      <c r="BD191" s="505">
        <f>AX191</f>
        <v>3455</v>
      </c>
      <c r="BE191" s="505"/>
      <c r="BF191" s="505"/>
      <c r="BG191" s="505"/>
      <c r="BH191" s="505"/>
    </row>
    <row r="192" spans="1:60" ht="15" customHeight="1">
      <c r="A192" s="436">
        <f>A156</f>
        <v>2020</v>
      </c>
      <c r="B192" s="437">
        <f t="shared" si="106"/>
        <v>3209</v>
      </c>
      <c r="C192" s="580"/>
      <c r="D192" s="508">
        <f t="shared" si="105"/>
        <v>15</v>
      </c>
      <c r="E192" s="2318" t="s">
        <v>324</v>
      </c>
      <c r="F192" s="2320"/>
      <c r="G192" s="449">
        <f>SUM(J178:J188)/D199</f>
        <v>0.40188413236976878</v>
      </c>
      <c r="H192" s="558"/>
      <c r="I192" s="443">
        <f t="shared" si="78"/>
        <v>3209</v>
      </c>
      <c r="J192" s="467"/>
      <c r="K192" s="443"/>
      <c r="M192" s="505" t="s">
        <v>326</v>
      </c>
      <c r="N192" s="505">
        <v>3</v>
      </c>
      <c r="O192" s="505"/>
      <c r="P192" s="505"/>
      <c r="Q192" s="505"/>
      <c r="R192" s="505"/>
      <c r="S192" s="505" t="s">
        <v>326</v>
      </c>
      <c r="T192" s="505">
        <f>N192</f>
        <v>3</v>
      </c>
      <c r="U192" s="505"/>
      <c r="V192" s="505"/>
      <c r="W192" s="505"/>
      <c r="X192" s="505"/>
      <c r="Y192" s="505" t="s">
        <v>365</v>
      </c>
      <c r="Z192" s="505">
        <f>T192</f>
        <v>3</v>
      </c>
      <c r="AA192" s="505"/>
      <c r="AB192" s="505"/>
      <c r="AC192" s="505"/>
      <c r="AD192" s="505"/>
      <c r="AE192" s="505" t="s">
        <v>366</v>
      </c>
      <c r="AF192" s="505">
        <f>Z192</f>
        <v>3</v>
      </c>
      <c r="AG192" s="505"/>
      <c r="AH192" s="505"/>
      <c r="AI192" s="505"/>
      <c r="AJ192" s="505"/>
      <c r="AK192" s="505" t="s">
        <v>420</v>
      </c>
      <c r="AL192" s="505">
        <f>AF192</f>
        <v>3</v>
      </c>
      <c r="AM192" s="505"/>
      <c r="AN192" s="505"/>
      <c r="AO192" s="505"/>
      <c r="AP192" s="505"/>
      <c r="AQ192" s="505" t="s">
        <v>326</v>
      </c>
      <c r="AR192" s="505">
        <f>AL192</f>
        <v>3</v>
      </c>
      <c r="AS192" s="505"/>
      <c r="AT192" s="505"/>
      <c r="AU192" s="505"/>
      <c r="AV192" s="505"/>
      <c r="AW192" s="505" t="s">
        <v>326</v>
      </c>
      <c r="AX192" s="505">
        <f>AR192</f>
        <v>3</v>
      </c>
      <c r="AY192" s="505"/>
      <c r="AZ192" s="505"/>
      <c r="BA192" s="505"/>
      <c r="BB192" s="505"/>
      <c r="BC192" s="505" t="s">
        <v>421</v>
      </c>
      <c r="BD192" s="505">
        <f>AX192</f>
        <v>3</v>
      </c>
      <c r="BE192" s="505"/>
      <c r="BF192" s="505"/>
      <c r="BG192" s="505"/>
      <c r="BH192" s="505"/>
    </row>
    <row r="193" spans="1:70" ht="15" customHeight="1">
      <c r="A193" s="436">
        <f>A157</f>
        <v>2021</v>
      </c>
      <c r="B193" s="437">
        <f t="shared" si="106"/>
        <v>3196</v>
      </c>
      <c r="C193" s="580"/>
      <c r="D193" s="508">
        <f t="shared" si="105"/>
        <v>16</v>
      </c>
      <c r="H193" s="558"/>
      <c r="I193" s="443">
        <f t="shared" si="78"/>
        <v>3196</v>
      </c>
      <c r="J193" s="467"/>
      <c r="K193" s="443"/>
      <c r="M193" s="505" t="s">
        <v>422</v>
      </c>
      <c r="N193" s="559">
        <v>100000</v>
      </c>
      <c r="O193" s="505"/>
      <c r="P193" s="505"/>
      <c r="Q193" s="505"/>
      <c r="R193" s="505"/>
      <c r="S193" s="505" t="s">
        <v>422</v>
      </c>
      <c r="T193" s="505">
        <f>N193</f>
        <v>100000</v>
      </c>
      <c r="U193" s="505"/>
      <c r="V193" s="505"/>
      <c r="W193" s="505"/>
      <c r="X193" s="505"/>
      <c r="Y193" s="505" t="s">
        <v>423</v>
      </c>
      <c r="Z193" s="505">
        <f>T193</f>
        <v>100000</v>
      </c>
      <c r="AA193" s="505"/>
      <c r="AB193" s="505"/>
      <c r="AC193" s="505"/>
      <c r="AD193" s="505"/>
      <c r="AE193" s="505" t="s">
        <v>343</v>
      </c>
      <c r="AF193" s="505">
        <f>Z193</f>
        <v>100000</v>
      </c>
      <c r="AG193" s="505"/>
      <c r="AH193" s="505"/>
      <c r="AI193" s="505"/>
      <c r="AJ193" s="505"/>
      <c r="AK193" s="505" t="s">
        <v>343</v>
      </c>
      <c r="AL193" s="505">
        <f>AF193</f>
        <v>100000</v>
      </c>
      <c r="AM193" s="505"/>
      <c r="AN193" s="505"/>
      <c r="AO193" s="505"/>
      <c r="AP193" s="505"/>
      <c r="AQ193" s="505" t="s">
        <v>343</v>
      </c>
      <c r="AR193" s="505">
        <f>AL193</f>
        <v>100000</v>
      </c>
      <c r="AS193" s="505"/>
      <c r="AT193" s="505"/>
      <c r="AU193" s="505"/>
      <c r="AV193" s="505"/>
      <c r="AW193" s="505" t="s">
        <v>343</v>
      </c>
      <c r="AX193" s="505">
        <f>AR193</f>
        <v>100000</v>
      </c>
      <c r="AY193" s="505"/>
      <c r="AZ193" s="505"/>
      <c r="BA193" s="505"/>
      <c r="BB193" s="505"/>
      <c r="BC193" s="505" t="s">
        <v>343</v>
      </c>
      <c r="BD193" s="505">
        <f>AX193</f>
        <v>100000</v>
      </c>
      <c r="BE193" s="505"/>
      <c r="BF193" s="505"/>
      <c r="BG193" s="505"/>
      <c r="BH193" s="505"/>
    </row>
    <row r="194" spans="1:70" ht="15" customHeight="1">
      <c r="A194" s="436">
        <f>A158</f>
        <v>2022</v>
      </c>
      <c r="B194" s="437">
        <f t="shared" si="106"/>
        <v>3182</v>
      </c>
      <c r="C194" s="580"/>
      <c r="D194" s="508">
        <f t="shared" si="105"/>
        <v>17</v>
      </c>
      <c r="E194" s="451"/>
      <c r="F194" s="451"/>
      <c r="G194" s="451"/>
      <c r="H194" s="558"/>
      <c r="I194" s="443">
        <f t="shared" si="78"/>
        <v>3182</v>
      </c>
      <c r="J194" s="467"/>
      <c r="K194" s="443"/>
      <c r="M194" s="590"/>
      <c r="N194" s="451"/>
      <c r="O194" s="451"/>
      <c r="P194" s="493"/>
      <c r="Q194" s="492"/>
      <c r="S194" s="590"/>
      <c r="T194" s="451"/>
      <c r="U194" s="451"/>
      <c r="V194" s="493"/>
      <c r="W194" s="492"/>
      <c r="Y194" s="590"/>
      <c r="Z194" s="451"/>
      <c r="AA194" s="451"/>
      <c r="AB194" s="493"/>
      <c r="AC194" s="492"/>
      <c r="AE194" s="590"/>
      <c r="AF194" s="451"/>
      <c r="AG194" s="451"/>
      <c r="AH194" s="493"/>
      <c r="AI194" s="492"/>
      <c r="AK194" s="590"/>
      <c r="AL194" s="451"/>
      <c r="AM194" s="451"/>
      <c r="AN194" s="493"/>
      <c r="AO194" s="492"/>
      <c r="AQ194" s="590"/>
      <c r="AR194" s="451"/>
      <c r="AS194" s="451"/>
      <c r="AT194" s="493"/>
      <c r="AU194" s="492"/>
      <c r="AW194" s="590"/>
      <c r="AX194" s="451"/>
      <c r="AY194" s="451"/>
      <c r="AZ194" s="493"/>
      <c r="BA194" s="492"/>
      <c r="BC194" s="590"/>
      <c r="BD194" s="451"/>
      <c r="BE194" s="451"/>
      <c r="BF194" s="493"/>
      <c r="BG194" s="492"/>
    </row>
    <row r="195" spans="1:70" ht="15" customHeight="1">
      <c r="A195" s="436">
        <f t="shared" ref="A195:A210" si="107">A159</f>
        <v>2023</v>
      </c>
      <c r="B195" s="437">
        <f t="shared" si="106"/>
        <v>3169</v>
      </c>
      <c r="C195" s="580"/>
      <c r="D195" s="508">
        <f t="shared" si="105"/>
        <v>18</v>
      </c>
      <c r="E195" s="451"/>
      <c r="F195" s="451"/>
      <c r="G195" s="451"/>
      <c r="H195" s="558"/>
      <c r="I195" s="443">
        <f t="shared" si="78"/>
        <v>3169</v>
      </c>
      <c r="J195" s="467"/>
      <c r="K195" s="443"/>
      <c r="M195" s="590"/>
      <c r="N195" s="451"/>
      <c r="O195" s="451"/>
      <c r="P195" s="493"/>
      <c r="Q195" s="492"/>
      <c r="S195" s="590"/>
      <c r="T195" s="451"/>
      <c r="U195" s="451"/>
      <c r="V195" s="493"/>
      <c r="W195" s="492"/>
      <c r="Y195" s="590"/>
      <c r="Z195" s="451"/>
      <c r="AA195" s="451"/>
      <c r="AB195" s="493"/>
      <c r="AC195" s="492"/>
      <c r="AE195" s="590"/>
      <c r="AF195" s="451"/>
      <c r="AG195" s="451"/>
      <c r="AH195" s="493"/>
      <c r="AI195" s="492"/>
      <c r="AK195" s="590"/>
      <c r="AL195" s="451"/>
      <c r="AM195" s="451"/>
      <c r="AN195" s="493"/>
      <c r="AO195" s="492"/>
      <c r="AQ195" s="590"/>
      <c r="AR195" s="451"/>
      <c r="AS195" s="451"/>
      <c r="AT195" s="493"/>
      <c r="AU195" s="492"/>
      <c r="AW195" s="590"/>
      <c r="AX195" s="451"/>
      <c r="AY195" s="451"/>
      <c r="AZ195" s="493"/>
      <c r="BA195" s="492"/>
      <c r="BC195" s="590"/>
      <c r="BD195" s="451"/>
      <c r="BE195" s="451"/>
      <c r="BF195" s="493"/>
      <c r="BG195" s="492"/>
    </row>
    <row r="196" spans="1:70" s="451" customFormat="1" ht="15" customHeight="1">
      <c r="A196" s="436">
        <f t="shared" si="107"/>
        <v>2024</v>
      </c>
      <c r="B196" s="437">
        <f t="shared" si="106"/>
        <v>3156</v>
      </c>
      <c r="C196" s="580"/>
      <c r="D196" s="508">
        <f t="shared" si="105"/>
        <v>19</v>
      </c>
      <c r="H196" s="558"/>
      <c r="I196" s="443">
        <f t="shared" si="78"/>
        <v>3156</v>
      </c>
      <c r="J196" s="467"/>
      <c r="K196" s="443"/>
      <c r="M196" s="590"/>
      <c r="P196" s="493"/>
      <c r="Q196" s="492"/>
      <c r="S196" s="590"/>
      <c r="V196" s="493"/>
      <c r="W196" s="492"/>
      <c r="Y196" s="590"/>
      <c r="AB196" s="493"/>
      <c r="AC196" s="492"/>
      <c r="AE196" s="590"/>
      <c r="AH196" s="493"/>
      <c r="AI196" s="492"/>
      <c r="AK196" s="590"/>
      <c r="AN196" s="493"/>
      <c r="AO196" s="492"/>
      <c r="AQ196" s="590"/>
      <c r="AT196" s="493"/>
      <c r="AU196" s="492"/>
      <c r="AW196" s="590"/>
      <c r="AZ196" s="493"/>
      <c r="BA196" s="492"/>
      <c r="BC196" s="590"/>
      <c r="BF196" s="493"/>
      <c r="BG196" s="492"/>
    </row>
    <row r="197" spans="1:70" ht="15" customHeight="1">
      <c r="A197" s="436">
        <f t="shared" si="107"/>
        <v>2025</v>
      </c>
      <c r="B197" s="437">
        <f t="shared" si="106"/>
        <v>3143</v>
      </c>
      <c r="C197" s="580"/>
      <c r="D197" s="508">
        <f t="shared" si="105"/>
        <v>20</v>
      </c>
      <c r="E197" s="519"/>
      <c r="F197" s="451"/>
      <c r="G197" s="451"/>
      <c r="H197" s="558"/>
      <c r="I197" s="443">
        <f t="shared" si="78"/>
        <v>3143</v>
      </c>
      <c r="J197" s="467"/>
      <c r="K197" s="443"/>
      <c r="M197" s="590"/>
      <c r="N197" s="451"/>
      <c r="O197" s="451"/>
      <c r="P197" s="493"/>
      <c r="Q197" s="492"/>
      <c r="S197" s="590"/>
      <c r="T197" s="451"/>
      <c r="U197" s="451"/>
      <c r="V197" s="493"/>
      <c r="W197" s="492"/>
      <c r="Y197" s="590"/>
      <c r="Z197" s="451"/>
      <c r="AA197" s="451"/>
      <c r="AB197" s="493"/>
      <c r="AC197" s="492"/>
      <c r="AE197" s="590"/>
      <c r="AF197" s="451"/>
      <c r="AG197" s="451"/>
      <c r="AH197" s="493"/>
      <c r="AI197" s="492"/>
      <c r="AK197" s="590"/>
      <c r="AL197" s="451"/>
      <c r="AM197" s="451"/>
      <c r="AN197" s="493"/>
      <c r="AO197" s="492"/>
      <c r="AQ197" s="590"/>
      <c r="AR197" s="451"/>
      <c r="AS197" s="451"/>
      <c r="AT197" s="493"/>
      <c r="AU197" s="492"/>
      <c r="AW197" s="590"/>
      <c r="AX197" s="451"/>
      <c r="AY197" s="451"/>
      <c r="AZ197" s="493"/>
      <c r="BA197" s="492"/>
      <c r="BC197" s="590"/>
      <c r="BD197" s="451"/>
      <c r="BE197" s="451"/>
      <c r="BF197" s="493"/>
      <c r="BG197" s="492"/>
      <c r="BI197" s="590"/>
      <c r="BJ197" s="451"/>
      <c r="BK197" s="451"/>
      <c r="BL197" s="493"/>
      <c r="BM197" s="492"/>
    </row>
    <row r="198" spans="1:70" s="451" customFormat="1" ht="15" customHeight="1">
      <c r="A198" s="436">
        <f t="shared" si="107"/>
        <v>2026</v>
      </c>
      <c r="B198" s="437">
        <f t="shared" si="106"/>
        <v>3130</v>
      </c>
      <c r="C198" s="580"/>
      <c r="D198" s="508">
        <f t="shared" si="105"/>
        <v>21</v>
      </c>
      <c r="E198" s="519"/>
      <c r="H198" s="591"/>
      <c r="I198" s="443">
        <f t="shared" si="78"/>
        <v>3130</v>
      </c>
      <c r="J198" s="467"/>
      <c r="K198" s="443"/>
      <c r="M198" s="590"/>
      <c r="P198" s="493"/>
      <c r="Q198" s="492"/>
      <c r="S198" s="590"/>
      <c r="V198" s="493"/>
      <c r="W198" s="492"/>
      <c r="Y198" s="590"/>
      <c r="AB198" s="493"/>
      <c r="AC198" s="492"/>
      <c r="AE198" s="590"/>
      <c r="AH198" s="493"/>
      <c r="AI198" s="492"/>
      <c r="AK198" s="590"/>
      <c r="AN198" s="493"/>
      <c r="AO198" s="492"/>
      <c r="AQ198" s="590"/>
      <c r="AT198" s="493"/>
      <c r="AU198" s="492"/>
      <c r="AW198" s="590"/>
      <c r="AZ198" s="493"/>
      <c r="BA198" s="492"/>
      <c r="BC198" s="590"/>
      <c r="BF198" s="493"/>
      <c r="BG198" s="492"/>
      <c r="BI198" s="590"/>
      <c r="BL198" s="493"/>
      <c r="BM198" s="492"/>
    </row>
    <row r="199" spans="1:70" s="451" customFormat="1" ht="15" customHeight="1" thickBot="1">
      <c r="A199" s="436">
        <f t="shared" si="107"/>
        <v>2027</v>
      </c>
      <c r="B199" s="437">
        <f t="shared" si="106"/>
        <v>3117</v>
      </c>
      <c r="C199" s="580"/>
      <c r="D199" s="508">
        <f t="shared" si="105"/>
        <v>22</v>
      </c>
      <c r="E199" s="560" t="s">
        <v>344</v>
      </c>
      <c r="F199" s="561" t="s">
        <v>332</v>
      </c>
      <c r="G199" s="561" t="s">
        <v>294</v>
      </c>
      <c r="H199" s="591"/>
      <c r="I199" s="443">
        <f t="shared" si="78"/>
        <v>3117</v>
      </c>
      <c r="J199" s="467"/>
      <c r="K199" s="443"/>
      <c r="M199" s="590"/>
      <c r="P199" s="493"/>
      <c r="Q199" s="492"/>
      <c r="S199" s="590"/>
      <c r="V199" s="493"/>
      <c r="W199" s="492"/>
      <c r="Y199" s="590"/>
      <c r="AB199" s="493"/>
      <c r="AC199" s="492"/>
      <c r="AE199" s="590"/>
      <c r="AH199" s="493"/>
      <c r="AI199" s="492"/>
      <c r="AK199" s="590"/>
      <c r="AN199" s="493"/>
      <c r="AO199" s="492"/>
      <c r="AQ199" s="590"/>
      <c r="AT199" s="493"/>
      <c r="AU199" s="492"/>
      <c r="AW199" s="590"/>
      <c r="AZ199" s="493"/>
      <c r="BA199" s="492"/>
      <c r="BC199" s="590"/>
      <c r="BF199" s="493"/>
      <c r="BG199" s="492"/>
      <c r="BI199" s="590"/>
      <c r="BL199" s="493"/>
      <c r="BM199" s="492"/>
    </row>
    <row r="200" spans="1:70" ht="15" customHeight="1" thickTop="1">
      <c r="A200" s="436">
        <f t="shared" si="107"/>
        <v>2028</v>
      </c>
      <c r="B200" s="437">
        <f t="shared" si="106"/>
        <v>3104</v>
      </c>
      <c r="C200" s="520"/>
      <c r="D200" s="508">
        <f t="shared" si="105"/>
        <v>23</v>
      </c>
      <c r="E200" s="592">
        <v>50000</v>
      </c>
      <c r="F200" s="563">
        <f>IFERROR(O187,0)</f>
        <v>0.66550467787919887</v>
      </c>
      <c r="G200" s="564">
        <f>O188</f>
        <v>10.744000000000002</v>
      </c>
      <c r="H200" s="591"/>
      <c r="I200" s="443">
        <f t="shared" si="78"/>
        <v>3104</v>
      </c>
      <c r="J200" s="469"/>
      <c r="K200" s="469"/>
      <c r="L200" s="326">
        <f>RANK(F200,$F$200:$F$207)</f>
        <v>4</v>
      </c>
    </row>
    <row r="201" spans="1:70" ht="15" customHeight="1">
      <c r="A201" s="436">
        <f t="shared" si="107"/>
        <v>2029</v>
      </c>
      <c r="B201" s="437">
        <f t="shared" si="106"/>
        <v>3091</v>
      </c>
      <c r="C201" s="520"/>
      <c r="D201" s="508">
        <f t="shared" si="105"/>
        <v>24</v>
      </c>
      <c r="E201" s="593">
        <v>60000</v>
      </c>
      <c r="F201" s="565">
        <f>IFERROR(V177,0)</f>
        <v>0.66550467787919887</v>
      </c>
      <c r="G201" s="564">
        <f>U188</f>
        <v>10.744000000000002</v>
      </c>
      <c r="H201" s="591"/>
      <c r="I201" s="443">
        <f t="shared" si="78"/>
        <v>3091</v>
      </c>
      <c r="J201" s="469"/>
      <c r="K201" s="469"/>
      <c r="L201" s="326">
        <f t="shared" ref="L201:L207" si="108">RANK(F201,$F$200:$F$207)</f>
        <v>4</v>
      </c>
    </row>
    <row r="202" spans="1:70" ht="15" customHeight="1">
      <c r="A202" s="436">
        <f t="shared" si="107"/>
        <v>2030</v>
      </c>
      <c r="B202" s="437">
        <f t="shared" si="106"/>
        <v>3078</v>
      </c>
      <c r="C202" s="520"/>
      <c r="D202" s="508">
        <f t="shared" si="105"/>
        <v>25</v>
      </c>
      <c r="E202" s="593">
        <v>70000</v>
      </c>
      <c r="F202" s="565">
        <f>IFERROR(AB177,0)</f>
        <v>0.66550467787919887</v>
      </c>
      <c r="G202" s="564">
        <f>AA188</f>
        <v>10.744000000000002</v>
      </c>
      <c r="H202" s="591"/>
      <c r="I202" s="443">
        <f t="shared" si="78"/>
        <v>3078</v>
      </c>
      <c r="J202" s="469"/>
      <c r="K202" s="469"/>
      <c r="L202" s="326">
        <f t="shared" si="108"/>
        <v>4</v>
      </c>
      <c r="BK202" s="505"/>
      <c r="BL202" s="505"/>
      <c r="BM202" s="505"/>
      <c r="BN202" s="505"/>
      <c r="BO202" s="505"/>
      <c r="BP202" s="505"/>
      <c r="BQ202" s="505"/>
      <c r="BR202" s="505"/>
    </row>
    <row r="203" spans="1:70" ht="15" customHeight="1">
      <c r="A203" s="436">
        <f t="shared" si="107"/>
        <v>2031</v>
      </c>
      <c r="B203" s="437">
        <f t="shared" si="106"/>
        <v>3065</v>
      </c>
      <c r="C203" s="520"/>
      <c r="D203" s="508">
        <f t="shared" si="105"/>
        <v>26</v>
      </c>
      <c r="E203" s="593">
        <v>80000</v>
      </c>
      <c r="F203" s="565">
        <f>IFERROR(AH177,0)</f>
        <v>0.66550467787919887</v>
      </c>
      <c r="G203" s="564">
        <f>AG188</f>
        <v>10.744000000000002</v>
      </c>
      <c r="H203" s="591"/>
      <c r="I203" s="443">
        <f t="shared" si="78"/>
        <v>3065</v>
      </c>
      <c r="J203" s="469"/>
      <c r="K203" s="469"/>
      <c r="L203" s="326">
        <f t="shared" si="108"/>
        <v>4</v>
      </c>
    </row>
    <row r="204" spans="1:70" ht="15" customHeight="1">
      <c r="A204" s="436">
        <f t="shared" si="107"/>
        <v>2032</v>
      </c>
      <c r="B204" s="437">
        <f t="shared" si="106"/>
        <v>3053</v>
      </c>
      <c r="C204" s="520"/>
      <c r="D204" s="508">
        <f t="shared" si="105"/>
        <v>27</v>
      </c>
      <c r="E204" s="593">
        <v>90000</v>
      </c>
      <c r="F204" s="565">
        <f>IFERROR(AN177,0)</f>
        <v>0.66550467787919887</v>
      </c>
      <c r="G204" s="564">
        <f>AM188</f>
        <v>10.744000000000002</v>
      </c>
      <c r="H204" s="591"/>
      <c r="I204" s="443">
        <f t="shared" si="78"/>
        <v>3053</v>
      </c>
      <c r="J204" s="469"/>
      <c r="K204" s="469"/>
      <c r="L204" s="326">
        <f t="shared" si="108"/>
        <v>4</v>
      </c>
    </row>
    <row r="205" spans="1:70" ht="15" customHeight="1">
      <c r="A205" s="436">
        <f t="shared" si="107"/>
        <v>2033</v>
      </c>
      <c r="B205" s="437">
        <f t="shared" si="106"/>
        <v>3040</v>
      </c>
      <c r="C205" s="520"/>
      <c r="D205" s="508">
        <f t="shared" si="105"/>
        <v>28</v>
      </c>
      <c r="E205" s="593">
        <v>100000</v>
      </c>
      <c r="F205" s="565">
        <f>IFERROR(AT177,0)</f>
        <v>0.66579412116731695</v>
      </c>
      <c r="G205" s="564">
        <f>AS188</f>
        <v>10.735000000000001</v>
      </c>
      <c r="H205" s="591"/>
      <c r="I205" s="443">
        <f t="shared" si="78"/>
        <v>3040</v>
      </c>
      <c r="J205" s="469"/>
      <c r="K205" s="469"/>
      <c r="L205" s="326">
        <f t="shared" si="108"/>
        <v>1</v>
      </c>
    </row>
    <row r="206" spans="1:70" ht="15" customHeight="1">
      <c r="A206" s="436">
        <f t="shared" si="107"/>
        <v>2034</v>
      </c>
      <c r="B206" s="437">
        <f t="shared" si="106"/>
        <v>3027</v>
      </c>
      <c r="C206" s="520"/>
      <c r="D206" s="508">
        <f t="shared" si="105"/>
        <v>29</v>
      </c>
      <c r="E206" s="593">
        <v>200000</v>
      </c>
      <c r="F206" s="565">
        <f>IFERROR(AZ177,0)</f>
        <v>0.66579412116731695</v>
      </c>
      <c r="G206" s="594">
        <f>AY188</f>
        <v>10.735000000000001</v>
      </c>
      <c r="H206" s="591"/>
      <c r="I206" s="443">
        <f t="shared" si="78"/>
        <v>3027</v>
      </c>
      <c r="J206" s="469"/>
      <c r="K206" s="469"/>
      <c r="L206" s="326">
        <f t="shared" si="108"/>
        <v>1</v>
      </c>
    </row>
    <row r="207" spans="1:70" ht="15" customHeight="1">
      <c r="A207" s="522">
        <f t="shared" si="107"/>
        <v>2035</v>
      </c>
      <c r="B207" s="523">
        <f t="shared" si="106"/>
        <v>3015</v>
      </c>
      <c r="C207" s="524"/>
      <c r="D207" s="525">
        <f t="shared" si="105"/>
        <v>30</v>
      </c>
      <c r="E207" s="570">
        <v>300000</v>
      </c>
      <c r="F207" s="571">
        <f>IFERROR(BF177,0)</f>
        <v>0.66579412116731695</v>
      </c>
      <c r="G207" s="595">
        <f>BE188</f>
        <v>10.735000000000001</v>
      </c>
      <c r="H207" s="596"/>
      <c r="I207" s="528">
        <f t="shared" si="78"/>
        <v>3015</v>
      </c>
      <c r="J207" s="529"/>
      <c r="K207" s="529"/>
      <c r="L207" s="326">
        <f t="shared" si="108"/>
        <v>1</v>
      </c>
    </row>
    <row r="208" spans="1:70" ht="15" customHeight="1">
      <c r="A208" s="522">
        <f t="shared" si="107"/>
        <v>2036</v>
      </c>
      <c r="B208" s="523">
        <f t="shared" si="106"/>
        <v>3002</v>
      </c>
      <c r="C208" s="524"/>
      <c r="D208" s="525">
        <f t="shared" si="105"/>
        <v>31</v>
      </c>
      <c r="E208" s="570"/>
      <c r="F208" s="571"/>
      <c r="G208" s="595"/>
      <c r="H208" s="596"/>
      <c r="I208" s="528">
        <f t="shared" si="78"/>
        <v>3002</v>
      </c>
      <c r="J208" s="529"/>
      <c r="K208" s="529"/>
    </row>
    <row r="209" spans="1:41" ht="20.100000000000001" customHeight="1">
      <c r="A209" s="522">
        <f t="shared" si="107"/>
        <v>2037</v>
      </c>
      <c r="B209" s="523">
        <f t="shared" si="106"/>
        <v>2990</v>
      </c>
      <c r="C209" s="524"/>
      <c r="D209" s="525">
        <f t="shared" si="105"/>
        <v>32</v>
      </c>
      <c r="E209" s="570"/>
      <c r="F209" s="571"/>
      <c r="G209" s="595"/>
      <c r="H209" s="596"/>
      <c r="I209" s="528">
        <f t="shared" si="78"/>
        <v>2990</v>
      </c>
      <c r="J209" s="529"/>
      <c r="K209" s="529"/>
      <c r="L209" s="578"/>
      <c r="M209" s="578"/>
      <c r="N209" s="578"/>
      <c r="O209" s="578"/>
      <c r="P209" s="578"/>
      <c r="Q209" s="578"/>
      <c r="R209" s="578"/>
      <c r="S209" s="578"/>
      <c r="T209" s="578"/>
      <c r="U209" s="578"/>
      <c r="V209" s="578"/>
      <c r="W209" s="578"/>
      <c r="X209" s="578"/>
      <c r="Y209" s="578"/>
      <c r="Z209" s="578"/>
      <c r="AA209" s="578"/>
      <c r="AB209" s="578"/>
      <c r="AC209" s="578"/>
      <c r="AD209" s="578"/>
      <c r="AE209" s="578"/>
      <c r="AF209" s="578"/>
      <c r="AG209" s="578"/>
      <c r="AH209" s="578"/>
      <c r="AI209" s="578"/>
      <c r="AJ209" s="578"/>
      <c r="AK209" s="578"/>
      <c r="AL209" s="578"/>
      <c r="AM209" s="578"/>
      <c r="AN209" s="578"/>
      <c r="AO209" s="578"/>
    </row>
    <row r="210" spans="1:41" ht="20.100000000000001" customHeight="1">
      <c r="A210" s="522">
        <f t="shared" si="107"/>
        <v>2038</v>
      </c>
      <c r="B210" s="523">
        <f t="shared" si="106"/>
        <v>2977</v>
      </c>
      <c r="C210" s="524"/>
      <c r="D210" s="525">
        <f t="shared" si="105"/>
        <v>33</v>
      </c>
      <c r="E210" s="570"/>
      <c r="F210" s="571"/>
      <c r="G210" s="595"/>
      <c r="H210" s="596"/>
      <c r="I210" s="528">
        <f t="shared" si="78"/>
        <v>2977</v>
      </c>
      <c r="J210" s="529"/>
      <c r="K210" s="529"/>
      <c r="L210" s="578"/>
      <c r="M210" s="578"/>
      <c r="N210" s="578"/>
      <c r="O210" s="578"/>
      <c r="P210" s="578"/>
      <c r="Q210" s="578"/>
      <c r="R210" s="578"/>
      <c r="S210" s="578"/>
      <c r="T210" s="578"/>
      <c r="U210" s="578"/>
      <c r="V210" s="578"/>
      <c r="W210" s="578"/>
      <c r="X210" s="578"/>
      <c r="Y210" s="578"/>
      <c r="Z210" s="578"/>
      <c r="AA210" s="578"/>
      <c r="AB210" s="578"/>
      <c r="AC210" s="578"/>
      <c r="AD210" s="578"/>
      <c r="AE210" s="578"/>
      <c r="AF210" s="578"/>
      <c r="AG210" s="578"/>
      <c r="AH210" s="578"/>
      <c r="AI210" s="578"/>
      <c r="AJ210" s="578"/>
      <c r="AK210" s="578"/>
      <c r="AL210" s="578"/>
      <c r="AM210" s="578"/>
      <c r="AN210" s="578"/>
      <c r="AO210" s="578"/>
    </row>
    <row r="211" spans="1:41" ht="20.100000000000001" customHeight="1">
      <c r="K211" s="578"/>
      <c r="L211" s="578"/>
      <c r="M211" s="578"/>
      <c r="N211" s="578"/>
      <c r="O211" s="578"/>
      <c r="P211" s="578"/>
      <c r="Q211" s="578"/>
      <c r="R211" s="578"/>
      <c r="S211" s="578"/>
      <c r="T211" s="578"/>
      <c r="U211" s="578"/>
      <c r="V211" s="578"/>
      <c r="W211" s="578"/>
      <c r="X211" s="578"/>
      <c r="Y211" s="578"/>
      <c r="Z211" s="578"/>
      <c r="AA211" s="578"/>
      <c r="AB211" s="578"/>
      <c r="AC211" s="578"/>
      <c r="AD211" s="578"/>
      <c r="AE211" s="578"/>
      <c r="AF211" s="578"/>
      <c r="AG211" s="578"/>
      <c r="AH211" s="578"/>
      <c r="AI211" s="578"/>
      <c r="AJ211" s="578"/>
      <c r="AK211" s="578"/>
      <c r="AL211" s="578"/>
      <c r="AM211" s="578"/>
      <c r="AN211" s="578"/>
      <c r="AO211" s="578"/>
    </row>
    <row r="212" spans="1:41" ht="20.100000000000001" customHeight="1">
      <c r="K212" s="578"/>
      <c r="L212" s="578"/>
      <c r="M212" s="578"/>
      <c r="N212" s="578"/>
      <c r="O212" s="578"/>
      <c r="P212" s="578"/>
      <c r="Q212" s="578"/>
      <c r="R212" s="578"/>
      <c r="S212" s="578"/>
      <c r="T212" s="578"/>
      <c r="U212" s="578"/>
      <c r="V212" s="578"/>
      <c r="W212" s="578"/>
      <c r="X212" s="578"/>
      <c r="Y212" s="578"/>
      <c r="Z212" s="578"/>
      <c r="AA212" s="578"/>
      <c r="AB212" s="578"/>
      <c r="AC212" s="578"/>
      <c r="AD212" s="578"/>
      <c r="AE212" s="578"/>
      <c r="AF212" s="578"/>
      <c r="AG212" s="578"/>
      <c r="AH212" s="578"/>
      <c r="AI212" s="578"/>
      <c r="AJ212" s="578"/>
      <c r="AK212" s="578"/>
      <c r="AL212" s="578"/>
      <c r="AM212" s="578"/>
      <c r="AN212" s="578"/>
      <c r="AO212" s="578"/>
    </row>
    <row r="213" spans="1:41" ht="20.100000000000001" customHeight="1">
      <c r="K213" s="578"/>
      <c r="L213" s="578"/>
      <c r="M213" s="578"/>
      <c r="N213" s="578"/>
      <c r="O213" s="578"/>
      <c r="P213" s="578"/>
      <c r="Q213" s="578"/>
      <c r="R213" s="578"/>
      <c r="S213" s="578"/>
      <c r="T213" s="578"/>
      <c r="U213" s="578"/>
      <c r="V213" s="578"/>
      <c r="W213" s="578"/>
      <c r="X213" s="578"/>
      <c r="Y213" s="578"/>
      <c r="Z213" s="578"/>
      <c r="AA213" s="578"/>
      <c r="AB213" s="578"/>
      <c r="AC213" s="578"/>
      <c r="AD213" s="578"/>
      <c r="AE213" s="578"/>
      <c r="AF213" s="578"/>
      <c r="AG213" s="578"/>
      <c r="AH213" s="578"/>
      <c r="AI213" s="578"/>
      <c r="AJ213" s="578"/>
      <c r="AK213" s="578"/>
      <c r="AL213" s="578"/>
      <c r="AM213" s="578"/>
      <c r="AN213" s="578"/>
      <c r="AO213" s="578"/>
    </row>
    <row r="214" spans="1:41" ht="20.100000000000001" customHeight="1"/>
    <row r="215" spans="1:41" ht="20.100000000000001" customHeight="1"/>
    <row r="216" spans="1:41" ht="20.100000000000001" customHeight="1"/>
    <row r="217" spans="1:41" ht="20.100000000000001" customHeight="1"/>
    <row r="218" spans="1:41" ht="20.100000000000001" customHeight="1"/>
    <row r="219" spans="1:41" ht="20.100000000000001" customHeight="1"/>
    <row r="220" spans="1:41" ht="20.100000000000001" customHeight="1"/>
    <row r="221" spans="1:41" ht="20.100000000000001" customHeight="1"/>
    <row r="222" spans="1:41" ht="20.100000000000001" customHeight="1"/>
    <row r="223" spans="1:41" ht="20.100000000000001" customHeight="1"/>
    <row r="224" spans="1:41" ht="20.100000000000001" customHeight="1"/>
    <row r="225" ht="20.100000000000001" customHeight="1"/>
    <row r="226" s="325" customFormat="1" ht="20.100000000000001" customHeight="1"/>
    <row r="227" s="325" customFormat="1" ht="20.100000000000001" customHeight="1"/>
    <row r="228" s="325" customFormat="1" ht="20.100000000000001" customHeight="1"/>
    <row r="229" s="325" customFormat="1" ht="20.100000000000001" customHeight="1"/>
    <row r="230" s="325" customFormat="1" ht="20.100000000000001" customHeight="1"/>
  </sheetData>
  <mergeCells count="17">
    <mergeCell ref="F154:G154"/>
    <mergeCell ref="F155:G155"/>
    <mergeCell ref="E190:F190"/>
    <mergeCell ref="E191:F191"/>
    <mergeCell ref="E192:F192"/>
    <mergeCell ref="F153:G153"/>
    <mergeCell ref="I5:J5"/>
    <mergeCell ref="A39:B39"/>
    <mergeCell ref="A40:B40"/>
    <mergeCell ref="A41:B41"/>
    <mergeCell ref="D70:E70"/>
    <mergeCell ref="D71:E71"/>
    <mergeCell ref="D72:E72"/>
    <mergeCell ref="D73:E73"/>
    <mergeCell ref="E115:F115"/>
    <mergeCell ref="E116:F116"/>
    <mergeCell ref="E117:F117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41</vt:i4>
      </vt:variant>
      <vt:variant>
        <vt:lpstr>이름이 지정된 범위</vt:lpstr>
      </vt:variant>
      <vt:variant>
        <vt:i4>38</vt:i4>
      </vt:variant>
    </vt:vector>
  </HeadingPairs>
  <TitlesOfParts>
    <vt:vector size="79" baseType="lpstr">
      <vt:lpstr>1.1.1 과거인구현황</vt:lpstr>
      <vt:lpstr>1.1.2 인구분석</vt:lpstr>
      <vt:lpstr>1.2 수학적방법</vt:lpstr>
      <vt:lpstr>가.수학적방법(음성군10년)</vt:lpstr>
      <vt:lpstr>나.수학적방법(음성군5년)</vt:lpstr>
      <vt:lpstr>다.수학적방법(음성읍)</vt:lpstr>
      <vt:lpstr>라.수학적방법(금왕읍)</vt:lpstr>
      <vt:lpstr>마.수학적방법(소이면)</vt:lpstr>
      <vt:lpstr>바.수학적방법(원남면)</vt:lpstr>
      <vt:lpstr>사.수학적방법(맹동면)</vt:lpstr>
      <vt:lpstr>아.수학적방법(대소면)</vt:lpstr>
      <vt:lpstr>자.수학적방법(삼성면)</vt:lpstr>
      <vt:lpstr>차.수학적방법(생극면)</vt:lpstr>
      <vt:lpstr>카.수학적방법(감곡면)</vt:lpstr>
      <vt:lpstr>1.3 출생·사망 및 전입·전출에 의한 인구추정</vt:lpstr>
      <vt:lpstr>1.3 자연적 인구증가 분석 결과</vt:lpstr>
      <vt:lpstr>1.4.조성법총괄(내부이동률 적용)</vt:lpstr>
      <vt:lpstr>조성법총괄(내부이동률 적용 전)출력x</vt:lpstr>
      <vt:lpstr>1.4.1읍면별 계획인구</vt:lpstr>
      <vt:lpstr>1.4.2내부이동근거</vt:lpstr>
      <vt:lpstr>1.4.2내부이동근거 (2)</vt:lpstr>
      <vt:lpstr>1.4.3개발계획현황</vt:lpstr>
      <vt:lpstr>1.4.3개발계획현황 (2)</vt:lpstr>
      <vt:lpstr>사회적유입</vt:lpstr>
      <vt:lpstr>사회적 유입 중복인구 제외근거</vt:lpstr>
      <vt:lpstr>사회적유입인구의 처리구역별 배분(적용)</vt:lpstr>
      <vt:lpstr>사회적유입인구의 처리구역별 배분 (원본출력x)</vt:lpstr>
      <vt:lpstr>계획처리구역 인구결정</vt:lpstr>
      <vt:lpstr>출력금지&gt;&gt;</vt:lpstr>
      <vt:lpstr>계획처리구역 인구배분(출력x)</vt:lpstr>
      <vt:lpstr>2014처리구역인구 정리</vt:lpstr>
      <vt:lpstr>처리구역면적</vt:lpstr>
      <vt:lpstr>음성읍</vt:lpstr>
      <vt:lpstr>금왕읍</vt:lpstr>
      <vt:lpstr>소이면</vt:lpstr>
      <vt:lpstr>원남면</vt:lpstr>
      <vt:lpstr>맹동면</vt:lpstr>
      <vt:lpstr>대소면</vt:lpstr>
      <vt:lpstr>삼성면</vt:lpstr>
      <vt:lpstr>생극면</vt:lpstr>
      <vt:lpstr>감곡면</vt:lpstr>
      <vt:lpstr>'1.1.1 과거인구현황'!Print_Area</vt:lpstr>
      <vt:lpstr>'1.1.2 인구분석'!Print_Area</vt:lpstr>
      <vt:lpstr>'1.2 수학적방법'!Print_Area</vt:lpstr>
      <vt:lpstr>'1.3 자연적 인구증가 분석 결과'!Print_Area</vt:lpstr>
      <vt:lpstr>'1.3 출생·사망 및 전입·전출에 의한 인구추정'!Print_Area</vt:lpstr>
      <vt:lpstr>'1.4.1읍면별 계획인구'!Print_Area</vt:lpstr>
      <vt:lpstr>'1.4.2내부이동근거'!Print_Area</vt:lpstr>
      <vt:lpstr>'1.4.2내부이동근거 (2)'!Print_Area</vt:lpstr>
      <vt:lpstr>'1.4.3개발계획현황'!Print_Area</vt:lpstr>
      <vt:lpstr>'1.4.3개발계획현황 (2)'!Print_Area</vt:lpstr>
      <vt:lpstr>'1.4.조성법총괄(내부이동률 적용)'!Print_Area</vt:lpstr>
      <vt:lpstr>'2014처리구역인구 정리'!Print_Area</vt:lpstr>
      <vt:lpstr>'가.수학적방법(음성군10년)'!Print_Area</vt:lpstr>
      <vt:lpstr>'계획처리구역 인구결정'!Print_Area</vt:lpstr>
      <vt:lpstr>'계획처리구역 인구배분(출력x)'!Print_Area</vt:lpstr>
      <vt:lpstr>금왕읍!Print_Area</vt:lpstr>
      <vt:lpstr>'나.수학적방법(음성군5년)'!Print_Area</vt:lpstr>
      <vt:lpstr>'다.수학적방법(음성읍)'!Print_Area</vt:lpstr>
      <vt:lpstr>'라.수학적방법(금왕읍)'!Print_Area</vt:lpstr>
      <vt:lpstr>'마.수학적방법(소이면)'!Print_Area</vt:lpstr>
      <vt:lpstr>'바.수학적방법(원남면)'!Print_Area</vt:lpstr>
      <vt:lpstr>'사.수학적방법(맹동면)'!Print_Area</vt:lpstr>
      <vt:lpstr>'사회적 유입 중복인구 제외근거'!Print_Area</vt:lpstr>
      <vt:lpstr>사회적유입!Print_Area</vt:lpstr>
      <vt:lpstr>'사회적유입인구의 처리구역별 배분 (원본출력x)'!Print_Area</vt:lpstr>
      <vt:lpstr>'사회적유입인구의 처리구역별 배분(적용)'!Print_Area</vt:lpstr>
      <vt:lpstr>'아.수학적방법(대소면)'!Print_Area</vt:lpstr>
      <vt:lpstr>'자.수학적방법(삼성면)'!Print_Area</vt:lpstr>
      <vt:lpstr>'조성법총괄(내부이동률 적용 전)출력x'!Print_Area</vt:lpstr>
      <vt:lpstr>'차.수학적방법(생극면)'!Print_Area</vt:lpstr>
      <vt:lpstr>처리구역면적!Print_Area</vt:lpstr>
      <vt:lpstr>'카.수학적방법(감곡면)'!Print_Area</vt:lpstr>
      <vt:lpstr>'1.2 수학적방법'!Print_Titles</vt:lpstr>
      <vt:lpstr>'1.4.조성법총괄(내부이동률 적용)'!Print_Titles</vt:lpstr>
      <vt:lpstr>대소면!Print_Titles</vt:lpstr>
      <vt:lpstr>'사회적 유입 중복인구 제외근거'!Print_Titles</vt:lpstr>
      <vt:lpstr>'사회적유입인구의 처리구역별 배분 (원본출력x)'!Print_Titles</vt:lpstr>
      <vt:lpstr>'사회적유입인구의 처리구역별 배분(적용)'!Print_Titles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이민호</dc:creator>
  <cp:lastModifiedBy>ㅁ</cp:lastModifiedBy>
  <cp:lastPrinted>2018-08-31T00:09:12Z</cp:lastPrinted>
  <dcterms:created xsi:type="dcterms:W3CDTF">2014-09-15T01:29:22Z</dcterms:created>
  <dcterms:modified xsi:type="dcterms:W3CDTF">2020-07-22T06:40:49Z</dcterms:modified>
</cp:coreProperties>
</file>